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eta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Motor" sheetId="5" state="hidden" r:id="rId5"/>
  </sheets>
  <definedNames>
    <definedName name="rFecha">'Registro'!$B$6:$B$4005</definedName>
    <definedName name="rMonto">'Registro'!$C$6:$C$4005</definedName>
    <definedName name="rCat">'Registro'!$D$6:$D$4005</definedName>
    <definedName name="rCta">'Registro'!$E$6:$E$4005</definedName>
    <definedName name="rCom">'Registro'!$F$6:$F$4005</definedName>
    <definedName name="rHacia">'Registro'!$G$6:$G$4005</definedName>
    <definedName name="rEstado">'Registro'!$H$6:$H$4005</definedName>
    <definedName name="rTipo">'Registro'!$I$6:$I$4005</definedName>
    <definedName name="rGrupo">'Registro'!$J$6:$J$4005</definedName>
    <definedName name="rClas">'Registro'!$K$6:$K$4005</definedName>
    <definedName name="rAlim">'Registro'!$L$6:$L$4005</definedName>
    <definedName name="rComida">'Registro'!$M$6:$M$4005</definedName>
    <definedName name="rMon">'Registro'!$N$6:$N$4005</definedName>
    <definedName name="rDOP">'Registro'!$O$6:$O$4005</definedName>
    <definedName name="rGasto">'Registro'!$P$6:$P$4005</definedName>
    <definedName name="rIng">'Registro'!$Q$6:$Q$4005</definedName>
    <definedName name="rTrad">'Registro'!$R$6:$R$4005</definedName>
    <definedName name="rHorm">'Registro'!$S$6:$S$4005</definedName>
    <definedName name="rEfO">'Registro'!$T$6:$T$4005</definedName>
    <definedName name="rEfD">'Registro'!$U$6:$U$4005</definedName>
    <definedName name="rFlujo">'Registro'!$V$6:$V$4005</definedName>
    <definedName name="rComIdx">'Registro'!$W$6:$W$4005</definedName>
    <definedName name="catNom">'Ajustes'!$B$40:$B$139</definedName>
    <definedName name="catGrupo">'Ajustes'!$C$40:$C$139</definedName>
    <definedName name="catTipo">'Ajustes'!$D$40:$D$139</definedName>
    <definedName name="catClas">'Ajustes'!$E$40:$E$139</definedName>
    <definedName name="catAlim">'Ajustes'!$F$40:$F$139</definedName>
    <definedName name="catComida">'Ajustes'!$G$40:$G$139</definedName>
    <definedName name="catGIdx">'Ajustes'!$I$40:$I$139</definedName>
    <definedName name="lstCat">OFFSET('Ajustes'!$B$40,0,0,MAX(1,COUNTIF('Ajustes'!$B$40:$B$139,"?*")),1)</definedName>
    <definedName name="ctaNom">'Ajustes'!$B$22:$B$33</definedName>
    <definedName name="ctaTipo">'Ajustes'!$C$22:$C$33</definedName>
    <definedName name="ctaMon">'Ajustes'!$D$22:$D$33</definedName>
    <definedName name="ctaIni">'Ajustes'!$E$22:$E$33</definedName>
    <definedName name="ctaSaldo">'Ajustes'!$G$22:$G$33</definedName>
    <definedName name="ctaDOP">'Ajustes'!$I$22:$I$33</definedName>
    <definedName name="ctaLiq">'Ajustes'!$J$22:$J$33</definedName>
    <definedName name="lstCta">OFFSET('Ajustes'!$B$22,0,0,MAX(1,COUNTIF('Ajustes'!$B$22:$B$33,"?*")),1)</definedName>
    <definedName name="TasaUSD">'Ajustes'!$C$14</definedName>
    <definedName name="Umbral">'Ajustes'!$C$15</definedName>
    <definedName name="lstTipoCta">'Ajustes'!$M$5:$M$9</definedName>
    <definedName name="lstMon">'Ajustes'!$N$5:$N$6</definedName>
    <definedName name="lstTipo">'Ajustes'!$O$5:$O$10</definedName>
    <definedName name="lstClas">'Ajustes'!$P$5:$P$6</definedName>
    <definedName name="lstAlim">'Ajustes'!$Q$5:$Q$7</definedName>
    <definedName name="lstComida">'Ajustes'!$R$5:$R$7</definedName>
    <definedName name="lstPeriodo">'Ajustes'!$S$5:$S$10</definedName>
    <definedName name="lstFrec">'Ajustes'!$U$5:$U$6</definedName>
    <definedName name="lstMes">'Ajustes'!$T$5:$T$28</definedName>
    <definedName name="gCP">'Ajustes'!$Q$5</definedName>
    <definedName name="gSI">'Ajustes'!$Q$6</definedName>
    <definedName name="gBS">'Ajustes'!$Q$7</definedName>
    <definedName name="diaHoy">'Motor'!$C$4</definedName>
    <definedName name="mesHoy">'Motor'!$C$5</definedName>
    <definedName name="semHoy">'Motor'!$C$6</definedName>
    <definedName name="minFecha">'Motor'!$C$7</definedName>
    <definedName name="maxFecha">'Motor'!$C$8</definedName>
    <definedName name="mesSel">'Motor'!$C$9</definedName>
    <definedName name="pK">'Motor'!$C$10</definedName>
    <definedName name="pIni">'Motor'!$C$11</definedName>
    <definedName name="pFin">'Motor'!$C$12</definedName>
    <definedName name="pDias">'Motor'!$C$13</definedName>
    <definedName name="refMes">'Motor'!$C$14</definedName>
    <definedName name="m3">'Motor'!$C$15</definedName>
    <definedName name="pTexto">'Motor'!$C$16</definedName>
    <definedName name="lstComercios">OFFSET('Motor'!$T$5,0,0,MAX(1,COUNTIF('Motor'!$T$5:$T$204,"?*")),1)</definedName>
    <definedName name="fPeriodo">'Resumen'!$B$5</definedName>
    <definedName name="fMes">'Resumen'!$E$5</definedName>
    <definedName name="casaN">'Resumen'!$H$61</definedName>
    <definedName name="redPct">'Resumen'!$H$62</definedName>
    <definedName name="limMensual">'Metas'!$C$7</definedName>
    <definedName name="budNivel">'Metas'!$K$10</definedName>
    <definedName name="budTexto">'Metas'!$K$11</definedName>
    <definedName name="_xlnm.Print_Area" localSheetId="3">'Ajustes'!$A$1:$H$79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RD$ &quot;#,##0;[Red]-&quot;RD$ &quot;#,##0;&quot;–&quot;"/>
    <numFmt numFmtId="165" formatCode="#,##0.00;[Red]-#,##0.00;&quot;–&quot;"/>
    <numFmt numFmtId="166" formatCode="dd/mm/yyyy"/>
    <numFmt numFmtId="167" formatCode="yyyy-mm-dd"/>
    <numFmt numFmtId="168" formatCode="#,##0;[Red]-#,##0;&quot;–&quot;"/>
    <numFmt numFmtId="169" formatCode="0%;[Red]-0%;&quot;–&quot;"/>
    <numFmt numFmtId="170" formatCode="0&quot; días&quot;"/>
  </numFmts>
  <fonts count="29">
    <font>
      <name val="Calibri"/>
      <family val="2"/>
      <color theme="1"/>
      <sz val="11"/>
      <scheme val="minor"/>
    </font>
    <font>
      <name val="Aptos"/>
      <b val="1"/>
      <color rgb="00FFFFFF"/>
      <sz val="18"/>
    </font>
    <font>
      <name val="Aptos"/>
      <color rgb="00CBD5E1"/>
      <sz val="9"/>
    </font>
    <font>
      <name val="Aptos"/>
      <b val="1"/>
      <color rgb="002A78D6"/>
      <sz val="9"/>
      <u val="single"/>
    </font>
    <font>
      <name val="Aptos"/>
      <b val="1"/>
      <color rgb="000F172A"/>
      <sz val="9"/>
    </font>
    <font>
      <name val="Aptos"/>
      <b val="1"/>
      <color rgb="000F172A"/>
      <sz val="12"/>
    </font>
    <font>
      <name val="Aptos"/>
      <color rgb="00334155"/>
      <sz val="10"/>
    </font>
    <font>
      <name val="Aptos"/>
      <b val="1"/>
      <color rgb="006250D6"/>
      <sz val="10"/>
    </font>
    <font>
      <name val="Aptos"/>
      <b val="1"/>
      <color rgb="000F172A"/>
      <sz val="10"/>
    </font>
    <font>
      <name val="Aptos"/>
      <b val="1"/>
      <color rgb="001E3A8A"/>
      <sz val="10"/>
    </font>
    <font>
      <name val="Aptos"/>
      <i val="1"/>
      <color rgb="0064748B"/>
      <sz val="9"/>
    </font>
    <font>
      <name val="Aptos"/>
      <b val="1"/>
      <color rgb="00FFFFFF"/>
      <sz val="9"/>
    </font>
    <font>
      <name val="Aptos"/>
      <color rgb="000F172A"/>
      <sz val="10"/>
    </font>
    <font>
      <name val="Aptos"/>
      <color rgb="001E3A8A"/>
      <sz val="10"/>
    </font>
    <font>
      <name val="Aptos"/>
      <b val="1"/>
      <color rgb="00FFFFFF"/>
      <sz val="10"/>
    </font>
    <font>
      <name val="Aptos"/>
      <color rgb="0064748B"/>
      <sz val="9"/>
    </font>
    <font>
      <name val="Aptos"/>
      <b val="1"/>
      <color rgb="001E3A8A"/>
      <sz val="9"/>
    </font>
    <font>
      <name val="Aptos"/>
      <b val="1"/>
      <color rgb="0064748B"/>
      <sz val="9"/>
    </font>
    <font>
      <name val="Aptos"/>
      <b val="1"/>
      <color rgb="0015803D"/>
      <sz val="9"/>
    </font>
    <font>
      <name val="Aptos"/>
      <color rgb="00334155"/>
      <sz val="9"/>
    </font>
    <font>
      <name val="Aptos"/>
      <b val="1"/>
      <color rgb="0064748B"/>
      <sz val="8"/>
    </font>
    <font>
      <name val="Aptos"/>
      <b val="1"/>
      <color rgb="000F172A"/>
      <sz val="20"/>
    </font>
    <font>
      <name val="Aptos"/>
      <color rgb="0064748B"/>
      <sz val="8"/>
    </font>
    <font>
      <name val="Aptos"/>
      <b val="1"/>
      <color rgb="000F172A"/>
      <sz val="16"/>
    </font>
    <font>
      <name val="Aptos"/>
      <color rgb="000F172A"/>
      <sz val="9"/>
    </font>
    <font>
      <name val="Aptos"/>
      <b val="1"/>
      <color rgb="000F172A"/>
      <sz val="15"/>
    </font>
    <font>
      <name val="Aptos"/>
      <b val="1"/>
      <color rgb="0094A3B8"/>
      <sz val="9"/>
    </font>
    <font>
      <name val="Aptos"/>
      <b val="1"/>
      <color rgb="0064748B"/>
      <sz val="10"/>
    </font>
    <font>
      <name val="Aptos"/>
      <b val="1"/>
      <color rgb="000F172A"/>
      <sz val="11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8EEF6"/>
        <bgColor rgb="00E8EEF6"/>
      </patternFill>
    </fill>
    <fill>
      <patternFill patternType="solid">
        <fgColor rgb="00FFF8E7"/>
        <bgColor rgb="00FFF8E7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2A78D6"/>
        <bgColor rgb="002A78D6"/>
      </patternFill>
    </fill>
    <fill>
      <patternFill patternType="solid">
        <fgColor rgb="00EEF2F7"/>
        <bgColor rgb="00EEF2F7"/>
      </patternFill>
    </fill>
    <fill>
      <patternFill patternType="solid">
        <fgColor rgb="0064748B"/>
        <bgColor rgb="0064748B"/>
      </patternFill>
    </fill>
    <fill>
      <patternFill patternType="solid">
        <fgColor rgb="00F1F5F9"/>
        <bgColor rgb="00F1F5F9"/>
      </patternFill>
    </fill>
  </fills>
  <borders count="50">
    <border>
      <left/>
      <right/>
      <top/>
      <bottom/>
      <diagonal/>
    </border>
    <border>
      <bottom style="medium">
        <color rgb="000F172A"/>
      </bottom>
    </border>
    <border>
      <left style="thin">
        <color rgb="00F2C46D"/>
      </left>
      <right style="thin">
        <color rgb="00F2C46D"/>
      </right>
      <top style="thin">
        <color rgb="00F2C46D"/>
      </top>
      <bottom style="thin">
        <color rgb="00F2C46D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thin">
        <color rgb="00E2E8F0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thin">
        <color rgb="00E2E8F0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ck">
        <color rgb="001BAF7A"/>
      </left>
      <top style="thin">
        <color rgb="00E2E8F0"/>
      </top>
      <bottom/>
    </border>
    <border>
      <left style="thick">
        <color rgb="001BAF7A"/>
      </left>
      <top/>
      <bottom/>
    </border>
    <border>
      <left style="thick">
        <color rgb="001BAF7A"/>
      </left>
      <top/>
      <bottom style="thin">
        <color rgb="00E2E8F0"/>
      </bottom>
    </border>
    <border>
      <left style="thick">
        <color rgb="001BAF7A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ck">
        <color rgb="001BAF7A"/>
      </left>
      <right style="thin">
        <color rgb="00E2E8F0"/>
      </right>
      <top/>
      <bottom/>
    </border>
    <border>
      <left style="thick">
        <color rgb="001BAF7A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ck">
        <color rgb="001BAF7A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ck">
        <color rgb="00EB6834"/>
      </left>
      <top style="thin">
        <color rgb="00E2E8F0"/>
      </top>
      <bottom/>
    </border>
    <border>
      <left style="thick">
        <color rgb="00EB6834"/>
      </left>
      <top/>
      <bottom/>
    </border>
    <border>
      <left style="thick">
        <color rgb="00EB6834"/>
      </left>
      <top/>
      <bottom style="thin">
        <color rgb="00E2E8F0"/>
      </bottom>
    </border>
    <border>
      <left style="thick">
        <color rgb="00EB6834"/>
      </left>
      <right style="thin">
        <color rgb="00E2E8F0"/>
      </right>
      <top style="thin">
        <color rgb="00E2E8F0"/>
      </top>
      <bottom/>
    </border>
    <border>
      <left style="thick">
        <color rgb="00EB6834"/>
      </left>
      <right style="thin">
        <color rgb="00E2E8F0"/>
      </right>
      <top/>
      <bottom/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E2E8F0"/>
      </right>
      <top/>
      <bottom style="thin">
        <color rgb="00E2E8F0"/>
      </bottom>
    </border>
    <border>
      <left style="thick">
        <color rgb="002A78D6"/>
      </left>
      <top style="thin">
        <color rgb="00E2E8F0"/>
      </top>
      <bottom/>
    </border>
    <border>
      <left style="thick">
        <color rgb="002A78D6"/>
      </left>
      <top/>
      <bottom/>
    </border>
    <border>
      <left style="thick">
        <color rgb="002A78D6"/>
      </left>
      <top/>
      <bottom style="thin">
        <color rgb="00E2E8F0"/>
      </bottom>
    </border>
    <border>
      <left style="thick">
        <color rgb="002A78D6"/>
      </left>
      <right style="thin">
        <color rgb="00E2E8F0"/>
      </right>
      <top style="thin">
        <color rgb="00E2E8F0"/>
      </top>
      <bottom/>
    </border>
    <border>
      <left style="thick">
        <color rgb="002A78D6"/>
      </left>
      <right style="thin">
        <color rgb="00E2E8F0"/>
      </right>
      <top/>
      <bottom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E2E8F0"/>
      </right>
      <top/>
      <bottom style="thin">
        <color rgb="00E2E8F0"/>
      </bottom>
    </border>
    <border>
      <left style="thick">
        <color rgb="006250D6"/>
      </left>
      <top style="thin">
        <color rgb="00E2E8F0"/>
      </top>
      <bottom/>
    </border>
    <border>
      <left style="thick">
        <color rgb="006250D6"/>
      </left>
      <top/>
      <bottom/>
    </border>
    <border>
      <left style="thick">
        <color rgb="006250D6"/>
      </left>
      <top/>
      <bottom style="thin">
        <color rgb="00E2E8F0"/>
      </bottom>
    </border>
    <border>
      <left style="thick">
        <color rgb="006250D6"/>
      </left>
      <right style="thin">
        <color rgb="00E2E8F0"/>
      </right>
      <top style="thin">
        <color rgb="00E2E8F0"/>
      </top>
      <bottom/>
    </border>
    <border>
      <left style="thick">
        <color rgb="006250D6"/>
      </left>
      <right style="thin">
        <color rgb="00E2E8F0"/>
      </right>
      <top/>
      <bottom/>
    </border>
    <border>
      <left style="thick">
        <color rgb="006250D6"/>
      </left>
      <right/>
      <top/>
      <bottom/>
      <diagonal/>
    </border>
    <border>
      <left style="thick">
        <color rgb="006250D6"/>
      </left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/>
      <bottom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16" fillId="3" borderId="0" applyAlignment="1" pivotButton="0" quotePrefix="0" xfId="0">
      <alignment horizontal="left" vertical="center" indent="1"/>
    </xf>
    <xf numFmtId="0" fontId="17" fillId="9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10" borderId="0" applyAlignment="1" pivotButton="0" quotePrefix="0" xfId="0">
      <alignment horizontal="center" vertical="center" wrapText="1"/>
    </xf>
    <xf numFmtId="166" fontId="12" fillId="0" borderId="0" pivotButton="0" quotePrefix="0" xfId="0"/>
    <xf numFmtId="4" fontId="12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5" fillId="0" borderId="0" pivotButton="0" quotePrefix="0" xfId="0"/>
    <xf numFmtId="4" fontId="15" fillId="0" borderId="0" pivotButton="0" quotePrefix="0" xfId="0"/>
    <xf numFmtId="0" fontId="0" fillId="11" borderId="0" pivotButton="0" quotePrefix="0" xfId="0"/>
    <xf numFmtId="0" fontId="20" fillId="11" borderId="0" applyAlignment="1" pivotButton="0" quotePrefix="0" xfId="0">
      <alignment vertical="bottom"/>
    </xf>
    <xf numFmtId="0" fontId="9" fillId="4" borderId="2" applyAlignment="1" pivotButton="0" quotePrefix="0" xfId="0">
      <alignment horizontal="center" vertical="center" wrapText="1"/>
    </xf>
    <xf numFmtId="0" fontId="0" fillId="4" borderId="2" pivotButton="0" quotePrefix="0" xfId="0"/>
    <xf numFmtId="0" fontId="10" fillId="11" borderId="0" applyAlignment="1" pivotButton="0" quotePrefix="0" xfId="0">
      <alignment horizontal="left" vertical="center" indent="1"/>
    </xf>
    <xf numFmtId="0" fontId="20" fillId="7" borderId="16" applyAlignment="1" pivotButton="0" quotePrefix="0" xfId="0">
      <alignment horizontal="left" vertical="bottom" indent="1"/>
    </xf>
    <xf numFmtId="0" fontId="0" fillId="0" borderId="17" pivotButton="0" quotePrefix="0" xfId="0"/>
    <xf numFmtId="0" fontId="0" fillId="0" borderId="18" pivotButton="0" quotePrefix="0" xfId="0"/>
    <xf numFmtId="0" fontId="20" fillId="7" borderId="28" applyAlignment="1" pivotButton="0" quotePrefix="0" xfId="0">
      <alignment horizontal="left" vertical="bottom" indent="1"/>
    </xf>
    <xf numFmtId="0" fontId="20" fillId="7" borderId="35" applyAlignment="1" pivotButton="0" quotePrefix="0" xfId="0">
      <alignment horizontal="left" vertical="bottom" indent="1"/>
    </xf>
    <xf numFmtId="0" fontId="20" fillId="7" borderId="42" applyAlignment="1" pivotButton="0" quotePrefix="0" xfId="0">
      <alignment horizontal="left" vertical="bottom" indent="1"/>
    </xf>
    <xf numFmtId="164" fontId="21" fillId="7" borderId="19" applyAlignment="1" pivotButton="0" quotePrefix="0" xfId="0">
      <alignment horizontal="left" vertical="center" indent="1"/>
    </xf>
    <xf numFmtId="0" fontId="0" fillId="0" borderId="21" pivotButton="0" quotePrefix="0" xfId="0"/>
    <xf numFmtId="164" fontId="21" fillId="7" borderId="29" applyAlignment="1" pivotButton="0" quotePrefix="0" xfId="0">
      <alignment horizontal="left" vertical="center" indent="1"/>
    </xf>
    <xf numFmtId="164" fontId="21" fillId="7" borderId="36" applyAlignment="1" pivotButton="0" quotePrefix="0" xfId="0">
      <alignment horizontal="left" vertical="center" indent="1"/>
    </xf>
    <xf numFmtId="164" fontId="21" fillId="7" borderId="43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30" pivotButton="0" quotePrefix="0" xfId="0"/>
    <xf numFmtId="0" fontId="0" fillId="0" borderId="37" pivotButton="0" quotePrefix="0" xfId="0"/>
    <xf numFmtId="0" fontId="0" fillId="0" borderId="44" pivotButton="0" quotePrefix="0" xfId="0"/>
    <xf numFmtId="0" fontId="22" fillId="7" borderId="22" applyAlignment="1" pivotButton="0" quotePrefix="0" xfId="0">
      <alignment horizontal="left" vertical="top" wrapText="1" indent="1"/>
    </xf>
    <xf numFmtId="0" fontId="0" fillId="0" borderId="23" pivotButton="0" quotePrefix="0" xfId="0"/>
    <xf numFmtId="0" fontId="0" fillId="0" borderId="24" pivotButton="0" quotePrefix="0" xfId="0"/>
    <xf numFmtId="0" fontId="22" fillId="7" borderId="31" applyAlignment="1" pivotButton="0" quotePrefix="0" xfId="0">
      <alignment horizontal="left" vertical="top" wrapText="1" indent="1"/>
    </xf>
    <xf numFmtId="0" fontId="22" fillId="7" borderId="38" applyAlignment="1" pivotButton="0" quotePrefix="0" xfId="0">
      <alignment horizontal="left" vertical="top" wrapText="1" indent="1"/>
    </xf>
    <xf numFmtId="0" fontId="22" fillId="7" borderId="45" applyAlignment="1" pivotButton="0" quotePrefix="0" xfId="0">
      <alignment horizontal="left" vertical="top" wrapText="1" indent="1"/>
    </xf>
    <xf numFmtId="164" fontId="23" fillId="7" borderId="29" applyAlignment="1" pivotButton="0" quotePrefix="0" xfId="0">
      <alignment horizontal="left" vertical="center" indent="1"/>
    </xf>
    <xf numFmtId="164" fontId="23" fillId="7" borderId="36" applyAlignment="1" pivotButton="0" quotePrefix="0" xfId="0">
      <alignment horizontal="left" vertical="center" indent="1"/>
    </xf>
    <xf numFmtId="0" fontId="8" fillId="7" borderId="46" applyAlignment="1" pivotButton="0" quotePrefix="0" xfId="0">
      <alignment horizontal="left" vertical="center" indent="1"/>
    </xf>
    <xf numFmtId="0" fontId="0" fillId="0" borderId="47" pivotButton="0" quotePrefix="0" xfId="0"/>
    <xf numFmtId="0" fontId="0" fillId="0" borderId="48" pivotButton="0" quotePrefix="0" xfId="0"/>
    <xf numFmtId="0" fontId="5" fillId="11" borderId="1" applyAlignment="1" pivotButton="0" quotePrefix="0" xfId="0">
      <alignment vertical="bottom"/>
    </xf>
    <xf numFmtId="0" fontId="0" fillId="0" borderId="1" pivotButton="0" quotePrefix="0" xfId="0"/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20" fillId="7" borderId="7" applyAlignment="1" pivotButton="0" quotePrefix="0" xfId="0">
      <alignment horizontal="left" vertical="center" indent="1"/>
    </xf>
    <xf numFmtId="0" fontId="0" fillId="7" borderId="8" pivotButton="0" quotePrefix="0" xfId="0"/>
    <xf numFmtId="0" fontId="20" fillId="7" borderId="8" applyAlignment="1" pivotButton="0" quotePrefix="0" xfId="0">
      <alignment horizontal="right" vertical="center" indent="1"/>
    </xf>
    <xf numFmtId="0" fontId="0" fillId="7" borderId="9" pivotButton="0" quotePrefix="0" xfId="0"/>
    <xf numFmtId="0" fontId="24" fillId="7" borderId="7" applyAlignment="1" pivotButton="0" quotePrefix="0" xfId="0">
      <alignment horizontal="left" vertical="center" indent="1"/>
    </xf>
    <xf numFmtId="168" fontId="4" fillId="7" borderId="8" applyAlignment="1" pivotButton="0" quotePrefix="0" xfId="0">
      <alignment horizontal="right" vertical="center" indent="1"/>
    </xf>
    <xf numFmtId="169" fontId="15" fillId="7" borderId="8" applyAlignment="1" pivotButton="0" quotePrefix="0" xfId="0">
      <alignment horizontal="right" vertical="center" indent="1"/>
    </xf>
    <xf numFmtId="0" fontId="0" fillId="7" borderId="10" pivotButton="0" quotePrefix="0" xfId="0"/>
    <xf numFmtId="0" fontId="0" fillId="7" borderId="11" pivotButton="0" quotePrefix="0" xfId="0"/>
    <xf numFmtId="0" fontId="0" fillId="7" borderId="12" pivotButton="0" quotePrefix="0" xfId="0"/>
    <xf numFmtId="0" fontId="0" fillId="7" borderId="7" pivotButton="0" quotePrefix="0" xfId="0"/>
    <xf numFmtId="0" fontId="20" fillId="7" borderId="9" applyAlignment="1" pivotButton="0" quotePrefix="0" xfId="0">
      <alignment horizontal="right" vertical="center" indent="1"/>
    </xf>
    <xf numFmtId="168" fontId="15" fillId="7" borderId="8" applyAlignment="1" pivotButton="0" quotePrefix="0" xfId="0">
      <alignment horizontal="right" vertical="center" indent="1"/>
    </xf>
    <xf numFmtId="169" fontId="15" fillId="7" borderId="9" applyAlignment="1" pivotButton="0" quotePrefix="0" xfId="0">
      <alignment horizontal="right" vertical="center" indent="1"/>
    </xf>
    <xf numFmtId="0" fontId="20" fillId="7" borderId="4" applyAlignment="1" pivotButton="0" quotePrefix="0" xfId="0">
      <alignment horizontal="left" vertical="bottom" indent="1"/>
    </xf>
    <xf numFmtId="0" fontId="20" fillId="7" borderId="5" applyAlignment="1" pivotButton="0" quotePrefix="0" xfId="0">
      <alignment horizontal="left" vertical="bottom" indent="1"/>
    </xf>
    <xf numFmtId="164" fontId="25" fillId="7" borderId="7" applyAlignment="1" pivotButton="0" quotePrefix="0" xfId="0">
      <alignment horizontal="left" vertical="center" indent="1"/>
    </xf>
    <xf numFmtId="164" fontId="25" fillId="7" borderId="8" applyAlignment="1" pivotButton="0" quotePrefix="0" xfId="0">
      <alignment horizontal="left" vertical="center" indent="1"/>
    </xf>
    <xf numFmtId="164" fontId="25" fillId="7" borderId="9" applyAlignment="1" pivotButton="0" quotePrefix="0" xfId="0">
      <alignment horizontal="left" vertical="center" indent="1"/>
    </xf>
    <xf numFmtId="0" fontId="0" fillId="0" borderId="49" pivotButton="0" quotePrefix="0" xfId="0"/>
    <xf numFmtId="0" fontId="22" fillId="7" borderId="10" applyAlignment="1" pivotButton="0" quotePrefix="0" xfId="0">
      <alignment horizontal="left" vertical="center" indent="1"/>
    </xf>
    <xf numFmtId="0" fontId="22" fillId="7" borderId="11" applyAlignment="1" pivotButton="0" quotePrefix="0" xfId="0">
      <alignment horizontal="left" vertical="center" indent="1"/>
    </xf>
    <xf numFmtId="0" fontId="4" fillId="7" borderId="7" applyAlignment="1" pivotButton="0" quotePrefix="0" xfId="0">
      <alignment horizontal="left" vertical="center" indent="1"/>
    </xf>
    <xf numFmtId="1" fontId="9" fillId="4" borderId="2" applyAlignment="1" pivotButton="0" quotePrefix="0" xfId="0">
      <alignment horizontal="center" vertical="center" wrapText="1"/>
    </xf>
    <xf numFmtId="0" fontId="8" fillId="6" borderId="9" applyAlignment="1" pivotButton="0" quotePrefix="0" xfId="0">
      <alignment horizontal="left" vertical="top" wrapText="1" indent="1"/>
    </xf>
    <xf numFmtId="9" fontId="9" fillId="4" borderId="2" applyAlignment="1" pivotButton="0" quotePrefix="0" xfId="0">
      <alignment horizontal="center" vertical="center" wrapText="1"/>
    </xf>
    <xf numFmtId="0" fontId="10" fillId="7" borderId="10" applyAlignment="1" pivotButton="0" quotePrefix="0" xfId="0">
      <alignment vertical="center"/>
    </xf>
    <xf numFmtId="164" fontId="23" fillId="7" borderId="43" applyAlignment="1" pivotButton="0" quotePrefix="0" xfId="0">
      <alignment horizontal="left" vertical="center" indent="1"/>
    </xf>
    <xf numFmtId="0" fontId="26" fillId="7" borderId="7" applyAlignment="1" pivotButton="0" quotePrefix="0" xfId="0">
      <alignment horizontal="center" vertical="center" wrapText="1"/>
    </xf>
    <xf numFmtId="0" fontId="12" fillId="7" borderId="8" applyAlignment="1" pivotButton="0" quotePrefix="0" xfId="0">
      <alignment horizontal="left" vertical="center" indent="1"/>
    </xf>
    <xf numFmtId="168" fontId="8" fillId="7" borderId="8" applyAlignment="1" pivotButton="0" quotePrefix="0" xfId="0">
      <alignment horizontal="right" vertical="center" indent="1"/>
    </xf>
    <xf numFmtId="0" fontId="15" fillId="7" borderId="8" applyAlignment="1" pivotButton="0" quotePrefix="0" xfId="0">
      <alignment horizontal="center" vertical="center" wrapText="1"/>
    </xf>
    <xf numFmtId="0" fontId="26" fillId="7" borderId="8" applyAlignment="1" pivotButton="0" quotePrefix="0" xfId="0">
      <alignment horizontal="center" vertical="center" wrapText="1"/>
    </xf>
    <xf numFmtId="0" fontId="15" fillId="7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bottom"/>
    </xf>
    <xf numFmtId="0" fontId="11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left" vertical="center" indent="1"/>
    </xf>
    <xf numFmtId="165" fontId="9" fillId="4" borderId="2" applyAlignment="1" pivotButton="0" quotePrefix="0" xfId="0">
      <alignment horizontal="center" vertical="center" wrapText="1"/>
    </xf>
    <xf numFmtId="165" fontId="12" fillId="6" borderId="3" applyAlignment="1" pivotButton="0" quotePrefix="0" xfId="0">
      <alignment horizontal="right" vertical="center" indent="1"/>
    </xf>
    <xf numFmtId="9" fontId="8" fillId="6" borderId="3" applyAlignment="1" pivotButton="0" quotePrefix="0" xfId="0">
      <alignment horizontal="center" vertical="center" wrapText="1"/>
    </xf>
    <xf numFmtId="0" fontId="27" fillId="6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10" fillId="0" borderId="0" applyAlignment="1" pivotButton="0" quotePrefix="0" xfId="0">
      <alignment vertical="center"/>
    </xf>
    <xf numFmtId="166" fontId="9" fillId="4" borderId="2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right" vertical="center" indent="1"/>
    </xf>
    <xf numFmtId="165" fontId="8" fillId="6" borderId="3" applyAlignment="1" pivotButton="0" quotePrefix="0" xfId="0">
      <alignment horizontal="right" vertical="center" indent="1"/>
    </xf>
    <xf numFmtId="170" fontId="8" fillId="6" borderId="3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right" vertical="center" indent="1"/>
    </xf>
    <xf numFmtId="165" fontId="28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  <xf numFmtId="0" fontId="8" fillId="0" borderId="0" applyAlignment="1" pivotButton="0" quotePrefix="0" xfId="0">
      <alignment horizontal="left" vertical="center" indent="1"/>
    </xf>
    <xf numFmtId="2" fontId="9" fillId="4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left" vertical="center" indent="1"/>
    </xf>
    <xf numFmtId="0" fontId="12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right" vertical="center" indent="1"/>
    </xf>
    <xf numFmtId="166" fontId="13" fillId="4" borderId="3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left" vertical="center" indent="1"/>
    </xf>
    <xf numFmtId="0" fontId="12" fillId="7" borderId="3" applyAlignment="1" pivotButton="0" quotePrefix="0" xfId="0">
      <alignment horizontal="center" vertical="center" wrapText="1"/>
    </xf>
    <xf numFmtId="0" fontId="8" fillId="0" borderId="0" pivotButton="0" quotePrefix="0" xfId="0"/>
    <xf numFmtId="0" fontId="19" fillId="0" borderId="0" pivotButton="0" quotePrefix="0" xfId="0"/>
    <xf numFmtId="166" fontId="4" fillId="0" borderId="0" pivotButton="0" quotePrefix="0" xfId="0"/>
    <xf numFmtId="166" fontId="0" fillId="0" borderId="0" pivotButton="0" quotePrefix="0" xfId="0"/>
    <xf numFmtId="1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F3F0FF"/>
          <bgColor rgb="00F3F0FF"/>
        </patternFill>
      </fill>
    </dxf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b val="1"/>
        <color rgb="0015803D"/>
      </font>
    </dxf>
    <dxf>
      <font>
        <i val="1"/>
        <color rgb="0064748B"/>
      </font>
    </dxf>
    <dxf>
      <font>
        <b val="1"/>
        <color rgb="006250D6"/>
      </font>
    </dxf>
    <dxf>
      <font>
        <b val="1"/>
        <color rgb="00B45309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  <dxf>
      <font>
        <i val="1"/>
        <color rgb="0094A3B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dLbls>
            <numFmt formatCode="#,##0;-#,##0;&quot;&quot;"/>
            <txPr>
              <a:bodyPr xmlns:a="http://schemas.openxmlformats.org/drawingml/2006/main"/>
              <a:p xmlns:a="http://schemas.openxmlformats.org/drawingml/2006/main">
                <a:pPr>
                  <a:defRPr sz="800">
                    <a:solidFill>
                      <a:srgbClr val="334155"/>
                    </a:solidFill>
                    <a:latin typeface="Aptos"/>
                  </a:defRPr>
                </a:pPr>
                <a:r>
                  <a:t/>
                </a:r>
                <a:endParaRPr sz="800">
                  <a:solidFill>
                    <a:srgbClr val="334155"/>
                  </a:solidFill>
                  <a:latin typeface="Aptos"/>
                </a:endParaRPr>
              </a:p>
            </txPr>
            <dLblPos val="outEnd"/>
            <showLegendKey val="0"/>
            <showVal val="1"/>
            <showCatName val="0"/>
            <showSerName val="0"/>
          </dLbls>
          <cat>
            <numRef>
              <f>'Motor'!$AF$5:$AF$16</f>
            </numRef>
          </cat>
          <val>
            <numRef>
              <f>'Motor'!$AG$5:$AG$16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475569"/>
                </a:solidFill>
                <a:latin typeface="Aptos"/>
              </a:defRPr>
            </a:pPr>
            <a:r>
              <a:t/>
            </a:r>
            <a:endParaRPr sz="900">
              <a:solidFill>
                <a:srgbClr val="475569"/>
              </a:solidFill>
              <a:latin typeface="Aptos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475569"/>
                </a:solidFill>
                <a:latin typeface="Aptos"/>
              </a:defRPr>
            </a:pPr>
            <a:r>
              <a:t/>
            </a:r>
            <a:endParaRPr sz="900">
              <a:solidFill>
                <a:srgbClr val="475569"/>
              </a:solidFill>
              <a:latin typeface="Aptos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'Motor'!AA4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'Motor'!$Z$5:$Z$10</f>
            </numRef>
          </cat>
          <val>
            <numRef>
              <f>'Motor'!$AA$5:$AA$10</f>
            </numRef>
          </val>
        </ser>
        <ser>
          <idx val="1"/>
          <order val="1"/>
          <tx>
            <strRef>
              <f>'Motor'!AB4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'Motor'!$Z$5:$Z$10</f>
            </numRef>
          </cat>
          <val>
            <numRef>
              <f>'Motor'!$AB$5:$AB$10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475569"/>
                </a:solidFill>
                <a:latin typeface="Aptos"/>
              </a:defRPr>
            </a:pPr>
            <a:r>
              <a:t/>
            </a:r>
            <a:endParaRPr sz="900">
              <a:solidFill>
                <a:srgbClr val="475569"/>
              </a:solidFill>
              <a:latin typeface="Aptos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475569"/>
                </a:solidFill>
                <a:latin typeface="Aptos"/>
              </a:defRPr>
            </a:pPr>
            <a:r>
              <a:t/>
            </a:r>
            <a:endParaRPr sz="900">
              <a:solidFill>
                <a:srgbClr val="475569"/>
              </a:solidFill>
              <a:latin typeface="Aptos"/>
            </a:endParaRP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334155"/>
              </a:solidFill>
              <a:latin typeface="Aptos"/>
            </a:defRPr>
          </a:pPr>
          <a:r>
            <a:t/>
          </a:r>
          <a:endParaRPr sz="900">
            <a:solidFill>
              <a:srgbClr val="334155"/>
            </a:solidFill>
            <a:latin typeface="Aptos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comments/comment1.xml><?xml version="1.0" encoding="utf-8"?>
<comments xmlns="http://schemas.openxmlformats.org/spreadsheetml/2006/main">
  <authors>
    <author>Sistema</author>
  </authors>
  <commentList>
    <comment ref="C5" authorId="0" shapeId="0">
      <text>
        <t>En la moneda de la cuenta. Negativo = devolución/reembolso de un gasto.</t>
      </text>
    </comment>
    <comment ref="G5" authorId="0" shapeId="0">
      <text>
        <t>Solo para Transferencia entre cuentas, Pago de tarjeta y Depósito/retiro de trading: la cuenta que recibe.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19</row>
      <rowOff>0</rowOff>
    </from>
    <ext cx="6480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688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Registro" displayName="tblRegistro" ref="B5:W4005" headerRowCount="1">
  <autoFilter ref="B5:W4005"/>
  <tableColumns count="22">
    <tableColumn id="2" name="Fecha"/>
    <tableColumn id="3" name="Monto"/>
    <tableColumn id="4" name="Categoría"/>
    <tableColumn id="5" name="Cuenta"/>
    <tableColumn id="6" name="Comercio (opcional)"/>
    <tableColumn id="7" name="Hacia (solo transf.)"/>
    <tableColumn id="8" name="Estado"/>
    <tableColumn id="9" name="Tipo"/>
    <tableColumn id="10" name="Grupo"/>
    <tableColumn id="11" name="Fijo/Variable"/>
    <tableColumn id="12" name="Análisis comida"/>
    <tableColumn id="13" name="Comida del día"/>
    <tableColumn id="14" name="Moneda"/>
    <tableColumn id="15" name="Monto DOP"/>
    <tableColumn id="16" name="Gasto real"/>
    <tableColumn id="17" name="Ingreso"/>
    <tableColumn id="18" name="Trading"/>
    <tableColumn id="19" name="Hormiga"/>
    <tableColumn id="20" name="Efecto saldo origen"/>
    <tableColumn id="21" name="Efecto saldo destino"/>
    <tableColumn id="22" name="Flujo efectivo"/>
    <tableColumn id="23" name="Índice comerci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A78D6"/>
    <outlinePr summaryBelow="1" summaryRight="1"/>
    <pageSetUpPr/>
  </sheetPr>
  <dimension ref="A1:W40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30" customWidth="1" min="4" max="4"/>
    <col width="20" customWidth="1" min="5" max="5"/>
    <col width="26" customWidth="1" min="6" max="6"/>
    <col width="18" customWidth="1" min="7" max="7"/>
    <col width="30" customWidth="1" min="8" max="8"/>
    <col hidden="1" outlineLevel="1" width="13" customWidth="1" min="9" max="23"/>
  </cols>
  <sheetData>
    <row r="1" ht="38" customHeight="1">
      <c r="A1" s="1" t="n"/>
      <c r="B1" s="2" t="inlineStr">
        <is>
          <t>Registro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3" t="inlineStr">
        <is>
          <t>Una fila = un movimiento · 4 datos obligatorios</t>
        </is>
      </c>
    </row>
    <row r="2" ht="22" customHeight="1">
      <c r="A2" s="4" t="n"/>
      <c r="B2" s="5" t="inlineStr">
        <is>
          <t>● Registro</t>
        </is>
      </c>
      <c r="C2" s="6" t="inlineStr">
        <is>
          <t>Resumen</t>
        </is>
      </c>
      <c r="D2" s="6" t="inlineStr">
        <is>
          <t>Metas</t>
        </is>
      </c>
      <c r="E2" s="6" t="inlineStr">
        <is>
          <t>Ajustes</t>
        </is>
      </c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6" customHeight="1">
      <c r="B3" s="7">
        <f>HYPERLINK("#'Registro'!B"&amp;IFERROR(MATCH(TRUE,INDEX(rFecha="",0),0)+5,4005),"＋ Nuevo")</f>
        <v/>
      </c>
      <c r="C3" s="8" t="inlineStr">
        <is>
          <t>Ctrl+; = fecha de hoy · escribe las primeras letras en Categoría y Cuenta · devolución = monto negativo</t>
        </is>
      </c>
      <c r="G3" s="9">
        <f>IF(COUNTIF(rEstado,"⚠*")&gt;0,"⚠ Revisar: "&amp;COUNTIF(rEstado,"⚠*"),"✓ Sin errores")</f>
        <v/>
      </c>
      <c r="H3" s="10">
        <f>"Movimientos: "&amp;COUNTIF(rTipo,"?*")&amp;IF(COUNTIF(rCom,"DEMO*")&gt;0,"  ·  lilas = DEMO","")</f>
        <v/>
      </c>
    </row>
    <row r="4">
      <c r="B4" s="11" t="inlineStr">
        <is>
          <t>LLENA ESTO  ·  obligatorio: Fecha, Monto, Categoría, Cuenta</t>
        </is>
      </c>
      <c r="H4" s="12" t="inlineStr">
        <is>
          <t>AUTOMÁTICO · no editar (pulsa «+» sobre la columna I para ver el detalle)</t>
        </is>
      </c>
    </row>
    <row r="5" ht="30" customHeight="1">
      <c r="B5" s="13" t="inlineStr">
        <is>
          <t>Fecha</t>
        </is>
      </c>
      <c r="C5" s="13" t="inlineStr">
        <is>
          <t>Monto</t>
        </is>
      </c>
      <c r="D5" s="13" t="inlineStr">
        <is>
          <t>Categoría</t>
        </is>
      </c>
      <c r="E5" s="13" t="inlineStr">
        <is>
          <t>Cuenta</t>
        </is>
      </c>
      <c r="F5" s="13" t="inlineStr">
        <is>
          <t>Comercio (opcional)</t>
        </is>
      </c>
      <c r="G5" s="13" t="inlineStr">
        <is>
          <t>Hacia (solo transf.)</t>
        </is>
      </c>
      <c r="H5" s="14" t="inlineStr">
        <is>
          <t>Estado</t>
        </is>
      </c>
      <c r="I5" s="14" t="inlineStr">
        <is>
          <t>Tipo</t>
        </is>
      </c>
      <c r="J5" s="14" t="inlineStr">
        <is>
          <t>Grupo</t>
        </is>
      </c>
      <c r="K5" s="14" t="inlineStr">
        <is>
          <t>Fijo/Variable</t>
        </is>
      </c>
      <c r="L5" s="14" t="inlineStr">
        <is>
          <t>Análisis comida</t>
        </is>
      </c>
      <c r="M5" s="14" t="inlineStr">
        <is>
          <t>Comida del día</t>
        </is>
      </c>
      <c r="N5" s="14" t="inlineStr">
        <is>
          <t>Moneda</t>
        </is>
      </c>
      <c r="O5" s="14" t="inlineStr">
        <is>
          <t>Monto DOP</t>
        </is>
      </c>
      <c r="P5" s="14" t="inlineStr">
        <is>
          <t>Gasto real</t>
        </is>
      </c>
      <c r="Q5" s="14" t="inlineStr">
        <is>
          <t>Ingreso</t>
        </is>
      </c>
      <c r="R5" s="14" t="inlineStr">
        <is>
          <t>Trading</t>
        </is>
      </c>
      <c r="S5" s="14" t="inlineStr">
        <is>
          <t>Hormiga</t>
        </is>
      </c>
      <c r="T5" s="14" t="inlineStr">
        <is>
          <t>Efecto saldo origen</t>
        </is>
      </c>
      <c r="U5" s="14" t="inlineStr">
        <is>
          <t>Efecto saldo destino</t>
        </is>
      </c>
      <c r="V5" s="14" t="inlineStr">
        <is>
          <t>Flujo efectivo</t>
        </is>
      </c>
      <c r="W5" s="14" t="inlineStr">
        <is>
          <t>Índice comercio</t>
        </is>
      </c>
    </row>
    <row r="6">
      <c r="B6" s="15" t="n">
        <v>46266</v>
      </c>
      <c r="C6" s="16" t="n">
        <v>220</v>
      </c>
      <c r="D6" s="17" t="inlineStr">
        <is>
          <t>Desayuno comprado</t>
        </is>
      </c>
      <c r="E6" s="17" t="inlineStr">
        <is>
          <t>Efectivo</t>
        </is>
      </c>
      <c r="F6" s="17" t="inlineStr">
        <is>
          <t>DEMO Cafetería</t>
        </is>
      </c>
      <c r="G6" s="17" t="n"/>
      <c r="H6" s="18">
        <f>IF(AND(B6="",C6="",D6="",E6=""),"",IF(B6="","⚠ Falta fecha",IF(C6="","⚠ Falta monto",IF(D6="","⚠ Falta categoría",IF(ISNA(MATCH(D6,catNom,0)),"⚠ Categoría no existe",IF(E6="","⚠ Falta cuenta",IF(ISNA(MATCH(E6,ctaNom,0)),"⚠ Cuenta no existe",IF(AND(OR(I6="Transferencia",I6="Pago tarjeta"),G6=""),"⚠ Indica la cuenta «Hacia»",IF(AND(G6&lt;&gt;"",G6=E6),"⚠ «Hacia» igual a la cuenta",IF(AND(G6&lt;&gt;"",ISNA(MATCH(G6,ctaNom,0))),"⚠ «Hacia» no existe",IF(AND(I6="Pago tarjeta",IFERROR(INDEX(ctaTipo,MATCH(G6,ctaNom,0)),"")&lt;&gt;"Tarjeta de crédito"),"⚠ «Hacia» debe ser la tarjeta",IF(AND(I6="Trading",IFERROR(INDEX(ctaTipo,MATCH(E6,ctaNom,0)),"")&lt;&gt;"Cuenta de trading"),"⚠ Usa la cuenta de trading","✓"))))))))))))</f>
        <v/>
      </c>
      <c r="I6" s="19">
        <f>IF(OR(B6="",C6="",D6=""),"",IFERROR(INDEX(catTipo,MATCH(D6,catNom,0))&amp;"",""))</f>
        <v/>
      </c>
      <c r="J6" s="19">
        <f>IF(I6="","",IFERROR(INDEX(catGrupo,MATCH(D6,catNom,0))&amp;"",""))</f>
        <v/>
      </c>
      <c r="K6" s="19">
        <f>IF(I6="Gasto",IF(IFERROR(INDEX(catClas,MATCH(D6,catNom,0))&amp;"","")="","Variable",IFERROR(INDEX(catClas,MATCH(D6,catNom,0))&amp;"","")),"")</f>
        <v/>
      </c>
      <c r="L6" s="19">
        <f>IF(I6="","",IFERROR(INDEX(catAlim,MATCH(D6,catNom,0))&amp;"",""))</f>
        <v/>
      </c>
      <c r="M6" s="19">
        <f>IF(I6="","",IFERROR(INDEX(catComida,MATCH(D6,catNom,0))&amp;"",""))</f>
        <v/>
      </c>
      <c r="N6" s="19">
        <f>IF(I6="","",IFERROR(INDEX(ctaMon,MATCH(E6,ctaNom,0))&amp;"","DOP"))</f>
        <v/>
      </c>
      <c r="O6" s="20">
        <f>IF(I6="","",C6*IF(N6="USD",TasaUSD,1))</f>
        <v/>
      </c>
      <c r="P6" s="20">
        <f>IF(I6="","",IF(I6="Gasto",O6,0))</f>
        <v/>
      </c>
      <c r="Q6" s="20">
        <f>IF(I6="","",IF(I6="Ingreso",O6,0))</f>
        <v/>
      </c>
      <c r="R6" s="20">
        <f>IF(I6="","",IF(I6="Trading",O6,0))</f>
        <v/>
      </c>
      <c r="S6" s="19">
        <f>IF(I6="","",IF(AND(I6="Gasto",K6="Variable",J6&lt;&gt;"Trading",O6&gt;0,O6&lt;=Umbral),1,0))</f>
        <v/>
      </c>
      <c r="T6" s="20">
        <f>IF(OR(I6="",E6=""),"",IF(OR(I6="Gasto",I6="Transferencia",I6="Pago tarjeta"),-1,1)*C6)</f>
        <v/>
      </c>
      <c r="U6" s="20">
        <f>IF(OR(G6="",AND(I6&lt;&gt;"Transferencia",I6&lt;&gt;"Pago tarjeta")),"",IF(IFERROR(INDEX(ctaMon,MATCH(G6,ctaNom,0))&amp;"","DOP")=N6,C6,IF(N6="USD",C6*TasaUSD,C6/TasaUSD)))</f>
        <v/>
      </c>
      <c r="V6" s="20">
        <f>IF(I6="","",IF(IFERROR(INDEX(ctaLiq,MATCH(E6,ctaNom,0))="Sí",FALSE),IF(OR(I6="Gasto",I6="Transferencia",I6="Pago tarjeta"),-1,1)*O6,0)+IF(AND(U6&lt;&gt;"",IFERROR(INDEX(ctaLiq,MATCH(G6,ctaNom,0))="Sí",FALSE)),O6,0))</f>
        <v/>
      </c>
      <c r="W6" s="19">
        <f>IF(OR(F6="",I6=""),"",IF(COUNTIFS(F$6:F6,F6,I$6:I6,"?*")=1,MAX(W$5:W5)+1,""))</f>
        <v/>
      </c>
    </row>
    <row r="7">
      <c r="B7" s="15" t="n">
        <v>46266</v>
      </c>
      <c r="C7" s="16" t="n">
        <v>170</v>
      </c>
      <c r="D7" s="17" t="inlineStr">
        <is>
          <t>Snacks y bebidas</t>
        </is>
      </c>
      <c r="E7" s="17" t="inlineStr">
        <is>
          <t>Efectivo</t>
        </is>
      </c>
      <c r="F7" s="17" t="inlineStr">
        <is>
          <t>DEMO Colmado</t>
        </is>
      </c>
      <c r="G7" s="17" t="n"/>
      <c r="H7" s="18">
        <f>IF(AND(B7="",C7="",D7="",E7=""),"",IF(B7="","⚠ Falta fecha",IF(C7="","⚠ Falta monto",IF(D7="","⚠ Falta categoría",IF(ISNA(MATCH(D7,catNom,0)),"⚠ Categoría no existe",IF(E7="","⚠ Falta cuenta",IF(ISNA(MATCH(E7,ctaNom,0)),"⚠ Cuenta no existe",IF(AND(OR(I7="Transferencia",I7="Pago tarjeta"),G7=""),"⚠ Indica la cuenta «Hacia»",IF(AND(G7&lt;&gt;"",G7=E7),"⚠ «Hacia» igual a la cuenta",IF(AND(G7&lt;&gt;"",ISNA(MATCH(G7,ctaNom,0))),"⚠ «Hacia» no existe",IF(AND(I7="Pago tarjeta",IFERROR(INDEX(ctaTipo,MATCH(G7,ctaNom,0)),"")&lt;&gt;"Tarjeta de crédito"),"⚠ «Hacia» debe ser la tarjeta",IF(AND(I7="Trading",IFERROR(INDEX(ctaTipo,MATCH(E7,ctaNom,0)),"")&lt;&gt;"Cuenta de trading"),"⚠ Usa la cuenta de trading","✓"))))))))))))</f>
        <v/>
      </c>
      <c r="I7" s="19">
        <f>IF(OR(B7="",C7="",D7=""),"",IFERROR(INDEX(catTipo,MATCH(D7,catNom,0))&amp;"",""))</f>
        <v/>
      </c>
      <c r="J7" s="19">
        <f>IF(I7="","",IFERROR(INDEX(catGrupo,MATCH(D7,catNom,0))&amp;"",""))</f>
        <v/>
      </c>
      <c r="K7" s="19">
        <f>IF(I7="Gasto",IF(IFERROR(INDEX(catClas,MATCH(D7,catNom,0))&amp;"","")="","Variable",IFERROR(INDEX(catClas,MATCH(D7,catNom,0))&amp;"","")),"")</f>
        <v/>
      </c>
      <c r="L7" s="19">
        <f>IF(I7="","",IFERROR(INDEX(catAlim,MATCH(D7,catNom,0))&amp;"",""))</f>
        <v/>
      </c>
      <c r="M7" s="19">
        <f>IF(I7="","",IFERROR(INDEX(catComida,MATCH(D7,catNom,0))&amp;"",""))</f>
        <v/>
      </c>
      <c r="N7" s="19">
        <f>IF(I7="","",IFERROR(INDEX(ctaMon,MATCH(E7,ctaNom,0))&amp;"","DOP"))</f>
        <v/>
      </c>
      <c r="O7" s="20">
        <f>IF(I7="","",C7*IF(N7="USD",TasaUSD,1))</f>
        <v/>
      </c>
      <c r="P7" s="20">
        <f>IF(I7="","",IF(I7="Gasto",O7,0))</f>
        <v/>
      </c>
      <c r="Q7" s="20">
        <f>IF(I7="","",IF(I7="Ingreso",O7,0))</f>
        <v/>
      </c>
      <c r="R7" s="20">
        <f>IF(I7="","",IF(I7="Trading",O7,0))</f>
        <v/>
      </c>
      <c r="S7" s="19">
        <f>IF(I7="","",IF(AND(I7="Gasto",K7="Variable",J7&lt;&gt;"Trading",O7&gt;0,O7&lt;=Umbral),1,0))</f>
        <v/>
      </c>
      <c r="T7" s="20">
        <f>IF(OR(I7="",E7=""),"",IF(OR(I7="Gasto",I7="Transferencia",I7="Pago tarjeta"),-1,1)*C7)</f>
        <v/>
      </c>
      <c r="U7" s="20">
        <f>IF(OR(G7="",AND(I7&lt;&gt;"Transferencia",I7&lt;&gt;"Pago tarjeta")),"",IF(IFERROR(INDEX(ctaMon,MATCH(G7,ctaNom,0))&amp;"","DOP")=N7,C7,IF(N7="USD",C7*TasaUSD,C7/TasaUSD)))</f>
        <v/>
      </c>
      <c r="V7" s="20">
        <f>IF(I7="","",IF(IFERROR(INDEX(ctaLiq,MATCH(E7,ctaNom,0))="Sí",FALSE),IF(OR(I7="Gasto",I7="Transferencia",I7="Pago tarjeta"),-1,1)*O7,0)+IF(AND(U7&lt;&gt;"",IFERROR(INDEX(ctaLiq,MATCH(G7,ctaNom,0))="Sí",FALSE)),O7,0))</f>
        <v/>
      </c>
      <c r="W7" s="19">
        <f>IF(OR(F7="",I7=""),"",IF(COUNTIFS(F$6:F7,F7,I$6:I7,"?*")=1,MAX(W$5:W6)+1,""))</f>
        <v/>
      </c>
    </row>
    <row r="8">
      <c r="B8" s="15" t="n">
        <v>46266</v>
      </c>
      <c r="C8" s="16" t="n">
        <v>625</v>
      </c>
      <c r="D8" s="17" t="inlineStr">
        <is>
          <t>Cena comprada</t>
        </is>
      </c>
      <c r="E8" s="17" t="inlineStr">
        <is>
          <t>Tarjeta de crédito</t>
        </is>
      </c>
      <c r="F8" s="17" t="inlineStr">
        <is>
          <t>DEMO Pizzería</t>
        </is>
      </c>
      <c r="G8" s="17" t="n"/>
      <c r="H8" s="18">
        <f>IF(AND(B8="",C8="",D8="",E8=""),"",IF(B8="","⚠ Falta fecha",IF(C8="","⚠ Falta monto",IF(D8="","⚠ Falta categoría",IF(ISNA(MATCH(D8,catNom,0)),"⚠ Categoría no existe",IF(E8="","⚠ Falta cuenta",IF(ISNA(MATCH(E8,ctaNom,0)),"⚠ Cuenta no existe",IF(AND(OR(I8="Transferencia",I8="Pago tarjeta"),G8=""),"⚠ Indica la cuenta «Hacia»",IF(AND(G8&lt;&gt;"",G8=E8),"⚠ «Hacia» igual a la cuenta",IF(AND(G8&lt;&gt;"",ISNA(MATCH(G8,ctaNom,0))),"⚠ «Hacia» no existe",IF(AND(I8="Pago tarjeta",IFERROR(INDEX(ctaTipo,MATCH(G8,ctaNom,0)),"")&lt;&gt;"Tarjeta de crédito"),"⚠ «Hacia» debe ser la tarjeta",IF(AND(I8="Trading",IFERROR(INDEX(ctaTipo,MATCH(E8,ctaNom,0)),"")&lt;&gt;"Cuenta de trading"),"⚠ Usa la cuenta de trading","✓"))))))))))))</f>
        <v/>
      </c>
      <c r="I8" s="19">
        <f>IF(OR(B8="",C8="",D8=""),"",IFERROR(INDEX(catTipo,MATCH(D8,catNom,0))&amp;"",""))</f>
        <v/>
      </c>
      <c r="J8" s="19">
        <f>IF(I8="","",IFERROR(INDEX(catGrupo,MATCH(D8,catNom,0))&amp;"",""))</f>
        <v/>
      </c>
      <c r="K8" s="19">
        <f>IF(I8="Gasto",IF(IFERROR(INDEX(catClas,MATCH(D8,catNom,0))&amp;"","")="","Variable",IFERROR(INDEX(catClas,MATCH(D8,catNom,0))&amp;"","")),"")</f>
        <v/>
      </c>
      <c r="L8" s="19">
        <f>IF(I8="","",IFERROR(INDEX(catAlim,MATCH(D8,catNom,0))&amp;"",""))</f>
        <v/>
      </c>
      <c r="M8" s="19">
        <f>IF(I8="","",IFERROR(INDEX(catComida,MATCH(D8,catNom,0))&amp;"",""))</f>
        <v/>
      </c>
      <c r="N8" s="19">
        <f>IF(I8="","",IFERROR(INDEX(ctaMon,MATCH(E8,ctaNom,0))&amp;"","DOP"))</f>
        <v/>
      </c>
      <c r="O8" s="20">
        <f>IF(I8="","",C8*IF(N8="USD",TasaUSD,1))</f>
        <v/>
      </c>
      <c r="P8" s="20">
        <f>IF(I8="","",IF(I8="Gasto",O8,0))</f>
        <v/>
      </c>
      <c r="Q8" s="20">
        <f>IF(I8="","",IF(I8="Ingreso",O8,0))</f>
        <v/>
      </c>
      <c r="R8" s="20">
        <f>IF(I8="","",IF(I8="Trading",O8,0))</f>
        <v/>
      </c>
      <c r="S8" s="19">
        <f>IF(I8="","",IF(AND(I8="Gasto",K8="Variable",J8&lt;&gt;"Trading",O8&gt;0,O8&lt;=Umbral),1,0))</f>
        <v/>
      </c>
      <c r="T8" s="20">
        <f>IF(OR(I8="",E8=""),"",IF(OR(I8="Gasto",I8="Transferencia",I8="Pago tarjeta"),-1,1)*C8)</f>
        <v/>
      </c>
      <c r="U8" s="20">
        <f>IF(OR(G8="",AND(I8&lt;&gt;"Transferencia",I8&lt;&gt;"Pago tarjeta")),"",IF(IFERROR(INDEX(ctaMon,MATCH(G8,ctaNom,0))&amp;"","DOP")=N8,C8,IF(N8="USD",C8*TasaUSD,C8/TasaUSD)))</f>
        <v/>
      </c>
      <c r="V8" s="20">
        <f>IF(I8="","",IF(IFERROR(INDEX(ctaLiq,MATCH(E8,ctaNom,0))="Sí",FALSE),IF(OR(I8="Gasto",I8="Transferencia",I8="Pago tarjeta"),-1,1)*O8,0)+IF(AND(U8&lt;&gt;"",IFERROR(INDEX(ctaLiq,MATCH(G8,ctaNom,0))="Sí",FALSE)),O8,0))</f>
        <v/>
      </c>
      <c r="W8" s="19">
        <f>IF(OR(F8="",I8=""),"",IF(COUNTIFS(F$6:F8,F8,I$6:I8,"?*")=1,MAX(W$5:W7)+1,""))</f>
        <v/>
      </c>
    </row>
    <row r="9">
      <c r="B9" s="15" t="n">
        <v>46266</v>
      </c>
      <c r="C9" s="16" t="n">
        <v>5000</v>
      </c>
      <c r="D9" s="17" t="inlineStr">
        <is>
          <t>Transferencia entre cuentas</t>
        </is>
      </c>
      <c r="E9" s="17" t="inlineStr">
        <is>
          <t>Banco</t>
        </is>
      </c>
      <c r="F9" s="17" t="inlineStr">
        <is>
          <t>DEMO</t>
        </is>
      </c>
      <c r="G9" s="17" t="inlineStr">
        <is>
          <t>Efectivo</t>
        </is>
      </c>
      <c r="H9" s="18">
        <f>IF(AND(B9="",C9="",D9="",E9=""),"",IF(B9="","⚠ Falta fecha",IF(C9="","⚠ Falta monto",IF(D9="","⚠ Falta categoría",IF(ISNA(MATCH(D9,catNom,0)),"⚠ Categoría no existe",IF(E9="","⚠ Falta cuenta",IF(ISNA(MATCH(E9,ctaNom,0)),"⚠ Cuenta no existe",IF(AND(OR(I9="Transferencia",I9="Pago tarjeta"),G9=""),"⚠ Indica la cuenta «Hacia»",IF(AND(G9&lt;&gt;"",G9=E9),"⚠ «Hacia» igual a la cuenta",IF(AND(G9&lt;&gt;"",ISNA(MATCH(G9,ctaNom,0))),"⚠ «Hacia» no existe",IF(AND(I9="Pago tarjeta",IFERROR(INDEX(ctaTipo,MATCH(G9,ctaNom,0)),"")&lt;&gt;"Tarjeta de crédito"),"⚠ «Hacia» debe ser la tarjeta",IF(AND(I9="Trading",IFERROR(INDEX(ctaTipo,MATCH(E9,ctaNom,0)),"")&lt;&gt;"Cuenta de trading"),"⚠ Usa la cuenta de trading","✓"))))))))))))</f>
        <v/>
      </c>
      <c r="I9" s="19">
        <f>IF(OR(B9="",C9="",D9=""),"",IFERROR(INDEX(catTipo,MATCH(D9,catNom,0))&amp;"",""))</f>
        <v/>
      </c>
      <c r="J9" s="19">
        <f>IF(I9="","",IFERROR(INDEX(catGrupo,MATCH(D9,catNom,0))&amp;"",""))</f>
        <v/>
      </c>
      <c r="K9" s="19">
        <f>IF(I9="Gasto",IF(IFERROR(INDEX(catClas,MATCH(D9,catNom,0))&amp;"","")="","Variable",IFERROR(INDEX(catClas,MATCH(D9,catNom,0))&amp;"","")),"")</f>
        <v/>
      </c>
      <c r="L9" s="19">
        <f>IF(I9="","",IFERROR(INDEX(catAlim,MATCH(D9,catNom,0))&amp;"",""))</f>
        <v/>
      </c>
      <c r="M9" s="19">
        <f>IF(I9="","",IFERROR(INDEX(catComida,MATCH(D9,catNom,0))&amp;"",""))</f>
        <v/>
      </c>
      <c r="N9" s="19">
        <f>IF(I9="","",IFERROR(INDEX(ctaMon,MATCH(E9,ctaNom,0))&amp;"","DOP"))</f>
        <v/>
      </c>
      <c r="O9" s="20">
        <f>IF(I9="","",C9*IF(N9="USD",TasaUSD,1))</f>
        <v/>
      </c>
      <c r="P9" s="20">
        <f>IF(I9="","",IF(I9="Gasto",O9,0))</f>
        <v/>
      </c>
      <c r="Q9" s="20">
        <f>IF(I9="","",IF(I9="Ingreso",O9,0))</f>
        <v/>
      </c>
      <c r="R9" s="20">
        <f>IF(I9="","",IF(I9="Trading",O9,0))</f>
        <v/>
      </c>
      <c r="S9" s="19">
        <f>IF(I9="","",IF(AND(I9="Gasto",K9="Variable",J9&lt;&gt;"Trading",O9&gt;0,O9&lt;=Umbral),1,0))</f>
        <v/>
      </c>
      <c r="T9" s="20">
        <f>IF(OR(I9="",E9=""),"",IF(OR(I9="Gasto",I9="Transferencia",I9="Pago tarjeta"),-1,1)*C9)</f>
        <v/>
      </c>
      <c r="U9" s="20">
        <f>IF(OR(G9="",AND(I9&lt;&gt;"Transferencia",I9&lt;&gt;"Pago tarjeta")),"",IF(IFERROR(INDEX(ctaMon,MATCH(G9,ctaNom,0))&amp;"","DOP")=N9,C9,IF(N9="USD",C9*TasaUSD,C9/TasaUSD)))</f>
        <v/>
      </c>
      <c r="V9" s="20">
        <f>IF(I9="","",IF(IFERROR(INDEX(ctaLiq,MATCH(E9,ctaNom,0))="Sí",FALSE),IF(OR(I9="Gasto",I9="Transferencia",I9="Pago tarjeta"),-1,1)*O9,0)+IF(AND(U9&lt;&gt;"",IFERROR(INDEX(ctaLiq,MATCH(G9,ctaNom,0))="Sí",FALSE)),O9,0))</f>
        <v/>
      </c>
      <c r="W9" s="19">
        <f>IF(OR(F9="",I9=""),"",IF(COUNTIFS(F$6:F9,F9,I$6:I9,"?*")=1,MAX(W$5:W8)+1,""))</f>
        <v/>
      </c>
    </row>
    <row r="10">
      <c r="B10" s="15" t="n">
        <v>46267</v>
      </c>
      <c r="C10" s="16" t="n">
        <v>240</v>
      </c>
      <c r="D10" s="17" t="inlineStr">
        <is>
          <t>Desayuno comprado</t>
        </is>
      </c>
      <c r="E10" s="17" t="inlineStr">
        <is>
          <t>Banco</t>
        </is>
      </c>
      <c r="F10" s="17" t="inlineStr">
        <is>
          <t>DEMO Cafetería</t>
        </is>
      </c>
      <c r="G10" s="17" t="n"/>
      <c r="H10" s="18">
        <f>IF(AND(B10="",C10="",D10="",E10=""),"",IF(B10="","⚠ Falta fecha",IF(C10="","⚠ Falta monto",IF(D10="","⚠ Falta categoría",IF(ISNA(MATCH(D10,catNom,0)),"⚠ Categoría no existe",IF(E10="","⚠ Falta cuenta",IF(ISNA(MATCH(E10,ctaNom,0)),"⚠ Cuenta no existe",IF(AND(OR(I10="Transferencia",I10="Pago tarjeta"),G10=""),"⚠ Indica la cuenta «Hacia»",IF(AND(G10&lt;&gt;"",G10=E10),"⚠ «Hacia» igual a la cuenta",IF(AND(G10&lt;&gt;"",ISNA(MATCH(G10,ctaNom,0))),"⚠ «Hacia» no existe",IF(AND(I10="Pago tarjeta",IFERROR(INDEX(ctaTipo,MATCH(G10,ctaNom,0)),"")&lt;&gt;"Tarjeta de crédito"),"⚠ «Hacia» debe ser la tarjeta",IF(AND(I10="Trading",IFERROR(INDEX(ctaTipo,MATCH(E10,ctaNom,0)),"")&lt;&gt;"Cuenta de trading"),"⚠ Usa la cuenta de trading","✓"))))))))))))</f>
        <v/>
      </c>
      <c r="I10" s="19">
        <f>IF(OR(B10="",C10="",D10=""),"",IFERROR(INDEX(catTipo,MATCH(D10,catNom,0))&amp;"",""))</f>
        <v/>
      </c>
      <c r="J10" s="19">
        <f>IF(I10="","",IFERROR(INDEX(catGrupo,MATCH(D10,catNom,0))&amp;"",""))</f>
        <v/>
      </c>
      <c r="K10" s="19">
        <f>IF(I10="Gasto",IF(IFERROR(INDEX(catClas,MATCH(D10,catNom,0))&amp;"","")="","Variable",IFERROR(INDEX(catClas,MATCH(D10,catNom,0))&amp;"","")),"")</f>
        <v/>
      </c>
      <c r="L10" s="19">
        <f>IF(I10="","",IFERROR(INDEX(catAlim,MATCH(D10,catNom,0))&amp;"",""))</f>
        <v/>
      </c>
      <c r="M10" s="19">
        <f>IF(I10="","",IFERROR(INDEX(catComida,MATCH(D10,catNom,0))&amp;"",""))</f>
        <v/>
      </c>
      <c r="N10" s="19">
        <f>IF(I10="","",IFERROR(INDEX(ctaMon,MATCH(E10,ctaNom,0))&amp;"","DOP"))</f>
        <v/>
      </c>
      <c r="O10" s="20">
        <f>IF(I10="","",C10*IF(N10="USD",TasaUSD,1))</f>
        <v/>
      </c>
      <c r="P10" s="20">
        <f>IF(I10="","",IF(I10="Gasto",O10,0))</f>
        <v/>
      </c>
      <c r="Q10" s="20">
        <f>IF(I10="","",IF(I10="Ingreso",O10,0))</f>
        <v/>
      </c>
      <c r="R10" s="20">
        <f>IF(I10="","",IF(I10="Trading",O10,0))</f>
        <v/>
      </c>
      <c r="S10" s="19">
        <f>IF(I10="","",IF(AND(I10="Gasto",K10="Variable",J10&lt;&gt;"Trading",O10&gt;0,O10&lt;=Umbral),1,0))</f>
        <v/>
      </c>
      <c r="T10" s="20">
        <f>IF(OR(I10="",E10=""),"",IF(OR(I10="Gasto",I10="Transferencia",I10="Pago tarjeta"),-1,1)*C10)</f>
        <v/>
      </c>
      <c r="U10" s="20">
        <f>IF(OR(G10="",AND(I10&lt;&gt;"Transferencia",I10&lt;&gt;"Pago tarjeta")),"",IF(IFERROR(INDEX(ctaMon,MATCH(G10,ctaNom,0))&amp;"","DOP")=N10,C10,IF(N10="USD",C10*TasaUSD,C10/TasaUSD)))</f>
        <v/>
      </c>
      <c r="V10" s="20">
        <f>IF(I10="","",IF(IFERROR(INDEX(ctaLiq,MATCH(E10,ctaNom,0))="Sí",FALSE),IF(OR(I10="Gasto",I10="Transferencia",I10="Pago tarjeta"),-1,1)*O10,0)+IF(AND(U10&lt;&gt;"",IFERROR(INDEX(ctaLiq,MATCH(G10,ctaNom,0))="Sí",FALSE)),O10,0))</f>
        <v/>
      </c>
      <c r="W10" s="19">
        <f>IF(OR(F10="",I10=""),"",IF(COUNTIFS(F$6:F10,F10,I$6:I10,"?*")=1,MAX(W$5:W9)+1,""))</f>
        <v/>
      </c>
    </row>
    <row r="11">
      <c r="B11" s="15" t="n">
        <v>46267</v>
      </c>
      <c r="C11" s="16" t="n">
        <v>500</v>
      </c>
      <c r="D11" s="17" t="inlineStr">
        <is>
          <t>Almuerzo comprado</t>
        </is>
      </c>
      <c r="E11" s="17" t="inlineStr">
        <is>
          <t>Banco</t>
        </is>
      </c>
      <c r="F11" s="17" t="inlineStr">
        <is>
          <t>DEMO Comedor</t>
        </is>
      </c>
      <c r="G11" s="17" t="n"/>
      <c r="H11" s="18">
        <f>IF(AND(B11="",C11="",D11="",E11=""),"",IF(B11="","⚠ Falta fecha",IF(C11="","⚠ Falta monto",IF(D11="","⚠ Falta categoría",IF(ISNA(MATCH(D11,catNom,0)),"⚠ Categoría no existe",IF(E11="","⚠ Falta cuenta",IF(ISNA(MATCH(E11,ctaNom,0)),"⚠ Cuenta no existe",IF(AND(OR(I11="Transferencia",I11="Pago tarjeta"),G11=""),"⚠ Indica la cuenta «Hacia»",IF(AND(G11&lt;&gt;"",G11=E11),"⚠ «Hacia» igual a la cuenta",IF(AND(G11&lt;&gt;"",ISNA(MATCH(G11,ctaNom,0))),"⚠ «Hacia» no existe",IF(AND(I11="Pago tarjeta",IFERROR(INDEX(ctaTipo,MATCH(G11,ctaNom,0)),"")&lt;&gt;"Tarjeta de crédito"),"⚠ «Hacia» debe ser la tarjeta",IF(AND(I11="Trading",IFERROR(INDEX(ctaTipo,MATCH(E11,ctaNom,0)),"")&lt;&gt;"Cuenta de trading"),"⚠ Usa la cuenta de trading","✓"))))))))))))</f>
        <v/>
      </c>
      <c r="I11" s="19">
        <f>IF(OR(B11="",C11="",D11=""),"",IFERROR(INDEX(catTipo,MATCH(D11,catNom,0))&amp;"",""))</f>
        <v/>
      </c>
      <c r="J11" s="19">
        <f>IF(I11="","",IFERROR(INDEX(catGrupo,MATCH(D11,catNom,0))&amp;"",""))</f>
        <v/>
      </c>
      <c r="K11" s="19">
        <f>IF(I11="Gasto",IF(IFERROR(INDEX(catClas,MATCH(D11,catNom,0))&amp;"","")="","Variable",IFERROR(INDEX(catClas,MATCH(D11,catNom,0))&amp;"","")),"")</f>
        <v/>
      </c>
      <c r="L11" s="19">
        <f>IF(I11="","",IFERROR(INDEX(catAlim,MATCH(D11,catNom,0))&amp;"",""))</f>
        <v/>
      </c>
      <c r="M11" s="19">
        <f>IF(I11="","",IFERROR(INDEX(catComida,MATCH(D11,catNom,0))&amp;"",""))</f>
        <v/>
      </c>
      <c r="N11" s="19">
        <f>IF(I11="","",IFERROR(INDEX(ctaMon,MATCH(E11,ctaNom,0))&amp;"","DOP"))</f>
        <v/>
      </c>
      <c r="O11" s="20">
        <f>IF(I11="","",C11*IF(N11="USD",TasaUSD,1))</f>
        <v/>
      </c>
      <c r="P11" s="20">
        <f>IF(I11="","",IF(I11="Gasto",O11,0))</f>
        <v/>
      </c>
      <c r="Q11" s="20">
        <f>IF(I11="","",IF(I11="Ingreso",O11,0))</f>
        <v/>
      </c>
      <c r="R11" s="20">
        <f>IF(I11="","",IF(I11="Trading",O11,0))</f>
        <v/>
      </c>
      <c r="S11" s="19">
        <f>IF(I11="","",IF(AND(I11="Gasto",K11="Variable",J11&lt;&gt;"Trading",O11&gt;0,O11&lt;=Umbral),1,0))</f>
        <v/>
      </c>
      <c r="T11" s="20">
        <f>IF(OR(I11="",E11=""),"",IF(OR(I11="Gasto",I11="Transferencia",I11="Pago tarjeta"),-1,1)*C11)</f>
        <v/>
      </c>
      <c r="U11" s="20">
        <f>IF(OR(G11="",AND(I11&lt;&gt;"Transferencia",I11&lt;&gt;"Pago tarjeta")),"",IF(IFERROR(INDEX(ctaMon,MATCH(G11,ctaNom,0))&amp;"","DOP")=N11,C11,IF(N11="USD",C11*TasaUSD,C11/TasaUSD)))</f>
        <v/>
      </c>
      <c r="V11" s="20">
        <f>IF(I11="","",IF(IFERROR(INDEX(ctaLiq,MATCH(E11,ctaNom,0))="Sí",FALSE),IF(OR(I11="Gasto",I11="Transferencia",I11="Pago tarjeta"),-1,1)*O11,0)+IF(AND(U11&lt;&gt;"",IFERROR(INDEX(ctaLiq,MATCH(G11,ctaNom,0))="Sí",FALSE)),O11,0))</f>
        <v/>
      </c>
      <c r="W11" s="19">
        <f>IF(OR(F11="",I11=""),"",IF(COUNTIFS(F$6:F11,F11,I$6:I11,"?*")=1,MAX(W$5:W10)+1,""))</f>
        <v/>
      </c>
    </row>
    <row r="12">
      <c r="B12" s="15" t="n">
        <v>46267</v>
      </c>
      <c r="C12" s="16" t="n">
        <v>170</v>
      </c>
      <c r="D12" s="17" t="inlineStr">
        <is>
          <t>Snacks y bebidas</t>
        </is>
      </c>
      <c r="E12" s="17" t="inlineStr">
        <is>
          <t>Efectivo</t>
        </is>
      </c>
      <c r="F12" s="17" t="inlineStr">
        <is>
          <t>DEMO Colmado</t>
        </is>
      </c>
      <c r="G12" s="17" t="n"/>
      <c r="H12" s="18">
        <f>IF(AND(B12="",C12="",D12="",E12=""),"",IF(B12="","⚠ Falta fecha",IF(C12="","⚠ Falta monto",IF(D12="","⚠ Falta categoría",IF(ISNA(MATCH(D12,catNom,0)),"⚠ Categoría no existe",IF(E12="","⚠ Falta cuenta",IF(ISNA(MATCH(E12,ctaNom,0)),"⚠ Cuenta no existe",IF(AND(OR(I12="Transferencia",I12="Pago tarjeta"),G12=""),"⚠ Indica la cuenta «Hacia»",IF(AND(G12&lt;&gt;"",G12=E12),"⚠ «Hacia» igual a la cuenta",IF(AND(G12&lt;&gt;"",ISNA(MATCH(G12,ctaNom,0))),"⚠ «Hacia» no existe",IF(AND(I12="Pago tarjeta",IFERROR(INDEX(ctaTipo,MATCH(G12,ctaNom,0)),"")&lt;&gt;"Tarjeta de crédito"),"⚠ «Hacia» debe ser la tarjeta",IF(AND(I12="Trading",IFERROR(INDEX(ctaTipo,MATCH(E12,ctaNom,0)),"")&lt;&gt;"Cuenta de trading"),"⚠ Usa la cuenta de trading","✓"))))))))))))</f>
        <v/>
      </c>
      <c r="I12" s="19">
        <f>IF(OR(B12="",C12="",D12=""),"",IFERROR(INDEX(catTipo,MATCH(D12,catNom,0))&amp;"",""))</f>
        <v/>
      </c>
      <c r="J12" s="19">
        <f>IF(I12="","",IFERROR(INDEX(catGrupo,MATCH(D12,catNom,0))&amp;"",""))</f>
        <v/>
      </c>
      <c r="K12" s="19">
        <f>IF(I12="Gasto",IF(IFERROR(INDEX(catClas,MATCH(D12,catNom,0))&amp;"","")="","Variable",IFERROR(INDEX(catClas,MATCH(D12,catNom,0))&amp;"","")),"")</f>
        <v/>
      </c>
      <c r="L12" s="19">
        <f>IF(I12="","",IFERROR(INDEX(catAlim,MATCH(D12,catNom,0))&amp;"",""))</f>
        <v/>
      </c>
      <c r="M12" s="19">
        <f>IF(I12="","",IFERROR(INDEX(catComida,MATCH(D12,catNom,0))&amp;"",""))</f>
        <v/>
      </c>
      <c r="N12" s="19">
        <f>IF(I12="","",IFERROR(INDEX(ctaMon,MATCH(E12,ctaNom,0))&amp;"","DOP"))</f>
        <v/>
      </c>
      <c r="O12" s="20">
        <f>IF(I12="","",C12*IF(N12="USD",TasaUSD,1))</f>
        <v/>
      </c>
      <c r="P12" s="20">
        <f>IF(I12="","",IF(I12="Gasto",O12,0))</f>
        <v/>
      </c>
      <c r="Q12" s="20">
        <f>IF(I12="","",IF(I12="Ingreso",O12,0))</f>
        <v/>
      </c>
      <c r="R12" s="20">
        <f>IF(I12="","",IF(I12="Trading",O12,0))</f>
        <v/>
      </c>
      <c r="S12" s="19">
        <f>IF(I12="","",IF(AND(I12="Gasto",K12="Variable",J12&lt;&gt;"Trading",O12&gt;0,O12&lt;=Umbral),1,0))</f>
        <v/>
      </c>
      <c r="T12" s="20">
        <f>IF(OR(I12="",E12=""),"",IF(OR(I12="Gasto",I12="Transferencia",I12="Pago tarjeta"),-1,1)*C12)</f>
        <v/>
      </c>
      <c r="U12" s="20">
        <f>IF(OR(G12="",AND(I12&lt;&gt;"Transferencia",I12&lt;&gt;"Pago tarjeta")),"",IF(IFERROR(INDEX(ctaMon,MATCH(G12,ctaNom,0))&amp;"","DOP")=N12,C12,IF(N12="USD",C12*TasaUSD,C12/TasaUSD)))</f>
        <v/>
      </c>
      <c r="V12" s="20">
        <f>IF(I12="","",IF(IFERROR(INDEX(ctaLiq,MATCH(E12,ctaNom,0))="Sí",FALSE),IF(OR(I12="Gasto",I12="Transferencia",I12="Pago tarjeta"),-1,1)*O12,0)+IF(AND(U12&lt;&gt;"",IFERROR(INDEX(ctaLiq,MATCH(G12,ctaNom,0))="Sí",FALSE)),O12,0))</f>
        <v/>
      </c>
      <c r="W12" s="19">
        <f>IF(OR(F12="",I12=""),"",IF(COUNTIFS(F$6:F12,F12,I$6:I12,"?*")=1,MAX(W$5:W11)+1,""))</f>
        <v/>
      </c>
    </row>
    <row r="13">
      <c r="B13" s="15" t="n">
        <v>46268</v>
      </c>
      <c r="C13" s="16" t="n">
        <v>425</v>
      </c>
      <c r="D13" s="17" t="inlineStr">
        <is>
          <t>Almuerzo comprado</t>
        </is>
      </c>
      <c r="E13" s="17" t="inlineStr">
        <is>
          <t>Banco</t>
        </is>
      </c>
      <c r="F13" s="17" t="inlineStr">
        <is>
          <t>DEMO Comedor</t>
        </is>
      </c>
      <c r="G13" s="17" t="n"/>
      <c r="H13" s="18">
        <f>IF(AND(B13="",C13="",D13="",E13=""),"",IF(B13="","⚠ Falta fecha",IF(C13="","⚠ Falta monto",IF(D13="","⚠ Falta categoría",IF(ISNA(MATCH(D13,catNom,0)),"⚠ Categoría no existe",IF(E13="","⚠ Falta cuenta",IF(ISNA(MATCH(E13,ctaNom,0)),"⚠ Cuenta no existe",IF(AND(OR(I13="Transferencia",I13="Pago tarjeta"),G13=""),"⚠ Indica la cuenta «Hacia»",IF(AND(G13&lt;&gt;"",G13=E13),"⚠ «Hacia» igual a la cuenta",IF(AND(G13&lt;&gt;"",ISNA(MATCH(G13,ctaNom,0))),"⚠ «Hacia» no existe",IF(AND(I13="Pago tarjeta",IFERROR(INDEX(ctaTipo,MATCH(G13,ctaNom,0)),"")&lt;&gt;"Tarjeta de crédito"),"⚠ «Hacia» debe ser la tarjeta",IF(AND(I13="Trading",IFERROR(INDEX(ctaTipo,MATCH(E13,ctaNom,0)),"")&lt;&gt;"Cuenta de trading"),"⚠ Usa la cuenta de trading","✓"))))))))))))</f>
        <v/>
      </c>
      <c r="I13" s="19">
        <f>IF(OR(B13="",C13="",D13=""),"",IFERROR(INDEX(catTipo,MATCH(D13,catNom,0))&amp;"",""))</f>
        <v/>
      </c>
      <c r="J13" s="19">
        <f>IF(I13="","",IFERROR(INDEX(catGrupo,MATCH(D13,catNom,0))&amp;"",""))</f>
        <v/>
      </c>
      <c r="K13" s="19">
        <f>IF(I13="Gasto",IF(IFERROR(INDEX(catClas,MATCH(D13,catNom,0))&amp;"","")="","Variable",IFERROR(INDEX(catClas,MATCH(D13,catNom,0))&amp;"","")),"")</f>
        <v/>
      </c>
      <c r="L13" s="19">
        <f>IF(I13="","",IFERROR(INDEX(catAlim,MATCH(D13,catNom,0))&amp;"",""))</f>
        <v/>
      </c>
      <c r="M13" s="19">
        <f>IF(I13="","",IFERROR(INDEX(catComida,MATCH(D13,catNom,0))&amp;"",""))</f>
        <v/>
      </c>
      <c r="N13" s="19">
        <f>IF(I13="","",IFERROR(INDEX(ctaMon,MATCH(E13,ctaNom,0))&amp;"","DOP"))</f>
        <v/>
      </c>
      <c r="O13" s="20">
        <f>IF(I13="","",C13*IF(N13="USD",TasaUSD,1))</f>
        <v/>
      </c>
      <c r="P13" s="20">
        <f>IF(I13="","",IF(I13="Gasto",O13,0))</f>
        <v/>
      </c>
      <c r="Q13" s="20">
        <f>IF(I13="","",IF(I13="Ingreso",O13,0))</f>
        <v/>
      </c>
      <c r="R13" s="20">
        <f>IF(I13="","",IF(I13="Trading",O13,0))</f>
        <v/>
      </c>
      <c r="S13" s="19">
        <f>IF(I13="","",IF(AND(I13="Gasto",K13="Variable",J13&lt;&gt;"Trading",O13&gt;0,O13&lt;=Umbral),1,0))</f>
        <v/>
      </c>
      <c r="T13" s="20">
        <f>IF(OR(I13="",E13=""),"",IF(OR(I13="Gasto",I13="Transferencia",I13="Pago tarjeta"),-1,1)*C13)</f>
        <v/>
      </c>
      <c r="U13" s="20">
        <f>IF(OR(G13="",AND(I13&lt;&gt;"Transferencia",I13&lt;&gt;"Pago tarjeta")),"",IF(IFERROR(INDEX(ctaMon,MATCH(G13,ctaNom,0))&amp;"","DOP")=N13,C13,IF(N13="USD",C13*TasaUSD,C13/TasaUSD)))</f>
        <v/>
      </c>
      <c r="V13" s="20">
        <f>IF(I13="","",IF(IFERROR(INDEX(ctaLiq,MATCH(E13,ctaNom,0))="Sí",FALSE),IF(OR(I13="Gasto",I13="Transferencia",I13="Pago tarjeta"),-1,1)*O13,0)+IF(AND(U13&lt;&gt;"",IFERROR(INDEX(ctaLiq,MATCH(G13,ctaNom,0))="Sí",FALSE)),O13,0))</f>
        <v/>
      </c>
      <c r="W13" s="19">
        <f>IF(OR(F13="",I13=""),"",IF(COUNTIFS(F$6:F13,F13,I$6:I13,"?*")=1,MAX(W$5:W12)+1,""))</f>
        <v/>
      </c>
    </row>
    <row r="14">
      <c r="B14" s="15" t="n">
        <v>46268</v>
      </c>
      <c r="C14" s="16" t="n">
        <v>4200</v>
      </c>
      <c r="D14" s="17" t="inlineStr">
        <is>
          <t>Supermercado</t>
        </is>
      </c>
      <c r="E14" s="17" t="inlineStr">
        <is>
          <t>Tarjeta de crédito</t>
        </is>
      </c>
      <c r="F14" s="17" t="inlineStr">
        <is>
          <t>DEMO Supermercado</t>
        </is>
      </c>
      <c r="G14" s="17" t="n"/>
      <c r="H14" s="18">
        <f>IF(AND(B14="",C14="",D14="",E14=""),"",IF(B14="","⚠ Falta fecha",IF(C14="","⚠ Falta monto",IF(D14="","⚠ Falta categoría",IF(ISNA(MATCH(D14,catNom,0)),"⚠ Categoría no existe",IF(E14="","⚠ Falta cuenta",IF(ISNA(MATCH(E14,ctaNom,0)),"⚠ Cuenta no existe",IF(AND(OR(I14="Transferencia",I14="Pago tarjeta"),G14=""),"⚠ Indica la cuenta «Hacia»",IF(AND(G14&lt;&gt;"",G14=E14),"⚠ «Hacia» igual a la cuenta",IF(AND(G14&lt;&gt;"",ISNA(MATCH(G14,ctaNom,0))),"⚠ «Hacia» no existe",IF(AND(I14="Pago tarjeta",IFERROR(INDEX(ctaTipo,MATCH(G14,ctaNom,0)),"")&lt;&gt;"Tarjeta de crédito"),"⚠ «Hacia» debe ser la tarjeta",IF(AND(I14="Trading",IFERROR(INDEX(ctaTipo,MATCH(E14,ctaNom,0)),"")&lt;&gt;"Cuenta de trading"),"⚠ Usa la cuenta de trading","✓"))))))))))))</f>
        <v/>
      </c>
      <c r="I14" s="19">
        <f>IF(OR(B14="",C14="",D14=""),"",IFERROR(INDEX(catTipo,MATCH(D14,catNom,0))&amp;"",""))</f>
        <v/>
      </c>
      <c r="J14" s="19">
        <f>IF(I14="","",IFERROR(INDEX(catGrupo,MATCH(D14,catNom,0))&amp;"",""))</f>
        <v/>
      </c>
      <c r="K14" s="19">
        <f>IF(I14="Gasto",IF(IFERROR(INDEX(catClas,MATCH(D14,catNom,0))&amp;"","")="","Variable",IFERROR(INDEX(catClas,MATCH(D14,catNom,0))&amp;"","")),"")</f>
        <v/>
      </c>
      <c r="L14" s="19">
        <f>IF(I14="","",IFERROR(INDEX(catAlim,MATCH(D14,catNom,0))&amp;"",""))</f>
        <v/>
      </c>
      <c r="M14" s="19">
        <f>IF(I14="","",IFERROR(INDEX(catComida,MATCH(D14,catNom,0))&amp;"",""))</f>
        <v/>
      </c>
      <c r="N14" s="19">
        <f>IF(I14="","",IFERROR(INDEX(ctaMon,MATCH(E14,ctaNom,0))&amp;"","DOP"))</f>
        <v/>
      </c>
      <c r="O14" s="20">
        <f>IF(I14="","",C14*IF(N14="USD",TasaUSD,1))</f>
        <v/>
      </c>
      <c r="P14" s="20">
        <f>IF(I14="","",IF(I14="Gasto",O14,0))</f>
        <v/>
      </c>
      <c r="Q14" s="20">
        <f>IF(I14="","",IF(I14="Ingreso",O14,0))</f>
        <v/>
      </c>
      <c r="R14" s="20">
        <f>IF(I14="","",IF(I14="Trading",O14,0))</f>
        <v/>
      </c>
      <c r="S14" s="19">
        <f>IF(I14="","",IF(AND(I14="Gasto",K14="Variable",J14&lt;&gt;"Trading",O14&gt;0,O14&lt;=Umbral),1,0))</f>
        <v/>
      </c>
      <c r="T14" s="20">
        <f>IF(OR(I14="",E14=""),"",IF(OR(I14="Gasto",I14="Transferencia",I14="Pago tarjeta"),-1,1)*C14)</f>
        <v/>
      </c>
      <c r="U14" s="20">
        <f>IF(OR(G14="",AND(I14&lt;&gt;"Transferencia",I14&lt;&gt;"Pago tarjeta")),"",IF(IFERROR(INDEX(ctaMon,MATCH(G14,ctaNom,0))&amp;"","DOP")=N14,C14,IF(N14="USD",C14*TasaUSD,C14/TasaUSD)))</f>
        <v/>
      </c>
      <c r="V14" s="20">
        <f>IF(I14="","",IF(IFERROR(INDEX(ctaLiq,MATCH(E14,ctaNom,0))="Sí",FALSE),IF(OR(I14="Gasto",I14="Transferencia",I14="Pago tarjeta"),-1,1)*O14,0)+IF(AND(U14&lt;&gt;"",IFERROR(INDEX(ctaLiq,MATCH(G14,ctaNom,0))="Sí",FALSE)),O14,0))</f>
        <v/>
      </c>
      <c r="W14" s="19">
        <f>IF(OR(F14="",I14=""),"",IF(COUNTIFS(F$6:F14,F14,I$6:I14,"?*")=1,MAX(W$5:W13)+1,""))</f>
        <v/>
      </c>
    </row>
    <row r="15">
      <c r="B15" s="15" t="n">
        <v>46268</v>
      </c>
      <c r="C15" s="16" t="n">
        <v>1270</v>
      </c>
      <c r="D15" s="17" t="inlineStr">
        <is>
          <t>Herramientas de IA</t>
        </is>
      </c>
      <c r="E15" s="17" t="inlineStr">
        <is>
          <t>Tarjeta de crédito</t>
        </is>
      </c>
      <c r="F15" s="17" t="inlineStr">
        <is>
          <t>DEMO Herramienta IA</t>
        </is>
      </c>
      <c r="G15" s="17" t="n"/>
      <c r="H15" s="18">
        <f>IF(AND(B15="",C15="",D15="",E15=""),"",IF(B15="","⚠ Falta fecha",IF(C15="","⚠ Falta monto",IF(D15="","⚠ Falta categoría",IF(ISNA(MATCH(D15,catNom,0)),"⚠ Categoría no existe",IF(E15="","⚠ Falta cuenta",IF(ISNA(MATCH(E15,ctaNom,0)),"⚠ Cuenta no existe",IF(AND(OR(I15="Transferencia",I15="Pago tarjeta"),G15=""),"⚠ Indica la cuenta «Hacia»",IF(AND(G15&lt;&gt;"",G15=E15),"⚠ «Hacia» igual a la cuenta",IF(AND(G15&lt;&gt;"",ISNA(MATCH(G15,ctaNom,0))),"⚠ «Hacia» no existe",IF(AND(I15="Pago tarjeta",IFERROR(INDEX(ctaTipo,MATCH(G15,ctaNom,0)),"")&lt;&gt;"Tarjeta de crédito"),"⚠ «Hacia» debe ser la tarjeta",IF(AND(I15="Trading",IFERROR(INDEX(ctaTipo,MATCH(E15,ctaNom,0)),"")&lt;&gt;"Cuenta de trading"),"⚠ Usa la cuenta de trading","✓"))))))))))))</f>
        <v/>
      </c>
      <c r="I15" s="19">
        <f>IF(OR(B15="",C15="",D15=""),"",IFERROR(INDEX(catTipo,MATCH(D15,catNom,0))&amp;"",""))</f>
        <v/>
      </c>
      <c r="J15" s="19">
        <f>IF(I15="","",IFERROR(INDEX(catGrupo,MATCH(D15,catNom,0))&amp;"",""))</f>
        <v/>
      </c>
      <c r="K15" s="19">
        <f>IF(I15="Gasto",IF(IFERROR(INDEX(catClas,MATCH(D15,catNom,0))&amp;"","")="","Variable",IFERROR(INDEX(catClas,MATCH(D15,catNom,0))&amp;"","")),"")</f>
        <v/>
      </c>
      <c r="L15" s="19">
        <f>IF(I15="","",IFERROR(INDEX(catAlim,MATCH(D15,catNom,0))&amp;"",""))</f>
        <v/>
      </c>
      <c r="M15" s="19">
        <f>IF(I15="","",IFERROR(INDEX(catComida,MATCH(D15,catNom,0))&amp;"",""))</f>
        <v/>
      </c>
      <c r="N15" s="19">
        <f>IF(I15="","",IFERROR(INDEX(ctaMon,MATCH(E15,ctaNom,0))&amp;"","DOP"))</f>
        <v/>
      </c>
      <c r="O15" s="20">
        <f>IF(I15="","",C15*IF(N15="USD",TasaUSD,1))</f>
        <v/>
      </c>
      <c r="P15" s="20">
        <f>IF(I15="","",IF(I15="Gasto",O15,0))</f>
        <v/>
      </c>
      <c r="Q15" s="20">
        <f>IF(I15="","",IF(I15="Ingreso",O15,0))</f>
        <v/>
      </c>
      <c r="R15" s="20">
        <f>IF(I15="","",IF(I15="Trading",O15,0))</f>
        <v/>
      </c>
      <c r="S15" s="19">
        <f>IF(I15="","",IF(AND(I15="Gasto",K15="Variable",J15&lt;&gt;"Trading",O15&gt;0,O15&lt;=Umbral),1,0))</f>
        <v/>
      </c>
      <c r="T15" s="20">
        <f>IF(OR(I15="",E15=""),"",IF(OR(I15="Gasto",I15="Transferencia",I15="Pago tarjeta"),-1,1)*C15)</f>
        <v/>
      </c>
      <c r="U15" s="20">
        <f>IF(OR(G15="",AND(I15&lt;&gt;"Transferencia",I15&lt;&gt;"Pago tarjeta")),"",IF(IFERROR(INDEX(ctaMon,MATCH(G15,ctaNom,0))&amp;"","DOP")=N15,C15,IF(N15="USD",C15*TasaUSD,C15/TasaUSD)))</f>
        <v/>
      </c>
      <c r="V15" s="20">
        <f>IF(I15="","",IF(IFERROR(INDEX(ctaLiq,MATCH(E15,ctaNom,0))="Sí",FALSE),IF(OR(I15="Gasto",I15="Transferencia",I15="Pago tarjeta"),-1,1)*O15,0)+IF(AND(U15&lt;&gt;"",IFERROR(INDEX(ctaLiq,MATCH(G15,ctaNom,0))="Sí",FALSE)),O15,0))</f>
        <v/>
      </c>
      <c r="W15" s="19">
        <f>IF(OR(F15="",I15=""),"",IF(COUNTIFS(F$6:F15,F15,I$6:I15,"?*")=1,MAX(W$5:W14)+1,""))</f>
        <v/>
      </c>
    </row>
    <row r="16">
      <c r="B16" s="15" t="n">
        <v>46269</v>
      </c>
      <c r="C16" s="16" t="n">
        <v>220</v>
      </c>
      <c r="D16" s="17" t="inlineStr">
        <is>
          <t>Desayuno comprado</t>
        </is>
      </c>
      <c r="E16" s="17" t="inlineStr">
        <is>
          <t>Efectivo</t>
        </is>
      </c>
      <c r="F16" s="17" t="inlineStr">
        <is>
          <t>DEMO Cafetería</t>
        </is>
      </c>
      <c r="G16" s="17" t="n"/>
      <c r="H16" s="18">
        <f>IF(AND(B16="",C16="",D16="",E16=""),"",IF(B16="","⚠ Falta fecha",IF(C16="","⚠ Falta monto",IF(D16="","⚠ Falta categoría",IF(ISNA(MATCH(D16,catNom,0)),"⚠ Categoría no existe",IF(E16="","⚠ Falta cuenta",IF(ISNA(MATCH(E16,ctaNom,0)),"⚠ Cuenta no existe",IF(AND(OR(I16="Transferencia",I16="Pago tarjeta"),G16=""),"⚠ Indica la cuenta «Hacia»",IF(AND(G16&lt;&gt;"",G16=E16),"⚠ «Hacia» igual a la cuenta",IF(AND(G16&lt;&gt;"",ISNA(MATCH(G16,ctaNom,0))),"⚠ «Hacia» no existe",IF(AND(I16="Pago tarjeta",IFERROR(INDEX(ctaTipo,MATCH(G16,ctaNom,0)),"")&lt;&gt;"Tarjeta de crédito"),"⚠ «Hacia» debe ser la tarjeta",IF(AND(I16="Trading",IFERROR(INDEX(ctaTipo,MATCH(E16,ctaNom,0)),"")&lt;&gt;"Cuenta de trading"),"⚠ Usa la cuenta de trading","✓"))))))))))))</f>
        <v/>
      </c>
      <c r="I16" s="19">
        <f>IF(OR(B16="",C16="",D16=""),"",IFERROR(INDEX(catTipo,MATCH(D16,catNom,0))&amp;"",""))</f>
        <v/>
      </c>
      <c r="J16" s="19">
        <f>IF(I16="","",IFERROR(INDEX(catGrupo,MATCH(D16,catNom,0))&amp;"",""))</f>
        <v/>
      </c>
      <c r="K16" s="19">
        <f>IF(I16="Gasto",IF(IFERROR(INDEX(catClas,MATCH(D16,catNom,0))&amp;"","")="","Variable",IFERROR(INDEX(catClas,MATCH(D16,catNom,0))&amp;"","")),"")</f>
        <v/>
      </c>
      <c r="L16" s="19">
        <f>IF(I16="","",IFERROR(INDEX(catAlim,MATCH(D16,catNom,0))&amp;"",""))</f>
        <v/>
      </c>
      <c r="M16" s="19">
        <f>IF(I16="","",IFERROR(INDEX(catComida,MATCH(D16,catNom,0))&amp;"",""))</f>
        <v/>
      </c>
      <c r="N16" s="19">
        <f>IF(I16="","",IFERROR(INDEX(ctaMon,MATCH(E16,ctaNom,0))&amp;"","DOP"))</f>
        <v/>
      </c>
      <c r="O16" s="20">
        <f>IF(I16="","",C16*IF(N16="USD",TasaUSD,1))</f>
        <v/>
      </c>
      <c r="P16" s="20">
        <f>IF(I16="","",IF(I16="Gasto",O16,0))</f>
        <v/>
      </c>
      <c r="Q16" s="20">
        <f>IF(I16="","",IF(I16="Ingreso",O16,0))</f>
        <v/>
      </c>
      <c r="R16" s="20">
        <f>IF(I16="","",IF(I16="Trading",O16,0))</f>
        <v/>
      </c>
      <c r="S16" s="19">
        <f>IF(I16="","",IF(AND(I16="Gasto",K16="Variable",J16&lt;&gt;"Trading",O16&gt;0,O16&lt;=Umbral),1,0))</f>
        <v/>
      </c>
      <c r="T16" s="20">
        <f>IF(OR(I16="",E16=""),"",IF(OR(I16="Gasto",I16="Transferencia",I16="Pago tarjeta"),-1,1)*C16)</f>
        <v/>
      </c>
      <c r="U16" s="20">
        <f>IF(OR(G16="",AND(I16&lt;&gt;"Transferencia",I16&lt;&gt;"Pago tarjeta")),"",IF(IFERROR(INDEX(ctaMon,MATCH(G16,ctaNom,0))&amp;"","DOP")=N16,C16,IF(N16="USD",C16*TasaUSD,C16/TasaUSD)))</f>
        <v/>
      </c>
      <c r="V16" s="20">
        <f>IF(I16="","",IF(IFERROR(INDEX(ctaLiq,MATCH(E16,ctaNom,0))="Sí",FALSE),IF(OR(I16="Gasto",I16="Transferencia",I16="Pago tarjeta"),-1,1)*O16,0)+IF(AND(U16&lt;&gt;"",IFERROR(INDEX(ctaLiq,MATCH(G16,ctaNom,0))="Sí",FALSE)),O16,0))</f>
        <v/>
      </c>
      <c r="W16" s="19">
        <f>IF(OR(F16="",I16=""),"",IF(COUNTIFS(F$6:F16,F16,I$6:I16,"?*")=1,MAX(W$5:W15)+1,""))</f>
        <v/>
      </c>
    </row>
    <row r="17">
      <c r="B17" s="15" t="n">
        <v>46269</v>
      </c>
      <c r="C17" s="16" t="n">
        <v>550</v>
      </c>
      <c r="D17" s="17" t="inlineStr">
        <is>
          <t>Almuerzo comprado</t>
        </is>
      </c>
      <c r="E17" s="17" t="inlineStr">
        <is>
          <t>Banco</t>
        </is>
      </c>
      <c r="F17" s="17" t="inlineStr">
        <is>
          <t>DEMO Comedor</t>
        </is>
      </c>
      <c r="G17" s="17" t="n"/>
      <c r="H17" s="18">
        <f>IF(AND(B17="",C17="",D17="",E17=""),"",IF(B17="","⚠ Falta fecha",IF(C17="","⚠ Falta monto",IF(D17="","⚠ Falta categoría",IF(ISNA(MATCH(D17,catNom,0)),"⚠ Categoría no existe",IF(E17="","⚠ Falta cuenta",IF(ISNA(MATCH(E17,ctaNom,0)),"⚠ Cuenta no existe",IF(AND(OR(I17="Transferencia",I17="Pago tarjeta"),G17=""),"⚠ Indica la cuenta «Hacia»",IF(AND(G17&lt;&gt;"",G17=E17),"⚠ «Hacia» igual a la cuenta",IF(AND(G17&lt;&gt;"",ISNA(MATCH(G17,ctaNom,0))),"⚠ «Hacia» no existe",IF(AND(I17="Pago tarjeta",IFERROR(INDEX(ctaTipo,MATCH(G17,ctaNom,0)),"")&lt;&gt;"Tarjeta de crédito"),"⚠ «Hacia» debe ser la tarjeta",IF(AND(I17="Trading",IFERROR(INDEX(ctaTipo,MATCH(E17,ctaNom,0)),"")&lt;&gt;"Cuenta de trading"),"⚠ Usa la cuenta de trading","✓"))))))))))))</f>
        <v/>
      </c>
      <c r="I17" s="19">
        <f>IF(OR(B17="",C17="",D17=""),"",IFERROR(INDEX(catTipo,MATCH(D17,catNom,0))&amp;"",""))</f>
        <v/>
      </c>
      <c r="J17" s="19">
        <f>IF(I17="","",IFERROR(INDEX(catGrupo,MATCH(D17,catNom,0))&amp;"",""))</f>
        <v/>
      </c>
      <c r="K17" s="19">
        <f>IF(I17="Gasto",IF(IFERROR(INDEX(catClas,MATCH(D17,catNom,0))&amp;"","")="","Variable",IFERROR(INDEX(catClas,MATCH(D17,catNom,0))&amp;"","")),"")</f>
        <v/>
      </c>
      <c r="L17" s="19">
        <f>IF(I17="","",IFERROR(INDEX(catAlim,MATCH(D17,catNom,0))&amp;"",""))</f>
        <v/>
      </c>
      <c r="M17" s="19">
        <f>IF(I17="","",IFERROR(INDEX(catComida,MATCH(D17,catNom,0))&amp;"",""))</f>
        <v/>
      </c>
      <c r="N17" s="19">
        <f>IF(I17="","",IFERROR(INDEX(ctaMon,MATCH(E17,ctaNom,0))&amp;"","DOP"))</f>
        <v/>
      </c>
      <c r="O17" s="20">
        <f>IF(I17="","",C17*IF(N17="USD",TasaUSD,1))</f>
        <v/>
      </c>
      <c r="P17" s="20">
        <f>IF(I17="","",IF(I17="Gasto",O17,0))</f>
        <v/>
      </c>
      <c r="Q17" s="20">
        <f>IF(I17="","",IF(I17="Ingreso",O17,0))</f>
        <v/>
      </c>
      <c r="R17" s="20">
        <f>IF(I17="","",IF(I17="Trading",O17,0))</f>
        <v/>
      </c>
      <c r="S17" s="19">
        <f>IF(I17="","",IF(AND(I17="Gasto",K17="Variable",J17&lt;&gt;"Trading",O17&gt;0,O17&lt;=Umbral),1,0))</f>
        <v/>
      </c>
      <c r="T17" s="20">
        <f>IF(OR(I17="",E17=""),"",IF(OR(I17="Gasto",I17="Transferencia",I17="Pago tarjeta"),-1,1)*C17)</f>
        <v/>
      </c>
      <c r="U17" s="20">
        <f>IF(OR(G17="",AND(I17&lt;&gt;"Transferencia",I17&lt;&gt;"Pago tarjeta")),"",IF(IFERROR(INDEX(ctaMon,MATCH(G17,ctaNom,0))&amp;"","DOP")=N17,C17,IF(N17="USD",C17*TasaUSD,C17/TasaUSD)))</f>
        <v/>
      </c>
      <c r="V17" s="20">
        <f>IF(I17="","",IF(IFERROR(INDEX(ctaLiq,MATCH(E17,ctaNom,0))="Sí",FALSE),IF(OR(I17="Gasto",I17="Transferencia",I17="Pago tarjeta"),-1,1)*O17,0)+IF(AND(U17&lt;&gt;"",IFERROR(INDEX(ctaLiq,MATCH(G17,ctaNom,0))="Sí",FALSE)),O17,0))</f>
        <v/>
      </c>
      <c r="W17" s="19">
        <f>IF(OR(F17="",I17=""),"",IF(COUNTIFS(F$6:F17,F17,I$6:I17,"?*")=1,MAX(W$5:W16)+1,""))</f>
        <v/>
      </c>
    </row>
    <row r="18">
      <c r="B18" s="15" t="n">
        <v>46270</v>
      </c>
      <c r="C18" s="16" t="n">
        <v>625</v>
      </c>
      <c r="D18" s="17" t="inlineStr">
        <is>
          <t>Cena comprada</t>
        </is>
      </c>
      <c r="E18" s="17" t="inlineStr">
        <is>
          <t>Tarjeta de crédito</t>
        </is>
      </c>
      <c r="F18" s="17" t="inlineStr">
        <is>
          <t>DEMO Pizzería</t>
        </is>
      </c>
      <c r="G18" s="17" t="n"/>
      <c r="H18" s="18">
        <f>IF(AND(B18="",C18="",D18="",E18=""),"",IF(B18="","⚠ Falta fecha",IF(C18="","⚠ Falta monto",IF(D18="","⚠ Falta categoría",IF(ISNA(MATCH(D18,catNom,0)),"⚠ Categoría no existe",IF(E18="","⚠ Falta cuenta",IF(ISNA(MATCH(E18,ctaNom,0)),"⚠ Cuenta no existe",IF(AND(OR(I18="Transferencia",I18="Pago tarjeta"),G18=""),"⚠ Indica la cuenta «Hacia»",IF(AND(G18&lt;&gt;"",G18=E18),"⚠ «Hacia» igual a la cuenta",IF(AND(G18&lt;&gt;"",ISNA(MATCH(G18,ctaNom,0))),"⚠ «Hacia» no existe",IF(AND(I18="Pago tarjeta",IFERROR(INDEX(ctaTipo,MATCH(G18,ctaNom,0)),"")&lt;&gt;"Tarjeta de crédito"),"⚠ «Hacia» debe ser la tarjeta",IF(AND(I18="Trading",IFERROR(INDEX(ctaTipo,MATCH(E18,ctaNom,0)),"")&lt;&gt;"Cuenta de trading"),"⚠ Usa la cuenta de trading","✓"))))))))))))</f>
        <v/>
      </c>
      <c r="I18" s="19">
        <f>IF(OR(B18="",C18="",D18=""),"",IFERROR(INDEX(catTipo,MATCH(D18,catNom,0))&amp;"",""))</f>
        <v/>
      </c>
      <c r="J18" s="19">
        <f>IF(I18="","",IFERROR(INDEX(catGrupo,MATCH(D18,catNom,0))&amp;"",""))</f>
        <v/>
      </c>
      <c r="K18" s="19">
        <f>IF(I18="Gasto",IF(IFERROR(INDEX(catClas,MATCH(D18,catNom,0))&amp;"","")="","Variable",IFERROR(INDEX(catClas,MATCH(D18,catNom,0))&amp;"","")),"")</f>
        <v/>
      </c>
      <c r="L18" s="19">
        <f>IF(I18="","",IFERROR(INDEX(catAlim,MATCH(D18,catNom,0))&amp;"",""))</f>
        <v/>
      </c>
      <c r="M18" s="19">
        <f>IF(I18="","",IFERROR(INDEX(catComida,MATCH(D18,catNom,0))&amp;"",""))</f>
        <v/>
      </c>
      <c r="N18" s="19">
        <f>IF(I18="","",IFERROR(INDEX(ctaMon,MATCH(E18,ctaNom,0))&amp;"","DOP"))</f>
        <v/>
      </c>
      <c r="O18" s="20">
        <f>IF(I18="","",C18*IF(N18="USD",TasaUSD,1))</f>
        <v/>
      </c>
      <c r="P18" s="20">
        <f>IF(I18="","",IF(I18="Gasto",O18,0))</f>
        <v/>
      </c>
      <c r="Q18" s="20">
        <f>IF(I18="","",IF(I18="Ingreso",O18,0))</f>
        <v/>
      </c>
      <c r="R18" s="20">
        <f>IF(I18="","",IF(I18="Trading",O18,0))</f>
        <v/>
      </c>
      <c r="S18" s="19">
        <f>IF(I18="","",IF(AND(I18="Gasto",K18="Variable",J18&lt;&gt;"Trading",O18&gt;0,O18&lt;=Umbral),1,0))</f>
        <v/>
      </c>
      <c r="T18" s="20">
        <f>IF(OR(I18="",E18=""),"",IF(OR(I18="Gasto",I18="Transferencia",I18="Pago tarjeta"),-1,1)*C18)</f>
        <v/>
      </c>
      <c r="U18" s="20">
        <f>IF(OR(G18="",AND(I18&lt;&gt;"Transferencia",I18&lt;&gt;"Pago tarjeta")),"",IF(IFERROR(INDEX(ctaMon,MATCH(G18,ctaNom,0))&amp;"","DOP")=N18,C18,IF(N18="USD",C18*TasaUSD,C18/TasaUSD)))</f>
        <v/>
      </c>
      <c r="V18" s="20">
        <f>IF(I18="","",IF(IFERROR(INDEX(ctaLiq,MATCH(E18,ctaNom,0))="Sí",FALSE),IF(OR(I18="Gasto",I18="Transferencia",I18="Pago tarjeta"),-1,1)*O18,0)+IF(AND(U18&lt;&gt;"",IFERROR(INDEX(ctaLiq,MATCH(G18,ctaNom,0))="Sí",FALSE)),O18,0))</f>
        <v/>
      </c>
      <c r="W18" s="19">
        <f>IF(OR(F18="",I18=""),"",IF(COUNTIFS(F$6:F18,F18,I$6:I18,"?*")=1,MAX(W$5:W17)+1,""))</f>
        <v/>
      </c>
    </row>
    <row r="19">
      <c r="B19" s="15" t="n">
        <v>46270</v>
      </c>
      <c r="C19" s="16" t="n">
        <v>2050</v>
      </c>
      <c r="D19" s="17" t="inlineStr">
        <is>
          <t>Internet</t>
        </is>
      </c>
      <c r="E19" s="17" t="inlineStr">
        <is>
          <t>Banco</t>
        </is>
      </c>
      <c r="F19" s="17" t="inlineStr">
        <is>
          <t>DEMO Internet</t>
        </is>
      </c>
      <c r="G19" s="17" t="n"/>
      <c r="H19" s="18">
        <f>IF(AND(B19="",C19="",D19="",E19=""),"",IF(B19="","⚠ Falta fecha",IF(C19="","⚠ Falta monto",IF(D19="","⚠ Falta categoría",IF(ISNA(MATCH(D19,catNom,0)),"⚠ Categoría no existe",IF(E19="","⚠ Falta cuenta",IF(ISNA(MATCH(E19,ctaNom,0)),"⚠ Cuenta no existe",IF(AND(OR(I19="Transferencia",I19="Pago tarjeta"),G19=""),"⚠ Indica la cuenta «Hacia»",IF(AND(G19&lt;&gt;"",G19=E19),"⚠ «Hacia» igual a la cuenta",IF(AND(G19&lt;&gt;"",ISNA(MATCH(G19,ctaNom,0))),"⚠ «Hacia» no existe",IF(AND(I19="Pago tarjeta",IFERROR(INDEX(ctaTipo,MATCH(G19,ctaNom,0)),"")&lt;&gt;"Tarjeta de crédito"),"⚠ «Hacia» debe ser la tarjeta",IF(AND(I19="Trading",IFERROR(INDEX(ctaTipo,MATCH(E19,ctaNom,0)),"")&lt;&gt;"Cuenta de trading"),"⚠ Usa la cuenta de trading","✓"))))))))))))</f>
        <v/>
      </c>
      <c r="I19" s="19">
        <f>IF(OR(B19="",C19="",D19=""),"",IFERROR(INDEX(catTipo,MATCH(D19,catNom,0))&amp;"",""))</f>
        <v/>
      </c>
      <c r="J19" s="19">
        <f>IF(I19="","",IFERROR(INDEX(catGrupo,MATCH(D19,catNom,0))&amp;"",""))</f>
        <v/>
      </c>
      <c r="K19" s="19">
        <f>IF(I19="Gasto",IF(IFERROR(INDEX(catClas,MATCH(D19,catNom,0))&amp;"","")="","Variable",IFERROR(INDEX(catClas,MATCH(D19,catNom,0))&amp;"","")),"")</f>
        <v/>
      </c>
      <c r="L19" s="19">
        <f>IF(I19="","",IFERROR(INDEX(catAlim,MATCH(D19,catNom,0))&amp;"",""))</f>
        <v/>
      </c>
      <c r="M19" s="19">
        <f>IF(I19="","",IFERROR(INDEX(catComida,MATCH(D19,catNom,0))&amp;"",""))</f>
        <v/>
      </c>
      <c r="N19" s="19">
        <f>IF(I19="","",IFERROR(INDEX(ctaMon,MATCH(E19,ctaNom,0))&amp;"","DOP"))</f>
        <v/>
      </c>
      <c r="O19" s="20">
        <f>IF(I19="","",C19*IF(N19="USD",TasaUSD,1))</f>
        <v/>
      </c>
      <c r="P19" s="20">
        <f>IF(I19="","",IF(I19="Gasto",O19,0))</f>
        <v/>
      </c>
      <c r="Q19" s="20">
        <f>IF(I19="","",IF(I19="Ingreso",O19,0))</f>
        <v/>
      </c>
      <c r="R19" s="20">
        <f>IF(I19="","",IF(I19="Trading",O19,0))</f>
        <v/>
      </c>
      <c r="S19" s="19">
        <f>IF(I19="","",IF(AND(I19="Gasto",K19="Variable",J19&lt;&gt;"Trading",O19&gt;0,O19&lt;=Umbral),1,0))</f>
        <v/>
      </c>
      <c r="T19" s="20">
        <f>IF(OR(I19="",E19=""),"",IF(OR(I19="Gasto",I19="Transferencia",I19="Pago tarjeta"),-1,1)*C19)</f>
        <v/>
      </c>
      <c r="U19" s="20">
        <f>IF(OR(G19="",AND(I19&lt;&gt;"Transferencia",I19&lt;&gt;"Pago tarjeta")),"",IF(IFERROR(INDEX(ctaMon,MATCH(G19,ctaNom,0))&amp;"","DOP")=N19,C19,IF(N19="USD",C19*TasaUSD,C19/TasaUSD)))</f>
        <v/>
      </c>
      <c r="V19" s="20">
        <f>IF(I19="","",IF(IFERROR(INDEX(ctaLiq,MATCH(E19,ctaNom,0))="Sí",FALSE),IF(OR(I19="Gasto",I19="Transferencia",I19="Pago tarjeta"),-1,1)*O19,0)+IF(AND(U19&lt;&gt;"",IFERROR(INDEX(ctaLiq,MATCH(G19,ctaNom,0))="Sí",FALSE)),O19,0))</f>
        <v/>
      </c>
      <c r="W19" s="19">
        <f>IF(OR(F19="",I19=""),"",IF(COUNTIFS(F$6:F19,F19,I$6:I19,"?*")=1,MAX(W$5:W18)+1,""))</f>
        <v/>
      </c>
    </row>
    <row r="20">
      <c r="B20" s="15" t="n">
        <v>46271</v>
      </c>
      <c r="C20" s="16" t="n">
        <v>400</v>
      </c>
      <c r="D20" s="17" t="inlineStr">
        <is>
          <t>Ingredientes / colmado</t>
        </is>
      </c>
      <c r="E20" s="17" t="inlineStr">
        <is>
          <t>Efectivo</t>
        </is>
      </c>
      <c r="F20" s="17" t="inlineStr">
        <is>
          <t>DEMO Mercado</t>
        </is>
      </c>
      <c r="G20" s="17" t="n"/>
      <c r="H20" s="18">
        <f>IF(AND(B20="",C20="",D20="",E20=""),"",IF(B20="","⚠ Falta fecha",IF(C20="","⚠ Falta monto",IF(D20="","⚠ Falta categoría",IF(ISNA(MATCH(D20,catNom,0)),"⚠ Categoría no existe",IF(E20="","⚠ Falta cuenta",IF(ISNA(MATCH(E20,ctaNom,0)),"⚠ Cuenta no existe",IF(AND(OR(I20="Transferencia",I20="Pago tarjeta"),G20=""),"⚠ Indica la cuenta «Hacia»",IF(AND(G20&lt;&gt;"",G20=E20),"⚠ «Hacia» igual a la cuenta",IF(AND(G20&lt;&gt;"",ISNA(MATCH(G20,ctaNom,0))),"⚠ «Hacia» no existe",IF(AND(I20="Pago tarjeta",IFERROR(INDEX(ctaTipo,MATCH(G20,ctaNom,0)),"")&lt;&gt;"Tarjeta de crédito"),"⚠ «Hacia» debe ser la tarjeta",IF(AND(I20="Trading",IFERROR(INDEX(ctaTipo,MATCH(E20,ctaNom,0)),"")&lt;&gt;"Cuenta de trading"),"⚠ Usa la cuenta de trading","✓"))))))))))))</f>
        <v/>
      </c>
      <c r="I20" s="19">
        <f>IF(OR(B20="",C20="",D20=""),"",IFERROR(INDEX(catTipo,MATCH(D20,catNom,0))&amp;"",""))</f>
        <v/>
      </c>
      <c r="J20" s="19">
        <f>IF(I20="","",IFERROR(INDEX(catGrupo,MATCH(D20,catNom,0))&amp;"",""))</f>
        <v/>
      </c>
      <c r="K20" s="19">
        <f>IF(I20="Gasto",IF(IFERROR(INDEX(catClas,MATCH(D20,catNom,0))&amp;"","")="","Variable",IFERROR(INDEX(catClas,MATCH(D20,catNom,0))&amp;"","")),"")</f>
        <v/>
      </c>
      <c r="L20" s="19">
        <f>IF(I20="","",IFERROR(INDEX(catAlim,MATCH(D20,catNom,0))&amp;"",""))</f>
        <v/>
      </c>
      <c r="M20" s="19">
        <f>IF(I20="","",IFERROR(INDEX(catComida,MATCH(D20,catNom,0))&amp;"",""))</f>
        <v/>
      </c>
      <c r="N20" s="19">
        <f>IF(I20="","",IFERROR(INDEX(ctaMon,MATCH(E20,ctaNom,0))&amp;"","DOP"))</f>
        <v/>
      </c>
      <c r="O20" s="20">
        <f>IF(I20="","",C20*IF(N20="USD",TasaUSD,1))</f>
        <v/>
      </c>
      <c r="P20" s="20">
        <f>IF(I20="","",IF(I20="Gasto",O20,0))</f>
        <v/>
      </c>
      <c r="Q20" s="20">
        <f>IF(I20="","",IF(I20="Ingreso",O20,0))</f>
        <v/>
      </c>
      <c r="R20" s="20">
        <f>IF(I20="","",IF(I20="Trading",O20,0))</f>
        <v/>
      </c>
      <c r="S20" s="19">
        <f>IF(I20="","",IF(AND(I20="Gasto",K20="Variable",J20&lt;&gt;"Trading",O20&gt;0,O20&lt;=Umbral),1,0))</f>
        <v/>
      </c>
      <c r="T20" s="20">
        <f>IF(OR(I20="",E20=""),"",IF(OR(I20="Gasto",I20="Transferencia",I20="Pago tarjeta"),-1,1)*C20)</f>
        <v/>
      </c>
      <c r="U20" s="20">
        <f>IF(OR(G20="",AND(I20&lt;&gt;"Transferencia",I20&lt;&gt;"Pago tarjeta")),"",IF(IFERROR(INDEX(ctaMon,MATCH(G20,ctaNom,0))&amp;"","DOP")=N20,C20,IF(N20="USD",C20*TasaUSD,C20/TasaUSD)))</f>
        <v/>
      </c>
      <c r="V20" s="20">
        <f>IF(I20="","",IF(IFERROR(INDEX(ctaLiq,MATCH(E20,ctaNom,0))="Sí",FALSE),IF(OR(I20="Gasto",I20="Transferencia",I20="Pago tarjeta"),-1,1)*O20,0)+IF(AND(U20&lt;&gt;"",IFERROR(INDEX(ctaLiq,MATCH(G20,ctaNom,0))="Sí",FALSE)),O20,0))</f>
        <v/>
      </c>
      <c r="W20" s="19">
        <f>IF(OR(F20="",I20=""),"",IF(COUNTIFS(F$6:F20,F20,I$6:I20,"?*")=1,MAX(W$5:W19)+1,""))</f>
        <v/>
      </c>
    </row>
    <row r="21">
      <c r="B21" s="15" t="n">
        <v>46271</v>
      </c>
      <c r="C21" s="16" t="n">
        <v>15750</v>
      </c>
      <c r="D21" s="17" t="inlineStr">
        <is>
          <t>Depósito / retiro de trading</t>
        </is>
      </c>
      <c r="E21" s="17" t="inlineStr">
        <is>
          <t>Banco</t>
        </is>
      </c>
      <c r="F21" s="17" t="inlineStr">
        <is>
          <t>DEMO</t>
        </is>
      </c>
      <c r="G21" s="17" t="inlineStr">
        <is>
          <t>Cuenta de trading</t>
        </is>
      </c>
      <c r="H21" s="18">
        <f>IF(AND(B21="",C21="",D21="",E21=""),"",IF(B21="","⚠ Falta fecha",IF(C21="","⚠ Falta monto",IF(D21="","⚠ Falta categoría",IF(ISNA(MATCH(D21,catNom,0)),"⚠ Categoría no existe",IF(E21="","⚠ Falta cuenta",IF(ISNA(MATCH(E21,ctaNom,0)),"⚠ Cuenta no existe",IF(AND(OR(I21="Transferencia",I21="Pago tarjeta"),G21=""),"⚠ Indica la cuenta «Hacia»",IF(AND(G21&lt;&gt;"",G21=E21),"⚠ «Hacia» igual a la cuenta",IF(AND(G21&lt;&gt;"",ISNA(MATCH(G21,ctaNom,0))),"⚠ «Hacia» no existe",IF(AND(I21="Pago tarjeta",IFERROR(INDEX(ctaTipo,MATCH(G21,ctaNom,0)),"")&lt;&gt;"Tarjeta de crédito"),"⚠ «Hacia» debe ser la tarjeta",IF(AND(I21="Trading",IFERROR(INDEX(ctaTipo,MATCH(E21,ctaNom,0)),"")&lt;&gt;"Cuenta de trading"),"⚠ Usa la cuenta de trading","✓"))))))))))))</f>
        <v/>
      </c>
      <c r="I21" s="19">
        <f>IF(OR(B21="",C21="",D21=""),"",IFERROR(INDEX(catTipo,MATCH(D21,catNom,0))&amp;"",""))</f>
        <v/>
      </c>
      <c r="J21" s="19">
        <f>IF(I21="","",IFERROR(INDEX(catGrupo,MATCH(D21,catNom,0))&amp;"",""))</f>
        <v/>
      </c>
      <c r="K21" s="19">
        <f>IF(I21="Gasto",IF(IFERROR(INDEX(catClas,MATCH(D21,catNom,0))&amp;"","")="","Variable",IFERROR(INDEX(catClas,MATCH(D21,catNom,0))&amp;"","")),"")</f>
        <v/>
      </c>
      <c r="L21" s="19">
        <f>IF(I21="","",IFERROR(INDEX(catAlim,MATCH(D21,catNom,0))&amp;"",""))</f>
        <v/>
      </c>
      <c r="M21" s="19">
        <f>IF(I21="","",IFERROR(INDEX(catComida,MATCH(D21,catNom,0))&amp;"",""))</f>
        <v/>
      </c>
      <c r="N21" s="19">
        <f>IF(I21="","",IFERROR(INDEX(ctaMon,MATCH(E21,ctaNom,0))&amp;"","DOP"))</f>
        <v/>
      </c>
      <c r="O21" s="20">
        <f>IF(I21="","",C21*IF(N21="USD",TasaUSD,1))</f>
        <v/>
      </c>
      <c r="P21" s="20">
        <f>IF(I21="","",IF(I21="Gasto",O21,0))</f>
        <v/>
      </c>
      <c r="Q21" s="20">
        <f>IF(I21="","",IF(I21="Ingreso",O21,0))</f>
        <v/>
      </c>
      <c r="R21" s="20">
        <f>IF(I21="","",IF(I21="Trading",O21,0))</f>
        <v/>
      </c>
      <c r="S21" s="19">
        <f>IF(I21="","",IF(AND(I21="Gasto",K21="Variable",J21&lt;&gt;"Trading",O21&gt;0,O21&lt;=Umbral),1,0))</f>
        <v/>
      </c>
      <c r="T21" s="20">
        <f>IF(OR(I21="",E21=""),"",IF(OR(I21="Gasto",I21="Transferencia",I21="Pago tarjeta"),-1,1)*C21)</f>
        <v/>
      </c>
      <c r="U21" s="20">
        <f>IF(OR(G21="",AND(I21&lt;&gt;"Transferencia",I21&lt;&gt;"Pago tarjeta")),"",IF(IFERROR(INDEX(ctaMon,MATCH(G21,ctaNom,0))&amp;"","DOP")=N21,C21,IF(N21="USD",C21*TasaUSD,C21/TasaUSD)))</f>
        <v/>
      </c>
      <c r="V21" s="20">
        <f>IF(I21="","",IF(IFERROR(INDEX(ctaLiq,MATCH(E21,ctaNom,0))="Sí",FALSE),IF(OR(I21="Gasto",I21="Transferencia",I21="Pago tarjeta"),-1,1)*O21,0)+IF(AND(U21&lt;&gt;"",IFERROR(INDEX(ctaLiq,MATCH(G21,ctaNom,0))="Sí",FALSE)),O21,0))</f>
        <v/>
      </c>
      <c r="W21" s="19">
        <f>IF(OR(F21="",I21=""),"",IF(COUNTIFS(F$6:F21,F21,I$6:I21,"?*")=1,MAX(W$5:W20)+1,""))</f>
        <v/>
      </c>
    </row>
    <row r="22">
      <c r="B22" s="15" t="n">
        <v>46272</v>
      </c>
      <c r="C22" s="16" t="n">
        <v>2500</v>
      </c>
      <c r="D22" s="17" t="inlineStr">
        <is>
          <t>Combustible</t>
        </is>
      </c>
      <c r="E22" s="17" t="inlineStr">
        <is>
          <t>Tarjeta de crédito</t>
        </is>
      </c>
      <c r="F22" s="17" t="inlineStr">
        <is>
          <t>DEMO Gasolinera</t>
        </is>
      </c>
      <c r="G22" s="17" t="n"/>
      <c r="H22" s="18">
        <f>IF(AND(B22="",C22="",D22="",E22=""),"",IF(B22="","⚠ Falta fecha",IF(C22="","⚠ Falta monto",IF(D22="","⚠ Falta categoría",IF(ISNA(MATCH(D22,catNom,0)),"⚠ Categoría no existe",IF(E22="","⚠ Falta cuenta",IF(ISNA(MATCH(E22,ctaNom,0)),"⚠ Cuenta no existe",IF(AND(OR(I22="Transferencia",I22="Pago tarjeta"),G22=""),"⚠ Indica la cuenta «Hacia»",IF(AND(G22&lt;&gt;"",G22=E22),"⚠ «Hacia» igual a la cuenta",IF(AND(G22&lt;&gt;"",ISNA(MATCH(G22,ctaNom,0))),"⚠ «Hacia» no existe",IF(AND(I22="Pago tarjeta",IFERROR(INDEX(ctaTipo,MATCH(G22,ctaNom,0)),"")&lt;&gt;"Tarjeta de crédito"),"⚠ «Hacia» debe ser la tarjeta",IF(AND(I22="Trading",IFERROR(INDEX(ctaTipo,MATCH(E22,ctaNom,0)),"")&lt;&gt;"Cuenta de trading"),"⚠ Usa la cuenta de trading","✓"))))))))))))</f>
        <v/>
      </c>
      <c r="I22" s="19">
        <f>IF(OR(B22="",C22="",D22=""),"",IFERROR(INDEX(catTipo,MATCH(D22,catNom,0))&amp;"",""))</f>
        <v/>
      </c>
      <c r="J22" s="19">
        <f>IF(I22="","",IFERROR(INDEX(catGrupo,MATCH(D22,catNom,0))&amp;"",""))</f>
        <v/>
      </c>
      <c r="K22" s="19">
        <f>IF(I22="Gasto",IF(IFERROR(INDEX(catClas,MATCH(D22,catNom,0))&amp;"","")="","Variable",IFERROR(INDEX(catClas,MATCH(D22,catNom,0))&amp;"","")),"")</f>
        <v/>
      </c>
      <c r="L22" s="19">
        <f>IF(I22="","",IFERROR(INDEX(catAlim,MATCH(D22,catNom,0))&amp;"",""))</f>
        <v/>
      </c>
      <c r="M22" s="19">
        <f>IF(I22="","",IFERROR(INDEX(catComida,MATCH(D22,catNom,0))&amp;"",""))</f>
        <v/>
      </c>
      <c r="N22" s="19">
        <f>IF(I22="","",IFERROR(INDEX(ctaMon,MATCH(E22,ctaNom,0))&amp;"","DOP"))</f>
        <v/>
      </c>
      <c r="O22" s="20">
        <f>IF(I22="","",C22*IF(N22="USD",TasaUSD,1))</f>
        <v/>
      </c>
      <c r="P22" s="20">
        <f>IF(I22="","",IF(I22="Gasto",O22,0))</f>
        <v/>
      </c>
      <c r="Q22" s="20">
        <f>IF(I22="","",IF(I22="Ingreso",O22,0))</f>
        <v/>
      </c>
      <c r="R22" s="20">
        <f>IF(I22="","",IF(I22="Trading",O22,0))</f>
        <v/>
      </c>
      <c r="S22" s="19">
        <f>IF(I22="","",IF(AND(I22="Gasto",K22="Variable",J22&lt;&gt;"Trading",O22&gt;0,O22&lt;=Umbral),1,0))</f>
        <v/>
      </c>
      <c r="T22" s="20">
        <f>IF(OR(I22="",E22=""),"",IF(OR(I22="Gasto",I22="Transferencia",I22="Pago tarjeta"),-1,1)*C22)</f>
        <v/>
      </c>
      <c r="U22" s="20">
        <f>IF(OR(G22="",AND(I22&lt;&gt;"Transferencia",I22&lt;&gt;"Pago tarjeta")),"",IF(IFERROR(INDEX(ctaMon,MATCH(G22,ctaNom,0))&amp;"","DOP")=N22,C22,IF(N22="USD",C22*TasaUSD,C22/TasaUSD)))</f>
        <v/>
      </c>
      <c r="V22" s="20">
        <f>IF(I22="","",IF(IFERROR(INDEX(ctaLiq,MATCH(E22,ctaNom,0))="Sí",FALSE),IF(OR(I22="Gasto",I22="Transferencia",I22="Pago tarjeta"),-1,1)*O22,0)+IF(AND(U22&lt;&gt;"",IFERROR(INDEX(ctaLiq,MATCH(G22,ctaNom,0))="Sí",FALSE)),O22,0))</f>
        <v/>
      </c>
      <c r="W22" s="19">
        <f>IF(OR(F22="",I22=""),"",IF(COUNTIFS(F$6:F22,F22,I$6:I22,"?*")=1,MAX(W$5:W21)+1,""))</f>
        <v/>
      </c>
    </row>
    <row r="23">
      <c r="B23" s="15" t="n">
        <v>46272</v>
      </c>
      <c r="C23" s="16" t="n">
        <v>150</v>
      </c>
      <c r="D23" s="17" t="inlineStr">
        <is>
          <t>Evaluación / cuenta de trading</t>
        </is>
      </c>
      <c r="E23" s="17" t="inlineStr">
        <is>
          <t>Cuenta de trading</t>
        </is>
      </c>
      <c r="F23" s="17" t="inlineStr">
        <is>
          <t>DEMO Firma de evaluación</t>
        </is>
      </c>
      <c r="G23" s="17" t="n"/>
      <c r="H23" s="18">
        <f>IF(AND(B23="",C23="",D23="",E23=""),"",IF(B23="","⚠ Falta fecha",IF(C23="","⚠ Falta monto",IF(D23="","⚠ Falta categoría",IF(ISNA(MATCH(D23,catNom,0)),"⚠ Categoría no existe",IF(E23="","⚠ Falta cuenta",IF(ISNA(MATCH(E23,ctaNom,0)),"⚠ Cuenta no existe",IF(AND(OR(I23="Transferencia",I23="Pago tarjeta"),G23=""),"⚠ Indica la cuenta «Hacia»",IF(AND(G23&lt;&gt;"",G23=E23),"⚠ «Hacia» igual a la cuenta",IF(AND(G23&lt;&gt;"",ISNA(MATCH(G23,ctaNom,0))),"⚠ «Hacia» no existe",IF(AND(I23="Pago tarjeta",IFERROR(INDEX(ctaTipo,MATCH(G23,ctaNom,0)),"")&lt;&gt;"Tarjeta de crédito"),"⚠ «Hacia» debe ser la tarjeta",IF(AND(I23="Trading",IFERROR(INDEX(ctaTipo,MATCH(E23,ctaNom,0)),"")&lt;&gt;"Cuenta de trading"),"⚠ Usa la cuenta de trading","✓"))))))))))))</f>
        <v/>
      </c>
      <c r="I23" s="19">
        <f>IF(OR(B23="",C23="",D23=""),"",IFERROR(INDEX(catTipo,MATCH(D23,catNom,0))&amp;"",""))</f>
        <v/>
      </c>
      <c r="J23" s="19">
        <f>IF(I23="","",IFERROR(INDEX(catGrupo,MATCH(D23,catNom,0))&amp;"",""))</f>
        <v/>
      </c>
      <c r="K23" s="19">
        <f>IF(I23="Gasto",IF(IFERROR(INDEX(catClas,MATCH(D23,catNom,0))&amp;"","")="","Variable",IFERROR(INDEX(catClas,MATCH(D23,catNom,0))&amp;"","")),"")</f>
        <v/>
      </c>
      <c r="L23" s="19">
        <f>IF(I23="","",IFERROR(INDEX(catAlim,MATCH(D23,catNom,0))&amp;"",""))</f>
        <v/>
      </c>
      <c r="M23" s="19">
        <f>IF(I23="","",IFERROR(INDEX(catComida,MATCH(D23,catNom,0))&amp;"",""))</f>
        <v/>
      </c>
      <c r="N23" s="19">
        <f>IF(I23="","",IFERROR(INDEX(ctaMon,MATCH(E23,ctaNom,0))&amp;"","DOP"))</f>
        <v/>
      </c>
      <c r="O23" s="20">
        <f>IF(I23="","",C23*IF(N23="USD",TasaUSD,1))</f>
        <v/>
      </c>
      <c r="P23" s="20">
        <f>IF(I23="","",IF(I23="Gasto",O23,0))</f>
        <v/>
      </c>
      <c r="Q23" s="20">
        <f>IF(I23="","",IF(I23="Ingreso",O23,0))</f>
        <v/>
      </c>
      <c r="R23" s="20">
        <f>IF(I23="","",IF(I23="Trading",O23,0))</f>
        <v/>
      </c>
      <c r="S23" s="19">
        <f>IF(I23="","",IF(AND(I23="Gasto",K23="Variable",J23&lt;&gt;"Trading",O23&gt;0,O23&lt;=Umbral),1,0))</f>
        <v/>
      </c>
      <c r="T23" s="20">
        <f>IF(OR(I23="",E23=""),"",IF(OR(I23="Gasto",I23="Transferencia",I23="Pago tarjeta"),-1,1)*C23)</f>
        <v/>
      </c>
      <c r="U23" s="20">
        <f>IF(OR(G23="",AND(I23&lt;&gt;"Transferencia",I23&lt;&gt;"Pago tarjeta")),"",IF(IFERROR(INDEX(ctaMon,MATCH(G23,ctaNom,0))&amp;"","DOP")=N23,C23,IF(N23="USD",C23*TasaUSD,C23/TasaUSD)))</f>
        <v/>
      </c>
      <c r="V23" s="20">
        <f>IF(I23="","",IF(IFERROR(INDEX(ctaLiq,MATCH(E23,ctaNom,0))="Sí",FALSE),IF(OR(I23="Gasto",I23="Transferencia",I23="Pago tarjeta"),-1,1)*O23,0)+IF(AND(U23&lt;&gt;"",IFERROR(INDEX(ctaLiq,MATCH(G23,ctaNom,0))="Sí",FALSE)),O23,0))</f>
        <v/>
      </c>
      <c r="W23" s="19">
        <f>IF(OR(F23="",I23=""),"",IF(COUNTIFS(F$6:F23,F23,I$6:I23,"?*")=1,MAX(W$5:W22)+1,""))</f>
        <v/>
      </c>
    </row>
    <row r="24">
      <c r="B24" s="15" t="n">
        <v>46273</v>
      </c>
      <c r="C24" s="16" t="n">
        <v>2500</v>
      </c>
      <c r="D24" s="17" t="inlineStr">
        <is>
          <t>Gimnasio</t>
        </is>
      </c>
      <c r="E24" s="17" t="inlineStr">
        <is>
          <t>Tarjeta de crédito</t>
        </is>
      </c>
      <c r="F24" s="17" t="inlineStr">
        <is>
          <t>DEMO Gimnasio</t>
        </is>
      </c>
      <c r="G24" s="17" t="n"/>
      <c r="H24" s="18">
        <f>IF(AND(B24="",C24="",D24="",E24=""),"",IF(B24="","⚠ Falta fecha",IF(C24="","⚠ Falta monto",IF(D24="","⚠ Falta categoría",IF(ISNA(MATCH(D24,catNom,0)),"⚠ Categoría no existe",IF(E24="","⚠ Falta cuenta",IF(ISNA(MATCH(E24,ctaNom,0)),"⚠ Cuenta no existe",IF(AND(OR(I24="Transferencia",I24="Pago tarjeta"),G24=""),"⚠ Indica la cuenta «Hacia»",IF(AND(G24&lt;&gt;"",G24=E24),"⚠ «Hacia» igual a la cuenta",IF(AND(G24&lt;&gt;"",ISNA(MATCH(G24,ctaNom,0))),"⚠ «Hacia» no existe",IF(AND(I24="Pago tarjeta",IFERROR(INDEX(ctaTipo,MATCH(G24,ctaNom,0)),"")&lt;&gt;"Tarjeta de crédito"),"⚠ «Hacia» debe ser la tarjeta",IF(AND(I24="Trading",IFERROR(INDEX(ctaTipo,MATCH(E24,ctaNom,0)),"")&lt;&gt;"Cuenta de trading"),"⚠ Usa la cuenta de trading","✓"))))))))))))</f>
        <v/>
      </c>
      <c r="I24" s="19">
        <f>IF(OR(B24="",C24="",D24=""),"",IFERROR(INDEX(catTipo,MATCH(D24,catNom,0))&amp;"",""))</f>
        <v/>
      </c>
      <c r="J24" s="19">
        <f>IF(I24="","",IFERROR(INDEX(catGrupo,MATCH(D24,catNom,0))&amp;"",""))</f>
        <v/>
      </c>
      <c r="K24" s="19">
        <f>IF(I24="Gasto",IF(IFERROR(INDEX(catClas,MATCH(D24,catNom,0))&amp;"","")="","Variable",IFERROR(INDEX(catClas,MATCH(D24,catNom,0))&amp;"","")),"")</f>
        <v/>
      </c>
      <c r="L24" s="19">
        <f>IF(I24="","",IFERROR(INDEX(catAlim,MATCH(D24,catNom,0))&amp;"",""))</f>
        <v/>
      </c>
      <c r="M24" s="19">
        <f>IF(I24="","",IFERROR(INDEX(catComida,MATCH(D24,catNom,0))&amp;"",""))</f>
        <v/>
      </c>
      <c r="N24" s="19">
        <f>IF(I24="","",IFERROR(INDEX(ctaMon,MATCH(E24,ctaNom,0))&amp;"","DOP"))</f>
        <v/>
      </c>
      <c r="O24" s="20">
        <f>IF(I24="","",C24*IF(N24="USD",TasaUSD,1))</f>
        <v/>
      </c>
      <c r="P24" s="20">
        <f>IF(I24="","",IF(I24="Gasto",O24,0))</f>
        <v/>
      </c>
      <c r="Q24" s="20">
        <f>IF(I24="","",IF(I24="Ingreso",O24,0))</f>
        <v/>
      </c>
      <c r="R24" s="20">
        <f>IF(I24="","",IF(I24="Trading",O24,0))</f>
        <v/>
      </c>
      <c r="S24" s="19">
        <f>IF(I24="","",IF(AND(I24="Gasto",K24="Variable",J24&lt;&gt;"Trading",O24&gt;0,O24&lt;=Umbral),1,0))</f>
        <v/>
      </c>
      <c r="T24" s="20">
        <f>IF(OR(I24="",E24=""),"",IF(OR(I24="Gasto",I24="Transferencia",I24="Pago tarjeta"),-1,1)*C24)</f>
        <v/>
      </c>
      <c r="U24" s="20">
        <f>IF(OR(G24="",AND(I24&lt;&gt;"Transferencia",I24&lt;&gt;"Pago tarjeta")),"",IF(IFERROR(INDEX(ctaMon,MATCH(G24,ctaNom,0))&amp;"","DOP")=N24,C24,IF(N24="USD",C24*TasaUSD,C24/TasaUSD)))</f>
        <v/>
      </c>
      <c r="V24" s="20">
        <f>IF(I24="","",IF(IFERROR(INDEX(ctaLiq,MATCH(E24,ctaNom,0))="Sí",FALSE),IF(OR(I24="Gasto",I24="Transferencia",I24="Pago tarjeta"),-1,1)*O24,0)+IF(AND(U24&lt;&gt;"",IFERROR(INDEX(ctaLiq,MATCH(G24,ctaNom,0))="Sí",FALSE)),O24,0))</f>
        <v/>
      </c>
      <c r="W24" s="19">
        <f>IF(OR(F24="",I24=""),"",IF(COUNTIFS(F$6:F24,F24,I$6:I24,"?*")=1,MAX(W$5:W23)+1,""))</f>
        <v/>
      </c>
    </row>
    <row r="25">
      <c r="B25" s="15" t="n">
        <v>46274</v>
      </c>
      <c r="C25" s="16" t="n">
        <v>250</v>
      </c>
      <c r="D25" s="17" t="inlineStr">
        <is>
          <t>Desayuno comprado</t>
        </is>
      </c>
      <c r="E25" s="17" t="inlineStr">
        <is>
          <t>Banco</t>
        </is>
      </c>
      <c r="F25" s="17" t="inlineStr">
        <is>
          <t>DEMO Cafetería</t>
        </is>
      </c>
      <c r="G25" s="17" t="n"/>
      <c r="H25" s="18">
        <f>IF(AND(B25="",C25="",D25="",E25=""),"",IF(B25="","⚠ Falta fecha",IF(C25="","⚠ Falta monto",IF(D25="","⚠ Falta categoría",IF(ISNA(MATCH(D25,catNom,0)),"⚠ Categoría no existe",IF(E25="","⚠ Falta cuenta",IF(ISNA(MATCH(E25,ctaNom,0)),"⚠ Cuenta no existe",IF(AND(OR(I25="Transferencia",I25="Pago tarjeta"),G25=""),"⚠ Indica la cuenta «Hacia»",IF(AND(G25&lt;&gt;"",G25=E25),"⚠ «Hacia» igual a la cuenta",IF(AND(G25&lt;&gt;"",ISNA(MATCH(G25,ctaNom,0))),"⚠ «Hacia» no existe",IF(AND(I25="Pago tarjeta",IFERROR(INDEX(ctaTipo,MATCH(G25,ctaNom,0)),"")&lt;&gt;"Tarjeta de crédito"),"⚠ «Hacia» debe ser la tarjeta",IF(AND(I25="Trading",IFERROR(INDEX(ctaTipo,MATCH(E25,ctaNom,0)),"")&lt;&gt;"Cuenta de trading"),"⚠ Usa la cuenta de trading","✓"))))))))))))</f>
        <v/>
      </c>
      <c r="I25" s="19">
        <f>IF(OR(B25="",C25="",D25=""),"",IFERROR(INDEX(catTipo,MATCH(D25,catNom,0))&amp;"",""))</f>
        <v/>
      </c>
      <c r="J25" s="19">
        <f>IF(I25="","",IFERROR(INDEX(catGrupo,MATCH(D25,catNom,0))&amp;"",""))</f>
        <v/>
      </c>
      <c r="K25" s="19">
        <f>IF(I25="Gasto",IF(IFERROR(INDEX(catClas,MATCH(D25,catNom,0))&amp;"","")="","Variable",IFERROR(INDEX(catClas,MATCH(D25,catNom,0))&amp;"","")),"")</f>
        <v/>
      </c>
      <c r="L25" s="19">
        <f>IF(I25="","",IFERROR(INDEX(catAlim,MATCH(D25,catNom,0))&amp;"",""))</f>
        <v/>
      </c>
      <c r="M25" s="19">
        <f>IF(I25="","",IFERROR(INDEX(catComida,MATCH(D25,catNom,0))&amp;"",""))</f>
        <v/>
      </c>
      <c r="N25" s="19">
        <f>IF(I25="","",IFERROR(INDEX(ctaMon,MATCH(E25,ctaNom,0))&amp;"","DOP"))</f>
        <v/>
      </c>
      <c r="O25" s="20">
        <f>IF(I25="","",C25*IF(N25="USD",TasaUSD,1))</f>
        <v/>
      </c>
      <c r="P25" s="20">
        <f>IF(I25="","",IF(I25="Gasto",O25,0))</f>
        <v/>
      </c>
      <c r="Q25" s="20">
        <f>IF(I25="","",IF(I25="Ingreso",O25,0))</f>
        <v/>
      </c>
      <c r="R25" s="20">
        <f>IF(I25="","",IF(I25="Trading",O25,0))</f>
        <v/>
      </c>
      <c r="S25" s="19">
        <f>IF(I25="","",IF(AND(I25="Gasto",K25="Variable",J25&lt;&gt;"Trading",O25&gt;0,O25&lt;=Umbral),1,0))</f>
        <v/>
      </c>
      <c r="T25" s="20">
        <f>IF(OR(I25="",E25=""),"",IF(OR(I25="Gasto",I25="Transferencia",I25="Pago tarjeta"),-1,1)*C25)</f>
        <v/>
      </c>
      <c r="U25" s="20">
        <f>IF(OR(G25="",AND(I25&lt;&gt;"Transferencia",I25&lt;&gt;"Pago tarjeta")),"",IF(IFERROR(INDEX(ctaMon,MATCH(G25,ctaNom,0))&amp;"","DOP")=N25,C25,IF(N25="USD",C25*TasaUSD,C25/TasaUSD)))</f>
        <v/>
      </c>
      <c r="V25" s="20">
        <f>IF(I25="","",IF(IFERROR(INDEX(ctaLiq,MATCH(E25,ctaNom,0))="Sí",FALSE),IF(OR(I25="Gasto",I25="Transferencia",I25="Pago tarjeta"),-1,1)*O25,0)+IF(AND(U25&lt;&gt;"",IFERROR(INDEX(ctaLiq,MATCH(G25,ctaNom,0))="Sí",FALSE)),O25,0))</f>
        <v/>
      </c>
      <c r="W25" s="19">
        <f>IF(OR(F25="",I25=""),"",IF(COUNTIFS(F$6:F25,F25,I$6:I25,"?*")=1,MAX(W$5:W24)+1,""))</f>
        <v/>
      </c>
    </row>
    <row r="26">
      <c r="B26" s="15" t="n">
        <v>46274</v>
      </c>
      <c r="C26" s="16" t="n">
        <v>550</v>
      </c>
      <c r="D26" s="17" t="inlineStr">
        <is>
          <t>Almuerzo comprado</t>
        </is>
      </c>
      <c r="E26" s="17" t="inlineStr">
        <is>
          <t>Billetera digital</t>
        </is>
      </c>
      <c r="F26" s="17" t="inlineStr">
        <is>
          <t>DEMO Comedor</t>
        </is>
      </c>
      <c r="G26" s="17" t="n"/>
      <c r="H26" s="18">
        <f>IF(AND(B26="",C26="",D26="",E26=""),"",IF(B26="","⚠ Falta fecha",IF(C26="","⚠ Falta monto",IF(D26="","⚠ Falta categoría",IF(ISNA(MATCH(D26,catNom,0)),"⚠ Categoría no existe",IF(E26="","⚠ Falta cuenta",IF(ISNA(MATCH(E26,ctaNom,0)),"⚠ Cuenta no existe",IF(AND(OR(I26="Transferencia",I26="Pago tarjeta"),G26=""),"⚠ Indica la cuenta «Hacia»",IF(AND(G26&lt;&gt;"",G26=E26),"⚠ «Hacia» igual a la cuenta",IF(AND(G26&lt;&gt;"",ISNA(MATCH(G26,ctaNom,0))),"⚠ «Hacia» no existe",IF(AND(I26="Pago tarjeta",IFERROR(INDEX(ctaTipo,MATCH(G26,ctaNom,0)),"")&lt;&gt;"Tarjeta de crédito"),"⚠ «Hacia» debe ser la tarjeta",IF(AND(I26="Trading",IFERROR(INDEX(ctaTipo,MATCH(E26,ctaNom,0)),"")&lt;&gt;"Cuenta de trading"),"⚠ Usa la cuenta de trading","✓"))))))))))))</f>
        <v/>
      </c>
      <c r="I26" s="19">
        <f>IF(OR(B26="",C26="",D26=""),"",IFERROR(INDEX(catTipo,MATCH(D26,catNom,0))&amp;"",""))</f>
        <v/>
      </c>
      <c r="J26" s="19">
        <f>IF(I26="","",IFERROR(INDEX(catGrupo,MATCH(D26,catNom,0))&amp;"",""))</f>
        <v/>
      </c>
      <c r="K26" s="19">
        <f>IF(I26="Gasto",IF(IFERROR(INDEX(catClas,MATCH(D26,catNom,0))&amp;"","")="","Variable",IFERROR(INDEX(catClas,MATCH(D26,catNom,0))&amp;"","")),"")</f>
        <v/>
      </c>
      <c r="L26" s="19">
        <f>IF(I26="","",IFERROR(INDEX(catAlim,MATCH(D26,catNom,0))&amp;"",""))</f>
        <v/>
      </c>
      <c r="M26" s="19">
        <f>IF(I26="","",IFERROR(INDEX(catComida,MATCH(D26,catNom,0))&amp;"",""))</f>
        <v/>
      </c>
      <c r="N26" s="19">
        <f>IF(I26="","",IFERROR(INDEX(ctaMon,MATCH(E26,ctaNom,0))&amp;"","DOP"))</f>
        <v/>
      </c>
      <c r="O26" s="20">
        <f>IF(I26="","",C26*IF(N26="USD",TasaUSD,1))</f>
        <v/>
      </c>
      <c r="P26" s="20">
        <f>IF(I26="","",IF(I26="Gasto",O26,0))</f>
        <v/>
      </c>
      <c r="Q26" s="20">
        <f>IF(I26="","",IF(I26="Ingreso",O26,0))</f>
        <v/>
      </c>
      <c r="R26" s="20">
        <f>IF(I26="","",IF(I26="Trading",O26,0))</f>
        <v/>
      </c>
      <c r="S26" s="19">
        <f>IF(I26="","",IF(AND(I26="Gasto",K26="Variable",J26&lt;&gt;"Trading",O26&gt;0,O26&lt;=Umbral),1,0))</f>
        <v/>
      </c>
      <c r="T26" s="20">
        <f>IF(OR(I26="",E26=""),"",IF(OR(I26="Gasto",I26="Transferencia",I26="Pago tarjeta"),-1,1)*C26)</f>
        <v/>
      </c>
      <c r="U26" s="20">
        <f>IF(OR(G26="",AND(I26&lt;&gt;"Transferencia",I26&lt;&gt;"Pago tarjeta")),"",IF(IFERROR(INDEX(ctaMon,MATCH(G26,ctaNom,0))&amp;"","DOP")=N26,C26,IF(N26="USD",C26*TasaUSD,C26/TasaUSD)))</f>
        <v/>
      </c>
      <c r="V26" s="20">
        <f>IF(I26="","",IF(IFERROR(INDEX(ctaLiq,MATCH(E26,ctaNom,0))="Sí",FALSE),IF(OR(I26="Gasto",I26="Transferencia",I26="Pago tarjeta"),-1,1)*O26,0)+IF(AND(U26&lt;&gt;"",IFERROR(INDEX(ctaLiq,MATCH(G26,ctaNom,0))="Sí",FALSE)),O26,0))</f>
        <v/>
      </c>
      <c r="W26" s="19">
        <f>IF(OR(F26="",I26=""),"",IF(COUNTIFS(F$6:F26,F26,I$6:I26,"?*")=1,MAX(W$5:W25)+1,""))</f>
        <v/>
      </c>
    </row>
    <row r="27">
      <c r="B27" s="15" t="n">
        <v>46275</v>
      </c>
      <c r="C27" s="16" t="n">
        <v>200</v>
      </c>
      <c r="D27" s="17" t="inlineStr">
        <is>
          <t>Desayuno comprado</t>
        </is>
      </c>
      <c r="E27" s="17" t="inlineStr">
        <is>
          <t>Banco</t>
        </is>
      </c>
      <c r="F27" s="17" t="inlineStr">
        <is>
          <t>DEMO Cafetería</t>
        </is>
      </c>
      <c r="G27" s="17" t="n"/>
      <c r="H27" s="18">
        <f>IF(AND(B27="",C27="",D27="",E27=""),"",IF(B27="","⚠ Falta fecha",IF(C27="","⚠ Falta monto",IF(D27="","⚠ Falta categoría",IF(ISNA(MATCH(D27,catNom,0)),"⚠ Categoría no existe",IF(E27="","⚠ Falta cuenta",IF(ISNA(MATCH(E27,ctaNom,0)),"⚠ Cuenta no existe",IF(AND(OR(I27="Transferencia",I27="Pago tarjeta"),G27=""),"⚠ Indica la cuenta «Hacia»",IF(AND(G27&lt;&gt;"",G27=E27),"⚠ «Hacia» igual a la cuenta",IF(AND(G27&lt;&gt;"",ISNA(MATCH(G27,ctaNom,0))),"⚠ «Hacia» no existe",IF(AND(I27="Pago tarjeta",IFERROR(INDEX(ctaTipo,MATCH(G27,ctaNom,0)),"")&lt;&gt;"Tarjeta de crédito"),"⚠ «Hacia» debe ser la tarjeta",IF(AND(I27="Trading",IFERROR(INDEX(ctaTipo,MATCH(E27,ctaNom,0)),"")&lt;&gt;"Cuenta de trading"),"⚠ Usa la cuenta de trading","✓"))))))))))))</f>
        <v/>
      </c>
      <c r="I27" s="19">
        <f>IF(OR(B27="",C27="",D27=""),"",IFERROR(INDEX(catTipo,MATCH(D27,catNom,0))&amp;"",""))</f>
        <v/>
      </c>
      <c r="J27" s="19">
        <f>IF(I27="","",IFERROR(INDEX(catGrupo,MATCH(D27,catNom,0))&amp;"",""))</f>
        <v/>
      </c>
      <c r="K27" s="19">
        <f>IF(I27="Gasto",IF(IFERROR(INDEX(catClas,MATCH(D27,catNom,0))&amp;"","")="","Variable",IFERROR(INDEX(catClas,MATCH(D27,catNom,0))&amp;"","")),"")</f>
        <v/>
      </c>
      <c r="L27" s="19">
        <f>IF(I27="","",IFERROR(INDEX(catAlim,MATCH(D27,catNom,0))&amp;"",""))</f>
        <v/>
      </c>
      <c r="M27" s="19">
        <f>IF(I27="","",IFERROR(INDEX(catComida,MATCH(D27,catNom,0))&amp;"",""))</f>
        <v/>
      </c>
      <c r="N27" s="19">
        <f>IF(I27="","",IFERROR(INDEX(ctaMon,MATCH(E27,ctaNom,0))&amp;"","DOP"))</f>
        <v/>
      </c>
      <c r="O27" s="20">
        <f>IF(I27="","",C27*IF(N27="USD",TasaUSD,1))</f>
        <v/>
      </c>
      <c r="P27" s="20">
        <f>IF(I27="","",IF(I27="Gasto",O27,0))</f>
        <v/>
      </c>
      <c r="Q27" s="20">
        <f>IF(I27="","",IF(I27="Ingreso",O27,0))</f>
        <v/>
      </c>
      <c r="R27" s="20">
        <f>IF(I27="","",IF(I27="Trading",O27,0))</f>
        <v/>
      </c>
      <c r="S27" s="19">
        <f>IF(I27="","",IF(AND(I27="Gasto",K27="Variable",J27&lt;&gt;"Trading",O27&gt;0,O27&lt;=Umbral),1,0))</f>
        <v/>
      </c>
      <c r="T27" s="20">
        <f>IF(OR(I27="",E27=""),"",IF(OR(I27="Gasto",I27="Transferencia",I27="Pago tarjeta"),-1,1)*C27)</f>
        <v/>
      </c>
      <c r="U27" s="20">
        <f>IF(OR(G27="",AND(I27&lt;&gt;"Transferencia",I27&lt;&gt;"Pago tarjeta")),"",IF(IFERROR(INDEX(ctaMon,MATCH(G27,ctaNom,0))&amp;"","DOP")=N27,C27,IF(N27="USD",C27*TasaUSD,C27/TasaUSD)))</f>
        <v/>
      </c>
      <c r="V27" s="20">
        <f>IF(I27="","",IF(IFERROR(INDEX(ctaLiq,MATCH(E27,ctaNom,0))="Sí",FALSE),IF(OR(I27="Gasto",I27="Transferencia",I27="Pago tarjeta"),-1,1)*O27,0)+IF(AND(U27&lt;&gt;"",IFERROR(INDEX(ctaLiq,MATCH(G27,ctaNom,0))="Sí",FALSE)),O27,0))</f>
        <v/>
      </c>
      <c r="W27" s="19">
        <f>IF(OR(F27="",I27=""),"",IF(COUNTIFS(F$6:F27,F27,I$6:I27,"?*")=1,MAX(W$5:W26)+1,""))</f>
        <v/>
      </c>
    </row>
    <row r="28">
      <c r="B28" s="15" t="n">
        <v>46275</v>
      </c>
      <c r="C28" s="16" t="n">
        <v>400</v>
      </c>
      <c r="D28" s="17" t="inlineStr">
        <is>
          <t>Almuerzo comprado</t>
        </is>
      </c>
      <c r="E28" s="17" t="inlineStr">
        <is>
          <t>Billetera digital</t>
        </is>
      </c>
      <c r="F28" s="17" t="inlineStr">
        <is>
          <t>DEMO Comedor</t>
        </is>
      </c>
      <c r="G28" s="17" t="n"/>
      <c r="H28" s="18">
        <f>IF(AND(B28="",C28="",D28="",E28=""),"",IF(B28="","⚠ Falta fecha",IF(C28="","⚠ Falta monto",IF(D28="","⚠ Falta categoría",IF(ISNA(MATCH(D28,catNom,0)),"⚠ Categoría no existe",IF(E28="","⚠ Falta cuenta",IF(ISNA(MATCH(E28,ctaNom,0)),"⚠ Cuenta no existe",IF(AND(OR(I28="Transferencia",I28="Pago tarjeta"),G28=""),"⚠ Indica la cuenta «Hacia»",IF(AND(G28&lt;&gt;"",G28=E28),"⚠ «Hacia» igual a la cuenta",IF(AND(G28&lt;&gt;"",ISNA(MATCH(G28,ctaNom,0))),"⚠ «Hacia» no existe",IF(AND(I28="Pago tarjeta",IFERROR(INDEX(ctaTipo,MATCH(G28,ctaNom,0)),"")&lt;&gt;"Tarjeta de crédito"),"⚠ «Hacia» debe ser la tarjeta",IF(AND(I28="Trading",IFERROR(INDEX(ctaTipo,MATCH(E28,ctaNom,0)),"")&lt;&gt;"Cuenta de trading"),"⚠ Usa la cuenta de trading","✓"))))))))))))</f>
        <v/>
      </c>
      <c r="I28" s="19">
        <f>IF(OR(B28="",C28="",D28=""),"",IFERROR(INDEX(catTipo,MATCH(D28,catNom,0))&amp;"",""))</f>
        <v/>
      </c>
      <c r="J28" s="19">
        <f>IF(I28="","",IFERROR(INDEX(catGrupo,MATCH(D28,catNom,0))&amp;"",""))</f>
        <v/>
      </c>
      <c r="K28" s="19">
        <f>IF(I28="Gasto",IF(IFERROR(INDEX(catClas,MATCH(D28,catNom,0))&amp;"","")="","Variable",IFERROR(INDEX(catClas,MATCH(D28,catNom,0))&amp;"","")),"")</f>
        <v/>
      </c>
      <c r="L28" s="19">
        <f>IF(I28="","",IFERROR(INDEX(catAlim,MATCH(D28,catNom,0))&amp;"",""))</f>
        <v/>
      </c>
      <c r="M28" s="19">
        <f>IF(I28="","",IFERROR(INDEX(catComida,MATCH(D28,catNom,0))&amp;"",""))</f>
        <v/>
      </c>
      <c r="N28" s="19">
        <f>IF(I28="","",IFERROR(INDEX(ctaMon,MATCH(E28,ctaNom,0))&amp;"","DOP"))</f>
        <v/>
      </c>
      <c r="O28" s="20">
        <f>IF(I28="","",C28*IF(N28="USD",TasaUSD,1))</f>
        <v/>
      </c>
      <c r="P28" s="20">
        <f>IF(I28="","",IF(I28="Gasto",O28,0))</f>
        <v/>
      </c>
      <c r="Q28" s="20">
        <f>IF(I28="","",IF(I28="Ingreso",O28,0))</f>
        <v/>
      </c>
      <c r="R28" s="20">
        <f>IF(I28="","",IF(I28="Trading",O28,0))</f>
        <v/>
      </c>
      <c r="S28" s="19">
        <f>IF(I28="","",IF(AND(I28="Gasto",K28="Variable",J28&lt;&gt;"Trading",O28&gt;0,O28&lt;=Umbral),1,0))</f>
        <v/>
      </c>
      <c r="T28" s="20">
        <f>IF(OR(I28="",E28=""),"",IF(OR(I28="Gasto",I28="Transferencia",I28="Pago tarjeta"),-1,1)*C28)</f>
        <v/>
      </c>
      <c r="U28" s="20">
        <f>IF(OR(G28="",AND(I28&lt;&gt;"Transferencia",I28&lt;&gt;"Pago tarjeta")),"",IF(IFERROR(INDEX(ctaMon,MATCH(G28,ctaNom,0))&amp;"","DOP")=N28,C28,IF(N28="USD",C28*TasaUSD,C28/TasaUSD)))</f>
        <v/>
      </c>
      <c r="V28" s="20">
        <f>IF(I28="","",IF(IFERROR(INDEX(ctaLiq,MATCH(E28,ctaNom,0))="Sí",FALSE),IF(OR(I28="Gasto",I28="Transferencia",I28="Pago tarjeta"),-1,1)*O28,0)+IF(AND(U28&lt;&gt;"",IFERROR(INDEX(ctaLiq,MATCH(G28,ctaNom,0))="Sí",FALSE)),O28,0))</f>
        <v/>
      </c>
      <c r="W28" s="19">
        <f>IF(OR(F28="",I28=""),"",IF(COUNTIFS(F$6:F28,F28,I$6:I28,"?*")=1,MAX(W$5:W27)+1,""))</f>
        <v/>
      </c>
    </row>
    <row r="29">
      <c r="B29" s="15" t="n">
        <v>46275</v>
      </c>
      <c r="C29" s="16" t="n">
        <v>160</v>
      </c>
      <c r="D29" s="17" t="inlineStr">
        <is>
          <t>Snacks y bebidas</t>
        </is>
      </c>
      <c r="E29" s="17" t="inlineStr">
        <is>
          <t>Efectivo</t>
        </is>
      </c>
      <c r="F29" s="17" t="inlineStr">
        <is>
          <t>DEMO Colmado</t>
        </is>
      </c>
      <c r="G29" s="17" t="n"/>
      <c r="H29" s="18">
        <f>IF(AND(B29="",C29="",D29="",E29=""),"",IF(B29="","⚠ Falta fecha",IF(C29="","⚠ Falta monto",IF(D29="","⚠ Falta categoría",IF(ISNA(MATCH(D29,catNom,0)),"⚠ Categoría no existe",IF(E29="","⚠ Falta cuenta",IF(ISNA(MATCH(E29,ctaNom,0)),"⚠ Cuenta no existe",IF(AND(OR(I29="Transferencia",I29="Pago tarjeta"),G29=""),"⚠ Indica la cuenta «Hacia»",IF(AND(G29&lt;&gt;"",G29=E29),"⚠ «Hacia» igual a la cuenta",IF(AND(G29&lt;&gt;"",ISNA(MATCH(G29,ctaNom,0))),"⚠ «Hacia» no existe",IF(AND(I29="Pago tarjeta",IFERROR(INDEX(ctaTipo,MATCH(G29,ctaNom,0)),"")&lt;&gt;"Tarjeta de crédito"),"⚠ «Hacia» debe ser la tarjeta",IF(AND(I29="Trading",IFERROR(INDEX(ctaTipo,MATCH(E29,ctaNom,0)),"")&lt;&gt;"Cuenta de trading"),"⚠ Usa la cuenta de trading","✓"))))))))))))</f>
        <v/>
      </c>
      <c r="I29" s="19">
        <f>IF(OR(B29="",C29="",D29=""),"",IFERROR(INDEX(catTipo,MATCH(D29,catNom,0))&amp;"",""))</f>
        <v/>
      </c>
      <c r="J29" s="19">
        <f>IF(I29="","",IFERROR(INDEX(catGrupo,MATCH(D29,catNom,0))&amp;"",""))</f>
        <v/>
      </c>
      <c r="K29" s="19">
        <f>IF(I29="Gasto",IF(IFERROR(INDEX(catClas,MATCH(D29,catNom,0))&amp;"","")="","Variable",IFERROR(INDEX(catClas,MATCH(D29,catNom,0))&amp;"","")),"")</f>
        <v/>
      </c>
      <c r="L29" s="19">
        <f>IF(I29="","",IFERROR(INDEX(catAlim,MATCH(D29,catNom,0))&amp;"",""))</f>
        <v/>
      </c>
      <c r="M29" s="19">
        <f>IF(I29="","",IFERROR(INDEX(catComida,MATCH(D29,catNom,0))&amp;"",""))</f>
        <v/>
      </c>
      <c r="N29" s="19">
        <f>IF(I29="","",IFERROR(INDEX(ctaMon,MATCH(E29,ctaNom,0))&amp;"","DOP"))</f>
        <v/>
      </c>
      <c r="O29" s="20">
        <f>IF(I29="","",C29*IF(N29="USD",TasaUSD,1))</f>
        <v/>
      </c>
      <c r="P29" s="20">
        <f>IF(I29="","",IF(I29="Gasto",O29,0))</f>
        <v/>
      </c>
      <c r="Q29" s="20">
        <f>IF(I29="","",IF(I29="Ingreso",O29,0))</f>
        <v/>
      </c>
      <c r="R29" s="20">
        <f>IF(I29="","",IF(I29="Trading",O29,0))</f>
        <v/>
      </c>
      <c r="S29" s="19">
        <f>IF(I29="","",IF(AND(I29="Gasto",K29="Variable",J29&lt;&gt;"Trading",O29&gt;0,O29&lt;=Umbral),1,0))</f>
        <v/>
      </c>
      <c r="T29" s="20">
        <f>IF(OR(I29="",E29=""),"",IF(OR(I29="Gasto",I29="Transferencia",I29="Pago tarjeta"),-1,1)*C29)</f>
        <v/>
      </c>
      <c r="U29" s="20">
        <f>IF(OR(G29="",AND(I29&lt;&gt;"Transferencia",I29&lt;&gt;"Pago tarjeta")),"",IF(IFERROR(INDEX(ctaMon,MATCH(G29,ctaNom,0))&amp;"","DOP")=N29,C29,IF(N29="USD",C29*TasaUSD,C29/TasaUSD)))</f>
        <v/>
      </c>
      <c r="V29" s="20">
        <f>IF(I29="","",IF(IFERROR(INDEX(ctaLiq,MATCH(E29,ctaNom,0))="Sí",FALSE),IF(OR(I29="Gasto",I29="Transferencia",I29="Pago tarjeta"),-1,1)*O29,0)+IF(AND(U29&lt;&gt;"",IFERROR(INDEX(ctaLiq,MATCH(G29,ctaNom,0))="Sí",FALSE)),O29,0))</f>
        <v/>
      </c>
      <c r="W29" s="19">
        <f>IF(OR(F29="",I29=""),"",IF(COUNTIFS(F$6:F29,F29,I$6:I29,"?*")=1,MAX(W$5:W28)+1,""))</f>
        <v/>
      </c>
    </row>
    <row r="30">
      <c r="B30" s="15" t="n">
        <v>46275</v>
      </c>
      <c r="C30" s="16" t="n">
        <v>2500</v>
      </c>
      <c r="D30" s="17" t="inlineStr">
        <is>
          <t>Pareja y salidas</t>
        </is>
      </c>
      <c r="E30" s="17" t="inlineStr">
        <is>
          <t>Tarjeta de crédito</t>
        </is>
      </c>
      <c r="F30" s="17" t="inlineStr">
        <is>
          <t>DEMO Salida</t>
        </is>
      </c>
      <c r="G30" s="17" t="n"/>
      <c r="H30" s="18">
        <f>IF(AND(B30="",C30="",D30="",E30=""),"",IF(B30="","⚠ Falta fecha",IF(C30="","⚠ Falta monto",IF(D30="","⚠ Falta categoría",IF(ISNA(MATCH(D30,catNom,0)),"⚠ Categoría no existe",IF(E30="","⚠ Falta cuenta",IF(ISNA(MATCH(E30,ctaNom,0)),"⚠ Cuenta no existe",IF(AND(OR(I30="Transferencia",I30="Pago tarjeta"),G30=""),"⚠ Indica la cuenta «Hacia»",IF(AND(G30&lt;&gt;"",G30=E30),"⚠ «Hacia» igual a la cuenta",IF(AND(G30&lt;&gt;"",ISNA(MATCH(G30,ctaNom,0))),"⚠ «Hacia» no existe",IF(AND(I30="Pago tarjeta",IFERROR(INDEX(ctaTipo,MATCH(G30,ctaNom,0)),"")&lt;&gt;"Tarjeta de crédito"),"⚠ «Hacia» debe ser la tarjeta",IF(AND(I30="Trading",IFERROR(INDEX(ctaTipo,MATCH(E30,ctaNom,0)),"")&lt;&gt;"Cuenta de trading"),"⚠ Usa la cuenta de trading","✓"))))))))))))</f>
        <v/>
      </c>
      <c r="I30" s="19">
        <f>IF(OR(B30="",C30="",D30=""),"",IFERROR(INDEX(catTipo,MATCH(D30,catNom,0))&amp;"",""))</f>
        <v/>
      </c>
      <c r="J30" s="19">
        <f>IF(I30="","",IFERROR(INDEX(catGrupo,MATCH(D30,catNom,0))&amp;"",""))</f>
        <v/>
      </c>
      <c r="K30" s="19">
        <f>IF(I30="Gasto",IF(IFERROR(INDEX(catClas,MATCH(D30,catNom,0))&amp;"","")="","Variable",IFERROR(INDEX(catClas,MATCH(D30,catNom,0))&amp;"","")),"")</f>
        <v/>
      </c>
      <c r="L30" s="19">
        <f>IF(I30="","",IFERROR(INDEX(catAlim,MATCH(D30,catNom,0))&amp;"",""))</f>
        <v/>
      </c>
      <c r="M30" s="19">
        <f>IF(I30="","",IFERROR(INDEX(catComida,MATCH(D30,catNom,0))&amp;"",""))</f>
        <v/>
      </c>
      <c r="N30" s="19">
        <f>IF(I30="","",IFERROR(INDEX(ctaMon,MATCH(E30,ctaNom,0))&amp;"","DOP"))</f>
        <v/>
      </c>
      <c r="O30" s="20">
        <f>IF(I30="","",C30*IF(N30="USD",TasaUSD,1))</f>
        <v/>
      </c>
      <c r="P30" s="20">
        <f>IF(I30="","",IF(I30="Gasto",O30,0))</f>
        <v/>
      </c>
      <c r="Q30" s="20">
        <f>IF(I30="","",IF(I30="Ingreso",O30,0))</f>
        <v/>
      </c>
      <c r="R30" s="20">
        <f>IF(I30="","",IF(I30="Trading",O30,0))</f>
        <v/>
      </c>
      <c r="S30" s="19">
        <f>IF(I30="","",IF(AND(I30="Gasto",K30="Variable",J30&lt;&gt;"Trading",O30&gt;0,O30&lt;=Umbral),1,0))</f>
        <v/>
      </c>
      <c r="T30" s="20">
        <f>IF(OR(I30="",E30=""),"",IF(OR(I30="Gasto",I30="Transferencia",I30="Pago tarjeta"),-1,1)*C30)</f>
        <v/>
      </c>
      <c r="U30" s="20">
        <f>IF(OR(G30="",AND(I30&lt;&gt;"Transferencia",I30&lt;&gt;"Pago tarjeta")),"",IF(IFERROR(INDEX(ctaMon,MATCH(G30,ctaNom,0))&amp;"","DOP")=N30,C30,IF(N30="USD",C30*TasaUSD,C30/TasaUSD)))</f>
        <v/>
      </c>
      <c r="V30" s="20">
        <f>IF(I30="","",IF(IFERROR(INDEX(ctaLiq,MATCH(E30,ctaNom,0))="Sí",FALSE),IF(OR(I30="Gasto",I30="Transferencia",I30="Pago tarjeta"),-1,1)*O30,0)+IF(AND(U30&lt;&gt;"",IFERROR(INDEX(ctaLiq,MATCH(G30,ctaNom,0))="Sí",FALSE)),O30,0))</f>
        <v/>
      </c>
      <c r="W30" s="19">
        <f>IF(OR(F30="",I30=""),"",IF(COUNTIFS(F$6:F30,F30,I$6:I30,"?*")=1,MAX(W$5:W29)+1,""))</f>
        <v/>
      </c>
    </row>
    <row r="31">
      <c r="B31" s="15" t="n">
        <v>46276</v>
      </c>
      <c r="C31" s="16" t="n">
        <v>550</v>
      </c>
      <c r="D31" s="17" t="inlineStr">
        <is>
          <t>Almuerzo comprado</t>
        </is>
      </c>
      <c r="E31" s="17" t="inlineStr">
        <is>
          <t>Billetera digital</t>
        </is>
      </c>
      <c r="F31" s="17" t="inlineStr">
        <is>
          <t>DEMO Comedor</t>
        </is>
      </c>
      <c r="G31" s="17" t="n"/>
      <c r="H31" s="18">
        <f>IF(AND(B31="",C31="",D31="",E31=""),"",IF(B31="","⚠ Falta fecha",IF(C31="","⚠ Falta monto",IF(D31="","⚠ Falta categoría",IF(ISNA(MATCH(D31,catNom,0)),"⚠ Categoría no existe",IF(E31="","⚠ Falta cuenta",IF(ISNA(MATCH(E31,ctaNom,0)),"⚠ Cuenta no existe",IF(AND(OR(I31="Transferencia",I31="Pago tarjeta"),G31=""),"⚠ Indica la cuenta «Hacia»",IF(AND(G31&lt;&gt;"",G31=E31),"⚠ «Hacia» igual a la cuenta",IF(AND(G31&lt;&gt;"",ISNA(MATCH(G31,ctaNom,0))),"⚠ «Hacia» no existe",IF(AND(I31="Pago tarjeta",IFERROR(INDEX(ctaTipo,MATCH(G31,ctaNom,0)),"")&lt;&gt;"Tarjeta de crédito"),"⚠ «Hacia» debe ser la tarjeta",IF(AND(I31="Trading",IFERROR(INDEX(ctaTipo,MATCH(E31,ctaNom,0)),"")&lt;&gt;"Cuenta de trading"),"⚠ Usa la cuenta de trading","✓"))))))))))))</f>
        <v/>
      </c>
      <c r="I31" s="19">
        <f>IF(OR(B31="",C31="",D31=""),"",IFERROR(INDEX(catTipo,MATCH(D31,catNom,0))&amp;"",""))</f>
        <v/>
      </c>
      <c r="J31" s="19">
        <f>IF(I31="","",IFERROR(INDEX(catGrupo,MATCH(D31,catNom,0))&amp;"",""))</f>
        <v/>
      </c>
      <c r="K31" s="19">
        <f>IF(I31="Gasto",IF(IFERROR(INDEX(catClas,MATCH(D31,catNom,0))&amp;"","")="","Variable",IFERROR(INDEX(catClas,MATCH(D31,catNom,0))&amp;"","")),"")</f>
        <v/>
      </c>
      <c r="L31" s="19">
        <f>IF(I31="","",IFERROR(INDEX(catAlim,MATCH(D31,catNom,0))&amp;"",""))</f>
        <v/>
      </c>
      <c r="M31" s="19">
        <f>IF(I31="","",IFERROR(INDEX(catComida,MATCH(D31,catNom,0))&amp;"",""))</f>
        <v/>
      </c>
      <c r="N31" s="19">
        <f>IF(I31="","",IFERROR(INDEX(ctaMon,MATCH(E31,ctaNom,0))&amp;"","DOP"))</f>
        <v/>
      </c>
      <c r="O31" s="20">
        <f>IF(I31="","",C31*IF(N31="USD",TasaUSD,1))</f>
        <v/>
      </c>
      <c r="P31" s="20">
        <f>IF(I31="","",IF(I31="Gasto",O31,0))</f>
        <v/>
      </c>
      <c r="Q31" s="20">
        <f>IF(I31="","",IF(I31="Ingreso",O31,0))</f>
        <v/>
      </c>
      <c r="R31" s="20">
        <f>IF(I31="","",IF(I31="Trading",O31,0))</f>
        <v/>
      </c>
      <c r="S31" s="19">
        <f>IF(I31="","",IF(AND(I31="Gasto",K31="Variable",J31&lt;&gt;"Trading",O31&gt;0,O31&lt;=Umbral),1,0))</f>
        <v/>
      </c>
      <c r="T31" s="20">
        <f>IF(OR(I31="",E31=""),"",IF(OR(I31="Gasto",I31="Transferencia",I31="Pago tarjeta"),-1,1)*C31)</f>
        <v/>
      </c>
      <c r="U31" s="20">
        <f>IF(OR(G31="",AND(I31&lt;&gt;"Transferencia",I31&lt;&gt;"Pago tarjeta")),"",IF(IFERROR(INDEX(ctaMon,MATCH(G31,ctaNom,0))&amp;"","DOP")=N31,C31,IF(N31="USD",C31*TasaUSD,C31/TasaUSD)))</f>
        <v/>
      </c>
      <c r="V31" s="20">
        <f>IF(I31="","",IF(IFERROR(INDEX(ctaLiq,MATCH(E31,ctaNom,0))="Sí",FALSE),IF(OR(I31="Gasto",I31="Transferencia",I31="Pago tarjeta"),-1,1)*O31,0)+IF(AND(U31&lt;&gt;"",IFERROR(INDEX(ctaLiq,MATCH(G31,ctaNom,0))="Sí",FALSE)),O31,0))</f>
        <v/>
      </c>
      <c r="W31" s="19">
        <f>IF(OR(F31="",I31=""),"",IF(COUNTIFS(F$6:F31,F31,I$6:I31,"?*")=1,MAX(W$5:W30)+1,""))</f>
        <v/>
      </c>
    </row>
    <row r="32">
      <c r="B32" s="15" t="n">
        <v>46276</v>
      </c>
      <c r="C32" s="16" t="n">
        <v>1000</v>
      </c>
      <c r="D32" s="17" t="inlineStr">
        <is>
          <t>Delivery</t>
        </is>
      </c>
      <c r="E32" s="17" t="inlineStr">
        <is>
          <t>Tarjeta de crédito</t>
        </is>
      </c>
      <c r="F32" s="17" t="inlineStr">
        <is>
          <t>DEMO App delivery</t>
        </is>
      </c>
      <c r="G32" s="17" t="n"/>
      <c r="H32" s="18">
        <f>IF(AND(B32="",C32="",D32="",E32=""),"",IF(B32="","⚠ Falta fecha",IF(C32="","⚠ Falta monto",IF(D32="","⚠ Falta categoría",IF(ISNA(MATCH(D32,catNom,0)),"⚠ Categoría no existe",IF(E32="","⚠ Falta cuenta",IF(ISNA(MATCH(E32,ctaNom,0)),"⚠ Cuenta no existe",IF(AND(OR(I32="Transferencia",I32="Pago tarjeta"),G32=""),"⚠ Indica la cuenta «Hacia»",IF(AND(G32&lt;&gt;"",G32=E32),"⚠ «Hacia» igual a la cuenta",IF(AND(G32&lt;&gt;"",ISNA(MATCH(G32,ctaNom,0))),"⚠ «Hacia» no existe",IF(AND(I32="Pago tarjeta",IFERROR(INDEX(ctaTipo,MATCH(G32,ctaNom,0)),"")&lt;&gt;"Tarjeta de crédito"),"⚠ «Hacia» debe ser la tarjeta",IF(AND(I32="Trading",IFERROR(INDEX(ctaTipo,MATCH(E32,ctaNom,0)),"")&lt;&gt;"Cuenta de trading"),"⚠ Usa la cuenta de trading","✓"))))))))))))</f>
        <v/>
      </c>
      <c r="I32" s="19">
        <f>IF(OR(B32="",C32="",D32=""),"",IFERROR(INDEX(catTipo,MATCH(D32,catNom,0))&amp;"",""))</f>
        <v/>
      </c>
      <c r="J32" s="19">
        <f>IF(I32="","",IFERROR(INDEX(catGrupo,MATCH(D32,catNom,0))&amp;"",""))</f>
        <v/>
      </c>
      <c r="K32" s="19">
        <f>IF(I32="Gasto",IF(IFERROR(INDEX(catClas,MATCH(D32,catNom,0))&amp;"","")="","Variable",IFERROR(INDEX(catClas,MATCH(D32,catNom,0))&amp;"","")),"")</f>
        <v/>
      </c>
      <c r="L32" s="19">
        <f>IF(I32="","",IFERROR(INDEX(catAlim,MATCH(D32,catNom,0))&amp;"",""))</f>
        <v/>
      </c>
      <c r="M32" s="19">
        <f>IF(I32="","",IFERROR(INDEX(catComida,MATCH(D32,catNom,0))&amp;"",""))</f>
        <v/>
      </c>
      <c r="N32" s="19">
        <f>IF(I32="","",IFERROR(INDEX(ctaMon,MATCH(E32,ctaNom,0))&amp;"","DOP"))</f>
        <v/>
      </c>
      <c r="O32" s="20">
        <f>IF(I32="","",C32*IF(N32="USD",TasaUSD,1))</f>
        <v/>
      </c>
      <c r="P32" s="20">
        <f>IF(I32="","",IF(I32="Gasto",O32,0))</f>
        <v/>
      </c>
      <c r="Q32" s="20">
        <f>IF(I32="","",IF(I32="Ingreso",O32,0))</f>
        <v/>
      </c>
      <c r="R32" s="20">
        <f>IF(I32="","",IF(I32="Trading",O32,0))</f>
        <v/>
      </c>
      <c r="S32" s="19">
        <f>IF(I32="","",IF(AND(I32="Gasto",K32="Variable",J32&lt;&gt;"Trading",O32&gt;0,O32&lt;=Umbral),1,0))</f>
        <v/>
      </c>
      <c r="T32" s="20">
        <f>IF(OR(I32="",E32=""),"",IF(OR(I32="Gasto",I32="Transferencia",I32="Pago tarjeta"),-1,1)*C32)</f>
        <v/>
      </c>
      <c r="U32" s="20">
        <f>IF(OR(G32="",AND(I32&lt;&gt;"Transferencia",I32&lt;&gt;"Pago tarjeta")),"",IF(IFERROR(INDEX(ctaMon,MATCH(G32,ctaNom,0))&amp;"","DOP")=N32,C32,IF(N32="USD",C32*TasaUSD,C32/TasaUSD)))</f>
        <v/>
      </c>
      <c r="V32" s="20">
        <f>IF(I32="","",IF(IFERROR(INDEX(ctaLiq,MATCH(E32,ctaNom,0))="Sí",FALSE),IF(OR(I32="Gasto",I32="Transferencia",I32="Pago tarjeta"),-1,1)*O32,0)+IF(AND(U32&lt;&gt;"",IFERROR(INDEX(ctaLiq,MATCH(G32,ctaNom,0))="Sí",FALSE)),O32,0))</f>
        <v/>
      </c>
      <c r="W32" s="19">
        <f>IF(OR(F32="",I32=""),"",IF(COUNTIFS(F$6:F32,F32,I$6:I32,"?*")=1,MAX(W$5:W31)+1,""))</f>
        <v/>
      </c>
    </row>
    <row r="33">
      <c r="B33" s="15" t="n">
        <v>46277</v>
      </c>
      <c r="C33" s="16" t="n">
        <v>425</v>
      </c>
      <c r="D33" s="17" t="inlineStr">
        <is>
          <t>Cena comprada</t>
        </is>
      </c>
      <c r="E33" s="17" t="inlineStr">
        <is>
          <t>Tarjeta de crédito</t>
        </is>
      </c>
      <c r="F33" s="17" t="inlineStr">
        <is>
          <t>DEMO Pizzería</t>
        </is>
      </c>
      <c r="G33" s="17" t="n"/>
      <c r="H33" s="18">
        <f>IF(AND(B33="",C33="",D33="",E33=""),"",IF(B33="","⚠ Falta fecha",IF(C33="","⚠ Falta monto",IF(D33="","⚠ Falta categoría",IF(ISNA(MATCH(D33,catNom,0)),"⚠ Categoría no existe",IF(E33="","⚠ Falta cuenta",IF(ISNA(MATCH(E33,ctaNom,0)),"⚠ Cuenta no existe",IF(AND(OR(I33="Transferencia",I33="Pago tarjeta"),G33=""),"⚠ Indica la cuenta «Hacia»",IF(AND(G33&lt;&gt;"",G33=E33),"⚠ «Hacia» igual a la cuenta",IF(AND(G33&lt;&gt;"",ISNA(MATCH(G33,ctaNom,0))),"⚠ «Hacia» no existe",IF(AND(I33="Pago tarjeta",IFERROR(INDEX(ctaTipo,MATCH(G33,ctaNom,0)),"")&lt;&gt;"Tarjeta de crédito"),"⚠ «Hacia» debe ser la tarjeta",IF(AND(I33="Trading",IFERROR(INDEX(ctaTipo,MATCH(E33,ctaNom,0)),"")&lt;&gt;"Cuenta de trading"),"⚠ Usa la cuenta de trading","✓"))))))))))))</f>
        <v/>
      </c>
      <c r="I33" s="19">
        <f>IF(OR(B33="",C33="",D33=""),"",IFERROR(INDEX(catTipo,MATCH(D33,catNom,0))&amp;"",""))</f>
        <v/>
      </c>
      <c r="J33" s="19">
        <f>IF(I33="","",IFERROR(INDEX(catGrupo,MATCH(D33,catNom,0))&amp;"",""))</f>
        <v/>
      </c>
      <c r="K33" s="19">
        <f>IF(I33="Gasto",IF(IFERROR(INDEX(catClas,MATCH(D33,catNom,0))&amp;"","")="","Variable",IFERROR(INDEX(catClas,MATCH(D33,catNom,0))&amp;"","")),"")</f>
        <v/>
      </c>
      <c r="L33" s="19">
        <f>IF(I33="","",IFERROR(INDEX(catAlim,MATCH(D33,catNom,0))&amp;"",""))</f>
        <v/>
      </c>
      <c r="M33" s="19">
        <f>IF(I33="","",IFERROR(INDEX(catComida,MATCH(D33,catNom,0))&amp;"",""))</f>
        <v/>
      </c>
      <c r="N33" s="19">
        <f>IF(I33="","",IFERROR(INDEX(ctaMon,MATCH(E33,ctaNom,0))&amp;"","DOP"))</f>
        <v/>
      </c>
      <c r="O33" s="20">
        <f>IF(I33="","",C33*IF(N33="USD",TasaUSD,1))</f>
        <v/>
      </c>
      <c r="P33" s="20">
        <f>IF(I33="","",IF(I33="Gasto",O33,0))</f>
        <v/>
      </c>
      <c r="Q33" s="20">
        <f>IF(I33="","",IF(I33="Ingreso",O33,0))</f>
        <v/>
      </c>
      <c r="R33" s="20">
        <f>IF(I33="","",IF(I33="Trading",O33,0))</f>
        <v/>
      </c>
      <c r="S33" s="19">
        <f>IF(I33="","",IF(AND(I33="Gasto",K33="Variable",J33&lt;&gt;"Trading",O33&gt;0,O33&lt;=Umbral),1,0))</f>
        <v/>
      </c>
      <c r="T33" s="20">
        <f>IF(OR(I33="",E33=""),"",IF(OR(I33="Gasto",I33="Transferencia",I33="Pago tarjeta"),-1,1)*C33)</f>
        <v/>
      </c>
      <c r="U33" s="20">
        <f>IF(OR(G33="",AND(I33&lt;&gt;"Transferencia",I33&lt;&gt;"Pago tarjeta")),"",IF(IFERROR(INDEX(ctaMon,MATCH(G33,ctaNom,0))&amp;"","DOP")=N33,C33,IF(N33="USD",C33*TasaUSD,C33/TasaUSD)))</f>
        <v/>
      </c>
      <c r="V33" s="20">
        <f>IF(I33="","",IF(IFERROR(INDEX(ctaLiq,MATCH(E33,ctaNom,0))="Sí",FALSE),IF(OR(I33="Gasto",I33="Transferencia",I33="Pago tarjeta"),-1,1)*O33,0)+IF(AND(U33&lt;&gt;"",IFERROR(INDEX(ctaLiq,MATCH(G33,ctaNom,0))="Sí",FALSE)),O33,0))</f>
        <v/>
      </c>
      <c r="W33" s="19">
        <f>IF(OR(F33="",I33=""),"",IF(COUNTIFS(F$6:F33,F33,I$6:I33,"?*")=1,MAX(W$5:W32)+1,""))</f>
        <v/>
      </c>
    </row>
    <row r="34">
      <c r="B34" s="15" t="n">
        <v>46277</v>
      </c>
      <c r="C34" s="16" t="n">
        <v>3150</v>
      </c>
      <c r="D34" s="17" t="inlineStr">
        <is>
          <t>Electricidad</t>
        </is>
      </c>
      <c r="E34" s="17" t="inlineStr">
        <is>
          <t>Banco</t>
        </is>
      </c>
      <c r="F34" s="17" t="inlineStr">
        <is>
          <t>DEMO Electricidad</t>
        </is>
      </c>
      <c r="G34" s="17" t="n"/>
      <c r="H34" s="18">
        <f>IF(AND(B34="",C34="",D34="",E34=""),"",IF(B34="","⚠ Falta fecha",IF(C34="","⚠ Falta monto",IF(D34="","⚠ Falta categoría",IF(ISNA(MATCH(D34,catNom,0)),"⚠ Categoría no existe",IF(E34="","⚠ Falta cuenta",IF(ISNA(MATCH(E34,ctaNom,0)),"⚠ Cuenta no existe",IF(AND(OR(I34="Transferencia",I34="Pago tarjeta"),G34=""),"⚠ Indica la cuenta «Hacia»",IF(AND(G34&lt;&gt;"",G34=E34),"⚠ «Hacia» igual a la cuenta",IF(AND(G34&lt;&gt;"",ISNA(MATCH(G34,ctaNom,0))),"⚠ «Hacia» no existe",IF(AND(I34="Pago tarjeta",IFERROR(INDEX(ctaTipo,MATCH(G34,ctaNom,0)),"")&lt;&gt;"Tarjeta de crédito"),"⚠ «Hacia» debe ser la tarjeta",IF(AND(I34="Trading",IFERROR(INDEX(ctaTipo,MATCH(E34,ctaNom,0)),"")&lt;&gt;"Cuenta de trading"),"⚠ Usa la cuenta de trading","✓"))))))))))))</f>
        <v/>
      </c>
      <c r="I34" s="19">
        <f>IF(OR(B34="",C34="",D34=""),"",IFERROR(INDEX(catTipo,MATCH(D34,catNom,0))&amp;"",""))</f>
        <v/>
      </c>
      <c r="J34" s="19">
        <f>IF(I34="","",IFERROR(INDEX(catGrupo,MATCH(D34,catNom,0))&amp;"",""))</f>
        <v/>
      </c>
      <c r="K34" s="19">
        <f>IF(I34="Gasto",IF(IFERROR(INDEX(catClas,MATCH(D34,catNom,0))&amp;"","")="","Variable",IFERROR(INDEX(catClas,MATCH(D34,catNom,0))&amp;"","")),"")</f>
        <v/>
      </c>
      <c r="L34" s="19">
        <f>IF(I34="","",IFERROR(INDEX(catAlim,MATCH(D34,catNom,0))&amp;"",""))</f>
        <v/>
      </c>
      <c r="M34" s="19">
        <f>IF(I34="","",IFERROR(INDEX(catComida,MATCH(D34,catNom,0))&amp;"",""))</f>
        <v/>
      </c>
      <c r="N34" s="19">
        <f>IF(I34="","",IFERROR(INDEX(ctaMon,MATCH(E34,ctaNom,0))&amp;"","DOP"))</f>
        <v/>
      </c>
      <c r="O34" s="20">
        <f>IF(I34="","",C34*IF(N34="USD",TasaUSD,1))</f>
        <v/>
      </c>
      <c r="P34" s="20">
        <f>IF(I34="","",IF(I34="Gasto",O34,0))</f>
        <v/>
      </c>
      <c r="Q34" s="20">
        <f>IF(I34="","",IF(I34="Ingreso",O34,0))</f>
        <v/>
      </c>
      <c r="R34" s="20">
        <f>IF(I34="","",IF(I34="Trading",O34,0))</f>
        <v/>
      </c>
      <c r="S34" s="19">
        <f>IF(I34="","",IF(AND(I34="Gasto",K34="Variable",J34&lt;&gt;"Trading",O34&gt;0,O34&lt;=Umbral),1,0))</f>
        <v/>
      </c>
      <c r="T34" s="20">
        <f>IF(OR(I34="",E34=""),"",IF(OR(I34="Gasto",I34="Transferencia",I34="Pago tarjeta"),-1,1)*C34)</f>
        <v/>
      </c>
      <c r="U34" s="20">
        <f>IF(OR(G34="",AND(I34&lt;&gt;"Transferencia",I34&lt;&gt;"Pago tarjeta")),"",IF(IFERROR(INDEX(ctaMon,MATCH(G34,ctaNom,0))&amp;"","DOP")=N34,C34,IF(N34="USD",C34*TasaUSD,C34/TasaUSD)))</f>
        <v/>
      </c>
      <c r="V34" s="20">
        <f>IF(I34="","",IF(IFERROR(INDEX(ctaLiq,MATCH(E34,ctaNom,0))="Sí",FALSE),IF(OR(I34="Gasto",I34="Transferencia",I34="Pago tarjeta"),-1,1)*O34,0)+IF(AND(U34&lt;&gt;"",IFERROR(INDEX(ctaLiq,MATCH(G34,ctaNom,0))="Sí",FALSE)),O34,0))</f>
        <v/>
      </c>
      <c r="W34" s="19">
        <f>IF(OR(F34="",I34=""),"",IF(COUNTIFS(F$6:F34,F34,I$6:I34,"?*")=1,MAX(W$5:W33)+1,""))</f>
        <v/>
      </c>
    </row>
    <row r="35">
      <c r="B35" s="15" t="n">
        <v>46277</v>
      </c>
      <c r="C35" s="16" t="n">
        <v>4200</v>
      </c>
      <c r="D35" s="17" t="inlineStr">
        <is>
          <t>Restaurante</t>
        </is>
      </c>
      <c r="E35" s="17" t="inlineStr">
        <is>
          <t>Tarjeta de crédito</t>
        </is>
      </c>
      <c r="F35" s="17" t="inlineStr">
        <is>
          <t>DEMO Restaurante</t>
        </is>
      </c>
      <c r="G35" s="17" t="n"/>
      <c r="H35" s="18">
        <f>IF(AND(B35="",C35="",D35="",E35=""),"",IF(B35="","⚠ Falta fecha",IF(C35="","⚠ Falta monto",IF(D35="","⚠ Falta categoría",IF(ISNA(MATCH(D35,catNom,0)),"⚠ Categoría no existe",IF(E35="","⚠ Falta cuenta",IF(ISNA(MATCH(E35,ctaNom,0)),"⚠ Cuenta no existe",IF(AND(OR(I35="Transferencia",I35="Pago tarjeta"),G35=""),"⚠ Indica la cuenta «Hacia»",IF(AND(G35&lt;&gt;"",G35=E35),"⚠ «Hacia» igual a la cuenta",IF(AND(G35&lt;&gt;"",ISNA(MATCH(G35,ctaNom,0))),"⚠ «Hacia» no existe",IF(AND(I35="Pago tarjeta",IFERROR(INDEX(ctaTipo,MATCH(G35,ctaNom,0)),"")&lt;&gt;"Tarjeta de crédito"),"⚠ «Hacia» debe ser la tarjeta",IF(AND(I35="Trading",IFERROR(INDEX(ctaTipo,MATCH(E35,ctaNom,0)),"")&lt;&gt;"Cuenta de trading"),"⚠ Usa la cuenta de trading","✓"))))))))))))</f>
        <v/>
      </c>
      <c r="I35" s="19">
        <f>IF(OR(B35="",C35="",D35=""),"",IFERROR(INDEX(catTipo,MATCH(D35,catNom,0))&amp;"",""))</f>
        <v/>
      </c>
      <c r="J35" s="19">
        <f>IF(I35="","",IFERROR(INDEX(catGrupo,MATCH(D35,catNom,0))&amp;"",""))</f>
        <v/>
      </c>
      <c r="K35" s="19">
        <f>IF(I35="Gasto",IF(IFERROR(INDEX(catClas,MATCH(D35,catNom,0))&amp;"","")="","Variable",IFERROR(INDEX(catClas,MATCH(D35,catNom,0))&amp;"","")),"")</f>
        <v/>
      </c>
      <c r="L35" s="19">
        <f>IF(I35="","",IFERROR(INDEX(catAlim,MATCH(D35,catNom,0))&amp;"",""))</f>
        <v/>
      </c>
      <c r="M35" s="19">
        <f>IF(I35="","",IFERROR(INDEX(catComida,MATCH(D35,catNom,0))&amp;"",""))</f>
        <v/>
      </c>
      <c r="N35" s="19">
        <f>IF(I35="","",IFERROR(INDEX(ctaMon,MATCH(E35,ctaNom,0))&amp;"","DOP"))</f>
        <v/>
      </c>
      <c r="O35" s="20">
        <f>IF(I35="","",C35*IF(N35="USD",TasaUSD,1))</f>
        <v/>
      </c>
      <c r="P35" s="20">
        <f>IF(I35="","",IF(I35="Gasto",O35,0))</f>
        <v/>
      </c>
      <c r="Q35" s="20">
        <f>IF(I35="","",IF(I35="Ingreso",O35,0))</f>
        <v/>
      </c>
      <c r="R35" s="20">
        <f>IF(I35="","",IF(I35="Trading",O35,0))</f>
        <v/>
      </c>
      <c r="S35" s="19">
        <f>IF(I35="","",IF(AND(I35="Gasto",K35="Variable",J35&lt;&gt;"Trading",O35&gt;0,O35&lt;=Umbral),1,0))</f>
        <v/>
      </c>
      <c r="T35" s="20">
        <f>IF(OR(I35="",E35=""),"",IF(OR(I35="Gasto",I35="Transferencia",I35="Pago tarjeta"),-1,1)*C35)</f>
        <v/>
      </c>
      <c r="U35" s="20">
        <f>IF(OR(G35="",AND(I35&lt;&gt;"Transferencia",I35&lt;&gt;"Pago tarjeta")),"",IF(IFERROR(INDEX(ctaMon,MATCH(G35,ctaNom,0))&amp;"","DOP")=N35,C35,IF(N35="USD",C35*TasaUSD,C35/TasaUSD)))</f>
        <v/>
      </c>
      <c r="V35" s="20">
        <f>IF(I35="","",IF(IFERROR(INDEX(ctaLiq,MATCH(E35,ctaNom,0))="Sí",FALSE),IF(OR(I35="Gasto",I35="Transferencia",I35="Pago tarjeta"),-1,1)*O35,0)+IF(AND(U35&lt;&gt;"",IFERROR(INDEX(ctaLiq,MATCH(G35,ctaNom,0))="Sí",FALSE)),O35,0))</f>
        <v/>
      </c>
      <c r="W35" s="19">
        <f>IF(OR(F35="",I35=""),"",IF(COUNTIFS(F$6:F35,F35,I$6:I35,"?*")=1,MAX(W$5:W34)+1,""))</f>
        <v/>
      </c>
    </row>
    <row r="36">
      <c r="B36" s="15" t="n">
        <v>46279</v>
      </c>
      <c r="C36" s="16" t="n">
        <v>270</v>
      </c>
      <c r="D36" s="17" t="inlineStr">
        <is>
          <t>Desayuno comprado</t>
        </is>
      </c>
      <c r="E36" s="17" t="inlineStr">
        <is>
          <t>Efectivo</t>
        </is>
      </c>
      <c r="F36" s="17" t="inlineStr">
        <is>
          <t>DEMO Cafetería</t>
        </is>
      </c>
      <c r="G36" s="17" t="n"/>
      <c r="H36" s="18">
        <f>IF(AND(B36="",C36="",D36="",E36=""),"",IF(B36="","⚠ Falta fecha",IF(C36="","⚠ Falta monto",IF(D36="","⚠ Falta categoría",IF(ISNA(MATCH(D36,catNom,0)),"⚠ Categoría no existe",IF(E36="","⚠ Falta cuenta",IF(ISNA(MATCH(E36,ctaNom,0)),"⚠ Cuenta no existe",IF(AND(OR(I36="Transferencia",I36="Pago tarjeta"),G36=""),"⚠ Indica la cuenta «Hacia»",IF(AND(G36&lt;&gt;"",G36=E36),"⚠ «Hacia» igual a la cuenta",IF(AND(G36&lt;&gt;"",ISNA(MATCH(G36,ctaNom,0))),"⚠ «Hacia» no existe",IF(AND(I36="Pago tarjeta",IFERROR(INDEX(ctaTipo,MATCH(G36,ctaNom,0)),"")&lt;&gt;"Tarjeta de crédito"),"⚠ «Hacia» debe ser la tarjeta",IF(AND(I36="Trading",IFERROR(INDEX(ctaTipo,MATCH(E36,ctaNom,0)),"")&lt;&gt;"Cuenta de trading"),"⚠ Usa la cuenta de trading","✓"))))))))))))</f>
        <v/>
      </c>
      <c r="I36" s="19">
        <f>IF(OR(B36="",C36="",D36=""),"",IFERROR(INDEX(catTipo,MATCH(D36,catNom,0))&amp;"",""))</f>
        <v/>
      </c>
      <c r="J36" s="19">
        <f>IF(I36="","",IFERROR(INDEX(catGrupo,MATCH(D36,catNom,0))&amp;"",""))</f>
        <v/>
      </c>
      <c r="K36" s="19">
        <f>IF(I36="Gasto",IF(IFERROR(INDEX(catClas,MATCH(D36,catNom,0))&amp;"","")="","Variable",IFERROR(INDEX(catClas,MATCH(D36,catNom,0))&amp;"","")),"")</f>
        <v/>
      </c>
      <c r="L36" s="19">
        <f>IF(I36="","",IFERROR(INDEX(catAlim,MATCH(D36,catNom,0))&amp;"",""))</f>
        <v/>
      </c>
      <c r="M36" s="19">
        <f>IF(I36="","",IFERROR(INDEX(catComida,MATCH(D36,catNom,0))&amp;"",""))</f>
        <v/>
      </c>
      <c r="N36" s="19">
        <f>IF(I36="","",IFERROR(INDEX(ctaMon,MATCH(E36,ctaNom,0))&amp;"","DOP"))</f>
        <v/>
      </c>
      <c r="O36" s="20">
        <f>IF(I36="","",C36*IF(N36="USD",TasaUSD,1))</f>
        <v/>
      </c>
      <c r="P36" s="20">
        <f>IF(I36="","",IF(I36="Gasto",O36,0))</f>
        <v/>
      </c>
      <c r="Q36" s="20">
        <f>IF(I36="","",IF(I36="Ingreso",O36,0))</f>
        <v/>
      </c>
      <c r="R36" s="20">
        <f>IF(I36="","",IF(I36="Trading",O36,0))</f>
        <v/>
      </c>
      <c r="S36" s="19">
        <f>IF(I36="","",IF(AND(I36="Gasto",K36="Variable",J36&lt;&gt;"Trading",O36&gt;0,O36&lt;=Umbral),1,0))</f>
        <v/>
      </c>
      <c r="T36" s="20">
        <f>IF(OR(I36="",E36=""),"",IF(OR(I36="Gasto",I36="Transferencia",I36="Pago tarjeta"),-1,1)*C36)</f>
        <v/>
      </c>
      <c r="U36" s="20">
        <f>IF(OR(G36="",AND(I36&lt;&gt;"Transferencia",I36&lt;&gt;"Pago tarjeta")),"",IF(IFERROR(INDEX(ctaMon,MATCH(G36,ctaNom,0))&amp;"","DOP")=N36,C36,IF(N36="USD",C36*TasaUSD,C36/TasaUSD)))</f>
        <v/>
      </c>
      <c r="V36" s="20">
        <f>IF(I36="","",IF(IFERROR(INDEX(ctaLiq,MATCH(E36,ctaNom,0))="Sí",FALSE),IF(OR(I36="Gasto",I36="Transferencia",I36="Pago tarjeta"),-1,1)*O36,0)+IF(AND(U36&lt;&gt;"",IFERROR(INDEX(ctaLiq,MATCH(G36,ctaNom,0))="Sí",FALSE)),O36,0))</f>
        <v/>
      </c>
      <c r="W36" s="19">
        <f>IF(OR(F36="",I36=""),"",IF(COUNTIFS(F$6:F36,F36,I$6:I36,"?*")=1,MAX(W$5:W35)+1,""))</f>
        <v/>
      </c>
    </row>
    <row r="37">
      <c r="B37" s="15" t="n">
        <v>46279</v>
      </c>
      <c r="C37" s="16" t="n">
        <v>500</v>
      </c>
      <c r="D37" s="17" t="inlineStr">
        <is>
          <t>Almuerzo comprado</t>
        </is>
      </c>
      <c r="E37" s="17" t="inlineStr">
        <is>
          <t>Billetera digital</t>
        </is>
      </c>
      <c r="F37" s="17" t="inlineStr">
        <is>
          <t>DEMO Comedor</t>
        </is>
      </c>
      <c r="G37" s="17" t="n"/>
      <c r="H37" s="18">
        <f>IF(AND(B37="",C37="",D37="",E37=""),"",IF(B37="","⚠ Falta fecha",IF(C37="","⚠ Falta monto",IF(D37="","⚠ Falta categoría",IF(ISNA(MATCH(D37,catNom,0)),"⚠ Categoría no existe",IF(E37="","⚠ Falta cuenta",IF(ISNA(MATCH(E37,ctaNom,0)),"⚠ Cuenta no existe",IF(AND(OR(I37="Transferencia",I37="Pago tarjeta"),G37=""),"⚠ Indica la cuenta «Hacia»",IF(AND(G37&lt;&gt;"",G37=E37),"⚠ «Hacia» igual a la cuenta",IF(AND(G37&lt;&gt;"",ISNA(MATCH(G37,ctaNom,0))),"⚠ «Hacia» no existe",IF(AND(I37="Pago tarjeta",IFERROR(INDEX(ctaTipo,MATCH(G37,ctaNom,0)),"")&lt;&gt;"Tarjeta de crédito"),"⚠ «Hacia» debe ser la tarjeta",IF(AND(I37="Trading",IFERROR(INDEX(ctaTipo,MATCH(E37,ctaNom,0)),"")&lt;&gt;"Cuenta de trading"),"⚠ Usa la cuenta de trading","✓"))))))))))))</f>
        <v/>
      </c>
      <c r="I37" s="19">
        <f>IF(OR(B37="",C37="",D37=""),"",IFERROR(INDEX(catTipo,MATCH(D37,catNom,0))&amp;"",""))</f>
        <v/>
      </c>
      <c r="J37" s="19">
        <f>IF(I37="","",IFERROR(INDEX(catGrupo,MATCH(D37,catNom,0))&amp;"",""))</f>
        <v/>
      </c>
      <c r="K37" s="19">
        <f>IF(I37="Gasto",IF(IFERROR(INDEX(catClas,MATCH(D37,catNom,0))&amp;"","")="","Variable",IFERROR(INDEX(catClas,MATCH(D37,catNom,0))&amp;"","")),"")</f>
        <v/>
      </c>
      <c r="L37" s="19">
        <f>IF(I37="","",IFERROR(INDEX(catAlim,MATCH(D37,catNom,0))&amp;"",""))</f>
        <v/>
      </c>
      <c r="M37" s="19">
        <f>IF(I37="","",IFERROR(INDEX(catComida,MATCH(D37,catNom,0))&amp;"",""))</f>
        <v/>
      </c>
      <c r="N37" s="19">
        <f>IF(I37="","",IFERROR(INDEX(ctaMon,MATCH(E37,ctaNom,0))&amp;"","DOP"))</f>
        <v/>
      </c>
      <c r="O37" s="20">
        <f>IF(I37="","",C37*IF(N37="USD",TasaUSD,1))</f>
        <v/>
      </c>
      <c r="P37" s="20">
        <f>IF(I37="","",IF(I37="Gasto",O37,0))</f>
        <v/>
      </c>
      <c r="Q37" s="20">
        <f>IF(I37="","",IF(I37="Ingreso",O37,0))</f>
        <v/>
      </c>
      <c r="R37" s="20">
        <f>IF(I37="","",IF(I37="Trading",O37,0))</f>
        <v/>
      </c>
      <c r="S37" s="19">
        <f>IF(I37="","",IF(AND(I37="Gasto",K37="Variable",J37&lt;&gt;"Trading",O37&gt;0,O37&lt;=Umbral),1,0))</f>
        <v/>
      </c>
      <c r="T37" s="20">
        <f>IF(OR(I37="",E37=""),"",IF(OR(I37="Gasto",I37="Transferencia",I37="Pago tarjeta"),-1,1)*C37)</f>
        <v/>
      </c>
      <c r="U37" s="20">
        <f>IF(OR(G37="",AND(I37&lt;&gt;"Transferencia",I37&lt;&gt;"Pago tarjeta")),"",IF(IFERROR(INDEX(ctaMon,MATCH(G37,ctaNom,0))&amp;"","DOP")=N37,C37,IF(N37="USD",C37*TasaUSD,C37/TasaUSD)))</f>
        <v/>
      </c>
      <c r="V37" s="20">
        <f>IF(I37="","",IF(IFERROR(INDEX(ctaLiq,MATCH(E37,ctaNom,0))="Sí",FALSE),IF(OR(I37="Gasto",I37="Transferencia",I37="Pago tarjeta"),-1,1)*O37,0)+IF(AND(U37&lt;&gt;"",IFERROR(INDEX(ctaLiq,MATCH(G37,ctaNom,0))="Sí",FALSE)),O37,0))</f>
        <v/>
      </c>
      <c r="W37" s="19">
        <f>IF(OR(F37="",I37=""),"",IF(COUNTIFS(F$6:F37,F37,I$6:I37,"?*")=1,MAX(W$5:W36)+1,""))</f>
        <v/>
      </c>
    </row>
    <row r="38">
      <c r="B38" s="15" t="n">
        <v>46279</v>
      </c>
      <c r="C38" s="16" t="n">
        <v>160</v>
      </c>
      <c r="D38" s="17" t="inlineStr">
        <is>
          <t>Snacks y bebidas</t>
        </is>
      </c>
      <c r="E38" s="17" t="inlineStr">
        <is>
          <t>Efectivo</t>
        </is>
      </c>
      <c r="F38" s="17" t="inlineStr">
        <is>
          <t>DEMO Colmado</t>
        </is>
      </c>
      <c r="G38" s="17" t="n"/>
      <c r="H38" s="18">
        <f>IF(AND(B38="",C38="",D38="",E38=""),"",IF(B38="","⚠ Falta fecha",IF(C38="","⚠ Falta monto",IF(D38="","⚠ Falta categoría",IF(ISNA(MATCH(D38,catNom,0)),"⚠ Categoría no existe",IF(E38="","⚠ Falta cuenta",IF(ISNA(MATCH(E38,ctaNom,0)),"⚠ Cuenta no existe",IF(AND(OR(I38="Transferencia",I38="Pago tarjeta"),G38=""),"⚠ Indica la cuenta «Hacia»",IF(AND(G38&lt;&gt;"",G38=E38),"⚠ «Hacia» igual a la cuenta",IF(AND(G38&lt;&gt;"",ISNA(MATCH(G38,ctaNom,0))),"⚠ «Hacia» no existe",IF(AND(I38="Pago tarjeta",IFERROR(INDEX(ctaTipo,MATCH(G38,ctaNom,0)),"")&lt;&gt;"Tarjeta de crédito"),"⚠ «Hacia» debe ser la tarjeta",IF(AND(I38="Trading",IFERROR(INDEX(ctaTipo,MATCH(E38,ctaNom,0)),"")&lt;&gt;"Cuenta de trading"),"⚠ Usa la cuenta de trading","✓"))))))))))))</f>
        <v/>
      </c>
      <c r="I38" s="19">
        <f>IF(OR(B38="",C38="",D38=""),"",IFERROR(INDEX(catTipo,MATCH(D38,catNom,0))&amp;"",""))</f>
        <v/>
      </c>
      <c r="J38" s="19">
        <f>IF(I38="","",IFERROR(INDEX(catGrupo,MATCH(D38,catNom,0))&amp;"",""))</f>
        <v/>
      </c>
      <c r="K38" s="19">
        <f>IF(I38="Gasto",IF(IFERROR(INDEX(catClas,MATCH(D38,catNom,0))&amp;"","")="","Variable",IFERROR(INDEX(catClas,MATCH(D38,catNom,0))&amp;"","")),"")</f>
        <v/>
      </c>
      <c r="L38" s="19">
        <f>IF(I38="","",IFERROR(INDEX(catAlim,MATCH(D38,catNom,0))&amp;"",""))</f>
        <v/>
      </c>
      <c r="M38" s="19">
        <f>IF(I38="","",IFERROR(INDEX(catComida,MATCH(D38,catNom,0))&amp;"",""))</f>
        <v/>
      </c>
      <c r="N38" s="19">
        <f>IF(I38="","",IFERROR(INDEX(ctaMon,MATCH(E38,ctaNom,0))&amp;"","DOP"))</f>
        <v/>
      </c>
      <c r="O38" s="20">
        <f>IF(I38="","",C38*IF(N38="USD",TasaUSD,1))</f>
        <v/>
      </c>
      <c r="P38" s="20">
        <f>IF(I38="","",IF(I38="Gasto",O38,0))</f>
        <v/>
      </c>
      <c r="Q38" s="20">
        <f>IF(I38="","",IF(I38="Ingreso",O38,0))</f>
        <v/>
      </c>
      <c r="R38" s="20">
        <f>IF(I38="","",IF(I38="Trading",O38,0))</f>
        <v/>
      </c>
      <c r="S38" s="19">
        <f>IF(I38="","",IF(AND(I38="Gasto",K38="Variable",J38&lt;&gt;"Trading",O38&gt;0,O38&lt;=Umbral),1,0))</f>
        <v/>
      </c>
      <c r="T38" s="20">
        <f>IF(OR(I38="",E38=""),"",IF(OR(I38="Gasto",I38="Transferencia",I38="Pago tarjeta"),-1,1)*C38)</f>
        <v/>
      </c>
      <c r="U38" s="20">
        <f>IF(OR(G38="",AND(I38&lt;&gt;"Transferencia",I38&lt;&gt;"Pago tarjeta")),"",IF(IFERROR(INDEX(ctaMon,MATCH(G38,ctaNom,0))&amp;"","DOP")=N38,C38,IF(N38="USD",C38*TasaUSD,C38/TasaUSD)))</f>
        <v/>
      </c>
      <c r="V38" s="20">
        <f>IF(I38="","",IF(IFERROR(INDEX(ctaLiq,MATCH(E38,ctaNom,0))="Sí",FALSE),IF(OR(I38="Gasto",I38="Transferencia",I38="Pago tarjeta"),-1,1)*O38,0)+IF(AND(U38&lt;&gt;"",IFERROR(INDEX(ctaLiq,MATCH(G38,ctaNom,0))="Sí",FALSE)),O38,0))</f>
        <v/>
      </c>
      <c r="W38" s="19">
        <f>IF(OR(F38="",I38=""),"",IF(COUNTIFS(F$6:F38,F38,I$6:I38,"?*")=1,MAX(W$5:W37)+1,""))</f>
        <v/>
      </c>
    </row>
    <row r="39">
      <c r="B39" s="15" t="n">
        <v>46279</v>
      </c>
      <c r="C39" s="16" t="n">
        <v>2950</v>
      </c>
      <c r="D39" s="17" t="inlineStr">
        <is>
          <t>Combustible</t>
        </is>
      </c>
      <c r="E39" s="17" t="inlineStr">
        <is>
          <t>Tarjeta de crédito</t>
        </is>
      </c>
      <c r="F39" s="17" t="inlineStr">
        <is>
          <t>DEMO Gasolinera</t>
        </is>
      </c>
      <c r="G39" s="17" t="n"/>
      <c r="H39" s="18">
        <f>IF(AND(B39="",C39="",D39="",E39=""),"",IF(B39="","⚠ Falta fecha",IF(C39="","⚠ Falta monto",IF(D39="","⚠ Falta categoría",IF(ISNA(MATCH(D39,catNom,0)),"⚠ Categoría no existe",IF(E39="","⚠ Falta cuenta",IF(ISNA(MATCH(E39,ctaNom,0)),"⚠ Cuenta no existe",IF(AND(OR(I39="Transferencia",I39="Pago tarjeta"),G39=""),"⚠ Indica la cuenta «Hacia»",IF(AND(G39&lt;&gt;"",G39=E39),"⚠ «Hacia» igual a la cuenta",IF(AND(G39&lt;&gt;"",ISNA(MATCH(G39,ctaNom,0))),"⚠ «Hacia» no existe",IF(AND(I39="Pago tarjeta",IFERROR(INDEX(ctaTipo,MATCH(G39,ctaNom,0)),"")&lt;&gt;"Tarjeta de crédito"),"⚠ «Hacia» debe ser la tarjeta",IF(AND(I39="Trading",IFERROR(INDEX(ctaTipo,MATCH(E39,ctaNom,0)),"")&lt;&gt;"Cuenta de trading"),"⚠ Usa la cuenta de trading","✓"))))))))))))</f>
        <v/>
      </c>
      <c r="I39" s="19">
        <f>IF(OR(B39="",C39="",D39=""),"",IFERROR(INDEX(catTipo,MATCH(D39,catNom,0))&amp;"",""))</f>
        <v/>
      </c>
      <c r="J39" s="19">
        <f>IF(I39="","",IFERROR(INDEX(catGrupo,MATCH(D39,catNom,0))&amp;"",""))</f>
        <v/>
      </c>
      <c r="K39" s="19">
        <f>IF(I39="Gasto",IF(IFERROR(INDEX(catClas,MATCH(D39,catNom,0))&amp;"","")="","Variable",IFERROR(INDEX(catClas,MATCH(D39,catNom,0))&amp;"","")),"")</f>
        <v/>
      </c>
      <c r="L39" s="19">
        <f>IF(I39="","",IFERROR(INDEX(catAlim,MATCH(D39,catNom,0))&amp;"",""))</f>
        <v/>
      </c>
      <c r="M39" s="19">
        <f>IF(I39="","",IFERROR(INDEX(catComida,MATCH(D39,catNom,0))&amp;"",""))</f>
        <v/>
      </c>
      <c r="N39" s="19">
        <f>IF(I39="","",IFERROR(INDEX(ctaMon,MATCH(E39,ctaNom,0))&amp;"","DOP"))</f>
        <v/>
      </c>
      <c r="O39" s="20">
        <f>IF(I39="","",C39*IF(N39="USD",TasaUSD,1))</f>
        <v/>
      </c>
      <c r="P39" s="20">
        <f>IF(I39="","",IF(I39="Gasto",O39,0))</f>
        <v/>
      </c>
      <c r="Q39" s="20">
        <f>IF(I39="","",IF(I39="Ingreso",O39,0))</f>
        <v/>
      </c>
      <c r="R39" s="20">
        <f>IF(I39="","",IF(I39="Trading",O39,0))</f>
        <v/>
      </c>
      <c r="S39" s="19">
        <f>IF(I39="","",IF(AND(I39="Gasto",K39="Variable",J39&lt;&gt;"Trading",O39&gt;0,O39&lt;=Umbral),1,0))</f>
        <v/>
      </c>
      <c r="T39" s="20">
        <f>IF(OR(I39="",E39=""),"",IF(OR(I39="Gasto",I39="Transferencia",I39="Pago tarjeta"),-1,1)*C39)</f>
        <v/>
      </c>
      <c r="U39" s="20">
        <f>IF(OR(G39="",AND(I39&lt;&gt;"Transferencia",I39&lt;&gt;"Pago tarjeta")),"",IF(IFERROR(INDEX(ctaMon,MATCH(G39,ctaNom,0))&amp;"","DOP")=N39,C39,IF(N39="USD",C39*TasaUSD,C39/TasaUSD)))</f>
        <v/>
      </c>
      <c r="V39" s="20">
        <f>IF(I39="","",IF(IFERROR(INDEX(ctaLiq,MATCH(E39,ctaNom,0))="Sí",FALSE),IF(OR(I39="Gasto",I39="Transferencia",I39="Pago tarjeta"),-1,1)*O39,0)+IF(AND(U39&lt;&gt;"",IFERROR(INDEX(ctaLiq,MATCH(G39,ctaNom,0))="Sí",FALSE)),O39,0))</f>
        <v/>
      </c>
      <c r="W39" s="19">
        <f>IF(OR(F39="",I39=""),"",IF(COUNTIFS(F$6:F39,F39,I$6:I39,"?*")=1,MAX(W$5:W38)+1,""))</f>
        <v/>
      </c>
    </row>
    <row r="40">
      <c r="B40" s="15" t="n">
        <v>46279</v>
      </c>
      <c r="C40" s="16" t="n">
        <v>-1400</v>
      </c>
      <c r="D40" s="17" t="inlineStr">
        <is>
          <t>Restaurante</t>
        </is>
      </c>
      <c r="E40" s="17" t="inlineStr">
        <is>
          <t>Billetera digital</t>
        </is>
      </c>
      <c r="F40" s="17" t="inlineStr">
        <is>
          <t>DEMO Amigo devolvió su parte</t>
        </is>
      </c>
      <c r="G40" s="17" t="n"/>
      <c r="H40" s="18">
        <f>IF(AND(B40="",C40="",D40="",E40=""),"",IF(B40="","⚠ Falta fecha",IF(C40="","⚠ Falta monto",IF(D40="","⚠ Falta categoría",IF(ISNA(MATCH(D40,catNom,0)),"⚠ Categoría no existe",IF(E40="","⚠ Falta cuenta",IF(ISNA(MATCH(E40,ctaNom,0)),"⚠ Cuenta no existe",IF(AND(OR(I40="Transferencia",I40="Pago tarjeta"),G40=""),"⚠ Indica la cuenta «Hacia»",IF(AND(G40&lt;&gt;"",G40=E40),"⚠ «Hacia» igual a la cuenta",IF(AND(G40&lt;&gt;"",ISNA(MATCH(G40,ctaNom,0))),"⚠ «Hacia» no existe",IF(AND(I40="Pago tarjeta",IFERROR(INDEX(ctaTipo,MATCH(G40,ctaNom,0)),"")&lt;&gt;"Tarjeta de crédito"),"⚠ «Hacia» debe ser la tarjeta",IF(AND(I40="Trading",IFERROR(INDEX(ctaTipo,MATCH(E40,ctaNom,0)),"")&lt;&gt;"Cuenta de trading"),"⚠ Usa la cuenta de trading","✓"))))))))))))</f>
        <v/>
      </c>
      <c r="I40" s="19">
        <f>IF(OR(B40="",C40="",D40=""),"",IFERROR(INDEX(catTipo,MATCH(D40,catNom,0))&amp;"",""))</f>
        <v/>
      </c>
      <c r="J40" s="19">
        <f>IF(I40="","",IFERROR(INDEX(catGrupo,MATCH(D40,catNom,0))&amp;"",""))</f>
        <v/>
      </c>
      <c r="K40" s="19">
        <f>IF(I40="Gasto",IF(IFERROR(INDEX(catClas,MATCH(D40,catNom,0))&amp;"","")="","Variable",IFERROR(INDEX(catClas,MATCH(D40,catNom,0))&amp;"","")),"")</f>
        <v/>
      </c>
      <c r="L40" s="19">
        <f>IF(I40="","",IFERROR(INDEX(catAlim,MATCH(D40,catNom,0))&amp;"",""))</f>
        <v/>
      </c>
      <c r="M40" s="19">
        <f>IF(I40="","",IFERROR(INDEX(catComida,MATCH(D40,catNom,0))&amp;"",""))</f>
        <v/>
      </c>
      <c r="N40" s="19">
        <f>IF(I40="","",IFERROR(INDEX(ctaMon,MATCH(E40,ctaNom,0))&amp;"","DOP"))</f>
        <v/>
      </c>
      <c r="O40" s="20">
        <f>IF(I40="","",C40*IF(N40="USD",TasaUSD,1))</f>
        <v/>
      </c>
      <c r="P40" s="20">
        <f>IF(I40="","",IF(I40="Gasto",O40,0))</f>
        <v/>
      </c>
      <c r="Q40" s="20">
        <f>IF(I40="","",IF(I40="Ingreso",O40,0))</f>
        <v/>
      </c>
      <c r="R40" s="20">
        <f>IF(I40="","",IF(I40="Trading",O40,0))</f>
        <v/>
      </c>
      <c r="S40" s="19">
        <f>IF(I40="","",IF(AND(I40="Gasto",K40="Variable",J40&lt;&gt;"Trading",O40&gt;0,O40&lt;=Umbral),1,0))</f>
        <v/>
      </c>
      <c r="T40" s="20">
        <f>IF(OR(I40="",E40=""),"",IF(OR(I40="Gasto",I40="Transferencia",I40="Pago tarjeta"),-1,1)*C40)</f>
        <v/>
      </c>
      <c r="U40" s="20">
        <f>IF(OR(G40="",AND(I40&lt;&gt;"Transferencia",I40&lt;&gt;"Pago tarjeta")),"",IF(IFERROR(INDEX(ctaMon,MATCH(G40,ctaNom,0))&amp;"","DOP")=N40,C40,IF(N40="USD",C40*TasaUSD,C40/TasaUSD)))</f>
        <v/>
      </c>
      <c r="V40" s="20">
        <f>IF(I40="","",IF(IFERROR(INDEX(ctaLiq,MATCH(E40,ctaNom,0))="Sí",FALSE),IF(OR(I40="Gasto",I40="Transferencia",I40="Pago tarjeta"),-1,1)*O40,0)+IF(AND(U40&lt;&gt;"",IFERROR(INDEX(ctaLiq,MATCH(G40,ctaNom,0))="Sí",FALSE)),O40,0))</f>
        <v/>
      </c>
      <c r="W40" s="19">
        <f>IF(OR(F40="",I40=""),"",IF(COUNTIFS(F$6:F40,F40,I$6:I40,"?*")=1,MAX(W$5:W39)+1,""))</f>
        <v/>
      </c>
    </row>
    <row r="41">
      <c r="B41" s="15" t="n">
        <v>46280</v>
      </c>
      <c r="C41" s="16" t="n">
        <v>190</v>
      </c>
      <c r="D41" s="17" t="inlineStr">
        <is>
          <t>Desayuno comprado</t>
        </is>
      </c>
      <c r="E41" s="17" t="inlineStr">
        <is>
          <t>Banco</t>
        </is>
      </c>
      <c r="F41" s="17" t="inlineStr">
        <is>
          <t>DEMO Cafetería</t>
        </is>
      </c>
      <c r="G41" s="17" t="n"/>
      <c r="H41" s="18">
        <f>IF(AND(B41="",C41="",D41="",E41=""),"",IF(B41="","⚠ Falta fecha",IF(C41="","⚠ Falta monto",IF(D41="","⚠ Falta categoría",IF(ISNA(MATCH(D41,catNom,0)),"⚠ Categoría no existe",IF(E41="","⚠ Falta cuenta",IF(ISNA(MATCH(E41,ctaNom,0)),"⚠ Cuenta no existe",IF(AND(OR(I41="Transferencia",I41="Pago tarjeta"),G41=""),"⚠ Indica la cuenta «Hacia»",IF(AND(G41&lt;&gt;"",G41=E41),"⚠ «Hacia» igual a la cuenta",IF(AND(G41&lt;&gt;"",ISNA(MATCH(G41,ctaNom,0))),"⚠ «Hacia» no existe",IF(AND(I41="Pago tarjeta",IFERROR(INDEX(ctaTipo,MATCH(G41,ctaNom,0)),"")&lt;&gt;"Tarjeta de crédito"),"⚠ «Hacia» debe ser la tarjeta",IF(AND(I41="Trading",IFERROR(INDEX(ctaTipo,MATCH(E41,ctaNom,0)),"")&lt;&gt;"Cuenta de trading"),"⚠ Usa la cuenta de trading","✓"))))))))))))</f>
        <v/>
      </c>
      <c r="I41" s="19">
        <f>IF(OR(B41="",C41="",D41=""),"",IFERROR(INDEX(catTipo,MATCH(D41,catNom,0))&amp;"",""))</f>
        <v/>
      </c>
      <c r="J41" s="19">
        <f>IF(I41="","",IFERROR(INDEX(catGrupo,MATCH(D41,catNom,0))&amp;"",""))</f>
        <v/>
      </c>
      <c r="K41" s="19">
        <f>IF(I41="Gasto",IF(IFERROR(INDEX(catClas,MATCH(D41,catNom,0))&amp;"","")="","Variable",IFERROR(INDEX(catClas,MATCH(D41,catNom,0))&amp;"","")),"")</f>
        <v/>
      </c>
      <c r="L41" s="19">
        <f>IF(I41="","",IFERROR(INDEX(catAlim,MATCH(D41,catNom,0))&amp;"",""))</f>
        <v/>
      </c>
      <c r="M41" s="19">
        <f>IF(I41="","",IFERROR(INDEX(catComida,MATCH(D41,catNom,0))&amp;"",""))</f>
        <v/>
      </c>
      <c r="N41" s="19">
        <f>IF(I41="","",IFERROR(INDEX(ctaMon,MATCH(E41,ctaNom,0))&amp;"","DOP"))</f>
        <v/>
      </c>
      <c r="O41" s="20">
        <f>IF(I41="","",C41*IF(N41="USD",TasaUSD,1))</f>
        <v/>
      </c>
      <c r="P41" s="20">
        <f>IF(I41="","",IF(I41="Gasto",O41,0))</f>
        <v/>
      </c>
      <c r="Q41" s="20">
        <f>IF(I41="","",IF(I41="Ingreso",O41,0))</f>
        <v/>
      </c>
      <c r="R41" s="20">
        <f>IF(I41="","",IF(I41="Trading",O41,0))</f>
        <v/>
      </c>
      <c r="S41" s="19">
        <f>IF(I41="","",IF(AND(I41="Gasto",K41="Variable",J41&lt;&gt;"Trading",O41&gt;0,O41&lt;=Umbral),1,0))</f>
        <v/>
      </c>
      <c r="T41" s="20">
        <f>IF(OR(I41="",E41=""),"",IF(OR(I41="Gasto",I41="Transferencia",I41="Pago tarjeta"),-1,1)*C41)</f>
        <v/>
      </c>
      <c r="U41" s="20">
        <f>IF(OR(G41="",AND(I41&lt;&gt;"Transferencia",I41&lt;&gt;"Pago tarjeta")),"",IF(IFERROR(INDEX(ctaMon,MATCH(G41,ctaNom,0))&amp;"","DOP")=N41,C41,IF(N41="USD",C41*TasaUSD,C41/TasaUSD)))</f>
        <v/>
      </c>
      <c r="V41" s="20">
        <f>IF(I41="","",IF(IFERROR(INDEX(ctaLiq,MATCH(E41,ctaNom,0))="Sí",FALSE),IF(OR(I41="Gasto",I41="Transferencia",I41="Pago tarjeta"),-1,1)*O41,0)+IF(AND(U41&lt;&gt;"",IFERROR(INDEX(ctaLiq,MATCH(G41,ctaNom,0))="Sí",FALSE)),O41,0))</f>
        <v/>
      </c>
      <c r="W41" s="19">
        <f>IF(OR(F41="",I41=""),"",IF(COUNTIFS(F$6:F41,F41,I$6:I41,"?*")=1,MAX(W$5:W40)+1,""))</f>
        <v/>
      </c>
    </row>
    <row r="42">
      <c r="B42" s="15" t="n">
        <v>46280</v>
      </c>
      <c r="C42" s="16" t="n">
        <v>120</v>
      </c>
      <c r="D42" s="17" t="inlineStr">
        <is>
          <t>Snacks y bebidas</t>
        </is>
      </c>
      <c r="E42" s="17" t="inlineStr">
        <is>
          <t>Efectivo</t>
        </is>
      </c>
      <c r="F42" s="17" t="inlineStr">
        <is>
          <t>DEMO Colmado</t>
        </is>
      </c>
      <c r="G42" s="17" t="n"/>
      <c r="H42" s="18">
        <f>IF(AND(B42="",C42="",D42="",E42=""),"",IF(B42="","⚠ Falta fecha",IF(C42="","⚠ Falta monto",IF(D42="","⚠ Falta categoría",IF(ISNA(MATCH(D42,catNom,0)),"⚠ Categoría no existe",IF(E42="","⚠ Falta cuenta",IF(ISNA(MATCH(E42,ctaNom,0)),"⚠ Cuenta no existe",IF(AND(OR(I42="Transferencia",I42="Pago tarjeta"),G42=""),"⚠ Indica la cuenta «Hacia»",IF(AND(G42&lt;&gt;"",G42=E42),"⚠ «Hacia» igual a la cuenta",IF(AND(G42&lt;&gt;"",ISNA(MATCH(G42,ctaNom,0))),"⚠ «Hacia» no existe",IF(AND(I42="Pago tarjeta",IFERROR(INDEX(ctaTipo,MATCH(G42,ctaNom,0)),"")&lt;&gt;"Tarjeta de crédito"),"⚠ «Hacia» debe ser la tarjeta",IF(AND(I42="Trading",IFERROR(INDEX(ctaTipo,MATCH(E42,ctaNom,0)),"")&lt;&gt;"Cuenta de trading"),"⚠ Usa la cuenta de trading","✓"))))))))))))</f>
        <v/>
      </c>
      <c r="I42" s="19">
        <f>IF(OR(B42="",C42="",D42=""),"",IFERROR(INDEX(catTipo,MATCH(D42,catNom,0))&amp;"",""))</f>
        <v/>
      </c>
      <c r="J42" s="19">
        <f>IF(I42="","",IFERROR(INDEX(catGrupo,MATCH(D42,catNom,0))&amp;"",""))</f>
        <v/>
      </c>
      <c r="K42" s="19">
        <f>IF(I42="Gasto",IF(IFERROR(INDEX(catClas,MATCH(D42,catNom,0))&amp;"","")="","Variable",IFERROR(INDEX(catClas,MATCH(D42,catNom,0))&amp;"","")),"")</f>
        <v/>
      </c>
      <c r="L42" s="19">
        <f>IF(I42="","",IFERROR(INDEX(catAlim,MATCH(D42,catNom,0))&amp;"",""))</f>
        <v/>
      </c>
      <c r="M42" s="19">
        <f>IF(I42="","",IFERROR(INDEX(catComida,MATCH(D42,catNom,0))&amp;"",""))</f>
        <v/>
      </c>
      <c r="N42" s="19">
        <f>IF(I42="","",IFERROR(INDEX(ctaMon,MATCH(E42,ctaNom,0))&amp;"","DOP"))</f>
        <v/>
      </c>
      <c r="O42" s="20">
        <f>IF(I42="","",C42*IF(N42="USD",TasaUSD,1))</f>
        <v/>
      </c>
      <c r="P42" s="20">
        <f>IF(I42="","",IF(I42="Gasto",O42,0))</f>
        <v/>
      </c>
      <c r="Q42" s="20">
        <f>IF(I42="","",IF(I42="Ingreso",O42,0))</f>
        <v/>
      </c>
      <c r="R42" s="20">
        <f>IF(I42="","",IF(I42="Trading",O42,0))</f>
        <v/>
      </c>
      <c r="S42" s="19">
        <f>IF(I42="","",IF(AND(I42="Gasto",K42="Variable",J42&lt;&gt;"Trading",O42&gt;0,O42&lt;=Umbral),1,0))</f>
        <v/>
      </c>
      <c r="T42" s="20">
        <f>IF(OR(I42="",E42=""),"",IF(OR(I42="Gasto",I42="Transferencia",I42="Pago tarjeta"),-1,1)*C42)</f>
        <v/>
      </c>
      <c r="U42" s="20">
        <f>IF(OR(G42="",AND(I42&lt;&gt;"Transferencia",I42&lt;&gt;"Pago tarjeta")),"",IF(IFERROR(INDEX(ctaMon,MATCH(G42,ctaNom,0))&amp;"","DOP")=N42,C42,IF(N42="USD",C42*TasaUSD,C42/TasaUSD)))</f>
        <v/>
      </c>
      <c r="V42" s="20">
        <f>IF(I42="","",IF(IFERROR(INDEX(ctaLiq,MATCH(E42,ctaNom,0))="Sí",FALSE),IF(OR(I42="Gasto",I42="Transferencia",I42="Pago tarjeta"),-1,1)*O42,0)+IF(AND(U42&lt;&gt;"",IFERROR(INDEX(ctaLiq,MATCH(G42,ctaNom,0))="Sí",FALSE)),O42,0))</f>
        <v/>
      </c>
      <c r="W42" s="19">
        <f>IF(OR(F42="",I42=""),"",IF(COUNTIFS(F$6:F42,F42,I$6:I42,"?*")=1,MAX(W$5:W41)+1,""))</f>
        <v/>
      </c>
    </row>
    <row r="43">
      <c r="B43" s="15" t="n">
        <v>46280</v>
      </c>
      <c r="C43" s="16" t="n">
        <v>55000</v>
      </c>
      <c r="D43" s="17" t="inlineStr">
        <is>
          <t>Salario</t>
        </is>
      </c>
      <c r="E43" s="17" t="inlineStr">
        <is>
          <t>Banco</t>
        </is>
      </c>
      <c r="F43" s="17" t="inlineStr">
        <is>
          <t>DEMO Salario (ficticio)</t>
        </is>
      </c>
      <c r="G43" s="17" t="n"/>
      <c r="H43" s="18">
        <f>IF(AND(B43="",C43="",D43="",E43=""),"",IF(B43="","⚠ Falta fecha",IF(C43="","⚠ Falta monto",IF(D43="","⚠ Falta categoría",IF(ISNA(MATCH(D43,catNom,0)),"⚠ Categoría no existe",IF(E43="","⚠ Falta cuenta",IF(ISNA(MATCH(E43,ctaNom,0)),"⚠ Cuenta no existe",IF(AND(OR(I43="Transferencia",I43="Pago tarjeta"),G43=""),"⚠ Indica la cuenta «Hacia»",IF(AND(G43&lt;&gt;"",G43=E43),"⚠ «Hacia» igual a la cuenta",IF(AND(G43&lt;&gt;"",ISNA(MATCH(G43,ctaNom,0))),"⚠ «Hacia» no existe",IF(AND(I43="Pago tarjeta",IFERROR(INDEX(ctaTipo,MATCH(G43,ctaNom,0)),"")&lt;&gt;"Tarjeta de crédito"),"⚠ «Hacia» debe ser la tarjeta",IF(AND(I43="Trading",IFERROR(INDEX(ctaTipo,MATCH(E43,ctaNom,0)),"")&lt;&gt;"Cuenta de trading"),"⚠ Usa la cuenta de trading","✓"))))))))))))</f>
        <v/>
      </c>
      <c r="I43" s="19">
        <f>IF(OR(B43="",C43="",D43=""),"",IFERROR(INDEX(catTipo,MATCH(D43,catNom,0))&amp;"",""))</f>
        <v/>
      </c>
      <c r="J43" s="19">
        <f>IF(I43="","",IFERROR(INDEX(catGrupo,MATCH(D43,catNom,0))&amp;"",""))</f>
        <v/>
      </c>
      <c r="K43" s="19">
        <f>IF(I43="Gasto",IF(IFERROR(INDEX(catClas,MATCH(D43,catNom,0))&amp;"","")="","Variable",IFERROR(INDEX(catClas,MATCH(D43,catNom,0))&amp;"","")),"")</f>
        <v/>
      </c>
      <c r="L43" s="19">
        <f>IF(I43="","",IFERROR(INDEX(catAlim,MATCH(D43,catNom,0))&amp;"",""))</f>
        <v/>
      </c>
      <c r="M43" s="19">
        <f>IF(I43="","",IFERROR(INDEX(catComida,MATCH(D43,catNom,0))&amp;"",""))</f>
        <v/>
      </c>
      <c r="N43" s="19">
        <f>IF(I43="","",IFERROR(INDEX(ctaMon,MATCH(E43,ctaNom,0))&amp;"","DOP"))</f>
        <v/>
      </c>
      <c r="O43" s="20">
        <f>IF(I43="","",C43*IF(N43="USD",TasaUSD,1))</f>
        <v/>
      </c>
      <c r="P43" s="20">
        <f>IF(I43="","",IF(I43="Gasto",O43,0))</f>
        <v/>
      </c>
      <c r="Q43" s="20">
        <f>IF(I43="","",IF(I43="Ingreso",O43,0))</f>
        <v/>
      </c>
      <c r="R43" s="20">
        <f>IF(I43="","",IF(I43="Trading",O43,0))</f>
        <v/>
      </c>
      <c r="S43" s="19">
        <f>IF(I43="","",IF(AND(I43="Gasto",K43="Variable",J43&lt;&gt;"Trading",O43&gt;0,O43&lt;=Umbral),1,0))</f>
        <v/>
      </c>
      <c r="T43" s="20">
        <f>IF(OR(I43="",E43=""),"",IF(OR(I43="Gasto",I43="Transferencia",I43="Pago tarjeta"),-1,1)*C43)</f>
        <v/>
      </c>
      <c r="U43" s="20">
        <f>IF(OR(G43="",AND(I43&lt;&gt;"Transferencia",I43&lt;&gt;"Pago tarjeta")),"",IF(IFERROR(INDEX(ctaMon,MATCH(G43,ctaNom,0))&amp;"","DOP")=N43,C43,IF(N43="USD",C43*TasaUSD,C43/TasaUSD)))</f>
        <v/>
      </c>
      <c r="V43" s="20">
        <f>IF(I43="","",IF(IFERROR(INDEX(ctaLiq,MATCH(E43,ctaNom,0))="Sí",FALSE),IF(OR(I43="Gasto",I43="Transferencia",I43="Pago tarjeta"),-1,1)*O43,0)+IF(AND(U43&lt;&gt;"",IFERROR(INDEX(ctaLiq,MATCH(G43,ctaNom,0))="Sí",FALSE)),O43,0))</f>
        <v/>
      </c>
      <c r="W43" s="19">
        <f>IF(OR(F43="",I43=""),"",IF(COUNTIFS(F$6:F43,F43,I$6:I43,"?*")=1,MAX(W$5:W42)+1,""))</f>
        <v/>
      </c>
    </row>
    <row r="44">
      <c r="B44" s="15" t="n">
        <v>46281</v>
      </c>
      <c r="C44" s="16" t="n">
        <v>400</v>
      </c>
      <c r="D44" s="17" t="inlineStr">
        <is>
          <t>Almuerzo comprado</t>
        </is>
      </c>
      <c r="E44" s="17" t="inlineStr">
        <is>
          <t>Billetera digital</t>
        </is>
      </c>
      <c r="F44" s="17" t="inlineStr">
        <is>
          <t>DEMO Comedor</t>
        </is>
      </c>
      <c r="G44" s="17" t="n"/>
      <c r="H44" s="18">
        <f>IF(AND(B44="",C44="",D44="",E44=""),"",IF(B44="","⚠ Falta fecha",IF(C44="","⚠ Falta monto",IF(D44="","⚠ Falta categoría",IF(ISNA(MATCH(D44,catNom,0)),"⚠ Categoría no existe",IF(E44="","⚠ Falta cuenta",IF(ISNA(MATCH(E44,ctaNom,0)),"⚠ Cuenta no existe",IF(AND(OR(I44="Transferencia",I44="Pago tarjeta"),G44=""),"⚠ Indica la cuenta «Hacia»",IF(AND(G44&lt;&gt;"",G44=E44),"⚠ «Hacia» igual a la cuenta",IF(AND(G44&lt;&gt;"",ISNA(MATCH(G44,ctaNom,0))),"⚠ «Hacia» no existe",IF(AND(I44="Pago tarjeta",IFERROR(INDEX(ctaTipo,MATCH(G44,ctaNom,0)),"")&lt;&gt;"Tarjeta de crédito"),"⚠ «Hacia» debe ser la tarjeta",IF(AND(I44="Trading",IFERROR(INDEX(ctaTipo,MATCH(E44,ctaNom,0)),"")&lt;&gt;"Cuenta de trading"),"⚠ Usa la cuenta de trading","✓"))))))))))))</f>
        <v/>
      </c>
      <c r="I44" s="19">
        <f>IF(OR(B44="",C44="",D44=""),"",IFERROR(INDEX(catTipo,MATCH(D44,catNom,0))&amp;"",""))</f>
        <v/>
      </c>
      <c r="J44" s="19">
        <f>IF(I44="","",IFERROR(INDEX(catGrupo,MATCH(D44,catNom,0))&amp;"",""))</f>
        <v/>
      </c>
      <c r="K44" s="19">
        <f>IF(I44="Gasto",IF(IFERROR(INDEX(catClas,MATCH(D44,catNom,0))&amp;"","")="","Variable",IFERROR(INDEX(catClas,MATCH(D44,catNom,0))&amp;"","")),"")</f>
        <v/>
      </c>
      <c r="L44" s="19">
        <f>IF(I44="","",IFERROR(INDEX(catAlim,MATCH(D44,catNom,0))&amp;"",""))</f>
        <v/>
      </c>
      <c r="M44" s="19">
        <f>IF(I44="","",IFERROR(INDEX(catComida,MATCH(D44,catNom,0))&amp;"",""))</f>
        <v/>
      </c>
      <c r="N44" s="19">
        <f>IF(I44="","",IFERROR(INDEX(ctaMon,MATCH(E44,ctaNom,0))&amp;"","DOP"))</f>
        <v/>
      </c>
      <c r="O44" s="20">
        <f>IF(I44="","",C44*IF(N44="USD",TasaUSD,1))</f>
        <v/>
      </c>
      <c r="P44" s="20">
        <f>IF(I44="","",IF(I44="Gasto",O44,0))</f>
        <v/>
      </c>
      <c r="Q44" s="20">
        <f>IF(I44="","",IF(I44="Ingreso",O44,0))</f>
        <v/>
      </c>
      <c r="R44" s="20">
        <f>IF(I44="","",IF(I44="Trading",O44,0))</f>
        <v/>
      </c>
      <c r="S44" s="19">
        <f>IF(I44="","",IF(AND(I44="Gasto",K44="Variable",J44&lt;&gt;"Trading",O44&gt;0,O44&lt;=Umbral),1,0))</f>
        <v/>
      </c>
      <c r="T44" s="20">
        <f>IF(OR(I44="",E44=""),"",IF(OR(I44="Gasto",I44="Transferencia",I44="Pago tarjeta"),-1,1)*C44)</f>
        <v/>
      </c>
      <c r="U44" s="20">
        <f>IF(OR(G44="",AND(I44&lt;&gt;"Transferencia",I44&lt;&gt;"Pago tarjeta")),"",IF(IFERROR(INDEX(ctaMon,MATCH(G44,ctaNom,0))&amp;"","DOP")=N44,C44,IF(N44="USD",C44*TasaUSD,C44/TasaUSD)))</f>
        <v/>
      </c>
      <c r="V44" s="20">
        <f>IF(I44="","",IF(IFERROR(INDEX(ctaLiq,MATCH(E44,ctaNom,0))="Sí",FALSE),IF(OR(I44="Gasto",I44="Transferencia",I44="Pago tarjeta"),-1,1)*O44,0)+IF(AND(U44&lt;&gt;"",IFERROR(INDEX(ctaLiq,MATCH(G44,ctaNom,0))="Sí",FALSE)),O44,0))</f>
        <v/>
      </c>
      <c r="W44" s="19">
        <f>IF(OR(F44="",I44=""),"",IF(COUNTIFS(F$6:F44,F44,I$6:I44,"?*")=1,MAX(W$5:W43)+1,""))</f>
        <v/>
      </c>
    </row>
    <row r="45">
      <c r="B45" s="15" t="n">
        <v>46281</v>
      </c>
      <c r="C45" s="16" t="n">
        <v>3000</v>
      </c>
      <c r="D45" s="17" t="inlineStr">
        <is>
          <t>Transferencia entre cuentas</t>
        </is>
      </c>
      <c r="E45" s="17" t="inlineStr">
        <is>
          <t>Banco</t>
        </is>
      </c>
      <c r="F45" s="17" t="inlineStr">
        <is>
          <t>DEMO</t>
        </is>
      </c>
      <c r="G45" s="17" t="inlineStr">
        <is>
          <t>Billetera digital</t>
        </is>
      </c>
      <c r="H45" s="18">
        <f>IF(AND(B45="",C45="",D45="",E45=""),"",IF(B45="","⚠ Falta fecha",IF(C45="","⚠ Falta monto",IF(D45="","⚠ Falta categoría",IF(ISNA(MATCH(D45,catNom,0)),"⚠ Categoría no existe",IF(E45="","⚠ Falta cuenta",IF(ISNA(MATCH(E45,ctaNom,0)),"⚠ Cuenta no existe",IF(AND(OR(I45="Transferencia",I45="Pago tarjeta"),G45=""),"⚠ Indica la cuenta «Hacia»",IF(AND(G45&lt;&gt;"",G45=E45),"⚠ «Hacia» igual a la cuenta",IF(AND(G45&lt;&gt;"",ISNA(MATCH(G45,ctaNom,0))),"⚠ «Hacia» no existe",IF(AND(I45="Pago tarjeta",IFERROR(INDEX(ctaTipo,MATCH(G45,ctaNom,0)),"")&lt;&gt;"Tarjeta de crédito"),"⚠ «Hacia» debe ser la tarjeta",IF(AND(I45="Trading",IFERROR(INDEX(ctaTipo,MATCH(E45,ctaNom,0)),"")&lt;&gt;"Cuenta de trading"),"⚠ Usa la cuenta de trading","✓"))))))))))))</f>
        <v/>
      </c>
      <c r="I45" s="19">
        <f>IF(OR(B45="",C45="",D45=""),"",IFERROR(INDEX(catTipo,MATCH(D45,catNom,0))&amp;"",""))</f>
        <v/>
      </c>
      <c r="J45" s="19">
        <f>IF(I45="","",IFERROR(INDEX(catGrupo,MATCH(D45,catNom,0))&amp;"",""))</f>
        <v/>
      </c>
      <c r="K45" s="19">
        <f>IF(I45="Gasto",IF(IFERROR(INDEX(catClas,MATCH(D45,catNom,0))&amp;"","")="","Variable",IFERROR(INDEX(catClas,MATCH(D45,catNom,0))&amp;"","")),"")</f>
        <v/>
      </c>
      <c r="L45" s="19">
        <f>IF(I45="","",IFERROR(INDEX(catAlim,MATCH(D45,catNom,0))&amp;"",""))</f>
        <v/>
      </c>
      <c r="M45" s="19">
        <f>IF(I45="","",IFERROR(INDEX(catComida,MATCH(D45,catNom,0))&amp;"",""))</f>
        <v/>
      </c>
      <c r="N45" s="19">
        <f>IF(I45="","",IFERROR(INDEX(ctaMon,MATCH(E45,ctaNom,0))&amp;"","DOP"))</f>
        <v/>
      </c>
      <c r="O45" s="20">
        <f>IF(I45="","",C45*IF(N45="USD",TasaUSD,1))</f>
        <v/>
      </c>
      <c r="P45" s="20">
        <f>IF(I45="","",IF(I45="Gasto",O45,0))</f>
        <v/>
      </c>
      <c r="Q45" s="20">
        <f>IF(I45="","",IF(I45="Ingreso",O45,0))</f>
        <v/>
      </c>
      <c r="R45" s="20">
        <f>IF(I45="","",IF(I45="Trading",O45,0))</f>
        <v/>
      </c>
      <c r="S45" s="19">
        <f>IF(I45="","",IF(AND(I45="Gasto",K45="Variable",J45&lt;&gt;"Trading",O45&gt;0,O45&lt;=Umbral),1,0))</f>
        <v/>
      </c>
      <c r="T45" s="20">
        <f>IF(OR(I45="",E45=""),"",IF(OR(I45="Gasto",I45="Transferencia",I45="Pago tarjeta"),-1,1)*C45)</f>
        <v/>
      </c>
      <c r="U45" s="20">
        <f>IF(OR(G45="",AND(I45&lt;&gt;"Transferencia",I45&lt;&gt;"Pago tarjeta")),"",IF(IFERROR(INDEX(ctaMon,MATCH(G45,ctaNom,0))&amp;"","DOP")=N45,C45,IF(N45="USD",C45*TasaUSD,C45/TasaUSD)))</f>
        <v/>
      </c>
      <c r="V45" s="20">
        <f>IF(I45="","",IF(IFERROR(INDEX(ctaLiq,MATCH(E45,ctaNom,0))="Sí",FALSE),IF(OR(I45="Gasto",I45="Transferencia",I45="Pago tarjeta"),-1,1)*O45,0)+IF(AND(U45&lt;&gt;"",IFERROR(INDEX(ctaLiq,MATCH(G45,ctaNom,0))="Sí",FALSE)),O45,0))</f>
        <v/>
      </c>
      <c r="W45" s="19">
        <f>IF(OR(F45="",I45=""),"",IF(COUNTIFS(F$6:F45,F45,I$6:I45,"?*")=1,MAX(W$5:W44)+1,""))</f>
        <v/>
      </c>
    </row>
    <row r="46">
      <c r="B46" s="15" t="n">
        <v>46282</v>
      </c>
      <c r="C46" s="16" t="n">
        <v>310</v>
      </c>
      <c r="D46" s="17" t="inlineStr">
        <is>
          <t>Desayuno comprado</t>
        </is>
      </c>
      <c r="E46" s="17" t="inlineStr">
        <is>
          <t>Efectivo</t>
        </is>
      </c>
      <c r="F46" s="17" t="inlineStr">
        <is>
          <t>DEMO Cafetería</t>
        </is>
      </c>
      <c r="G46" s="17" t="n"/>
      <c r="H46" s="18">
        <f>IF(AND(B46="",C46="",D46="",E46=""),"",IF(B46="","⚠ Falta fecha",IF(C46="","⚠ Falta monto",IF(D46="","⚠ Falta categoría",IF(ISNA(MATCH(D46,catNom,0)),"⚠ Categoría no existe",IF(E46="","⚠ Falta cuenta",IF(ISNA(MATCH(E46,ctaNom,0)),"⚠ Cuenta no existe",IF(AND(OR(I46="Transferencia",I46="Pago tarjeta"),G46=""),"⚠ Indica la cuenta «Hacia»",IF(AND(G46&lt;&gt;"",G46=E46),"⚠ «Hacia» igual a la cuenta",IF(AND(G46&lt;&gt;"",ISNA(MATCH(G46,ctaNom,0))),"⚠ «Hacia» no existe",IF(AND(I46="Pago tarjeta",IFERROR(INDEX(ctaTipo,MATCH(G46,ctaNom,0)),"")&lt;&gt;"Tarjeta de crédito"),"⚠ «Hacia» debe ser la tarjeta",IF(AND(I46="Trading",IFERROR(INDEX(ctaTipo,MATCH(E46,ctaNom,0)),"")&lt;&gt;"Cuenta de trading"),"⚠ Usa la cuenta de trading","✓"))))))))))))</f>
        <v/>
      </c>
      <c r="I46" s="19">
        <f>IF(OR(B46="",C46="",D46=""),"",IFERROR(INDEX(catTipo,MATCH(D46,catNom,0))&amp;"",""))</f>
        <v/>
      </c>
      <c r="J46" s="19">
        <f>IF(I46="","",IFERROR(INDEX(catGrupo,MATCH(D46,catNom,0))&amp;"",""))</f>
        <v/>
      </c>
      <c r="K46" s="19">
        <f>IF(I46="Gasto",IF(IFERROR(INDEX(catClas,MATCH(D46,catNom,0))&amp;"","")="","Variable",IFERROR(INDEX(catClas,MATCH(D46,catNom,0))&amp;"","")),"")</f>
        <v/>
      </c>
      <c r="L46" s="19">
        <f>IF(I46="","",IFERROR(INDEX(catAlim,MATCH(D46,catNom,0))&amp;"",""))</f>
        <v/>
      </c>
      <c r="M46" s="19">
        <f>IF(I46="","",IFERROR(INDEX(catComida,MATCH(D46,catNom,0))&amp;"",""))</f>
        <v/>
      </c>
      <c r="N46" s="19">
        <f>IF(I46="","",IFERROR(INDEX(ctaMon,MATCH(E46,ctaNom,0))&amp;"","DOP"))</f>
        <v/>
      </c>
      <c r="O46" s="20">
        <f>IF(I46="","",C46*IF(N46="USD",TasaUSD,1))</f>
        <v/>
      </c>
      <c r="P46" s="20">
        <f>IF(I46="","",IF(I46="Gasto",O46,0))</f>
        <v/>
      </c>
      <c r="Q46" s="20">
        <f>IF(I46="","",IF(I46="Ingreso",O46,0))</f>
        <v/>
      </c>
      <c r="R46" s="20">
        <f>IF(I46="","",IF(I46="Trading",O46,0))</f>
        <v/>
      </c>
      <c r="S46" s="19">
        <f>IF(I46="","",IF(AND(I46="Gasto",K46="Variable",J46&lt;&gt;"Trading",O46&gt;0,O46&lt;=Umbral),1,0))</f>
        <v/>
      </c>
      <c r="T46" s="20">
        <f>IF(OR(I46="",E46=""),"",IF(OR(I46="Gasto",I46="Transferencia",I46="Pago tarjeta"),-1,1)*C46)</f>
        <v/>
      </c>
      <c r="U46" s="20">
        <f>IF(OR(G46="",AND(I46&lt;&gt;"Transferencia",I46&lt;&gt;"Pago tarjeta")),"",IF(IFERROR(INDEX(ctaMon,MATCH(G46,ctaNom,0))&amp;"","DOP")=N46,C46,IF(N46="USD",C46*TasaUSD,C46/TasaUSD)))</f>
        <v/>
      </c>
      <c r="V46" s="20">
        <f>IF(I46="","",IF(IFERROR(INDEX(ctaLiq,MATCH(E46,ctaNom,0))="Sí",FALSE),IF(OR(I46="Gasto",I46="Transferencia",I46="Pago tarjeta"),-1,1)*O46,0)+IF(AND(U46&lt;&gt;"",IFERROR(INDEX(ctaLiq,MATCH(G46,ctaNom,0))="Sí",FALSE)),O46,0))</f>
        <v/>
      </c>
      <c r="W46" s="19">
        <f>IF(OR(F46="",I46=""),"",IF(COUNTIFS(F$6:F46,F46,I$6:I46,"?*")=1,MAX(W$5:W45)+1,""))</f>
        <v/>
      </c>
    </row>
    <row r="47">
      <c r="B47" s="15" t="n">
        <v>46282</v>
      </c>
      <c r="C47" s="16" t="n">
        <v>4700</v>
      </c>
      <c r="D47" s="17" t="inlineStr">
        <is>
          <t>Supermercado</t>
        </is>
      </c>
      <c r="E47" s="17" t="inlineStr">
        <is>
          <t>Tarjeta de crédito</t>
        </is>
      </c>
      <c r="F47" s="17" t="inlineStr">
        <is>
          <t>DEMO Supermercado</t>
        </is>
      </c>
      <c r="G47" s="17" t="n"/>
      <c r="H47" s="18">
        <f>IF(AND(B47="",C47="",D47="",E47=""),"",IF(B47="","⚠ Falta fecha",IF(C47="","⚠ Falta monto",IF(D47="","⚠ Falta categoría",IF(ISNA(MATCH(D47,catNom,0)),"⚠ Categoría no existe",IF(E47="","⚠ Falta cuenta",IF(ISNA(MATCH(E47,ctaNom,0)),"⚠ Cuenta no existe",IF(AND(OR(I47="Transferencia",I47="Pago tarjeta"),G47=""),"⚠ Indica la cuenta «Hacia»",IF(AND(G47&lt;&gt;"",G47=E47),"⚠ «Hacia» igual a la cuenta",IF(AND(G47&lt;&gt;"",ISNA(MATCH(G47,ctaNom,0))),"⚠ «Hacia» no existe",IF(AND(I47="Pago tarjeta",IFERROR(INDEX(ctaTipo,MATCH(G47,ctaNom,0)),"")&lt;&gt;"Tarjeta de crédito"),"⚠ «Hacia» debe ser la tarjeta",IF(AND(I47="Trading",IFERROR(INDEX(ctaTipo,MATCH(E47,ctaNom,0)),"")&lt;&gt;"Cuenta de trading"),"⚠ Usa la cuenta de trading","✓"))))))))))))</f>
        <v/>
      </c>
      <c r="I47" s="19">
        <f>IF(OR(B47="",C47="",D47=""),"",IFERROR(INDEX(catTipo,MATCH(D47,catNom,0))&amp;"",""))</f>
        <v/>
      </c>
      <c r="J47" s="19">
        <f>IF(I47="","",IFERROR(INDEX(catGrupo,MATCH(D47,catNom,0))&amp;"",""))</f>
        <v/>
      </c>
      <c r="K47" s="19">
        <f>IF(I47="Gasto",IF(IFERROR(INDEX(catClas,MATCH(D47,catNom,0))&amp;"","")="","Variable",IFERROR(INDEX(catClas,MATCH(D47,catNom,0))&amp;"","")),"")</f>
        <v/>
      </c>
      <c r="L47" s="19">
        <f>IF(I47="","",IFERROR(INDEX(catAlim,MATCH(D47,catNom,0))&amp;"",""))</f>
        <v/>
      </c>
      <c r="M47" s="19">
        <f>IF(I47="","",IFERROR(INDEX(catComida,MATCH(D47,catNom,0))&amp;"",""))</f>
        <v/>
      </c>
      <c r="N47" s="19">
        <f>IF(I47="","",IFERROR(INDEX(ctaMon,MATCH(E47,ctaNom,0))&amp;"","DOP"))</f>
        <v/>
      </c>
      <c r="O47" s="20">
        <f>IF(I47="","",C47*IF(N47="USD",TasaUSD,1))</f>
        <v/>
      </c>
      <c r="P47" s="20">
        <f>IF(I47="","",IF(I47="Gasto",O47,0))</f>
        <v/>
      </c>
      <c r="Q47" s="20">
        <f>IF(I47="","",IF(I47="Ingreso",O47,0))</f>
        <v/>
      </c>
      <c r="R47" s="20">
        <f>IF(I47="","",IF(I47="Trading",O47,0))</f>
        <v/>
      </c>
      <c r="S47" s="19">
        <f>IF(I47="","",IF(AND(I47="Gasto",K47="Variable",J47&lt;&gt;"Trading",O47&gt;0,O47&lt;=Umbral),1,0))</f>
        <v/>
      </c>
      <c r="T47" s="20">
        <f>IF(OR(I47="",E47=""),"",IF(OR(I47="Gasto",I47="Transferencia",I47="Pago tarjeta"),-1,1)*C47)</f>
        <v/>
      </c>
      <c r="U47" s="20">
        <f>IF(OR(G47="",AND(I47&lt;&gt;"Transferencia",I47&lt;&gt;"Pago tarjeta")),"",IF(IFERROR(INDEX(ctaMon,MATCH(G47,ctaNom,0))&amp;"","DOP")=N47,C47,IF(N47="USD",C47*TasaUSD,C47/TasaUSD)))</f>
        <v/>
      </c>
      <c r="V47" s="20">
        <f>IF(I47="","",IF(IFERROR(INDEX(ctaLiq,MATCH(E47,ctaNom,0))="Sí",FALSE),IF(OR(I47="Gasto",I47="Transferencia",I47="Pago tarjeta"),-1,1)*O47,0)+IF(AND(U47&lt;&gt;"",IFERROR(INDEX(ctaLiq,MATCH(G47,ctaNom,0))="Sí",FALSE)),O47,0))</f>
        <v/>
      </c>
      <c r="W47" s="19">
        <f>IF(OR(F47="",I47=""),"",IF(COUNTIFS(F$6:F47,F47,I$6:I47,"?*")=1,MAX(W$5:W46)+1,""))</f>
        <v/>
      </c>
    </row>
    <row r="48">
      <c r="B48" s="15" t="n">
        <v>46283</v>
      </c>
      <c r="C48" s="16" t="n">
        <v>400</v>
      </c>
      <c r="D48" s="17" t="inlineStr">
        <is>
          <t>Almuerzo comprado</t>
        </is>
      </c>
      <c r="E48" s="17" t="inlineStr">
        <is>
          <t>Banco</t>
        </is>
      </c>
      <c r="F48" s="17" t="inlineStr">
        <is>
          <t>DEMO Comedor</t>
        </is>
      </c>
      <c r="G48" s="17" t="n"/>
      <c r="H48" s="18">
        <f>IF(AND(B48="",C48="",D48="",E48=""),"",IF(B48="","⚠ Falta fecha",IF(C48="","⚠ Falta monto",IF(D48="","⚠ Falta categoría",IF(ISNA(MATCH(D48,catNom,0)),"⚠ Categoría no existe",IF(E48="","⚠ Falta cuenta",IF(ISNA(MATCH(E48,ctaNom,0)),"⚠ Cuenta no existe",IF(AND(OR(I48="Transferencia",I48="Pago tarjeta"),G48=""),"⚠ Indica la cuenta «Hacia»",IF(AND(G48&lt;&gt;"",G48=E48),"⚠ «Hacia» igual a la cuenta",IF(AND(G48&lt;&gt;"",ISNA(MATCH(G48,ctaNom,0))),"⚠ «Hacia» no existe",IF(AND(I48="Pago tarjeta",IFERROR(INDEX(ctaTipo,MATCH(G48,ctaNom,0)),"")&lt;&gt;"Tarjeta de crédito"),"⚠ «Hacia» debe ser la tarjeta",IF(AND(I48="Trading",IFERROR(INDEX(ctaTipo,MATCH(E48,ctaNom,0)),"")&lt;&gt;"Cuenta de trading"),"⚠ Usa la cuenta de trading","✓"))))))))))))</f>
        <v/>
      </c>
      <c r="I48" s="19">
        <f>IF(OR(B48="",C48="",D48=""),"",IFERROR(INDEX(catTipo,MATCH(D48,catNom,0))&amp;"",""))</f>
        <v/>
      </c>
      <c r="J48" s="19">
        <f>IF(I48="","",IFERROR(INDEX(catGrupo,MATCH(D48,catNom,0))&amp;"",""))</f>
        <v/>
      </c>
      <c r="K48" s="19">
        <f>IF(I48="Gasto",IF(IFERROR(INDEX(catClas,MATCH(D48,catNom,0))&amp;"","")="","Variable",IFERROR(INDEX(catClas,MATCH(D48,catNom,0))&amp;"","")),"")</f>
        <v/>
      </c>
      <c r="L48" s="19">
        <f>IF(I48="","",IFERROR(INDEX(catAlim,MATCH(D48,catNom,0))&amp;"",""))</f>
        <v/>
      </c>
      <c r="M48" s="19">
        <f>IF(I48="","",IFERROR(INDEX(catComida,MATCH(D48,catNom,0))&amp;"",""))</f>
        <v/>
      </c>
      <c r="N48" s="19">
        <f>IF(I48="","",IFERROR(INDEX(ctaMon,MATCH(E48,ctaNom,0))&amp;"","DOP"))</f>
        <v/>
      </c>
      <c r="O48" s="20">
        <f>IF(I48="","",C48*IF(N48="USD",TasaUSD,1))</f>
        <v/>
      </c>
      <c r="P48" s="20">
        <f>IF(I48="","",IF(I48="Gasto",O48,0))</f>
        <v/>
      </c>
      <c r="Q48" s="20">
        <f>IF(I48="","",IF(I48="Ingreso",O48,0))</f>
        <v/>
      </c>
      <c r="R48" s="20">
        <f>IF(I48="","",IF(I48="Trading",O48,0))</f>
        <v/>
      </c>
      <c r="S48" s="19">
        <f>IF(I48="","",IF(AND(I48="Gasto",K48="Variable",J48&lt;&gt;"Trading",O48&gt;0,O48&lt;=Umbral),1,0))</f>
        <v/>
      </c>
      <c r="T48" s="20">
        <f>IF(OR(I48="",E48=""),"",IF(OR(I48="Gasto",I48="Transferencia",I48="Pago tarjeta"),-1,1)*C48)</f>
        <v/>
      </c>
      <c r="U48" s="20">
        <f>IF(OR(G48="",AND(I48&lt;&gt;"Transferencia",I48&lt;&gt;"Pago tarjeta")),"",IF(IFERROR(INDEX(ctaMon,MATCH(G48,ctaNom,0))&amp;"","DOP")=N48,C48,IF(N48="USD",C48*TasaUSD,C48/TasaUSD)))</f>
        <v/>
      </c>
      <c r="V48" s="20">
        <f>IF(I48="","",IF(IFERROR(INDEX(ctaLiq,MATCH(E48,ctaNom,0))="Sí",FALSE),IF(OR(I48="Gasto",I48="Transferencia",I48="Pago tarjeta"),-1,1)*O48,0)+IF(AND(U48&lt;&gt;"",IFERROR(INDEX(ctaLiq,MATCH(G48,ctaNom,0))="Sí",FALSE)),O48,0))</f>
        <v/>
      </c>
      <c r="W48" s="19">
        <f>IF(OR(F48="",I48=""),"",IF(COUNTIFS(F$6:F48,F48,I$6:I48,"?*")=1,MAX(W$5:W47)+1,""))</f>
        <v/>
      </c>
    </row>
    <row r="49">
      <c r="B49" s="15" t="n">
        <v>46283</v>
      </c>
      <c r="C49" s="16" t="n">
        <v>120</v>
      </c>
      <c r="D49" s="17" t="inlineStr">
        <is>
          <t>Snacks y bebidas</t>
        </is>
      </c>
      <c r="E49" s="17" t="inlineStr">
        <is>
          <t>Efectivo</t>
        </is>
      </c>
      <c r="F49" s="17" t="inlineStr">
        <is>
          <t>DEMO Colmado</t>
        </is>
      </c>
      <c r="G49" s="17" t="n"/>
      <c r="H49" s="18">
        <f>IF(AND(B49="",C49="",D49="",E49=""),"",IF(B49="","⚠ Falta fecha",IF(C49="","⚠ Falta monto",IF(D49="","⚠ Falta categoría",IF(ISNA(MATCH(D49,catNom,0)),"⚠ Categoría no existe",IF(E49="","⚠ Falta cuenta",IF(ISNA(MATCH(E49,ctaNom,0)),"⚠ Cuenta no existe",IF(AND(OR(I49="Transferencia",I49="Pago tarjeta"),G49=""),"⚠ Indica la cuenta «Hacia»",IF(AND(G49&lt;&gt;"",G49=E49),"⚠ «Hacia» igual a la cuenta",IF(AND(G49&lt;&gt;"",ISNA(MATCH(G49,ctaNom,0))),"⚠ «Hacia» no existe",IF(AND(I49="Pago tarjeta",IFERROR(INDEX(ctaTipo,MATCH(G49,ctaNom,0)),"")&lt;&gt;"Tarjeta de crédito"),"⚠ «Hacia» debe ser la tarjeta",IF(AND(I49="Trading",IFERROR(INDEX(ctaTipo,MATCH(E49,ctaNom,0)),"")&lt;&gt;"Cuenta de trading"),"⚠ Usa la cuenta de trading","✓"))))))))))))</f>
        <v/>
      </c>
      <c r="I49" s="19">
        <f>IF(OR(B49="",C49="",D49=""),"",IFERROR(INDEX(catTipo,MATCH(D49,catNom,0))&amp;"",""))</f>
        <v/>
      </c>
      <c r="J49" s="19">
        <f>IF(I49="","",IFERROR(INDEX(catGrupo,MATCH(D49,catNom,0))&amp;"",""))</f>
        <v/>
      </c>
      <c r="K49" s="19">
        <f>IF(I49="Gasto",IF(IFERROR(INDEX(catClas,MATCH(D49,catNom,0))&amp;"","")="","Variable",IFERROR(INDEX(catClas,MATCH(D49,catNom,0))&amp;"","")),"")</f>
        <v/>
      </c>
      <c r="L49" s="19">
        <f>IF(I49="","",IFERROR(INDEX(catAlim,MATCH(D49,catNom,0))&amp;"",""))</f>
        <v/>
      </c>
      <c r="M49" s="19">
        <f>IF(I49="","",IFERROR(INDEX(catComida,MATCH(D49,catNom,0))&amp;"",""))</f>
        <v/>
      </c>
      <c r="N49" s="19">
        <f>IF(I49="","",IFERROR(INDEX(ctaMon,MATCH(E49,ctaNom,0))&amp;"","DOP"))</f>
        <v/>
      </c>
      <c r="O49" s="20">
        <f>IF(I49="","",C49*IF(N49="USD",TasaUSD,1))</f>
        <v/>
      </c>
      <c r="P49" s="20">
        <f>IF(I49="","",IF(I49="Gasto",O49,0))</f>
        <v/>
      </c>
      <c r="Q49" s="20">
        <f>IF(I49="","",IF(I49="Ingreso",O49,0))</f>
        <v/>
      </c>
      <c r="R49" s="20">
        <f>IF(I49="","",IF(I49="Trading",O49,0))</f>
        <v/>
      </c>
      <c r="S49" s="19">
        <f>IF(I49="","",IF(AND(I49="Gasto",K49="Variable",J49&lt;&gt;"Trading",O49&gt;0,O49&lt;=Umbral),1,0))</f>
        <v/>
      </c>
      <c r="T49" s="20">
        <f>IF(OR(I49="",E49=""),"",IF(OR(I49="Gasto",I49="Transferencia",I49="Pago tarjeta"),-1,1)*C49)</f>
        <v/>
      </c>
      <c r="U49" s="20">
        <f>IF(OR(G49="",AND(I49&lt;&gt;"Transferencia",I49&lt;&gt;"Pago tarjeta")),"",IF(IFERROR(INDEX(ctaMon,MATCH(G49,ctaNom,0))&amp;"","DOP")=N49,C49,IF(N49="USD",C49*TasaUSD,C49/TasaUSD)))</f>
        <v/>
      </c>
      <c r="V49" s="20">
        <f>IF(I49="","",IF(IFERROR(INDEX(ctaLiq,MATCH(E49,ctaNom,0))="Sí",FALSE),IF(OR(I49="Gasto",I49="Transferencia",I49="Pago tarjeta"),-1,1)*O49,0)+IF(AND(U49&lt;&gt;"",IFERROR(INDEX(ctaLiq,MATCH(G49,ctaNom,0))="Sí",FALSE)),O49,0))</f>
        <v/>
      </c>
      <c r="W49" s="19">
        <f>IF(OR(F49="",I49=""),"",IF(COUNTIFS(F$6:F49,F49,I$6:I49,"?*")=1,MAX(W$5:W48)+1,""))</f>
        <v/>
      </c>
    </row>
    <row r="50">
      <c r="B50" s="15" t="n">
        <v>46283</v>
      </c>
      <c r="C50" s="16" t="n">
        <v>725</v>
      </c>
      <c r="D50" s="17" t="inlineStr">
        <is>
          <t>Cena comprada</t>
        </is>
      </c>
      <c r="E50" s="17" t="inlineStr">
        <is>
          <t>Tarjeta de crédito</t>
        </is>
      </c>
      <c r="F50" s="17" t="inlineStr">
        <is>
          <t>DEMO Pizzería</t>
        </is>
      </c>
      <c r="G50" s="17" t="n"/>
      <c r="H50" s="18">
        <f>IF(AND(B50="",C50="",D50="",E50=""),"",IF(B50="","⚠ Falta fecha",IF(C50="","⚠ Falta monto",IF(D50="","⚠ Falta categoría",IF(ISNA(MATCH(D50,catNom,0)),"⚠ Categoría no existe",IF(E50="","⚠ Falta cuenta",IF(ISNA(MATCH(E50,ctaNom,0)),"⚠ Cuenta no existe",IF(AND(OR(I50="Transferencia",I50="Pago tarjeta"),G50=""),"⚠ Indica la cuenta «Hacia»",IF(AND(G50&lt;&gt;"",G50=E50),"⚠ «Hacia» igual a la cuenta",IF(AND(G50&lt;&gt;"",ISNA(MATCH(G50,ctaNom,0))),"⚠ «Hacia» no existe",IF(AND(I50="Pago tarjeta",IFERROR(INDEX(ctaTipo,MATCH(G50,ctaNom,0)),"")&lt;&gt;"Tarjeta de crédito"),"⚠ «Hacia» debe ser la tarjeta",IF(AND(I50="Trading",IFERROR(INDEX(ctaTipo,MATCH(E50,ctaNom,0)),"")&lt;&gt;"Cuenta de trading"),"⚠ Usa la cuenta de trading","✓"))))))))))))</f>
        <v/>
      </c>
      <c r="I50" s="19">
        <f>IF(OR(B50="",C50="",D50=""),"",IFERROR(INDEX(catTipo,MATCH(D50,catNom,0))&amp;"",""))</f>
        <v/>
      </c>
      <c r="J50" s="19">
        <f>IF(I50="","",IFERROR(INDEX(catGrupo,MATCH(D50,catNom,0))&amp;"",""))</f>
        <v/>
      </c>
      <c r="K50" s="19">
        <f>IF(I50="Gasto",IF(IFERROR(INDEX(catClas,MATCH(D50,catNom,0))&amp;"","")="","Variable",IFERROR(INDEX(catClas,MATCH(D50,catNom,0))&amp;"","")),"")</f>
        <v/>
      </c>
      <c r="L50" s="19">
        <f>IF(I50="","",IFERROR(INDEX(catAlim,MATCH(D50,catNom,0))&amp;"",""))</f>
        <v/>
      </c>
      <c r="M50" s="19">
        <f>IF(I50="","",IFERROR(INDEX(catComida,MATCH(D50,catNom,0))&amp;"",""))</f>
        <v/>
      </c>
      <c r="N50" s="19">
        <f>IF(I50="","",IFERROR(INDEX(ctaMon,MATCH(E50,ctaNom,0))&amp;"","DOP"))</f>
        <v/>
      </c>
      <c r="O50" s="20">
        <f>IF(I50="","",C50*IF(N50="USD",TasaUSD,1))</f>
        <v/>
      </c>
      <c r="P50" s="20">
        <f>IF(I50="","",IF(I50="Gasto",O50,0))</f>
        <v/>
      </c>
      <c r="Q50" s="20">
        <f>IF(I50="","",IF(I50="Ingreso",O50,0))</f>
        <v/>
      </c>
      <c r="R50" s="20">
        <f>IF(I50="","",IF(I50="Trading",O50,0))</f>
        <v/>
      </c>
      <c r="S50" s="19">
        <f>IF(I50="","",IF(AND(I50="Gasto",K50="Variable",J50&lt;&gt;"Trading",O50&gt;0,O50&lt;=Umbral),1,0))</f>
        <v/>
      </c>
      <c r="T50" s="20">
        <f>IF(OR(I50="",E50=""),"",IF(OR(I50="Gasto",I50="Transferencia",I50="Pago tarjeta"),-1,1)*C50)</f>
        <v/>
      </c>
      <c r="U50" s="20">
        <f>IF(OR(G50="",AND(I50&lt;&gt;"Transferencia",I50&lt;&gt;"Pago tarjeta")),"",IF(IFERROR(INDEX(ctaMon,MATCH(G50,ctaNom,0))&amp;"","DOP")=N50,C50,IF(N50="USD",C50*TasaUSD,C50/TasaUSD)))</f>
        <v/>
      </c>
      <c r="V50" s="20">
        <f>IF(I50="","",IF(IFERROR(INDEX(ctaLiq,MATCH(E50,ctaNom,0))="Sí",FALSE),IF(OR(I50="Gasto",I50="Transferencia",I50="Pago tarjeta"),-1,1)*O50,0)+IF(AND(U50&lt;&gt;"",IFERROR(INDEX(ctaLiq,MATCH(G50,ctaNom,0))="Sí",FALSE)),O50,0))</f>
        <v/>
      </c>
      <c r="W50" s="19">
        <f>IF(OR(F50="",I50=""),"",IF(COUNTIFS(F$6:F50,F50,I$6:I50,"?*")=1,MAX(W$5:W49)+1,""))</f>
        <v/>
      </c>
    </row>
    <row r="51">
      <c r="B51" s="15" t="n">
        <v>46283</v>
      </c>
      <c r="C51" s="16" t="n">
        <v>850</v>
      </c>
      <c r="D51" s="17" t="inlineStr">
        <is>
          <t>Delivery</t>
        </is>
      </c>
      <c r="E51" s="17" t="inlineStr">
        <is>
          <t>Tarjeta de crédito</t>
        </is>
      </c>
      <c r="F51" s="17" t="inlineStr">
        <is>
          <t>DEMO App delivery</t>
        </is>
      </c>
      <c r="G51" s="17" t="n"/>
      <c r="H51" s="18">
        <f>IF(AND(B51="",C51="",D51="",E51=""),"",IF(B51="","⚠ Falta fecha",IF(C51="","⚠ Falta monto",IF(D51="","⚠ Falta categoría",IF(ISNA(MATCH(D51,catNom,0)),"⚠ Categoría no existe",IF(E51="","⚠ Falta cuenta",IF(ISNA(MATCH(E51,ctaNom,0)),"⚠ Cuenta no existe",IF(AND(OR(I51="Transferencia",I51="Pago tarjeta"),G51=""),"⚠ Indica la cuenta «Hacia»",IF(AND(G51&lt;&gt;"",G51=E51),"⚠ «Hacia» igual a la cuenta",IF(AND(G51&lt;&gt;"",ISNA(MATCH(G51,ctaNom,0))),"⚠ «Hacia» no existe",IF(AND(I51="Pago tarjeta",IFERROR(INDEX(ctaTipo,MATCH(G51,ctaNom,0)),"")&lt;&gt;"Tarjeta de crédito"),"⚠ «Hacia» debe ser la tarjeta",IF(AND(I51="Trading",IFERROR(INDEX(ctaTipo,MATCH(E51,ctaNom,0)),"")&lt;&gt;"Cuenta de trading"),"⚠ Usa la cuenta de trading","✓"))))))))))))</f>
        <v/>
      </c>
      <c r="I51" s="19">
        <f>IF(OR(B51="",C51="",D51=""),"",IFERROR(INDEX(catTipo,MATCH(D51,catNom,0))&amp;"",""))</f>
        <v/>
      </c>
      <c r="J51" s="19">
        <f>IF(I51="","",IFERROR(INDEX(catGrupo,MATCH(D51,catNom,0))&amp;"",""))</f>
        <v/>
      </c>
      <c r="K51" s="19">
        <f>IF(I51="Gasto",IF(IFERROR(INDEX(catClas,MATCH(D51,catNom,0))&amp;"","")="","Variable",IFERROR(INDEX(catClas,MATCH(D51,catNom,0))&amp;"","")),"")</f>
        <v/>
      </c>
      <c r="L51" s="19">
        <f>IF(I51="","",IFERROR(INDEX(catAlim,MATCH(D51,catNom,0))&amp;"",""))</f>
        <v/>
      </c>
      <c r="M51" s="19">
        <f>IF(I51="","",IFERROR(INDEX(catComida,MATCH(D51,catNom,0))&amp;"",""))</f>
        <v/>
      </c>
      <c r="N51" s="19">
        <f>IF(I51="","",IFERROR(INDEX(ctaMon,MATCH(E51,ctaNom,0))&amp;"","DOP"))</f>
        <v/>
      </c>
      <c r="O51" s="20">
        <f>IF(I51="","",C51*IF(N51="USD",TasaUSD,1))</f>
        <v/>
      </c>
      <c r="P51" s="20">
        <f>IF(I51="","",IF(I51="Gasto",O51,0))</f>
        <v/>
      </c>
      <c r="Q51" s="20">
        <f>IF(I51="","",IF(I51="Ingreso",O51,0))</f>
        <v/>
      </c>
      <c r="R51" s="20">
        <f>IF(I51="","",IF(I51="Trading",O51,0))</f>
        <v/>
      </c>
      <c r="S51" s="19">
        <f>IF(I51="","",IF(AND(I51="Gasto",K51="Variable",J51&lt;&gt;"Trading",O51&gt;0,O51&lt;=Umbral),1,0))</f>
        <v/>
      </c>
      <c r="T51" s="20">
        <f>IF(OR(I51="",E51=""),"",IF(OR(I51="Gasto",I51="Transferencia",I51="Pago tarjeta"),-1,1)*C51)</f>
        <v/>
      </c>
      <c r="U51" s="20">
        <f>IF(OR(G51="",AND(I51&lt;&gt;"Transferencia",I51&lt;&gt;"Pago tarjeta")),"",IF(IFERROR(INDEX(ctaMon,MATCH(G51,ctaNom,0))&amp;"","DOP")=N51,C51,IF(N51="USD",C51*TasaUSD,C51/TasaUSD)))</f>
        <v/>
      </c>
      <c r="V51" s="20">
        <f>IF(I51="","",IF(IFERROR(INDEX(ctaLiq,MATCH(E51,ctaNom,0))="Sí",FALSE),IF(OR(I51="Gasto",I51="Transferencia",I51="Pago tarjeta"),-1,1)*O51,0)+IF(AND(U51&lt;&gt;"",IFERROR(INDEX(ctaLiq,MATCH(G51,ctaNom,0))="Sí",FALSE)),O51,0))</f>
        <v/>
      </c>
      <c r="W51" s="19">
        <f>IF(OR(F51="",I51=""),"",IF(COUNTIFS(F$6:F51,F51,I$6:I51,"?*")=1,MAX(W$5:W50)+1,""))</f>
        <v/>
      </c>
    </row>
    <row r="52">
      <c r="B52" s="15" t="n">
        <v>46283</v>
      </c>
      <c r="C52" s="16" t="n">
        <v>698</v>
      </c>
      <c r="D52" s="17" t="inlineStr">
        <is>
          <t>Streaming y entretenimiento</t>
        </is>
      </c>
      <c r="E52" s="17" t="inlineStr">
        <is>
          <t>Tarjeta de crédito</t>
        </is>
      </c>
      <c r="F52" s="17" t="inlineStr">
        <is>
          <t>DEMO Streaming</t>
        </is>
      </c>
      <c r="G52" s="17" t="n"/>
      <c r="H52" s="18">
        <f>IF(AND(B52="",C52="",D52="",E52=""),"",IF(B52="","⚠ Falta fecha",IF(C52="","⚠ Falta monto",IF(D52="","⚠ Falta categoría",IF(ISNA(MATCH(D52,catNom,0)),"⚠ Categoría no existe",IF(E52="","⚠ Falta cuenta",IF(ISNA(MATCH(E52,ctaNom,0)),"⚠ Cuenta no existe",IF(AND(OR(I52="Transferencia",I52="Pago tarjeta"),G52=""),"⚠ Indica la cuenta «Hacia»",IF(AND(G52&lt;&gt;"",G52=E52),"⚠ «Hacia» igual a la cuenta",IF(AND(G52&lt;&gt;"",ISNA(MATCH(G52,ctaNom,0))),"⚠ «Hacia» no existe",IF(AND(I52="Pago tarjeta",IFERROR(INDEX(ctaTipo,MATCH(G52,ctaNom,0)),"")&lt;&gt;"Tarjeta de crédito"),"⚠ «Hacia» debe ser la tarjeta",IF(AND(I52="Trading",IFERROR(INDEX(ctaTipo,MATCH(E52,ctaNom,0)),"")&lt;&gt;"Cuenta de trading"),"⚠ Usa la cuenta de trading","✓"))))))))))))</f>
        <v/>
      </c>
      <c r="I52" s="19">
        <f>IF(OR(B52="",C52="",D52=""),"",IFERROR(INDEX(catTipo,MATCH(D52,catNom,0))&amp;"",""))</f>
        <v/>
      </c>
      <c r="J52" s="19">
        <f>IF(I52="","",IFERROR(INDEX(catGrupo,MATCH(D52,catNom,0))&amp;"",""))</f>
        <v/>
      </c>
      <c r="K52" s="19">
        <f>IF(I52="Gasto",IF(IFERROR(INDEX(catClas,MATCH(D52,catNom,0))&amp;"","")="","Variable",IFERROR(INDEX(catClas,MATCH(D52,catNom,0))&amp;"","")),"")</f>
        <v/>
      </c>
      <c r="L52" s="19">
        <f>IF(I52="","",IFERROR(INDEX(catAlim,MATCH(D52,catNom,0))&amp;"",""))</f>
        <v/>
      </c>
      <c r="M52" s="19">
        <f>IF(I52="","",IFERROR(INDEX(catComida,MATCH(D52,catNom,0))&amp;"",""))</f>
        <v/>
      </c>
      <c r="N52" s="19">
        <f>IF(I52="","",IFERROR(INDEX(ctaMon,MATCH(E52,ctaNom,0))&amp;"","DOP"))</f>
        <v/>
      </c>
      <c r="O52" s="20">
        <f>IF(I52="","",C52*IF(N52="USD",TasaUSD,1))</f>
        <v/>
      </c>
      <c r="P52" s="20">
        <f>IF(I52="","",IF(I52="Gasto",O52,0))</f>
        <v/>
      </c>
      <c r="Q52" s="20">
        <f>IF(I52="","",IF(I52="Ingreso",O52,0))</f>
        <v/>
      </c>
      <c r="R52" s="20">
        <f>IF(I52="","",IF(I52="Trading",O52,0))</f>
        <v/>
      </c>
      <c r="S52" s="19">
        <f>IF(I52="","",IF(AND(I52="Gasto",K52="Variable",J52&lt;&gt;"Trading",O52&gt;0,O52&lt;=Umbral),1,0))</f>
        <v/>
      </c>
      <c r="T52" s="20">
        <f>IF(OR(I52="",E52=""),"",IF(OR(I52="Gasto",I52="Transferencia",I52="Pago tarjeta"),-1,1)*C52)</f>
        <v/>
      </c>
      <c r="U52" s="20">
        <f>IF(OR(G52="",AND(I52&lt;&gt;"Transferencia",I52&lt;&gt;"Pago tarjeta")),"",IF(IFERROR(INDEX(ctaMon,MATCH(G52,ctaNom,0))&amp;"","DOP")=N52,C52,IF(N52="USD",C52*TasaUSD,C52/TasaUSD)))</f>
        <v/>
      </c>
      <c r="V52" s="20">
        <f>IF(I52="","",IF(IFERROR(INDEX(ctaLiq,MATCH(E52,ctaNom,0))="Sí",FALSE),IF(OR(I52="Gasto",I52="Transferencia",I52="Pago tarjeta"),-1,1)*O52,0)+IF(AND(U52&lt;&gt;"",IFERROR(INDEX(ctaLiq,MATCH(G52,ctaNom,0))="Sí",FALSE)),O52,0))</f>
        <v/>
      </c>
      <c r="W52" s="19">
        <f>IF(OR(F52="",I52=""),"",IF(COUNTIFS(F$6:F52,F52,I$6:I52,"?*")=1,MAX(W$5:W51)+1,""))</f>
        <v/>
      </c>
    </row>
    <row r="53">
      <c r="B53" s="15" t="n">
        <v>46284</v>
      </c>
      <c r="C53" s="16" t="n">
        <v>3500</v>
      </c>
      <c r="D53" s="17" t="inlineStr">
        <is>
          <t>Restaurante</t>
        </is>
      </c>
      <c r="E53" s="17" t="inlineStr">
        <is>
          <t>Tarjeta de crédito</t>
        </is>
      </c>
      <c r="F53" s="17" t="inlineStr">
        <is>
          <t>DEMO Restaurante</t>
        </is>
      </c>
      <c r="G53" s="17" t="n"/>
      <c r="H53" s="18">
        <f>IF(AND(B53="",C53="",D53="",E53=""),"",IF(B53="","⚠ Falta fecha",IF(C53="","⚠ Falta monto",IF(D53="","⚠ Falta categoría",IF(ISNA(MATCH(D53,catNom,0)),"⚠ Categoría no existe",IF(E53="","⚠ Falta cuenta",IF(ISNA(MATCH(E53,ctaNom,0)),"⚠ Cuenta no existe",IF(AND(OR(I53="Transferencia",I53="Pago tarjeta"),G53=""),"⚠ Indica la cuenta «Hacia»",IF(AND(G53&lt;&gt;"",G53=E53),"⚠ «Hacia» igual a la cuenta",IF(AND(G53&lt;&gt;"",ISNA(MATCH(G53,ctaNom,0))),"⚠ «Hacia» no existe",IF(AND(I53="Pago tarjeta",IFERROR(INDEX(ctaTipo,MATCH(G53,ctaNom,0)),"")&lt;&gt;"Tarjeta de crédito"),"⚠ «Hacia» debe ser la tarjeta",IF(AND(I53="Trading",IFERROR(INDEX(ctaTipo,MATCH(E53,ctaNom,0)),"")&lt;&gt;"Cuenta de trading"),"⚠ Usa la cuenta de trading","✓"))))))))))))</f>
        <v/>
      </c>
      <c r="I53" s="19">
        <f>IF(OR(B53="",C53="",D53=""),"",IFERROR(INDEX(catTipo,MATCH(D53,catNom,0))&amp;"",""))</f>
        <v/>
      </c>
      <c r="J53" s="19">
        <f>IF(I53="","",IFERROR(INDEX(catGrupo,MATCH(D53,catNom,0))&amp;"",""))</f>
        <v/>
      </c>
      <c r="K53" s="19">
        <f>IF(I53="Gasto",IF(IFERROR(INDEX(catClas,MATCH(D53,catNom,0))&amp;"","")="","Variable",IFERROR(INDEX(catClas,MATCH(D53,catNom,0))&amp;"","")),"")</f>
        <v/>
      </c>
      <c r="L53" s="19">
        <f>IF(I53="","",IFERROR(INDEX(catAlim,MATCH(D53,catNom,0))&amp;"",""))</f>
        <v/>
      </c>
      <c r="M53" s="19">
        <f>IF(I53="","",IFERROR(INDEX(catComida,MATCH(D53,catNom,0))&amp;"",""))</f>
        <v/>
      </c>
      <c r="N53" s="19">
        <f>IF(I53="","",IFERROR(INDEX(ctaMon,MATCH(E53,ctaNom,0))&amp;"","DOP"))</f>
        <v/>
      </c>
      <c r="O53" s="20">
        <f>IF(I53="","",C53*IF(N53="USD",TasaUSD,1))</f>
        <v/>
      </c>
      <c r="P53" s="20">
        <f>IF(I53="","",IF(I53="Gasto",O53,0))</f>
        <v/>
      </c>
      <c r="Q53" s="20">
        <f>IF(I53="","",IF(I53="Ingreso",O53,0))</f>
        <v/>
      </c>
      <c r="R53" s="20">
        <f>IF(I53="","",IF(I53="Trading",O53,0))</f>
        <v/>
      </c>
      <c r="S53" s="19">
        <f>IF(I53="","",IF(AND(I53="Gasto",K53="Variable",J53&lt;&gt;"Trading",O53&gt;0,O53&lt;=Umbral),1,0))</f>
        <v/>
      </c>
      <c r="T53" s="20">
        <f>IF(OR(I53="",E53=""),"",IF(OR(I53="Gasto",I53="Transferencia",I53="Pago tarjeta"),-1,1)*C53)</f>
        <v/>
      </c>
      <c r="U53" s="20">
        <f>IF(OR(G53="",AND(I53&lt;&gt;"Transferencia",I53&lt;&gt;"Pago tarjeta")),"",IF(IFERROR(INDEX(ctaMon,MATCH(G53,ctaNom,0))&amp;"","DOP")=N53,C53,IF(N53="USD",C53*TasaUSD,C53/TasaUSD)))</f>
        <v/>
      </c>
      <c r="V53" s="20">
        <f>IF(I53="","",IF(IFERROR(INDEX(ctaLiq,MATCH(E53,ctaNom,0))="Sí",FALSE),IF(OR(I53="Gasto",I53="Transferencia",I53="Pago tarjeta"),-1,1)*O53,0)+IF(AND(U53&lt;&gt;"",IFERROR(INDEX(ctaLiq,MATCH(G53,ctaNom,0))="Sí",FALSE)),O53,0))</f>
        <v/>
      </c>
      <c r="W53" s="19">
        <f>IF(OR(F53="",I53=""),"",IF(COUNTIFS(F$6:F53,F53,I$6:I53,"?*")=1,MAX(W$5:W52)+1,""))</f>
        <v/>
      </c>
    </row>
    <row r="54">
      <c r="B54" s="15" t="n">
        <v>46285</v>
      </c>
      <c r="C54" s="16" t="n">
        <v>450</v>
      </c>
      <c r="D54" s="17" t="inlineStr">
        <is>
          <t>Ingredientes / colmado</t>
        </is>
      </c>
      <c r="E54" s="17" t="inlineStr">
        <is>
          <t>Efectivo</t>
        </is>
      </c>
      <c r="F54" s="17" t="inlineStr">
        <is>
          <t>DEMO Mercado</t>
        </is>
      </c>
      <c r="G54" s="17" t="n"/>
      <c r="H54" s="18">
        <f>IF(AND(B54="",C54="",D54="",E54=""),"",IF(B54="","⚠ Falta fecha",IF(C54="","⚠ Falta monto",IF(D54="","⚠ Falta categoría",IF(ISNA(MATCH(D54,catNom,0)),"⚠ Categoría no existe",IF(E54="","⚠ Falta cuenta",IF(ISNA(MATCH(E54,ctaNom,0)),"⚠ Cuenta no existe",IF(AND(OR(I54="Transferencia",I54="Pago tarjeta"),G54=""),"⚠ Indica la cuenta «Hacia»",IF(AND(G54&lt;&gt;"",G54=E54),"⚠ «Hacia» igual a la cuenta",IF(AND(G54&lt;&gt;"",ISNA(MATCH(G54,ctaNom,0))),"⚠ «Hacia» no existe",IF(AND(I54="Pago tarjeta",IFERROR(INDEX(ctaTipo,MATCH(G54,ctaNom,0)),"")&lt;&gt;"Tarjeta de crédito"),"⚠ «Hacia» debe ser la tarjeta",IF(AND(I54="Trading",IFERROR(INDEX(ctaTipo,MATCH(E54,ctaNom,0)),"")&lt;&gt;"Cuenta de trading"),"⚠ Usa la cuenta de trading","✓"))))))))))))</f>
        <v/>
      </c>
      <c r="I54" s="19">
        <f>IF(OR(B54="",C54="",D54=""),"",IFERROR(INDEX(catTipo,MATCH(D54,catNom,0))&amp;"",""))</f>
        <v/>
      </c>
      <c r="J54" s="19">
        <f>IF(I54="","",IFERROR(INDEX(catGrupo,MATCH(D54,catNom,0))&amp;"",""))</f>
        <v/>
      </c>
      <c r="K54" s="19">
        <f>IF(I54="Gasto",IF(IFERROR(INDEX(catClas,MATCH(D54,catNom,0))&amp;"","")="","Variable",IFERROR(INDEX(catClas,MATCH(D54,catNom,0))&amp;"","")),"")</f>
        <v/>
      </c>
      <c r="L54" s="19">
        <f>IF(I54="","",IFERROR(INDEX(catAlim,MATCH(D54,catNom,0))&amp;"",""))</f>
        <v/>
      </c>
      <c r="M54" s="19">
        <f>IF(I54="","",IFERROR(INDEX(catComida,MATCH(D54,catNom,0))&amp;"",""))</f>
        <v/>
      </c>
      <c r="N54" s="19">
        <f>IF(I54="","",IFERROR(INDEX(ctaMon,MATCH(E54,ctaNom,0))&amp;"","DOP"))</f>
        <v/>
      </c>
      <c r="O54" s="20">
        <f>IF(I54="","",C54*IF(N54="USD",TasaUSD,1))</f>
        <v/>
      </c>
      <c r="P54" s="20">
        <f>IF(I54="","",IF(I54="Gasto",O54,0))</f>
        <v/>
      </c>
      <c r="Q54" s="20">
        <f>IF(I54="","",IF(I54="Ingreso",O54,0))</f>
        <v/>
      </c>
      <c r="R54" s="20">
        <f>IF(I54="","",IF(I54="Trading",O54,0))</f>
        <v/>
      </c>
      <c r="S54" s="19">
        <f>IF(I54="","",IF(AND(I54="Gasto",K54="Variable",J54&lt;&gt;"Trading",O54&gt;0,O54&lt;=Umbral),1,0))</f>
        <v/>
      </c>
      <c r="T54" s="20">
        <f>IF(OR(I54="",E54=""),"",IF(OR(I54="Gasto",I54="Transferencia",I54="Pago tarjeta"),-1,1)*C54)</f>
        <v/>
      </c>
      <c r="U54" s="20">
        <f>IF(OR(G54="",AND(I54&lt;&gt;"Transferencia",I54&lt;&gt;"Pago tarjeta")),"",IF(IFERROR(INDEX(ctaMon,MATCH(G54,ctaNom,0))&amp;"","DOP")=N54,C54,IF(N54="USD",C54*TasaUSD,C54/TasaUSD)))</f>
        <v/>
      </c>
      <c r="V54" s="20">
        <f>IF(I54="","",IF(IFERROR(INDEX(ctaLiq,MATCH(E54,ctaNom,0))="Sí",FALSE),IF(OR(I54="Gasto",I54="Transferencia",I54="Pago tarjeta"),-1,1)*O54,0)+IF(AND(U54&lt;&gt;"",IFERROR(INDEX(ctaLiq,MATCH(G54,ctaNom,0))="Sí",FALSE)),O54,0))</f>
        <v/>
      </c>
      <c r="W54" s="19">
        <f>IF(OR(F54="",I54=""),"",IF(COUNTIFS(F$6:F54,F54,I$6:I54,"?*")=1,MAX(W$5:W53)+1,""))</f>
        <v/>
      </c>
    </row>
    <row r="55">
      <c r="B55" s="15" t="n">
        <v>46285</v>
      </c>
      <c r="C55" s="16" t="n">
        <v>-40</v>
      </c>
      <c r="D55" s="17" t="inlineStr">
        <is>
          <t>Ganancia / pérdida de trading</t>
        </is>
      </c>
      <c r="E55" s="17" t="inlineStr">
        <is>
          <t>Cuenta de trading</t>
        </is>
      </c>
      <c r="F55" s="17" t="inlineStr">
        <is>
          <t>DEMO</t>
        </is>
      </c>
      <c r="G55" s="17" t="n"/>
      <c r="H55" s="18">
        <f>IF(AND(B55="",C55="",D55="",E55=""),"",IF(B55="","⚠ Falta fecha",IF(C55="","⚠ Falta monto",IF(D55="","⚠ Falta categoría",IF(ISNA(MATCH(D55,catNom,0)),"⚠ Categoría no existe",IF(E55="","⚠ Falta cuenta",IF(ISNA(MATCH(E55,ctaNom,0)),"⚠ Cuenta no existe",IF(AND(OR(I55="Transferencia",I55="Pago tarjeta"),G55=""),"⚠ Indica la cuenta «Hacia»",IF(AND(G55&lt;&gt;"",G55=E55),"⚠ «Hacia» igual a la cuenta",IF(AND(G55&lt;&gt;"",ISNA(MATCH(G55,ctaNom,0))),"⚠ «Hacia» no existe",IF(AND(I55="Pago tarjeta",IFERROR(INDEX(ctaTipo,MATCH(G55,ctaNom,0)),"")&lt;&gt;"Tarjeta de crédito"),"⚠ «Hacia» debe ser la tarjeta",IF(AND(I55="Trading",IFERROR(INDEX(ctaTipo,MATCH(E55,ctaNom,0)),"")&lt;&gt;"Cuenta de trading"),"⚠ Usa la cuenta de trading","✓"))))))))))))</f>
        <v/>
      </c>
      <c r="I55" s="19">
        <f>IF(OR(B55="",C55="",D55=""),"",IFERROR(INDEX(catTipo,MATCH(D55,catNom,0))&amp;"",""))</f>
        <v/>
      </c>
      <c r="J55" s="19">
        <f>IF(I55="","",IFERROR(INDEX(catGrupo,MATCH(D55,catNom,0))&amp;"",""))</f>
        <v/>
      </c>
      <c r="K55" s="19">
        <f>IF(I55="Gasto",IF(IFERROR(INDEX(catClas,MATCH(D55,catNom,0))&amp;"","")="","Variable",IFERROR(INDEX(catClas,MATCH(D55,catNom,0))&amp;"","")),"")</f>
        <v/>
      </c>
      <c r="L55" s="19">
        <f>IF(I55="","",IFERROR(INDEX(catAlim,MATCH(D55,catNom,0))&amp;"",""))</f>
        <v/>
      </c>
      <c r="M55" s="19">
        <f>IF(I55="","",IFERROR(INDEX(catComida,MATCH(D55,catNom,0))&amp;"",""))</f>
        <v/>
      </c>
      <c r="N55" s="19">
        <f>IF(I55="","",IFERROR(INDEX(ctaMon,MATCH(E55,ctaNom,0))&amp;"","DOP"))</f>
        <v/>
      </c>
      <c r="O55" s="20">
        <f>IF(I55="","",C55*IF(N55="USD",TasaUSD,1))</f>
        <v/>
      </c>
      <c r="P55" s="20">
        <f>IF(I55="","",IF(I55="Gasto",O55,0))</f>
        <v/>
      </c>
      <c r="Q55" s="20">
        <f>IF(I55="","",IF(I55="Ingreso",O55,0))</f>
        <v/>
      </c>
      <c r="R55" s="20">
        <f>IF(I55="","",IF(I55="Trading",O55,0))</f>
        <v/>
      </c>
      <c r="S55" s="19">
        <f>IF(I55="","",IF(AND(I55="Gasto",K55="Variable",J55&lt;&gt;"Trading",O55&gt;0,O55&lt;=Umbral),1,0))</f>
        <v/>
      </c>
      <c r="T55" s="20">
        <f>IF(OR(I55="",E55=""),"",IF(OR(I55="Gasto",I55="Transferencia",I55="Pago tarjeta"),-1,1)*C55)</f>
        <v/>
      </c>
      <c r="U55" s="20">
        <f>IF(OR(G55="",AND(I55&lt;&gt;"Transferencia",I55&lt;&gt;"Pago tarjeta")),"",IF(IFERROR(INDEX(ctaMon,MATCH(G55,ctaNom,0))&amp;"","DOP")=N55,C55,IF(N55="USD",C55*TasaUSD,C55/TasaUSD)))</f>
        <v/>
      </c>
      <c r="V55" s="20">
        <f>IF(I55="","",IF(IFERROR(INDEX(ctaLiq,MATCH(E55,ctaNom,0))="Sí",FALSE),IF(OR(I55="Gasto",I55="Transferencia",I55="Pago tarjeta"),-1,1)*O55,0)+IF(AND(U55&lt;&gt;"",IFERROR(INDEX(ctaLiq,MATCH(G55,ctaNom,0))="Sí",FALSE)),O55,0))</f>
        <v/>
      </c>
      <c r="W55" s="19">
        <f>IF(OR(F55="",I55=""),"",IF(COUNTIFS(F$6:F55,F55,I$6:I55,"?*")=1,MAX(W$5:W54)+1,""))</f>
        <v/>
      </c>
    </row>
    <row r="56">
      <c r="B56" s="15" t="n">
        <v>46285</v>
      </c>
      <c r="C56" s="16" t="n">
        <v>15000</v>
      </c>
      <c r="D56" s="17" t="inlineStr">
        <is>
          <t>Boda</t>
        </is>
      </c>
      <c r="E56" s="17" t="inlineStr">
        <is>
          <t>Banco</t>
        </is>
      </c>
      <c r="F56" s="17" t="inlineStr">
        <is>
          <t>DEMO Proveedor boda</t>
        </is>
      </c>
      <c r="G56" s="17" t="n"/>
      <c r="H56" s="18">
        <f>IF(AND(B56="",C56="",D56="",E56=""),"",IF(B56="","⚠ Falta fecha",IF(C56="","⚠ Falta monto",IF(D56="","⚠ Falta categoría",IF(ISNA(MATCH(D56,catNom,0)),"⚠ Categoría no existe",IF(E56="","⚠ Falta cuenta",IF(ISNA(MATCH(E56,ctaNom,0)),"⚠ Cuenta no existe",IF(AND(OR(I56="Transferencia",I56="Pago tarjeta"),G56=""),"⚠ Indica la cuenta «Hacia»",IF(AND(G56&lt;&gt;"",G56=E56),"⚠ «Hacia» igual a la cuenta",IF(AND(G56&lt;&gt;"",ISNA(MATCH(G56,ctaNom,0))),"⚠ «Hacia» no existe",IF(AND(I56="Pago tarjeta",IFERROR(INDEX(ctaTipo,MATCH(G56,ctaNom,0)),"")&lt;&gt;"Tarjeta de crédito"),"⚠ «Hacia» debe ser la tarjeta",IF(AND(I56="Trading",IFERROR(INDEX(ctaTipo,MATCH(E56,ctaNom,0)),"")&lt;&gt;"Cuenta de trading"),"⚠ Usa la cuenta de trading","✓"))))))))))))</f>
        <v/>
      </c>
      <c r="I56" s="19">
        <f>IF(OR(B56="",C56="",D56=""),"",IFERROR(INDEX(catTipo,MATCH(D56,catNom,0))&amp;"",""))</f>
        <v/>
      </c>
      <c r="J56" s="19">
        <f>IF(I56="","",IFERROR(INDEX(catGrupo,MATCH(D56,catNom,0))&amp;"",""))</f>
        <v/>
      </c>
      <c r="K56" s="19">
        <f>IF(I56="Gasto",IF(IFERROR(INDEX(catClas,MATCH(D56,catNom,0))&amp;"","")="","Variable",IFERROR(INDEX(catClas,MATCH(D56,catNom,0))&amp;"","")),"")</f>
        <v/>
      </c>
      <c r="L56" s="19">
        <f>IF(I56="","",IFERROR(INDEX(catAlim,MATCH(D56,catNom,0))&amp;"",""))</f>
        <v/>
      </c>
      <c r="M56" s="19">
        <f>IF(I56="","",IFERROR(INDEX(catComida,MATCH(D56,catNom,0))&amp;"",""))</f>
        <v/>
      </c>
      <c r="N56" s="19">
        <f>IF(I56="","",IFERROR(INDEX(ctaMon,MATCH(E56,ctaNom,0))&amp;"","DOP"))</f>
        <v/>
      </c>
      <c r="O56" s="20">
        <f>IF(I56="","",C56*IF(N56="USD",TasaUSD,1))</f>
        <v/>
      </c>
      <c r="P56" s="20">
        <f>IF(I56="","",IF(I56="Gasto",O56,0))</f>
        <v/>
      </c>
      <c r="Q56" s="20">
        <f>IF(I56="","",IF(I56="Ingreso",O56,0))</f>
        <v/>
      </c>
      <c r="R56" s="20">
        <f>IF(I56="","",IF(I56="Trading",O56,0))</f>
        <v/>
      </c>
      <c r="S56" s="19">
        <f>IF(I56="","",IF(AND(I56="Gasto",K56="Variable",J56&lt;&gt;"Trading",O56&gt;0,O56&lt;=Umbral),1,0))</f>
        <v/>
      </c>
      <c r="T56" s="20">
        <f>IF(OR(I56="",E56=""),"",IF(OR(I56="Gasto",I56="Transferencia",I56="Pago tarjeta"),-1,1)*C56)</f>
        <v/>
      </c>
      <c r="U56" s="20">
        <f>IF(OR(G56="",AND(I56&lt;&gt;"Transferencia",I56&lt;&gt;"Pago tarjeta")),"",IF(IFERROR(INDEX(ctaMon,MATCH(G56,ctaNom,0))&amp;"","DOP")=N56,C56,IF(N56="USD",C56*TasaUSD,C56/TasaUSD)))</f>
        <v/>
      </c>
      <c r="V56" s="20">
        <f>IF(I56="","",IF(IFERROR(INDEX(ctaLiq,MATCH(E56,ctaNom,0))="Sí",FALSE),IF(OR(I56="Gasto",I56="Transferencia",I56="Pago tarjeta"),-1,1)*O56,0)+IF(AND(U56&lt;&gt;"",IFERROR(INDEX(ctaLiq,MATCH(G56,ctaNom,0))="Sí",FALSE)),O56,0))</f>
        <v/>
      </c>
      <c r="W56" s="19">
        <f>IF(OR(F56="",I56=""),"",IF(COUNTIFS(F$6:F56,F56,I$6:I56,"?*")=1,MAX(W$5:W55)+1,""))</f>
        <v/>
      </c>
    </row>
    <row r="57">
      <c r="B57" s="15" t="n">
        <v>46286</v>
      </c>
      <c r="C57" s="16" t="n">
        <v>575</v>
      </c>
      <c r="D57" s="17" t="inlineStr">
        <is>
          <t>Almuerzo comprado</t>
        </is>
      </c>
      <c r="E57" s="17" t="inlineStr">
        <is>
          <t>Banco</t>
        </is>
      </c>
      <c r="F57" s="17" t="inlineStr">
        <is>
          <t>DEMO Comedor</t>
        </is>
      </c>
      <c r="G57" s="17" t="n"/>
      <c r="H57" s="18">
        <f>IF(AND(B57="",C57="",D57="",E57=""),"",IF(B57="","⚠ Falta fecha",IF(C57="","⚠ Falta monto",IF(D57="","⚠ Falta categoría",IF(ISNA(MATCH(D57,catNom,0)),"⚠ Categoría no existe",IF(E57="","⚠ Falta cuenta",IF(ISNA(MATCH(E57,ctaNom,0)),"⚠ Cuenta no existe",IF(AND(OR(I57="Transferencia",I57="Pago tarjeta"),G57=""),"⚠ Indica la cuenta «Hacia»",IF(AND(G57&lt;&gt;"",G57=E57),"⚠ «Hacia» igual a la cuenta",IF(AND(G57&lt;&gt;"",ISNA(MATCH(G57,ctaNom,0))),"⚠ «Hacia» no existe",IF(AND(I57="Pago tarjeta",IFERROR(INDEX(ctaTipo,MATCH(G57,ctaNom,0)),"")&lt;&gt;"Tarjeta de crédito"),"⚠ «Hacia» debe ser la tarjeta",IF(AND(I57="Trading",IFERROR(INDEX(ctaTipo,MATCH(E57,ctaNom,0)),"")&lt;&gt;"Cuenta de trading"),"⚠ Usa la cuenta de trading","✓"))))))))))))</f>
        <v/>
      </c>
      <c r="I57" s="19">
        <f>IF(OR(B57="",C57="",D57=""),"",IFERROR(INDEX(catTipo,MATCH(D57,catNom,0))&amp;"",""))</f>
        <v/>
      </c>
      <c r="J57" s="19">
        <f>IF(I57="","",IFERROR(INDEX(catGrupo,MATCH(D57,catNom,0))&amp;"",""))</f>
        <v/>
      </c>
      <c r="K57" s="19">
        <f>IF(I57="Gasto",IF(IFERROR(INDEX(catClas,MATCH(D57,catNom,0))&amp;"","")="","Variable",IFERROR(INDEX(catClas,MATCH(D57,catNom,0))&amp;"","")),"")</f>
        <v/>
      </c>
      <c r="L57" s="19">
        <f>IF(I57="","",IFERROR(INDEX(catAlim,MATCH(D57,catNom,0))&amp;"",""))</f>
        <v/>
      </c>
      <c r="M57" s="19">
        <f>IF(I57="","",IFERROR(INDEX(catComida,MATCH(D57,catNom,0))&amp;"",""))</f>
        <v/>
      </c>
      <c r="N57" s="19">
        <f>IF(I57="","",IFERROR(INDEX(ctaMon,MATCH(E57,ctaNom,0))&amp;"","DOP"))</f>
        <v/>
      </c>
      <c r="O57" s="20">
        <f>IF(I57="","",C57*IF(N57="USD",TasaUSD,1))</f>
        <v/>
      </c>
      <c r="P57" s="20">
        <f>IF(I57="","",IF(I57="Gasto",O57,0))</f>
        <v/>
      </c>
      <c r="Q57" s="20">
        <f>IF(I57="","",IF(I57="Ingreso",O57,0))</f>
        <v/>
      </c>
      <c r="R57" s="20">
        <f>IF(I57="","",IF(I57="Trading",O57,0))</f>
        <v/>
      </c>
      <c r="S57" s="19">
        <f>IF(I57="","",IF(AND(I57="Gasto",K57="Variable",J57&lt;&gt;"Trading",O57&gt;0,O57&lt;=Umbral),1,0))</f>
        <v/>
      </c>
      <c r="T57" s="20">
        <f>IF(OR(I57="",E57=""),"",IF(OR(I57="Gasto",I57="Transferencia",I57="Pago tarjeta"),-1,1)*C57)</f>
        <v/>
      </c>
      <c r="U57" s="20">
        <f>IF(OR(G57="",AND(I57&lt;&gt;"Transferencia",I57&lt;&gt;"Pago tarjeta")),"",IF(IFERROR(INDEX(ctaMon,MATCH(G57,ctaNom,0))&amp;"","DOP")=N57,C57,IF(N57="USD",C57*TasaUSD,C57/TasaUSD)))</f>
        <v/>
      </c>
      <c r="V57" s="20">
        <f>IF(I57="","",IF(IFERROR(INDEX(ctaLiq,MATCH(E57,ctaNom,0))="Sí",FALSE),IF(OR(I57="Gasto",I57="Transferencia",I57="Pago tarjeta"),-1,1)*O57,0)+IF(AND(U57&lt;&gt;"",IFERROR(INDEX(ctaLiq,MATCH(G57,ctaNom,0))="Sí",FALSE)),O57,0))</f>
        <v/>
      </c>
      <c r="W57" s="19">
        <f>IF(OR(F57="",I57=""),"",IF(COUNTIFS(F$6:F57,F57,I$6:I57,"?*")=1,MAX(W$5:W56)+1,""))</f>
        <v/>
      </c>
    </row>
    <row r="58">
      <c r="B58" s="15" t="n">
        <v>46286</v>
      </c>
      <c r="C58" s="16" t="n">
        <v>2850</v>
      </c>
      <c r="D58" s="17" t="inlineStr">
        <is>
          <t>Combustible</t>
        </is>
      </c>
      <c r="E58" s="17" t="inlineStr">
        <is>
          <t>Tarjeta de crédito</t>
        </is>
      </c>
      <c r="F58" s="17" t="inlineStr">
        <is>
          <t>DEMO Gasolinera</t>
        </is>
      </c>
      <c r="G58" s="17" t="n"/>
      <c r="H58" s="18">
        <f>IF(AND(B58="",C58="",D58="",E58=""),"",IF(B58="","⚠ Falta fecha",IF(C58="","⚠ Falta monto",IF(D58="","⚠ Falta categoría",IF(ISNA(MATCH(D58,catNom,0)),"⚠ Categoría no existe",IF(E58="","⚠ Falta cuenta",IF(ISNA(MATCH(E58,ctaNom,0)),"⚠ Cuenta no existe",IF(AND(OR(I58="Transferencia",I58="Pago tarjeta"),G58=""),"⚠ Indica la cuenta «Hacia»",IF(AND(G58&lt;&gt;"",G58=E58),"⚠ «Hacia» igual a la cuenta",IF(AND(G58&lt;&gt;"",ISNA(MATCH(G58,ctaNom,0))),"⚠ «Hacia» no existe",IF(AND(I58="Pago tarjeta",IFERROR(INDEX(ctaTipo,MATCH(G58,ctaNom,0)),"")&lt;&gt;"Tarjeta de crédito"),"⚠ «Hacia» debe ser la tarjeta",IF(AND(I58="Trading",IFERROR(INDEX(ctaTipo,MATCH(E58,ctaNom,0)),"")&lt;&gt;"Cuenta de trading"),"⚠ Usa la cuenta de trading","✓"))))))))))))</f>
        <v/>
      </c>
      <c r="I58" s="19">
        <f>IF(OR(B58="",C58="",D58=""),"",IFERROR(INDEX(catTipo,MATCH(D58,catNom,0))&amp;"",""))</f>
        <v/>
      </c>
      <c r="J58" s="19">
        <f>IF(I58="","",IFERROR(INDEX(catGrupo,MATCH(D58,catNom,0))&amp;"",""))</f>
        <v/>
      </c>
      <c r="K58" s="19">
        <f>IF(I58="Gasto",IF(IFERROR(INDEX(catClas,MATCH(D58,catNom,0))&amp;"","")="","Variable",IFERROR(INDEX(catClas,MATCH(D58,catNom,0))&amp;"","")),"")</f>
        <v/>
      </c>
      <c r="L58" s="19">
        <f>IF(I58="","",IFERROR(INDEX(catAlim,MATCH(D58,catNom,0))&amp;"",""))</f>
        <v/>
      </c>
      <c r="M58" s="19">
        <f>IF(I58="","",IFERROR(INDEX(catComida,MATCH(D58,catNom,0))&amp;"",""))</f>
        <v/>
      </c>
      <c r="N58" s="19">
        <f>IF(I58="","",IFERROR(INDEX(ctaMon,MATCH(E58,ctaNom,0))&amp;"","DOP"))</f>
        <v/>
      </c>
      <c r="O58" s="20">
        <f>IF(I58="","",C58*IF(N58="USD",TasaUSD,1))</f>
        <v/>
      </c>
      <c r="P58" s="20">
        <f>IF(I58="","",IF(I58="Gasto",O58,0))</f>
        <v/>
      </c>
      <c r="Q58" s="20">
        <f>IF(I58="","",IF(I58="Ingreso",O58,0))</f>
        <v/>
      </c>
      <c r="R58" s="20">
        <f>IF(I58="","",IF(I58="Trading",O58,0))</f>
        <v/>
      </c>
      <c r="S58" s="19">
        <f>IF(I58="","",IF(AND(I58="Gasto",K58="Variable",J58&lt;&gt;"Trading",O58&gt;0,O58&lt;=Umbral),1,0))</f>
        <v/>
      </c>
      <c r="T58" s="20">
        <f>IF(OR(I58="",E58=""),"",IF(OR(I58="Gasto",I58="Transferencia",I58="Pago tarjeta"),-1,1)*C58)</f>
        <v/>
      </c>
      <c r="U58" s="20">
        <f>IF(OR(G58="",AND(I58&lt;&gt;"Transferencia",I58&lt;&gt;"Pago tarjeta")),"",IF(IFERROR(INDEX(ctaMon,MATCH(G58,ctaNom,0))&amp;"","DOP")=N58,C58,IF(N58="USD",C58*TasaUSD,C58/TasaUSD)))</f>
        <v/>
      </c>
      <c r="V58" s="20">
        <f>IF(I58="","",IF(IFERROR(INDEX(ctaLiq,MATCH(E58,ctaNom,0))="Sí",FALSE),IF(OR(I58="Gasto",I58="Transferencia",I58="Pago tarjeta"),-1,1)*O58,0)+IF(AND(U58&lt;&gt;"",IFERROR(INDEX(ctaLiq,MATCH(G58,ctaNom,0))="Sí",FALSE)),O58,0))</f>
        <v/>
      </c>
      <c r="W58" s="19">
        <f>IF(OR(F58="",I58=""),"",IF(COUNTIFS(F$6:F58,F58,I$6:I58,"?*")=1,MAX(W$5:W57)+1,""))</f>
        <v/>
      </c>
    </row>
    <row r="59">
      <c r="B59" s="15" t="n">
        <v>46287</v>
      </c>
      <c r="C59" s="16" t="n">
        <v>375</v>
      </c>
      <c r="D59" s="17" t="inlineStr">
        <is>
          <t>Almuerzo comprado</t>
        </is>
      </c>
      <c r="E59" s="17" t="inlineStr">
        <is>
          <t>Billetera digital</t>
        </is>
      </c>
      <c r="F59" s="17" t="inlineStr">
        <is>
          <t>DEMO Comedor</t>
        </is>
      </c>
      <c r="G59" s="17" t="n"/>
      <c r="H59" s="18">
        <f>IF(AND(B59="",C59="",D59="",E59=""),"",IF(B59="","⚠ Falta fecha",IF(C59="","⚠ Falta monto",IF(D59="","⚠ Falta categoría",IF(ISNA(MATCH(D59,catNom,0)),"⚠ Categoría no existe",IF(E59="","⚠ Falta cuenta",IF(ISNA(MATCH(E59,ctaNom,0)),"⚠ Cuenta no existe",IF(AND(OR(I59="Transferencia",I59="Pago tarjeta"),G59=""),"⚠ Indica la cuenta «Hacia»",IF(AND(G59&lt;&gt;"",G59=E59),"⚠ «Hacia» igual a la cuenta",IF(AND(G59&lt;&gt;"",ISNA(MATCH(G59,ctaNom,0))),"⚠ «Hacia» no existe",IF(AND(I59="Pago tarjeta",IFERROR(INDEX(ctaTipo,MATCH(G59,ctaNom,0)),"")&lt;&gt;"Tarjeta de crédito"),"⚠ «Hacia» debe ser la tarjeta",IF(AND(I59="Trading",IFERROR(INDEX(ctaTipo,MATCH(E59,ctaNom,0)),"")&lt;&gt;"Cuenta de trading"),"⚠ Usa la cuenta de trading","✓"))))))))))))</f>
        <v/>
      </c>
      <c r="I59" s="19">
        <f>IF(OR(B59="",C59="",D59=""),"",IFERROR(INDEX(catTipo,MATCH(D59,catNom,0))&amp;"",""))</f>
        <v/>
      </c>
      <c r="J59" s="19">
        <f>IF(I59="","",IFERROR(INDEX(catGrupo,MATCH(D59,catNom,0))&amp;"",""))</f>
        <v/>
      </c>
      <c r="K59" s="19">
        <f>IF(I59="Gasto",IF(IFERROR(INDEX(catClas,MATCH(D59,catNom,0))&amp;"","")="","Variable",IFERROR(INDEX(catClas,MATCH(D59,catNom,0))&amp;"","")),"")</f>
        <v/>
      </c>
      <c r="L59" s="19">
        <f>IF(I59="","",IFERROR(INDEX(catAlim,MATCH(D59,catNom,0))&amp;"",""))</f>
        <v/>
      </c>
      <c r="M59" s="19">
        <f>IF(I59="","",IFERROR(INDEX(catComida,MATCH(D59,catNom,0))&amp;"",""))</f>
        <v/>
      </c>
      <c r="N59" s="19">
        <f>IF(I59="","",IFERROR(INDEX(ctaMon,MATCH(E59,ctaNom,0))&amp;"","DOP"))</f>
        <v/>
      </c>
      <c r="O59" s="20">
        <f>IF(I59="","",C59*IF(N59="USD",TasaUSD,1))</f>
        <v/>
      </c>
      <c r="P59" s="20">
        <f>IF(I59="","",IF(I59="Gasto",O59,0))</f>
        <v/>
      </c>
      <c r="Q59" s="20">
        <f>IF(I59="","",IF(I59="Ingreso",O59,0))</f>
        <v/>
      </c>
      <c r="R59" s="20">
        <f>IF(I59="","",IF(I59="Trading",O59,0))</f>
        <v/>
      </c>
      <c r="S59" s="19">
        <f>IF(I59="","",IF(AND(I59="Gasto",K59="Variable",J59&lt;&gt;"Trading",O59&gt;0,O59&lt;=Umbral),1,0))</f>
        <v/>
      </c>
      <c r="T59" s="20">
        <f>IF(OR(I59="",E59=""),"",IF(OR(I59="Gasto",I59="Transferencia",I59="Pago tarjeta"),-1,1)*C59)</f>
        <v/>
      </c>
      <c r="U59" s="20">
        <f>IF(OR(G59="",AND(I59&lt;&gt;"Transferencia",I59&lt;&gt;"Pago tarjeta")),"",IF(IFERROR(INDEX(ctaMon,MATCH(G59,ctaNom,0))&amp;"","DOP")=N59,C59,IF(N59="USD",C59*TasaUSD,C59/TasaUSD)))</f>
        <v/>
      </c>
      <c r="V59" s="20">
        <f>IF(I59="","",IF(IFERROR(INDEX(ctaLiq,MATCH(E59,ctaNom,0))="Sí",FALSE),IF(OR(I59="Gasto",I59="Transferencia",I59="Pago tarjeta"),-1,1)*O59,0)+IF(AND(U59&lt;&gt;"",IFERROR(INDEX(ctaLiq,MATCH(G59,ctaNom,0))="Sí",FALSE)),O59,0))</f>
        <v/>
      </c>
      <c r="W59" s="19">
        <f>IF(OR(F59="",I59=""),"",IF(COUNTIFS(F$6:F59,F59,I$6:I59,"?*")=1,MAX(W$5:W58)+1,""))</f>
        <v/>
      </c>
    </row>
    <row r="60">
      <c r="B60" s="15" t="n">
        <v>46287</v>
      </c>
      <c r="C60" s="16" t="n">
        <v>425</v>
      </c>
      <c r="D60" s="17" t="inlineStr">
        <is>
          <t>Cena comprada</t>
        </is>
      </c>
      <c r="E60" s="17" t="inlineStr">
        <is>
          <t>Tarjeta de crédito</t>
        </is>
      </c>
      <c r="F60" s="17" t="inlineStr">
        <is>
          <t>DEMO Pizzería</t>
        </is>
      </c>
      <c r="G60" s="17" t="n"/>
      <c r="H60" s="18">
        <f>IF(AND(B60="",C60="",D60="",E60=""),"",IF(B60="","⚠ Falta fecha",IF(C60="","⚠ Falta monto",IF(D60="","⚠ Falta categoría",IF(ISNA(MATCH(D60,catNom,0)),"⚠ Categoría no existe",IF(E60="","⚠ Falta cuenta",IF(ISNA(MATCH(E60,ctaNom,0)),"⚠ Cuenta no existe",IF(AND(OR(I60="Transferencia",I60="Pago tarjeta"),G60=""),"⚠ Indica la cuenta «Hacia»",IF(AND(G60&lt;&gt;"",G60=E60),"⚠ «Hacia» igual a la cuenta",IF(AND(G60&lt;&gt;"",ISNA(MATCH(G60,ctaNom,0))),"⚠ «Hacia» no existe",IF(AND(I60="Pago tarjeta",IFERROR(INDEX(ctaTipo,MATCH(G60,ctaNom,0)),"")&lt;&gt;"Tarjeta de crédito"),"⚠ «Hacia» debe ser la tarjeta",IF(AND(I60="Trading",IFERROR(INDEX(ctaTipo,MATCH(E60,ctaNom,0)),"")&lt;&gt;"Cuenta de trading"),"⚠ Usa la cuenta de trading","✓"))))))))))))</f>
        <v/>
      </c>
      <c r="I60" s="19">
        <f>IF(OR(B60="",C60="",D60=""),"",IFERROR(INDEX(catTipo,MATCH(D60,catNom,0))&amp;"",""))</f>
        <v/>
      </c>
      <c r="J60" s="19">
        <f>IF(I60="","",IFERROR(INDEX(catGrupo,MATCH(D60,catNom,0))&amp;"",""))</f>
        <v/>
      </c>
      <c r="K60" s="19">
        <f>IF(I60="Gasto",IF(IFERROR(INDEX(catClas,MATCH(D60,catNom,0))&amp;"","")="","Variable",IFERROR(INDEX(catClas,MATCH(D60,catNom,0))&amp;"","")),"")</f>
        <v/>
      </c>
      <c r="L60" s="19">
        <f>IF(I60="","",IFERROR(INDEX(catAlim,MATCH(D60,catNom,0))&amp;"",""))</f>
        <v/>
      </c>
      <c r="M60" s="19">
        <f>IF(I60="","",IFERROR(INDEX(catComida,MATCH(D60,catNom,0))&amp;"",""))</f>
        <v/>
      </c>
      <c r="N60" s="19">
        <f>IF(I60="","",IFERROR(INDEX(ctaMon,MATCH(E60,ctaNom,0))&amp;"","DOP"))</f>
        <v/>
      </c>
      <c r="O60" s="20">
        <f>IF(I60="","",C60*IF(N60="USD",TasaUSD,1))</f>
        <v/>
      </c>
      <c r="P60" s="20">
        <f>IF(I60="","",IF(I60="Gasto",O60,0))</f>
        <v/>
      </c>
      <c r="Q60" s="20">
        <f>IF(I60="","",IF(I60="Ingreso",O60,0))</f>
        <v/>
      </c>
      <c r="R60" s="20">
        <f>IF(I60="","",IF(I60="Trading",O60,0))</f>
        <v/>
      </c>
      <c r="S60" s="19">
        <f>IF(I60="","",IF(AND(I60="Gasto",K60="Variable",J60&lt;&gt;"Trading",O60&gt;0,O60&lt;=Umbral),1,0))</f>
        <v/>
      </c>
      <c r="T60" s="20">
        <f>IF(OR(I60="",E60=""),"",IF(OR(I60="Gasto",I60="Transferencia",I60="Pago tarjeta"),-1,1)*C60)</f>
        <v/>
      </c>
      <c r="U60" s="20">
        <f>IF(OR(G60="",AND(I60&lt;&gt;"Transferencia",I60&lt;&gt;"Pago tarjeta")),"",IF(IFERROR(INDEX(ctaMon,MATCH(G60,ctaNom,0))&amp;"","DOP")=N60,C60,IF(N60="USD",C60*TasaUSD,C60/TasaUSD)))</f>
        <v/>
      </c>
      <c r="V60" s="20">
        <f>IF(I60="","",IF(IFERROR(INDEX(ctaLiq,MATCH(E60,ctaNom,0))="Sí",FALSE),IF(OR(I60="Gasto",I60="Transferencia",I60="Pago tarjeta"),-1,1)*O60,0)+IF(AND(U60&lt;&gt;"",IFERROR(INDEX(ctaLiq,MATCH(G60,ctaNom,0))="Sí",FALSE)),O60,0))</f>
        <v/>
      </c>
      <c r="W60" s="19">
        <f>IF(OR(F60="",I60=""),"",IF(COUNTIFS(F$6:F60,F60,I$6:I60,"?*")=1,MAX(W$5:W59)+1,""))</f>
        <v/>
      </c>
    </row>
    <row r="61">
      <c r="B61" s="15" t="n">
        <v>46288</v>
      </c>
      <c r="C61" s="16" t="n">
        <v>375</v>
      </c>
      <c r="D61" s="17" t="inlineStr">
        <is>
          <t>Almuerzo comprado</t>
        </is>
      </c>
      <c r="E61" s="17" t="inlineStr">
        <is>
          <t>Billetera digital</t>
        </is>
      </c>
      <c r="F61" s="17" t="inlineStr">
        <is>
          <t>DEMO Comedor</t>
        </is>
      </c>
      <c r="G61" s="17" t="n"/>
      <c r="H61" s="18">
        <f>IF(AND(B61="",C61="",D61="",E61=""),"",IF(B61="","⚠ Falta fecha",IF(C61="","⚠ Falta monto",IF(D61="","⚠ Falta categoría",IF(ISNA(MATCH(D61,catNom,0)),"⚠ Categoría no existe",IF(E61="","⚠ Falta cuenta",IF(ISNA(MATCH(E61,ctaNom,0)),"⚠ Cuenta no existe",IF(AND(OR(I61="Transferencia",I61="Pago tarjeta"),G61=""),"⚠ Indica la cuenta «Hacia»",IF(AND(G61&lt;&gt;"",G61=E61),"⚠ «Hacia» igual a la cuenta",IF(AND(G61&lt;&gt;"",ISNA(MATCH(G61,ctaNom,0))),"⚠ «Hacia» no existe",IF(AND(I61="Pago tarjeta",IFERROR(INDEX(ctaTipo,MATCH(G61,ctaNom,0)),"")&lt;&gt;"Tarjeta de crédito"),"⚠ «Hacia» debe ser la tarjeta",IF(AND(I61="Trading",IFERROR(INDEX(ctaTipo,MATCH(E61,ctaNom,0)),"")&lt;&gt;"Cuenta de trading"),"⚠ Usa la cuenta de trading","✓"))))))))))))</f>
        <v/>
      </c>
      <c r="I61" s="19">
        <f>IF(OR(B61="",C61="",D61=""),"",IFERROR(INDEX(catTipo,MATCH(D61,catNom,0))&amp;"",""))</f>
        <v/>
      </c>
      <c r="J61" s="19">
        <f>IF(I61="","",IFERROR(INDEX(catGrupo,MATCH(D61,catNom,0))&amp;"",""))</f>
        <v/>
      </c>
      <c r="K61" s="19">
        <f>IF(I61="Gasto",IF(IFERROR(INDEX(catClas,MATCH(D61,catNom,0))&amp;"","")="","Variable",IFERROR(INDEX(catClas,MATCH(D61,catNom,0))&amp;"","")),"")</f>
        <v/>
      </c>
      <c r="L61" s="19">
        <f>IF(I61="","",IFERROR(INDEX(catAlim,MATCH(D61,catNom,0))&amp;"",""))</f>
        <v/>
      </c>
      <c r="M61" s="19">
        <f>IF(I61="","",IFERROR(INDEX(catComida,MATCH(D61,catNom,0))&amp;"",""))</f>
        <v/>
      </c>
      <c r="N61" s="19">
        <f>IF(I61="","",IFERROR(INDEX(ctaMon,MATCH(E61,ctaNom,0))&amp;"","DOP"))</f>
        <v/>
      </c>
      <c r="O61" s="20">
        <f>IF(I61="","",C61*IF(N61="USD",TasaUSD,1))</f>
        <v/>
      </c>
      <c r="P61" s="20">
        <f>IF(I61="","",IF(I61="Gasto",O61,0))</f>
        <v/>
      </c>
      <c r="Q61" s="20">
        <f>IF(I61="","",IF(I61="Ingreso",O61,0))</f>
        <v/>
      </c>
      <c r="R61" s="20">
        <f>IF(I61="","",IF(I61="Trading",O61,0))</f>
        <v/>
      </c>
      <c r="S61" s="19">
        <f>IF(I61="","",IF(AND(I61="Gasto",K61="Variable",J61&lt;&gt;"Trading",O61&gt;0,O61&lt;=Umbral),1,0))</f>
        <v/>
      </c>
      <c r="T61" s="20">
        <f>IF(OR(I61="",E61=""),"",IF(OR(I61="Gasto",I61="Transferencia",I61="Pago tarjeta"),-1,1)*C61)</f>
        <v/>
      </c>
      <c r="U61" s="20">
        <f>IF(OR(G61="",AND(I61&lt;&gt;"Transferencia",I61&lt;&gt;"Pago tarjeta")),"",IF(IFERROR(INDEX(ctaMon,MATCH(G61,ctaNom,0))&amp;"","DOP")=N61,C61,IF(N61="USD",C61*TasaUSD,C61/TasaUSD)))</f>
        <v/>
      </c>
      <c r="V61" s="20">
        <f>IF(I61="","",IF(IFERROR(INDEX(ctaLiq,MATCH(E61,ctaNom,0))="Sí",FALSE),IF(OR(I61="Gasto",I61="Transferencia",I61="Pago tarjeta"),-1,1)*O61,0)+IF(AND(U61&lt;&gt;"",IFERROR(INDEX(ctaLiq,MATCH(G61,ctaNom,0))="Sí",FALSE)),O61,0))</f>
        <v/>
      </c>
      <c r="W61" s="19">
        <f>IF(OR(F61="",I61=""),"",IF(COUNTIFS(F$6:F61,F61,I$6:I61,"?*")=1,MAX(W$5:W60)+1,""))</f>
        <v/>
      </c>
    </row>
    <row r="62">
      <c r="B62" s="15" t="n">
        <v>46288</v>
      </c>
      <c r="C62" s="16" t="n">
        <v>625</v>
      </c>
      <c r="D62" s="17" t="inlineStr">
        <is>
          <t>Cena comprada</t>
        </is>
      </c>
      <c r="E62" s="17" t="inlineStr">
        <is>
          <t>Tarjeta de crédito</t>
        </is>
      </c>
      <c r="F62" s="17" t="inlineStr">
        <is>
          <t>DEMO Pizzería</t>
        </is>
      </c>
      <c r="G62" s="17" t="n"/>
      <c r="H62" s="18">
        <f>IF(AND(B62="",C62="",D62="",E62=""),"",IF(B62="","⚠ Falta fecha",IF(C62="","⚠ Falta monto",IF(D62="","⚠ Falta categoría",IF(ISNA(MATCH(D62,catNom,0)),"⚠ Categoría no existe",IF(E62="","⚠ Falta cuenta",IF(ISNA(MATCH(E62,ctaNom,0)),"⚠ Cuenta no existe",IF(AND(OR(I62="Transferencia",I62="Pago tarjeta"),G62=""),"⚠ Indica la cuenta «Hacia»",IF(AND(G62&lt;&gt;"",G62=E62),"⚠ «Hacia» igual a la cuenta",IF(AND(G62&lt;&gt;"",ISNA(MATCH(G62,ctaNom,0))),"⚠ «Hacia» no existe",IF(AND(I62="Pago tarjeta",IFERROR(INDEX(ctaTipo,MATCH(G62,ctaNom,0)),"")&lt;&gt;"Tarjeta de crédito"),"⚠ «Hacia» debe ser la tarjeta",IF(AND(I62="Trading",IFERROR(INDEX(ctaTipo,MATCH(E62,ctaNom,0)),"")&lt;&gt;"Cuenta de trading"),"⚠ Usa la cuenta de trading","✓"))))))))))))</f>
        <v/>
      </c>
      <c r="I62" s="19">
        <f>IF(OR(B62="",C62="",D62=""),"",IFERROR(INDEX(catTipo,MATCH(D62,catNom,0))&amp;"",""))</f>
        <v/>
      </c>
      <c r="J62" s="19">
        <f>IF(I62="","",IFERROR(INDEX(catGrupo,MATCH(D62,catNom,0))&amp;"",""))</f>
        <v/>
      </c>
      <c r="K62" s="19">
        <f>IF(I62="Gasto",IF(IFERROR(INDEX(catClas,MATCH(D62,catNom,0))&amp;"","")="","Variable",IFERROR(INDEX(catClas,MATCH(D62,catNom,0))&amp;"","")),"")</f>
        <v/>
      </c>
      <c r="L62" s="19">
        <f>IF(I62="","",IFERROR(INDEX(catAlim,MATCH(D62,catNom,0))&amp;"",""))</f>
        <v/>
      </c>
      <c r="M62" s="19">
        <f>IF(I62="","",IFERROR(INDEX(catComida,MATCH(D62,catNom,0))&amp;"",""))</f>
        <v/>
      </c>
      <c r="N62" s="19">
        <f>IF(I62="","",IFERROR(INDEX(ctaMon,MATCH(E62,ctaNom,0))&amp;"","DOP"))</f>
        <v/>
      </c>
      <c r="O62" s="20">
        <f>IF(I62="","",C62*IF(N62="USD",TasaUSD,1))</f>
        <v/>
      </c>
      <c r="P62" s="20">
        <f>IF(I62="","",IF(I62="Gasto",O62,0))</f>
        <v/>
      </c>
      <c r="Q62" s="20">
        <f>IF(I62="","",IF(I62="Ingreso",O62,0))</f>
        <v/>
      </c>
      <c r="R62" s="20">
        <f>IF(I62="","",IF(I62="Trading",O62,0))</f>
        <v/>
      </c>
      <c r="S62" s="19">
        <f>IF(I62="","",IF(AND(I62="Gasto",K62="Variable",J62&lt;&gt;"Trading",O62&gt;0,O62&lt;=Umbral),1,0))</f>
        <v/>
      </c>
      <c r="T62" s="20">
        <f>IF(OR(I62="",E62=""),"",IF(OR(I62="Gasto",I62="Transferencia",I62="Pago tarjeta"),-1,1)*C62)</f>
        <v/>
      </c>
      <c r="U62" s="20">
        <f>IF(OR(G62="",AND(I62&lt;&gt;"Transferencia",I62&lt;&gt;"Pago tarjeta")),"",IF(IFERROR(INDEX(ctaMon,MATCH(G62,ctaNom,0))&amp;"","DOP")=N62,C62,IF(N62="USD",C62*TasaUSD,C62/TasaUSD)))</f>
        <v/>
      </c>
      <c r="V62" s="20">
        <f>IF(I62="","",IF(IFERROR(INDEX(ctaLiq,MATCH(E62,ctaNom,0))="Sí",FALSE),IF(OR(I62="Gasto",I62="Transferencia",I62="Pago tarjeta"),-1,1)*O62,0)+IF(AND(U62&lt;&gt;"",IFERROR(INDEX(ctaLiq,MATCH(G62,ctaNom,0))="Sí",FALSE)),O62,0))</f>
        <v/>
      </c>
      <c r="W62" s="19">
        <f>IF(OR(F62="",I62=""),"",IF(COUNTIFS(F$6:F62,F62,I$6:I62,"?*")=1,MAX(W$5:W61)+1,""))</f>
        <v/>
      </c>
    </row>
    <row r="63">
      <c r="B63" s="15" t="n">
        <v>46289</v>
      </c>
      <c r="C63" s="16" t="n">
        <v>210</v>
      </c>
      <c r="D63" s="17" t="inlineStr">
        <is>
          <t>Desayuno comprado</t>
        </is>
      </c>
      <c r="E63" s="17" t="inlineStr">
        <is>
          <t>Efectivo</t>
        </is>
      </c>
      <c r="F63" s="17" t="inlineStr">
        <is>
          <t>DEMO Cafetería</t>
        </is>
      </c>
      <c r="G63" s="17" t="n"/>
      <c r="H63" s="18">
        <f>IF(AND(B63="",C63="",D63="",E63=""),"",IF(B63="","⚠ Falta fecha",IF(C63="","⚠ Falta monto",IF(D63="","⚠ Falta categoría",IF(ISNA(MATCH(D63,catNom,0)),"⚠ Categoría no existe",IF(E63="","⚠ Falta cuenta",IF(ISNA(MATCH(E63,ctaNom,0)),"⚠ Cuenta no existe",IF(AND(OR(I63="Transferencia",I63="Pago tarjeta"),G63=""),"⚠ Indica la cuenta «Hacia»",IF(AND(G63&lt;&gt;"",G63=E63),"⚠ «Hacia» igual a la cuenta",IF(AND(G63&lt;&gt;"",ISNA(MATCH(G63,ctaNom,0))),"⚠ «Hacia» no existe",IF(AND(I63="Pago tarjeta",IFERROR(INDEX(ctaTipo,MATCH(G63,ctaNom,0)),"")&lt;&gt;"Tarjeta de crédito"),"⚠ «Hacia» debe ser la tarjeta",IF(AND(I63="Trading",IFERROR(INDEX(ctaTipo,MATCH(E63,ctaNom,0)),"")&lt;&gt;"Cuenta de trading"),"⚠ Usa la cuenta de trading","✓"))))))))))))</f>
        <v/>
      </c>
      <c r="I63" s="19">
        <f>IF(OR(B63="",C63="",D63=""),"",IFERROR(INDEX(catTipo,MATCH(D63,catNom,0))&amp;"",""))</f>
        <v/>
      </c>
      <c r="J63" s="19">
        <f>IF(I63="","",IFERROR(INDEX(catGrupo,MATCH(D63,catNom,0))&amp;"",""))</f>
        <v/>
      </c>
      <c r="K63" s="19">
        <f>IF(I63="Gasto",IF(IFERROR(INDEX(catClas,MATCH(D63,catNom,0))&amp;"","")="","Variable",IFERROR(INDEX(catClas,MATCH(D63,catNom,0))&amp;"","")),"")</f>
        <v/>
      </c>
      <c r="L63" s="19">
        <f>IF(I63="","",IFERROR(INDEX(catAlim,MATCH(D63,catNom,0))&amp;"",""))</f>
        <v/>
      </c>
      <c r="M63" s="19">
        <f>IF(I63="","",IFERROR(INDEX(catComida,MATCH(D63,catNom,0))&amp;"",""))</f>
        <v/>
      </c>
      <c r="N63" s="19">
        <f>IF(I63="","",IFERROR(INDEX(ctaMon,MATCH(E63,ctaNom,0))&amp;"","DOP"))</f>
        <v/>
      </c>
      <c r="O63" s="20">
        <f>IF(I63="","",C63*IF(N63="USD",TasaUSD,1))</f>
        <v/>
      </c>
      <c r="P63" s="20">
        <f>IF(I63="","",IF(I63="Gasto",O63,0))</f>
        <v/>
      </c>
      <c r="Q63" s="20">
        <f>IF(I63="","",IF(I63="Ingreso",O63,0))</f>
        <v/>
      </c>
      <c r="R63" s="20">
        <f>IF(I63="","",IF(I63="Trading",O63,0))</f>
        <v/>
      </c>
      <c r="S63" s="19">
        <f>IF(I63="","",IF(AND(I63="Gasto",K63="Variable",J63&lt;&gt;"Trading",O63&gt;0,O63&lt;=Umbral),1,0))</f>
        <v/>
      </c>
      <c r="T63" s="20">
        <f>IF(OR(I63="",E63=""),"",IF(OR(I63="Gasto",I63="Transferencia",I63="Pago tarjeta"),-1,1)*C63)</f>
        <v/>
      </c>
      <c r="U63" s="20">
        <f>IF(OR(G63="",AND(I63&lt;&gt;"Transferencia",I63&lt;&gt;"Pago tarjeta")),"",IF(IFERROR(INDEX(ctaMon,MATCH(G63,ctaNom,0))&amp;"","DOP")=N63,C63,IF(N63="USD",C63*TasaUSD,C63/TasaUSD)))</f>
        <v/>
      </c>
      <c r="V63" s="20">
        <f>IF(I63="","",IF(IFERROR(INDEX(ctaLiq,MATCH(E63,ctaNom,0))="Sí",FALSE),IF(OR(I63="Gasto",I63="Transferencia",I63="Pago tarjeta"),-1,1)*O63,0)+IF(AND(U63&lt;&gt;"",IFERROR(INDEX(ctaLiq,MATCH(G63,ctaNom,0))="Sí",FALSE)),O63,0))</f>
        <v/>
      </c>
      <c r="W63" s="19">
        <f>IF(OR(F63="",I63=""),"",IF(COUNTIFS(F$6:F63,F63,I$6:I63,"?*")=1,MAX(W$5:W62)+1,""))</f>
        <v/>
      </c>
    </row>
    <row r="64">
      <c r="B64" s="15" t="n">
        <v>46289</v>
      </c>
      <c r="C64" s="16" t="n">
        <v>120</v>
      </c>
      <c r="D64" s="17" t="inlineStr">
        <is>
          <t>Snacks y bebidas</t>
        </is>
      </c>
      <c r="E64" s="17" t="inlineStr">
        <is>
          <t>Efectivo</t>
        </is>
      </c>
      <c r="F64" s="17" t="inlineStr">
        <is>
          <t>DEMO Colmado</t>
        </is>
      </c>
      <c r="G64" s="17" t="n"/>
      <c r="H64" s="18">
        <f>IF(AND(B64="",C64="",D64="",E64=""),"",IF(B64="","⚠ Falta fecha",IF(C64="","⚠ Falta monto",IF(D64="","⚠ Falta categoría",IF(ISNA(MATCH(D64,catNom,0)),"⚠ Categoría no existe",IF(E64="","⚠ Falta cuenta",IF(ISNA(MATCH(E64,ctaNom,0)),"⚠ Cuenta no existe",IF(AND(OR(I64="Transferencia",I64="Pago tarjeta"),G64=""),"⚠ Indica la cuenta «Hacia»",IF(AND(G64&lt;&gt;"",G64=E64),"⚠ «Hacia» igual a la cuenta",IF(AND(G64&lt;&gt;"",ISNA(MATCH(G64,ctaNom,0))),"⚠ «Hacia» no existe",IF(AND(I64="Pago tarjeta",IFERROR(INDEX(ctaTipo,MATCH(G64,ctaNom,0)),"")&lt;&gt;"Tarjeta de crédito"),"⚠ «Hacia» debe ser la tarjeta",IF(AND(I64="Trading",IFERROR(INDEX(ctaTipo,MATCH(E64,ctaNom,0)),"")&lt;&gt;"Cuenta de trading"),"⚠ Usa la cuenta de trading","✓"))))))))))))</f>
        <v/>
      </c>
      <c r="I64" s="19">
        <f>IF(OR(B64="",C64="",D64=""),"",IFERROR(INDEX(catTipo,MATCH(D64,catNom,0))&amp;"",""))</f>
        <v/>
      </c>
      <c r="J64" s="19">
        <f>IF(I64="","",IFERROR(INDEX(catGrupo,MATCH(D64,catNom,0))&amp;"",""))</f>
        <v/>
      </c>
      <c r="K64" s="19">
        <f>IF(I64="Gasto",IF(IFERROR(INDEX(catClas,MATCH(D64,catNom,0))&amp;"","")="","Variable",IFERROR(INDEX(catClas,MATCH(D64,catNom,0))&amp;"","")),"")</f>
        <v/>
      </c>
      <c r="L64" s="19">
        <f>IF(I64="","",IFERROR(INDEX(catAlim,MATCH(D64,catNom,0))&amp;"",""))</f>
        <v/>
      </c>
      <c r="M64" s="19">
        <f>IF(I64="","",IFERROR(INDEX(catComida,MATCH(D64,catNom,0))&amp;"",""))</f>
        <v/>
      </c>
      <c r="N64" s="19">
        <f>IF(I64="","",IFERROR(INDEX(ctaMon,MATCH(E64,ctaNom,0))&amp;"","DOP"))</f>
        <v/>
      </c>
      <c r="O64" s="20">
        <f>IF(I64="","",C64*IF(N64="USD",TasaUSD,1))</f>
        <v/>
      </c>
      <c r="P64" s="20">
        <f>IF(I64="","",IF(I64="Gasto",O64,0))</f>
        <v/>
      </c>
      <c r="Q64" s="20">
        <f>IF(I64="","",IF(I64="Ingreso",O64,0))</f>
        <v/>
      </c>
      <c r="R64" s="20">
        <f>IF(I64="","",IF(I64="Trading",O64,0))</f>
        <v/>
      </c>
      <c r="S64" s="19">
        <f>IF(I64="","",IF(AND(I64="Gasto",K64="Variable",J64&lt;&gt;"Trading",O64&gt;0,O64&lt;=Umbral),1,0))</f>
        <v/>
      </c>
      <c r="T64" s="20">
        <f>IF(OR(I64="",E64=""),"",IF(OR(I64="Gasto",I64="Transferencia",I64="Pago tarjeta"),-1,1)*C64)</f>
        <v/>
      </c>
      <c r="U64" s="20">
        <f>IF(OR(G64="",AND(I64&lt;&gt;"Transferencia",I64&lt;&gt;"Pago tarjeta")),"",IF(IFERROR(INDEX(ctaMon,MATCH(G64,ctaNom,0))&amp;"","DOP")=N64,C64,IF(N64="USD",C64*TasaUSD,C64/TasaUSD)))</f>
        <v/>
      </c>
      <c r="V64" s="20">
        <f>IF(I64="","",IF(IFERROR(INDEX(ctaLiq,MATCH(E64,ctaNom,0))="Sí",FALSE),IF(OR(I64="Gasto",I64="Transferencia",I64="Pago tarjeta"),-1,1)*O64,0)+IF(AND(U64&lt;&gt;"",IFERROR(INDEX(ctaLiq,MATCH(G64,ctaNom,0))="Sí",FALSE)),O64,0))</f>
        <v/>
      </c>
      <c r="W64" s="19">
        <f>IF(OR(F64="",I64=""),"",IF(COUNTIFS(F$6:F64,F64,I$6:I64,"?*")=1,MAX(W$5:W63)+1,""))</f>
        <v/>
      </c>
    </row>
    <row r="65">
      <c r="B65" s="15" t="n">
        <v>46290</v>
      </c>
      <c r="C65" s="16" t="n">
        <v>260</v>
      </c>
      <c r="D65" s="17" t="inlineStr">
        <is>
          <t>Desayuno comprado</t>
        </is>
      </c>
      <c r="E65" s="17" t="inlineStr">
        <is>
          <t>Efectivo</t>
        </is>
      </c>
      <c r="F65" s="17" t="inlineStr">
        <is>
          <t>DEMO Cafetería</t>
        </is>
      </c>
      <c r="G65" s="17" t="n"/>
      <c r="H65" s="18">
        <f>IF(AND(B65="",C65="",D65="",E65=""),"",IF(B65="","⚠ Falta fecha",IF(C65="","⚠ Falta monto",IF(D65="","⚠ Falta categoría",IF(ISNA(MATCH(D65,catNom,0)),"⚠ Categoría no existe",IF(E65="","⚠ Falta cuenta",IF(ISNA(MATCH(E65,ctaNom,0)),"⚠ Cuenta no existe",IF(AND(OR(I65="Transferencia",I65="Pago tarjeta"),G65=""),"⚠ Indica la cuenta «Hacia»",IF(AND(G65&lt;&gt;"",G65=E65),"⚠ «Hacia» igual a la cuenta",IF(AND(G65&lt;&gt;"",ISNA(MATCH(G65,ctaNom,0))),"⚠ «Hacia» no existe",IF(AND(I65="Pago tarjeta",IFERROR(INDEX(ctaTipo,MATCH(G65,ctaNom,0)),"")&lt;&gt;"Tarjeta de crédito"),"⚠ «Hacia» debe ser la tarjeta",IF(AND(I65="Trading",IFERROR(INDEX(ctaTipo,MATCH(E65,ctaNom,0)),"")&lt;&gt;"Cuenta de trading"),"⚠ Usa la cuenta de trading","✓"))))))))))))</f>
        <v/>
      </c>
      <c r="I65" s="19">
        <f>IF(OR(B65="",C65="",D65=""),"",IFERROR(INDEX(catTipo,MATCH(D65,catNom,0))&amp;"",""))</f>
        <v/>
      </c>
      <c r="J65" s="19">
        <f>IF(I65="","",IFERROR(INDEX(catGrupo,MATCH(D65,catNom,0))&amp;"",""))</f>
        <v/>
      </c>
      <c r="K65" s="19">
        <f>IF(I65="Gasto",IF(IFERROR(INDEX(catClas,MATCH(D65,catNom,0))&amp;"","")="","Variable",IFERROR(INDEX(catClas,MATCH(D65,catNom,0))&amp;"","")),"")</f>
        <v/>
      </c>
      <c r="L65" s="19">
        <f>IF(I65="","",IFERROR(INDEX(catAlim,MATCH(D65,catNom,0))&amp;"",""))</f>
        <v/>
      </c>
      <c r="M65" s="19">
        <f>IF(I65="","",IFERROR(INDEX(catComida,MATCH(D65,catNom,0))&amp;"",""))</f>
        <v/>
      </c>
      <c r="N65" s="19">
        <f>IF(I65="","",IFERROR(INDEX(ctaMon,MATCH(E65,ctaNom,0))&amp;"","DOP"))</f>
        <v/>
      </c>
      <c r="O65" s="20">
        <f>IF(I65="","",C65*IF(N65="USD",TasaUSD,1))</f>
        <v/>
      </c>
      <c r="P65" s="20">
        <f>IF(I65="","",IF(I65="Gasto",O65,0))</f>
        <v/>
      </c>
      <c r="Q65" s="20">
        <f>IF(I65="","",IF(I65="Ingreso",O65,0))</f>
        <v/>
      </c>
      <c r="R65" s="20">
        <f>IF(I65="","",IF(I65="Trading",O65,0))</f>
        <v/>
      </c>
      <c r="S65" s="19">
        <f>IF(I65="","",IF(AND(I65="Gasto",K65="Variable",J65&lt;&gt;"Trading",O65&gt;0,O65&lt;=Umbral),1,0))</f>
        <v/>
      </c>
      <c r="T65" s="20">
        <f>IF(OR(I65="",E65=""),"",IF(OR(I65="Gasto",I65="Transferencia",I65="Pago tarjeta"),-1,1)*C65)</f>
        <v/>
      </c>
      <c r="U65" s="20">
        <f>IF(OR(G65="",AND(I65&lt;&gt;"Transferencia",I65&lt;&gt;"Pago tarjeta")),"",IF(IFERROR(INDEX(ctaMon,MATCH(G65,ctaNom,0))&amp;"","DOP")=N65,C65,IF(N65="USD",C65*TasaUSD,C65/TasaUSD)))</f>
        <v/>
      </c>
      <c r="V65" s="20">
        <f>IF(I65="","",IF(IFERROR(INDEX(ctaLiq,MATCH(E65,ctaNom,0))="Sí",FALSE),IF(OR(I65="Gasto",I65="Transferencia",I65="Pago tarjeta"),-1,1)*O65,0)+IF(AND(U65&lt;&gt;"",IFERROR(INDEX(ctaLiq,MATCH(G65,ctaNom,0))="Sí",FALSE)),O65,0))</f>
        <v/>
      </c>
      <c r="W65" s="19">
        <f>IF(OR(F65="",I65=""),"",IF(COUNTIFS(F$6:F65,F65,I$6:I65,"?*")=1,MAX(W$5:W64)+1,""))</f>
        <v/>
      </c>
    </row>
    <row r="66">
      <c r="B66" s="15" t="n">
        <v>46290</v>
      </c>
      <c r="C66" s="16" t="n">
        <v>575</v>
      </c>
      <c r="D66" s="17" t="inlineStr">
        <is>
          <t>Cena comprada</t>
        </is>
      </c>
      <c r="E66" s="17" t="inlineStr">
        <is>
          <t>Tarjeta de crédito</t>
        </is>
      </c>
      <c r="F66" s="17" t="inlineStr">
        <is>
          <t>DEMO Pizzería</t>
        </is>
      </c>
      <c r="G66" s="17" t="n"/>
      <c r="H66" s="18">
        <f>IF(AND(B66="",C66="",D66="",E66=""),"",IF(B66="","⚠ Falta fecha",IF(C66="","⚠ Falta monto",IF(D66="","⚠ Falta categoría",IF(ISNA(MATCH(D66,catNom,0)),"⚠ Categoría no existe",IF(E66="","⚠ Falta cuenta",IF(ISNA(MATCH(E66,ctaNom,0)),"⚠ Cuenta no existe",IF(AND(OR(I66="Transferencia",I66="Pago tarjeta"),G66=""),"⚠ Indica la cuenta «Hacia»",IF(AND(G66&lt;&gt;"",G66=E66),"⚠ «Hacia» igual a la cuenta",IF(AND(G66&lt;&gt;"",ISNA(MATCH(G66,ctaNom,0))),"⚠ «Hacia» no existe",IF(AND(I66="Pago tarjeta",IFERROR(INDEX(ctaTipo,MATCH(G66,ctaNom,0)),"")&lt;&gt;"Tarjeta de crédito"),"⚠ «Hacia» debe ser la tarjeta",IF(AND(I66="Trading",IFERROR(INDEX(ctaTipo,MATCH(E66,ctaNom,0)),"")&lt;&gt;"Cuenta de trading"),"⚠ Usa la cuenta de trading","✓"))))))))))))</f>
        <v/>
      </c>
      <c r="I66" s="19">
        <f>IF(OR(B66="",C66="",D66=""),"",IFERROR(INDEX(catTipo,MATCH(D66,catNom,0))&amp;"",""))</f>
        <v/>
      </c>
      <c r="J66" s="19">
        <f>IF(I66="","",IFERROR(INDEX(catGrupo,MATCH(D66,catNom,0))&amp;"",""))</f>
        <v/>
      </c>
      <c r="K66" s="19">
        <f>IF(I66="Gasto",IF(IFERROR(INDEX(catClas,MATCH(D66,catNom,0))&amp;"","")="","Variable",IFERROR(INDEX(catClas,MATCH(D66,catNom,0))&amp;"","")),"")</f>
        <v/>
      </c>
      <c r="L66" s="19">
        <f>IF(I66="","",IFERROR(INDEX(catAlim,MATCH(D66,catNom,0))&amp;"",""))</f>
        <v/>
      </c>
      <c r="M66" s="19">
        <f>IF(I66="","",IFERROR(INDEX(catComida,MATCH(D66,catNom,0))&amp;"",""))</f>
        <v/>
      </c>
      <c r="N66" s="19">
        <f>IF(I66="","",IFERROR(INDEX(ctaMon,MATCH(E66,ctaNom,0))&amp;"","DOP"))</f>
        <v/>
      </c>
      <c r="O66" s="20">
        <f>IF(I66="","",C66*IF(N66="USD",TasaUSD,1))</f>
        <v/>
      </c>
      <c r="P66" s="20">
        <f>IF(I66="","",IF(I66="Gasto",O66,0))</f>
        <v/>
      </c>
      <c r="Q66" s="20">
        <f>IF(I66="","",IF(I66="Ingreso",O66,0))</f>
        <v/>
      </c>
      <c r="R66" s="20">
        <f>IF(I66="","",IF(I66="Trading",O66,0))</f>
        <v/>
      </c>
      <c r="S66" s="19">
        <f>IF(I66="","",IF(AND(I66="Gasto",K66="Variable",J66&lt;&gt;"Trading",O66&gt;0,O66&lt;=Umbral),1,0))</f>
        <v/>
      </c>
      <c r="T66" s="20">
        <f>IF(OR(I66="",E66=""),"",IF(OR(I66="Gasto",I66="Transferencia",I66="Pago tarjeta"),-1,1)*C66)</f>
        <v/>
      </c>
      <c r="U66" s="20">
        <f>IF(OR(G66="",AND(I66&lt;&gt;"Transferencia",I66&lt;&gt;"Pago tarjeta")),"",IF(IFERROR(INDEX(ctaMon,MATCH(G66,ctaNom,0))&amp;"","DOP")=N66,C66,IF(N66="USD",C66*TasaUSD,C66/TasaUSD)))</f>
        <v/>
      </c>
      <c r="V66" s="20">
        <f>IF(I66="","",IF(IFERROR(INDEX(ctaLiq,MATCH(E66,ctaNom,0))="Sí",FALSE),IF(OR(I66="Gasto",I66="Transferencia",I66="Pago tarjeta"),-1,1)*O66,0)+IF(AND(U66&lt;&gt;"",IFERROR(INDEX(ctaLiq,MATCH(G66,ctaNom,0))="Sí",FALSE)),O66,0))</f>
        <v/>
      </c>
      <c r="W66" s="19">
        <f>IF(OR(F66="",I66=""),"",IF(COUNTIFS(F$6:F66,F66,I$6:I66,"?*")=1,MAX(W$5:W65)+1,""))</f>
        <v/>
      </c>
    </row>
    <row r="67">
      <c r="B67" s="15" t="n">
        <v>46290</v>
      </c>
      <c r="C67" s="16" t="n">
        <v>30000</v>
      </c>
      <c r="D67" s="17" t="inlineStr">
        <is>
          <t>Pago de tarjeta</t>
        </is>
      </c>
      <c r="E67" s="17" t="inlineStr">
        <is>
          <t>Banco</t>
        </is>
      </c>
      <c r="F67" s="17" t="inlineStr">
        <is>
          <t>DEMO</t>
        </is>
      </c>
      <c r="G67" s="17" t="inlineStr">
        <is>
          <t>Tarjeta de crédito</t>
        </is>
      </c>
      <c r="H67" s="18">
        <f>IF(AND(B67="",C67="",D67="",E67=""),"",IF(B67="","⚠ Falta fecha",IF(C67="","⚠ Falta monto",IF(D67="","⚠ Falta categoría",IF(ISNA(MATCH(D67,catNom,0)),"⚠ Categoría no existe",IF(E67="","⚠ Falta cuenta",IF(ISNA(MATCH(E67,ctaNom,0)),"⚠ Cuenta no existe",IF(AND(OR(I67="Transferencia",I67="Pago tarjeta"),G67=""),"⚠ Indica la cuenta «Hacia»",IF(AND(G67&lt;&gt;"",G67=E67),"⚠ «Hacia» igual a la cuenta",IF(AND(G67&lt;&gt;"",ISNA(MATCH(G67,ctaNom,0))),"⚠ «Hacia» no existe",IF(AND(I67="Pago tarjeta",IFERROR(INDEX(ctaTipo,MATCH(G67,ctaNom,0)),"")&lt;&gt;"Tarjeta de crédito"),"⚠ «Hacia» debe ser la tarjeta",IF(AND(I67="Trading",IFERROR(INDEX(ctaTipo,MATCH(E67,ctaNom,0)),"")&lt;&gt;"Cuenta de trading"),"⚠ Usa la cuenta de trading","✓"))))))))))))</f>
        <v/>
      </c>
      <c r="I67" s="19">
        <f>IF(OR(B67="",C67="",D67=""),"",IFERROR(INDEX(catTipo,MATCH(D67,catNom,0))&amp;"",""))</f>
        <v/>
      </c>
      <c r="J67" s="19">
        <f>IF(I67="","",IFERROR(INDEX(catGrupo,MATCH(D67,catNom,0))&amp;"",""))</f>
        <v/>
      </c>
      <c r="K67" s="19">
        <f>IF(I67="Gasto",IF(IFERROR(INDEX(catClas,MATCH(D67,catNom,0))&amp;"","")="","Variable",IFERROR(INDEX(catClas,MATCH(D67,catNom,0))&amp;"","")),"")</f>
        <v/>
      </c>
      <c r="L67" s="19">
        <f>IF(I67="","",IFERROR(INDEX(catAlim,MATCH(D67,catNom,0))&amp;"",""))</f>
        <v/>
      </c>
      <c r="M67" s="19">
        <f>IF(I67="","",IFERROR(INDEX(catComida,MATCH(D67,catNom,0))&amp;"",""))</f>
        <v/>
      </c>
      <c r="N67" s="19">
        <f>IF(I67="","",IFERROR(INDEX(ctaMon,MATCH(E67,ctaNom,0))&amp;"","DOP"))</f>
        <v/>
      </c>
      <c r="O67" s="20">
        <f>IF(I67="","",C67*IF(N67="USD",TasaUSD,1))</f>
        <v/>
      </c>
      <c r="P67" s="20">
        <f>IF(I67="","",IF(I67="Gasto",O67,0))</f>
        <v/>
      </c>
      <c r="Q67" s="20">
        <f>IF(I67="","",IF(I67="Ingreso",O67,0))</f>
        <v/>
      </c>
      <c r="R67" s="20">
        <f>IF(I67="","",IF(I67="Trading",O67,0))</f>
        <v/>
      </c>
      <c r="S67" s="19">
        <f>IF(I67="","",IF(AND(I67="Gasto",K67="Variable",J67&lt;&gt;"Trading",O67&gt;0,O67&lt;=Umbral),1,0))</f>
        <v/>
      </c>
      <c r="T67" s="20">
        <f>IF(OR(I67="",E67=""),"",IF(OR(I67="Gasto",I67="Transferencia",I67="Pago tarjeta"),-1,1)*C67)</f>
        <v/>
      </c>
      <c r="U67" s="20">
        <f>IF(OR(G67="",AND(I67&lt;&gt;"Transferencia",I67&lt;&gt;"Pago tarjeta")),"",IF(IFERROR(INDEX(ctaMon,MATCH(G67,ctaNom,0))&amp;"","DOP")=N67,C67,IF(N67="USD",C67*TasaUSD,C67/TasaUSD)))</f>
        <v/>
      </c>
      <c r="V67" s="20">
        <f>IF(I67="","",IF(IFERROR(INDEX(ctaLiq,MATCH(E67,ctaNom,0))="Sí",FALSE),IF(OR(I67="Gasto",I67="Transferencia",I67="Pago tarjeta"),-1,1)*O67,0)+IF(AND(U67&lt;&gt;"",IFERROR(INDEX(ctaLiq,MATCH(G67,ctaNom,0))="Sí",FALSE)),O67,0))</f>
        <v/>
      </c>
      <c r="W67" s="19">
        <f>IF(OR(F67="",I67=""),"",IF(COUNTIFS(F$6:F67,F67,I$6:I67,"?*")=1,MAX(W$5:W66)+1,""))</f>
        <v/>
      </c>
    </row>
    <row r="68">
      <c r="B68" s="15" t="n">
        <v>46291</v>
      </c>
      <c r="C68" s="16" t="n">
        <v>2000</v>
      </c>
      <c r="D68" s="17" t="inlineStr">
        <is>
          <t>Restaurante</t>
        </is>
      </c>
      <c r="E68" s="17" t="inlineStr">
        <is>
          <t>Tarjeta de crédito</t>
        </is>
      </c>
      <c r="F68" s="17" t="inlineStr">
        <is>
          <t>DEMO Restaurante</t>
        </is>
      </c>
      <c r="G68" s="17" t="n"/>
      <c r="H68" s="18">
        <f>IF(AND(B68="",C68="",D68="",E68=""),"",IF(B68="","⚠ Falta fecha",IF(C68="","⚠ Falta monto",IF(D68="","⚠ Falta categoría",IF(ISNA(MATCH(D68,catNom,0)),"⚠ Categoría no existe",IF(E68="","⚠ Falta cuenta",IF(ISNA(MATCH(E68,ctaNom,0)),"⚠ Cuenta no existe",IF(AND(OR(I68="Transferencia",I68="Pago tarjeta"),G68=""),"⚠ Indica la cuenta «Hacia»",IF(AND(G68&lt;&gt;"",G68=E68),"⚠ «Hacia» igual a la cuenta",IF(AND(G68&lt;&gt;"",ISNA(MATCH(G68,ctaNom,0))),"⚠ «Hacia» no existe",IF(AND(I68="Pago tarjeta",IFERROR(INDEX(ctaTipo,MATCH(G68,ctaNom,0)),"")&lt;&gt;"Tarjeta de crédito"),"⚠ «Hacia» debe ser la tarjeta",IF(AND(I68="Trading",IFERROR(INDEX(ctaTipo,MATCH(E68,ctaNom,0)),"")&lt;&gt;"Cuenta de trading"),"⚠ Usa la cuenta de trading","✓"))))))))))))</f>
        <v/>
      </c>
      <c r="I68" s="19">
        <f>IF(OR(B68="",C68="",D68=""),"",IFERROR(INDEX(catTipo,MATCH(D68,catNom,0))&amp;"",""))</f>
        <v/>
      </c>
      <c r="J68" s="19">
        <f>IF(I68="","",IFERROR(INDEX(catGrupo,MATCH(D68,catNom,0))&amp;"",""))</f>
        <v/>
      </c>
      <c r="K68" s="19">
        <f>IF(I68="Gasto",IF(IFERROR(INDEX(catClas,MATCH(D68,catNom,0))&amp;"","")="","Variable",IFERROR(INDEX(catClas,MATCH(D68,catNom,0))&amp;"","")),"")</f>
        <v/>
      </c>
      <c r="L68" s="19">
        <f>IF(I68="","",IFERROR(INDEX(catAlim,MATCH(D68,catNom,0))&amp;"",""))</f>
        <v/>
      </c>
      <c r="M68" s="19">
        <f>IF(I68="","",IFERROR(INDEX(catComida,MATCH(D68,catNom,0))&amp;"",""))</f>
        <v/>
      </c>
      <c r="N68" s="19">
        <f>IF(I68="","",IFERROR(INDEX(ctaMon,MATCH(E68,ctaNom,0))&amp;"","DOP"))</f>
        <v/>
      </c>
      <c r="O68" s="20">
        <f>IF(I68="","",C68*IF(N68="USD",TasaUSD,1))</f>
        <v/>
      </c>
      <c r="P68" s="20">
        <f>IF(I68="","",IF(I68="Gasto",O68,0))</f>
        <v/>
      </c>
      <c r="Q68" s="20">
        <f>IF(I68="","",IF(I68="Ingreso",O68,0))</f>
        <v/>
      </c>
      <c r="R68" s="20">
        <f>IF(I68="","",IF(I68="Trading",O68,0))</f>
        <v/>
      </c>
      <c r="S68" s="19">
        <f>IF(I68="","",IF(AND(I68="Gasto",K68="Variable",J68&lt;&gt;"Trading",O68&gt;0,O68&lt;=Umbral),1,0))</f>
        <v/>
      </c>
      <c r="T68" s="20">
        <f>IF(OR(I68="",E68=""),"",IF(OR(I68="Gasto",I68="Transferencia",I68="Pago tarjeta"),-1,1)*C68)</f>
        <v/>
      </c>
      <c r="U68" s="20">
        <f>IF(OR(G68="",AND(I68&lt;&gt;"Transferencia",I68&lt;&gt;"Pago tarjeta")),"",IF(IFERROR(INDEX(ctaMon,MATCH(G68,ctaNom,0))&amp;"","DOP")=N68,C68,IF(N68="USD",C68*TasaUSD,C68/TasaUSD)))</f>
        <v/>
      </c>
      <c r="V68" s="20">
        <f>IF(I68="","",IF(IFERROR(INDEX(ctaLiq,MATCH(E68,ctaNom,0))="Sí",FALSE),IF(OR(I68="Gasto",I68="Transferencia",I68="Pago tarjeta"),-1,1)*O68,0)+IF(AND(U68&lt;&gt;"",IFERROR(INDEX(ctaLiq,MATCH(G68,ctaNom,0))="Sí",FALSE)),O68,0))</f>
        <v/>
      </c>
      <c r="W68" s="19">
        <f>IF(OR(F68="",I68=""),"",IF(COUNTIFS(F$6:F68,F68,I$6:I68,"?*")=1,MAX(W$5:W67)+1,""))</f>
        <v/>
      </c>
    </row>
    <row r="69">
      <c r="B69" s="15" t="n">
        <v>46291</v>
      </c>
      <c r="C69" s="16" t="n">
        <v>8000</v>
      </c>
      <c r="D69" s="17" t="inlineStr">
        <is>
          <t>Ingreso extra</t>
        </is>
      </c>
      <c r="E69" s="17" t="inlineStr">
        <is>
          <t>Billetera digital</t>
        </is>
      </c>
      <c r="F69" s="17" t="inlineStr">
        <is>
          <t>DEMO Trabajo extra (ficticio)</t>
        </is>
      </c>
      <c r="G69" s="17" t="n"/>
      <c r="H69" s="18">
        <f>IF(AND(B69="",C69="",D69="",E69=""),"",IF(B69="","⚠ Falta fecha",IF(C69="","⚠ Falta monto",IF(D69="","⚠ Falta categoría",IF(ISNA(MATCH(D69,catNom,0)),"⚠ Categoría no existe",IF(E69="","⚠ Falta cuenta",IF(ISNA(MATCH(E69,ctaNom,0)),"⚠ Cuenta no existe",IF(AND(OR(I69="Transferencia",I69="Pago tarjeta"),G69=""),"⚠ Indica la cuenta «Hacia»",IF(AND(G69&lt;&gt;"",G69=E69),"⚠ «Hacia» igual a la cuenta",IF(AND(G69&lt;&gt;"",ISNA(MATCH(G69,ctaNom,0))),"⚠ «Hacia» no existe",IF(AND(I69="Pago tarjeta",IFERROR(INDEX(ctaTipo,MATCH(G69,ctaNom,0)),"")&lt;&gt;"Tarjeta de crédito"),"⚠ «Hacia» debe ser la tarjeta",IF(AND(I69="Trading",IFERROR(INDEX(ctaTipo,MATCH(E69,ctaNom,0)),"")&lt;&gt;"Cuenta de trading"),"⚠ Usa la cuenta de trading","✓"))))))))))))</f>
        <v/>
      </c>
      <c r="I69" s="19">
        <f>IF(OR(B69="",C69="",D69=""),"",IFERROR(INDEX(catTipo,MATCH(D69,catNom,0))&amp;"",""))</f>
        <v/>
      </c>
      <c r="J69" s="19">
        <f>IF(I69="","",IFERROR(INDEX(catGrupo,MATCH(D69,catNom,0))&amp;"",""))</f>
        <v/>
      </c>
      <c r="K69" s="19">
        <f>IF(I69="Gasto",IF(IFERROR(INDEX(catClas,MATCH(D69,catNom,0))&amp;"","")="","Variable",IFERROR(INDEX(catClas,MATCH(D69,catNom,0))&amp;"","")),"")</f>
        <v/>
      </c>
      <c r="L69" s="19">
        <f>IF(I69="","",IFERROR(INDEX(catAlim,MATCH(D69,catNom,0))&amp;"",""))</f>
        <v/>
      </c>
      <c r="M69" s="19">
        <f>IF(I69="","",IFERROR(INDEX(catComida,MATCH(D69,catNom,0))&amp;"",""))</f>
        <v/>
      </c>
      <c r="N69" s="19">
        <f>IF(I69="","",IFERROR(INDEX(ctaMon,MATCH(E69,ctaNom,0))&amp;"","DOP"))</f>
        <v/>
      </c>
      <c r="O69" s="20">
        <f>IF(I69="","",C69*IF(N69="USD",TasaUSD,1))</f>
        <v/>
      </c>
      <c r="P69" s="20">
        <f>IF(I69="","",IF(I69="Gasto",O69,0))</f>
        <v/>
      </c>
      <c r="Q69" s="20">
        <f>IF(I69="","",IF(I69="Ingreso",O69,0))</f>
        <v/>
      </c>
      <c r="R69" s="20">
        <f>IF(I69="","",IF(I69="Trading",O69,0))</f>
        <v/>
      </c>
      <c r="S69" s="19">
        <f>IF(I69="","",IF(AND(I69="Gasto",K69="Variable",J69&lt;&gt;"Trading",O69&gt;0,O69&lt;=Umbral),1,0))</f>
        <v/>
      </c>
      <c r="T69" s="20">
        <f>IF(OR(I69="",E69=""),"",IF(OR(I69="Gasto",I69="Transferencia",I69="Pago tarjeta"),-1,1)*C69)</f>
        <v/>
      </c>
      <c r="U69" s="20">
        <f>IF(OR(G69="",AND(I69&lt;&gt;"Transferencia",I69&lt;&gt;"Pago tarjeta")),"",IF(IFERROR(INDEX(ctaMon,MATCH(G69,ctaNom,0))&amp;"","DOP")=N69,C69,IF(N69="USD",C69*TasaUSD,C69/TasaUSD)))</f>
        <v/>
      </c>
      <c r="V69" s="20">
        <f>IF(I69="","",IF(IFERROR(INDEX(ctaLiq,MATCH(E69,ctaNom,0))="Sí",FALSE),IF(OR(I69="Gasto",I69="Transferencia",I69="Pago tarjeta"),-1,1)*O69,0)+IF(AND(U69&lt;&gt;"",IFERROR(INDEX(ctaLiq,MATCH(G69,ctaNom,0))="Sí",FALSE)),O69,0))</f>
        <v/>
      </c>
      <c r="W69" s="19">
        <f>IF(OR(F69="",I69=""),"",IF(COUNTIFS(F$6:F69,F69,I$6:I69,"?*")=1,MAX(W$5:W68)+1,""))</f>
        <v/>
      </c>
    </row>
    <row r="70">
      <c r="B70" s="15" t="n">
        <v>46293</v>
      </c>
      <c r="C70" s="16" t="n">
        <v>400</v>
      </c>
      <c r="D70" s="17" t="inlineStr">
        <is>
          <t>Almuerzo comprado</t>
        </is>
      </c>
      <c r="E70" s="17" t="inlineStr">
        <is>
          <t>Banco</t>
        </is>
      </c>
      <c r="F70" s="17" t="inlineStr">
        <is>
          <t>DEMO Comedor</t>
        </is>
      </c>
      <c r="G70" s="17" t="n"/>
      <c r="H70" s="18">
        <f>IF(AND(B70="",C70="",D70="",E70=""),"",IF(B70="","⚠ Falta fecha",IF(C70="","⚠ Falta monto",IF(D70="","⚠ Falta categoría",IF(ISNA(MATCH(D70,catNom,0)),"⚠ Categoría no existe",IF(E70="","⚠ Falta cuenta",IF(ISNA(MATCH(E70,ctaNom,0)),"⚠ Cuenta no existe",IF(AND(OR(I70="Transferencia",I70="Pago tarjeta"),G70=""),"⚠ Indica la cuenta «Hacia»",IF(AND(G70&lt;&gt;"",G70=E70),"⚠ «Hacia» igual a la cuenta",IF(AND(G70&lt;&gt;"",ISNA(MATCH(G70,ctaNom,0))),"⚠ «Hacia» no existe",IF(AND(I70="Pago tarjeta",IFERROR(INDEX(ctaTipo,MATCH(G70,ctaNom,0)),"")&lt;&gt;"Tarjeta de crédito"),"⚠ «Hacia» debe ser la tarjeta",IF(AND(I70="Trading",IFERROR(INDEX(ctaTipo,MATCH(E70,ctaNom,0)),"")&lt;&gt;"Cuenta de trading"),"⚠ Usa la cuenta de trading","✓"))))))))))))</f>
        <v/>
      </c>
      <c r="I70" s="19">
        <f>IF(OR(B70="",C70="",D70=""),"",IFERROR(INDEX(catTipo,MATCH(D70,catNom,0))&amp;"",""))</f>
        <v/>
      </c>
      <c r="J70" s="19">
        <f>IF(I70="","",IFERROR(INDEX(catGrupo,MATCH(D70,catNom,0))&amp;"",""))</f>
        <v/>
      </c>
      <c r="K70" s="19">
        <f>IF(I70="Gasto",IF(IFERROR(INDEX(catClas,MATCH(D70,catNom,0))&amp;"","")="","Variable",IFERROR(INDEX(catClas,MATCH(D70,catNom,0))&amp;"","")),"")</f>
        <v/>
      </c>
      <c r="L70" s="19">
        <f>IF(I70="","",IFERROR(INDEX(catAlim,MATCH(D70,catNom,0))&amp;"",""))</f>
        <v/>
      </c>
      <c r="M70" s="19">
        <f>IF(I70="","",IFERROR(INDEX(catComida,MATCH(D70,catNom,0))&amp;"",""))</f>
        <v/>
      </c>
      <c r="N70" s="19">
        <f>IF(I70="","",IFERROR(INDEX(ctaMon,MATCH(E70,ctaNom,0))&amp;"","DOP"))</f>
        <v/>
      </c>
      <c r="O70" s="20">
        <f>IF(I70="","",C70*IF(N70="USD",TasaUSD,1))</f>
        <v/>
      </c>
      <c r="P70" s="20">
        <f>IF(I70="","",IF(I70="Gasto",O70,0))</f>
        <v/>
      </c>
      <c r="Q70" s="20">
        <f>IF(I70="","",IF(I70="Ingreso",O70,0))</f>
        <v/>
      </c>
      <c r="R70" s="20">
        <f>IF(I70="","",IF(I70="Trading",O70,0))</f>
        <v/>
      </c>
      <c r="S70" s="19">
        <f>IF(I70="","",IF(AND(I70="Gasto",K70="Variable",J70&lt;&gt;"Trading",O70&gt;0,O70&lt;=Umbral),1,0))</f>
        <v/>
      </c>
      <c r="T70" s="20">
        <f>IF(OR(I70="",E70=""),"",IF(OR(I70="Gasto",I70="Transferencia",I70="Pago tarjeta"),-1,1)*C70)</f>
        <v/>
      </c>
      <c r="U70" s="20">
        <f>IF(OR(G70="",AND(I70&lt;&gt;"Transferencia",I70&lt;&gt;"Pago tarjeta")),"",IF(IFERROR(INDEX(ctaMon,MATCH(G70,ctaNom,0))&amp;"","DOP")=N70,C70,IF(N70="USD",C70*TasaUSD,C70/TasaUSD)))</f>
        <v/>
      </c>
      <c r="V70" s="20">
        <f>IF(I70="","",IF(IFERROR(INDEX(ctaLiq,MATCH(E70,ctaNom,0))="Sí",FALSE),IF(OR(I70="Gasto",I70="Transferencia",I70="Pago tarjeta"),-1,1)*O70,0)+IF(AND(U70&lt;&gt;"",IFERROR(INDEX(ctaLiq,MATCH(G70,ctaNom,0))="Sí",FALSE)),O70,0))</f>
        <v/>
      </c>
      <c r="W70" s="19">
        <f>IF(OR(F70="",I70=""),"",IF(COUNTIFS(F$6:F70,F70,I$6:I70,"?*")=1,MAX(W$5:W69)+1,""))</f>
        <v/>
      </c>
    </row>
    <row r="71">
      <c r="B71" s="15" t="n">
        <v>46293</v>
      </c>
      <c r="C71" s="16" t="n">
        <v>170</v>
      </c>
      <c r="D71" s="17" t="inlineStr">
        <is>
          <t>Snacks y bebidas</t>
        </is>
      </c>
      <c r="E71" s="17" t="inlineStr">
        <is>
          <t>Efectivo</t>
        </is>
      </c>
      <c r="F71" s="17" t="inlineStr">
        <is>
          <t>DEMO Colmado</t>
        </is>
      </c>
      <c r="G71" s="17" t="n"/>
      <c r="H71" s="18">
        <f>IF(AND(B71="",C71="",D71="",E71=""),"",IF(B71="","⚠ Falta fecha",IF(C71="","⚠ Falta monto",IF(D71="","⚠ Falta categoría",IF(ISNA(MATCH(D71,catNom,0)),"⚠ Categoría no existe",IF(E71="","⚠ Falta cuenta",IF(ISNA(MATCH(E71,ctaNom,0)),"⚠ Cuenta no existe",IF(AND(OR(I71="Transferencia",I71="Pago tarjeta"),G71=""),"⚠ Indica la cuenta «Hacia»",IF(AND(G71&lt;&gt;"",G71=E71),"⚠ «Hacia» igual a la cuenta",IF(AND(G71&lt;&gt;"",ISNA(MATCH(G71,ctaNom,0))),"⚠ «Hacia» no existe",IF(AND(I71="Pago tarjeta",IFERROR(INDEX(ctaTipo,MATCH(G71,ctaNom,0)),"")&lt;&gt;"Tarjeta de crédito"),"⚠ «Hacia» debe ser la tarjeta",IF(AND(I71="Trading",IFERROR(INDEX(ctaTipo,MATCH(E71,ctaNom,0)),"")&lt;&gt;"Cuenta de trading"),"⚠ Usa la cuenta de trading","✓"))))))))))))</f>
        <v/>
      </c>
      <c r="I71" s="19">
        <f>IF(OR(B71="",C71="",D71=""),"",IFERROR(INDEX(catTipo,MATCH(D71,catNom,0))&amp;"",""))</f>
        <v/>
      </c>
      <c r="J71" s="19">
        <f>IF(I71="","",IFERROR(INDEX(catGrupo,MATCH(D71,catNom,0))&amp;"",""))</f>
        <v/>
      </c>
      <c r="K71" s="19">
        <f>IF(I71="Gasto",IF(IFERROR(INDEX(catClas,MATCH(D71,catNom,0))&amp;"","")="","Variable",IFERROR(INDEX(catClas,MATCH(D71,catNom,0))&amp;"","")),"")</f>
        <v/>
      </c>
      <c r="L71" s="19">
        <f>IF(I71="","",IFERROR(INDEX(catAlim,MATCH(D71,catNom,0))&amp;"",""))</f>
        <v/>
      </c>
      <c r="M71" s="19">
        <f>IF(I71="","",IFERROR(INDEX(catComida,MATCH(D71,catNom,0))&amp;"",""))</f>
        <v/>
      </c>
      <c r="N71" s="19">
        <f>IF(I71="","",IFERROR(INDEX(ctaMon,MATCH(E71,ctaNom,0))&amp;"","DOP"))</f>
        <v/>
      </c>
      <c r="O71" s="20">
        <f>IF(I71="","",C71*IF(N71="USD",TasaUSD,1))</f>
        <v/>
      </c>
      <c r="P71" s="20">
        <f>IF(I71="","",IF(I71="Gasto",O71,0))</f>
        <v/>
      </c>
      <c r="Q71" s="20">
        <f>IF(I71="","",IF(I71="Ingreso",O71,0))</f>
        <v/>
      </c>
      <c r="R71" s="20">
        <f>IF(I71="","",IF(I71="Trading",O71,0))</f>
        <v/>
      </c>
      <c r="S71" s="19">
        <f>IF(I71="","",IF(AND(I71="Gasto",K71="Variable",J71&lt;&gt;"Trading",O71&gt;0,O71&lt;=Umbral),1,0))</f>
        <v/>
      </c>
      <c r="T71" s="20">
        <f>IF(OR(I71="",E71=""),"",IF(OR(I71="Gasto",I71="Transferencia",I71="Pago tarjeta"),-1,1)*C71)</f>
        <v/>
      </c>
      <c r="U71" s="20">
        <f>IF(OR(G71="",AND(I71&lt;&gt;"Transferencia",I71&lt;&gt;"Pago tarjeta")),"",IF(IFERROR(INDEX(ctaMon,MATCH(G71,ctaNom,0))&amp;"","DOP")=N71,C71,IF(N71="USD",C71*TasaUSD,C71/TasaUSD)))</f>
        <v/>
      </c>
      <c r="V71" s="20">
        <f>IF(I71="","",IF(IFERROR(INDEX(ctaLiq,MATCH(E71,ctaNom,0))="Sí",FALSE),IF(OR(I71="Gasto",I71="Transferencia",I71="Pago tarjeta"),-1,1)*O71,0)+IF(AND(U71&lt;&gt;"",IFERROR(INDEX(ctaLiq,MATCH(G71,ctaNom,0))="Sí",FALSE)),O71,0))</f>
        <v/>
      </c>
      <c r="W71" s="19">
        <f>IF(OR(F71="",I71=""),"",IF(COUNTIFS(F$6:F71,F71,I$6:I71,"?*")=1,MAX(W$5:W70)+1,""))</f>
        <v/>
      </c>
    </row>
    <row r="72">
      <c r="B72" s="15" t="n">
        <v>46293</v>
      </c>
      <c r="C72" s="16" t="n">
        <v>2850</v>
      </c>
      <c r="D72" s="17" t="inlineStr">
        <is>
          <t>Combustible</t>
        </is>
      </c>
      <c r="E72" s="17" t="inlineStr">
        <is>
          <t>Tarjeta de crédito</t>
        </is>
      </c>
      <c r="F72" s="17" t="inlineStr">
        <is>
          <t>DEMO Gasolinera</t>
        </is>
      </c>
      <c r="G72" s="17" t="n"/>
      <c r="H72" s="18">
        <f>IF(AND(B72="",C72="",D72="",E72=""),"",IF(B72="","⚠ Falta fecha",IF(C72="","⚠ Falta monto",IF(D72="","⚠ Falta categoría",IF(ISNA(MATCH(D72,catNom,0)),"⚠ Categoría no existe",IF(E72="","⚠ Falta cuenta",IF(ISNA(MATCH(E72,ctaNom,0)),"⚠ Cuenta no existe",IF(AND(OR(I72="Transferencia",I72="Pago tarjeta"),G72=""),"⚠ Indica la cuenta «Hacia»",IF(AND(G72&lt;&gt;"",G72=E72),"⚠ «Hacia» igual a la cuenta",IF(AND(G72&lt;&gt;"",ISNA(MATCH(G72,ctaNom,0))),"⚠ «Hacia» no existe",IF(AND(I72="Pago tarjeta",IFERROR(INDEX(ctaTipo,MATCH(G72,ctaNom,0)),"")&lt;&gt;"Tarjeta de crédito"),"⚠ «Hacia» debe ser la tarjeta",IF(AND(I72="Trading",IFERROR(INDEX(ctaTipo,MATCH(E72,ctaNom,0)),"")&lt;&gt;"Cuenta de trading"),"⚠ Usa la cuenta de trading","✓"))))))))))))</f>
        <v/>
      </c>
      <c r="I72" s="19">
        <f>IF(OR(B72="",C72="",D72=""),"",IFERROR(INDEX(catTipo,MATCH(D72,catNom,0))&amp;"",""))</f>
        <v/>
      </c>
      <c r="J72" s="19">
        <f>IF(I72="","",IFERROR(INDEX(catGrupo,MATCH(D72,catNom,0))&amp;"",""))</f>
        <v/>
      </c>
      <c r="K72" s="19">
        <f>IF(I72="Gasto",IF(IFERROR(INDEX(catClas,MATCH(D72,catNom,0))&amp;"","")="","Variable",IFERROR(INDEX(catClas,MATCH(D72,catNom,0))&amp;"","")),"")</f>
        <v/>
      </c>
      <c r="L72" s="19">
        <f>IF(I72="","",IFERROR(INDEX(catAlim,MATCH(D72,catNom,0))&amp;"",""))</f>
        <v/>
      </c>
      <c r="M72" s="19">
        <f>IF(I72="","",IFERROR(INDEX(catComida,MATCH(D72,catNom,0))&amp;"",""))</f>
        <v/>
      </c>
      <c r="N72" s="19">
        <f>IF(I72="","",IFERROR(INDEX(ctaMon,MATCH(E72,ctaNom,0))&amp;"","DOP"))</f>
        <v/>
      </c>
      <c r="O72" s="20">
        <f>IF(I72="","",C72*IF(N72="USD",TasaUSD,1))</f>
        <v/>
      </c>
      <c r="P72" s="20">
        <f>IF(I72="","",IF(I72="Gasto",O72,0))</f>
        <v/>
      </c>
      <c r="Q72" s="20">
        <f>IF(I72="","",IF(I72="Ingreso",O72,0))</f>
        <v/>
      </c>
      <c r="R72" s="20">
        <f>IF(I72="","",IF(I72="Trading",O72,0))</f>
        <v/>
      </c>
      <c r="S72" s="19">
        <f>IF(I72="","",IF(AND(I72="Gasto",K72="Variable",J72&lt;&gt;"Trading",O72&gt;0,O72&lt;=Umbral),1,0))</f>
        <v/>
      </c>
      <c r="T72" s="20">
        <f>IF(OR(I72="",E72=""),"",IF(OR(I72="Gasto",I72="Transferencia",I72="Pago tarjeta"),-1,1)*C72)</f>
        <v/>
      </c>
      <c r="U72" s="20">
        <f>IF(OR(G72="",AND(I72&lt;&gt;"Transferencia",I72&lt;&gt;"Pago tarjeta")),"",IF(IFERROR(INDEX(ctaMon,MATCH(G72,ctaNom,0))&amp;"","DOP")=N72,C72,IF(N72="USD",C72*TasaUSD,C72/TasaUSD)))</f>
        <v/>
      </c>
      <c r="V72" s="20">
        <f>IF(I72="","",IF(IFERROR(INDEX(ctaLiq,MATCH(E72,ctaNom,0))="Sí",FALSE),IF(OR(I72="Gasto",I72="Transferencia",I72="Pago tarjeta"),-1,1)*O72,0)+IF(AND(U72&lt;&gt;"",IFERROR(INDEX(ctaLiq,MATCH(G72,ctaNom,0))="Sí",FALSE)),O72,0))</f>
        <v/>
      </c>
      <c r="W72" s="19">
        <f>IF(OR(F72="",I72=""),"",IF(COUNTIFS(F$6:F72,F72,I$6:I72,"?*")=1,MAX(W$5:W71)+1,""))</f>
        <v/>
      </c>
    </row>
    <row r="73">
      <c r="B73" s="15" t="n">
        <v>46294</v>
      </c>
      <c r="C73" s="16" t="n">
        <v>190</v>
      </c>
      <c r="D73" s="17" t="inlineStr">
        <is>
          <t>Snacks y bebidas</t>
        </is>
      </c>
      <c r="E73" s="17" t="inlineStr">
        <is>
          <t>Efectivo</t>
        </is>
      </c>
      <c r="F73" s="17" t="inlineStr">
        <is>
          <t>DEMO Colmado</t>
        </is>
      </c>
      <c r="G73" s="17" t="n"/>
      <c r="H73" s="18">
        <f>IF(AND(B73="",C73="",D73="",E73=""),"",IF(B73="","⚠ Falta fecha",IF(C73="","⚠ Falta monto",IF(D73="","⚠ Falta categoría",IF(ISNA(MATCH(D73,catNom,0)),"⚠ Categoría no existe",IF(E73="","⚠ Falta cuenta",IF(ISNA(MATCH(E73,ctaNom,0)),"⚠ Cuenta no existe",IF(AND(OR(I73="Transferencia",I73="Pago tarjeta"),G73=""),"⚠ Indica la cuenta «Hacia»",IF(AND(G73&lt;&gt;"",G73=E73),"⚠ «Hacia» igual a la cuenta",IF(AND(G73&lt;&gt;"",ISNA(MATCH(G73,ctaNom,0))),"⚠ «Hacia» no existe",IF(AND(I73="Pago tarjeta",IFERROR(INDEX(ctaTipo,MATCH(G73,ctaNom,0)),"")&lt;&gt;"Tarjeta de crédito"),"⚠ «Hacia» debe ser la tarjeta",IF(AND(I73="Trading",IFERROR(INDEX(ctaTipo,MATCH(E73,ctaNom,0)),"")&lt;&gt;"Cuenta de trading"),"⚠ Usa la cuenta de trading","✓"))))))))))))</f>
        <v/>
      </c>
      <c r="I73" s="19">
        <f>IF(OR(B73="",C73="",D73=""),"",IFERROR(INDEX(catTipo,MATCH(D73,catNom,0))&amp;"",""))</f>
        <v/>
      </c>
      <c r="J73" s="19">
        <f>IF(I73="","",IFERROR(INDEX(catGrupo,MATCH(D73,catNom,0))&amp;"",""))</f>
        <v/>
      </c>
      <c r="K73" s="19">
        <f>IF(I73="Gasto",IF(IFERROR(INDEX(catClas,MATCH(D73,catNom,0))&amp;"","")="","Variable",IFERROR(INDEX(catClas,MATCH(D73,catNom,0))&amp;"","")),"")</f>
        <v/>
      </c>
      <c r="L73" s="19">
        <f>IF(I73="","",IFERROR(INDEX(catAlim,MATCH(D73,catNom,0))&amp;"",""))</f>
        <v/>
      </c>
      <c r="M73" s="19">
        <f>IF(I73="","",IFERROR(INDEX(catComida,MATCH(D73,catNom,0))&amp;"",""))</f>
        <v/>
      </c>
      <c r="N73" s="19">
        <f>IF(I73="","",IFERROR(INDEX(ctaMon,MATCH(E73,ctaNom,0))&amp;"","DOP"))</f>
        <v/>
      </c>
      <c r="O73" s="20">
        <f>IF(I73="","",C73*IF(N73="USD",TasaUSD,1))</f>
        <v/>
      </c>
      <c r="P73" s="20">
        <f>IF(I73="","",IF(I73="Gasto",O73,0))</f>
        <v/>
      </c>
      <c r="Q73" s="20">
        <f>IF(I73="","",IF(I73="Ingreso",O73,0))</f>
        <v/>
      </c>
      <c r="R73" s="20">
        <f>IF(I73="","",IF(I73="Trading",O73,0))</f>
        <v/>
      </c>
      <c r="S73" s="19">
        <f>IF(I73="","",IF(AND(I73="Gasto",K73="Variable",J73&lt;&gt;"Trading",O73&gt;0,O73&lt;=Umbral),1,0))</f>
        <v/>
      </c>
      <c r="T73" s="20">
        <f>IF(OR(I73="",E73=""),"",IF(OR(I73="Gasto",I73="Transferencia",I73="Pago tarjeta"),-1,1)*C73)</f>
        <v/>
      </c>
      <c r="U73" s="20">
        <f>IF(OR(G73="",AND(I73&lt;&gt;"Transferencia",I73&lt;&gt;"Pago tarjeta")),"",IF(IFERROR(INDEX(ctaMon,MATCH(G73,ctaNom,0))&amp;"","DOP")=N73,C73,IF(N73="USD",C73*TasaUSD,C73/TasaUSD)))</f>
        <v/>
      </c>
      <c r="V73" s="20">
        <f>IF(I73="","",IF(IFERROR(INDEX(ctaLiq,MATCH(E73,ctaNom,0))="Sí",FALSE),IF(OR(I73="Gasto",I73="Transferencia",I73="Pago tarjeta"),-1,1)*O73,0)+IF(AND(U73&lt;&gt;"",IFERROR(INDEX(ctaLiq,MATCH(G73,ctaNom,0))="Sí",FALSE)),O73,0))</f>
        <v/>
      </c>
      <c r="W73" s="19">
        <f>IF(OR(F73="",I73=""),"",IF(COUNTIFS(F$6:F73,F73,I$6:I73,"?*")=1,MAX(W$5:W72)+1,""))</f>
        <v/>
      </c>
    </row>
    <row r="74">
      <c r="B74" s="15" t="n">
        <v>46295</v>
      </c>
      <c r="C74" s="16" t="n">
        <v>475</v>
      </c>
      <c r="D74" s="17" t="inlineStr">
        <is>
          <t>Almuerzo comprado</t>
        </is>
      </c>
      <c r="E74" s="17" t="inlineStr">
        <is>
          <t>Banco</t>
        </is>
      </c>
      <c r="F74" s="17" t="inlineStr">
        <is>
          <t>DEMO Comedor</t>
        </is>
      </c>
      <c r="G74" s="17" t="n"/>
      <c r="H74" s="18">
        <f>IF(AND(B74="",C74="",D74="",E74=""),"",IF(B74="","⚠ Falta fecha",IF(C74="","⚠ Falta monto",IF(D74="","⚠ Falta categoría",IF(ISNA(MATCH(D74,catNom,0)),"⚠ Categoría no existe",IF(E74="","⚠ Falta cuenta",IF(ISNA(MATCH(E74,ctaNom,0)),"⚠ Cuenta no existe",IF(AND(OR(I74="Transferencia",I74="Pago tarjeta"),G74=""),"⚠ Indica la cuenta «Hacia»",IF(AND(G74&lt;&gt;"",G74=E74),"⚠ «Hacia» igual a la cuenta",IF(AND(G74&lt;&gt;"",ISNA(MATCH(G74,ctaNom,0))),"⚠ «Hacia» no existe",IF(AND(I74="Pago tarjeta",IFERROR(INDEX(ctaTipo,MATCH(G74,ctaNom,0)),"")&lt;&gt;"Tarjeta de crédito"),"⚠ «Hacia» debe ser la tarjeta",IF(AND(I74="Trading",IFERROR(INDEX(ctaTipo,MATCH(E74,ctaNom,0)),"")&lt;&gt;"Cuenta de trading"),"⚠ Usa la cuenta de trading","✓"))))))))))))</f>
        <v/>
      </c>
      <c r="I74" s="19">
        <f>IF(OR(B74="",C74="",D74=""),"",IFERROR(INDEX(catTipo,MATCH(D74,catNom,0))&amp;"",""))</f>
        <v/>
      </c>
      <c r="J74" s="19">
        <f>IF(I74="","",IFERROR(INDEX(catGrupo,MATCH(D74,catNom,0))&amp;"",""))</f>
        <v/>
      </c>
      <c r="K74" s="19">
        <f>IF(I74="Gasto",IF(IFERROR(INDEX(catClas,MATCH(D74,catNom,0))&amp;"","")="","Variable",IFERROR(INDEX(catClas,MATCH(D74,catNom,0))&amp;"","")),"")</f>
        <v/>
      </c>
      <c r="L74" s="19">
        <f>IF(I74="","",IFERROR(INDEX(catAlim,MATCH(D74,catNom,0))&amp;"",""))</f>
        <v/>
      </c>
      <c r="M74" s="19">
        <f>IF(I74="","",IFERROR(INDEX(catComida,MATCH(D74,catNom,0))&amp;"",""))</f>
        <v/>
      </c>
      <c r="N74" s="19">
        <f>IF(I74="","",IFERROR(INDEX(ctaMon,MATCH(E74,ctaNom,0))&amp;"","DOP"))</f>
        <v/>
      </c>
      <c r="O74" s="20">
        <f>IF(I74="","",C74*IF(N74="USD",TasaUSD,1))</f>
        <v/>
      </c>
      <c r="P74" s="20">
        <f>IF(I74="","",IF(I74="Gasto",O74,0))</f>
        <v/>
      </c>
      <c r="Q74" s="20">
        <f>IF(I74="","",IF(I74="Ingreso",O74,0))</f>
        <v/>
      </c>
      <c r="R74" s="20">
        <f>IF(I74="","",IF(I74="Trading",O74,0))</f>
        <v/>
      </c>
      <c r="S74" s="19">
        <f>IF(I74="","",IF(AND(I74="Gasto",K74="Variable",J74&lt;&gt;"Trading",O74&gt;0,O74&lt;=Umbral),1,0))</f>
        <v/>
      </c>
      <c r="T74" s="20">
        <f>IF(OR(I74="",E74=""),"",IF(OR(I74="Gasto",I74="Transferencia",I74="Pago tarjeta"),-1,1)*C74)</f>
        <v/>
      </c>
      <c r="U74" s="20">
        <f>IF(OR(G74="",AND(I74&lt;&gt;"Transferencia",I74&lt;&gt;"Pago tarjeta")),"",IF(IFERROR(INDEX(ctaMon,MATCH(G74,ctaNom,0))&amp;"","DOP")=N74,C74,IF(N74="USD",C74*TasaUSD,C74/TasaUSD)))</f>
        <v/>
      </c>
      <c r="V74" s="20">
        <f>IF(I74="","",IF(IFERROR(INDEX(ctaLiq,MATCH(E74,ctaNom,0))="Sí",FALSE),IF(OR(I74="Gasto",I74="Transferencia",I74="Pago tarjeta"),-1,1)*O74,0)+IF(AND(U74&lt;&gt;"",IFERROR(INDEX(ctaLiq,MATCH(G74,ctaNom,0))="Sí",FALSE)),O74,0))</f>
        <v/>
      </c>
      <c r="W74" s="19">
        <f>IF(OR(F74="",I74=""),"",IF(COUNTIFS(F$6:F74,F74,I$6:I74,"?*")=1,MAX(W$5:W73)+1,""))</f>
        <v/>
      </c>
    </row>
    <row r="75">
      <c r="B75" s="15" t="n">
        <v>46295</v>
      </c>
      <c r="C75" s="16" t="n">
        <v>55000</v>
      </c>
      <c r="D75" s="17" t="inlineStr">
        <is>
          <t>Salario</t>
        </is>
      </c>
      <c r="E75" s="17" t="inlineStr">
        <is>
          <t>Banco</t>
        </is>
      </c>
      <c r="F75" s="17" t="inlineStr">
        <is>
          <t>DEMO Salario (ficticio)</t>
        </is>
      </c>
      <c r="G75" s="17" t="n"/>
      <c r="H75" s="18">
        <f>IF(AND(B75="",C75="",D75="",E75=""),"",IF(B75="","⚠ Falta fecha",IF(C75="","⚠ Falta monto",IF(D75="","⚠ Falta categoría",IF(ISNA(MATCH(D75,catNom,0)),"⚠ Categoría no existe",IF(E75="","⚠ Falta cuenta",IF(ISNA(MATCH(E75,ctaNom,0)),"⚠ Cuenta no existe",IF(AND(OR(I75="Transferencia",I75="Pago tarjeta"),G75=""),"⚠ Indica la cuenta «Hacia»",IF(AND(G75&lt;&gt;"",G75=E75),"⚠ «Hacia» igual a la cuenta",IF(AND(G75&lt;&gt;"",ISNA(MATCH(G75,ctaNom,0))),"⚠ «Hacia» no existe",IF(AND(I75="Pago tarjeta",IFERROR(INDEX(ctaTipo,MATCH(G75,ctaNom,0)),"")&lt;&gt;"Tarjeta de crédito"),"⚠ «Hacia» debe ser la tarjeta",IF(AND(I75="Trading",IFERROR(INDEX(ctaTipo,MATCH(E75,ctaNom,0)),"")&lt;&gt;"Cuenta de trading"),"⚠ Usa la cuenta de trading","✓"))))))))))))</f>
        <v/>
      </c>
      <c r="I75" s="19">
        <f>IF(OR(B75="",C75="",D75=""),"",IFERROR(INDEX(catTipo,MATCH(D75,catNom,0))&amp;"",""))</f>
        <v/>
      </c>
      <c r="J75" s="19">
        <f>IF(I75="","",IFERROR(INDEX(catGrupo,MATCH(D75,catNom,0))&amp;"",""))</f>
        <v/>
      </c>
      <c r="K75" s="19">
        <f>IF(I75="Gasto",IF(IFERROR(INDEX(catClas,MATCH(D75,catNom,0))&amp;"","")="","Variable",IFERROR(INDEX(catClas,MATCH(D75,catNom,0))&amp;"","")),"")</f>
        <v/>
      </c>
      <c r="L75" s="19">
        <f>IF(I75="","",IFERROR(INDEX(catAlim,MATCH(D75,catNom,0))&amp;"",""))</f>
        <v/>
      </c>
      <c r="M75" s="19">
        <f>IF(I75="","",IFERROR(INDEX(catComida,MATCH(D75,catNom,0))&amp;"",""))</f>
        <v/>
      </c>
      <c r="N75" s="19">
        <f>IF(I75="","",IFERROR(INDEX(ctaMon,MATCH(E75,ctaNom,0))&amp;"","DOP"))</f>
        <v/>
      </c>
      <c r="O75" s="20">
        <f>IF(I75="","",C75*IF(N75="USD",TasaUSD,1))</f>
        <v/>
      </c>
      <c r="P75" s="20">
        <f>IF(I75="","",IF(I75="Gasto",O75,0))</f>
        <v/>
      </c>
      <c r="Q75" s="20">
        <f>IF(I75="","",IF(I75="Ingreso",O75,0))</f>
        <v/>
      </c>
      <c r="R75" s="20">
        <f>IF(I75="","",IF(I75="Trading",O75,0))</f>
        <v/>
      </c>
      <c r="S75" s="19">
        <f>IF(I75="","",IF(AND(I75="Gasto",K75="Variable",J75&lt;&gt;"Trading",O75&gt;0,O75&lt;=Umbral),1,0))</f>
        <v/>
      </c>
      <c r="T75" s="20">
        <f>IF(OR(I75="",E75=""),"",IF(OR(I75="Gasto",I75="Transferencia",I75="Pago tarjeta"),-1,1)*C75)</f>
        <v/>
      </c>
      <c r="U75" s="20">
        <f>IF(OR(G75="",AND(I75&lt;&gt;"Transferencia",I75&lt;&gt;"Pago tarjeta")),"",IF(IFERROR(INDEX(ctaMon,MATCH(G75,ctaNom,0))&amp;"","DOP")=N75,C75,IF(N75="USD",C75*TasaUSD,C75/TasaUSD)))</f>
        <v/>
      </c>
      <c r="V75" s="20">
        <f>IF(I75="","",IF(IFERROR(INDEX(ctaLiq,MATCH(E75,ctaNom,0))="Sí",FALSE),IF(OR(I75="Gasto",I75="Transferencia",I75="Pago tarjeta"),-1,1)*O75,0)+IF(AND(U75&lt;&gt;"",IFERROR(INDEX(ctaLiq,MATCH(G75,ctaNom,0))="Sí",FALSE)),O75,0))</f>
        <v/>
      </c>
      <c r="W75" s="19">
        <f>IF(OR(F75="",I75=""),"",IF(COUNTIFS(F$6:F75,F75,I$6:I75,"?*")=1,MAX(W$5:W74)+1,""))</f>
        <v/>
      </c>
    </row>
    <row r="76">
      <c r="B76" s="15" t="n">
        <v>46296</v>
      </c>
      <c r="C76" s="16" t="n">
        <v>425</v>
      </c>
      <c r="D76" s="17" t="inlineStr">
        <is>
          <t>Almuerzo comprado</t>
        </is>
      </c>
      <c r="E76" s="17" t="inlineStr">
        <is>
          <t>Banco</t>
        </is>
      </c>
      <c r="F76" s="17" t="inlineStr">
        <is>
          <t>DEMO Comedor</t>
        </is>
      </c>
      <c r="G76" s="17" t="n"/>
      <c r="H76" s="18">
        <f>IF(AND(B76="",C76="",D76="",E76=""),"",IF(B76="","⚠ Falta fecha",IF(C76="","⚠ Falta monto",IF(D76="","⚠ Falta categoría",IF(ISNA(MATCH(D76,catNom,0)),"⚠ Categoría no existe",IF(E76="","⚠ Falta cuenta",IF(ISNA(MATCH(E76,ctaNom,0)),"⚠ Cuenta no existe",IF(AND(OR(I76="Transferencia",I76="Pago tarjeta"),G76=""),"⚠ Indica la cuenta «Hacia»",IF(AND(G76&lt;&gt;"",G76=E76),"⚠ «Hacia» igual a la cuenta",IF(AND(G76&lt;&gt;"",ISNA(MATCH(G76,ctaNom,0))),"⚠ «Hacia» no existe",IF(AND(I76="Pago tarjeta",IFERROR(INDEX(ctaTipo,MATCH(G76,ctaNom,0)),"")&lt;&gt;"Tarjeta de crédito"),"⚠ «Hacia» debe ser la tarjeta",IF(AND(I76="Trading",IFERROR(INDEX(ctaTipo,MATCH(E76,ctaNom,0)),"")&lt;&gt;"Cuenta de trading"),"⚠ Usa la cuenta de trading","✓"))))))))))))</f>
        <v/>
      </c>
      <c r="I76" s="19">
        <f>IF(OR(B76="",C76="",D76=""),"",IFERROR(INDEX(catTipo,MATCH(D76,catNom,0))&amp;"",""))</f>
        <v/>
      </c>
      <c r="J76" s="19">
        <f>IF(I76="","",IFERROR(INDEX(catGrupo,MATCH(D76,catNom,0))&amp;"",""))</f>
        <v/>
      </c>
      <c r="K76" s="19">
        <f>IF(I76="Gasto",IF(IFERROR(INDEX(catClas,MATCH(D76,catNom,0))&amp;"","")="","Variable",IFERROR(INDEX(catClas,MATCH(D76,catNom,0))&amp;"","")),"")</f>
        <v/>
      </c>
      <c r="L76" s="19">
        <f>IF(I76="","",IFERROR(INDEX(catAlim,MATCH(D76,catNom,0))&amp;"",""))</f>
        <v/>
      </c>
      <c r="M76" s="19">
        <f>IF(I76="","",IFERROR(INDEX(catComida,MATCH(D76,catNom,0))&amp;"",""))</f>
        <v/>
      </c>
      <c r="N76" s="19">
        <f>IF(I76="","",IFERROR(INDEX(ctaMon,MATCH(E76,ctaNom,0))&amp;"","DOP"))</f>
        <v/>
      </c>
      <c r="O76" s="20">
        <f>IF(I76="","",C76*IF(N76="USD",TasaUSD,1))</f>
        <v/>
      </c>
      <c r="P76" s="20">
        <f>IF(I76="","",IF(I76="Gasto",O76,0))</f>
        <v/>
      </c>
      <c r="Q76" s="20">
        <f>IF(I76="","",IF(I76="Ingreso",O76,0))</f>
        <v/>
      </c>
      <c r="R76" s="20">
        <f>IF(I76="","",IF(I76="Trading",O76,0))</f>
        <v/>
      </c>
      <c r="S76" s="19">
        <f>IF(I76="","",IF(AND(I76="Gasto",K76="Variable",J76&lt;&gt;"Trading",O76&gt;0,O76&lt;=Umbral),1,0))</f>
        <v/>
      </c>
      <c r="T76" s="20">
        <f>IF(OR(I76="",E76=""),"",IF(OR(I76="Gasto",I76="Transferencia",I76="Pago tarjeta"),-1,1)*C76)</f>
        <v/>
      </c>
      <c r="U76" s="20">
        <f>IF(OR(G76="",AND(I76&lt;&gt;"Transferencia",I76&lt;&gt;"Pago tarjeta")),"",IF(IFERROR(INDEX(ctaMon,MATCH(G76,ctaNom,0))&amp;"","DOP")=N76,C76,IF(N76="USD",C76*TasaUSD,C76/TasaUSD)))</f>
        <v/>
      </c>
      <c r="V76" s="20">
        <f>IF(I76="","",IF(IFERROR(INDEX(ctaLiq,MATCH(E76,ctaNom,0))="Sí",FALSE),IF(OR(I76="Gasto",I76="Transferencia",I76="Pago tarjeta"),-1,1)*O76,0)+IF(AND(U76&lt;&gt;"",IFERROR(INDEX(ctaLiq,MATCH(G76,ctaNom,0))="Sí",FALSE)),O76,0))</f>
        <v/>
      </c>
      <c r="W76" s="19">
        <f>IF(OR(F76="",I76=""),"",IF(COUNTIFS(F$6:F76,F76,I$6:I76,"?*")=1,MAX(W$5:W75)+1,""))</f>
        <v/>
      </c>
    </row>
    <row r="77">
      <c r="B77" s="15" t="n">
        <v>46296</v>
      </c>
      <c r="C77" s="16" t="n">
        <v>5000</v>
      </c>
      <c r="D77" s="17" t="inlineStr">
        <is>
          <t>Transferencia entre cuentas</t>
        </is>
      </c>
      <c r="E77" s="17" t="inlineStr">
        <is>
          <t>Banco</t>
        </is>
      </c>
      <c r="F77" s="17" t="inlineStr">
        <is>
          <t>DEMO</t>
        </is>
      </c>
      <c r="G77" s="17" t="inlineStr">
        <is>
          <t>Efectivo</t>
        </is>
      </c>
      <c r="H77" s="18">
        <f>IF(AND(B77="",C77="",D77="",E77=""),"",IF(B77="","⚠ Falta fecha",IF(C77="","⚠ Falta monto",IF(D77="","⚠ Falta categoría",IF(ISNA(MATCH(D77,catNom,0)),"⚠ Categoría no existe",IF(E77="","⚠ Falta cuenta",IF(ISNA(MATCH(E77,ctaNom,0)),"⚠ Cuenta no existe",IF(AND(OR(I77="Transferencia",I77="Pago tarjeta"),G77=""),"⚠ Indica la cuenta «Hacia»",IF(AND(G77&lt;&gt;"",G77=E77),"⚠ «Hacia» igual a la cuenta",IF(AND(G77&lt;&gt;"",ISNA(MATCH(G77,ctaNom,0))),"⚠ «Hacia» no existe",IF(AND(I77="Pago tarjeta",IFERROR(INDEX(ctaTipo,MATCH(G77,ctaNom,0)),"")&lt;&gt;"Tarjeta de crédito"),"⚠ «Hacia» debe ser la tarjeta",IF(AND(I77="Trading",IFERROR(INDEX(ctaTipo,MATCH(E77,ctaNom,0)),"")&lt;&gt;"Cuenta de trading"),"⚠ Usa la cuenta de trading","✓"))))))))))))</f>
        <v/>
      </c>
      <c r="I77" s="19">
        <f>IF(OR(B77="",C77="",D77=""),"",IFERROR(INDEX(catTipo,MATCH(D77,catNom,0))&amp;"",""))</f>
        <v/>
      </c>
      <c r="J77" s="19">
        <f>IF(I77="","",IFERROR(INDEX(catGrupo,MATCH(D77,catNom,0))&amp;"",""))</f>
        <v/>
      </c>
      <c r="K77" s="19">
        <f>IF(I77="Gasto",IF(IFERROR(INDEX(catClas,MATCH(D77,catNom,0))&amp;"","")="","Variable",IFERROR(INDEX(catClas,MATCH(D77,catNom,0))&amp;"","")),"")</f>
        <v/>
      </c>
      <c r="L77" s="19">
        <f>IF(I77="","",IFERROR(INDEX(catAlim,MATCH(D77,catNom,0))&amp;"",""))</f>
        <v/>
      </c>
      <c r="M77" s="19">
        <f>IF(I77="","",IFERROR(INDEX(catComida,MATCH(D77,catNom,0))&amp;"",""))</f>
        <v/>
      </c>
      <c r="N77" s="19">
        <f>IF(I77="","",IFERROR(INDEX(ctaMon,MATCH(E77,ctaNom,0))&amp;"","DOP"))</f>
        <v/>
      </c>
      <c r="O77" s="20">
        <f>IF(I77="","",C77*IF(N77="USD",TasaUSD,1))</f>
        <v/>
      </c>
      <c r="P77" s="20">
        <f>IF(I77="","",IF(I77="Gasto",O77,0))</f>
        <v/>
      </c>
      <c r="Q77" s="20">
        <f>IF(I77="","",IF(I77="Ingreso",O77,0))</f>
        <v/>
      </c>
      <c r="R77" s="20">
        <f>IF(I77="","",IF(I77="Trading",O77,0))</f>
        <v/>
      </c>
      <c r="S77" s="19">
        <f>IF(I77="","",IF(AND(I77="Gasto",K77="Variable",J77&lt;&gt;"Trading",O77&gt;0,O77&lt;=Umbral),1,0))</f>
        <v/>
      </c>
      <c r="T77" s="20">
        <f>IF(OR(I77="",E77=""),"",IF(OR(I77="Gasto",I77="Transferencia",I77="Pago tarjeta"),-1,1)*C77)</f>
        <v/>
      </c>
      <c r="U77" s="20">
        <f>IF(OR(G77="",AND(I77&lt;&gt;"Transferencia",I77&lt;&gt;"Pago tarjeta")),"",IF(IFERROR(INDEX(ctaMon,MATCH(G77,ctaNom,0))&amp;"","DOP")=N77,C77,IF(N77="USD",C77*TasaUSD,C77/TasaUSD)))</f>
        <v/>
      </c>
      <c r="V77" s="20">
        <f>IF(I77="","",IF(IFERROR(INDEX(ctaLiq,MATCH(E77,ctaNom,0))="Sí",FALSE),IF(OR(I77="Gasto",I77="Transferencia",I77="Pago tarjeta"),-1,1)*O77,0)+IF(AND(U77&lt;&gt;"",IFERROR(INDEX(ctaLiq,MATCH(G77,ctaNom,0))="Sí",FALSE)),O77,0))</f>
        <v/>
      </c>
      <c r="W77" s="19">
        <f>IF(OR(F77="",I77=""),"",IF(COUNTIFS(F$6:F77,F77,I$6:I77,"?*")=1,MAX(W$5:W76)+1,""))</f>
        <v/>
      </c>
    </row>
    <row r="78">
      <c r="B78" s="15" t="n">
        <v>46296</v>
      </c>
      <c r="C78" s="16" t="n">
        <v>-150</v>
      </c>
      <c r="D78" s="17" t="inlineStr">
        <is>
          <t>Ajuste de saldo</t>
        </is>
      </c>
      <c r="E78" s="17" t="inlineStr">
        <is>
          <t>Efectivo</t>
        </is>
      </c>
      <c r="F78" s="17" t="inlineStr">
        <is>
          <t>DEMO</t>
        </is>
      </c>
      <c r="G78" s="17" t="n"/>
      <c r="H78" s="18">
        <f>IF(AND(B78="",C78="",D78="",E78=""),"",IF(B78="","⚠ Falta fecha",IF(C78="","⚠ Falta monto",IF(D78="","⚠ Falta categoría",IF(ISNA(MATCH(D78,catNom,0)),"⚠ Categoría no existe",IF(E78="","⚠ Falta cuenta",IF(ISNA(MATCH(E78,ctaNom,0)),"⚠ Cuenta no existe",IF(AND(OR(I78="Transferencia",I78="Pago tarjeta"),G78=""),"⚠ Indica la cuenta «Hacia»",IF(AND(G78&lt;&gt;"",G78=E78),"⚠ «Hacia» igual a la cuenta",IF(AND(G78&lt;&gt;"",ISNA(MATCH(G78,ctaNom,0))),"⚠ «Hacia» no existe",IF(AND(I78="Pago tarjeta",IFERROR(INDEX(ctaTipo,MATCH(G78,ctaNom,0)),"")&lt;&gt;"Tarjeta de crédito"),"⚠ «Hacia» debe ser la tarjeta",IF(AND(I78="Trading",IFERROR(INDEX(ctaTipo,MATCH(E78,ctaNom,0)),"")&lt;&gt;"Cuenta de trading"),"⚠ Usa la cuenta de trading","✓"))))))))))))</f>
        <v/>
      </c>
      <c r="I78" s="19">
        <f>IF(OR(B78="",C78="",D78=""),"",IFERROR(INDEX(catTipo,MATCH(D78,catNom,0))&amp;"",""))</f>
        <v/>
      </c>
      <c r="J78" s="19">
        <f>IF(I78="","",IFERROR(INDEX(catGrupo,MATCH(D78,catNom,0))&amp;"",""))</f>
        <v/>
      </c>
      <c r="K78" s="19">
        <f>IF(I78="Gasto",IF(IFERROR(INDEX(catClas,MATCH(D78,catNom,0))&amp;"","")="","Variable",IFERROR(INDEX(catClas,MATCH(D78,catNom,0))&amp;"","")),"")</f>
        <v/>
      </c>
      <c r="L78" s="19">
        <f>IF(I78="","",IFERROR(INDEX(catAlim,MATCH(D78,catNom,0))&amp;"",""))</f>
        <v/>
      </c>
      <c r="M78" s="19">
        <f>IF(I78="","",IFERROR(INDEX(catComida,MATCH(D78,catNom,0))&amp;"",""))</f>
        <v/>
      </c>
      <c r="N78" s="19">
        <f>IF(I78="","",IFERROR(INDEX(ctaMon,MATCH(E78,ctaNom,0))&amp;"","DOP"))</f>
        <v/>
      </c>
      <c r="O78" s="20">
        <f>IF(I78="","",C78*IF(N78="USD",TasaUSD,1))</f>
        <v/>
      </c>
      <c r="P78" s="20">
        <f>IF(I78="","",IF(I78="Gasto",O78,0))</f>
        <v/>
      </c>
      <c r="Q78" s="20">
        <f>IF(I78="","",IF(I78="Ingreso",O78,0))</f>
        <v/>
      </c>
      <c r="R78" s="20">
        <f>IF(I78="","",IF(I78="Trading",O78,0))</f>
        <v/>
      </c>
      <c r="S78" s="19">
        <f>IF(I78="","",IF(AND(I78="Gasto",K78="Variable",J78&lt;&gt;"Trading",O78&gt;0,O78&lt;=Umbral),1,0))</f>
        <v/>
      </c>
      <c r="T78" s="20">
        <f>IF(OR(I78="",E78=""),"",IF(OR(I78="Gasto",I78="Transferencia",I78="Pago tarjeta"),-1,1)*C78)</f>
        <v/>
      </c>
      <c r="U78" s="20">
        <f>IF(OR(G78="",AND(I78&lt;&gt;"Transferencia",I78&lt;&gt;"Pago tarjeta")),"",IF(IFERROR(INDEX(ctaMon,MATCH(G78,ctaNom,0))&amp;"","DOP")=N78,C78,IF(N78="USD",C78*TasaUSD,C78/TasaUSD)))</f>
        <v/>
      </c>
      <c r="V78" s="20">
        <f>IF(I78="","",IF(IFERROR(INDEX(ctaLiq,MATCH(E78,ctaNom,0))="Sí",FALSE),IF(OR(I78="Gasto",I78="Transferencia",I78="Pago tarjeta"),-1,1)*O78,0)+IF(AND(U78&lt;&gt;"",IFERROR(INDEX(ctaLiq,MATCH(G78,ctaNom,0))="Sí",FALSE)),O78,0))</f>
        <v/>
      </c>
      <c r="W78" s="19">
        <f>IF(OR(F78="",I78=""),"",IF(COUNTIFS(F$6:F78,F78,I$6:I78,"?*")=1,MAX(W$5:W77)+1,""))</f>
        <v/>
      </c>
    </row>
    <row r="79">
      <c r="B79" s="15" t="n">
        <v>46297</v>
      </c>
      <c r="C79" s="16" t="n">
        <v>550</v>
      </c>
      <c r="D79" s="17" t="inlineStr">
        <is>
          <t>Almuerzo comprado</t>
        </is>
      </c>
      <c r="E79" s="17" t="inlineStr">
        <is>
          <t>Billetera digital</t>
        </is>
      </c>
      <c r="F79" s="17" t="inlineStr">
        <is>
          <t>DEMO Comedor</t>
        </is>
      </c>
      <c r="G79" s="17" t="n"/>
      <c r="H79" s="18">
        <f>IF(AND(B79="",C79="",D79="",E79=""),"",IF(B79="","⚠ Falta fecha",IF(C79="","⚠ Falta monto",IF(D79="","⚠ Falta categoría",IF(ISNA(MATCH(D79,catNom,0)),"⚠ Categoría no existe",IF(E79="","⚠ Falta cuenta",IF(ISNA(MATCH(E79,ctaNom,0)),"⚠ Cuenta no existe",IF(AND(OR(I79="Transferencia",I79="Pago tarjeta"),G79=""),"⚠ Indica la cuenta «Hacia»",IF(AND(G79&lt;&gt;"",G79=E79),"⚠ «Hacia» igual a la cuenta",IF(AND(G79&lt;&gt;"",ISNA(MATCH(G79,ctaNom,0))),"⚠ «Hacia» no existe",IF(AND(I79="Pago tarjeta",IFERROR(INDEX(ctaTipo,MATCH(G79,ctaNom,0)),"")&lt;&gt;"Tarjeta de crédito"),"⚠ «Hacia» debe ser la tarjeta",IF(AND(I79="Trading",IFERROR(INDEX(ctaTipo,MATCH(E79,ctaNom,0)),"")&lt;&gt;"Cuenta de trading"),"⚠ Usa la cuenta de trading","✓"))))))))))))</f>
        <v/>
      </c>
      <c r="I79" s="19">
        <f>IF(OR(B79="",C79="",D79=""),"",IFERROR(INDEX(catTipo,MATCH(D79,catNom,0))&amp;"",""))</f>
        <v/>
      </c>
      <c r="J79" s="19">
        <f>IF(I79="","",IFERROR(INDEX(catGrupo,MATCH(D79,catNom,0))&amp;"",""))</f>
        <v/>
      </c>
      <c r="K79" s="19">
        <f>IF(I79="Gasto",IF(IFERROR(INDEX(catClas,MATCH(D79,catNom,0))&amp;"","")="","Variable",IFERROR(INDEX(catClas,MATCH(D79,catNom,0))&amp;"","")),"")</f>
        <v/>
      </c>
      <c r="L79" s="19">
        <f>IF(I79="","",IFERROR(INDEX(catAlim,MATCH(D79,catNom,0))&amp;"",""))</f>
        <v/>
      </c>
      <c r="M79" s="19">
        <f>IF(I79="","",IFERROR(INDEX(catComida,MATCH(D79,catNom,0))&amp;"",""))</f>
        <v/>
      </c>
      <c r="N79" s="19">
        <f>IF(I79="","",IFERROR(INDEX(ctaMon,MATCH(E79,ctaNom,0))&amp;"","DOP"))</f>
        <v/>
      </c>
      <c r="O79" s="20">
        <f>IF(I79="","",C79*IF(N79="USD",TasaUSD,1))</f>
        <v/>
      </c>
      <c r="P79" s="20">
        <f>IF(I79="","",IF(I79="Gasto",O79,0))</f>
        <v/>
      </c>
      <c r="Q79" s="20">
        <f>IF(I79="","",IF(I79="Ingreso",O79,0))</f>
        <v/>
      </c>
      <c r="R79" s="20">
        <f>IF(I79="","",IF(I79="Trading",O79,0))</f>
        <v/>
      </c>
      <c r="S79" s="19">
        <f>IF(I79="","",IF(AND(I79="Gasto",K79="Variable",J79&lt;&gt;"Trading",O79&gt;0,O79&lt;=Umbral),1,0))</f>
        <v/>
      </c>
      <c r="T79" s="20">
        <f>IF(OR(I79="",E79=""),"",IF(OR(I79="Gasto",I79="Transferencia",I79="Pago tarjeta"),-1,1)*C79)</f>
        <v/>
      </c>
      <c r="U79" s="20">
        <f>IF(OR(G79="",AND(I79&lt;&gt;"Transferencia",I79&lt;&gt;"Pago tarjeta")),"",IF(IFERROR(INDEX(ctaMon,MATCH(G79,ctaNom,0))&amp;"","DOP")=N79,C79,IF(N79="USD",C79*TasaUSD,C79/TasaUSD)))</f>
        <v/>
      </c>
      <c r="V79" s="20">
        <f>IF(I79="","",IF(IFERROR(INDEX(ctaLiq,MATCH(E79,ctaNom,0))="Sí",FALSE),IF(OR(I79="Gasto",I79="Transferencia",I79="Pago tarjeta"),-1,1)*O79,0)+IF(AND(U79&lt;&gt;"",IFERROR(INDEX(ctaLiq,MATCH(G79,ctaNom,0))="Sí",FALSE)),O79,0))</f>
        <v/>
      </c>
      <c r="W79" s="19">
        <f>IF(OR(F79="",I79=""),"",IF(COUNTIFS(F$6:F79,F79,I$6:I79,"?*")=1,MAX(W$5:W78)+1,""))</f>
        <v/>
      </c>
    </row>
    <row r="80">
      <c r="B80" s="15" t="n">
        <v>46297</v>
      </c>
      <c r="C80" s="16" t="n">
        <v>400</v>
      </c>
      <c r="D80" s="17" t="inlineStr">
        <is>
          <t>Cena comprada</t>
        </is>
      </c>
      <c r="E80" s="17" t="inlineStr">
        <is>
          <t>Tarjeta de crédito</t>
        </is>
      </c>
      <c r="F80" s="17" t="inlineStr">
        <is>
          <t>DEMO Pizzería</t>
        </is>
      </c>
      <c r="G80" s="17" t="n"/>
      <c r="H80" s="18">
        <f>IF(AND(B80="",C80="",D80="",E80=""),"",IF(B80="","⚠ Falta fecha",IF(C80="","⚠ Falta monto",IF(D80="","⚠ Falta categoría",IF(ISNA(MATCH(D80,catNom,0)),"⚠ Categoría no existe",IF(E80="","⚠ Falta cuenta",IF(ISNA(MATCH(E80,ctaNom,0)),"⚠ Cuenta no existe",IF(AND(OR(I80="Transferencia",I80="Pago tarjeta"),G80=""),"⚠ Indica la cuenta «Hacia»",IF(AND(G80&lt;&gt;"",G80=E80),"⚠ «Hacia» igual a la cuenta",IF(AND(G80&lt;&gt;"",ISNA(MATCH(G80,ctaNom,0))),"⚠ «Hacia» no existe",IF(AND(I80="Pago tarjeta",IFERROR(INDEX(ctaTipo,MATCH(G80,ctaNom,0)),"")&lt;&gt;"Tarjeta de crédito"),"⚠ «Hacia» debe ser la tarjeta",IF(AND(I80="Trading",IFERROR(INDEX(ctaTipo,MATCH(E80,ctaNom,0)),"")&lt;&gt;"Cuenta de trading"),"⚠ Usa la cuenta de trading","✓"))))))))))))</f>
        <v/>
      </c>
      <c r="I80" s="19">
        <f>IF(OR(B80="",C80="",D80=""),"",IFERROR(INDEX(catTipo,MATCH(D80,catNom,0))&amp;"",""))</f>
        <v/>
      </c>
      <c r="J80" s="19">
        <f>IF(I80="","",IFERROR(INDEX(catGrupo,MATCH(D80,catNom,0))&amp;"",""))</f>
        <v/>
      </c>
      <c r="K80" s="19">
        <f>IF(I80="Gasto",IF(IFERROR(INDEX(catClas,MATCH(D80,catNom,0))&amp;"","")="","Variable",IFERROR(INDEX(catClas,MATCH(D80,catNom,0))&amp;"","")),"")</f>
        <v/>
      </c>
      <c r="L80" s="19">
        <f>IF(I80="","",IFERROR(INDEX(catAlim,MATCH(D80,catNom,0))&amp;"",""))</f>
        <v/>
      </c>
      <c r="M80" s="19">
        <f>IF(I80="","",IFERROR(INDEX(catComida,MATCH(D80,catNom,0))&amp;"",""))</f>
        <v/>
      </c>
      <c r="N80" s="19">
        <f>IF(I80="","",IFERROR(INDEX(ctaMon,MATCH(E80,ctaNom,0))&amp;"","DOP"))</f>
        <v/>
      </c>
      <c r="O80" s="20">
        <f>IF(I80="","",C80*IF(N80="USD",TasaUSD,1))</f>
        <v/>
      </c>
      <c r="P80" s="20">
        <f>IF(I80="","",IF(I80="Gasto",O80,0))</f>
        <v/>
      </c>
      <c r="Q80" s="20">
        <f>IF(I80="","",IF(I80="Ingreso",O80,0))</f>
        <v/>
      </c>
      <c r="R80" s="20">
        <f>IF(I80="","",IF(I80="Trading",O80,0))</f>
        <v/>
      </c>
      <c r="S80" s="19">
        <f>IF(I80="","",IF(AND(I80="Gasto",K80="Variable",J80&lt;&gt;"Trading",O80&gt;0,O80&lt;=Umbral),1,0))</f>
        <v/>
      </c>
      <c r="T80" s="20">
        <f>IF(OR(I80="",E80=""),"",IF(OR(I80="Gasto",I80="Transferencia",I80="Pago tarjeta"),-1,1)*C80)</f>
        <v/>
      </c>
      <c r="U80" s="20">
        <f>IF(OR(G80="",AND(I80&lt;&gt;"Transferencia",I80&lt;&gt;"Pago tarjeta")),"",IF(IFERROR(INDEX(ctaMon,MATCH(G80,ctaNom,0))&amp;"","DOP")=N80,C80,IF(N80="USD",C80*TasaUSD,C80/TasaUSD)))</f>
        <v/>
      </c>
      <c r="V80" s="20">
        <f>IF(I80="","",IF(IFERROR(INDEX(ctaLiq,MATCH(E80,ctaNom,0))="Sí",FALSE),IF(OR(I80="Gasto",I80="Transferencia",I80="Pago tarjeta"),-1,1)*O80,0)+IF(AND(U80&lt;&gt;"",IFERROR(INDEX(ctaLiq,MATCH(G80,ctaNom,0))="Sí",FALSE)),O80,0))</f>
        <v/>
      </c>
      <c r="W80" s="19">
        <f>IF(OR(F80="",I80=""),"",IF(COUNTIFS(F$6:F80,F80,I$6:I80,"?*")=1,MAX(W$5:W79)+1,""))</f>
        <v/>
      </c>
    </row>
    <row r="81">
      <c r="B81" s="15" t="n">
        <v>46298</v>
      </c>
      <c r="C81" s="16" t="n">
        <v>2900</v>
      </c>
      <c r="D81" s="17" t="inlineStr">
        <is>
          <t>Restaurante</t>
        </is>
      </c>
      <c r="E81" s="17" t="inlineStr">
        <is>
          <t>Tarjeta de crédito</t>
        </is>
      </c>
      <c r="F81" s="17" t="inlineStr">
        <is>
          <t>DEMO Restaurante</t>
        </is>
      </c>
      <c r="G81" s="17" t="n"/>
      <c r="H81" s="18">
        <f>IF(AND(B81="",C81="",D81="",E81=""),"",IF(B81="","⚠ Falta fecha",IF(C81="","⚠ Falta monto",IF(D81="","⚠ Falta categoría",IF(ISNA(MATCH(D81,catNom,0)),"⚠ Categoría no existe",IF(E81="","⚠ Falta cuenta",IF(ISNA(MATCH(E81,ctaNom,0)),"⚠ Cuenta no existe",IF(AND(OR(I81="Transferencia",I81="Pago tarjeta"),G81=""),"⚠ Indica la cuenta «Hacia»",IF(AND(G81&lt;&gt;"",G81=E81),"⚠ «Hacia» igual a la cuenta",IF(AND(G81&lt;&gt;"",ISNA(MATCH(G81,ctaNom,0))),"⚠ «Hacia» no existe",IF(AND(I81="Pago tarjeta",IFERROR(INDEX(ctaTipo,MATCH(G81,ctaNom,0)),"")&lt;&gt;"Tarjeta de crédito"),"⚠ «Hacia» debe ser la tarjeta",IF(AND(I81="Trading",IFERROR(INDEX(ctaTipo,MATCH(E81,ctaNom,0)),"")&lt;&gt;"Cuenta de trading"),"⚠ Usa la cuenta de trading","✓"))))))))))))</f>
        <v/>
      </c>
      <c r="I81" s="19">
        <f>IF(OR(B81="",C81="",D81=""),"",IFERROR(INDEX(catTipo,MATCH(D81,catNom,0))&amp;"",""))</f>
        <v/>
      </c>
      <c r="J81" s="19">
        <f>IF(I81="","",IFERROR(INDEX(catGrupo,MATCH(D81,catNom,0))&amp;"",""))</f>
        <v/>
      </c>
      <c r="K81" s="19">
        <f>IF(I81="Gasto",IF(IFERROR(INDEX(catClas,MATCH(D81,catNom,0))&amp;"","")="","Variable",IFERROR(INDEX(catClas,MATCH(D81,catNom,0))&amp;"","")),"")</f>
        <v/>
      </c>
      <c r="L81" s="19">
        <f>IF(I81="","",IFERROR(INDEX(catAlim,MATCH(D81,catNom,0))&amp;"",""))</f>
        <v/>
      </c>
      <c r="M81" s="19">
        <f>IF(I81="","",IFERROR(INDEX(catComida,MATCH(D81,catNom,0))&amp;"",""))</f>
        <v/>
      </c>
      <c r="N81" s="19">
        <f>IF(I81="","",IFERROR(INDEX(ctaMon,MATCH(E81,ctaNom,0))&amp;"","DOP"))</f>
        <v/>
      </c>
      <c r="O81" s="20">
        <f>IF(I81="","",C81*IF(N81="USD",TasaUSD,1))</f>
        <v/>
      </c>
      <c r="P81" s="20">
        <f>IF(I81="","",IF(I81="Gasto",O81,0))</f>
        <v/>
      </c>
      <c r="Q81" s="20">
        <f>IF(I81="","",IF(I81="Ingreso",O81,0))</f>
        <v/>
      </c>
      <c r="R81" s="20">
        <f>IF(I81="","",IF(I81="Trading",O81,0))</f>
        <v/>
      </c>
      <c r="S81" s="19">
        <f>IF(I81="","",IF(AND(I81="Gasto",K81="Variable",J81&lt;&gt;"Trading",O81&gt;0,O81&lt;=Umbral),1,0))</f>
        <v/>
      </c>
      <c r="T81" s="20">
        <f>IF(OR(I81="",E81=""),"",IF(OR(I81="Gasto",I81="Transferencia",I81="Pago tarjeta"),-1,1)*C81)</f>
        <v/>
      </c>
      <c r="U81" s="20">
        <f>IF(OR(G81="",AND(I81&lt;&gt;"Transferencia",I81&lt;&gt;"Pago tarjeta")),"",IF(IFERROR(INDEX(ctaMon,MATCH(G81,ctaNom,0))&amp;"","DOP")=N81,C81,IF(N81="USD",C81*TasaUSD,C81/TasaUSD)))</f>
        <v/>
      </c>
      <c r="V81" s="20">
        <f>IF(I81="","",IF(IFERROR(INDEX(ctaLiq,MATCH(E81,ctaNom,0))="Sí",FALSE),IF(OR(I81="Gasto",I81="Transferencia",I81="Pago tarjeta"),-1,1)*O81,0)+IF(AND(U81&lt;&gt;"",IFERROR(INDEX(ctaLiq,MATCH(G81,ctaNom,0))="Sí",FALSE)),O81,0))</f>
        <v/>
      </c>
      <c r="W81" s="19">
        <f>IF(OR(F81="",I81=""),"",IF(COUNTIFS(F$6:F81,F81,I$6:I81,"?*")=1,MAX(W$5:W80)+1,""))</f>
        <v/>
      </c>
    </row>
    <row r="82">
      <c r="B82" s="15" t="n">
        <v>46298</v>
      </c>
      <c r="C82" s="16" t="n">
        <v>4900</v>
      </c>
      <c r="D82" s="17" t="inlineStr">
        <is>
          <t>Supermercado</t>
        </is>
      </c>
      <c r="E82" s="17" t="inlineStr">
        <is>
          <t>Tarjeta de crédito</t>
        </is>
      </c>
      <c r="F82" s="17" t="inlineStr">
        <is>
          <t>DEMO Supermercado</t>
        </is>
      </c>
      <c r="G82" s="17" t="n"/>
      <c r="H82" s="18">
        <f>IF(AND(B82="",C82="",D82="",E82=""),"",IF(B82="","⚠ Falta fecha",IF(C82="","⚠ Falta monto",IF(D82="","⚠ Falta categoría",IF(ISNA(MATCH(D82,catNom,0)),"⚠ Categoría no existe",IF(E82="","⚠ Falta cuenta",IF(ISNA(MATCH(E82,ctaNom,0)),"⚠ Cuenta no existe",IF(AND(OR(I82="Transferencia",I82="Pago tarjeta"),G82=""),"⚠ Indica la cuenta «Hacia»",IF(AND(G82&lt;&gt;"",G82=E82),"⚠ «Hacia» igual a la cuenta",IF(AND(G82&lt;&gt;"",ISNA(MATCH(G82,ctaNom,0))),"⚠ «Hacia» no existe",IF(AND(I82="Pago tarjeta",IFERROR(INDEX(ctaTipo,MATCH(G82,ctaNom,0)),"")&lt;&gt;"Tarjeta de crédito"),"⚠ «Hacia» debe ser la tarjeta",IF(AND(I82="Trading",IFERROR(INDEX(ctaTipo,MATCH(E82,ctaNom,0)),"")&lt;&gt;"Cuenta de trading"),"⚠ Usa la cuenta de trading","✓"))))))))))))</f>
        <v/>
      </c>
      <c r="I82" s="19">
        <f>IF(OR(B82="",C82="",D82=""),"",IFERROR(INDEX(catTipo,MATCH(D82,catNom,0))&amp;"",""))</f>
        <v/>
      </c>
      <c r="J82" s="19">
        <f>IF(I82="","",IFERROR(INDEX(catGrupo,MATCH(D82,catNom,0))&amp;"",""))</f>
        <v/>
      </c>
      <c r="K82" s="19">
        <f>IF(I82="Gasto",IF(IFERROR(INDEX(catClas,MATCH(D82,catNom,0))&amp;"","")="","Variable",IFERROR(INDEX(catClas,MATCH(D82,catNom,0))&amp;"","")),"")</f>
        <v/>
      </c>
      <c r="L82" s="19">
        <f>IF(I82="","",IFERROR(INDEX(catAlim,MATCH(D82,catNom,0))&amp;"",""))</f>
        <v/>
      </c>
      <c r="M82" s="19">
        <f>IF(I82="","",IFERROR(INDEX(catComida,MATCH(D82,catNom,0))&amp;"",""))</f>
        <v/>
      </c>
      <c r="N82" s="19">
        <f>IF(I82="","",IFERROR(INDEX(ctaMon,MATCH(E82,ctaNom,0))&amp;"","DOP"))</f>
        <v/>
      </c>
      <c r="O82" s="20">
        <f>IF(I82="","",C82*IF(N82="USD",TasaUSD,1))</f>
        <v/>
      </c>
      <c r="P82" s="20">
        <f>IF(I82="","",IF(I82="Gasto",O82,0))</f>
        <v/>
      </c>
      <c r="Q82" s="20">
        <f>IF(I82="","",IF(I82="Ingreso",O82,0))</f>
        <v/>
      </c>
      <c r="R82" s="20">
        <f>IF(I82="","",IF(I82="Trading",O82,0))</f>
        <v/>
      </c>
      <c r="S82" s="19">
        <f>IF(I82="","",IF(AND(I82="Gasto",K82="Variable",J82&lt;&gt;"Trading",O82&gt;0,O82&lt;=Umbral),1,0))</f>
        <v/>
      </c>
      <c r="T82" s="20">
        <f>IF(OR(I82="",E82=""),"",IF(OR(I82="Gasto",I82="Transferencia",I82="Pago tarjeta"),-1,1)*C82)</f>
        <v/>
      </c>
      <c r="U82" s="20">
        <f>IF(OR(G82="",AND(I82&lt;&gt;"Transferencia",I82&lt;&gt;"Pago tarjeta")),"",IF(IFERROR(INDEX(ctaMon,MATCH(G82,ctaNom,0))&amp;"","DOP")=N82,C82,IF(N82="USD",C82*TasaUSD,C82/TasaUSD)))</f>
        <v/>
      </c>
      <c r="V82" s="20">
        <f>IF(I82="","",IF(IFERROR(INDEX(ctaLiq,MATCH(E82,ctaNom,0))="Sí",FALSE),IF(OR(I82="Gasto",I82="Transferencia",I82="Pago tarjeta"),-1,1)*O82,0)+IF(AND(U82&lt;&gt;"",IFERROR(INDEX(ctaLiq,MATCH(G82,ctaNom,0))="Sí",FALSE)),O82,0))</f>
        <v/>
      </c>
      <c r="W82" s="19">
        <f>IF(OR(F82="",I82=""),"",IF(COUNTIFS(F$6:F82,F82,I$6:I82,"?*")=1,MAX(W$5:W81)+1,""))</f>
        <v/>
      </c>
    </row>
    <row r="83">
      <c r="B83" s="15" t="n">
        <v>46298</v>
      </c>
      <c r="C83" s="16" t="n">
        <v>1270</v>
      </c>
      <c r="D83" s="17" t="inlineStr">
        <is>
          <t>Herramientas de IA</t>
        </is>
      </c>
      <c r="E83" s="17" t="inlineStr">
        <is>
          <t>Tarjeta de crédito</t>
        </is>
      </c>
      <c r="F83" s="17" t="inlineStr">
        <is>
          <t>DEMO Herramienta IA</t>
        </is>
      </c>
      <c r="G83" s="17" t="n"/>
      <c r="H83" s="18">
        <f>IF(AND(B83="",C83="",D83="",E83=""),"",IF(B83="","⚠ Falta fecha",IF(C83="","⚠ Falta monto",IF(D83="","⚠ Falta categoría",IF(ISNA(MATCH(D83,catNom,0)),"⚠ Categoría no existe",IF(E83="","⚠ Falta cuenta",IF(ISNA(MATCH(E83,ctaNom,0)),"⚠ Cuenta no existe",IF(AND(OR(I83="Transferencia",I83="Pago tarjeta"),G83=""),"⚠ Indica la cuenta «Hacia»",IF(AND(G83&lt;&gt;"",G83=E83),"⚠ «Hacia» igual a la cuenta",IF(AND(G83&lt;&gt;"",ISNA(MATCH(G83,ctaNom,0))),"⚠ «Hacia» no existe",IF(AND(I83="Pago tarjeta",IFERROR(INDEX(ctaTipo,MATCH(G83,ctaNom,0)),"")&lt;&gt;"Tarjeta de crédito"),"⚠ «Hacia» debe ser la tarjeta",IF(AND(I83="Trading",IFERROR(INDEX(ctaTipo,MATCH(E83,ctaNom,0)),"")&lt;&gt;"Cuenta de trading"),"⚠ Usa la cuenta de trading","✓"))))))))))))</f>
        <v/>
      </c>
      <c r="I83" s="19">
        <f>IF(OR(B83="",C83="",D83=""),"",IFERROR(INDEX(catTipo,MATCH(D83,catNom,0))&amp;"",""))</f>
        <v/>
      </c>
      <c r="J83" s="19">
        <f>IF(I83="","",IFERROR(INDEX(catGrupo,MATCH(D83,catNom,0))&amp;"",""))</f>
        <v/>
      </c>
      <c r="K83" s="19">
        <f>IF(I83="Gasto",IF(IFERROR(INDEX(catClas,MATCH(D83,catNom,0))&amp;"","")="","Variable",IFERROR(INDEX(catClas,MATCH(D83,catNom,0))&amp;"","")),"")</f>
        <v/>
      </c>
      <c r="L83" s="19">
        <f>IF(I83="","",IFERROR(INDEX(catAlim,MATCH(D83,catNom,0))&amp;"",""))</f>
        <v/>
      </c>
      <c r="M83" s="19">
        <f>IF(I83="","",IFERROR(INDEX(catComida,MATCH(D83,catNom,0))&amp;"",""))</f>
        <v/>
      </c>
      <c r="N83" s="19">
        <f>IF(I83="","",IFERROR(INDEX(ctaMon,MATCH(E83,ctaNom,0))&amp;"","DOP"))</f>
        <v/>
      </c>
      <c r="O83" s="20">
        <f>IF(I83="","",C83*IF(N83="USD",TasaUSD,1))</f>
        <v/>
      </c>
      <c r="P83" s="20">
        <f>IF(I83="","",IF(I83="Gasto",O83,0))</f>
        <v/>
      </c>
      <c r="Q83" s="20">
        <f>IF(I83="","",IF(I83="Ingreso",O83,0))</f>
        <v/>
      </c>
      <c r="R83" s="20">
        <f>IF(I83="","",IF(I83="Trading",O83,0))</f>
        <v/>
      </c>
      <c r="S83" s="19">
        <f>IF(I83="","",IF(AND(I83="Gasto",K83="Variable",J83&lt;&gt;"Trading",O83&gt;0,O83&lt;=Umbral),1,0))</f>
        <v/>
      </c>
      <c r="T83" s="20">
        <f>IF(OR(I83="",E83=""),"",IF(OR(I83="Gasto",I83="Transferencia",I83="Pago tarjeta"),-1,1)*C83)</f>
        <v/>
      </c>
      <c r="U83" s="20">
        <f>IF(OR(G83="",AND(I83&lt;&gt;"Transferencia",I83&lt;&gt;"Pago tarjeta")),"",IF(IFERROR(INDEX(ctaMon,MATCH(G83,ctaNom,0))&amp;"","DOP")=N83,C83,IF(N83="USD",C83*TasaUSD,C83/TasaUSD)))</f>
        <v/>
      </c>
      <c r="V83" s="20">
        <f>IF(I83="","",IF(IFERROR(INDEX(ctaLiq,MATCH(E83,ctaNom,0))="Sí",FALSE),IF(OR(I83="Gasto",I83="Transferencia",I83="Pago tarjeta"),-1,1)*O83,0)+IF(AND(U83&lt;&gt;"",IFERROR(INDEX(ctaLiq,MATCH(G83,ctaNom,0))="Sí",FALSE)),O83,0))</f>
        <v/>
      </c>
      <c r="W83" s="19">
        <f>IF(OR(F83="",I83=""),"",IF(COUNTIFS(F$6:F83,F83,I$6:I83,"?*")=1,MAX(W$5:W82)+1,""))</f>
        <v/>
      </c>
    </row>
    <row r="84">
      <c r="B84" s="15" t="n">
        <v>46299</v>
      </c>
      <c r="C84" s="16" t="n">
        <v>1800</v>
      </c>
      <c r="D84" s="17" t="inlineStr">
        <is>
          <t>Imprevistos</t>
        </is>
      </c>
      <c r="E84" s="17" t="inlineStr">
        <is>
          <t>Efectivo</t>
        </is>
      </c>
      <c r="F84" s="17" t="inlineStr">
        <is>
          <t>DEMO Reparación celular</t>
        </is>
      </c>
      <c r="G84" s="17" t="n"/>
      <c r="H84" s="18">
        <f>IF(AND(B84="",C84="",D84="",E84=""),"",IF(B84="","⚠ Falta fecha",IF(C84="","⚠ Falta monto",IF(D84="","⚠ Falta categoría",IF(ISNA(MATCH(D84,catNom,0)),"⚠ Categoría no existe",IF(E84="","⚠ Falta cuenta",IF(ISNA(MATCH(E84,ctaNom,0)),"⚠ Cuenta no existe",IF(AND(OR(I84="Transferencia",I84="Pago tarjeta"),G84=""),"⚠ Indica la cuenta «Hacia»",IF(AND(G84&lt;&gt;"",G84=E84),"⚠ «Hacia» igual a la cuenta",IF(AND(G84&lt;&gt;"",ISNA(MATCH(G84,ctaNom,0))),"⚠ «Hacia» no existe",IF(AND(I84="Pago tarjeta",IFERROR(INDEX(ctaTipo,MATCH(G84,ctaNom,0)),"")&lt;&gt;"Tarjeta de crédito"),"⚠ «Hacia» debe ser la tarjeta",IF(AND(I84="Trading",IFERROR(INDEX(ctaTipo,MATCH(E84,ctaNom,0)),"")&lt;&gt;"Cuenta de trading"),"⚠ Usa la cuenta de trading","✓"))))))))))))</f>
        <v/>
      </c>
      <c r="I84" s="19">
        <f>IF(OR(B84="",C84="",D84=""),"",IFERROR(INDEX(catTipo,MATCH(D84,catNom,0))&amp;"",""))</f>
        <v/>
      </c>
      <c r="J84" s="19">
        <f>IF(I84="","",IFERROR(INDEX(catGrupo,MATCH(D84,catNom,0))&amp;"",""))</f>
        <v/>
      </c>
      <c r="K84" s="19">
        <f>IF(I84="Gasto",IF(IFERROR(INDEX(catClas,MATCH(D84,catNom,0))&amp;"","")="","Variable",IFERROR(INDEX(catClas,MATCH(D84,catNom,0))&amp;"","")),"")</f>
        <v/>
      </c>
      <c r="L84" s="19">
        <f>IF(I84="","",IFERROR(INDEX(catAlim,MATCH(D84,catNom,0))&amp;"",""))</f>
        <v/>
      </c>
      <c r="M84" s="19">
        <f>IF(I84="","",IFERROR(INDEX(catComida,MATCH(D84,catNom,0))&amp;"",""))</f>
        <v/>
      </c>
      <c r="N84" s="19">
        <f>IF(I84="","",IFERROR(INDEX(ctaMon,MATCH(E84,ctaNom,0))&amp;"","DOP"))</f>
        <v/>
      </c>
      <c r="O84" s="20">
        <f>IF(I84="","",C84*IF(N84="USD",TasaUSD,1))</f>
        <v/>
      </c>
      <c r="P84" s="20">
        <f>IF(I84="","",IF(I84="Gasto",O84,0))</f>
        <v/>
      </c>
      <c r="Q84" s="20">
        <f>IF(I84="","",IF(I84="Ingreso",O84,0))</f>
        <v/>
      </c>
      <c r="R84" s="20">
        <f>IF(I84="","",IF(I84="Trading",O84,0))</f>
        <v/>
      </c>
      <c r="S84" s="19">
        <f>IF(I84="","",IF(AND(I84="Gasto",K84="Variable",J84&lt;&gt;"Trading",O84&gt;0,O84&lt;=Umbral),1,0))</f>
        <v/>
      </c>
      <c r="T84" s="20">
        <f>IF(OR(I84="",E84=""),"",IF(OR(I84="Gasto",I84="Transferencia",I84="Pago tarjeta"),-1,1)*C84)</f>
        <v/>
      </c>
      <c r="U84" s="20">
        <f>IF(OR(G84="",AND(I84&lt;&gt;"Transferencia",I84&lt;&gt;"Pago tarjeta")),"",IF(IFERROR(INDEX(ctaMon,MATCH(G84,ctaNom,0))&amp;"","DOP")=N84,C84,IF(N84="USD",C84*TasaUSD,C84/TasaUSD)))</f>
        <v/>
      </c>
      <c r="V84" s="20">
        <f>IF(I84="","",IF(IFERROR(INDEX(ctaLiq,MATCH(E84,ctaNom,0))="Sí",FALSE),IF(OR(I84="Gasto",I84="Transferencia",I84="Pago tarjeta"),-1,1)*O84,0)+IF(AND(U84&lt;&gt;"",IFERROR(INDEX(ctaLiq,MATCH(G84,ctaNom,0))="Sí",FALSE)),O84,0))</f>
        <v/>
      </c>
      <c r="W84" s="19">
        <f>IF(OR(F84="",I84=""),"",IF(COUNTIFS(F$6:F84,F84,I$6:I84,"?*")=1,MAX(W$5:W83)+1,""))</f>
        <v/>
      </c>
    </row>
    <row r="85">
      <c r="B85" s="15" t="n">
        <v>46300</v>
      </c>
      <c r="C85" s="16" t="n">
        <v>290</v>
      </c>
      <c r="D85" s="17" t="inlineStr">
        <is>
          <t>Desayuno comprado</t>
        </is>
      </c>
      <c r="E85" s="17" t="inlineStr">
        <is>
          <t>Banco</t>
        </is>
      </c>
      <c r="F85" s="17" t="inlineStr">
        <is>
          <t>DEMO Cafetería</t>
        </is>
      </c>
      <c r="G85" s="17" t="n"/>
      <c r="H85" s="18">
        <f>IF(AND(B85="",C85="",D85="",E85=""),"",IF(B85="","⚠ Falta fecha",IF(C85="","⚠ Falta monto",IF(D85="","⚠ Falta categoría",IF(ISNA(MATCH(D85,catNom,0)),"⚠ Categoría no existe",IF(E85="","⚠ Falta cuenta",IF(ISNA(MATCH(E85,ctaNom,0)),"⚠ Cuenta no existe",IF(AND(OR(I85="Transferencia",I85="Pago tarjeta"),G85=""),"⚠ Indica la cuenta «Hacia»",IF(AND(G85&lt;&gt;"",G85=E85),"⚠ «Hacia» igual a la cuenta",IF(AND(G85&lt;&gt;"",ISNA(MATCH(G85,ctaNom,0))),"⚠ «Hacia» no existe",IF(AND(I85="Pago tarjeta",IFERROR(INDEX(ctaTipo,MATCH(G85,ctaNom,0)),"")&lt;&gt;"Tarjeta de crédito"),"⚠ «Hacia» debe ser la tarjeta",IF(AND(I85="Trading",IFERROR(INDEX(ctaTipo,MATCH(E85,ctaNom,0)),"")&lt;&gt;"Cuenta de trading"),"⚠ Usa la cuenta de trading","✓"))))))))))))</f>
        <v/>
      </c>
      <c r="I85" s="19">
        <f>IF(OR(B85="",C85="",D85=""),"",IFERROR(INDEX(catTipo,MATCH(D85,catNom,0))&amp;"",""))</f>
        <v/>
      </c>
      <c r="J85" s="19">
        <f>IF(I85="","",IFERROR(INDEX(catGrupo,MATCH(D85,catNom,0))&amp;"",""))</f>
        <v/>
      </c>
      <c r="K85" s="19">
        <f>IF(I85="Gasto",IF(IFERROR(INDEX(catClas,MATCH(D85,catNom,0))&amp;"","")="","Variable",IFERROR(INDEX(catClas,MATCH(D85,catNom,0))&amp;"","")),"")</f>
        <v/>
      </c>
      <c r="L85" s="19">
        <f>IF(I85="","",IFERROR(INDEX(catAlim,MATCH(D85,catNom,0))&amp;"",""))</f>
        <v/>
      </c>
      <c r="M85" s="19">
        <f>IF(I85="","",IFERROR(INDEX(catComida,MATCH(D85,catNom,0))&amp;"",""))</f>
        <v/>
      </c>
      <c r="N85" s="19">
        <f>IF(I85="","",IFERROR(INDEX(ctaMon,MATCH(E85,ctaNom,0))&amp;"","DOP"))</f>
        <v/>
      </c>
      <c r="O85" s="20">
        <f>IF(I85="","",C85*IF(N85="USD",TasaUSD,1))</f>
        <v/>
      </c>
      <c r="P85" s="20">
        <f>IF(I85="","",IF(I85="Gasto",O85,0))</f>
        <v/>
      </c>
      <c r="Q85" s="20">
        <f>IF(I85="","",IF(I85="Ingreso",O85,0))</f>
        <v/>
      </c>
      <c r="R85" s="20">
        <f>IF(I85="","",IF(I85="Trading",O85,0))</f>
        <v/>
      </c>
      <c r="S85" s="19">
        <f>IF(I85="","",IF(AND(I85="Gasto",K85="Variable",J85&lt;&gt;"Trading",O85&gt;0,O85&lt;=Umbral),1,0))</f>
        <v/>
      </c>
      <c r="T85" s="20">
        <f>IF(OR(I85="",E85=""),"",IF(OR(I85="Gasto",I85="Transferencia",I85="Pago tarjeta"),-1,1)*C85)</f>
        <v/>
      </c>
      <c r="U85" s="20">
        <f>IF(OR(G85="",AND(I85&lt;&gt;"Transferencia",I85&lt;&gt;"Pago tarjeta")),"",IF(IFERROR(INDEX(ctaMon,MATCH(G85,ctaNom,0))&amp;"","DOP")=N85,C85,IF(N85="USD",C85*TasaUSD,C85/TasaUSD)))</f>
        <v/>
      </c>
      <c r="V85" s="20">
        <f>IF(I85="","",IF(IFERROR(INDEX(ctaLiq,MATCH(E85,ctaNom,0))="Sí",FALSE),IF(OR(I85="Gasto",I85="Transferencia",I85="Pago tarjeta"),-1,1)*O85,0)+IF(AND(U85&lt;&gt;"",IFERROR(INDEX(ctaLiq,MATCH(G85,ctaNom,0))="Sí",FALSE)),O85,0))</f>
        <v/>
      </c>
      <c r="W85" s="19">
        <f>IF(OR(F85="",I85=""),"",IF(COUNTIFS(F$6:F85,F85,I$6:I85,"?*")=1,MAX(W$5:W84)+1,""))</f>
        <v/>
      </c>
    </row>
    <row r="86">
      <c r="B86" s="15" t="n">
        <v>46300</v>
      </c>
      <c r="C86" s="16" t="n">
        <v>425</v>
      </c>
      <c r="D86" s="17" t="inlineStr">
        <is>
          <t>Almuerzo comprado</t>
        </is>
      </c>
      <c r="E86" s="17" t="inlineStr">
        <is>
          <t>Billetera digital</t>
        </is>
      </c>
      <c r="F86" s="17" t="inlineStr">
        <is>
          <t>DEMO Comedor</t>
        </is>
      </c>
      <c r="G86" s="17" t="n"/>
      <c r="H86" s="18">
        <f>IF(AND(B86="",C86="",D86="",E86=""),"",IF(B86="","⚠ Falta fecha",IF(C86="","⚠ Falta monto",IF(D86="","⚠ Falta categoría",IF(ISNA(MATCH(D86,catNom,0)),"⚠ Categoría no existe",IF(E86="","⚠ Falta cuenta",IF(ISNA(MATCH(E86,ctaNom,0)),"⚠ Cuenta no existe",IF(AND(OR(I86="Transferencia",I86="Pago tarjeta"),G86=""),"⚠ Indica la cuenta «Hacia»",IF(AND(G86&lt;&gt;"",G86=E86),"⚠ «Hacia» igual a la cuenta",IF(AND(G86&lt;&gt;"",ISNA(MATCH(G86,ctaNom,0))),"⚠ «Hacia» no existe",IF(AND(I86="Pago tarjeta",IFERROR(INDEX(ctaTipo,MATCH(G86,ctaNom,0)),"")&lt;&gt;"Tarjeta de crédito"),"⚠ «Hacia» debe ser la tarjeta",IF(AND(I86="Trading",IFERROR(INDEX(ctaTipo,MATCH(E86,ctaNom,0)),"")&lt;&gt;"Cuenta de trading"),"⚠ Usa la cuenta de trading","✓"))))))))))))</f>
        <v/>
      </c>
      <c r="I86" s="19">
        <f>IF(OR(B86="",C86="",D86=""),"",IFERROR(INDEX(catTipo,MATCH(D86,catNom,0))&amp;"",""))</f>
        <v/>
      </c>
      <c r="J86" s="19">
        <f>IF(I86="","",IFERROR(INDEX(catGrupo,MATCH(D86,catNom,0))&amp;"",""))</f>
        <v/>
      </c>
      <c r="K86" s="19">
        <f>IF(I86="Gasto",IF(IFERROR(INDEX(catClas,MATCH(D86,catNom,0))&amp;"","")="","Variable",IFERROR(INDEX(catClas,MATCH(D86,catNom,0))&amp;"","")),"")</f>
        <v/>
      </c>
      <c r="L86" s="19">
        <f>IF(I86="","",IFERROR(INDEX(catAlim,MATCH(D86,catNom,0))&amp;"",""))</f>
        <v/>
      </c>
      <c r="M86" s="19">
        <f>IF(I86="","",IFERROR(INDEX(catComida,MATCH(D86,catNom,0))&amp;"",""))</f>
        <v/>
      </c>
      <c r="N86" s="19">
        <f>IF(I86="","",IFERROR(INDEX(ctaMon,MATCH(E86,ctaNom,0))&amp;"","DOP"))</f>
        <v/>
      </c>
      <c r="O86" s="20">
        <f>IF(I86="","",C86*IF(N86="USD",TasaUSD,1))</f>
        <v/>
      </c>
      <c r="P86" s="20">
        <f>IF(I86="","",IF(I86="Gasto",O86,0))</f>
        <v/>
      </c>
      <c r="Q86" s="20">
        <f>IF(I86="","",IF(I86="Ingreso",O86,0))</f>
        <v/>
      </c>
      <c r="R86" s="20">
        <f>IF(I86="","",IF(I86="Trading",O86,0))</f>
        <v/>
      </c>
      <c r="S86" s="19">
        <f>IF(I86="","",IF(AND(I86="Gasto",K86="Variable",J86&lt;&gt;"Trading",O86&gt;0,O86&lt;=Umbral),1,0))</f>
        <v/>
      </c>
      <c r="T86" s="20">
        <f>IF(OR(I86="",E86=""),"",IF(OR(I86="Gasto",I86="Transferencia",I86="Pago tarjeta"),-1,1)*C86)</f>
        <v/>
      </c>
      <c r="U86" s="20">
        <f>IF(OR(G86="",AND(I86&lt;&gt;"Transferencia",I86&lt;&gt;"Pago tarjeta")),"",IF(IFERROR(INDEX(ctaMon,MATCH(G86,ctaNom,0))&amp;"","DOP")=N86,C86,IF(N86="USD",C86*TasaUSD,C86/TasaUSD)))</f>
        <v/>
      </c>
      <c r="V86" s="20">
        <f>IF(I86="","",IF(IFERROR(INDEX(ctaLiq,MATCH(E86,ctaNom,0))="Sí",FALSE),IF(OR(I86="Gasto",I86="Transferencia",I86="Pago tarjeta"),-1,1)*O86,0)+IF(AND(U86&lt;&gt;"",IFERROR(INDEX(ctaLiq,MATCH(G86,ctaNom,0))="Sí",FALSE)),O86,0))</f>
        <v/>
      </c>
      <c r="W86" s="19">
        <f>IF(OR(F86="",I86=""),"",IF(COUNTIFS(F$6:F86,F86,I$6:I86,"?*")=1,MAX(W$5:W85)+1,""))</f>
        <v/>
      </c>
    </row>
    <row r="87">
      <c r="B87" s="15" t="n">
        <v>46300</v>
      </c>
      <c r="C87" s="16" t="n">
        <v>120</v>
      </c>
      <c r="D87" s="17" t="inlineStr">
        <is>
          <t>Snacks y bebidas</t>
        </is>
      </c>
      <c r="E87" s="17" t="inlineStr">
        <is>
          <t>Efectivo</t>
        </is>
      </c>
      <c r="F87" s="17" t="inlineStr">
        <is>
          <t>DEMO Colmado</t>
        </is>
      </c>
      <c r="G87" s="17" t="n"/>
      <c r="H87" s="18">
        <f>IF(AND(B87="",C87="",D87="",E87=""),"",IF(B87="","⚠ Falta fecha",IF(C87="","⚠ Falta monto",IF(D87="","⚠ Falta categoría",IF(ISNA(MATCH(D87,catNom,0)),"⚠ Categoría no existe",IF(E87="","⚠ Falta cuenta",IF(ISNA(MATCH(E87,ctaNom,0)),"⚠ Cuenta no existe",IF(AND(OR(I87="Transferencia",I87="Pago tarjeta"),G87=""),"⚠ Indica la cuenta «Hacia»",IF(AND(G87&lt;&gt;"",G87=E87),"⚠ «Hacia» igual a la cuenta",IF(AND(G87&lt;&gt;"",ISNA(MATCH(G87,ctaNom,0))),"⚠ «Hacia» no existe",IF(AND(I87="Pago tarjeta",IFERROR(INDEX(ctaTipo,MATCH(G87,ctaNom,0)),"")&lt;&gt;"Tarjeta de crédito"),"⚠ «Hacia» debe ser la tarjeta",IF(AND(I87="Trading",IFERROR(INDEX(ctaTipo,MATCH(E87,ctaNom,0)),"")&lt;&gt;"Cuenta de trading"),"⚠ Usa la cuenta de trading","✓"))))))))))))</f>
        <v/>
      </c>
      <c r="I87" s="19">
        <f>IF(OR(B87="",C87="",D87=""),"",IFERROR(INDEX(catTipo,MATCH(D87,catNom,0))&amp;"",""))</f>
        <v/>
      </c>
      <c r="J87" s="19">
        <f>IF(I87="","",IFERROR(INDEX(catGrupo,MATCH(D87,catNom,0))&amp;"",""))</f>
        <v/>
      </c>
      <c r="K87" s="19">
        <f>IF(I87="Gasto",IF(IFERROR(INDEX(catClas,MATCH(D87,catNom,0))&amp;"","")="","Variable",IFERROR(INDEX(catClas,MATCH(D87,catNom,0))&amp;"","")),"")</f>
        <v/>
      </c>
      <c r="L87" s="19">
        <f>IF(I87="","",IFERROR(INDEX(catAlim,MATCH(D87,catNom,0))&amp;"",""))</f>
        <v/>
      </c>
      <c r="M87" s="19">
        <f>IF(I87="","",IFERROR(INDEX(catComida,MATCH(D87,catNom,0))&amp;"",""))</f>
        <v/>
      </c>
      <c r="N87" s="19">
        <f>IF(I87="","",IFERROR(INDEX(ctaMon,MATCH(E87,ctaNom,0))&amp;"","DOP"))</f>
        <v/>
      </c>
      <c r="O87" s="20">
        <f>IF(I87="","",C87*IF(N87="USD",TasaUSD,1))</f>
        <v/>
      </c>
      <c r="P87" s="20">
        <f>IF(I87="","",IF(I87="Gasto",O87,0))</f>
        <v/>
      </c>
      <c r="Q87" s="20">
        <f>IF(I87="","",IF(I87="Ingreso",O87,0))</f>
        <v/>
      </c>
      <c r="R87" s="20">
        <f>IF(I87="","",IF(I87="Trading",O87,0))</f>
        <v/>
      </c>
      <c r="S87" s="19">
        <f>IF(I87="","",IF(AND(I87="Gasto",K87="Variable",J87&lt;&gt;"Trading",O87&gt;0,O87&lt;=Umbral),1,0))</f>
        <v/>
      </c>
      <c r="T87" s="20">
        <f>IF(OR(I87="",E87=""),"",IF(OR(I87="Gasto",I87="Transferencia",I87="Pago tarjeta"),-1,1)*C87)</f>
        <v/>
      </c>
      <c r="U87" s="20">
        <f>IF(OR(G87="",AND(I87&lt;&gt;"Transferencia",I87&lt;&gt;"Pago tarjeta")),"",IF(IFERROR(INDEX(ctaMon,MATCH(G87,ctaNom,0))&amp;"","DOP")=N87,C87,IF(N87="USD",C87*TasaUSD,C87/TasaUSD)))</f>
        <v/>
      </c>
      <c r="V87" s="20">
        <f>IF(I87="","",IF(IFERROR(INDEX(ctaLiq,MATCH(E87,ctaNom,0))="Sí",FALSE),IF(OR(I87="Gasto",I87="Transferencia",I87="Pago tarjeta"),-1,1)*O87,0)+IF(AND(U87&lt;&gt;"",IFERROR(INDEX(ctaLiq,MATCH(G87,ctaNom,0))="Sí",FALSE)),O87,0))</f>
        <v/>
      </c>
      <c r="W87" s="19">
        <f>IF(OR(F87="",I87=""),"",IF(COUNTIFS(F$6:F87,F87,I$6:I87,"?*")=1,MAX(W$5:W86)+1,""))</f>
        <v/>
      </c>
    </row>
    <row r="88">
      <c r="B88" s="15" t="n">
        <v>46300</v>
      </c>
      <c r="C88" s="16" t="n">
        <v>2950</v>
      </c>
      <c r="D88" s="17" t="inlineStr">
        <is>
          <t>Combustible</t>
        </is>
      </c>
      <c r="E88" s="17" t="inlineStr">
        <is>
          <t>Tarjeta de crédito</t>
        </is>
      </c>
      <c r="F88" s="17" t="inlineStr">
        <is>
          <t>DEMO Gasolinera</t>
        </is>
      </c>
      <c r="G88" s="17" t="n"/>
      <c r="H88" s="18">
        <f>IF(AND(B88="",C88="",D88="",E88=""),"",IF(B88="","⚠ Falta fecha",IF(C88="","⚠ Falta monto",IF(D88="","⚠ Falta categoría",IF(ISNA(MATCH(D88,catNom,0)),"⚠ Categoría no existe",IF(E88="","⚠ Falta cuenta",IF(ISNA(MATCH(E88,ctaNom,0)),"⚠ Cuenta no existe",IF(AND(OR(I88="Transferencia",I88="Pago tarjeta"),G88=""),"⚠ Indica la cuenta «Hacia»",IF(AND(G88&lt;&gt;"",G88=E88),"⚠ «Hacia» igual a la cuenta",IF(AND(G88&lt;&gt;"",ISNA(MATCH(G88,ctaNom,0))),"⚠ «Hacia» no existe",IF(AND(I88="Pago tarjeta",IFERROR(INDEX(ctaTipo,MATCH(G88,ctaNom,0)),"")&lt;&gt;"Tarjeta de crédito"),"⚠ «Hacia» debe ser la tarjeta",IF(AND(I88="Trading",IFERROR(INDEX(ctaTipo,MATCH(E88,ctaNom,0)),"")&lt;&gt;"Cuenta de trading"),"⚠ Usa la cuenta de trading","✓"))))))))))))</f>
        <v/>
      </c>
      <c r="I88" s="19">
        <f>IF(OR(B88="",C88="",D88=""),"",IFERROR(INDEX(catTipo,MATCH(D88,catNom,0))&amp;"",""))</f>
        <v/>
      </c>
      <c r="J88" s="19">
        <f>IF(I88="","",IFERROR(INDEX(catGrupo,MATCH(D88,catNom,0))&amp;"",""))</f>
        <v/>
      </c>
      <c r="K88" s="19">
        <f>IF(I88="Gasto",IF(IFERROR(INDEX(catClas,MATCH(D88,catNom,0))&amp;"","")="","Variable",IFERROR(INDEX(catClas,MATCH(D88,catNom,0))&amp;"","")),"")</f>
        <v/>
      </c>
      <c r="L88" s="19">
        <f>IF(I88="","",IFERROR(INDEX(catAlim,MATCH(D88,catNom,0))&amp;"",""))</f>
        <v/>
      </c>
      <c r="M88" s="19">
        <f>IF(I88="","",IFERROR(INDEX(catComida,MATCH(D88,catNom,0))&amp;"",""))</f>
        <v/>
      </c>
      <c r="N88" s="19">
        <f>IF(I88="","",IFERROR(INDEX(ctaMon,MATCH(E88,ctaNom,0))&amp;"","DOP"))</f>
        <v/>
      </c>
      <c r="O88" s="20">
        <f>IF(I88="","",C88*IF(N88="USD",TasaUSD,1))</f>
        <v/>
      </c>
      <c r="P88" s="20">
        <f>IF(I88="","",IF(I88="Gasto",O88,0))</f>
        <v/>
      </c>
      <c r="Q88" s="20">
        <f>IF(I88="","",IF(I88="Ingreso",O88,0))</f>
        <v/>
      </c>
      <c r="R88" s="20">
        <f>IF(I88="","",IF(I88="Trading",O88,0))</f>
        <v/>
      </c>
      <c r="S88" s="19">
        <f>IF(I88="","",IF(AND(I88="Gasto",K88="Variable",J88&lt;&gt;"Trading",O88&gt;0,O88&lt;=Umbral),1,0))</f>
        <v/>
      </c>
      <c r="T88" s="20">
        <f>IF(OR(I88="",E88=""),"",IF(OR(I88="Gasto",I88="Transferencia",I88="Pago tarjeta"),-1,1)*C88)</f>
        <v/>
      </c>
      <c r="U88" s="20">
        <f>IF(OR(G88="",AND(I88&lt;&gt;"Transferencia",I88&lt;&gt;"Pago tarjeta")),"",IF(IFERROR(INDEX(ctaMon,MATCH(G88,ctaNom,0))&amp;"","DOP")=N88,C88,IF(N88="USD",C88*TasaUSD,C88/TasaUSD)))</f>
        <v/>
      </c>
      <c r="V88" s="20">
        <f>IF(I88="","",IF(IFERROR(INDEX(ctaLiq,MATCH(E88,ctaNom,0))="Sí",FALSE),IF(OR(I88="Gasto",I88="Transferencia",I88="Pago tarjeta"),-1,1)*O88,0)+IF(AND(U88&lt;&gt;"",IFERROR(INDEX(ctaLiq,MATCH(G88,ctaNom,0))="Sí",FALSE)),O88,0))</f>
        <v/>
      </c>
      <c r="W88" s="19">
        <f>IF(OR(F88="",I88=""),"",IF(COUNTIFS(F$6:F88,F88,I$6:I88,"?*")=1,MAX(W$5:W87)+1,""))</f>
        <v/>
      </c>
    </row>
    <row r="89">
      <c r="B89" s="15" t="n">
        <v>46300</v>
      </c>
      <c r="C89" s="16" t="n">
        <v>2050</v>
      </c>
      <c r="D89" s="17" t="inlineStr">
        <is>
          <t>Internet</t>
        </is>
      </c>
      <c r="E89" s="17" t="inlineStr">
        <is>
          <t>Banco</t>
        </is>
      </c>
      <c r="F89" s="17" t="inlineStr">
        <is>
          <t>DEMO Internet</t>
        </is>
      </c>
      <c r="G89" s="17" t="n"/>
      <c r="H89" s="18">
        <f>IF(AND(B89="",C89="",D89="",E89=""),"",IF(B89="","⚠ Falta fecha",IF(C89="","⚠ Falta monto",IF(D89="","⚠ Falta categoría",IF(ISNA(MATCH(D89,catNom,0)),"⚠ Categoría no existe",IF(E89="","⚠ Falta cuenta",IF(ISNA(MATCH(E89,ctaNom,0)),"⚠ Cuenta no existe",IF(AND(OR(I89="Transferencia",I89="Pago tarjeta"),G89=""),"⚠ Indica la cuenta «Hacia»",IF(AND(G89&lt;&gt;"",G89=E89),"⚠ «Hacia» igual a la cuenta",IF(AND(G89&lt;&gt;"",ISNA(MATCH(G89,ctaNom,0))),"⚠ «Hacia» no existe",IF(AND(I89="Pago tarjeta",IFERROR(INDEX(ctaTipo,MATCH(G89,ctaNom,0)),"")&lt;&gt;"Tarjeta de crédito"),"⚠ «Hacia» debe ser la tarjeta",IF(AND(I89="Trading",IFERROR(INDEX(ctaTipo,MATCH(E89,ctaNom,0)),"")&lt;&gt;"Cuenta de trading"),"⚠ Usa la cuenta de trading","✓"))))))))))))</f>
        <v/>
      </c>
      <c r="I89" s="19">
        <f>IF(OR(B89="",C89="",D89=""),"",IFERROR(INDEX(catTipo,MATCH(D89,catNom,0))&amp;"",""))</f>
        <v/>
      </c>
      <c r="J89" s="19">
        <f>IF(I89="","",IFERROR(INDEX(catGrupo,MATCH(D89,catNom,0))&amp;"",""))</f>
        <v/>
      </c>
      <c r="K89" s="19">
        <f>IF(I89="Gasto",IF(IFERROR(INDEX(catClas,MATCH(D89,catNom,0))&amp;"","")="","Variable",IFERROR(INDEX(catClas,MATCH(D89,catNom,0))&amp;"","")),"")</f>
        <v/>
      </c>
      <c r="L89" s="19">
        <f>IF(I89="","",IFERROR(INDEX(catAlim,MATCH(D89,catNom,0))&amp;"",""))</f>
        <v/>
      </c>
      <c r="M89" s="19">
        <f>IF(I89="","",IFERROR(INDEX(catComida,MATCH(D89,catNom,0))&amp;"",""))</f>
        <v/>
      </c>
      <c r="N89" s="19">
        <f>IF(I89="","",IFERROR(INDEX(ctaMon,MATCH(E89,ctaNom,0))&amp;"","DOP"))</f>
        <v/>
      </c>
      <c r="O89" s="20">
        <f>IF(I89="","",C89*IF(N89="USD",TasaUSD,1))</f>
        <v/>
      </c>
      <c r="P89" s="20">
        <f>IF(I89="","",IF(I89="Gasto",O89,0))</f>
        <v/>
      </c>
      <c r="Q89" s="20">
        <f>IF(I89="","",IF(I89="Ingreso",O89,0))</f>
        <v/>
      </c>
      <c r="R89" s="20">
        <f>IF(I89="","",IF(I89="Trading",O89,0))</f>
        <v/>
      </c>
      <c r="S89" s="19">
        <f>IF(I89="","",IF(AND(I89="Gasto",K89="Variable",J89&lt;&gt;"Trading",O89&gt;0,O89&lt;=Umbral),1,0))</f>
        <v/>
      </c>
      <c r="T89" s="20">
        <f>IF(OR(I89="",E89=""),"",IF(OR(I89="Gasto",I89="Transferencia",I89="Pago tarjeta"),-1,1)*C89)</f>
        <v/>
      </c>
      <c r="U89" s="20">
        <f>IF(OR(G89="",AND(I89&lt;&gt;"Transferencia",I89&lt;&gt;"Pago tarjeta")),"",IF(IFERROR(INDEX(ctaMon,MATCH(G89,ctaNom,0))&amp;"","DOP")=N89,C89,IF(N89="USD",C89*TasaUSD,C89/TasaUSD)))</f>
        <v/>
      </c>
      <c r="V89" s="20">
        <f>IF(I89="","",IF(IFERROR(INDEX(ctaLiq,MATCH(E89,ctaNom,0))="Sí",FALSE),IF(OR(I89="Gasto",I89="Transferencia",I89="Pago tarjeta"),-1,1)*O89,0)+IF(AND(U89&lt;&gt;"",IFERROR(INDEX(ctaLiq,MATCH(G89,ctaNom,0))="Sí",FALSE)),O89,0))</f>
        <v/>
      </c>
      <c r="W89" s="19">
        <f>IF(OR(F89="",I89=""),"",IF(COUNTIFS(F$6:F89,F89,I$6:I89,"?*")=1,MAX(W$5:W88)+1,""))</f>
        <v/>
      </c>
    </row>
    <row r="90">
      <c r="B90" s="15" t="n">
        <v>46301</v>
      </c>
      <c r="C90" s="16" t="n">
        <v>475</v>
      </c>
      <c r="D90" s="17" t="inlineStr">
        <is>
          <t>Almuerzo comprado</t>
        </is>
      </c>
      <c r="E90" s="17" t="inlineStr">
        <is>
          <t>Banco</t>
        </is>
      </c>
      <c r="F90" s="17" t="inlineStr">
        <is>
          <t>DEMO Comedor</t>
        </is>
      </c>
      <c r="G90" s="17" t="n"/>
      <c r="H90" s="18">
        <f>IF(AND(B90="",C90="",D90="",E90=""),"",IF(B90="","⚠ Falta fecha",IF(C90="","⚠ Falta monto",IF(D90="","⚠ Falta categoría",IF(ISNA(MATCH(D90,catNom,0)),"⚠ Categoría no existe",IF(E90="","⚠ Falta cuenta",IF(ISNA(MATCH(E90,ctaNom,0)),"⚠ Cuenta no existe",IF(AND(OR(I90="Transferencia",I90="Pago tarjeta"),G90=""),"⚠ Indica la cuenta «Hacia»",IF(AND(G90&lt;&gt;"",G90=E90),"⚠ «Hacia» igual a la cuenta",IF(AND(G90&lt;&gt;"",ISNA(MATCH(G90,ctaNom,0))),"⚠ «Hacia» no existe",IF(AND(I90="Pago tarjeta",IFERROR(INDEX(ctaTipo,MATCH(G90,ctaNom,0)),"")&lt;&gt;"Tarjeta de crédito"),"⚠ «Hacia» debe ser la tarjeta",IF(AND(I90="Trading",IFERROR(INDEX(ctaTipo,MATCH(E90,ctaNom,0)),"")&lt;&gt;"Cuenta de trading"),"⚠ Usa la cuenta de trading","✓"))))))))))))</f>
        <v/>
      </c>
      <c r="I90" s="19">
        <f>IF(OR(B90="",C90="",D90=""),"",IFERROR(INDEX(catTipo,MATCH(D90,catNom,0))&amp;"",""))</f>
        <v/>
      </c>
      <c r="J90" s="19">
        <f>IF(I90="","",IFERROR(INDEX(catGrupo,MATCH(D90,catNom,0))&amp;"",""))</f>
        <v/>
      </c>
      <c r="K90" s="19">
        <f>IF(I90="Gasto",IF(IFERROR(INDEX(catClas,MATCH(D90,catNom,0))&amp;"","")="","Variable",IFERROR(INDEX(catClas,MATCH(D90,catNom,0))&amp;"","")),"")</f>
        <v/>
      </c>
      <c r="L90" s="19">
        <f>IF(I90="","",IFERROR(INDEX(catAlim,MATCH(D90,catNom,0))&amp;"",""))</f>
        <v/>
      </c>
      <c r="M90" s="19">
        <f>IF(I90="","",IFERROR(INDEX(catComida,MATCH(D90,catNom,0))&amp;"",""))</f>
        <v/>
      </c>
      <c r="N90" s="19">
        <f>IF(I90="","",IFERROR(INDEX(ctaMon,MATCH(E90,ctaNom,0))&amp;"","DOP"))</f>
        <v/>
      </c>
      <c r="O90" s="20">
        <f>IF(I90="","",C90*IF(N90="USD",TasaUSD,1))</f>
        <v/>
      </c>
      <c r="P90" s="20">
        <f>IF(I90="","",IF(I90="Gasto",O90,0))</f>
        <v/>
      </c>
      <c r="Q90" s="20">
        <f>IF(I90="","",IF(I90="Ingreso",O90,0))</f>
        <v/>
      </c>
      <c r="R90" s="20">
        <f>IF(I90="","",IF(I90="Trading",O90,0))</f>
        <v/>
      </c>
      <c r="S90" s="19">
        <f>IF(I90="","",IF(AND(I90="Gasto",K90="Variable",J90&lt;&gt;"Trading",O90&gt;0,O90&lt;=Umbral),1,0))</f>
        <v/>
      </c>
      <c r="T90" s="20">
        <f>IF(OR(I90="",E90=""),"",IF(OR(I90="Gasto",I90="Transferencia",I90="Pago tarjeta"),-1,1)*C90)</f>
        <v/>
      </c>
      <c r="U90" s="20">
        <f>IF(OR(G90="",AND(I90&lt;&gt;"Transferencia",I90&lt;&gt;"Pago tarjeta")),"",IF(IFERROR(INDEX(ctaMon,MATCH(G90,ctaNom,0))&amp;"","DOP")=N90,C90,IF(N90="USD",C90*TasaUSD,C90/TasaUSD)))</f>
        <v/>
      </c>
      <c r="V90" s="20">
        <f>IF(I90="","",IF(IFERROR(INDEX(ctaLiq,MATCH(E90,ctaNom,0))="Sí",FALSE),IF(OR(I90="Gasto",I90="Transferencia",I90="Pago tarjeta"),-1,1)*O90,0)+IF(AND(U90&lt;&gt;"",IFERROR(INDEX(ctaLiq,MATCH(G90,ctaNom,0))="Sí",FALSE)),O90,0))</f>
        <v/>
      </c>
      <c r="W90" s="19">
        <f>IF(OR(F90="",I90=""),"",IF(COUNTIFS(F$6:F90,F90,I$6:I90,"?*")=1,MAX(W$5:W89)+1,""))</f>
        <v/>
      </c>
    </row>
    <row r="91">
      <c r="B91" s="15" t="n">
        <v>46301</v>
      </c>
      <c r="C91" s="16" t="n">
        <v>550</v>
      </c>
      <c r="D91" s="17" t="inlineStr">
        <is>
          <t>Cena comprada</t>
        </is>
      </c>
      <c r="E91" s="17" t="inlineStr">
        <is>
          <t>Tarjeta de crédito</t>
        </is>
      </c>
      <c r="F91" s="17" t="inlineStr">
        <is>
          <t>DEMO Pizzería</t>
        </is>
      </c>
      <c r="G91" s="17" t="n"/>
      <c r="H91" s="18">
        <f>IF(AND(B91="",C91="",D91="",E91=""),"",IF(B91="","⚠ Falta fecha",IF(C91="","⚠ Falta monto",IF(D91="","⚠ Falta categoría",IF(ISNA(MATCH(D91,catNom,0)),"⚠ Categoría no existe",IF(E91="","⚠ Falta cuenta",IF(ISNA(MATCH(E91,ctaNom,0)),"⚠ Cuenta no existe",IF(AND(OR(I91="Transferencia",I91="Pago tarjeta"),G91=""),"⚠ Indica la cuenta «Hacia»",IF(AND(G91&lt;&gt;"",G91=E91),"⚠ «Hacia» igual a la cuenta",IF(AND(G91&lt;&gt;"",ISNA(MATCH(G91,ctaNom,0))),"⚠ «Hacia» no existe",IF(AND(I91="Pago tarjeta",IFERROR(INDEX(ctaTipo,MATCH(G91,ctaNom,0)),"")&lt;&gt;"Tarjeta de crédito"),"⚠ «Hacia» debe ser la tarjeta",IF(AND(I91="Trading",IFERROR(INDEX(ctaTipo,MATCH(E91,ctaNom,0)),"")&lt;&gt;"Cuenta de trading"),"⚠ Usa la cuenta de trading","✓"))))))))))))</f>
        <v/>
      </c>
      <c r="I91" s="19">
        <f>IF(OR(B91="",C91="",D91=""),"",IFERROR(INDEX(catTipo,MATCH(D91,catNom,0))&amp;"",""))</f>
        <v/>
      </c>
      <c r="J91" s="19">
        <f>IF(I91="","",IFERROR(INDEX(catGrupo,MATCH(D91,catNom,0))&amp;"",""))</f>
        <v/>
      </c>
      <c r="K91" s="19">
        <f>IF(I91="Gasto",IF(IFERROR(INDEX(catClas,MATCH(D91,catNom,0))&amp;"","")="","Variable",IFERROR(INDEX(catClas,MATCH(D91,catNom,0))&amp;"","")),"")</f>
        <v/>
      </c>
      <c r="L91" s="19">
        <f>IF(I91="","",IFERROR(INDEX(catAlim,MATCH(D91,catNom,0))&amp;"",""))</f>
        <v/>
      </c>
      <c r="M91" s="19">
        <f>IF(I91="","",IFERROR(INDEX(catComida,MATCH(D91,catNom,0))&amp;"",""))</f>
        <v/>
      </c>
      <c r="N91" s="19">
        <f>IF(I91="","",IFERROR(INDEX(ctaMon,MATCH(E91,ctaNom,0))&amp;"","DOP"))</f>
        <v/>
      </c>
      <c r="O91" s="20">
        <f>IF(I91="","",C91*IF(N91="USD",TasaUSD,1))</f>
        <v/>
      </c>
      <c r="P91" s="20">
        <f>IF(I91="","",IF(I91="Gasto",O91,0))</f>
        <v/>
      </c>
      <c r="Q91" s="20">
        <f>IF(I91="","",IF(I91="Ingreso",O91,0))</f>
        <v/>
      </c>
      <c r="R91" s="20">
        <f>IF(I91="","",IF(I91="Trading",O91,0))</f>
        <v/>
      </c>
      <c r="S91" s="19">
        <f>IF(I91="","",IF(AND(I91="Gasto",K91="Variable",J91&lt;&gt;"Trading",O91&gt;0,O91&lt;=Umbral),1,0))</f>
        <v/>
      </c>
      <c r="T91" s="20">
        <f>IF(OR(I91="",E91=""),"",IF(OR(I91="Gasto",I91="Transferencia",I91="Pago tarjeta"),-1,1)*C91)</f>
        <v/>
      </c>
      <c r="U91" s="20">
        <f>IF(OR(G91="",AND(I91&lt;&gt;"Transferencia",I91&lt;&gt;"Pago tarjeta")),"",IF(IFERROR(INDEX(ctaMon,MATCH(G91,ctaNom,0))&amp;"","DOP")=N91,C91,IF(N91="USD",C91*TasaUSD,C91/TasaUSD)))</f>
        <v/>
      </c>
      <c r="V91" s="20">
        <f>IF(I91="","",IF(IFERROR(INDEX(ctaLiq,MATCH(E91,ctaNom,0))="Sí",FALSE),IF(OR(I91="Gasto",I91="Transferencia",I91="Pago tarjeta"),-1,1)*O91,0)+IF(AND(U91&lt;&gt;"",IFERROR(INDEX(ctaLiq,MATCH(G91,ctaNom,0))="Sí",FALSE)),O91,0))</f>
        <v/>
      </c>
      <c r="W91" s="19">
        <f>IF(OR(F91="",I91=""),"",IF(COUNTIFS(F$6:F91,F91,I$6:I91,"?*")=1,MAX(W$5:W90)+1,""))</f>
        <v/>
      </c>
    </row>
    <row r="92">
      <c r="B92" s="15" t="n">
        <v>46303</v>
      </c>
      <c r="C92" s="16" t="n">
        <v>500</v>
      </c>
      <c r="D92" s="17" t="inlineStr">
        <is>
          <t>Almuerzo comprado</t>
        </is>
      </c>
      <c r="E92" s="17" t="inlineStr">
        <is>
          <t>Billetera digital</t>
        </is>
      </c>
      <c r="F92" s="17" t="inlineStr">
        <is>
          <t>DEMO Comedor</t>
        </is>
      </c>
      <c r="G92" s="17" t="n"/>
      <c r="H92" s="18">
        <f>IF(AND(B92="",C92="",D92="",E92=""),"",IF(B92="","⚠ Falta fecha",IF(C92="","⚠ Falta monto",IF(D92="","⚠ Falta categoría",IF(ISNA(MATCH(D92,catNom,0)),"⚠ Categoría no existe",IF(E92="","⚠ Falta cuenta",IF(ISNA(MATCH(E92,ctaNom,0)),"⚠ Cuenta no existe",IF(AND(OR(I92="Transferencia",I92="Pago tarjeta"),G92=""),"⚠ Indica la cuenta «Hacia»",IF(AND(G92&lt;&gt;"",G92=E92),"⚠ «Hacia» igual a la cuenta",IF(AND(G92&lt;&gt;"",ISNA(MATCH(G92,ctaNom,0))),"⚠ «Hacia» no existe",IF(AND(I92="Pago tarjeta",IFERROR(INDEX(ctaTipo,MATCH(G92,ctaNom,0)),"")&lt;&gt;"Tarjeta de crédito"),"⚠ «Hacia» debe ser la tarjeta",IF(AND(I92="Trading",IFERROR(INDEX(ctaTipo,MATCH(E92,ctaNom,0)),"")&lt;&gt;"Cuenta de trading"),"⚠ Usa la cuenta de trading","✓"))))))))))))</f>
        <v/>
      </c>
      <c r="I92" s="19">
        <f>IF(OR(B92="",C92="",D92=""),"",IFERROR(INDEX(catTipo,MATCH(D92,catNom,0))&amp;"",""))</f>
        <v/>
      </c>
      <c r="J92" s="19">
        <f>IF(I92="","",IFERROR(INDEX(catGrupo,MATCH(D92,catNom,0))&amp;"",""))</f>
        <v/>
      </c>
      <c r="K92" s="19">
        <f>IF(I92="Gasto",IF(IFERROR(INDEX(catClas,MATCH(D92,catNom,0))&amp;"","")="","Variable",IFERROR(INDEX(catClas,MATCH(D92,catNom,0))&amp;"","")),"")</f>
        <v/>
      </c>
      <c r="L92" s="19">
        <f>IF(I92="","",IFERROR(INDEX(catAlim,MATCH(D92,catNom,0))&amp;"",""))</f>
        <v/>
      </c>
      <c r="M92" s="19">
        <f>IF(I92="","",IFERROR(INDEX(catComida,MATCH(D92,catNom,0))&amp;"",""))</f>
        <v/>
      </c>
      <c r="N92" s="19">
        <f>IF(I92="","",IFERROR(INDEX(ctaMon,MATCH(E92,ctaNom,0))&amp;"","DOP"))</f>
        <v/>
      </c>
      <c r="O92" s="20">
        <f>IF(I92="","",C92*IF(N92="USD",TasaUSD,1))</f>
        <v/>
      </c>
      <c r="P92" s="20">
        <f>IF(I92="","",IF(I92="Gasto",O92,0))</f>
        <v/>
      </c>
      <c r="Q92" s="20">
        <f>IF(I92="","",IF(I92="Ingreso",O92,0))</f>
        <v/>
      </c>
      <c r="R92" s="20">
        <f>IF(I92="","",IF(I92="Trading",O92,0))</f>
        <v/>
      </c>
      <c r="S92" s="19">
        <f>IF(I92="","",IF(AND(I92="Gasto",K92="Variable",J92&lt;&gt;"Trading",O92&gt;0,O92&lt;=Umbral),1,0))</f>
        <v/>
      </c>
      <c r="T92" s="20">
        <f>IF(OR(I92="",E92=""),"",IF(OR(I92="Gasto",I92="Transferencia",I92="Pago tarjeta"),-1,1)*C92)</f>
        <v/>
      </c>
      <c r="U92" s="20">
        <f>IF(OR(G92="",AND(I92&lt;&gt;"Transferencia",I92&lt;&gt;"Pago tarjeta")),"",IF(IFERROR(INDEX(ctaMon,MATCH(G92,ctaNom,0))&amp;"","DOP")=N92,C92,IF(N92="USD",C92*TasaUSD,C92/TasaUSD)))</f>
        <v/>
      </c>
      <c r="V92" s="20">
        <f>IF(I92="","",IF(IFERROR(INDEX(ctaLiq,MATCH(E92,ctaNom,0))="Sí",FALSE),IF(OR(I92="Gasto",I92="Transferencia",I92="Pago tarjeta"),-1,1)*O92,0)+IF(AND(U92&lt;&gt;"",IFERROR(INDEX(ctaLiq,MATCH(G92,ctaNom,0))="Sí",FALSE)),O92,0))</f>
        <v/>
      </c>
      <c r="W92" s="19">
        <f>IF(OR(F92="",I92=""),"",IF(COUNTIFS(F$6:F92,F92,I$6:I92,"?*")=1,MAX(W$5:W91)+1,""))</f>
        <v/>
      </c>
    </row>
    <row r="93">
      <c r="B93" s="15" t="n">
        <v>46303</v>
      </c>
      <c r="C93" s="16" t="n">
        <v>2500</v>
      </c>
      <c r="D93" s="17" t="inlineStr">
        <is>
          <t>Gimnasio</t>
        </is>
      </c>
      <c r="E93" s="17" t="inlineStr">
        <is>
          <t>Tarjeta de crédito</t>
        </is>
      </c>
      <c r="F93" s="17" t="inlineStr">
        <is>
          <t>DEMO Gimnasio</t>
        </is>
      </c>
      <c r="G93" s="17" t="n"/>
      <c r="H93" s="18">
        <f>IF(AND(B93="",C93="",D93="",E93=""),"",IF(B93="","⚠ Falta fecha",IF(C93="","⚠ Falta monto",IF(D93="","⚠ Falta categoría",IF(ISNA(MATCH(D93,catNom,0)),"⚠ Categoría no existe",IF(E93="","⚠ Falta cuenta",IF(ISNA(MATCH(E93,ctaNom,0)),"⚠ Cuenta no existe",IF(AND(OR(I93="Transferencia",I93="Pago tarjeta"),G93=""),"⚠ Indica la cuenta «Hacia»",IF(AND(G93&lt;&gt;"",G93=E93),"⚠ «Hacia» igual a la cuenta",IF(AND(G93&lt;&gt;"",ISNA(MATCH(G93,ctaNom,0))),"⚠ «Hacia» no existe",IF(AND(I93="Pago tarjeta",IFERROR(INDEX(ctaTipo,MATCH(G93,ctaNom,0)),"")&lt;&gt;"Tarjeta de crédito"),"⚠ «Hacia» debe ser la tarjeta",IF(AND(I93="Trading",IFERROR(INDEX(ctaTipo,MATCH(E93,ctaNom,0)),"")&lt;&gt;"Cuenta de trading"),"⚠ Usa la cuenta de trading","✓"))))))))))))</f>
        <v/>
      </c>
      <c r="I93" s="19">
        <f>IF(OR(B93="",C93="",D93=""),"",IFERROR(INDEX(catTipo,MATCH(D93,catNom,0))&amp;"",""))</f>
        <v/>
      </c>
      <c r="J93" s="19">
        <f>IF(I93="","",IFERROR(INDEX(catGrupo,MATCH(D93,catNom,0))&amp;"",""))</f>
        <v/>
      </c>
      <c r="K93" s="19">
        <f>IF(I93="Gasto",IF(IFERROR(INDEX(catClas,MATCH(D93,catNom,0))&amp;"","")="","Variable",IFERROR(INDEX(catClas,MATCH(D93,catNom,0))&amp;"","")),"")</f>
        <v/>
      </c>
      <c r="L93" s="19">
        <f>IF(I93="","",IFERROR(INDEX(catAlim,MATCH(D93,catNom,0))&amp;"",""))</f>
        <v/>
      </c>
      <c r="M93" s="19">
        <f>IF(I93="","",IFERROR(INDEX(catComida,MATCH(D93,catNom,0))&amp;"",""))</f>
        <v/>
      </c>
      <c r="N93" s="19">
        <f>IF(I93="","",IFERROR(INDEX(ctaMon,MATCH(E93,ctaNom,0))&amp;"","DOP"))</f>
        <v/>
      </c>
      <c r="O93" s="20">
        <f>IF(I93="","",C93*IF(N93="USD",TasaUSD,1))</f>
        <v/>
      </c>
      <c r="P93" s="20">
        <f>IF(I93="","",IF(I93="Gasto",O93,0))</f>
        <v/>
      </c>
      <c r="Q93" s="20">
        <f>IF(I93="","",IF(I93="Ingreso",O93,0))</f>
        <v/>
      </c>
      <c r="R93" s="20">
        <f>IF(I93="","",IF(I93="Trading",O93,0))</f>
        <v/>
      </c>
      <c r="S93" s="19">
        <f>IF(I93="","",IF(AND(I93="Gasto",K93="Variable",J93&lt;&gt;"Trading",O93&gt;0,O93&lt;=Umbral),1,0))</f>
        <v/>
      </c>
      <c r="T93" s="20">
        <f>IF(OR(I93="",E93=""),"",IF(OR(I93="Gasto",I93="Transferencia",I93="Pago tarjeta"),-1,1)*C93)</f>
        <v/>
      </c>
      <c r="U93" s="20">
        <f>IF(OR(G93="",AND(I93&lt;&gt;"Transferencia",I93&lt;&gt;"Pago tarjeta")),"",IF(IFERROR(INDEX(ctaMon,MATCH(G93,ctaNom,0))&amp;"","DOP")=N93,C93,IF(N93="USD",C93*TasaUSD,C93/TasaUSD)))</f>
        <v/>
      </c>
      <c r="V93" s="20">
        <f>IF(I93="","",IF(IFERROR(INDEX(ctaLiq,MATCH(E93,ctaNom,0))="Sí",FALSE),IF(OR(I93="Gasto",I93="Transferencia",I93="Pago tarjeta"),-1,1)*O93,0)+IF(AND(U93&lt;&gt;"",IFERROR(INDEX(ctaLiq,MATCH(G93,ctaNom,0))="Sí",FALSE)),O93,0))</f>
        <v/>
      </c>
      <c r="W93" s="19">
        <f>IF(OR(F93="",I93=""),"",IF(COUNTIFS(F$6:F93,F93,I$6:I93,"?*")=1,MAX(W$5:W92)+1,""))</f>
        <v/>
      </c>
    </row>
    <row r="94">
      <c r="B94" s="15" t="n">
        <v>46303</v>
      </c>
      <c r="C94" s="16" t="n">
        <v>95</v>
      </c>
      <c r="D94" s="17" t="inlineStr">
        <is>
          <t>Ganancia / pérdida de trading</t>
        </is>
      </c>
      <c r="E94" s="17" t="inlineStr">
        <is>
          <t>Cuenta de trading</t>
        </is>
      </c>
      <c r="F94" s="17" t="inlineStr">
        <is>
          <t>DEMO</t>
        </is>
      </c>
      <c r="G94" s="17" t="n"/>
      <c r="H94" s="18">
        <f>IF(AND(B94="",C94="",D94="",E94=""),"",IF(B94="","⚠ Falta fecha",IF(C94="","⚠ Falta monto",IF(D94="","⚠ Falta categoría",IF(ISNA(MATCH(D94,catNom,0)),"⚠ Categoría no existe",IF(E94="","⚠ Falta cuenta",IF(ISNA(MATCH(E94,ctaNom,0)),"⚠ Cuenta no existe",IF(AND(OR(I94="Transferencia",I94="Pago tarjeta"),G94=""),"⚠ Indica la cuenta «Hacia»",IF(AND(G94&lt;&gt;"",G94=E94),"⚠ «Hacia» igual a la cuenta",IF(AND(G94&lt;&gt;"",ISNA(MATCH(G94,ctaNom,0))),"⚠ «Hacia» no existe",IF(AND(I94="Pago tarjeta",IFERROR(INDEX(ctaTipo,MATCH(G94,ctaNom,0)),"")&lt;&gt;"Tarjeta de crédito"),"⚠ «Hacia» debe ser la tarjeta",IF(AND(I94="Trading",IFERROR(INDEX(ctaTipo,MATCH(E94,ctaNom,0)),"")&lt;&gt;"Cuenta de trading"),"⚠ Usa la cuenta de trading","✓"))))))))))))</f>
        <v/>
      </c>
      <c r="I94" s="19">
        <f>IF(OR(B94="",C94="",D94=""),"",IFERROR(INDEX(catTipo,MATCH(D94,catNom,0))&amp;"",""))</f>
        <v/>
      </c>
      <c r="J94" s="19">
        <f>IF(I94="","",IFERROR(INDEX(catGrupo,MATCH(D94,catNom,0))&amp;"",""))</f>
        <v/>
      </c>
      <c r="K94" s="19">
        <f>IF(I94="Gasto",IF(IFERROR(INDEX(catClas,MATCH(D94,catNom,0))&amp;"","")="","Variable",IFERROR(INDEX(catClas,MATCH(D94,catNom,0))&amp;"","")),"")</f>
        <v/>
      </c>
      <c r="L94" s="19">
        <f>IF(I94="","",IFERROR(INDEX(catAlim,MATCH(D94,catNom,0))&amp;"",""))</f>
        <v/>
      </c>
      <c r="M94" s="19">
        <f>IF(I94="","",IFERROR(INDEX(catComida,MATCH(D94,catNom,0))&amp;"",""))</f>
        <v/>
      </c>
      <c r="N94" s="19">
        <f>IF(I94="","",IFERROR(INDEX(ctaMon,MATCH(E94,ctaNom,0))&amp;"","DOP"))</f>
        <v/>
      </c>
      <c r="O94" s="20">
        <f>IF(I94="","",C94*IF(N94="USD",TasaUSD,1))</f>
        <v/>
      </c>
      <c r="P94" s="20">
        <f>IF(I94="","",IF(I94="Gasto",O94,0))</f>
        <v/>
      </c>
      <c r="Q94" s="20">
        <f>IF(I94="","",IF(I94="Ingreso",O94,0))</f>
        <v/>
      </c>
      <c r="R94" s="20">
        <f>IF(I94="","",IF(I94="Trading",O94,0))</f>
        <v/>
      </c>
      <c r="S94" s="19">
        <f>IF(I94="","",IF(AND(I94="Gasto",K94="Variable",J94&lt;&gt;"Trading",O94&gt;0,O94&lt;=Umbral),1,0))</f>
        <v/>
      </c>
      <c r="T94" s="20">
        <f>IF(OR(I94="",E94=""),"",IF(OR(I94="Gasto",I94="Transferencia",I94="Pago tarjeta"),-1,1)*C94)</f>
        <v/>
      </c>
      <c r="U94" s="20">
        <f>IF(OR(G94="",AND(I94&lt;&gt;"Transferencia",I94&lt;&gt;"Pago tarjeta")),"",IF(IFERROR(INDEX(ctaMon,MATCH(G94,ctaNom,0))&amp;"","DOP")=N94,C94,IF(N94="USD",C94*TasaUSD,C94/TasaUSD)))</f>
        <v/>
      </c>
      <c r="V94" s="20">
        <f>IF(I94="","",IF(IFERROR(INDEX(ctaLiq,MATCH(E94,ctaNom,0))="Sí",FALSE),IF(OR(I94="Gasto",I94="Transferencia",I94="Pago tarjeta"),-1,1)*O94,0)+IF(AND(U94&lt;&gt;"",IFERROR(INDEX(ctaLiq,MATCH(G94,ctaNom,0))="Sí",FALSE)),O94,0))</f>
        <v/>
      </c>
      <c r="W94" s="19">
        <f>IF(OR(F94="",I94=""),"",IF(COUNTIFS(F$6:F94,F94,I$6:I94,"?*")=1,MAX(W$5:W93)+1,""))</f>
        <v/>
      </c>
    </row>
    <row r="95">
      <c r="B95" s="15" t="n">
        <v>46304</v>
      </c>
      <c r="C95" s="16" t="n">
        <v>400</v>
      </c>
      <c r="D95" s="17" t="inlineStr">
        <is>
          <t>Almuerzo comprado</t>
        </is>
      </c>
      <c r="E95" s="17" t="inlineStr">
        <is>
          <t>Banco</t>
        </is>
      </c>
      <c r="F95" s="17" t="inlineStr">
        <is>
          <t>DEMO Comedor</t>
        </is>
      </c>
      <c r="G95" s="17" t="n"/>
      <c r="H95" s="18">
        <f>IF(AND(B95="",C95="",D95="",E95=""),"",IF(B95="","⚠ Falta fecha",IF(C95="","⚠ Falta monto",IF(D95="","⚠ Falta categoría",IF(ISNA(MATCH(D95,catNom,0)),"⚠ Categoría no existe",IF(E95="","⚠ Falta cuenta",IF(ISNA(MATCH(E95,ctaNom,0)),"⚠ Cuenta no existe",IF(AND(OR(I95="Transferencia",I95="Pago tarjeta"),G95=""),"⚠ Indica la cuenta «Hacia»",IF(AND(G95&lt;&gt;"",G95=E95),"⚠ «Hacia» igual a la cuenta",IF(AND(G95&lt;&gt;"",ISNA(MATCH(G95,ctaNom,0))),"⚠ «Hacia» no existe",IF(AND(I95="Pago tarjeta",IFERROR(INDEX(ctaTipo,MATCH(G95,ctaNom,0)),"")&lt;&gt;"Tarjeta de crédito"),"⚠ «Hacia» debe ser la tarjeta",IF(AND(I95="Trading",IFERROR(INDEX(ctaTipo,MATCH(E95,ctaNom,0)),"")&lt;&gt;"Cuenta de trading"),"⚠ Usa la cuenta de trading","✓"))))))))))))</f>
        <v/>
      </c>
      <c r="I95" s="19">
        <f>IF(OR(B95="",C95="",D95=""),"",IFERROR(INDEX(catTipo,MATCH(D95,catNom,0))&amp;"",""))</f>
        <v/>
      </c>
      <c r="J95" s="19">
        <f>IF(I95="","",IFERROR(INDEX(catGrupo,MATCH(D95,catNom,0))&amp;"",""))</f>
        <v/>
      </c>
      <c r="K95" s="19">
        <f>IF(I95="Gasto",IF(IFERROR(INDEX(catClas,MATCH(D95,catNom,0))&amp;"","")="","Variable",IFERROR(INDEX(catClas,MATCH(D95,catNom,0))&amp;"","")),"")</f>
        <v/>
      </c>
      <c r="L95" s="19">
        <f>IF(I95="","",IFERROR(INDEX(catAlim,MATCH(D95,catNom,0))&amp;"",""))</f>
        <v/>
      </c>
      <c r="M95" s="19">
        <f>IF(I95="","",IFERROR(INDEX(catComida,MATCH(D95,catNom,0))&amp;"",""))</f>
        <v/>
      </c>
      <c r="N95" s="19">
        <f>IF(I95="","",IFERROR(INDEX(ctaMon,MATCH(E95,ctaNom,0))&amp;"","DOP"))</f>
        <v/>
      </c>
      <c r="O95" s="20">
        <f>IF(I95="","",C95*IF(N95="USD",TasaUSD,1))</f>
        <v/>
      </c>
      <c r="P95" s="20">
        <f>IF(I95="","",IF(I95="Gasto",O95,0))</f>
        <v/>
      </c>
      <c r="Q95" s="20">
        <f>IF(I95="","",IF(I95="Ingreso",O95,0))</f>
        <v/>
      </c>
      <c r="R95" s="20">
        <f>IF(I95="","",IF(I95="Trading",O95,0))</f>
        <v/>
      </c>
      <c r="S95" s="19">
        <f>IF(I95="","",IF(AND(I95="Gasto",K95="Variable",J95&lt;&gt;"Trading",O95&gt;0,O95&lt;=Umbral),1,0))</f>
        <v/>
      </c>
      <c r="T95" s="20">
        <f>IF(OR(I95="",E95=""),"",IF(OR(I95="Gasto",I95="Transferencia",I95="Pago tarjeta"),-1,1)*C95)</f>
        <v/>
      </c>
      <c r="U95" s="20">
        <f>IF(OR(G95="",AND(I95&lt;&gt;"Transferencia",I95&lt;&gt;"Pago tarjeta")),"",IF(IFERROR(INDEX(ctaMon,MATCH(G95,ctaNom,0))&amp;"","DOP")=N95,C95,IF(N95="USD",C95*TasaUSD,C95/TasaUSD)))</f>
        <v/>
      </c>
      <c r="V95" s="20">
        <f>IF(I95="","",IF(IFERROR(INDEX(ctaLiq,MATCH(E95,ctaNom,0))="Sí",FALSE),IF(OR(I95="Gasto",I95="Transferencia",I95="Pago tarjeta"),-1,1)*O95,0)+IF(AND(U95&lt;&gt;"",IFERROR(INDEX(ctaLiq,MATCH(G95,ctaNom,0))="Sí",FALSE)),O95,0))</f>
        <v/>
      </c>
      <c r="W95" s="19">
        <f>IF(OR(F95="",I95=""),"",IF(COUNTIFS(F$6:F95,F95,I$6:I95,"?*")=1,MAX(W$5:W94)+1,""))</f>
        <v/>
      </c>
    </row>
    <row r="96">
      <c r="B96" s="15" t="n">
        <v>46304</v>
      </c>
      <c r="C96" s="16" t="n">
        <v>160</v>
      </c>
      <c r="D96" s="17" t="inlineStr">
        <is>
          <t>Snacks y bebidas</t>
        </is>
      </c>
      <c r="E96" s="17" t="inlineStr">
        <is>
          <t>Efectivo</t>
        </is>
      </c>
      <c r="F96" s="17" t="inlineStr">
        <is>
          <t>DEMO Colmado</t>
        </is>
      </c>
      <c r="G96" s="17" t="n"/>
      <c r="H96" s="18">
        <f>IF(AND(B96="",C96="",D96="",E96=""),"",IF(B96="","⚠ Falta fecha",IF(C96="","⚠ Falta monto",IF(D96="","⚠ Falta categoría",IF(ISNA(MATCH(D96,catNom,0)),"⚠ Categoría no existe",IF(E96="","⚠ Falta cuenta",IF(ISNA(MATCH(E96,ctaNom,0)),"⚠ Cuenta no existe",IF(AND(OR(I96="Transferencia",I96="Pago tarjeta"),G96=""),"⚠ Indica la cuenta «Hacia»",IF(AND(G96&lt;&gt;"",G96=E96),"⚠ «Hacia» igual a la cuenta",IF(AND(G96&lt;&gt;"",ISNA(MATCH(G96,ctaNom,0))),"⚠ «Hacia» no existe",IF(AND(I96="Pago tarjeta",IFERROR(INDEX(ctaTipo,MATCH(G96,ctaNom,0)),"")&lt;&gt;"Tarjeta de crédito"),"⚠ «Hacia» debe ser la tarjeta",IF(AND(I96="Trading",IFERROR(INDEX(ctaTipo,MATCH(E96,ctaNom,0)),"")&lt;&gt;"Cuenta de trading"),"⚠ Usa la cuenta de trading","✓"))))))))))))</f>
        <v/>
      </c>
      <c r="I96" s="19">
        <f>IF(OR(B96="",C96="",D96=""),"",IFERROR(INDEX(catTipo,MATCH(D96,catNom,0))&amp;"",""))</f>
        <v/>
      </c>
      <c r="J96" s="19">
        <f>IF(I96="","",IFERROR(INDEX(catGrupo,MATCH(D96,catNom,0))&amp;"",""))</f>
        <v/>
      </c>
      <c r="K96" s="19">
        <f>IF(I96="Gasto",IF(IFERROR(INDEX(catClas,MATCH(D96,catNom,0))&amp;"","")="","Variable",IFERROR(INDEX(catClas,MATCH(D96,catNom,0))&amp;"","")),"")</f>
        <v/>
      </c>
      <c r="L96" s="19">
        <f>IF(I96="","",IFERROR(INDEX(catAlim,MATCH(D96,catNom,0))&amp;"",""))</f>
        <v/>
      </c>
      <c r="M96" s="19">
        <f>IF(I96="","",IFERROR(INDEX(catComida,MATCH(D96,catNom,0))&amp;"",""))</f>
        <v/>
      </c>
      <c r="N96" s="19">
        <f>IF(I96="","",IFERROR(INDEX(ctaMon,MATCH(E96,ctaNom,0))&amp;"","DOP"))</f>
        <v/>
      </c>
      <c r="O96" s="20">
        <f>IF(I96="","",C96*IF(N96="USD",TasaUSD,1))</f>
        <v/>
      </c>
      <c r="P96" s="20">
        <f>IF(I96="","",IF(I96="Gasto",O96,0))</f>
        <v/>
      </c>
      <c r="Q96" s="20">
        <f>IF(I96="","",IF(I96="Ingreso",O96,0))</f>
        <v/>
      </c>
      <c r="R96" s="20">
        <f>IF(I96="","",IF(I96="Trading",O96,0))</f>
        <v/>
      </c>
      <c r="S96" s="19">
        <f>IF(I96="","",IF(AND(I96="Gasto",K96="Variable",J96&lt;&gt;"Trading",O96&gt;0,O96&lt;=Umbral),1,0))</f>
        <v/>
      </c>
      <c r="T96" s="20">
        <f>IF(OR(I96="",E96=""),"",IF(OR(I96="Gasto",I96="Transferencia",I96="Pago tarjeta"),-1,1)*C96)</f>
        <v/>
      </c>
      <c r="U96" s="20">
        <f>IF(OR(G96="",AND(I96&lt;&gt;"Transferencia",I96&lt;&gt;"Pago tarjeta")),"",IF(IFERROR(INDEX(ctaMon,MATCH(G96,ctaNom,0))&amp;"","DOP")=N96,C96,IF(N96="USD",C96*TasaUSD,C96/TasaUSD)))</f>
        <v/>
      </c>
      <c r="V96" s="20">
        <f>IF(I96="","",IF(IFERROR(INDEX(ctaLiq,MATCH(E96,ctaNom,0))="Sí",FALSE),IF(OR(I96="Gasto",I96="Transferencia",I96="Pago tarjeta"),-1,1)*O96,0)+IF(AND(U96&lt;&gt;"",IFERROR(INDEX(ctaLiq,MATCH(G96,ctaNom,0))="Sí",FALSE)),O96,0))</f>
        <v/>
      </c>
      <c r="W96" s="19">
        <f>IF(OR(F96="",I96=""),"",IF(COUNTIFS(F$6:F96,F96,I$6:I96,"?*")=1,MAX(W$5:W95)+1,""))</f>
        <v/>
      </c>
    </row>
    <row r="97">
      <c r="B97" s="15" t="n">
        <v>46304</v>
      </c>
      <c r="C97" s="16" t="n">
        <v>1100</v>
      </c>
      <c r="D97" s="17" t="inlineStr">
        <is>
          <t>Delivery</t>
        </is>
      </c>
      <c r="E97" s="17" t="inlineStr">
        <is>
          <t>Tarjeta de crédito</t>
        </is>
      </c>
      <c r="F97" s="17" t="inlineStr">
        <is>
          <t>DEMO App delivery</t>
        </is>
      </c>
      <c r="G97" s="17" t="n"/>
      <c r="H97" s="18">
        <f>IF(AND(B97="",C97="",D97="",E97=""),"",IF(B97="","⚠ Falta fecha",IF(C97="","⚠ Falta monto",IF(D97="","⚠ Falta categoría",IF(ISNA(MATCH(D97,catNom,0)),"⚠ Categoría no existe",IF(E97="","⚠ Falta cuenta",IF(ISNA(MATCH(E97,ctaNom,0)),"⚠ Cuenta no existe",IF(AND(OR(I97="Transferencia",I97="Pago tarjeta"),G97=""),"⚠ Indica la cuenta «Hacia»",IF(AND(G97&lt;&gt;"",G97=E97),"⚠ «Hacia» igual a la cuenta",IF(AND(G97&lt;&gt;"",ISNA(MATCH(G97,ctaNom,0))),"⚠ «Hacia» no existe",IF(AND(I97="Pago tarjeta",IFERROR(INDEX(ctaTipo,MATCH(G97,ctaNom,0)),"")&lt;&gt;"Tarjeta de crédito"),"⚠ «Hacia» debe ser la tarjeta",IF(AND(I97="Trading",IFERROR(INDEX(ctaTipo,MATCH(E97,ctaNom,0)),"")&lt;&gt;"Cuenta de trading"),"⚠ Usa la cuenta de trading","✓"))))))))))))</f>
        <v/>
      </c>
      <c r="I97" s="19">
        <f>IF(OR(B97="",C97="",D97=""),"",IFERROR(INDEX(catTipo,MATCH(D97,catNom,0))&amp;"",""))</f>
        <v/>
      </c>
      <c r="J97" s="19">
        <f>IF(I97="","",IFERROR(INDEX(catGrupo,MATCH(D97,catNom,0))&amp;"",""))</f>
        <v/>
      </c>
      <c r="K97" s="19">
        <f>IF(I97="Gasto",IF(IFERROR(INDEX(catClas,MATCH(D97,catNom,0))&amp;"","")="","Variable",IFERROR(INDEX(catClas,MATCH(D97,catNom,0))&amp;"","")),"")</f>
        <v/>
      </c>
      <c r="L97" s="19">
        <f>IF(I97="","",IFERROR(INDEX(catAlim,MATCH(D97,catNom,0))&amp;"",""))</f>
        <v/>
      </c>
      <c r="M97" s="19">
        <f>IF(I97="","",IFERROR(INDEX(catComida,MATCH(D97,catNom,0))&amp;"",""))</f>
        <v/>
      </c>
      <c r="N97" s="19">
        <f>IF(I97="","",IFERROR(INDEX(ctaMon,MATCH(E97,ctaNom,0))&amp;"","DOP"))</f>
        <v/>
      </c>
      <c r="O97" s="20">
        <f>IF(I97="","",C97*IF(N97="USD",TasaUSD,1))</f>
        <v/>
      </c>
      <c r="P97" s="20">
        <f>IF(I97="","",IF(I97="Gasto",O97,0))</f>
        <v/>
      </c>
      <c r="Q97" s="20">
        <f>IF(I97="","",IF(I97="Ingreso",O97,0))</f>
        <v/>
      </c>
      <c r="R97" s="20">
        <f>IF(I97="","",IF(I97="Trading",O97,0))</f>
        <v/>
      </c>
      <c r="S97" s="19">
        <f>IF(I97="","",IF(AND(I97="Gasto",K97="Variable",J97&lt;&gt;"Trading",O97&gt;0,O97&lt;=Umbral),1,0))</f>
        <v/>
      </c>
      <c r="T97" s="20">
        <f>IF(OR(I97="",E97=""),"",IF(OR(I97="Gasto",I97="Transferencia",I97="Pago tarjeta"),-1,1)*C97)</f>
        <v/>
      </c>
      <c r="U97" s="20">
        <f>IF(OR(G97="",AND(I97&lt;&gt;"Transferencia",I97&lt;&gt;"Pago tarjeta")),"",IF(IFERROR(INDEX(ctaMon,MATCH(G97,ctaNom,0))&amp;"","DOP")=N97,C97,IF(N97="USD",C97*TasaUSD,C97/TasaUSD)))</f>
        <v/>
      </c>
      <c r="V97" s="20">
        <f>IF(I97="","",IF(IFERROR(INDEX(ctaLiq,MATCH(E97,ctaNom,0))="Sí",FALSE),IF(OR(I97="Gasto",I97="Transferencia",I97="Pago tarjeta"),-1,1)*O97,0)+IF(AND(U97&lt;&gt;"",IFERROR(INDEX(ctaLiq,MATCH(G97,ctaNom,0))="Sí",FALSE)),O97,0))</f>
        <v/>
      </c>
      <c r="W97" s="19">
        <f>IF(OR(F97="",I97=""),"",IF(COUNTIFS(F$6:F97,F97,I$6:I97,"?*")=1,MAX(W$5:W96)+1,""))</f>
        <v/>
      </c>
    </row>
    <row r="98">
      <c r="B98" s="15" t="n">
        <v>46305</v>
      </c>
      <c r="C98" s="16" t="n">
        <v>2400</v>
      </c>
      <c r="D98" s="17" t="inlineStr">
        <is>
          <t>Pareja y salidas</t>
        </is>
      </c>
      <c r="E98" s="17" t="inlineStr">
        <is>
          <t>Tarjeta de crédito</t>
        </is>
      </c>
      <c r="F98" s="17" t="inlineStr">
        <is>
          <t>DEMO Salida</t>
        </is>
      </c>
      <c r="G98" s="17" t="n"/>
      <c r="H98" s="18">
        <f>IF(AND(B98="",C98="",D98="",E98=""),"",IF(B98="","⚠ Falta fecha",IF(C98="","⚠ Falta monto",IF(D98="","⚠ Falta categoría",IF(ISNA(MATCH(D98,catNom,0)),"⚠ Categoría no existe",IF(E98="","⚠ Falta cuenta",IF(ISNA(MATCH(E98,ctaNom,0)),"⚠ Cuenta no existe",IF(AND(OR(I98="Transferencia",I98="Pago tarjeta"),G98=""),"⚠ Indica la cuenta «Hacia»",IF(AND(G98&lt;&gt;"",G98=E98),"⚠ «Hacia» igual a la cuenta",IF(AND(G98&lt;&gt;"",ISNA(MATCH(G98,ctaNom,0))),"⚠ «Hacia» no existe",IF(AND(I98="Pago tarjeta",IFERROR(INDEX(ctaTipo,MATCH(G98,ctaNom,0)),"")&lt;&gt;"Tarjeta de crédito"),"⚠ «Hacia» debe ser la tarjeta",IF(AND(I98="Trading",IFERROR(INDEX(ctaTipo,MATCH(E98,ctaNom,0)),"")&lt;&gt;"Cuenta de trading"),"⚠ Usa la cuenta de trading","✓"))))))))))))</f>
        <v/>
      </c>
      <c r="I98" s="19">
        <f>IF(OR(B98="",C98="",D98=""),"",IFERROR(INDEX(catTipo,MATCH(D98,catNom,0))&amp;"",""))</f>
        <v/>
      </c>
      <c r="J98" s="19">
        <f>IF(I98="","",IFERROR(INDEX(catGrupo,MATCH(D98,catNom,0))&amp;"",""))</f>
        <v/>
      </c>
      <c r="K98" s="19">
        <f>IF(I98="Gasto",IF(IFERROR(INDEX(catClas,MATCH(D98,catNom,0))&amp;"","")="","Variable",IFERROR(INDEX(catClas,MATCH(D98,catNom,0))&amp;"","")),"")</f>
        <v/>
      </c>
      <c r="L98" s="19">
        <f>IF(I98="","",IFERROR(INDEX(catAlim,MATCH(D98,catNom,0))&amp;"",""))</f>
        <v/>
      </c>
      <c r="M98" s="19">
        <f>IF(I98="","",IFERROR(INDEX(catComida,MATCH(D98,catNom,0))&amp;"",""))</f>
        <v/>
      </c>
      <c r="N98" s="19">
        <f>IF(I98="","",IFERROR(INDEX(ctaMon,MATCH(E98,ctaNom,0))&amp;"","DOP"))</f>
        <v/>
      </c>
      <c r="O98" s="20">
        <f>IF(I98="","",C98*IF(N98="USD",TasaUSD,1))</f>
        <v/>
      </c>
      <c r="P98" s="20">
        <f>IF(I98="","",IF(I98="Gasto",O98,0))</f>
        <v/>
      </c>
      <c r="Q98" s="20">
        <f>IF(I98="","",IF(I98="Ingreso",O98,0))</f>
        <v/>
      </c>
      <c r="R98" s="20">
        <f>IF(I98="","",IF(I98="Trading",O98,0))</f>
        <v/>
      </c>
      <c r="S98" s="19">
        <f>IF(I98="","",IF(AND(I98="Gasto",K98="Variable",J98&lt;&gt;"Trading",O98&gt;0,O98&lt;=Umbral),1,0))</f>
        <v/>
      </c>
      <c r="T98" s="20">
        <f>IF(OR(I98="",E98=""),"",IF(OR(I98="Gasto",I98="Transferencia",I98="Pago tarjeta"),-1,1)*C98)</f>
        <v/>
      </c>
      <c r="U98" s="20">
        <f>IF(OR(G98="",AND(I98&lt;&gt;"Transferencia",I98&lt;&gt;"Pago tarjeta")),"",IF(IFERROR(INDEX(ctaMon,MATCH(G98,ctaNom,0))&amp;"","DOP")=N98,C98,IF(N98="USD",C98*TasaUSD,C98/TasaUSD)))</f>
        <v/>
      </c>
      <c r="V98" s="20">
        <f>IF(I98="","",IF(IFERROR(INDEX(ctaLiq,MATCH(E98,ctaNom,0))="Sí",FALSE),IF(OR(I98="Gasto",I98="Transferencia",I98="Pago tarjeta"),-1,1)*O98,0)+IF(AND(U98&lt;&gt;"",IFERROR(INDEX(ctaLiq,MATCH(G98,ctaNom,0))="Sí",FALSE)),O98,0))</f>
        <v/>
      </c>
      <c r="W98" s="19">
        <f>IF(OR(F98="",I98=""),"",IF(COUNTIFS(F$6:F98,F98,I$6:I98,"?*")=1,MAX(W$5:W97)+1,""))</f>
        <v/>
      </c>
    </row>
    <row r="99">
      <c r="B99" s="15" t="n">
        <v>46306</v>
      </c>
      <c r="C99" s="16" t="n">
        <v>450</v>
      </c>
      <c r="D99" s="17" t="inlineStr">
        <is>
          <t>Ingredientes / colmado</t>
        </is>
      </c>
      <c r="E99" s="17" t="inlineStr">
        <is>
          <t>Efectivo</t>
        </is>
      </c>
      <c r="F99" s="17" t="inlineStr">
        <is>
          <t>DEMO Mercado</t>
        </is>
      </c>
      <c r="G99" s="17" t="n"/>
      <c r="H99" s="18">
        <f>IF(AND(B99="",C99="",D99="",E99=""),"",IF(B99="","⚠ Falta fecha",IF(C99="","⚠ Falta monto",IF(D99="","⚠ Falta categoría",IF(ISNA(MATCH(D99,catNom,0)),"⚠ Categoría no existe",IF(E99="","⚠ Falta cuenta",IF(ISNA(MATCH(E99,ctaNom,0)),"⚠ Cuenta no existe",IF(AND(OR(I99="Transferencia",I99="Pago tarjeta"),G99=""),"⚠ Indica la cuenta «Hacia»",IF(AND(G99&lt;&gt;"",G99=E99),"⚠ «Hacia» igual a la cuenta",IF(AND(G99&lt;&gt;"",ISNA(MATCH(G99,ctaNom,0))),"⚠ «Hacia» no existe",IF(AND(I99="Pago tarjeta",IFERROR(INDEX(ctaTipo,MATCH(G99,ctaNom,0)),"")&lt;&gt;"Tarjeta de crédito"),"⚠ «Hacia» debe ser la tarjeta",IF(AND(I99="Trading",IFERROR(INDEX(ctaTipo,MATCH(E99,ctaNom,0)),"")&lt;&gt;"Cuenta de trading"),"⚠ Usa la cuenta de trading","✓"))))))))))))</f>
        <v/>
      </c>
      <c r="I99" s="19">
        <f>IF(OR(B99="",C99="",D99=""),"",IFERROR(INDEX(catTipo,MATCH(D99,catNom,0))&amp;"",""))</f>
        <v/>
      </c>
      <c r="J99" s="19">
        <f>IF(I99="","",IFERROR(INDEX(catGrupo,MATCH(D99,catNom,0))&amp;"",""))</f>
        <v/>
      </c>
      <c r="K99" s="19">
        <f>IF(I99="Gasto",IF(IFERROR(INDEX(catClas,MATCH(D99,catNom,0))&amp;"","")="","Variable",IFERROR(INDEX(catClas,MATCH(D99,catNom,0))&amp;"","")),"")</f>
        <v/>
      </c>
      <c r="L99" s="19">
        <f>IF(I99="","",IFERROR(INDEX(catAlim,MATCH(D99,catNom,0))&amp;"",""))</f>
        <v/>
      </c>
      <c r="M99" s="19">
        <f>IF(I99="","",IFERROR(INDEX(catComida,MATCH(D99,catNom,0))&amp;"",""))</f>
        <v/>
      </c>
      <c r="N99" s="19">
        <f>IF(I99="","",IFERROR(INDEX(ctaMon,MATCH(E99,ctaNom,0))&amp;"","DOP"))</f>
        <v/>
      </c>
      <c r="O99" s="20">
        <f>IF(I99="","",C99*IF(N99="USD",TasaUSD,1))</f>
        <v/>
      </c>
      <c r="P99" s="20">
        <f>IF(I99="","",IF(I99="Gasto",O99,0))</f>
        <v/>
      </c>
      <c r="Q99" s="20">
        <f>IF(I99="","",IF(I99="Ingreso",O99,0))</f>
        <v/>
      </c>
      <c r="R99" s="20">
        <f>IF(I99="","",IF(I99="Trading",O99,0))</f>
        <v/>
      </c>
      <c r="S99" s="19">
        <f>IF(I99="","",IF(AND(I99="Gasto",K99="Variable",J99&lt;&gt;"Trading",O99&gt;0,O99&lt;=Umbral),1,0))</f>
        <v/>
      </c>
      <c r="T99" s="20">
        <f>IF(OR(I99="",E99=""),"",IF(OR(I99="Gasto",I99="Transferencia",I99="Pago tarjeta"),-1,1)*C99)</f>
        <v/>
      </c>
      <c r="U99" s="20">
        <f>IF(OR(G99="",AND(I99&lt;&gt;"Transferencia",I99&lt;&gt;"Pago tarjeta")),"",IF(IFERROR(INDEX(ctaMon,MATCH(G99,ctaNom,0))&amp;"","DOP")=N99,C99,IF(N99="USD",C99*TasaUSD,C99/TasaUSD)))</f>
        <v/>
      </c>
      <c r="V99" s="20">
        <f>IF(I99="","",IF(IFERROR(INDEX(ctaLiq,MATCH(E99,ctaNom,0))="Sí",FALSE),IF(OR(I99="Gasto",I99="Transferencia",I99="Pago tarjeta"),-1,1)*O99,0)+IF(AND(U99&lt;&gt;"",IFERROR(INDEX(ctaLiq,MATCH(G99,ctaNom,0))="Sí",FALSE)),O99,0))</f>
        <v/>
      </c>
      <c r="W99" s="19">
        <f>IF(OR(F99="",I99=""),"",IF(COUNTIFS(F$6:F99,F99,I$6:I99,"?*")=1,MAX(W$5:W98)+1,""))</f>
        <v/>
      </c>
    </row>
    <row r="100">
      <c r="B100" s="15" t="n">
        <v>46307</v>
      </c>
      <c r="C100" s="16" t="n">
        <v>210</v>
      </c>
      <c r="D100" s="17" t="inlineStr">
        <is>
          <t>Desayuno comprado</t>
        </is>
      </c>
      <c r="E100" s="17" t="inlineStr">
        <is>
          <t>Banco</t>
        </is>
      </c>
      <c r="F100" s="17" t="inlineStr">
        <is>
          <t>DEMO Cafetería</t>
        </is>
      </c>
      <c r="G100" s="17" t="n"/>
      <c r="H100" s="18">
        <f>IF(AND(B100="",C100="",D100="",E100=""),"",IF(B100="","⚠ Falta fecha",IF(C100="","⚠ Falta monto",IF(D100="","⚠ Falta categoría",IF(ISNA(MATCH(D100,catNom,0)),"⚠ Categoría no existe",IF(E100="","⚠ Falta cuenta",IF(ISNA(MATCH(E100,ctaNom,0)),"⚠ Cuenta no existe",IF(AND(OR(I100="Transferencia",I100="Pago tarjeta"),G100=""),"⚠ Indica la cuenta «Hacia»",IF(AND(G100&lt;&gt;"",G100=E100),"⚠ «Hacia» igual a la cuenta",IF(AND(G100&lt;&gt;"",ISNA(MATCH(G100,ctaNom,0))),"⚠ «Hacia» no existe",IF(AND(I100="Pago tarjeta",IFERROR(INDEX(ctaTipo,MATCH(G100,ctaNom,0)),"")&lt;&gt;"Tarjeta de crédito"),"⚠ «Hacia» debe ser la tarjeta",IF(AND(I100="Trading",IFERROR(INDEX(ctaTipo,MATCH(E100,ctaNom,0)),"")&lt;&gt;"Cuenta de trading"),"⚠ Usa la cuenta de trading","✓"))))))))))))</f>
        <v/>
      </c>
      <c r="I100" s="19">
        <f>IF(OR(B100="",C100="",D100=""),"",IFERROR(INDEX(catTipo,MATCH(D100,catNom,0))&amp;"",""))</f>
        <v/>
      </c>
      <c r="J100" s="19">
        <f>IF(I100="","",IFERROR(INDEX(catGrupo,MATCH(D100,catNom,0))&amp;"",""))</f>
        <v/>
      </c>
      <c r="K100" s="19">
        <f>IF(I100="Gasto",IF(IFERROR(INDEX(catClas,MATCH(D100,catNom,0))&amp;"","")="","Variable",IFERROR(INDEX(catClas,MATCH(D100,catNom,0))&amp;"","")),"")</f>
        <v/>
      </c>
      <c r="L100" s="19">
        <f>IF(I100="","",IFERROR(INDEX(catAlim,MATCH(D100,catNom,0))&amp;"",""))</f>
        <v/>
      </c>
      <c r="M100" s="19">
        <f>IF(I100="","",IFERROR(INDEX(catComida,MATCH(D100,catNom,0))&amp;"",""))</f>
        <v/>
      </c>
      <c r="N100" s="19">
        <f>IF(I100="","",IFERROR(INDEX(ctaMon,MATCH(E100,ctaNom,0))&amp;"","DOP"))</f>
        <v/>
      </c>
      <c r="O100" s="20">
        <f>IF(I100="","",C100*IF(N100="USD",TasaUSD,1))</f>
        <v/>
      </c>
      <c r="P100" s="20">
        <f>IF(I100="","",IF(I100="Gasto",O100,0))</f>
        <v/>
      </c>
      <c r="Q100" s="20">
        <f>IF(I100="","",IF(I100="Ingreso",O100,0))</f>
        <v/>
      </c>
      <c r="R100" s="20">
        <f>IF(I100="","",IF(I100="Trading",O100,0))</f>
        <v/>
      </c>
      <c r="S100" s="19">
        <f>IF(I100="","",IF(AND(I100="Gasto",K100="Variable",J100&lt;&gt;"Trading",O100&gt;0,O100&lt;=Umbral),1,0))</f>
        <v/>
      </c>
      <c r="T100" s="20">
        <f>IF(OR(I100="",E100=""),"",IF(OR(I100="Gasto",I100="Transferencia",I100="Pago tarjeta"),-1,1)*C100)</f>
        <v/>
      </c>
      <c r="U100" s="20">
        <f>IF(OR(G100="",AND(I100&lt;&gt;"Transferencia",I100&lt;&gt;"Pago tarjeta")),"",IF(IFERROR(INDEX(ctaMon,MATCH(G100,ctaNom,0))&amp;"","DOP")=N100,C100,IF(N100="USD",C100*TasaUSD,C100/TasaUSD)))</f>
        <v/>
      </c>
      <c r="V100" s="20">
        <f>IF(I100="","",IF(IFERROR(INDEX(ctaLiq,MATCH(E100,ctaNom,0))="Sí",FALSE),IF(OR(I100="Gasto",I100="Transferencia",I100="Pago tarjeta"),-1,1)*O100,0)+IF(AND(U100&lt;&gt;"",IFERROR(INDEX(ctaLiq,MATCH(G100,ctaNom,0))="Sí",FALSE)),O100,0))</f>
        <v/>
      </c>
      <c r="W100" s="19">
        <f>IF(OR(F100="",I100=""),"",IF(COUNTIFS(F$6:F100,F100,I$6:I100,"?*")=1,MAX(W$5:W99)+1,""))</f>
        <v/>
      </c>
    </row>
    <row r="101">
      <c r="B101" s="15" t="n">
        <v>46307</v>
      </c>
      <c r="C101" s="16" t="n">
        <v>425</v>
      </c>
      <c r="D101" s="17" t="inlineStr">
        <is>
          <t>Almuerzo comprado</t>
        </is>
      </c>
      <c r="E101" s="17" t="inlineStr">
        <is>
          <t>Banco</t>
        </is>
      </c>
      <c r="F101" s="17" t="inlineStr">
        <is>
          <t>DEMO Comedor</t>
        </is>
      </c>
      <c r="G101" s="17" t="n"/>
      <c r="H101" s="18">
        <f>IF(AND(B101="",C101="",D101="",E101=""),"",IF(B101="","⚠ Falta fecha",IF(C101="","⚠ Falta monto",IF(D101="","⚠ Falta categoría",IF(ISNA(MATCH(D101,catNom,0)),"⚠ Categoría no existe",IF(E101="","⚠ Falta cuenta",IF(ISNA(MATCH(E101,ctaNom,0)),"⚠ Cuenta no existe",IF(AND(OR(I101="Transferencia",I101="Pago tarjeta"),G101=""),"⚠ Indica la cuenta «Hacia»",IF(AND(G101&lt;&gt;"",G101=E101),"⚠ «Hacia» igual a la cuenta",IF(AND(G101&lt;&gt;"",ISNA(MATCH(G101,ctaNom,0))),"⚠ «Hacia» no existe",IF(AND(I101="Pago tarjeta",IFERROR(INDEX(ctaTipo,MATCH(G101,ctaNom,0)),"")&lt;&gt;"Tarjeta de crédito"),"⚠ «Hacia» debe ser la tarjeta",IF(AND(I101="Trading",IFERROR(INDEX(ctaTipo,MATCH(E101,ctaNom,0)),"")&lt;&gt;"Cuenta de trading"),"⚠ Usa la cuenta de trading","✓"))))))))))))</f>
        <v/>
      </c>
      <c r="I101" s="19">
        <f>IF(OR(B101="",C101="",D101=""),"",IFERROR(INDEX(catTipo,MATCH(D101,catNom,0))&amp;"",""))</f>
        <v/>
      </c>
      <c r="J101" s="19">
        <f>IF(I101="","",IFERROR(INDEX(catGrupo,MATCH(D101,catNom,0))&amp;"",""))</f>
        <v/>
      </c>
      <c r="K101" s="19">
        <f>IF(I101="Gasto",IF(IFERROR(INDEX(catClas,MATCH(D101,catNom,0))&amp;"","")="","Variable",IFERROR(INDEX(catClas,MATCH(D101,catNom,0))&amp;"","")),"")</f>
        <v/>
      </c>
      <c r="L101" s="19">
        <f>IF(I101="","",IFERROR(INDEX(catAlim,MATCH(D101,catNom,0))&amp;"",""))</f>
        <v/>
      </c>
      <c r="M101" s="19">
        <f>IF(I101="","",IFERROR(INDEX(catComida,MATCH(D101,catNom,0))&amp;"",""))</f>
        <v/>
      </c>
      <c r="N101" s="19">
        <f>IF(I101="","",IFERROR(INDEX(ctaMon,MATCH(E101,ctaNom,0))&amp;"","DOP"))</f>
        <v/>
      </c>
      <c r="O101" s="20">
        <f>IF(I101="","",C101*IF(N101="USD",TasaUSD,1))</f>
        <v/>
      </c>
      <c r="P101" s="20">
        <f>IF(I101="","",IF(I101="Gasto",O101,0))</f>
        <v/>
      </c>
      <c r="Q101" s="20">
        <f>IF(I101="","",IF(I101="Ingreso",O101,0))</f>
        <v/>
      </c>
      <c r="R101" s="20">
        <f>IF(I101="","",IF(I101="Trading",O101,0))</f>
        <v/>
      </c>
      <c r="S101" s="19">
        <f>IF(I101="","",IF(AND(I101="Gasto",K101="Variable",J101&lt;&gt;"Trading",O101&gt;0,O101&lt;=Umbral),1,0))</f>
        <v/>
      </c>
      <c r="T101" s="20">
        <f>IF(OR(I101="",E101=""),"",IF(OR(I101="Gasto",I101="Transferencia",I101="Pago tarjeta"),-1,1)*C101)</f>
        <v/>
      </c>
      <c r="U101" s="20">
        <f>IF(OR(G101="",AND(I101&lt;&gt;"Transferencia",I101&lt;&gt;"Pago tarjeta")),"",IF(IFERROR(INDEX(ctaMon,MATCH(G101,ctaNom,0))&amp;"","DOP")=N101,C101,IF(N101="USD",C101*TasaUSD,C101/TasaUSD)))</f>
        <v/>
      </c>
      <c r="V101" s="20">
        <f>IF(I101="","",IF(IFERROR(INDEX(ctaLiq,MATCH(E101,ctaNom,0))="Sí",FALSE),IF(OR(I101="Gasto",I101="Transferencia",I101="Pago tarjeta"),-1,1)*O101,0)+IF(AND(U101&lt;&gt;"",IFERROR(INDEX(ctaLiq,MATCH(G101,ctaNom,0))="Sí",FALSE)),O101,0))</f>
        <v/>
      </c>
      <c r="W101" s="19">
        <f>IF(OR(F101="",I101=""),"",IF(COUNTIFS(F$6:F101,F101,I$6:I101,"?*")=1,MAX(W$5:W100)+1,""))</f>
        <v/>
      </c>
    </row>
    <row r="102">
      <c r="B102" s="15" t="n">
        <v>46307</v>
      </c>
      <c r="C102" s="16" t="n">
        <v>120</v>
      </c>
      <c r="D102" s="17" t="inlineStr">
        <is>
          <t>Snacks y bebidas</t>
        </is>
      </c>
      <c r="E102" s="17" t="inlineStr">
        <is>
          <t>Efectivo</t>
        </is>
      </c>
      <c r="F102" s="17" t="inlineStr">
        <is>
          <t>DEMO Colmado</t>
        </is>
      </c>
      <c r="G102" s="17" t="n"/>
      <c r="H102" s="18">
        <f>IF(AND(B102="",C102="",D102="",E102=""),"",IF(B102="","⚠ Falta fecha",IF(C102="","⚠ Falta monto",IF(D102="","⚠ Falta categoría",IF(ISNA(MATCH(D102,catNom,0)),"⚠ Categoría no existe",IF(E102="","⚠ Falta cuenta",IF(ISNA(MATCH(E102,ctaNom,0)),"⚠ Cuenta no existe",IF(AND(OR(I102="Transferencia",I102="Pago tarjeta"),G102=""),"⚠ Indica la cuenta «Hacia»",IF(AND(G102&lt;&gt;"",G102=E102),"⚠ «Hacia» igual a la cuenta",IF(AND(G102&lt;&gt;"",ISNA(MATCH(G102,ctaNom,0))),"⚠ «Hacia» no existe",IF(AND(I102="Pago tarjeta",IFERROR(INDEX(ctaTipo,MATCH(G102,ctaNom,0)),"")&lt;&gt;"Tarjeta de crédito"),"⚠ «Hacia» debe ser la tarjeta",IF(AND(I102="Trading",IFERROR(INDEX(ctaTipo,MATCH(E102,ctaNom,0)),"")&lt;&gt;"Cuenta de trading"),"⚠ Usa la cuenta de trading","✓"))))))))))))</f>
        <v/>
      </c>
      <c r="I102" s="19">
        <f>IF(OR(B102="",C102="",D102=""),"",IFERROR(INDEX(catTipo,MATCH(D102,catNom,0))&amp;"",""))</f>
        <v/>
      </c>
      <c r="J102" s="19">
        <f>IF(I102="","",IFERROR(INDEX(catGrupo,MATCH(D102,catNom,0))&amp;"",""))</f>
        <v/>
      </c>
      <c r="K102" s="19">
        <f>IF(I102="Gasto",IF(IFERROR(INDEX(catClas,MATCH(D102,catNom,0))&amp;"","")="","Variable",IFERROR(INDEX(catClas,MATCH(D102,catNom,0))&amp;"","")),"")</f>
        <v/>
      </c>
      <c r="L102" s="19">
        <f>IF(I102="","",IFERROR(INDEX(catAlim,MATCH(D102,catNom,0))&amp;"",""))</f>
        <v/>
      </c>
      <c r="M102" s="19">
        <f>IF(I102="","",IFERROR(INDEX(catComida,MATCH(D102,catNom,0))&amp;"",""))</f>
        <v/>
      </c>
      <c r="N102" s="19">
        <f>IF(I102="","",IFERROR(INDEX(ctaMon,MATCH(E102,ctaNom,0))&amp;"","DOP"))</f>
        <v/>
      </c>
      <c r="O102" s="20">
        <f>IF(I102="","",C102*IF(N102="USD",TasaUSD,1))</f>
        <v/>
      </c>
      <c r="P102" s="20">
        <f>IF(I102="","",IF(I102="Gasto",O102,0))</f>
        <v/>
      </c>
      <c r="Q102" s="20">
        <f>IF(I102="","",IF(I102="Ingreso",O102,0))</f>
        <v/>
      </c>
      <c r="R102" s="20">
        <f>IF(I102="","",IF(I102="Trading",O102,0))</f>
        <v/>
      </c>
      <c r="S102" s="19">
        <f>IF(I102="","",IF(AND(I102="Gasto",K102="Variable",J102&lt;&gt;"Trading",O102&gt;0,O102&lt;=Umbral),1,0))</f>
        <v/>
      </c>
      <c r="T102" s="20">
        <f>IF(OR(I102="",E102=""),"",IF(OR(I102="Gasto",I102="Transferencia",I102="Pago tarjeta"),-1,1)*C102)</f>
        <v/>
      </c>
      <c r="U102" s="20">
        <f>IF(OR(G102="",AND(I102&lt;&gt;"Transferencia",I102&lt;&gt;"Pago tarjeta")),"",IF(IFERROR(INDEX(ctaMon,MATCH(G102,ctaNom,0))&amp;"","DOP")=N102,C102,IF(N102="USD",C102*TasaUSD,C102/TasaUSD)))</f>
        <v/>
      </c>
      <c r="V102" s="20">
        <f>IF(I102="","",IF(IFERROR(INDEX(ctaLiq,MATCH(E102,ctaNom,0))="Sí",FALSE),IF(OR(I102="Gasto",I102="Transferencia",I102="Pago tarjeta"),-1,1)*O102,0)+IF(AND(U102&lt;&gt;"",IFERROR(INDEX(ctaLiq,MATCH(G102,ctaNom,0))="Sí",FALSE)),O102,0))</f>
        <v/>
      </c>
      <c r="W102" s="19">
        <f>IF(OR(F102="",I102=""),"",IF(COUNTIFS(F$6:F102,F102,I$6:I102,"?*")=1,MAX(W$5:W101)+1,""))</f>
        <v/>
      </c>
    </row>
    <row r="103">
      <c r="B103" s="15" t="n">
        <v>46307</v>
      </c>
      <c r="C103" s="16" t="n">
        <v>2350</v>
      </c>
      <c r="D103" s="17" t="inlineStr">
        <is>
          <t>Combustible</t>
        </is>
      </c>
      <c r="E103" s="17" t="inlineStr">
        <is>
          <t>Tarjeta de crédito</t>
        </is>
      </c>
      <c r="F103" s="17" t="inlineStr">
        <is>
          <t>DEMO Gasolinera</t>
        </is>
      </c>
      <c r="G103" s="17" t="n"/>
      <c r="H103" s="18">
        <f>IF(AND(B103="",C103="",D103="",E103=""),"",IF(B103="","⚠ Falta fecha",IF(C103="","⚠ Falta monto",IF(D103="","⚠ Falta categoría",IF(ISNA(MATCH(D103,catNom,0)),"⚠ Categoría no existe",IF(E103="","⚠ Falta cuenta",IF(ISNA(MATCH(E103,ctaNom,0)),"⚠ Cuenta no existe",IF(AND(OR(I103="Transferencia",I103="Pago tarjeta"),G103=""),"⚠ Indica la cuenta «Hacia»",IF(AND(G103&lt;&gt;"",G103=E103),"⚠ «Hacia» igual a la cuenta",IF(AND(G103&lt;&gt;"",ISNA(MATCH(G103,ctaNom,0))),"⚠ «Hacia» no existe",IF(AND(I103="Pago tarjeta",IFERROR(INDEX(ctaTipo,MATCH(G103,ctaNom,0)),"")&lt;&gt;"Tarjeta de crédito"),"⚠ «Hacia» debe ser la tarjeta",IF(AND(I103="Trading",IFERROR(INDEX(ctaTipo,MATCH(E103,ctaNom,0)),"")&lt;&gt;"Cuenta de trading"),"⚠ Usa la cuenta de trading","✓"))))))))))))</f>
        <v/>
      </c>
      <c r="I103" s="19">
        <f>IF(OR(B103="",C103="",D103=""),"",IFERROR(INDEX(catTipo,MATCH(D103,catNom,0))&amp;"",""))</f>
        <v/>
      </c>
      <c r="J103" s="19">
        <f>IF(I103="","",IFERROR(INDEX(catGrupo,MATCH(D103,catNom,0))&amp;"",""))</f>
        <v/>
      </c>
      <c r="K103" s="19">
        <f>IF(I103="Gasto",IF(IFERROR(INDEX(catClas,MATCH(D103,catNom,0))&amp;"","")="","Variable",IFERROR(INDEX(catClas,MATCH(D103,catNom,0))&amp;"","")),"")</f>
        <v/>
      </c>
      <c r="L103" s="19">
        <f>IF(I103="","",IFERROR(INDEX(catAlim,MATCH(D103,catNom,0))&amp;"",""))</f>
        <v/>
      </c>
      <c r="M103" s="19">
        <f>IF(I103="","",IFERROR(INDEX(catComida,MATCH(D103,catNom,0))&amp;"",""))</f>
        <v/>
      </c>
      <c r="N103" s="19">
        <f>IF(I103="","",IFERROR(INDEX(ctaMon,MATCH(E103,ctaNom,0))&amp;"","DOP"))</f>
        <v/>
      </c>
      <c r="O103" s="20">
        <f>IF(I103="","",C103*IF(N103="USD",TasaUSD,1))</f>
        <v/>
      </c>
      <c r="P103" s="20">
        <f>IF(I103="","",IF(I103="Gasto",O103,0))</f>
        <v/>
      </c>
      <c r="Q103" s="20">
        <f>IF(I103="","",IF(I103="Ingreso",O103,0))</f>
        <v/>
      </c>
      <c r="R103" s="20">
        <f>IF(I103="","",IF(I103="Trading",O103,0))</f>
        <v/>
      </c>
      <c r="S103" s="19">
        <f>IF(I103="","",IF(AND(I103="Gasto",K103="Variable",J103&lt;&gt;"Trading",O103&gt;0,O103&lt;=Umbral),1,0))</f>
        <v/>
      </c>
      <c r="T103" s="20">
        <f>IF(OR(I103="",E103=""),"",IF(OR(I103="Gasto",I103="Transferencia",I103="Pago tarjeta"),-1,1)*C103)</f>
        <v/>
      </c>
      <c r="U103" s="20">
        <f>IF(OR(G103="",AND(I103&lt;&gt;"Transferencia",I103&lt;&gt;"Pago tarjeta")),"",IF(IFERROR(INDEX(ctaMon,MATCH(G103,ctaNom,0))&amp;"","DOP")=N103,C103,IF(N103="USD",C103*TasaUSD,C103/TasaUSD)))</f>
        <v/>
      </c>
      <c r="V103" s="20">
        <f>IF(I103="","",IF(IFERROR(INDEX(ctaLiq,MATCH(E103,ctaNom,0))="Sí",FALSE),IF(OR(I103="Gasto",I103="Transferencia",I103="Pago tarjeta"),-1,1)*O103,0)+IF(AND(U103&lt;&gt;"",IFERROR(INDEX(ctaLiq,MATCH(G103,ctaNom,0))="Sí",FALSE)),O103,0))</f>
        <v/>
      </c>
      <c r="W103" s="19">
        <f>IF(OR(F103="",I103=""),"",IF(COUNTIFS(F$6:F103,F103,I$6:I103,"?*")=1,MAX(W$5:W102)+1,""))</f>
        <v/>
      </c>
    </row>
    <row r="104">
      <c r="B104" s="15" t="n">
        <v>46307</v>
      </c>
      <c r="C104" s="16" t="n">
        <v>3360</v>
      </c>
      <c r="D104" s="17" t="inlineStr">
        <is>
          <t>Electricidad</t>
        </is>
      </c>
      <c r="E104" s="17" t="inlineStr">
        <is>
          <t>Banco</t>
        </is>
      </c>
      <c r="F104" s="17" t="inlineStr">
        <is>
          <t>DEMO Electricidad</t>
        </is>
      </c>
      <c r="G104" s="17" t="n"/>
      <c r="H104" s="18">
        <f>IF(AND(B104="",C104="",D104="",E104=""),"",IF(B104="","⚠ Falta fecha",IF(C104="","⚠ Falta monto",IF(D104="","⚠ Falta categoría",IF(ISNA(MATCH(D104,catNom,0)),"⚠ Categoría no existe",IF(E104="","⚠ Falta cuenta",IF(ISNA(MATCH(E104,ctaNom,0)),"⚠ Cuenta no existe",IF(AND(OR(I104="Transferencia",I104="Pago tarjeta"),G104=""),"⚠ Indica la cuenta «Hacia»",IF(AND(G104&lt;&gt;"",G104=E104),"⚠ «Hacia» igual a la cuenta",IF(AND(G104&lt;&gt;"",ISNA(MATCH(G104,ctaNom,0))),"⚠ «Hacia» no existe",IF(AND(I104="Pago tarjeta",IFERROR(INDEX(ctaTipo,MATCH(G104,ctaNom,0)),"")&lt;&gt;"Tarjeta de crédito"),"⚠ «Hacia» debe ser la tarjeta",IF(AND(I104="Trading",IFERROR(INDEX(ctaTipo,MATCH(E104,ctaNom,0)),"")&lt;&gt;"Cuenta de trading"),"⚠ Usa la cuenta de trading","✓"))))))))))))</f>
        <v/>
      </c>
      <c r="I104" s="19">
        <f>IF(OR(B104="",C104="",D104=""),"",IFERROR(INDEX(catTipo,MATCH(D104,catNom,0))&amp;"",""))</f>
        <v/>
      </c>
      <c r="J104" s="19">
        <f>IF(I104="","",IFERROR(INDEX(catGrupo,MATCH(D104,catNom,0))&amp;"",""))</f>
        <v/>
      </c>
      <c r="K104" s="19">
        <f>IF(I104="Gasto",IF(IFERROR(INDEX(catClas,MATCH(D104,catNom,0))&amp;"","")="","Variable",IFERROR(INDEX(catClas,MATCH(D104,catNom,0))&amp;"","")),"")</f>
        <v/>
      </c>
      <c r="L104" s="19">
        <f>IF(I104="","",IFERROR(INDEX(catAlim,MATCH(D104,catNom,0))&amp;"",""))</f>
        <v/>
      </c>
      <c r="M104" s="19">
        <f>IF(I104="","",IFERROR(INDEX(catComida,MATCH(D104,catNom,0))&amp;"",""))</f>
        <v/>
      </c>
      <c r="N104" s="19">
        <f>IF(I104="","",IFERROR(INDEX(ctaMon,MATCH(E104,ctaNom,0))&amp;"","DOP"))</f>
        <v/>
      </c>
      <c r="O104" s="20">
        <f>IF(I104="","",C104*IF(N104="USD",TasaUSD,1))</f>
        <v/>
      </c>
      <c r="P104" s="20">
        <f>IF(I104="","",IF(I104="Gasto",O104,0))</f>
        <v/>
      </c>
      <c r="Q104" s="20">
        <f>IF(I104="","",IF(I104="Ingreso",O104,0))</f>
        <v/>
      </c>
      <c r="R104" s="20">
        <f>IF(I104="","",IF(I104="Trading",O104,0))</f>
        <v/>
      </c>
      <c r="S104" s="19">
        <f>IF(I104="","",IF(AND(I104="Gasto",K104="Variable",J104&lt;&gt;"Trading",O104&gt;0,O104&lt;=Umbral),1,0))</f>
        <v/>
      </c>
      <c r="T104" s="20">
        <f>IF(OR(I104="",E104=""),"",IF(OR(I104="Gasto",I104="Transferencia",I104="Pago tarjeta"),-1,1)*C104)</f>
        <v/>
      </c>
      <c r="U104" s="20">
        <f>IF(OR(G104="",AND(I104&lt;&gt;"Transferencia",I104&lt;&gt;"Pago tarjeta")),"",IF(IFERROR(INDEX(ctaMon,MATCH(G104,ctaNom,0))&amp;"","DOP")=N104,C104,IF(N104="USD",C104*TasaUSD,C104/TasaUSD)))</f>
        <v/>
      </c>
      <c r="V104" s="20">
        <f>IF(I104="","",IF(IFERROR(INDEX(ctaLiq,MATCH(E104,ctaNom,0))="Sí",FALSE),IF(OR(I104="Gasto",I104="Transferencia",I104="Pago tarjeta"),-1,1)*O104,0)+IF(AND(U104&lt;&gt;"",IFERROR(INDEX(ctaLiq,MATCH(G104,ctaNom,0))="Sí",FALSE)),O104,0))</f>
        <v/>
      </c>
      <c r="W104" s="19">
        <f>IF(OR(F104="",I104=""),"",IF(COUNTIFS(F$6:F104,F104,I$6:I104,"?*")=1,MAX(W$5:W103)+1,""))</f>
        <v/>
      </c>
    </row>
    <row r="105">
      <c r="B105" s="15" t="n">
        <v>46308</v>
      </c>
      <c r="C105" s="16" t="n">
        <v>550</v>
      </c>
      <c r="D105" s="17" t="inlineStr">
        <is>
          <t>Almuerzo comprado</t>
        </is>
      </c>
      <c r="E105" s="17" t="inlineStr">
        <is>
          <t>Billetera digital</t>
        </is>
      </c>
      <c r="F105" s="17" t="inlineStr">
        <is>
          <t>DEMO Comedor</t>
        </is>
      </c>
      <c r="G105" s="17" t="n"/>
      <c r="H105" s="18">
        <f>IF(AND(B105="",C105="",D105="",E105=""),"",IF(B105="","⚠ Falta fecha",IF(C105="","⚠ Falta monto",IF(D105="","⚠ Falta categoría",IF(ISNA(MATCH(D105,catNom,0)),"⚠ Categoría no existe",IF(E105="","⚠ Falta cuenta",IF(ISNA(MATCH(E105,ctaNom,0)),"⚠ Cuenta no existe",IF(AND(OR(I105="Transferencia",I105="Pago tarjeta"),G105=""),"⚠ Indica la cuenta «Hacia»",IF(AND(G105&lt;&gt;"",G105=E105),"⚠ «Hacia» igual a la cuenta",IF(AND(G105&lt;&gt;"",ISNA(MATCH(G105,ctaNom,0))),"⚠ «Hacia» no existe",IF(AND(I105="Pago tarjeta",IFERROR(INDEX(ctaTipo,MATCH(G105,ctaNom,0)),"")&lt;&gt;"Tarjeta de crédito"),"⚠ «Hacia» debe ser la tarjeta",IF(AND(I105="Trading",IFERROR(INDEX(ctaTipo,MATCH(E105,ctaNom,0)),"")&lt;&gt;"Cuenta de trading"),"⚠ Usa la cuenta de trading","✓"))))))))))))</f>
        <v/>
      </c>
      <c r="I105" s="19">
        <f>IF(OR(B105="",C105="",D105=""),"",IFERROR(INDEX(catTipo,MATCH(D105,catNom,0))&amp;"",""))</f>
        <v/>
      </c>
      <c r="J105" s="19">
        <f>IF(I105="","",IFERROR(INDEX(catGrupo,MATCH(D105,catNom,0))&amp;"",""))</f>
        <v/>
      </c>
      <c r="K105" s="19">
        <f>IF(I105="Gasto",IF(IFERROR(INDEX(catClas,MATCH(D105,catNom,0))&amp;"","")="","Variable",IFERROR(INDEX(catClas,MATCH(D105,catNom,0))&amp;"","")),"")</f>
        <v/>
      </c>
      <c r="L105" s="19">
        <f>IF(I105="","",IFERROR(INDEX(catAlim,MATCH(D105,catNom,0))&amp;"",""))</f>
        <v/>
      </c>
      <c r="M105" s="19">
        <f>IF(I105="","",IFERROR(INDEX(catComida,MATCH(D105,catNom,0))&amp;"",""))</f>
        <v/>
      </c>
      <c r="N105" s="19">
        <f>IF(I105="","",IFERROR(INDEX(ctaMon,MATCH(E105,ctaNom,0))&amp;"","DOP"))</f>
        <v/>
      </c>
      <c r="O105" s="20">
        <f>IF(I105="","",C105*IF(N105="USD",TasaUSD,1))</f>
        <v/>
      </c>
      <c r="P105" s="20">
        <f>IF(I105="","",IF(I105="Gasto",O105,0))</f>
        <v/>
      </c>
      <c r="Q105" s="20">
        <f>IF(I105="","",IF(I105="Ingreso",O105,0))</f>
        <v/>
      </c>
      <c r="R105" s="20">
        <f>IF(I105="","",IF(I105="Trading",O105,0))</f>
        <v/>
      </c>
      <c r="S105" s="19">
        <f>IF(I105="","",IF(AND(I105="Gasto",K105="Variable",J105&lt;&gt;"Trading",O105&gt;0,O105&lt;=Umbral),1,0))</f>
        <v/>
      </c>
      <c r="T105" s="20">
        <f>IF(OR(I105="",E105=""),"",IF(OR(I105="Gasto",I105="Transferencia",I105="Pago tarjeta"),-1,1)*C105)</f>
        <v/>
      </c>
      <c r="U105" s="20">
        <f>IF(OR(G105="",AND(I105&lt;&gt;"Transferencia",I105&lt;&gt;"Pago tarjeta")),"",IF(IFERROR(INDEX(ctaMon,MATCH(G105,ctaNom,0))&amp;"","DOP")=N105,C105,IF(N105="USD",C105*TasaUSD,C105/TasaUSD)))</f>
        <v/>
      </c>
      <c r="V105" s="20">
        <f>IF(I105="","",IF(IFERROR(INDEX(ctaLiq,MATCH(E105,ctaNom,0))="Sí",FALSE),IF(OR(I105="Gasto",I105="Transferencia",I105="Pago tarjeta"),-1,1)*O105,0)+IF(AND(U105&lt;&gt;"",IFERROR(INDEX(ctaLiq,MATCH(G105,ctaNom,0))="Sí",FALSE)),O105,0))</f>
        <v/>
      </c>
      <c r="W105" s="19">
        <f>IF(OR(F105="",I105=""),"",IF(COUNTIFS(F$6:F105,F105,I$6:I105,"?*")=1,MAX(W$5:W104)+1,""))</f>
        <v/>
      </c>
    </row>
    <row r="106">
      <c r="B106" s="15" t="n">
        <v>46308</v>
      </c>
      <c r="C106" s="16" t="n">
        <v>675</v>
      </c>
      <c r="D106" s="17" t="inlineStr">
        <is>
          <t>Cena comprada</t>
        </is>
      </c>
      <c r="E106" s="17" t="inlineStr">
        <is>
          <t>Tarjeta de crédito</t>
        </is>
      </c>
      <c r="F106" s="17" t="inlineStr">
        <is>
          <t>DEMO Pizzería</t>
        </is>
      </c>
      <c r="G106" s="17" t="n"/>
      <c r="H106" s="18">
        <f>IF(AND(B106="",C106="",D106="",E106=""),"",IF(B106="","⚠ Falta fecha",IF(C106="","⚠ Falta monto",IF(D106="","⚠ Falta categoría",IF(ISNA(MATCH(D106,catNom,0)),"⚠ Categoría no existe",IF(E106="","⚠ Falta cuenta",IF(ISNA(MATCH(E106,ctaNom,0)),"⚠ Cuenta no existe",IF(AND(OR(I106="Transferencia",I106="Pago tarjeta"),G106=""),"⚠ Indica la cuenta «Hacia»",IF(AND(G106&lt;&gt;"",G106=E106),"⚠ «Hacia» igual a la cuenta",IF(AND(G106&lt;&gt;"",ISNA(MATCH(G106,ctaNom,0))),"⚠ «Hacia» no existe",IF(AND(I106="Pago tarjeta",IFERROR(INDEX(ctaTipo,MATCH(G106,ctaNom,0)),"")&lt;&gt;"Tarjeta de crédito"),"⚠ «Hacia» debe ser la tarjeta",IF(AND(I106="Trading",IFERROR(INDEX(ctaTipo,MATCH(E106,ctaNom,0)),"")&lt;&gt;"Cuenta de trading"),"⚠ Usa la cuenta de trading","✓"))))))))))))</f>
        <v/>
      </c>
      <c r="I106" s="19">
        <f>IF(OR(B106="",C106="",D106=""),"",IFERROR(INDEX(catTipo,MATCH(D106,catNom,0))&amp;"",""))</f>
        <v/>
      </c>
      <c r="J106" s="19">
        <f>IF(I106="","",IFERROR(INDEX(catGrupo,MATCH(D106,catNom,0))&amp;"",""))</f>
        <v/>
      </c>
      <c r="K106" s="19">
        <f>IF(I106="Gasto",IF(IFERROR(INDEX(catClas,MATCH(D106,catNom,0))&amp;"","")="","Variable",IFERROR(INDEX(catClas,MATCH(D106,catNom,0))&amp;"","")),"")</f>
        <v/>
      </c>
      <c r="L106" s="19">
        <f>IF(I106="","",IFERROR(INDEX(catAlim,MATCH(D106,catNom,0))&amp;"",""))</f>
        <v/>
      </c>
      <c r="M106" s="19">
        <f>IF(I106="","",IFERROR(INDEX(catComida,MATCH(D106,catNom,0))&amp;"",""))</f>
        <v/>
      </c>
      <c r="N106" s="19">
        <f>IF(I106="","",IFERROR(INDEX(ctaMon,MATCH(E106,ctaNom,0))&amp;"","DOP"))</f>
        <v/>
      </c>
      <c r="O106" s="20">
        <f>IF(I106="","",C106*IF(N106="USD",TasaUSD,1))</f>
        <v/>
      </c>
      <c r="P106" s="20">
        <f>IF(I106="","",IF(I106="Gasto",O106,0))</f>
        <v/>
      </c>
      <c r="Q106" s="20">
        <f>IF(I106="","",IF(I106="Ingreso",O106,0))</f>
        <v/>
      </c>
      <c r="R106" s="20">
        <f>IF(I106="","",IF(I106="Trading",O106,0))</f>
        <v/>
      </c>
      <c r="S106" s="19">
        <f>IF(I106="","",IF(AND(I106="Gasto",K106="Variable",J106&lt;&gt;"Trading",O106&gt;0,O106&lt;=Umbral),1,0))</f>
        <v/>
      </c>
      <c r="T106" s="20">
        <f>IF(OR(I106="",E106=""),"",IF(OR(I106="Gasto",I106="Transferencia",I106="Pago tarjeta"),-1,1)*C106)</f>
        <v/>
      </c>
      <c r="U106" s="20">
        <f>IF(OR(G106="",AND(I106&lt;&gt;"Transferencia",I106&lt;&gt;"Pago tarjeta")),"",IF(IFERROR(INDEX(ctaMon,MATCH(G106,ctaNom,0))&amp;"","DOP")=N106,C106,IF(N106="USD",C106*TasaUSD,C106/TasaUSD)))</f>
        <v/>
      </c>
      <c r="V106" s="20">
        <f>IF(I106="","",IF(IFERROR(INDEX(ctaLiq,MATCH(E106,ctaNom,0))="Sí",FALSE),IF(OR(I106="Gasto",I106="Transferencia",I106="Pago tarjeta"),-1,1)*O106,0)+IF(AND(U106&lt;&gt;"",IFERROR(INDEX(ctaLiq,MATCH(G106,ctaNom,0))="Sí",FALSE)),O106,0))</f>
        <v/>
      </c>
      <c r="W106" s="19">
        <f>IF(OR(F106="",I106=""),"",IF(COUNTIFS(F$6:F106,F106,I$6:I106,"?*")=1,MAX(W$5:W105)+1,""))</f>
        <v/>
      </c>
    </row>
    <row r="107">
      <c r="B107" s="15" t="n"/>
      <c r="C107" s="16" t="n"/>
      <c r="D107" s="17" t="n"/>
      <c r="E107" s="17" t="n"/>
      <c r="F107" s="17" t="n"/>
      <c r="G107" s="17" t="n"/>
      <c r="H107" s="18">
        <f>IF(AND(B107="",C107="",D107="",E107=""),"",IF(B107="","⚠ Falta fecha",IF(C107="","⚠ Falta monto",IF(D107="","⚠ Falta categoría",IF(ISNA(MATCH(D107,catNom,0)),"⚠ Categoría no existe",IF(E107="","⚠ Falta cuenta",IF(ISNA(MATCH(E107,ctaNom,0)),"⚠ Cuenta no existe",IF(AND(OR(I107="Transferencia",I107="Pago tarjeta"),G107=""),"⚠ Indica la cuenta «Hacia»",IF(AND(G107&lt;&gt;"",G107=E107),"⚠ «Hacia» igual a la cuenta",IF(AND(G107&lt;&gt;"",ISNA(MATCH(G107,ctaNom,0))),"⚠ «Hacia» no existe",IF(AND(I107="Pago tarjeta",IFERROR(INDEX(ctaTipo,MATCH(G107,ctaNom,0)),"")&lt;&gt;"Tarjeta de crédito"),"⚠ «Hacia» debe ser la tarjeta",IF(AND(I107="Trading",IFERROR(INDEX(ctaTipo,MATCH(E107,ctaNom,0)),"")&lt;&gt;"Cuenta de trading"),"⚠ Usa la cuenta de trading","✓"))))))))))))</f>
        <v/>
      </c>
      <c r="I107" s="19">
        <f>IF(OR(B107="",C107="",D107=""),"",IFERROR(INDEX(catTipo,MATCH(D107,catNom,0))&amp;"",""))</f>
        <v/>
      </c>
      <c r="J107" s="19">
        <f>IF(I107="","",IFERROR(INDEX(catGrupo,MATCH(D107,catNom,0))&amp;"",""))</f>
        <v/>
      </c>
      <c r="K107" s="19">
        <f>IF(I107="Gasto",IF(IFERROR(INDEX(catClas,MATCH(D107,catNom,0))&amp;"","")="","Variable",IFERROR(INDEX(catClas,MATCH(D107,catNom,0))&amp;"","")),"")</f>
        <v/>
      </c>
      <c r="L107" s="19">
        <f>IF(I107="","",IFERROR(INDEX(catAlim,MATCH(D107,catNom,0))&amp;"",""))</f>
        <v/>
      </c>
      <c r="M107" s="19">
        <f>IF(I107="","",IFERROR(INDEX(catComida,MATCH(D107,catNom,0))&amp;"",""))</f>
        <v/>
      </c>
      <c r="N107" s="19">
        <f>IF(I107="","",IFERROR(INDEX(ctaMon,MATCH(E107,ctaNom,0))&amp;"","DOP"))</f>
        <v/>
      </c>
      <c r="O107" s="20">
        <f>IF(I107="","",C107*IF(N107="USD",TasaUSD,1))</f>
        <v/>
      </c>
      <c r="P107" s="20">
        <f>IF(I107="","",IF(I107="Gasto",O107,0))</f>
        <v/>
      </c>
      <c r="Q107" s="20">
        <f>IF(I107="","",IF(I107="Ingreso",O107,0))</f>
        <v/>
      </c>
      <c r="R107" s="20">
        <f>IF(I107="","",IF(I107="Trading",O107,0))</f>
        <v/>
      </c>
      <c r="S107" s="19">
        <f>IF(I107="","",IF(AND(I107="Gasto",K107="Variable",J107&lt;&gt;"Trading",O107&gt;0,O107&lt;=Umbral),1,0))</f>
        <v/>
      </c>
      <c r="T107" s="20">
        <f>IF(OR(I107="",E107=""),"",IF(OR(I107="Gasto",I107="Transferencia",I107="Pago tarjeta"),-1,1)*C107)</f>
        <v/>
      </c>
      <c r="U107" s="20">
        <f>IF(OR(G107="",AND(I107&lt;&gt;"Transferencia",I107&lt;&gt;"Pago tarjeta")),"",IF(IFERROR(INDEX(ctaMon,MATCH(G107,ctaNom,0))&amp;"","DOP")=N107,C107,IF(N107="USD",C107*TasaUSD,C107/TasaUSD)))</f>
        <v/>
      </c>
      <c r="V107" s="20">
        <f>IF(I107="","",IF(IFERROR(INDEX(ctaLiq,MATCH(E107,ctaNom,0))="Sí",FALSE),IF(OR(I107="Gasto",I107="Transferencia",I107="Pago tarjeta"),-1,1)*O107,0)+IF(AND(U107&lt;&gt;"",IFERROR(INDEX(ctaLiq,MATCH(G107,ctaNom,0))="Sí",FALSE)),O107,0))</f>
        <v/>
      </c>
      <c r="W107" s="19">
        <f>IF(OR(F107="",I107=""),"",IF(COUNTIFS(F$6:F107,F107,I$6:I107,"?*")=1,MAX(W$5:W106)+1,""))</f>
        <v/>
      </c>
    </row>
    <row r="108">
      <c r="B108" s="15" t="n"/>
      <c r="C108" s="16" t="n"/>
      <c r="D108" s="17" t="n"/>
      <c r="E108" s="17" t="n"/>
      <c r="F108" s="17" t="n"/>
      <c r="G108" s="17" t="n"/>
      <c r="H108" s="18">
        <f>IF(AND(B108="",C108="",D108="",E108=""),"",IF(B108="","⚠ Falta fecha",IF(C108="","⚠ Falta monto",IF(D108="","⚠ Falta categoría",IF(ISNA(MATCH(D108,catNom,0)),"⚠ Categoría no existe",IF(E108="","⚠ Falta cuenta",IF(ISNA(MATCH(E108,ctaNom,0)),"⚠ Cuenta no existe",IF(AND(OR(I108="Transferencia",I108="Pago tarjeta"),G108=""),"⚠ Indica la cuenta «Hacia»",IF(AND(G108&lt;&gt;"",G108=E108),"⚠ «Hacia» igual a la cuenta",IF(AND(G108&lt;&gt;"",ISNA(MATCH(G108,ctaNom,0))),"⚠ «Hacia» no existe",IF(AND(I108="Pago tarjeta",IFERROR(INDEX(ctaTipo,MATCH(G108,ctaNom,0)),"")&lt;&gt;"Tarjeta de crédito"),"⚠ «Hacia» debe ser la tarjeta",IF(AND(I108="Trading",IFERROR(INDEX(ctaTipo,MATCH(E108,ctaNom,0)),"")&lt;&gt;"Cuenta de trading"),"⚠ Usa la cuenta de trading","✓"))))))))))))</f>
        <v/>
      </c>
      <c r="I108" s="19">
        <f>IF(OR(B108="",C108="",D108=""),"",IFERROR(INDEX(catTipo,MATCH(D108,catNom,0))&amp;"",""))</f>
        <v/>
      </c>
      <c r="J108" s="19">
        <f>IF(I108="","",IFERROR(INDEX(catGrupo,MATCH(D108,catNom,0))&amp;"",""))</f>
        <v/>
      </c>
      <c r="K108" s="19">
        <f>IF(I108="Gasto",IF(IFERROR(INDEX(catClas,MATCH(D108,catNom,0))&amp;"","")="","Variable",IFERROR(INDEX(catClas,MATCH(D108,catNom,0))&amp;"","")),"")</f>
        <v/>
      </c>
      <c r="L108" s="19">
        <f>IF(I108="","",IFERROR(INDEX(catAlim,MATCH(D108,catNom,0))&amp;"",""))</f>
        <v/>
      </c>
      <c r="M108" s="19">
        <f>IF(I108="","",IFERROR(INDEX(catComida,MATCH(D108,catNom,0))&amp;"",""))</f>
        <v/>
      </c>
      <c r="N108" s="19">
        <f>IF(I108="","",IFERROR(INDEX(ctaMon,MATCH(E108,ctaNom,0))&amp;"","DOP"))</f>
        <v/>
      </c>
      <c r="O108" s="20">
        <f>IF(I108="","",C108*IF(N108="USD",TasaUSD,1))</f>
        <v/>
      </c>
      <c r="P108" s="20">
        <f>IF(I108="","",IF(I108="Gasto",O108,0))</f>
        <v/>
      </c>
      <c r="Q108" s="20">
        <f>IF(I108="","",IF(I108="Ingreso",O108,0))</f>
        <v/>
      </c>
      <c r="R108" s="20">
        <f>IF(I108="","",IF(I108="Trading",O108,0))</f>
        <v/>
      </c>
      <c r="S108" s="19">
        <f>IF(I108="","",IF(AND(I108="Gasto",K108="Variable",J108&lt;&gt;"Trading",O108&gt;0,O108&lt;=Umbral),1,0))</f>
        <v/>
      </c>
      <c r="T108" s="20">
        <f>IF(OR(I108="",E108=""),"",IF(OR(I108="Gasto",I108="Transferencia",I108="Pago tarjeta"),-1,1)*C108)</f>
        <v/>
      </c>
      <c r="U108" s="20">
        <f>IF(OR(G108="",AND(I108&lt;&gt;"Transferencia",I108&lt;&gt;"Pago tarjeta")),"",IF(IFERROR(INDEX(ctaMon,MATCH(G108,ctaNom,0))&amp;"","DOP")=N108,C108,IF(N108="USD",C108*TasaUSD,C108/TasaUSD)))</f>
        <v/>
      </c>
      <c r="V108" s="20">
        <f>IF(I108="","",IF(IFERROR(INDEX(ctaLiq,MATCH(E108,ctaNom,0))="Sí",FALSE),IF(OR(I108="Gasto",I108="Transferencia",I108="Pago tarjeta"),-1,1)*O108,0)+IF(AND(U108&lt;&gt;"",IFERROR(INDEX(ctaLiq,MATCH(G108,ctaNom,0))="Sí",FALSE)),O108,0))</f>
        <v/>
      </c>
      <c r="W108" s="19">
        <f>IF(OR(F108="",I108=""),"",IF(COUNTIFS(F$6:F108,F108,I$6:I108,"?*")=1,MAX(W$5:W107)+1,""))</f>
        <v/>
      </c>
    </row>
    <row r="109">
      <c r="B109" s="15" t="n"/>
      <c r="C109" s="16" t="n"/>
      <c r="D109" s="17" t="n"/>
      <c r="E109" s="17" t="n"/>
      <c r="F109" s="17" t="n"/>
      <c r="G109" s="17" t="n"/>
      <c r="H109" s="18">
        <f>IF(AND(B109="",C109="",D109="",E109=""),"",IF(B109="","⚠ Falta fecha",IF(C109="","⚠ Falta monto",IF(D109="","⚠ Falta categoría",IF(ISNA(MATCH(D109,catNom,0)),"⚠ Categoría no existe",IF(E109="","⚠ Falta cuenta",IF(ISNA(MATCH(E109,ctaNom,0)),"⚠ Cuenta no existe",IF(AND(OR(I109="Transferencia",I109="Pago tarjeta"),G109=""),"⚠ Indica la cuenta «Hacia»",IF(AND(G109&lt;&gt;"",G109=E109),"⚠ «Hacia» igual a la cuenta",IF(AND(G109&lt;&gt;"",ISNA(MATCH(G109,ctaNom,0))),"⚠ «Hacia» no existe",IF(AND(I109="Pago tarjeta",IFERROR(INDEX(ctaTipo,MATCH(G109,ctaNom,0)),"")&lt;&gt;"Tarjeta de crédito"),"⚠ «Hacia» debe ser la tarjeta",IF(AND(I109="Trading",IFERROR(INDEX(ctaTipo,MATCH(E109,ctaNom,0)),"")&lt;&gt;"Cuenta de trading"),"⚠ Usa la cuenta de trading","✓"))))))))))))</f>
        <v/>
      </c>
      <c r="I109" s="19">
        <f>IF(OR(B109="",C109="",D109=""),"",IFERROR(INDEX(catTipo,MATCH(D109,catNom,0))&amp;"",""))</f>
        <v/>
      </c>
      <c r="J109" s="19">
        <f>IF(I109="","",IFERROR(INDEX(catGrupo,MATCH(D109,catNom,0))&amp;"",""))</f>
        <v/>
      </c>
      <c r="K109" s="19">
        <f>IF(I109="Gasto",IF(IFERROR(INDEX(catClas,MATCH(D109,catNom,0))&amp;"","")="","Variable",IFERROR(INDEX(catClas,MATCH(D109,catNom,0))&amp;"","")),"")</f>
        <v/>
      </c>
      <c r="L109" s="19">
        <f>IF(I109="","",IFERROR(INDEX(catAlim,MATCH(D109,catNom,0))&amp;"",""))</f>
        <v/>
      </c>
      <c r="M109" s="19">
        <f>IF(I109="","",IFERROR(INDEX(catComida,MATCH(D109,catNom,0))&amp;"",""))</f>
        <v/>
      </c>
      <c r="N109" s="19">
        <f>IF(I109="","",IFERROR(INDEX(ctaMon,MATCH(E109,ctaNom,0))&amp;"","DOP"))</f>
        <v/>
      </c>
      <c r="O109" s="20">
        <f>IF(I109="","",C109*IF(N109="USD",TasaUSD,1))</f>
        <v/>
      </c>
      <c r="P109" s="20">
        <f>IF(I109="","",IF(I109="Gasto",O109,0))</f>
        <v/>
      </c>
      <c r="Q109" s="20">
        <f>IF(I109="","",IF(I109="Ingreso",O109,0))</f>
        <v/>
      </c>
      <c r="R109" s="20">
        <f>IF(I109="","",IF(I109="Trading",O109,0))</f>
        <v/>
      </c>
      <c r="S109" s="19">
        <f>IF(I109="","",IF(AND(I109="Gasto",K109="Variable",J109&lt;&gt;"Trading",O109&gt;0,O109&lt;=Umbral),1,0))</f>
        <v/>
      </c>
      <c r="T109" s="20">
        <f>IF(OR(I109="",E109=""),"",IF(OR(I109="Gasto",I109="Transferencia",I109="Pago tarjeta"),-1,1)*C109)</f>
        <v/>
      </c>
      <c r="U109" s="20">
        <f>IF(OR(G109="",AND(I109&lt;&gt;"Transferencia",I109&lt;&gt;"Pago tarjeta")),"",IF(IFERROR(INDEX(ctaMon,MATCH(G109,ctaNom,0))&amp;"","DOP")=N109,C109,IF(N109="USD",C109*TasaUSD,C109/TasaUSD)))</f>
        <v/>
      </c>
      <c r="V109" s="20">
        <f>IF(I109="","",IF(IFERROR(INDEX(ctaLiq,MATCH(E109,ctaNom,0))="Sí",FALSE),IF(OR(I109="Gasto",I109="Transferencia",I109="Pago tarjeta"),-1,1)*O109,0)+IF(AND(U109&lt;&gt;"",IFERROR(INDEX(ctaLiq,MATCH(G109,ctaNom,0))="Sí",FALSE)),O109,0))</f>
        <v/>
      </c>
      <c r="W109" s="19">
        <f>IF(OR(F109="",I109=""),"",IF(COUNTIFS(F$6:F109,F109,I$6:I109,"?*")=1,MAX(W$5:W108)+1,""))</f>
        <v/>
      </c>
    </row>
    <row r="110">
      <c r="B110" s="15" t="n"/>
      <c r="C110" s="16" t="n"/>
      <c r="D110" s="17" t="n"/>
      <c r="E110" s="17" t="n"/>
      <c r="F110" s="17" t="n"/>
      <c r="G110" s="17" t="n"/>
      <c r="H110" s="18">
        <f>IF(AND(B110="",C110="",D110="",E110=""),"",IF(B110="","⚠ Falta fecha",IF(C110="","⚠ Falta monto",IF(D110="","⚠ Falta categoría",IF(ISNA(MATCH(D110,catNom,0)),"⚠ Categoría no existe",IF(E110="","⚠ Falta cuenta",IF(ISNA(MATCH(E110,ctaNom,0)),"⚠ Cuenta no existe",IF(AND(OR(I110="Transferencia",I110="Pago tarjeta"),G110=""),"⚠ Indica la cuenta «Hacia»",IF(AND(G110&lt;&gt;"",G110=E110),"⚠ «Hacia» igual a la cuenta",IF(AND(G110&lt;&gt;"",ISNA(MATCH(G110,ctaNom,0))),"⚠ «Hacia» no existe",IF(AND(I110="Pago tarjeta",IFERROR(INDEX(ctaTipo,MATCH(G110,ctaNom,0)),"")&lt;&gt;"Tarjeta de crédito"),"⚠ «Hacia» debe ser la tarjeta",IF(AND(I110="Trading",IFERROR(INDEX(ctaTipo,MATCH(E110,ctaNom,0)),"")&lt;&gt;"Cuenta de trading"),"⚠ Usa la cuenta de trading","✓"))))))))))))</f>
        <v/>
      </c>
      <c r="I110" s="19">
        <f>IF(OR(B110="",C110="",D110=""),"",IFERROR(INDEX(catTipo,MATCH(D110,catNom,0))&amp;"",""))</f>
        <v/>
      </c>
      <c r="J110" s="19">
        <f>IF(I110="","",IFERROR(INDEX(catGrupo,MATCH(D110,catNom,0))&amp;"",""))</f>
        <v/>
      </c>
      <c r="K110" s="19">
        <f>IF(I110="Gasto",IF(IFERROR(INDEX(catClas,MATCH(D110,catNom,0))&amp;"","")="","Variable",IFERROR(INDEX(catClas,MATCH(D110,catNom,0))&amp;"","")),"")</f>
        <v/>
      </c>
      <c r="L110" s="19">
        <f>IF(I110="","",IFERROR(INDEX(catAlim,MATCH(D110,catNom,0))&amp;"",""))</f>
        <v/>
      </c>
      <c r="M110" s="19">
        <f>IF(I110="","",IFERROR(INDEX(catComida,MATCH(D110,catNom,0))&amp;"",""))</f>
        <v/>
      </c>
      <c r="N110" s="19">
        <f>IF(I110="","",IFERROR(INDEX(ctaMon,MATCH(E110,ctaNom,0))&amp;"","DOP"))</f>
        <v/>
      </c>
      <c r="O110" s="20">
        <f>IF(I110="","",C110*IF(N110="USD",TasaUSD,1))</f>
        <v/>
      </c>
      <c r="P110" s="20">
        <f>IF(I110="","",IF(I110="Gasto",O110,0))</f>
        <v/>
      </c>
      <c r="Q110" s="20">
        <f>IF(I110="","",IF(I110="Ingreso",O110,0))</f>
        <v/>
      </c>
      <c r="R110" s="20">
        <f>IF(I110="","",IF(I110="Trading",O110,0))</f>
        <v/>
      </c>
      <c r="S110" s="19">
        <f>IF(I110="","",IF(AND(I110="Gasto",K110="Variable",J110&lt;&gt;"Trading",O110&gt;0,O110&lt;=Umbral),1,0))</f>
        <v/>
      </c>
      <c r="T110" s="20">
        <f>IF(OR(I110="",E110=""),"",IF(OR(I110="Gasto",I110="Transferencia",I110="Pago tarjeta"),-1,1)*C110)</f>
        <v/>
      </c>
      <c r="U110" s="20">
        <f>IF(OR(G110="",AND(I110&lt;&gt;"Transferencia",I110&lt;&gt;"Pago tarjeta")),"",IF(IFERROR(INDEX(ctaMon,MATCH(G110,ctaNom,0))&amp;"","DOP")=N110,C110,IF(N110="USD",C110*TasaUSD,C110/TasaUSD)))</f>
        <v/>
      </c>
      <c r="V110" s="20">
        <f>IF(I110="","",IF(IFERROR(INDEX(ctaLiq,MATCH(E110,ctaNom,0))="Sí",FALSE),IF(OR(I110="Gasto",I110="Transferencia",I110="Pago tarjeta"),-1,1)*O110,0)+IF(AND(U110&lt;&gt;"",IFERROR(INDEX(ctaLiq,MATCH(G110,ctaNom,0))="Sí",FALSE)),O110,0))</f>
        <v/>
      </c>
      <c r="W110" s="19">
        <f>IF(OR(F110="",I110=""),"",IF(COUNTIFS(F$6:F110,F110,I$6:I110,"?*")=1,MAX(W$5:W109)+1,""))</f>
        <v/>
      </c>
    </row>
    <row r="111">
      <c r="B111" s="15" t="n"/>
      <c r="C111" s="16" t="n"/>
      <c r="D111" s="17" t="n"/>
      <c r="E111" s="17" t="n"/>
      <c r="F111" s="17" t="n"/>
      <c r="G111" s="17" t="n"/>
      <c r="H111" s="18">
        <f>IF(AND(B111="",C111="",D111="",E111=""),"",IF(B111="","⚠ Falta fecha",IF(C111="","⚠ Falta monto",IF(D111="","⚠ Falta categoría",IF(ISNA(MATCH(D111,catNom,0)),"⚠ Categoría no existe",IF(E111="","⚠ Falta cuenta",IF(ISNA(MATCH(E111,ctaNom,0)),"⚠ Cuenta no existe",IF(AND(OR(I111="Transferencia",I111="Pago tarjeta"),G111=""),"⚠ Indica la cuenta «Hacia»",IF(AND(G111&lt;&gt;"",G111=E111),"⚠ «Hacia» igual a la cuenta",IF(AND(G111&lt;&gt;"",ISNA(MATCH(G111,ctaNom,0))),"⚠ «Hacia» no existe",IF(AND(I111="Pago tarjeta",IFERROR(INDEX(ctaTipo,MATCH(G111,ctaNom,0)),"")&lt;&gt;"Tarjeta de crédito"),"⚠ «Hacia» debe ser la tarjeta",IF(AND(I111="Trading",IFERROR(INDEX(ctaTipo,MATCH(E111,ctaNom,0)),"")&lt;&gt;"Cuenta de trading"),"⚠ Usa la cuenta de trading","✓"))))))))))))</f>
        <v/>
      </c>
      <c r="I111" s="19">
        <f>IF(OR(B111="",C111="",D111=""),"",IFERROR(INDEX(catTipo,MATCH(D111,catNom,0))&amp;"",""))</f>
        <v/>
      </c>
      <c r="J111" s="19">
        <f>IF(I111="","",IFERROR(INDEX(catGrupo,MATCH(D111,catNom,0))&amp;"",""))</f>
        <v/>
      </c>
      <c r="K111" s="19">
        <f>IF(I111="Gasto",IF(IFERROR(INDEX(catClas,MATCH(D111,catNom,0))&amp;"","")="","Variable",IFERROR(INDEX(catClas,MATCH(D111,catNom,0))&amp;"","")),"")</f>
        <v/>
      </c>
      <c r="L111" s="19">
        <f>IF(I111="","",IFERROR(INDEX(catAlim,MATCH(D111,catNom,0))&amp;"",""))</f>
        <v/>
      </c>
      <c r="M111" s="19">
        <f>IF(I111="","",IFERROR(INDEX(catComida,MATCH(D111,catNom,0))&amp;"",""))</f>
        <v/>
      </c>
      <c r="N111" s="19">
        <f>IF(I111="","",IFERROR(INDEX(ctaMon,MATCH(E111,ctaNom,0))&amp;"","DOP"))</f>
        <v/>
      </c>
      <c r="O111" s="20">
        <f>IF(I111="","",C111*IF(N111="USD",TasaUSD,1))</f>
        <v/>
      </c>
      <c r="P111" s="20">
        <f>IF(I111="","",IF(I111="Gasto",O111,0))</f>
        <v/>
      </c>
      <c r="Q111" s="20">
        <f>IF(I111="","",IF(I111="Ingreso",O111,0))</f>
        <v/>
      </c>
      <c r="R111" s="20">
        <f>IF(I111="","",IF(I111="Trading",O111,0))</f>
        <v/>
      </c>
      <c r="S111" s="19">
        <f>IF(I111="","",IF(AND(I111="Gasto",K111="Variable",J111&lt;&gt;"Trading",O111&gt;0,O111&lt;=Umbral),1,0))</f>
        <v/>
      </c>
      <c r="T111" s="20">
        <f>IF(OR(I111="",E111=""),"",IF(OR(I111="Gasto",I111="Transferencia",I111="Pago tarjeta"),-1,1)*C111)</f>
        <v/>
      </c>
      <c r="U111" s="20">
        <f>IF(OR(G111="",AND(I111&lt;&gt;"Transferencia",I111&lt;&gt;"Pago tarjeta")),"",IF(IFERROR(INDEX(ctaMon,MATCH(G111,ctaNom,0))&amp;"","DOP")=N111,C111,IF(N111="USD",C111*TasaUSD,C111/TasaUSD)))</f>
        <v/>
      </c>
      <c r="V111" s="20">
        <f>IF(I111="","",IF(IFERROR(INDEX(ctaLiq,MATCH(E111,ctaNom,0))="Sí",FALSE),IF(OR(I111="Gasto",I111="Transferencia",I111="Pago tarjeta"),-1,1)*O111,0)+IF(AND(U111&lt;&gt;"",IFERROR(INDEX(ctaLiq,MATCH(G111,ctaNom,0))="Sí",FALSE)),O111,0))</f>
        <v/>
      </c>
      <c r="W111" s="19">
        <f>IF(OR(F111="",I111=""),"",IF(COUNTIFS(F$6:F111,F111,I$6:I111,"?*")=1,MAX(W$5:W110)+1,""))</f>
        <v/>
      </c>
    </row>
    <row r="112">
      <c r="B112" s="15" t="n"/>
      <c r="C112" s="16" t="n"/>
      <c r="D112" s="17" t="n"/>
      <c r="E112" s="17" t="n"/>
      <c r="F112" s="17" t="n"/>
      <c r="G112" s="17" t="n"/>
      <c r="H112" s="18">
        <f>IF(AND(B112="",C112="",D112="",E112=""),"",IF(B112="","⚠ Falta fecha",IF(C112="","⚠ Falta monto",IF(D112="","⚠ Falta categoría",IF(ISNA(MATCH(D112,catNom,0)),"⚠ Categoría no existe",IF(E112="","⚠ Falta cuenta",IF(ISNA(MATCH(E112,ctaNom,0)),"⚠ Cuenta no existe",IF(AND(OR(I112="Transferencia",I112="Pago tarjeta"),G112=""),"⚠ Indica la cuenta «Hacia»",IF(AND(G112&lt;&gt;"",G112=E112),"⚠ «Hacia» igual a la cuenta",IF(AND(G112&lt;&gt;"",ISNA(MATCH(G112,ctaNom,0))),"⚠ «Hacia» no existe",IF(AND(I112="Pago tarjeta",IFERROR(INDEX(ctaTipo,MATCH(G112,ctaNom,0)),"")&lt;&gt;"Tarjeta de crédito"),"⚠ «Hacia» debe ser la tarjeta",IF(AND(I112="Trading",IFERROR(INDEX(ctaTipo,MATCH(E112,ctaNom,0)),"")&lt;&gt;"Cuenta de trading"),"⚠ Usa la cuenta de trading","✓"))))))))))))</f>
        <v/>
      </c>
      <c r="I112" s="19">
        <f>IF(OR(B112="",C112="",D112=""),"",IFERROR(INDEX(catTipo,MATCH(D112,catNom,0))&amp;"",""))</f>
        <v/>
      </c>
      <c r="J112" s="19">
        <f>IF(I112="","",IFERROR(INDEX(catGrupo,MATCH(D112,catNom,0))&amp;"",""))</f>
        <v/>
      </c>
      <c r="K112" s="19">
        <f>IF(I112="Gasto",IF(IFERROR(INDEX(catClas,MATCH(D112,catNom,0))&amp;"","")="","Variable",IFERROR(INDEX(catClas,MATCH(D112,catNom,0))&amp;"","")),"")</f>
        <v/>
      </c>
      <c r="L112" s="19">
        <f>IF(I112="","",IFERROR(INDEX(catAlim,MATCH(D112,catNom,0))&amp;"",""))</f>
        <v/>
      </c>
      <c r="M112" s="19">
        <f>IF(I112="","",IFERROR(INDEX(catComida,MATCH(D112,catNom,0))&amp;"",""))</f>
        <v/>
      </c>
      <c r="N112" s="19">
        <f>IF(I112="","",IFERROR(INDEX(ctaMon,MATCH(E112,ctaNom,0))&amp;"","DOP"))</f>
        <v/>
      </c>
      <c r="O112" s="20">
        <f>IF(I112="","",C112*IF(N112="USD",TasaUSD,1))</f>
        <v/>
      </c>
      <c r="P112" s="20">
        <f>IF(I112="","",IF(I112="Gasto",O112,0))</f>
        <v/>
      </c>
      <c r="Q112" s="20">
        <f>IF(I112="","",IF(I112="Ingreso",O112,0))</f>
        <v/>
      </c>
      <c r="R112" s="20">
        <f>IF(I112="","",IF(I112="Trading",O112,0))</f>
        <v/>
      </c>
      <c r="S112" s="19">
        <f>IF(I112="","",IF(AND(I112="Gasto",K112="Variable",J112&lt;&gt;"Trading",O112&gt;0,O112&lt;=Umbral),1,0))</f>
        <v/>
      </c>
      <c r="T112" s="20">
        <f>IF(OR(I112="",E112=""),"",IF(OR(I112="Gasto",I112="Transferencia",I112="Pago tarjeta"),-1,1)*C112)</f>
        <v/>
      </c>
      <c r="U112" s="20">
        <f>IF(OR(G112="",AND(I112&lt;&gt;"Transferencia",I112&lt;&gt;"Pago tarjeta")),"",IF(IFERROR(INDEX(ctaMon,MATCH(G112,ctaNom,0))&amp;"","DOP")=N112,C112,IF(N112="USD",C112*TasaUSD,C112/TasaUSD)))</f>
        <v/>
      </c>
      <c r="V112" s="20">
        <f>IF(I112="","",IF(IFERROR(INDEX(ctaLiq,MATCH(E112,ctaNom,0))="Sí",FALSE),IF(OR(I112="Gasto",I112="Transferencia",I112="Pago tarjeta"),-1,1)*O112,0)+IF(AND(U112&lt;&gt;"",IFERROR(INDEX(ctaLiq,MATCH(G112,ctaNom,0))="Sí",FALSE)),O112,0))</f>
        <v/>
      </c>
      <c r="W112" s="19">
        <f>IF(OR(F112="",I112=""),"",IF(COUNTIFS(F$6:F112,F112,I$6:I112,"?*")=1,MAX(W$5:W111)+1,""))</f>
        <v/>
      </c>
    </row>
    <row r="113">
      <c r="B113" s="15" t="n"/>
      <c r="C113" s="16" t="n"/>
      <c r="D113" s="17" t="n"/>
      <c r="E113" s="17" t="n"/>
      <c r="F113" s="17" t="n"/>
      <c r="G113" s="17" t="n"/>
      <c r="H113" s="18">
        <f>IF(AND(B113="",C113="",D113="",E113=""),"",IF(B113="","⚠ Falta fecha",IF(C113="","⚠ Falta monto",IF(D113="","⚠ Falta categoría",IF(ISNA(MATCH(D113,catNom,0)),"⚠ Categoría no existe",IF(E113="","⚠ Falta cuenta",IF(ISNA(MATCH(E113,ctaNom,0)),"⚠ Cuenta no existe",IF(AND(OR(I113="Transferencia",I113="Pago tarjeta"),G113=""),"⚠ Indica la cuenta «Hacia»",IF(AND(G113&lt;&gt;"",G113=E113),"⚠ «Hacia» igual a la cuenta",IF(AND(G113&lt;&gt;"",ISNA(MATCH(G113,ctaNom,0))),"⚠ «Hacia» no existe",IF(AND(I113="Pago tarjeta",IFERROR(INDEX(ctaTipo,MATCH(G113,ctaNom,0)),"")&lt;&gt;"Tarjeta de crédito"),"⚠ «Hacia» debe ser la tarjeta",IF(AND(I113="Trading",IFERROR(INDEX(ctaTipo,MATCH(E113,ctaNom,0)),"")&lt;&gt;"Cuenta de trading"),"⚠ Usa la cuenta de trading","✓"))))))))))))</f>
        <v/>
      </c>
      <c r="I113" s="19">
        <f>IF(OR(B113="",C113="",D113=""),"",IFERROR(INDEX(catTipo,MATCH(D113,catNom,0))&amp;"",""))</f>
        <v/>
      </c>
      <c r="J113" s="19">
        <f>IF(I113="","",IFERROR(INDEX(catGrupo,MATCH(D113,catNom,0))&amp;"",""))</f>
        <v/>
      </c>
      <c r="K113" s="19">
        <f>IF(I113="Gasto",IF(IFERROR(INDEX(catClas,MATCH(D113,catNom,0))&amp;"","")="","Variable",IFERROR(INDEX(catClas,MATCH(D113,catNom,0))&amp;"","")),"")</f>
        <v/>
      </c>
      <c r="L113" s="19">
        <f>IF(I113="","",IFERROR(INDEX(catAlim,MATCH(D113,catNom,0))&amp;"",""))</f>
        <v/>
      </c>
      <c r="M113" s="19">
        <f>IF(I113="","",IFERROR(INDEX(catComida,MATCH(D113,catNom,0))&amp;"",""))</f>
        <v/>
      </c>
      <c r="N113" s="19">
        <f>IF(I113="","",IFERROR(INDEX(ctaMon,MATCH(E113,ctaNom,0))&amp;"","DOP"))</f>
        <v/>
      </c>
      <c r="O113" s="20">
        <f>IF(I113="","",C113*IF(N113="USD",TasaUSD,1))</f>
        <v/>
      </c>
      <c r="P113" s="20">
        <f>IF(I113="","",IF(I113="Gasto",O113,0))</f>
        <v/>
      </c>
      <c r="Q113" s="20">
        <f>IF(I113="","",IF(I113="Ingreso",O113,0))</f>
        <v/>
      </c>
      <c r="R113" s="20">
        <f>IF(I113="","",IF(I113="Trading",O113,0))</f>
        <v/>
      </c>
      <c r="S113" s="19">
        <f>IF(I113="","",IF(AND(I113="Gasto",K113="Variable",J113&lt;&gt;"Trading",O113&gt;0,O113&lt;=Umbral),1,0))</f>
        <v/>
      </c>
      <c r="T113" s="20">
        <f>IF(OR(I113="",E113=""),"",IF(OR(I113="Gasto",I113="Transferencia",I113="Pago tarjeta"),-1,1)*C113)</f>
        <v/>
      </c>
      <c r="U113" s="20">
        <f>IF(OR(G113="",AND(I113&lt;&gt;"Transferencia",I113&lt;&gt;"Pago tarjeta")),"",IF(IFERROR(INDEX(ctaMon,MATCH(G113,ctaNom,0))&amp;"","DOP")=N113,C113,IF(N113="USD",C113*TasaUSD,C113/TasaUSD)))</f>
        <v/>
      </c>
      <c r="V113" s="20">
        <f>IF(I113="","",IF(IFERROR(INDEX(ctaLiq,MATCH(E113,ctaNom,0))="Sí",FALSE),IF(OR(I113="Gasto",I113="Transferencia",I113="Pago tarjeta"),-1,1)*O113,0)+IF(AND(U113&lt;&gt;"",IFERROR(INDEX(ctaLiq,MATCH(G113,ctaNom,0))="Sí",FALSE)),O113,0))</f>
        <v/>
      </c>
      <c r="W113" s="19">
        <f>IF(OR(F113="",I113=""),"",IF(COUNTIFS(F$6:F113,F113,I$6:I113,"?*")=1,MAX(W$5:W112)+1,""))</f>
        <v/>
      </c>
    </row>
    <row r="114">
      <c r="B114" s="15" t="n"/>
      <c r="C114" s="16" t="n"/>
      <c r="D114" s="17" t="n"/>
      <c r="E114" s="17" t="n"/>
      <c r="F114" s="17" t="n"/>
      <c r="G114" s="17" t="n"/>
      <c r="H114" s="18">
        <f>IF(AND(B114="",C114="",D114="",E114=""),"",IF(B114="","⚠ Falta fecha",IF(C114="","⚠ Falta monto",IF(D114="","⚠ Falta categoría",IF(ISNA(MATCH(D114,catNom,0)),"⚠ Categoría no existe",IF(E114="","⚠ Falta cuenta",IF(ISNA(MATCH(E114,ctaNom,0)),"⚠ Cuenta no existe",IF(AND(OR(I114="Transferencia",I114="Pago tarjeta"),G114=""),"⚠ Indica la cuenta «Hacia»",IF(AND(G114&lt;&gt;"",G114=E114),"⚠ «Hacia» igual a la cuenta",IF(AND(G114&lt;&gt;"",ISNA(MATCH(G114,ctaNom,0))),"⚠ «Hacia» no existe",IF(AND(I114="Pago tarjeta",IFERROR(INDEX(ctaTipo,MATCH(G114,ctaNom,0)),"")&lt;&gt;"Tarjeta de crédito"),"⚠ «Hacia» debe ser la tarjeta",IF(AND(I114="Trading",IFERROR(INDEX(ctaTipo,MATCH(E114,ctaNom,0)),"")&lt;&gt;"Cuenta de trading"),"⚠ Usa la cuenta de trading","✓"))))))))))))</f>
        <v/>
      </c>
      <c r="I114" s="19">
        <f>IF(OR(B114="",C114="",D114=""),"",IFERROR(INDEX(catTipo,MATCH(D114,catNom,0))&amp;"",""))</f>
        <v/>
      </c>
      <c r="J114" s="19">
        <f>IF(I114="","",IFERROR(INDEX(catGrupo,MATCH(D114,catNom,0))&amp;"",""))</f>
        <v/>
      </c>
      <c r="K114" s="19">
        <f>IF(I114="Gasto",IF(IFERROR(INDEX(catClas,MATCH(D114,catNom,0))&amp;"","")="","Variable",IFERROR(INDEX(catClas,MATCH(D114,catNom,0))&amp;"","")),"")</f>
        <v/>
      </c>
      <c r="L114" s="19">
        <f>IF(I114="","",IFERROR(INDEX(catAlim,MATCH(D114,catNom,0))&amp;"",""))</f>
        <v/>
      </c>
      <c r="M114" s="19">
        <f>IF(I114="","",IFERROR(INDEX(catComida,MATCH(D114,catNom,0))&amp;"",""))</f>
        <v/>
      </c>
      <c r="N114" s="19">
        <f>IF(I114="","",IFERROR(INDEX(ctaMon,MATCH(E114,ctaNom,0))&amp;"","DOP"))</f>
        <v/>
      </c>
      <c r="O114" s="20">
        <f>IF(I114="","",C114*IF(N114="USD",TasaUSD,1))</f>
        <v/>
      </c>
      <c r="P114" s="20">
        <f>IF(I114="","",IF(I114="Gasto",O114,0))</f>
        <v/>
      </c>
      <c r="Q114" s="20">
        <f>IF(I114="","",IF(I114="Ingreso",O114,0))</f>
        <v/>
      </c>
      <c r="R114" s="20">
        <f>IF(I114="","",IF(I114="Trading",O114,0))</f>
        <v/>
      </c>
      <c r="S114" s="19">
        <f>IF(I114="","",IF(AND(I114="Gasto",K114="Variable",J114&lt;&gt;"Trading",O114&gt;0,O114&lt;=Umbral),1,0))</f>
        <v/>
      </c>
      <c r="T114" s="20">
        <f>IF(OR(I114="",E114=""),"",IF(OR(I114="Gasto",I114="Transferencia",I114="Pago tarjeta"),-1,1)*C114)</f>
        <v/>
      </c>
      <c r="U114" s="20">
        <f>IF(OR(G114="",AND(I114&lt;&gt;"Transferencia",I114&lt;&gt;"Pago tarjeta")),"",IF(IFERROR(INDEX(ctaMon,MATCH(G114,ctaNom,0))&amp;"","DOP")=N114,C114,IF(N114="USD",C114*TasaUSD,C114/TasaUSD)))</f>
        <v/>
      </c>
      <c r="V114" s="20">
        <f>IF(I114="","",IF(IFERROR(INDEX(ctaLiq,MATCH(E114,ctaNom,0))="Sí",FALSE),IF(OR(I114="Gasto",I114="Transferencia",I114="Pago tarjeta"),-1,1)*O114,0)+IF(AND(U114&lt;&gt;"",IFERROR(INDEX(ctaLiq,MATCH(G114,ctaNom,0))="Sí",FALSE)),O114,0))</f>
        <v/>
      </c>
      <c r="W114" s="19">
        <f>IF(OR(F114="",I114=""),"",IF(COUNTIFS(F$6:F114,F114,I$6:I114,"?*")=1,MAX(W$5:W113)+1,""))</f>
        <v/>
      </c>
    </row>
    <row r="115">
      <c r="B115" s="15" t="n"/>
      <c r="C115" s="16" t="n"/>
      <c r="D115" s="17" t="n"/>
      <c r="E115" s="17" t="n"/>
      <c r="F115" s="17" t="n"/>
      <c r="G115" s="17" t="n"/>
      <c r="H115" s="18">
        <f>IF(AND(B115="",C115="",D115="",E115=""),"",IF(B115="","⚠ Falta fecha",IF(C115="","⚠ Falta monto",IF(D115="","⚠ Falta categoría",IF(ISNA(MATCH(D115,catNom,0)),"⚠ Categoría no existe",IF(E115="","⚠ Falta cuenta",IF(ISNA(MATCH(E115,ctaNom,0)),"⚠ Cuenta no existe",IF(AND(OR(I115="Transferencia",I115="Pago tarjeta"),G115=""),"⚠ Indica la cuenta «Hacia»",IF(AND(G115&lt;&gt;"",G115=E115),"⚠ «Hacia» igual a la cuenta",IF(AND(G115&lt;&gt;"",ISNA(MATCH(G115,ctaNom,0))),"⚠ «Hacia» no existe",IF(AND(I115="Pago tarjeta",IFERROR(INDEX(ctaTipo,MATCH(G115,ctaNom,0)),"")&lt;&gt;"Tarjeta de crédito"),"⚠ «Hacia» debe ser la tarjeta",IF(AND(I115="Trading",IFERROR(INDEX(ctaTipo,MATCH(E115,ctaNom,0)),"")&lt;&gt;"Cuenta de trading"),"⚠ Usa la cuenta de trading","✓"))))))))))))</f>
        <v/>
      </c>
      <c r="I115" s="19">
        <f>IF(OR(B115="",C115="",D115=""),"",IFERROR(INDEX(catTipo,MATCH(D115,catNom,0))&amp;"",""))</f>
        <v/>
      </c>
      <c r="J115" s="19">
        <f>IF(I115="","",IFERROR(INDEX(catGrupo,MATCH(D115,catNom,0))&amp;"",""))</f>
        <v/>
      </c>
      <c r="K115" s="19">
        <f>IF(I115="Gasto",IF(IFERROR(INDEX(catClas,MATCH(D115,catNom,0))&amp;"","")="","Variable",IFERROR(INDEX(catClas,MATCH(D115,catNom,0))&amp;"","")),"")</f>
        <v/>
      </c>
      <c r="L115" s="19">
        <f>IF(I115="","",IFERROR(INDEX(catAlim,MATCH(D115,catNom,0))&amp;"",""))</f>
        <v/>
      </c>
      <c r="M115" s="19">
        <f>IF(I115="","",IFERROR(INDEX(catComida,MATCH(D115,catNom,0))&amp;"",""))</f>
        <v/>
      </c>
      <c r="N115" s="19">
        <f>IF(I115="","",IFERROR(INDEX(ctaMon,MATCH(E115,ctaNom,0))&amp;"","DOP"))</f>
        <v/>
      </c>
      <c r="O115" s="20">
        <f>IF(I115="","",C115*IF(N115="USD",TasaUSD,1))</f>
        <v/>
      </c>
      <c r="P115" s="20">
        <f>IF(I115="","",IF(I115="Gasto",O115,0))</f>
        <v/>
      </c>
      <c r="Q115" s="20">
        <f>IF(I115="","",IF(I115="Ingreso",O115,0))</f>
        <v/>
      </c>
      <c r="R115" s="20">
        <f>IF(I115="","",IF(I115="Trading",O115,0))</f>
        <v/>
      </c>
      <c r="S115" s="19">
        <f>IF(I115="","",IF(AND(I115="Gasto",K115="Variable",J115&lt;&gt;"Trading",O115&gt;0,O115&lt;=Umbral),1,0))</f>
        <v/>
      </c>
      <c r="T115" s="20">
        <f>IF(OR(I115="",E115=""),"",IF(OR(I115="Gasto",I115="Transferencia",I115="Pago tarjeta"),-1,1)*C115)</f>
        <v/>
      </c>
      <c r="U115" s="20">
        <f>IF(OR(G115="",AND(I115&lt;&gt;"Transferencia",I115&lt;&gt;"Pago tarjeta")),"",IF(IFERROR(INDEX(ctaMon,MATCH(G115,ctaNom,0))&amp;"","DOP")=N115,C115,IF(N115="USD",C115*TasaUSD,C115/TasaUSD)))</f>
        <v/>
      </c>
      <c r="V115" s="20">
        <f>IF(I115="","",IF(IFERROR(INDEX(ctaLiq,MATCH(E115,ctaNom,0))="Sí",FALSE),IF(OR(I115="Gasto",I115="Transferencia",I115="Pago tarjeta"),-1,1)*O115,0)+IF(AND(U115&lt;&gt;"",IFERROR(INDEX(ctaLiq,MATCH(G115,ctaNom,0))="Sí",FALSE)),O115,0))</f>
        <v/>
      </c>
      <c r="W115" s="19">
        <f>IF(OR(F115="",I115=""),"",IF(COUNTIFS(F$6:F115,F115,I$6:I115,"?*")=1,MAX(W$5:W114)+1,""))</f>
        <v/>
      </c>
    </row>
    <row r="116">
      <c r="B116" s="15" t="n"/>
      <c r="C116" s="16" t="n"/>
      <c r="D116" s="17" t="n"/>
      <c r="E116" s="17" t="n"/>
      <c r="F116" s="17" t="n"/>
      <c r="G116" s="17" t="n"/>
      <c r="H116" s="18">
        <f>IF(AND(B116="",C116="",D116="",E116=""),"",IF(B116="","⚠ Falta fecha",IF(C116="","⚠ Falta monto",IF(D116="","⚠ Falta categoría",IF(ISNA(MATCH(D116,catNom,0)),"⚠ Categoría no existe",IF(E116="","⚠ Falta cuenta",IF(ISNA(MATCH(E116,ctaNom,0)),"⚠ Cuenta no existe",IF(AND(OR(I116="Transferencia",I116="Pago tarjeta"),G116=""),"⚠ Indica la cuenta «Hacia»",IF(AND(G116&lt;&gt;"",G116=E116),"⚠ «Hacia» igual a la cuenta",IF(AND(G116&lt;&gt;"",ISNA(MATCH(G116,ctaNom,0))),"⚠ «Hacia» no existe",IF(AND(I116="Pago tarjeta",IFERROR(INDEX(ctaTipo,MATCH(G116,ctaNom,0)),"")&lt;&gt;"Tarjeta de crédito"),"⚠ «Hacia» debe ser la tarjeta",IF(AND(I116="Trading",IFERROR(INDEX(ctaTipo,MATCH(E116,ctaNom,0)),"")&lt;&gt;"Cuenta de trading"),"⚠ Usa la cuenta de trading","✓"))))))))))))</f>
        <v/>
      </c>
      <c r="I116" s="19">
        <f>IF(OR(B116="",C116="",D116=""),"",IFERROR(INDEX(catTipo,MATCH(D116,catNom,0))&amp;"",""))</f>
        <v/>
      </c>
      <c r="J116" s="19">
        <f>IF(I116="","",IFERROR(INDEX(catGrupo,MATCH(D116,catNom,0))&amp;"",""))</f>
        <v/>
      </c>
      <c r="K116" s="19">
        <f>IF(I116="Gasto",IF(IFERROR(INDEX(catClas,MATCH(D116,catNom,0))&amp;"","")="","Variable",IFERROR(INDEX(catClas,MATCH(D116,catNom,0))&amp;"","")),"")</f>
        <v/>
      </c>
      <c r="L116" s="19">
        <f>IF(I116="","",IFERROR(INDEX(catAlim,MATCH(D116,catNom,0))&amp;"",""))</f>
        <v/>
      </c>
      <c r="M116" s="19">
        <f>IF(I116="","",IFERROR(INDEX(catComida,MATCH(D116,catNom,0))&amp;"",""))</f>
        <v/>
      </c>
      <c r="N116" s="19">
        <f>IF(I116="","",IFERROR(INDEX(ctaMon,MATCH(E116,ctaNom,0))&amp;"","DOP"))</f>
        <v/>
      </c>
      <c r="O116" s="20">
        <f>IF(I116="","",C116*IF(N116="USD",TasaUSD,1))</f>
        <v/>
      </c>
      <c r="P116" s="20">
        <f>IF(I116="","",IF(I116="Gasto",O116,0))</f>
        <v/>
      </c>
      <c r="Q116" s="20">
        <f>IF(I116="","",IF(I116="Ingreso",O116,0))</f>
        <v/>
      </c>
      <c r="R116" s="20">
        <f>IF(I116="","",IF(I116="Trading",O116,0))</f>
        <v/>
      </c>
      <c r="S116" s="19">
        <f>IF(I116="","",IF(AND(I116="Gasto",K116="Variable",J116&lt;&gt;"Trading",O116&gt;0,O116&lt;=Umbral),1,0))</f>
        <v/>
      </c>
      <c r="T116" s="20">
        <f>IF(OR(I116="",E116=""),"",IF(OR(I116="Gasto",I116="Transferencia",I116="Pago tarjeta"),-1,1)*C116)</f>
        <v/>
      </c>
      <c r="U116" s="20">
        <f>IF(OR(G116="",AND(I116&lt;&gt;"Transferencia",I116&lt;&gt;"Pago tarjeta")),"",IF(IFERROR(INDEX(ctaMon,MATCH(G116,ctaNom,0))&amp;"","DOP")=N116,C116,IF(N116="USD",C116*TasaUSD,C116/TasaUSD)))</f>
        <v/>
      </c>
      <c r="V116" s="20">
        <f>IF(I116="","",IF(IFERROR(INDEX(ctaLiq,MATCH(E116,ctaNom,0))="Sí",FALSE),IF(OR(I116="Gasto",I116="Transferencia",I116="Pago tarjeta"),-1,1)*O116,0)+IF(AND(U116&lt;&gt;"",IFERROR(INDEX(ctaLiq,MATCH(G116,ctaNom,0))="Sí",FALSE)),O116,0))</f>
        <v/>
      </c>
      <c r="W116" s="19">
        <f>IF(OR(F116="",I116=""),"",IF(COUNTIFS(F$6:F116,F116,I$6:I116,"?*")=1,MAX(W$5:W115)+1,""))</f>
        <v/>
      </c>
    </row>
    <row r="117">
      <c r="B117" s="15" t="n"/>
      <c r="C117" s="16" t="n"/>
      <c r="D117" s="17" t="n"/>
      <c r="E117" s="17" t="n"/>
      <c r="F117" s="17" t="n"/>
      <c r="G117" s="17" t="n"/>
      <c r="H117" s="18">
        <f>IF(AND(B117="",C117="",D117="",E117=""),"",IF(B117="","⚠ Falta fecha",IF(C117="","⚠ Falta monto",IF(D117="","⚠ Falta categoría",IF(ISNA(MATCH(D117,catNom,0)),"⚠ Categoría no existe",IF(E117="","⚠ Falta cuenta",IF(ISNA(MATCH(E117,ctaNom,0)),"⚠ Cuenta no existe",IF(AND(OR(I117="Transferencia",I117="Pago tarjeta"),G117=""),"⚠ Indica la cuenta «Hacia»",IF(AND(G117&lt;&gt;"",G117=E117),"⚠ «Hacia» igual a la cuenta",IF(AND(G117&lt;&gt;"",ISNA(MATCH(G117,ctaNom,0))),"⚠ «Hacia» no existe",IF(AND(I117="Pago tarjeta",IFERROR(INDEX(ctaTipo,MATCH(G117,ctaNom,0)),"")&lt;&gt;"Tarjeta de crédito"),"⚠ «Hacia» debe ser la tarjeta",IF(AND(I117="Trading",IFERROR(INDEX(ctaTipo,MATCH(E117,ctaNom,0)),"")&lt;&gt;"Cuenta de trading"),"⚠ Usa la cuenta de trading","✓"))))))))))))</f>
        <v/>
      </c>
      <c r="I117" s="19">
        <f>IF(OR(B117="",C117="",D117=""),"",IFERROR(INDEX(catTipo,MATCH(D117,catNom,0))&amp;"",""))</f>
        <v/>
      </c>
      <c r="J117" s="19">
        <f>IF(I117="","",IFERROR(INDEX(catGrupo,MATCH(D117,catNom,0))&amp;"",""))</f>
        <v/>
      </c>
      <c r="K117" s="19">
        <f>IF(I117="Gasto",IF(IFERROR(INDEX(catClas,MATCH(D117,catNom,0))&amp;"","")="","Variable",IFERROR(INDEX(catClas,MATCH(D117,catNom,0))&amp;"","")),"")</f>
        <v/>
      </c>
      <c r="L117" s="19">
        <f>IF(I117="","",IFERROR(INDEX(catAlim,MATCH(D117,catNom,0))&amp;"",""))</f>
        <v/>
      </c>
      <c r="M117" s="19">
        <f>IF(I117="","",IFERROR(INDEX(catComida,MATCH(D117,catNom,0))&amp;"",""))</f>
        <v/>
      </c>
      <c r="N117" s="19">
        <f>IF(I117="","",IFERROR(INDEX(ctaMon,MATCH(E117,ctaNom,0))&amp;"","DOP"))</f>
        <v/>
      </c>
      <c r="O117" s="20">
        <f>IF(I117="","",C117*IF(N117="USD",TasaUSD,1))</f>
        <v/>
      </c>
      <c r="P117" s="20">
        <f>IF(I117="","",IF(I117="Gasto",O117,0))</f>
        <v/>
      </c>
      <c r="Q117" s="20">
        <f>IF(I117="","",IF(I117="Ingreso",O117,0))</f>
        <v/>
      </c>
      <c r="R117" s="20">
        <f>IF(I117="","",IF(I117="Trading",O117,0))</f>
        <v/>
      </c>
      <c r="S117" s="19">
        <f>IF(I117="","",IF(AND(I117="Gasto",K117="Variable",J117&lt;&gt;"Trading",O117&gt;0,O117&lt;=Umbral),1,0))</f>
        <v/>
      </c>
      <c r="T117" s="20">
        <f>IF(OR(I117="",E117=""),"",IF(OR(I117="Gasto",I117="Transferencia",I117="Pago tarjeta"),-1,1)*C117)</f>
        <v/>
      </c>
      <c r="U117" s="20">
        <f>IF(OR(G117="",AND(I117&lt;&gt;"Transferencia",I117&lt;&gt;"Pago tarjeta")),"",IF(IFERROR(INDEX(ctaMon,MATCH(G117,ctaNom,0))&amp;"","DOP")=N117,C117,IF(N117="USD",C117*TasaUSD,C117/TasaUSD)))</f>
        <v/>
      </c>
      <c r="V117" s="20">
        <f>IF(I117="","",IF(IFERROR(INDEX(ctaLiq,MATCH(E117,ctaNom,0))="Sí",FALSE),IF(OR(I117="Gasto",I117="Transferencia",I117="Pago tarjeta"),-1,1)*O117,0)+IF(AND(U117&lt;&gt;"",IFERROR(INDEX(ctaLiq,MATCH(G117,ctaNom,0))="Sí",FALSE)),O117,0))</f>
        <v/>
      </c>
      <c r="W117" s="19">
        <f>IF(OR(F117="",I117=""),"",IF(COUNTIFS(F$6:F117,F117,I$6:I117,"?*")=1,MAX(W$5:W116)+1,""))</f>
        <v/>
      </c>
    </row>
    <row r="118">
      <c r="B118" s="15" t="n"/>
      <c r="C118" s="16" t="n"/>
      <c r="D118" s="17" t="n"/>
      <c r="E118" s="17" t="n"/>
      <c r="F118" s="17" t="n"/>
      <c r="G118" s="17" t="n"/>
      <c r="H118" s="18">
        <f>IF(AND(B118="",C118="",D118="",E118=""),"",IF(B118="","⚠ Falta fecha",IF(C118="","⚠ Falta monto",IF(D118="","⚠ Falta categoría",IF(ISNA(MATCH(D118,catNom,0)),"⚠ Categoría no existe",IF(E118="","⚠ Falta cuenta",IF(ISNA(MATCH(E118,ctaNom,0)),"⚠ Cuenta no existe",IF(AND(OR(I118="Transferencia",I118="Pago tarjeta"),G118=""),"⚠ Indica la cuenta «Hacia»",IF(AND(G118&lt;&gt;"",G118=E118),"⚠ «Hacia» igual a la cuenta",IF(AND(G118&lt;&gt;"",ISNA(MATCH(G118,ctaNom,0))),"⚠ «Hacia» no existe",IF(AND(I118="Pago tarjeta",IFERROR(INDEX(ctaTipo,MATCH(G118,ctaNom,0)),"")&lt;&gt;"Tarjeta de crédito"),"⚠ «Hacia» debe ser la tarjeta",IF(AND(I118="Trading",IFERROR(INDEX(ctaTipo,MATCH(E118,ctaNom,0)),"")&lt;&gt;"Cuenta de trading"),"⚠ Usa la cuenta de trading","✓"))))))))))))</f>
        <v/>
      </c>
      <c r="I118" s="19">
        <f>IF(OR(B118="",C118="",D118=""),"",IFERROR(INDEX(catTipo,MATCH(D118,catNom,0))&amp;"",""))</f>
        <v/>
      </c>
      <c r="J118" s="19">
        <f>IF(I118="","",IFERROR(INDEX(catGrupo,MATCH(D118,catNom,0))&amp;"",""))</f>
        <v/>
      </c>
      <c r="K118" s="19">
        <f>IF(I118="Gasto",IF(IFERROR(INDEX(catClas,MATCH(D118,catNom,0))&amp;"","")="","Variable",IFERROR(INDEX(catClas,MATCH(D118,catNom,0))&amp;"","")),"")</f>
        <v/>
      </c>
      <c r="L118" s="19">
        <f>IF(I118="","",IFERROR(INDEX(catAlim,MATCH(D118,catNom,0))&amp;"",""))</f>
        <v/>
      </c>
      <c r="M118" s="19">
        <f>IF(I118="","",IFERROR(INDEX(catComida,MATCH(D118,catNom,0))&amp;"",""))</f>
        <v/>
      </c>
      <c r="N118" s="19">
        <f>IF(I118="","",IFERROR(INDEX(ctaMon,MATCH(E118,ctaNom,0))&amp;"","DOP"))</f>
        <v/>
      </c>
      <c r="O118" s="20">
        <f>IF(I118="","",C118*IF(N118="USD",TasaUSD,1))</f>
        <v/>
      </c>
      <c r="P118" s="20">
        <f>IF(I118="","",IF(I118="Gasto",O118,0))</f>
        <v/>
      </c>
      <c r="Q118" s="20">
        <f>IF(I118="","",IF(I118="Ingreso",O118,0))</f>
        <v/>
      </c>
      <c r="R118" s="20">
        <f>IF(I118="","",IF(I118="Trading",O118,0))</f>
        <v/>
      </c>
      <c r="S118" s="19">
        <f>IF(I118="","",IF(AND(I118="Gasto",K118="Variable",J118&lt;&gt;"Trading",O118&gt;0,O118&lt;=Umbral),1,0))</f>
        <v/>
      </c>
      <c r="T118" s="20">
        <f>IF(OR(I118="",E118=""),"",IF(OR(I118="Gasto",I118="Transferencia",I118="Pago tarjeta"),-1,1)*C118)</f>
        <v/>
      </c>
      <c r="U118" s="20">
        <f>IF(OR(G118="",AND(I118&lt;&gt;"Transferencia",I118&lt;&gt;"Pago tarjeta")),"",IF(IFERROR(INDEX(ctaMon,MATCH(G118,ctaNom,0))&amp;"","DOP")=N118,C118,IF(N118="USD",C118*TasaUSD,C118/TasaUSD)))</f>
        <v/>
      </c>
      <c r="V118" s="20">
        <f>IF(I118="","",IF(IFERROR(INDEX(ctaLiq,MATCH(E118,ctaNom,0))="Sí",FALSE),IF(OR(I118="Gasto",I118="Transferencia",I118="Pago tarjeta"),-1,1)*O118,0)+IF(AND(U118&lt;&gt;"",IFERROR(INDEX(ctaLiq,MATCH(G118,ctaNom,0))="Sí",FALSE)),O118,0))</f>
        <v/>
      </c>
      <c r="W118" s="19">
        <f>IF(OR(F118="",I118=""),"",IF(COUNTIFS(F$6:F118,F118,I$6:I118,"?*")=1,MAX(W$5:W117)+1,""))</f>
        <v/>
      </c>
    </row>
    <row r="119">
      <c r="B119" s="15" t="n"/>
      <c r="C119" s="16" t="n"/>
      <c r="D119" s="17" t="n"/>
      <c r="E119" s="17" t="n"/>
      <c r="F119" s="17" t="n"/>
      <c r="G119" s="17" t="n"/>
      <c r="H119" s="18">
        <f>IF(AND(B119="",C119="",D119="",E119=""),"",IF(B119="","⚠ Falta fecha",IF(C119="","⚠ Falta monto",IF(D119="","⚠ Falta categoría",IF(ISNA(MATCH(D119,catNom,0)),"⚠ Categoría no existe",IF(E119="","⚠ Falta cuenta",IF(ISNA(MATCH(E119,ctaNom,0)),"⚠ Cuenta no existe",IF(AND(OR(I119="Transferencia",I119="Pago tarjeta"),G119=""),"⚠ Indica la cuenta «Hacia»",IF(AND(G119&lt;&gt;"",G119=E119),"⚠ «Hacia» igual a la cuenta",IF(AND(G119&lt;&gt;"",ISNA(MATCH(G119,ctaNom,0))),"⚠ «Hacia» no existe",IF(AND(I119="Pago tarjeta",IFERROR(INDEX(ctaTipo,MATCH(G119,ctaNom,0)),"")&lt;&gt;"Tarjeta de crédito"),"⚠ «Hacia» debe ser la tarjeta",IF(AND(I119="Trading",IFERROR(INDEX(ctaTipo,MATCH(E119,ctaNom,0)),"")&lt;&gt;"Cuenta de trading"),"⚠ Usa la cuenta de trading","✓"))))))))))))</f>
        <v/>
      </c>
      <c r="I119" s="19">
        <f>IF(OR(B119="",C119="",D119=""),"",IFERROR(INDEX(catTipo,MATCH(D119,catNom,0))&amp;"",""))</f>
        <v/>
      </c>
      <c r="J119" s="19">
        <f>IF(I119="","",IFERROR(INDEX(catGrupo,MATCH(D119,catNom,0))&amp;"",""))</f>
        <v/>
      </c>
      <c r="K119" s="19">
        <f>IF(I119="Gasto",IF(IFERROR(INDEX(catClas,MATCH(D119,catNom,0))&amp;"","")="","Variable",IFERROR(INDEX(catClas,MATCH(D119,catNom,0))&amp;"","")),"")</f>
        <v/>
      </c>
      <c r="L119" s="19">
        <f>IF(I119="","",IFERROR(INDEX(catAlim,MATCH(D119,catNom,0))&amp;"",""))</f>
        <v/>
      </c>
      <c r="M119" s="19">
        <f>IF(I119="","",IFERROR(INDEX(catComida,MATCH(D119,catNom,0))&amp;"",""))</f>
        <v/>
      </c>
      <c r="N119" s="19">
        <f>IF(I119="","",IFERROR(INDEX(ctaMon,MATCH(E119,ctaNom,0))&amp;"","DOP"))</f>
        <v/>
      </c>
      <c r="O119" s="20">
        <f>IF(I119="","",C119*IF(N119="USD",TasaUSD,1))</f>
        <v/>
      </c>
      <c r="P119" s="20">
        <f>IF(I119="","",IF(I119="Gasto",O119,0))</f>
        <v/>
      </c>
      <c r="Q119" s="20">
        <f>IF(I119="","",IF(I119="Ingreso",O119,0))</f>
        <v/>
      </c>
      <c r="R119" s="20">
        <f>IF(I119="","",IF(I119="Trading",O119,0))</f>
        <v/>
      </c>
      <c r="S119" s="19">
        <f>IF(I119="","",IF(AND(I119="Gasto",K119="Variable",J119&lt;&gt;"Trading",O119&gt;0,O119&lt;=Umbral),1,0))</f>
        <v/>
      </c>
      <c r="T119" s="20">
        <f>IF(OR(I119="",E119=""),"",IF(OR(I119="Gasto",I119="Transferencia",I119="Pago tarjeta"),-1,1)*C119)</f>
        <v/>
      </c>
      <c r="U119" s="20">
        <f>IF(OR(G119="",AND(I119&lt;&gt;"Transferencia",I119&lt;&gt;"Pago tarjeta")),"",IF(IFERROR(INDEX(ctaMon,MATCH(G119,ctaNom,0))&amp;"","DOP")=N119,C119,IF(N119="USD",C119*TasaUSD,C119/TasaUSD)))</f>
        <v/>
      </c>
      <c r="V119" s="20">
        <f>IF(I119="","",IF(IFERROR(INDEX(ctaLiq,MATCH(E119,ctaNom,0))="Sí",FALSE),IF(OR(I119="Gasto",I119="Transferencia",I119="Pago tarjeta"),-1,1)*O119,0)+IF(AND(U119&lt;&gt;"",IFERROR(INDEX(ctaLiq,MATCH(G119,ctaNom,0))="Sí",FALSE)),O119,0))</f>
        <v/>
      </c>
      <c r="W119" s="19">
        <f>IF(OR(F119="",I119=""),"",IF(COUNTIFS(F$6:F119,F119,I$6:I119,"?*")=1,MAX(W$5:W118)+1,""))</f>
        <v/>
      </c>
    </row>
    <row r="120">
      <c r="B120" s="15" t="n"/>
      <c r="C120" s="16" t="n"/>
      <c r="D120" s="17" t="n"/>
      <c r="E120" s="17" t="n"/>
      <c r="F120" s="17" t="n"/>
      <c r="G120" s="17" t="n"/>
      <c r="H120" s="18">
        <f>IF(AND(B120="",C120="",D120="",E120=""),"",IF(B120="","⚠ Falta fecha",IF(C120="","⚠ Falta monto",IF(D120="","⚠ Falta categoría",IF(ISNA(MATCH(D120,catNom,0)),"⚠ Categoría no existe",IF(E120="","⚠ Falta cuenta",IF(ISNA(MATCH(E120,ctaNom,0)),"⚠ Cuenta no existe",IF(AND(OR(I120="Transferencia",I120="Pago tarjeta"),G120=""),"⚠ Indica la cuenta «Hacia»",IF(AND(G120&lt;&gt;"",G120=E120),"⚠ «Hacia» igual a la cuenta",IF(AND(G120&lt;&gt;"",ISNA(MATCH(G120,ctaNom,0))),"⚠ «Hacia» no existe",IF(AND(I120="Pago tarjeta",IFERROR(INDEX(ctaTipo,MATCH(G120,ctaNom,0)),"")&lt;&gt;"Tarjeta de crédito"),"⚠ «Hacia» debe ser la tarjeta",IF(AND(I120="Trading",IFERROR(INDEX(ctaTipo,MATCH(E120,ctaNom,0)),"")&lt;&gt;"Cuenta de trading"),"⚠ Usa la cuenta de trading","✓"))))))))))))</f>
        <v/>
      </c>
      <c r="I120" s="19">
        <f>IF(OR(B120="",C120="",D120=""),"",IFERROR(INDEX(catTipo,MATCH(D120,catNom,0))&amp;"",""))</f>
        <v/>
      </c>
      <c r="J120" s="19">
        <f>IF(I120="","",IFERROR(INDEX(catGrupo,MATCH(D120,catNom,0))&amp;"",""))</f>
        <v/>
      </c>
      <c r="K120" s="19">
        <f>IF(I120="Gasto",IF(IFERROR(INDEX(catClas,MATCH(D120,catNom,0))&amp;"","")="","Variable",IFERROR(INDEX(catClas,MATCH(D120,catNom,0))&amp;"","")),"")</f>
        <v/>
      </c>
      <c r="L120" s="19">
        <f>IF(I120="","",IFERROR(INDEX(catAlim,MATCH(D120,catNom,0))&amp;"",""))</f>
        <v/>
      </c>
      <c r="M120" s="19">
        <f>IF(I120="","",IFERROR(INDEX(catComida,MATCH(D120,catNom,0))&amp;"",""))</f>
        <v/>
      </c>
      <c r="N120" s="19">
        <f>IF(I120="","",IFERROR(INDEX(ctaMon,MATCH(E120,ctaNom,0))&amp;"","DOP"))</f>
        <v/>
      </c>
      <c r="O120" s="20">
        <f>IF(I120="","",C120*IF(N120="USD",TasaUSD,1))</f>
        <v/>
      </c>
      <c r="P120" s="20">
        <f>IF(I120="","",IF(I120="Gasto",O120,0))</f>
        <v/>
      </c>
      <c r="Q120" s="20">
        <f>IF(I120="","",IF(I120="Ingreso",O120,0))</f>
        <v/>
      </c>
      <c r="R120" s="20">
        <f>IF(I120="","",IF(I120="Trading",O120,0))</f>
        <v/>
      </c>
      <c r="S120" s="19">
        <f>IF(I120="","",IF(AND(I120="Gasto",K120="Variable",J120&lt;&gt;"Trading",O120&gt;0,O120&lt;=Umbral),1,0))</f>
        <v/>
      </c>
      <c r="T120" s="20">
        <f>IF(OR(I120="",E120=""),"",IF(OR(I120="Gasto",I120="Transferencia",I120="Pago tarjeta"),-1,1)*C120)</f>
        <v/>
      </c>
      <c r="U120" s="20">
        <f>IF(OR(G120="",AND(I120&lt;&gt;"Transferencia",I120&lt;&gt;"Pago tarjeta")),"",IF(IFERROR(INDEX(ctaMon,MATCH(G120,ctaNom,0))&amp;"","DOP")=N120,C120,IF(N120="USD",C120*TasaUSD,C120/TasaUSD)))</f>
        <v/>
      </c>
      <c r="V120" s="20">
        <f>IF(I120="","",IF(IFERROR(INDEX(ctaLiq,MATCH(E120,ctaNom,0))="Sí",FALSE),IF(OR(I120="Gasto",I120="Transferencia",I120="Pago tarjeta"),-1,1)*O120,0)+IF(AND(U120&lt;&gt;"",IFERROR(INDEX(ctaLiq,MATCH(G120,ctaNom,0))="Sí",FALSE)),O120,0))</f>
        <v/>
      </c>
      <c r="W120" s="19">
        <f>IF(OR(F120="",I120=""),"",IF(COUNTIFS(F$6:F120,F120,I$6:I120,"?*")=1,MAX(W$5:W119)+1,""))</f>
        <v/>
      </c>
    </row>
    <row r="121">
      <c r="B121" s="15" t="n"/>
      <c r="C121" s="16" t="n"/>
      <c r="D121" s="17" t="n"/>
      <c r="E121" s="17" t="n"/>
      <c r="F121" s="17" t="n"/>
      <c r="G121" s="17" t="n"/>
      <c r="H121" s="18">
        <f>IF(AND(B121="",C121="",D121="",E121=""),"",IF(B121="","⚠ Falta fecha",IF(C121="","⚠ Falta monto",IF(D121="","⚠ Falta categoría",IF(ISNA(MATCH(D121,catNom,0)),"⚠ Categoría no existe",IF(E121="","⚠ Falta cuenta",IF(ISNA(MATCH(E121,ctaNom,0)),"⚠ Cuenta no existe",IF(AND(OR(I121="Transferencia",I121="Pago tarjeta"),G121=""),"⚠ Indica la cuenta «Hacia»",IF(AND(G121&lt;&gt;"",G121=E121),"⚠ «Hacia» igual a la cuenta",IF(AND(G121&lt;&gt;"",ISNA(MATCH(G121,ctaNom,0))),"⚠ «Hacia» no existe",IF(AND(I121="Pago tarjeta",IFERROR(INDEX(ctaTipo,MATCH(G121,ctaNom,0)),"")&lt;&gt;"Tarjeta de crédito"),"⚠ «Hacia» debe ser la tarjeta",IF(AND(I121="Trading",IFERROR(INDEX(ctaTipo,MATCH(E121,ctaNom,0)),"")&lt;&gt;"Cuenta de trading"),"⚠ Usa la cuenta de trading","✓"))))))))))))</f>
        <v/>
      </c>
      <c r="I121" s="19">
        <f>IF(OR(B121="",C121="",D121=""),"",IFERROR(INDEX(catTipo,MATCH(D121,catNom,0))&amp;"",""))</f>
        <v/>
      </c>
      <c r="J121" s="19">
        <f>IF(I121="","",IFERROR(INDEX(catGrupo,MATCH(D121,catNom,0))&amp;"",""))</f>
        <v/>
      </c>
      <c r="K121" s="19">
        <f>IF(I121="Gasto",IF(IFERROR(INDEX(catClas,MATCH(D121,catNom,0))&amp;"","")="","Variable",IFERROR(INDEX(catClas,MATCH(D121,catNom,0))&amp;"","")),"")</f>
        <v/>
      </c>
      <c r="L121" s="19">
        <f>IF(I121="","",IFERROR(INDEX(catAlim,MATCH(D121,catNom,0))&amp;"",""))</f>
        <v/>
      </c>
      <c r="M121" s="19">
        <f>IF(I121="","",IFERROR(INDEX(catComida,MATCH(D121,catNom,0))&amp;"",""))</f>
        <v/>
      </c>
      <c r="N121" s="19">
        <f>IF(I121="","",IFERROR(INDEX(ctaMon,MATCH(E121,ctaNom,0))&amp;"","DOP"))</f>
        <v/>
      </c>
      <c r="O121" s="20">
        <f>IF(I121="","",C121*IF(N121="USD",TasaUSD,1))</f>
        <v/>
      </c>
      <c r="P121" s="20">
        <f>IF(I121="","",IF(I121="Gasto",O121,0))</f>
        <v/>
      </c>
      <c r="Q121" s="20">
        <f>IF(I121="","",IF(I121="Ingreso",O121,0))</f>
        <v/>
      </c>
      <c r="R121" s="20">
        <f>IF(I121="","",IF(I121="Trading",O121,0))</f>
        <v/>
      </c>
      <c r="S121" s="19">
        <f>IF(I121="","",IF(AND(I121="Gasto",K121="Variable",J121&lt;&gt;"Trading",O121&gt;0,O121&lt;=Umbral),1,0))</f>
        <v/>
      </c>
      <c r="T121" s="20">
        <f>IF(OR(I121="",E121=""),"",IF(OR(I121="Gasto",I121="Transferencia",I121="Pago tarjeta"),-1,1)*C121)</f>
        <v/>
      </c>
      <c r="U121" s="20">
        <f>IF(OR(G121="",AND(I121&lt;&gt;"Transferencia",I121&lt;&gt;"Pago tarjeta")),"",IF(IFERROR(INDEX(ctaMon,MATCH(G121,ctaNom,0))&amp;"","DOP")=N121,C121,IF(N121="USD",C121*TasaUSD,C121/TasaUSD)))</f>
        <v/>
      </c>
      <c r="V121" s="20">
        <f>IF(I121="","",IF(IFERROR(INDEX(ctaLiq,MATCH(E121,ctaNom,0))="Sí",FALSE),IF(OR(I121="Gasto",I121="Transferencia",I121="Pago tarjeta"),-1,1)*O121,0)+IF(AND(U121&lt;&gt;"",IFERROR(INDEX(ctaLiq,MATCH(G121,ctaNom,0))="Sí",FALSE)),O121,0))</f>
        <v/>
      </c>
      <c r="W121" s="19">
        <f>IF(OR(F121="",I121=""),"",IF(COUNTIFS(F$6:F121,F121,I$6:I121,"?*")=1,MAX(W$5:W120)+1,""))</f>
        <v/>
      </c>
    </row>
    <row r="122">
      <c r="B122" s="15" t="n"/>
      <c r="C122" s="16" t="n"/>
      <c r="D122" s="17" t="n"/>
      <c r="E122" s="17" t="n"/>
      <c r="F122" s="17" t="n"/>
      <c r="G122" s="17" t="n"/>
      <c r="H122" s="18">
        <f>IF(AND(B122="",C122="",D122="",E122=""),"",IF(B122="","⚠ Falta fecha",IF(C122="","⚠ Falta monto",IF(D122="","⚠ Falta categoría",IF(ISNA(MATCH(D122,catNom,0)),"⚠ Categoría no existe",IF(E122="","⚠ Falta cuenta",IF(ISNA(MATCH(E122,ctaNom,0)),"⚠ Cuenta no existe",IF(AND(OR(I122="Transferencia",I122="Pago tarjeta"),G122=""),"⚠ Indica la cuenta «Hacia»",IF(AND(G122&lt;&gt;"",G122=E122),"⚠ «Hacia» igual a la cuenta",IF(AND(G122&lt;&gt;"",ISNA(MATCH(G122,ctaNom,0))),"⚠ «Hacia» no existe",IF(AND(I122="Pago tarjeta",IFERROR(INDEX(ctaTipo,MATCH(G122,ctaNom,0)),"")&lt;&gt;"Tarjeta de crédito"),"⚠ «Hacia» debe ser la tarjeta",IF(AND(I122="Trading",IFERROR(INDEX(ctaTipo,MATCH(E122,ctaNom,0)),"")&lt;&gt;"Cuenta de trading"),"⚠ Usa la cuenta de trading","✓"))))))))))))</f>
        <v/>
      </c>
      <c r="I122" s="19">
        <f>IF(OR(B122="",C122="",D122=""),"",IFERROR(INDEX(catTipo,MATCH(D122,catNom,0))&amp;"",""))</f>
        <v/>
      </c>
      <c r="J122" s="19">
        <f>IF(I122="","",IFERROR(INDEX(catGrupo,MATCH(D122,catNom,0))&amp;"",""))</f>
        <v/>
      </c>
      <c r="K122" s="19">
        <f>IF(I122="Gasto",IF(IFERROR(INDEX(catClas,MATCH(D122,catNom,0))&amp;"","")="","Variable",IFERROR(INDEX(catClas,MATCH(D122,catNom,0))&amp;"","")),"")</f>
        <v/>
      </c>
      <c r="L122" s="19">
        <f>IF(I122="","",IFERROR(INDEX(catAlim,MATCH(D122,catNom,0))&amp;"",""))</f>
        <v/>
      </c>
      <c r="M122" s="19">
        <f>IF(I122="","",IFERROR(INDEX(catComida,MATCH(D122,catNom,0))&amp;"",""))</f>
        <v/>
      </c>
      <c r="N122" s="19">
        <f>IF(I122="","",IFERROR(INDEX(ctaMon,MATCH(E122,ctaNom,0))&amp;"","DOP"))</f>
        <v/>
      </c>
      <c r="O122" s="20">
        <f>IF(I122="","",C122*IF(N122="USD",TasaUSD,1))</f>
        <v/>
      </c>
      <c r="P122" s="20">
        <f>IF(I122="","",IF(I122="Gasto",O122,0))</f>
        <v/>
      </c>
      <c r="Q122" s="20">
        <f>IF(I122="","",IF(I122="Ingreso",O122,0))</f>
        <v/>
      </c>
      <c r="R122" s="20">
        <f>IF(I122="","",IF(I122="Trading",O122,0))</f>
        <v/>
      </c>
      <c r="S122" s="19">
        <f>IF(I122="","",IF(AND(I122="Gasto",K122="Variable",J122&lt;&gt;"Trading",O122&gt;0,O122&lt;=Umbral),1,0))</f>
        <v/>
      </c>
      <c r="T122" s="20">
        <f>IF(OR(I122="",E122=""),"",IF(OR(I122="Gasto",I122="Transferencia",I122="Pago tarjeta"),-1,1)*C122)</f>
        <v/>
      </c>
      <c r="U122" s="20">
        <f>IF(OR(G122="",AND(I122&lt;&gt;"Transferencia",I122&lt;&gt;"Pago tarjeta")),"",IF(IFERROR(INDEX(ctaMon,MATCH(G122,ctaNom,0))&amp;"","DOP")=N122,C122,IF(N122="USD",C122*TasaUSD,C122/TasaUSD)))</f>
        <v/>
      </c>
      <c r="V122" s="20">
        <f>IF(I122="","",IF(IFERROR(INDEX(ctaLiq,MATCH(E122,ctaNom,0))="Sí",FALSE),IF(OR(I122="Gasto",I122="Transferencia",I122="Pago tarjeta"),-1,1)*O122,0)+IF(AND(U122&lt;&gt;"",IFERROR(INDEX(ctaLiq,MATCH(G122,ctaNom,0))="Sí",FALSE)),O122,0))</f>
        <v/>
      </c>
      <c r="W122" s="19">
        <f>IF(OR(F122="",I122=""),"",IF(COUNTIFS(F$6:F122,F122,I$6:I122,"?*")=1,MAX(W$5:W121)+1,""))</f>
        <v/>
      </c>
    </row>
    <row r="123">
      <c r="B123" s="15" t="n"/>
      <c r="C123" s="16" t="n"/>
      <c r="D123" s="17" t="n"/>
      <c r="E123" s="17" t="n"/>
      <c r="F123" s="17" t="n"/>
      <c r="G123" s="17" t="n"/>
      <c r="H123" s="18">
        <f>IF(AND(B123="",C123="",D123="",E123=""),"",IF(B123="","⚠ Falta fecha",IF(C123="","⚠ Falta monto",IF(D123="","⚠ Falta categoría",IF(ISNA(MATCH(D123,catNom,0)),"⚠ Categoría no existe",IF(E123="","⚠ Falta cuenta",IF(ISNA(MATCH(E123,ctaNom,0)),"⚠ Cuenta no existe",IF(AND(OR(I123="Transferencia",I123="Pago tarjeta"),G123=""),"⚠ Indica la cuenta «Hacia»",IF(AND(G123&lt;&gt;"",G123=E123),"⚠ «Hacia» igual a la cuenta",IF(AND(G123&lt;&gt;"",ISNA(MATCH(G123,ctaNom,0))),"⚠ «Hacia» no existe",IF(AND(I123="Pago tarjeta",IFERROR(INDEX(ctaTipo,MATCH(G123,ctaNom,0)),"")&lt;&gt;"Tarjeta de crédito"),"⚠ «Hacia» debe ser la tarjeta",IF(AND(I123="Trading",IFERROR(INDEX(ctaTipo,MATCH(E123,ctaNom,0)),"")&lt;&gt;"Cuenta de trading"),"⚠ Usa la cuenta de trading","✓"))))))))))))</f>
        <v/>
      </c>
      <c r="I123" s="19">
        <f>IF(OR(B123="",C123="",D123=""),"",IFERROR(INDEX(catTipo,MATCH(D123,catNom,0))&amp;"",""))</f>
        <v/>
      </c>
      <c r="J123" s="19">
        <f>IF(I123="","",IFERROR(INDEX(catGrupo,MATCH(D123,catNom,0))&amp;"",""))</f>
        <v/>
      </c>
      <c r="K123" s="19">
        <f>IF(I123="Gasto",IF(IFERROR(INDEX(catClas,MATCH(D123,catNom,0))&amp;"","")="","Variable",IFERROR(INDEX(catClas,MATCH(D123,catNom,0))&amp;"","")),"")</f>
        <v/>
      </c>
      <c r="L123" s="19">
        <f>IF(I123="","",IFERROR(INDEX(catAlim,MATCH(D123,catNom,0))&amp;"",""))</f>
        <v/>
      </c>
      <c r="M123" s="19">
        <f>IF(I123="","",IFERROR(INDEX(catComida,MATCH(D123,catNom,0))&amp;"",""))</f>
        <v/>
      </c>
      <c r="N123" s="19">
        <f>IF(I123="","",IFERROR(INDEX(ctaMon,MATCH(E123,ctaNom,0))&amp;"","DOP"))</f>
        <v/>
      </c>
      <c r="O123" s="20">
        <f>IF(I123="","",C123*IF(N123="USD",TasaUSD,1))</f>
        <v/>
      </c>
      <c r="P123" s="20">
        <f>IF(I123="","",IF(I123="Gasto",O123,0))</f>
        <v/>
      </c>
      <c r="Q123" s="20">
        <f>IF(I123="","",IF(I123="Ingreso",O123,0))</f>
        <v/>
      </c>
      <c r="R123" s="20">
        <f>IF(I123="","",IF(I123="Trading",O123,0))</f>
        <v/>
      </c>
      <c r="S123" s="19">
        <f>IF(I123="","",IF(AND(I123="Gasto",K123="Variable",J123&lt;&gt;"Trading",O123&gt;0,O123&lt;=Umbral),1,0))</f>
        <v/>
      </c>
      <c r="T123" s="20">
        <f>IF(OR(I123="",E123=""),"",IF(OR(I123="Gasto",I123="Transferencia",I123="Pago tarjeta"),-1,1)*C123)</f>
        <v/>
      </c>
      <c r="U123" s="20">
        <f>IF(OR(G123="",AND(I123&lt;&gt;"Transferencia",I123&lt;&gt;"Pago tarjeta")),"",IF(IFERROR(INDEX(ctaMon,MATCH(G123,ctaNom,0))&amp;"","DOP")=N123,C123,IF(N123="USD",C123*TasaUSD,C123/TasaUSD)))</f>
        <v/>
      </c>
      <c r="V123" s="20">
        <f>IF(I123="","",IF(IFERROR(INDEX(ctaLiq,MATCH(E123,ctaNom,0))="Sí",FALSE),IF(OR(I123="Gasto",I123="Transferencia",I123="Pago tarjeta"),-1,1)*O123,0)+IF(AND(U123&lt;&gt;"",IFERROR(INDEX(ctaLiq,MATCH(G123,ctaNom,0))="Sí",FALSE)),O123,0))</f>
        <v/>
      </c>
      <c r="W123" s="19">
        <f>IF(OR(F123="",I123=""),"",IF(COUNTIFS(F$6:F123,F123,I$6:I123,"?*")=1,MAX(W$5:W122)+1,""))</f>
        <v/>
      </c>
    </row>
    <row r="124">
      <c r="B124" s="15" t="n"/>
      <c r="C124" s="16" t="n"/>
      <c r="D124" s="17" t="n"/>
      <c r="E124" s="17" t="n"/>
      <c r="F124" s="17" t="n"/>
      <c r="G124" s="17" t="n"/>
      <c r="H124" s="18">
        <f>IF(AND(B124="",C124="",D124="",E124=""),"",IF(B124="","⚠ Falta fecha",IF(C124="","⚠ Falta monto",IF(D124="","⚠ Falta categoría",IF(ISNA(MATCH(D124,catNom,0)),"⚠ Categoría no existe",IF(E124="","⚠ Falta cuenta",IF(ISNA(MATCH(E124,ctaNom,0)),"⚠ Cuenta no existe",IF(AND(OR(I124="Transferencia",I124="Pago tarjeta"),G124=""),"⚠ Indica la cuenta «Hacia»",IF(AND(G124&lt;&gt;"",G124=E124),"⚠ «Hacia» igual a la cuenta",IF(AND(G124&lt;&gt;"",ISNA(MATCH(G124,ctaNom,0))),"⚠ «Hacia» no existe",IF(AND(I124="Pago tarjeta",IFERROR(INDEX(ctaTipo,MATCH(G124,ctaNom,0)),"")&lt;&gt;"Tarjeta de crédito"),"⚠ «Hacia» debe ser la tarjeta",IF(AND(I124="Trading",IFERROR(INDEX(ctaTipo,MATCH(E124,ctaNom,0)),"")&lt;&gt;"Cuenta de trading"),"⚠ Usa la cuenta de trading","✓"))))))))))))</f>
        <v/>
      </c>
      <c r="I124" s="19">
        <f>IF(OR(B124="",C124="",D124=""),"",IFERROR(INDEX(catTipo,MATCH(D124,catNom,0))&amp;"",""))</f>
        <v/>
      </c>
      <c r="J124" s="19">
        <f>IF(I124="","",IFERROR(INDEX(catGrupo,MATCH(D124,catNom,0))&amp;"",""))</f>
        <v/>
      </c>
      <c r="K124" s="19">
        <f>IF(I124="Gasto",IF(IFERROR(INDEX(catClas,MATCH(D124,catNom,0))&amp;"","")="","Variable",IFERROR(INDEX(catClas,MATCH(D124,catNom,0))&amp;"","")),"")</f>
        <v/>
      </c>
      <c r="L124" s="19">
        <f>IF(I124="","",IFERROR(INDEX(catAlim,MATCH(D124,catNom,0))&amp;"",""))</f>
        <v/>
      </c>
      <c r="M124" s="19">
        <f>IF(I124="","",IFERROR(INDEX(catComida,MATCH(D124,catNom,0))&amp;"",""))</f>
        <v/>
      </c>
      <c r="N124" s="19">
        <f>IF(I124="","",IFERROR(INDEX(ctaMon,MATCH(E124,ctaNom,0))&amp;"","DOP"))</f>
        <v/>
      </c>
      <c r="O124" s="20">
        <f>IF(I124="","",C124*IF(N124="USD",TasaUSD,1))</f>
        <v/>
      </c>
      <c r="P124" s="20">
        <f>IF(I124="","",IF(I124="Gasto",O124,0))</f>
        <v/>
      </c>
      <c r="Q124" s="20">
        <f>IF(I124="","",IF(I124="Ingreso",O124,0))</f>
        <v/>
      </c>
      <c r="R124" s="20">
        <f>IF(I124="","",IF(I124="Trading",O124,0))</f>
        <v/>
      </c>
      <c r="S124" s="19">
        <f>IF(I124="","",IF(AND(I124="Gasto",K124="Variable",J124&lt;&gt;"Trading",O124&gt;0,O124&lt;=Umbral),1,0))</f>
        <v/>
      </c>
      <c r="T124" s="20">
        <f>IF(OR(I124="",E124=""),"",IF(OR(I124="Gasto",I124="Transferencia",I124="Pago tarjeta"),-1,1)*C124)</f>
        <v/>
      </c>
      <c r="U124" s="20">
        <f>IF(OR(G124="",AND(I124&lt;&gt;"Transferencia",I124&lt;&gt;"Pago tarjeta")),"",IF(IFERROR(INDEX(ctaMon,MATCH(G124,ctaNom,0))&amp;"","DOP")=N124,C124,IF(N124="USD",C124*TasaUSD,C124/TasaUSD)))</f>
        <v/>
      </c>
      <c r="V124" s="20">
        <f>IF(I124="","",IF(IFERROR(INDEX(ctaLiq,MATCH(E124,ctaNom,0))="Sí",FALSE),IF(OR(I124="Gasto",I124="Transferencia",I124="Pago tarjeta"),-1,1)*O124,0)+IF(AND(U124&lt;&gt;"",IFERROR(INDEX(ctaLiq,MATCH(G124,ctaNom,0))="Sí",FALSE)),O124,0))</f>
        <v/>
      </c>
      <c r="W124" s="19">
        <f>IF(OR(F124="",I124=""),"",IF(COUNTIFS(F$6:F124,F124,I$6:I124,"?*")=1,MAX(W$5:W123)+1,""))</f>
        <v/>
      </c>
    </row>
    <row r="125">
      <c r="B125" s="15" t="n"/>
      <c r="C125" s="16" t="n"/>
      <c r="D125" s="17" t="n"/>
      <c r="E125" s="17" t="n"/>
      <c r="F125" s="17" t="n"/>
      <c r="G125" s="17" t="n"/>
      <c r="H125" s="18">
        <f>IF(AND(B125="",C125="",D125="",E125=""),"",IF(B125="","⚠ Falta fecha",IF(C125="","⚠ Falta monto",IF(D125="","⚠ Falta categoría",IF(ISNA(MATCH(D125,catNom,0)),"⚠ Categoría no existe",IF(E125="","⚠ Falta cuenta",IF(ISNA(MATCH(E125,ctaNom,0)),"⚠ Cuenta no existe",IF(AND(OR(I125="Transferencia",I125="Pago tarjeta"),G125=""),"⚠ Indica la cuenta «Hacia»",IF(AND(G125&lt;&gt;"",G125=E125),"⚠ «Hacia» igual a la cuenta",IF(AND(G125&lt;&gt;"",ISNA(MATCH(G125,ctaNom,0))),"⚠ «Hacia» no existe",IF(AND(I125="Pago tarjeta",IFERROR(INDEX(ctaTipo,MATCH(G125,ctaNom,0)),"")&lt;&gt;"Tarjeta de crédito"),"⚠ «Hacia» debe ser la tarjeta",IF(AND(I125="Trading",IFERROR(INDEX(ctaTipo,MATCH(E125,ctaNom,0)),"")&lt;&gt;"Cuenta de trading"),"⚠ Usa la cuenta de trading","✓"))))))))))))</f>
        <v/>
      </c>
      <c r="I125" s="19">
        <f>IF(OR(B125="",C125="",D125=""),"",IFERROR(INDEX(catTipo,MATCH(D125,catNom,0))&amp;"",""))</f>
        <v/>
      </c>
      <c r="J125" s="19">
        <f>IF(I125="","",IFERROR(INDEX(catGrupo,MATCH(D125,catNom,0))&amp;"",""))</f>
        <v/>
      </c>
      <c r="K125" s="19">
        <f>IF(I125="Gasto",IF(IFERROR(INDEX(catClas,MATCH(D125,catNom,0))&amp;"","")="","Variable",IFERROR(INDEX(catClas,MATCH(D125,catNom,0))&amp;"","")),"")</f>
        <v/>
      </c>
      <c r="L125" s="19">
        <f>IF(I125="","",IFERROR(INDEX(catAlim,MATCH(D125,catNom,0))&amp;"",""))</f>
        <v/>
      </c>
      <c r="M125" s="19">
        <f>IF(I125="","",IFERROR(INDEX(catComida,MATCH(D125,catNom,0))&amp;"",""))</f>
        <v/>
      </c>
      <c r="N125" s="19">
        <f>IF(I125="","",IFERROR(INDEX(ctaMon,MATCH(E125,ctaNom,0))&amp;"","DOP"))</f>
        <v/>
      </c>
      <c r="O125" s="20">
        <f>IF(I125="","",C125*IF(N125="USD",TasaUSD,1))</f>
        <v/>
      </c>
      <c r="P125" s="20">
        <f>IF(I125="","",IF(I125="Gasto",O125,0))</f>
        <v/>
      </c>
      <c r="Q125" s="20">
        <f>IF(I125="","",IF(I125="Ingreso",O125,0))</f>
        <v/>
      </c>
      <c r="R125" s="20">
        <f>IF(I125="","",IF(I125="Trading",O125,0))</f>
        <v/>
      </c>
      <c r="S125" s="19">
        <f>IF(I125="","",IF(AND(I125="Gasto",K125="Variable",J125&lt;&gt;"Trading",O125&gt;0,O125&lt;=Umbral),1,0))</f>
        <v/>
      </c>
      <c r="T125" s="20">
        <f>IF(OR(I125="",E125=""),"",IF(OR(I125="Gasto",I125="Transferencia",I125="Pago tarjeta"),-1,1)*C125)</f>
        <v/>
      </c>
      <c r="U125" s="20">
        <f>IF(OR(G125="",AND(I125&lt;&gt;"Transferencia",I125&lt;&gt;"Pago tarjeta")),"",IF(IFERROR(INDEX(ctaMon,MATCH(G125,ctaNom,0))&amp;"","DOP")=N125,C125,IF(N125="USD",C125*TasaUSD,C125/TasaUSD)))</f>
        <v/>
      </c>
      <c r="V125" s="20">
        <f>IF(I125="","",IF(IFERROR(INDEX(ctaLiq,MATCH(E125,ctaNom,0))="Sí",FALSE),IF(OR(I125="Gasto",I125="Transferencia",I125="Pago tarjeta"),-1,1)*O125,0)+IF(AND(U125&lt;&gt;"",IFERROR(INDEX(ctaLiq,MATCH(G125,ctaNom,0))="Sí",FALSE)),O125,0))</f>
        <v/>
      </c>
      <c r="W125" s="19">
        <f>IF(OR(F125="",I125=""),"",IF(COUNTIFS(F$6:F125,F125,I$6:I125,"?*")=1,MAX(W$5:W124)+1,""))</f>
        <v/>
      </c>
    </row>
    <row r="126">
      <c r="B126" s="15" t="n"/>
      <c r="C126" s="16" t="n"/>
      <c r="D126" s="17" t="n"/>
      <c r="E126" s="17" t="n"/>
      <c r="F126" s="17" t="n"/>
      <c r="G126" s="17" t="n"/>
      <c r="H126" s="18">
        <f>IF(AND(B126="",C126="",D126="",E126=""),"",IF(B126="","⚠ Falta fecha",IF(C126="","⚠ Falta monto",IF(D126="","⚠ Falta categoría",IF(ISNA(MATCH(D126,catNom,0)),"⚠ Categoría no existe",IF(E126="","⚠ Falta cuenta",IF(ISNA(MATCH(E126,ctaNom,0)),"⚠ Cuenta no existe",IF(AND(OR(I126="Transferencia",I126="Pago tarjeta"),G126=""),"⚠ Indica la cuenta «Hacia»",IF(AND(G126&lt;&gt;"",G126=E126),"⚠ «Hacia» igual a la cuenta",IF(AND(G126&lt;&gt;"",ISNA(MATCH(G126,ctaNom,0))),"⚠ «Hacia» no existe",IF(AND(I126="Pago tarjeta",IFERROR(INDEX(ctaTipo,MATCH(G126,ctaNom,0)),"")&lt;&gt;"Tarjeta de crédito"),"⚠ «Hacia» debe ser la tarjeta",IF(AND(I126="Trading",IFERROR(INDEX(ctaTipo,MATCH(E126,ctaNom,0)),"")&lt;&gt;"Cuenta de trading"),"⚠ Usa la cuenta de trading","✓"))))))))))))</f>
        <v/>
      </c>
      <c r="I126" s="19">
        <f>IF(OR(B126="",C126="",D126=""),"",IFERROR(INDEX(catTipo,MATCH(D126,catNom,0))&amp;"",""))</f>
        <v/>
      </c>
      <c r="J126" s="19">
        <f>IF(I126="","",IFERROR(INDEX(catGrupo,MATCH(D126,catNom,0))&amp;"",""))</f>
        <v/>
      </c>
      <c r="K126" s="19">
        <f>IF(I126="Gasto",IF(IFERROR(INDEX(catClas,MATCH(D126,catNom,0))&amp;"","")="","Variable",IFERROR(INDEX(catClas,MATCH(D126,catNom,0))&amp;"","")),"")</f>
        <v/>
      </c>
      <c r="L126" s="19">
        <f>IF(I126="","",IFERROR(INDEX(catAlim,MATCH(D126,catNom,0))&amp;"",""))</f>
        <v/>
      </c>
      <c r="M126" s="19">
        <f>IF(I126="","",IFERROR(INDEX(catComida,MATCH(D126,catNom,0))&amp;"",""))</f>
        <v/>
      </c>
      <c r="N126" s="19">
        <f>IF(I126="","",IFERROR(INDEX(ctaMon,MATCH(E126,ctaNom,0))&amp;"","DOP"))</f>
        <v/>
      </c>
      <c r="O126" s="20">
        <f>IF(I126="","",C126*IF(N126="USD",TasaUSD,1))</f>
        <v/>
      </c>
      <c r="P126" s="20">
        <f>IF(I126="","",IF(I126="Gasto",O126,0))</f>
        <v/>
      </c>
      <c r="Q126" s="20">
        <f>IF(I126="","",IF(I126="Ingreso",O126,0))</f>
        <v/>
      </c>
      <c r="R126" s="20">
        <f>IF(I126="","",IF(I126="Trading",O126,0))</f>
        <v/>
      </c>
      <c r="S126" s="19">
        <f>IF(I126="","",IF(AND(I126="Gasto",K126="Variable",J126&lt;&gt;"Trading",O126&gt;0,O126&lt;=Umbral),1,0))</f>
        <v/>
      </c>
      <c r="T126" s="20">
        <f>IF(OR(I126="",E126=""),"",IF(OR(I126="Gasto",I126="Transferencia",I126="Pago tarjeta"),-1,1)*C126)</f>
        <v/>
      </c>
      <c r="U126" s="20">
        <f>IF(OR(G126="",AND(I126&lt;&gt;"Transferencia",I126&lt;&gt;"Pago tarjeta")),"",IF(IFERROR(INDEX(ctaMon,MATCH(G126,ctaNom,0))&amp;"","DOP")=N126,C126,IF(N126="USD",C126*TasaUSD,C126/TasaUSD)))</f>
        <v/>
      </c>
      <c r="V126" s="20">
        <f>IF(I126="","",IF(IFERROR(INDEX(ctaLiq,MATCH(E126,ctaNom,0))="Sí",FALSE),IF(OR(I126="Gasto",I126="Transferencia",I126="Pago tarjeta"),-1,1)*O126,0)+IF(AND(U126&lt;&gt;"",IFERROR(INDEX(ctaLiq,MATCH(G126,ctaNom,0))="Sí",FALSE)),O126,0))</f>
        <v/>
      </c>
      <c r="W126" s="19">
        <f>IF(OR(F126="",I126=""),"",IF(COUNTIFS(F$6:F126,F126,I$6:I126,"?*")=1,MAX(W$5:W125)+1,""))</f>
        <v/>
      </c>
    </row>
    <row r="127">
      <c r="B127" s="15" t="n"/>
      <c r="C127" s="16" t="n"/>
      <c r="D127" s="17" t="n"/>
      <c r="E127" s="17" t="n"/>
      <c r="F127" s="17" t="n"/>
      <c r="G127" s="17" t="n"/>
      <c r="H127" s="18">
        <f>IF(AND(B127="",C127="",D127="",E127=""),"",IF(B127="","⚠ Falta fecha",IF(C127="","⚠ Falta monto",IF(D127="","⚠ Falta categoría",IF(ISNA(MATCH(D127,catNom,0)),"⚠ Categoría no existe",IF(E127="","⚠ Falta cuenta",IF(ISNA(MATCH(E127,ctaNom,0)),"⚠ Cuenta no existe",IF(AND(OR(I127="Transferencia",I127="Pago tarjeta"),G127=""),"⚠ Indica la cuenta «Hacia»",IF(AND(G127&lt;&gt;"",G127=E127),"⚠ «Hacia» igual a la cuenta",IF(AND(G127&lt;&gt;"",ISNA(MATCH(G127,ctaNom,0))),"⚠ «Hacia» no existe",IF(AND(I127="Pago tarjeta",IFERROR(INDEX(ctaTipo,MATCH(G127,ctaNom,0)),"")&lt;&gt;"Tarjeta de crédito"),"⚠ «Hacia» debe ser la tarjeta",IF(AND(I127="Trading",IFERROR(INDEX(ctaTipo,MATCH(E127,ctaNom,0)),"")&lt;&gt;"Cuenta de trading"),"⚠ Usa la cuenta de trading","✓"))))))))))))</f>
        <v/>
      </c>
      <c r="I127" s="19">
        <f>IF(OR(B127="",C127="",D127=""),"",IFERROR(INDEX(catTipo,MATCH(D127,catNom,0))&amp;"",""))</f>
        <v/>
      </c>
      <c r="J127" s="19">
        <f>IF(I127="","",IFERROR(INDEX(catGrupo,MATCH(D127,catNom,0))&amp;"",""))</f>
        <v/>
      </c>
      <c r="K127" s="19">
        <f>IF(I127="Gasto",IF(IFERROR(INDEX(catClas,MATCH(D127,catNom,0))&amp;"","")="","Variable",IFERROR(INDEX(catClas,MATCH(D127,catNom,0))&amp;"","")),"")</f>
        <v/>
      </c>
      <c r="L127" s="19">
        <f>IF(I127="","",IFERROR(INDEX(catAlim,MATCH(D127,catNom,0))&amp;"",""))</f>
        <v/>
      </c>
      <c r="M127" s="19">
        <f>IF(I127="","",IFERROR(INDEX(catComida,MATCH(D127,catNom,0))&amp;"",""))</f>
        <v/>
      </c>
      <c r="N127" s="19">
        <f>IF(I127="","",IFERROR(INDEX(ctaMon,MATCH(E127,ctaNom,0))&amp;"","DOP"))</f>
        <v/>
      </c>
      <c r="O127" s="20">
        <f>IF(I127="","",C127*IF(N127="USD",TasaUSD,1))</f>
        <v/>
      </c>
      <c r="P127" s="20">
        <f>IF(I127="","",IF(I127="Gasto",O127,0))</f>
        <v/>
      </c>
      <c r="Q127" s="20">
        <f>IF(I127="","",IF(I127="Ingreso",O127,0))</f>
        <v/>
      </c>
      <c r="R127" s="20">
        <f>IF(I127="","",IF(I127="Trading",O127,0))</f>
        <v/>
      </c>
      <c r="S127" s="19">
        <f>IF(I127="","",IF(AND(I127="Gasto",K127="Variable",J127&lt;&gt;"Trading",O127&gt;0,O127&lt;=Umbral),1,0))</f>
        <v/>
      </c>
      <c r="T127" s="20">
        <f>IF(OR(I127="",E127=""),"",IF(OR(I127="Gasto",I127="Transferencia",I127="Pago tarjeta"),-1,1)*C127)</f>
        <v/>
      </c>
      <c r="U127" s="20">
        <f>IF(OR(G127="",AND(I127&lt;&gt;"Transferencia",I127&lt;&gt;"Pago tarjeta")),"",IF(IFERROR(INDEX(ctaMon,MATCH(G127,ctaNom,0))&amp;"","DOP")=N127,C127,IF(N127="USD",C127*TasaUSD,C127/TasaUSD)))</f>
        <v/>
      </c>
      <c r="V127" s="20">
        <f>IF(I127="","",IF(IFERROR(INDEX(ctaLiq,MATCH(E127,ctaNom,0))="Sí",FALSE),IF(OR(I127="Gasto",I127="Transferencia",I127="Pago tarjeta"),-1,1)*O127,0)+IF(AND(U127&lt;&gt;"",IFERROR(INDEX(ctaLiq,MATCH(G127,ctaNom,0))="Sí",FALSE)),O127,0))</f>
        <v/>
      </c>
      <c r="W127" s="19">
        <f>IF(OR(F127="",I127=""),"",IF(COUNTIFS(F$6:F127,F127,I$6:I127,"?*")=1,MAX(W$5:W126)+1,""))</f>
        <v/>
      </c>
    </row>
    <row r="128">
      <c r="B128" s="15" t="n"/>
      <c r="C128" s="16" t="n"/>
      <c r="D128" s="17" t="n"/>
      <c r="E128" s="17" t="n"/>
      <c r="F128" s="17" t="n"/>
      <c r="G128" s="17" t="n"/>
      <c r="H128" s="18">
        <f>IF(AND(B128="",C128="",D128="",E128=""),"",IF(B128="","⚠ Falta fecha",IF(C128="","⚠ Falta monto",IF(D128="","⚠ Falta categoría",IF(ISNA(MATCH(D128,catNom,0)),"⚠ Categoría no existe",IF(E128="","⚠ Falta cuenta",IF(ISNA(MATCH(E128,ctaNom,0)),"⚠ Cuenta no existe",IF(AND(OR(I128="Transferencia",I128="Pago tarjeta"),G128=""),"⚠ Indica la cuenta «Hacia»",IF(AND(G128&lt;&gt;"",G128=E128),"⚠ «Hacia» igual a la cuenta",IF(AND(G128&lt;&gt;"",ISNA(MATCH(G128,ctaNom,0))),"⚠ «Hacia» no existe",IF(AND(I128="Pago tarjeta",IFERROR(INDEX(ctaTipo,MATCH(G128,ctaNom,0)),"")&lt;&gt;"Tarjeta de crédito"),"⚠ «Hacia» debe ser la tarjeta",IF(AND(I128="Trading",IFERROR(INDEX(ctaTipo,MATCH(E128,ctaNom,0)),"")&lt;&gt;"Cuenta de trading"),"⚠ Usa la cuenta de trading","✓"))))))))))))</f>
        <v/>
      </c>
      <c r="I128" s="19">
        <f>IF(OR(B128="",C128="",D128=""),"",IFERROR(INDEX(catTipo,MATCH(D128,catNom,0))&amp;"",""))</f>
        <v/>
      </c>
      <c r="J128" s="19">
        <f>IF(I128="","",IFERROR(INDEX(catGrupo,MATCH(D128,catNom,0))&amp;"",""))</f>
        <v/>
      </c>
      <c r="K128" s="19">
        <f>IF(I128="Gasto",IF(IFERROR(INDEX(catClas,MATCH(D128,catNom,0))&amp;"","")="","Variable",IFERROR(INDEX(catClas,MATCH(D128,catNom,0))&amp;"","")),"")</f>
        <v/>
      </c>
      <c r="L128" s="19">
        <f>IF(I128="","",IFERROR(INDEX(catAlim,MATCH(D128,catNom,0))&amp;"",""))</f>
        <v/>
      </c>
      <c r="M128" s="19">
        <f>IF(I128="","",IFERROR(INDEX(catComida,MATCH(D128,catNom,0))&amp;"",""))</f>
        <v/>
      </c>
      <c r="N128" s="19">
        <f>IF(I128="","",IFERROR(INDEX(ctaMon,MATCH(E128,ctaNom,0))&amp;"","DOP"))</f>
        <v/>
      </c>
      <c r="O128" s="20">
        <f>IF(I128="","",C128*IF(N128="USD",TasaUSD,1))</f>
        <v/>
      </c>
      <c r="P128" s="20">
        <f>IF(I128="","",IF(I128="Gasto",O128,0))</f>
        <v/>
      </c>
      <c r="Q128" s="20">
        <f>IF(I128="","",IF(I128="Ingreso",O128,0))</f>
        <v/>
      </c>
      <c r="R128" s="20">
        <f>IF(I128="","",IF(I128="Trading",O128,0))</f>
        <v/>
      </c>
      <c r="S128" s="19">
        <f>IF(I128="","",IF(AND(I128="Gasto",K128="Variable",J128&lt;&gt;"Trading",O128&gt;0,O128&lt;=Umbral),1,0))</f>
        <v/>
      </c>
      <c r="T128" s="20">
        <f>IF(OR(I128="",E128=""),"",IF(OR(I128="Gasto",I128="Transferencia",I128="Pago tarjeta"),-1,1)*C128)</f>
        <v/>
      </c>
      <c r="U128" s="20">
        <f>IF(OR(G128="",AND(I128&lt;&gt;"Transferencia",I128&lt;&gt;"Pago tarjeta")),"",IF(IFERROR(INDEX(ctaMon,MATCH(G128,ctaNom,0))&amp;"","DOP")=N128,C128,IF(N128="USD",C128*TasaUSD,C128/TasaUSD)))</f>
        <v/>
      </c>
      <c r="V128" s="20">
        <f>IF(I128="","",IF(IFERROR(INDEX(ctaLiq,MATCH(E128,ctaNom,0))="Sí",FALSE),IF(OR(I128="Gasto",I128="Transferencia",I128="Pago tarjeta"),-1,1)*O128,0)+IF(AND(U128&lt;&gt;"",IFERROR(INDEX(ctaLiq,MATCH(G128,ctaNom,0))="Sí",FALSE)),O128,0))</f>
        <v/>
      </c>
      <c r="W128" s="19">
        <f>IF(OR(F128="",I128=""),"",IF(COUNTIFS(F$6:F128,F128,I$6:I128,"?*")=1,MAX(W$5:W127)+1,""))</f>
        <v/>
      </c>
    </row>
    <row r="129">
      <c r="B129" s="15" t="n"/>
      <c r="C129" s="16" t="n"/>
      <c r="D129" s="17" t="n"/>
      <c r="E129" s="17" t="n"/>
      <c r="F129" s="17" t="n"/>
      <c r="G129" s="17" t="n"/>
      <c r="H129" s="18">
        <f>IF(AND(B129="",C129="",D129="",E129=""),"",IF(B129="","⚠ Falta fecha",IF(C129="","⚠ Falta monto",IF(D129="","⚠ Falta categoría",IF(ISNA(MATCH(D129,catNom,0)),"⚠ Categoría no existe",IF(E129="","⚠ Falta cuenta",IF(ISNA(MATCH(E129,ctaNom,0)),"⚠ Cuenta no existe",IF(AND(OR(I129="Transferencia",I129="Pago tarjeta"),G129=""),"⚠ Indica la cuenta «Hacia»",IF(AND(G129&lt;&gt;"",G129=E129),"⚠ «Hacia» igual a la cuenta",IF(AND(G129&lt;&gt;"",ISNA(MATCH(G129,ctaNom,0))),"⚠ «Hacia» no existe",IF(AND(I129="Pago tarjeta",IFERROR(INDEX(ctaTipo,MATCH(G129,ctaNom,0)),"")&lt;&gt;"Tarjeta de crédito"),"⚠ «Hacia» debe ser la tarjeta",IF(AND(I129="Trading",IFERROR(INDEX(ctaTipo,MATCH(E129,ctaNom,0)),"")&lt;&gt;"Cuenta de trading"),"⚠ Usa la cuenta de trading","✓"))))))))))))</f>
        <v/>
      </c>
      <c r="I129" s="19">
        <f>IF(OR(B129="",C129="",D129=""),"",IFERROR(INDEX(catTipo,MATCH(D129,catNom,0))&amp;"",""))</f>
        <v/>
      </c>
      <c r="J129" s="19">
        <f>IF(I129="","",IFERROR(INDEX(catGrupo,MATCH(D129,catNom,0))&amp;"",""))</f>
        <v/>
      </c>
      <c r="K129" s="19">
        <f>IF(I129="Gasto",IF(IFERROR(INDEX(catClas,MATCH(D129,catNom,0))&amp;"","")="","Variable",IFERROR(INDEX(catClas,MATCH(D129,catNom,0))&amp;"","")),"")</f>
        <v/>
      </c>
      <c r="L129" s="19">
        <f>IF(I129="","",IFERROR(INDEX(catAlim,MATCH(D129,catNom,0))&amp;"",""))</f>
        <v/>
      </c>
      <c r="M129" s="19">
        <f>IF(I129="","",IFERROR(INDEX(catComida,MATCH(D129,catNom,0))&amp;"",""))</f>
        <v/>
      </c>
      <c r="N129" s="19">
        <f>IF(I129="","",IFERROR(INDEX(ctaMon,MATCH(E129,ctaNom,0))&amp;"","DOP"))</f>
        <v/>
      </c>
      <c r="O129" s="20">
        <f>IF(I129="","",C129*IF(N129="USD",TasaUSD,1))</f>
        <v/>
      </c>
      <c r="P129" s="20">
        <f>IF(I129="","",IF(I129="Gasto",O129,0))</f>
        <v/>
      </c>
      <c r="Q129" s="20">
        <f>IF(I129="","",IF(I129="Ingreso",O129,0))</f>
        <v/>
      </c>
      <c r="R129" s="20">
        <f>IF(I129="","",IF(I129="Trading",O129,0))</f>
        <v/>
      </c>
      <c r="S129" s="19">
        <f>IF(I129="","",IF(AND(I129="Gasto",K129="Variable",J129&lt;&gt;"Trading",O129&gt;0,O129&lt;=Umbral),1,0))</f>
        <v/>
      </c>
      <c r="T129" s="20">
        <f>IF(OR(I129="",E129=""),"",IF(OR(I129="Gasto",I129="Transferencia",I129="Pago tarjeta"),-1,1)*C129)</f>
        <v/>
      </c>
      <c r="U129" s="20">
        <f>IF(OR(G129="",AND(I129&lt;&gt;"Transferencia",I129&lt;&gt;"Pago tarjeta")),"",IF(IFERROR(INDEX(ctaMon,MATCH(G129,ctaNom,0))&amp;"","DOP")=N129,C129,IF(N129="USD",C129*TasaUSD,C129/TasaUSD)))</f>
        <v/>
      </c>
      <c r="V129" s="20">
        <f>IF(I129="","",IF(IFERROR(INDEX(ctaLiq,MATCH(E129,ctaNom,0))="Sí",FALSE),IF(OR(I129="Gasto",I129="Transferencia",I129="Pago tarjeta"),-1,1)*O129,0)+IF(AND(U129&lt;&gt;"",IFERROR(INDEX(ctaLiq,MATCH(G129,ctaNom,0))="Sí",FALSE)),O129,0))</f>
        <v/>
      </c>
      <c r="W129" s="19">
        <f>IF(OR(F129="",I129=""),"",IF(COUNTIFS(F$6:F129,F129,I$6:I129,"?*")=1,MAX(W$5:W128)+1,""))</f>
        <v/>
      </c>
    </row>
    <row r="130">
      <c r="B130" s="15" t="n"/>
      <c r="C130" s="16" t="n"/>
      <c r="D130" s="17" t="n"/>
      <c r="E130" s="17" t="n"/>
      <c r="F130" s="17" t="n"/>
      <c r="G130" s="17" t="n"/>
      <c r="H130" s="18">
        <f>IF(AND(B130="",C130="",D130="",E130=""),"",IF(B130="","⚠ Falta fecha",IF(C130="","⚠ Falta monto",IF(D130="","⚠ Falta categoría",IF(ISNA(MATCH(D130,catNom,0)),"⚠ Categoría no existe",IF(E130="","⚠ Falta cuenta",IF(ISNA(MATCH(E130,ctaNom,0)),"⚠ Cuenta no existe",IF(AND(OR(I130="Transferencia",I130="Pago tarjeta"),G130=""),"⚠ Indica la cuenta «Hacia»",IF(AND(G130&lt;&gt;"",G130=E130),"⚠ «Hacia» igual a la cuenta",IF(AND(G130&lt;&gt;"",ISNA(MATCH(G130,ctaNom,0))),"⚠ «Hacia» no existe",IF(AND(I130="Pago tarjeta",IFERROR(INDEX(ctaTipo,MATCH(G130,ctaNom,0)),"")&lt;&gt;"Tarjeta de crédito"),"⚠ «Hacia» debe ser la tarjeta",IF(AND(I130="Trading",IFERROR(INDEX(ctaTipo,MATCH(E130,ctaNom,0)),"")&lt;&gt;"Cuenta de trading"),"⚠ Usa la cuenta de trading","✓"))))))))))))</f>
        <v/>
      </c>
      <c r="I130" s="19">
        <f>IF(OR(B130="",C130="",D130=""),"",IFERROR(INDEX(catTipo,MATCH(D130,catNom,0))&amp;"",""))</f>
        <v/>
      </c>
      <c r="J130" s="19">
        <f>IF(I130="","",IFERROR(INDEX(catGrupo,MATCH(D130,catNom,0))&amp;"",""))</f>
        <v/>
      </c>
      <c r="K130" s="19">
        <f>IF(I130="Gasto",IF(IFERROR(INDEX(catClas,MATCH(D130,catNom,0))&amp;"","")="","Variable",IFERROR(INDEX(catClas,MATCH(D130,catNom,0))&amp;"","")),"")</f>
        <v/>
      </c>
      <c r="L130" s="19">
        <f>IF(I130="","",IFERROR(INDEX(catAlim,MATCH(D130,catNom,0))&amp;"",""))</f>
        <v/>
      </c>
      <c r="M130" s="19">
        <f>IF(I130="","",IFERROR(INDEX(catComida,MATCH(D130,catNom,0))&amp;"",""))</f>
        <v/>
      </c>
      <c r="N130" s="19">
        <f>IF(I130="","",IFERROR(INDEX(ctaMon,MATCH(E130,ctaNom,0))&amp;"","DOP"))</f>
        <v/>
      </c>
      <c r="O130" s="20">
        <f>IF(I130="","",C130*IF(N130="USD",TasaUSD,1))</f>
        <v/>
      </c>
      <c r="P130" s="20">
        <f>IF(I130="","",IF(I130="Gasto",O130,0))</f>
        <v/>
      </c>
      <c r="Q130" s="20">
        <f>IF(I130="","",IF(I130="Ingreso",O130,0))</f>
        <v/>
      </c>
      <c r="R130" s="20">
        <f>IF(I130="","",IF(I130="Trading",O130,0))</f>
        <v/>
      </c>
      <c r="S130" s="19">
        <f>IF(I130="","",IF(AND(I130="Gasto",K130="Variable",J130&lt;&gt;"Trading",O130&gt;0,O130&lt;=Umbral),1,0))</f>
        <v/>
      </c>
      <c r="T130" s="20">
        <f>IF(OR(I130="",E130=""),"",IF(OR(I130="Gasto",I130="Transferencia",I130="Pago tarjeta"),-1,1)*C130)</f>
        <v/>
      </c>
      <c r="U130" s="20">
        <f>IF(OR(G130="",AND(I130&lt;&gt;"Transferencia",I130&lt;&gt;"Pago tarjeta")),"",IF(IFERROR(INDEX(ctaMon,MATCH(G130,ctaNom,0))&amp;"","DOP")=N130,C130,IF(N130="USD",C130*TasaUSD,C130/TasaUSD)))</f>
        <v/>
      </c>
      <c r="V130" s="20">
        <f>IF(I130="","",IF(IFERROR(INDEX(ctaLiq,MATCH(E130,ctaNom,0))="Sí",FALSE),IF(OR(I130="Gasto",I130="Transferencia",I130="Pago tarjeta"),-1,1)*O130,0)+IF(AND(U130&lt;&gt;"",IFERROR(INDEX(ctaLiq,MATCH(G130,ctaNom,0))="Sí",FALSE)),O130,0))</f>
        <v/>
      </c>
      <c r="W130" s="19">
        <f>IF(OR(F130="",I130=""),"",IF(COUNTIFS(F$6:F130,F130,I$6:I130,"?*")=1,MAX(W$5:W129)+1,""))</f>
        <v/>
      </c>
    </row>
    <row r="131">
      <c r="B131" s="15" t="n"/>
      <c r="C131" s="16" t="n"/>
      <c r="D131" s="17" t="n"/>
      <c r="E131" s="17" t="n"/>
      <c r="F131" s="17" t="n"/>
      <c r="G131" s="17" t="n"/>
      <c r="H131" s="18">
        <f>IF(AND(B131="",C131="",D131="",E131=""),"",IF(B131="","⚠ Falta fecha",IF(C131="","⚠ Falta monto",IF(D131="","⚠ Falta categoría",IF(ISNA(MATCH(D131,catNom,0)),"⚠ Categoría no existe",IF(E131="","⚠ Falta cuenta",IF(ISNA(MATCH(E131,ctaNom,0)),"⚠ Cuenta no existe",IF(AND(OR(I131="Transferencia",I131="Pago tarjeta"),G131=""),"⚠ Indica la cuenta «Hacia»",IF(AND(G131&lt;&gt;"",G131=E131),"⚠ «Hacia» igual a la cuenta",IF(AND(G131&lt;&gt;"",ISNA(MATCH(G131,ctaNom,0))),"⚠ «Hacia» no existe",IF(AND(I131="Pago tarjeta",IFERROR(INDEX(ctaTipo,MATCH(G131,ctaNom,0)),"")&lt;&gt;"Tarjeta de crédito"),"⚠ «Hacia» debe ser la tarjeta",IF(AND(I131="Trading",IFERROR(INDEX(ctaTipo,MATCH(E131,ctaNom,0)),"")&lt;&gt;"Cuenta de trading"),"⚠ Usa la cuenta de trading","✓"))))))))))))</f>
        <v/>
      </c>
      <c r="I131" s="19">
        <f>IF(OR(B131="",C131="",D131=""),"",IFERROR(INDEX(catTipo,MATCH(D131,catNom,0))&amp;"",""))</f>
        <v/>
      </c>
      <c r="J131" s="19">
        <f>IF(I131="","",IFERROR(INDEX(catGrupo,MATCH(D131,catNom,0))&amp;"",""))</f>
        <v/>
      </c>
      <c r="K131" s="19">
        <f>IF(I131="Gasto",IF(IFERROR(INDEX(catClas,MATCH(D131,catNom,0))&amp;"","")="","Variable",IFERROR(INDEX(catClas,MATCH(D131,catNom,0))&amp;"","")),"")</f>
        <v/>
      </c>
      <c r="L131" s="19">
        <f>IF(I131="","",IFERROR(INDEX(catAlim,MATCH(D131,catNom,0))&amp;"",""))</f>
        <v/>
      </c>
      <c r="M131" s="19">
        <f>IF(I131="","",IFERROR(INDEX(catComida,MATCH(D131,catNom,0))&amp;"",""))</f>
        <v/>
      </c>
      <c r="N131" s="19">
        <f>IF(I131="","",IFERROR(INDEX(ctaMon,MATCH(E131,ctaNom,0))&amp;"","DOP"))</f>
        <v/>
      </c>
      <c r="O131" s="20">
        <f>IF(I131="","",C131*IF(N131="USD",TasaUSD,1))</f>
        <v/>
      </c>
      <c r="P131" s="20">
        <f>IF(I131="","",IF(I131="Gasto",O131,0))</f>
        <v/>
      </c>
      <c r="Q131" s="20">
        <f>IF(I131="","",IF(I131="Ingreso",O131,0))</f>
        <v/>
      </c>
      <c r="R131" s="20">
        <f>IF(I131="","",IF(I131="Trading",O131,0))</f>
        <v/>
      </c>
      <c r="S131" s="19">
        <f>IF(I131="","",IF(AND(I131="Gasto",K131="Variable",J131&lt;&gt;"Trading",O131&gt;0,O131&lt;=Umbral),1,0))</f>
        <v/>
      </c>
      <c r="T131" s="20">
        <f>IF(OR(I131="",E131=""),"",IF(OR(I131="Gasto",I131="Transferencia",I131="Pago tarjeta"),-1,1)*C131)</f>
        <v/>
      </c>
      <c r="U131" s="20">
        <f>IF(OR(G131="",AND(I131&lt;&gt;"Transferencia",I131&lt;&gt;"Pago tarjeta")),"",IF(IFERROR(INDEX(ctaMon,MATCH(G131,ctaNom,0))&amp;"","DOP")=N131,C131,IF(N131="USD",C131*TasaUSD,C131/TasaUSD)))</f>
        <v/>
      </c>
      <c r="V131" s="20">
        <f>IF(I131="","",IF(IFERROR(INDEX(ctaLiq,MATCH(E131,ctaNom,0))="Sí",FALSE),IF(OR(I131="Gasto",I131="Transferencia",I131="Pago tarjeta"),-1,1)*O131,0)+IF(AND(U131&lt;&gt;"",IFERROR(INDEX(ctaLiq,MATCH(G131,ctaNom,0))="Sí",FALSE)),O131,0))</f>
        <v/>
      </c>
      <c r="W131" s="19">
        <f>IF(OR(F131="",I131=""),"",IF(COUNTIFS(F$6:F131,F131,I$6:I131,"?*")=1,MAX(W$5:W130)+1,""))</f>
        <v/>
      </c>
    </row>
    <row r="132">
      <c r="B132" s="15" t="n"/>
      <c r="C132" s="16" t="n"/>
      <c r="D132" s="17" t="n"/>
      <c r="E132" s="17" t="n"/>
      <c r="F132" s="17" t="n"/>
      <c r="G132" s="17" t="n"/>
      <c r="H132" s="18">
        <f>IF(AND(B132="",C132="",D132="",E132=""),"",IF(B132="","⚠ Falta fecha",IF(C132="","⚠ Falta monto",IF(D132="","⚠ Falta categoría",IF(ISNA(MATCH(D132,catNom,0)),"⚠ Categoría no existe",IF(E132="","⚠ Falta cuenta",IF(ISNA(MATCH(E132,ctaNom,0)),"⚠ Cuenta no existe",IF(AND(OR(I132="Transferencia",I132="Pago tarjeta"),G132=""),"⚠ Indica la cuenta «Hacia»",IF(AND(G132&lt;&gt;"",G132=E132),"⚠ «Hacia» igual a la cuenta",IF(AND(G132&lt;&gt;"",ISNA(MATCH(G132,ctaNom,0))),"⚠ «Hacia» no existe",IF(AND(I132="Pago tarjeta",IFERROR(INDEX(ctaTipo,MATCH(G132,ctaNom,0)),"")&lt;&gt;"Tarjeta de crédito"),"⚠ «Hacia» debe ser la tarjeta",IF(AND(I132="Trading",IFERROR(INDEX(ctaTipo,MATCH(E132,ctaNom,0)),"")&lt;&gt;"Cuenta de trading"),"⚠ Usa la cuenta de trading","✓"))))))))))))</f>
        <v/>
      </c>
      <c r="I132" s="19">
        <f>IF(OR(B132="",C132="",D132=""),"",IFERROR(INDEX(catTipo,MATCH(D132,catNom,0))&amp;"",""))</f>
        <v/>
      </c>
      <c r="J132" s="19">
        <f>IF(I132="","",IFERROR(INDEX(catGrupo,MATCH(D132,catNom,0))&amp;"",""))</f>
        <v/>
      </c>
      <c r="K132" s="19">
        <f>IF(I132="Gasto",IF(IFERROR(INDEX(catClas,MATCH(D132,catNom,0))&amp;"","")="","Variable",IFERROR(INDEX(catClas,MATCH(D132,catNom,0))&amp;"","")),"")</f>
        <v/>
      </c>
      <c r="L132" s="19">
        <f>IF(I132="","",IFERROR(INDEX(catAlim,MATCH(D132,catNom,0))&amp;"",""))</f>
        <v/>
      </c>
      <c r="M132" s="19">
        <f>IF(I132="","",IFERROR(INDEX(catComida,MATCH(D132,catNom,0))&amp;"",""))</f>
        <v/>
      </c>
      <c r="N132" s="19">
        <f>IF(I132="","",IFERROR(INDEX(ctaMon,MATCH(E132,ctaNom,0))&amp;"","DOP"))</f>
        <v/>
      </c>
      <c r="O132" s="20">
        <f>IF(I132="","",C132*IF(N132="USD",TasaUSD,1))</f>
        <v/>
      </c>
      <c r="P132" s="20">
        <f>IF(I132="","",IF(I132="Gasto",O132,0))</f>
        <v/>
      </c>
      <c r="Q132" s="20">
        <f>IF(I132="","",IF(I132="Ingreso",O132,0))</f>
        <v/>
      </c>
      <c r="R132" s="20">
        <f>IF(I132="","",IF(I132="Trading",O132,0))</f>
        <v/>
      </c>
      <c r="S132" s="19">
        <f>IF(I132="","",IF(AND(I132="Gasto",K132="Variable",J132&lt;&gt;"Trading",O132&gt;0,O132&lt;=Umbral),1,0))</f>
        <v/>
      </c>
      <c r="T132" s="20">
        <f>IF(OR(I132="",E132=""),"",IF(OR(I132="Gasto",I132="Transferencia",I132="Pago tarjeta"),-1,1)*C132)</f>
        <v/>
      </c>
      <c r="U132" s="20">
        <f>IF(OR(G132="",AND(I132&lt;&gt;"Transferencia",I132&lt;&gt;"Pago tarjeta")),"",IF(IFERROR(INDEX(ctaMon,MATCH(G132,ctaNom,0))&amp;"","DOP")=N132,C132,IF(N132="USD",C132*TasaUSD,C132/TasaUSD)))</f>
        <v/>
      </c>
      <c r="V132" s="20">
        <f>IF(I132="","",IF(IFERROR(INDEX(ctaLiq,MATCH(E132,ctaNom,0))="Sí",FALSE),IF(OR(I132="Gasto",I132="Transferencia",I132="Pago tarjeta"),-1,1)*O132,0)+IF(AND(U132&lt;&gt;"",IFERROR(INDEX(ctaLiq,MATCH(G132,ctaNom,0))="Sí",FALSE)),O132,0))</f>
        <v/>
      </c>
      <c r="W132" s="19">
        <f>IF(OR(F132="",I132=""),"",IF(COUNTIFS(F$6:F132,F132,I$6:I132,"?*")=1,MAX(W$5:W131)+1,""))</f>
        <v/>
      </c>
    </row>
    <row r="133">
      <c r="B133" s="15" t="n"/>
      <c r="C133" s="16" t="n"/>
      <c r="D133" s="17" t="n"/>
      <c r="E133" s="17" t="n"/>
      <c r="F133" s="17" t="n"/>
      <c r="G133" s="17" t="n"/>
      <c r="H133" s="18">
        <f>IF(AND(B133="",C133="",D133="",E133=""),"",IF(B133="","⚠ Falta fecha",IF(C133="","⚠ Falta monto",IF(D133="","⚠ Falta categoría",IF(ISNA(MATCH(D133,catNom,0)),"⚠ Categoría no existe",IF(E133="","⚠ Falta cuenta",IF(ISNA(MATCH(E133,ctaNom,0)),"⚠ Cuenta no existe",IF(AND(OR(I133="Transferencia",I133="Pago tarjeta"),G133=""),"⚠ Indica la cuenta «Hacia»",IF(AND(G133&lt;&gt;"",G133=E133),"⚠ «Hacia» igual a la cuenta",IF(AND(G133&lt;&gt;"",ISNA(MATCH(G133,ctaNom,0))),"⚠ «Hacia» no existe",IF(AND(I133="Pago tarjeta",IFERROR(INDEX(ctaTipo,MATCH(G133,ctaNom,0)),"")&lt;&gt;"Tarjeta de crédito"),"⚠ «Hacia» debe ser la tarjeta",IF(AND(I133="Trading",IFERROR(INDEX(ctaTipo,MATCH(E133,ctaNom,0)),"")&lt;&gt;"Cuenta de trading"),"⚠ Usa la cuenta de trading","✓"))))))))))))</f>
        <v/>
      </c>
      <c r="I133" s="19">
        <f>IF(OR(B133="",C133="",D133=""),"",IFERROR(INDEX(catTipo,MATCH(D133,catNom,0))&amp;"",""))</f>
        <v/>
      </c>
      <c r="J133" s="19">
        <f>IF(I133="","",IFERROR(INDEX(catGrupo,MATCH(D133,catNom,0))&amp;"",""))</f>
        <v/>
      </c>
      <c r="K133" s="19">
        <f>IF(I133="Gasto",IF(IFERROR(INDEX(catClas,MATCH(D133,catNom,0))&amp;"","")="","Variable",IFERROR(INDEX(catClas,MATCH(D133,catNom,0))&amp;"","")),"")</f>
        <v/>
      </c>
      <c r="L133" s="19">
        <f>IF(I133="","",IFERROR(INDEX(catAlim,MATCH(D133,catNom,0))&amp;"",""))</f>
        <v/>
      </c>
      <c r="M133" s="19">
        <f>IF(I133="","",IFERROR(INDEX(catComida,MATCH(D133,catNom,0))&amp;"",""))</f>
        <v/>
      </c>
      <c r="N133" s="19">
        <f>IF(I133="","",IFERROR(INDEX(ctaMon,MATCH(E133,ctaNom,0))&amp;"","DOP"))</f>
        <v/>
      </c>
      <c r="O133" s="20">
        <f>IF(I133="","",C133*IF(N133="USD",TasaUSD,1))</f>
        <v/>
      </c>
      <c r="P133" s="20">
        <f>IF(I133="","",IF(I133="Gasto",O133,0))</f>
        <v/>
      </c>
      <c r="Q133" s="20">
        <f>IF(I133="","",IF(I133="Ingreso",O133,0))</f>
        <v/>
      </c>
      <c r="R133" s="20">
        <f>IF(I133="","",IF(I133="Trading",O133,0))</f>
        <v/>
      </c>
      <c r="S133" s="19">
        <f>IF(I133="","",IF(AND(I133="Gasto",K133="Variable",J133&lt;&gt;"Trading",O133&gt;0,O133&lt;=Umbral),1,0))</f>
        <v/>
      </c>
      <c r="T133" s="20">
        <f>IF(OR(I133="",E133=""),"",IF(OR(I133="Gasto",I133="Transferencia",I133="Pago tarjeta"),-1,1)*C133)</f>
        <v/>
      </c>
      <c r="U133" s="20">
        <f>IF(OR(G133="",AND(I133&lt;&gt;"Transferencia",I133&lt;&gt;"Pago tarjeta")),"",IF(IFERROR(INDEX(ctaMon,MATCH(G133,ctaNom,0))&amp;"","DOP")=N133,C133,IF(N133="USD",C133*TasaUSD,C133/TasaUSD)))</f>
        <v/>
      </c>
      <c r="V133" s="20">
        <f>IF(I133="","",IF(IFERROR(INDEX(ctaLiq,MATCH(E133,ctaNom,0))="Sí",FALSE),IF(OR(I133="Gasto",I133="Transferencia",I133="Pago tarjeta"),-1,1)*O133,0)+IF(AND(U133&lt;&gt;"",IFERROR(INDEX(ctaLiq,MATCH(G133,ctaNom,0))="Sí",FALSE)),O133,0))</f>
        <v/>
      </c>
      <c r="W133" s="19">
        <f>IF(OR(F133="",I133=""),"",IF(COUNTIFS(F$6:F133,F133,I$6:I133,"?*")=1,MAX(W$5:W132)+1,""))</f>
        <v/>
      </c>
    </row>
    <row r="134">
      <c r="B134" s="15" t="n"/>
      <c r="C134" s="16" t="n"/>
      <c r="D134" s="17" t="n"/>
      <c r="E134" s="17" t="n"/>
      <c r="F134" s="17" t="n"/>
      <c r="G134" s="17" t="n"/>
      <c r="H134" s="18">
        <f>IF(AND(B134="",C134="",D134="",E134=""),"",IF(B134="","⚠ Falta fecha",IF(C134="","⚠ Falta monto",IF(D134="","⚠ Falta categoría",IF(ISNA(MATCH(D134,catNom,0)),"⚠ Categoría no existe",IF(E134="","⚠ Falta cuenta",IF(ISNA(MATCH(E134,ctaNom,0)),"⚠ Cuenta no existe",IF(AND(OR(I134="Transferencia",I134="Pago tarjeta"),G134=""),"⚠ Indica la cuenta «Hacia»",IF(AND(G134&lt;&gt;"",G134=E134),"⚠ «Hacia» igual a la cuenta",IF(AND(G134&lt;&gt;"",ISNA(MATCH(G134,ctaNom,0))),"⚠ «Hacia» no existe",IF(AND(I134="Pago tarjeta",IFERROR(INDEX(ctaTipo,MATCH(G134,ctaNom,0)),"")&lt;&gt;"Tarjeta de crédito"),"⚠ «Hacia» debe ser la tarjeta",IF(AND(I134="Trading",IFERROR(INDEX(ctaTipo,MATCH(E134,ctaNom,0)),"")&lt;&gt;"Cuenta de trading"),"⚠ Usa la cuenta de trading","✓"))))))))))))</f>
        <v/>
      </c>
      <c r="I134" s="19">
        <f>IF(OR(B134="",C134="",D134=""),"",IFERROR(INDEX(catTipo,MATCH(D134,catNom,0))&amp;"",""))</f>
        <v/>
      </c>
      <c r="J134" s="19">
        <f>IF(I134="","",IFERROR(INDEX(catGrupo,MATCH(D134,catNom,0))&amp;"",""))</f>
        <v/>
      </c>
      <c r="K134" s="19">
        <f>IF(I134="Gasto",IF(IFERROR(INDEX(catClas,MATCH(D134,catNom,0))&amp;"","")="","Variable",IFERROR(INDEX(catClas,MATCH(D134,catNom,0))&amp;"","")),"")</f>
        <v/>
      </c>
      <c r="L134" s="19">
        <f>IF(I134="","",IFERROR(INDEX(catAlim,MATCH(D134,catNom,0))&amp;"",""))</f>
        <v/>
      </c>
      <c r="M134" s="19">
        <f>IF(I134="","",IFERROR(INDEX(catComida,MATCH(D134,catNom,0))&amp;"",""))</f>
        <v/>
      </c>
      <c r="N134" s="19">
        <f>IF(I134="","",IFERROR(INDEX(ctaMon,MATCH(E134,ctaNom,0))&amp;"","DOP"))</f>
        <v/>
      </c>
      <c r="O134" s="20">
        <f>IF(I134="","",C134*IF(N134="USD",TasaUSD,1))</f>
        <v/>
      </c>
      <c r="P134" s="20">
        <f>IF(I134="","",IF(I134="Gasto",O134,0))</f>
        <v/>
      </c>
      <c r="Q134" s="20">
        <f>IF(I134="","",IF(I134="Ingreso",O134,0))</f>
        <v/>
      </c>
      <c r="R134" s="20">
        <f>IF(I134="","",IF(I134="Trading",O134,0))</f>
        <v/>
      </c>
      <c r="S134" s="19">
        <f>IF(I134="","",IF(AND(I134="Gasto",K134="Variable",J134&lt;&gt;"Trading",O134&gt;0,O134&lt;=Umbral),1,0))</f>
        <v/>
      </c>
      <c r="T134" s="20">
        <f>IF(OR(I134="",E134=""),"",IF(OR(I134="Gasto",I134="Transferencia",I134="Pago tarjeta"),-1,1)*C134)</f>
        <v/>
      </c>
      <c r="U134" s="20">
        <f>IF(OR(G134="",AND(I134&lt;&gt;"Transferencia",I134&lt;&gt;"Pago tarjeta")),"",IF(IFERROR(INDEX(ctaMon,MATCH(G134,ctaNom,0))&amp;"","DOP")=N134,C134,IF(N134="USD",C134*TasaUSD,C134/TasaUSD)))</f>
        <v/>
      </c>
      <c r="V134" s="20">
        <f>IF(I134="","",IF(IFERROR(INDEX(ctaLiq,MATCH(E134,ctaNom,0))="Sí",FALSE),IF(OR(I134="Gasto",I134="Transferencia",I134="Pago tarjeta"),-1,1)*O134,0)+IF(AND(U134&lt;&gt;"",IFERROR(INDEX(ctaLiq,MATCH(G134,ctaNom,0))="Sí",FALSE)),O134,0))</f>
        <v/>
      </c>
      <c r="W134" s="19">
        <f>IF(OR(F134="",I134=""),"",IF(COUNTIFS(F$6:F134,F134,I$6:I134,"?*")=1,MAX(W$5:W133)+1,""))</f>
        <v/>
      </c>
    </row>
    <row r="135">
      <c r="B135" s="15" t="n"/>
      <c r="C135" s="16" t="n"/>
      <c r="D135" s="17" t="n"/>
      <c r="E135" s="17" t="n"/>
      <c r="F135" s="17" t="n"/>
      <c r="G135" s="17" t="n"/>
      <c r="H135" s="18">
        <f>IF(AND(B135="",C135="",D135="",E135=""),"",IF(B135="","⚠ Falta fecha",IF(C135="","⚠ Falta monto",IF(D135="","⚠ Falta categoría",IF(ISNA(MATCH(D135,catNom,0)),"⚠ Categoría no existe",IF(E135="","⚠ Falta cuenta",IF(ISNA(MATCH(E135,ctaNom,0)),"⚠ Cuenta no existe",IF(AND(OR(I135="Transferencia",I135="Pago tarjeta"),G135=""),"⚠ Indica la cuenta «Hacia»",IF(AND(G135&lt;&gt;"",G135=E135),"⚠ «Hacia» igual a la cuenta",IF(AND(G135&lt;&gt;"",ISNA(MATCH(G135,ctaNom,0))),"⚠ «Hacia» no existe",IF(AND(I135="Pago tarjeta",IFERROR(INDEX(ctaTipo,MATCH(G135,ctaNom,0)),"")&lt;&gt;"Tarjeta de crédito"),"⚠ «Hacia» debe ser la tarjeta",IF(AND(I135="Trading",IFERROR(INDEX(ctaTipo,MATCH(E135,ctaNom,0)),"")&lt;&gt;"Cuenta de trading"),"⚠ Usa la cuenta de trading","✓"))))))))))))</f>
        <v/>
      </c>
      <c r="I135" s="19">
        <f>IF(OR(B135="",C135="",D135=""),"",IFERROR(INDEX(catTipo,MATCH(D135,catNom,0))&amp;"",""))</f>
        <v/>
      </c>
      <c r="J135" s="19">
        <f>IF(I135="","",IFERROR(INDEX(catGrupo,MATCH(D135,catNom,0))&amp;"",""))</f>
        <v/>
      </c>
      <c r="K135" s="19">
        <f>IF(I135="Gasto",IF(IFERROR(INDEX(catClas,MATCH(D135,catNom,0))&amp;"","")="","Variable",IFERROR(INDEX(catClas,MATCH(D135,catNom,0))&amp;"","")),"")</f>
        <v/>
      </c>
      <c r="L135" s="19">
        <f>IF(I135="","",IFERROR(INDEX(catAlim,MATCH(D135,catNom,0))&amp;"",""))</f>
        <v/>
      </c>
      <c r="M135" s="19">
        <f>IF(I135="","",IFERROR(INDEX(catComida,MATCH(D135,catNom,0))&amp;"",""))</f>
        <v/>
      </c>
      <c r="N135" s="19">
        <f>IF(I135="","",IFERROR(INDEX(ctaMon,MATCH(E135,ctaNom,0))&amp;"","DOP"))</f>
        <v/>
      </c>
      <c r="O135" s="20">
        <f>IF(I135="","",C135*IF(N135="USD",TasaUSD,1))</f>
        <v/>
      </c>
      <c r="P135" s="20">
        <f>IF(I135="","",IF(I135="Gasto",O135,0))</f>
        <v/>
      </c>
      <c r="Q135" s="20">
        <f>IF(I135="","",IF(I135="Ingreso",O135,0))</f>
        <v/>
      </c>
      <c r="R135" s="20">
        <f>IF(I135="","",IF(I135="Trading",O135,0))</f>
        <v/>
      </c>
      <c r="S135" s="19">
        <f>IF(I135="","",IF(AND(I135="Gasto",K135="Variable",J135&lt;&gt;"Trading",O135&gt;0,O135&lt;=Umbral),1,0))</f>
        <v/>
      </c>
      <c r="T135" s="20">
        <f>IF(OR(I135="",E135=""),"",IF(OR(I135="Gasto",I135="Transferencia",I135="Pago tarjeta"),-1,1)*C135)</f>
        <v/>
      </c>
      <c r="U135" s="20">
        <f>IF(OR(G135="",AND(I135&lt;&gt;"Transferencia",I135&lt;&gt;"Pago tarjeta")),"",IF(IFERROR(INDEX(ctaMon,MATCH(G135,ctaNom,0))&amp;"","DOP")=N135,C135,IF(N135="USD",C135*TasaUSD,C135/TasaUSD)))</f>
        <v/>
      </c>
      <c r="V135" s="20">
        <f>IF(I135="","",IF(IFERROR(INDEX(ctaLiq,MATCH(E135,ctaNom,0))="Sí",FALSE),IF(OR(I135="Gasto",I135="Transferencia",I135="Pago tarjeta"),-1,1)*O135,0)+IF(AND(U135&lt;&gt;"",IFERROR(INDEX(ctaLiq,MATCH(G135,ctaNom,0))="Sí",FALSE)),O135,0))</f>
        <v/>
      </c>
      <c r="W135" s="19">
        <f>IF(OR(F135="",I135=""),"",IF(COUNTIFS(F$6:F135,F135,I$6:I135,"?*")=1,MAX(W$5:W134)+1,""))</f>
        <v/>
      </c>
    </row>
    <row r="136">
      <c r="B136" s="15" t="n"/>
      <c r="C136" s="16" t="n"/>
      <c r="D136" s="17" t="n"/>
      <c r="E136" s="17" t="n"/>
      <c r="F136" s="17" t="n"/>
      <c r="G136" s="17" t="n"/>
      <c r="H136" s="18">
        <f>IF(AND(B136="",C136="",D136="",E136=""),"",IF(B136="","⚠ Falta fecha",IF(C136="","⚠ Falta monto",IF(D136="","⚠ Falta categoría",IF(ISNA(MATCH(D136,catNom,0)),"⚠ Categoría no existe",IF(E136="","⚠ Falta cuenta",IF(ISNA(MATCH(E136,ctaNom,0)),"⚠ Cuenta no existe",IF(AND(OR(I136="Transferencia",I136="Pago tarjeta"),G136=""),"⚠ Indica la cuenta «Hacia»",IF(AND(G136&lt;&gt;"",G136=E136),"⚠ «Hacia» igual a la cuenta",IF(AND(G136&lt;&gt;"",ISNA(MATCH(G136,ctaNom,0))),"⚠ «Hacia» no existe",IF(AND(I136="Pago tarjeta",IFERROR(INDEX(ctaTipo,MATCH(G136,ctaNom,0)),"")&lt;&gt;"Tarjeta de crédito"),"⚠ «Hacia» debe ser la tarjeta",IF(AND(I136="Trading",IFERROR(INDEX(ctaTipo,MATCH(E136,ctaNom,0)),"")&lt;&gt;"Cuenta de trading"),"⚠ Usa la cuenta de trading","✓"))))))))))))</f>
        <v/>
      </c>
      <c r="I136" s="19">
        <f>IF(OR(B136="",C136="",D136=""),"",IFERROR(INDEX(catTipo,MATCH(D136,catNom,0))&amp;"",""))</f>
        <v/>
      </c>
      <c r="J136" s="19">
        <f>IF(I136="","",IFERROR(INDEX(catGrupo,MATCH(D136,catNom,0))&amp;"",""))</f>
        <v/>
      </c>
      <c r="K136" s="19">
        <f>IF(I136="Gasto",IF(IFERROR(INDEX(catClas,MATCH(D136,catNom,0))&amp;"","")="","Variable",IFERROR(INDEX(catClas,MATCH(D136,catNom,0))&amp;"","")),"")</f>
        <v/>
      </c>
      <c r="L136" s="19">
        <f>IF(I136="","",IFERROR(INDEX(catAlim,MATCH(D136,catNom,0))&amp;"",""))</f>
        <v/>
      </c>
      <c r="M136" s="19">
        <f>IF(I136="","",IFERROR(INDEX(catComida,MATCH(D136,catNom,0))&amp;"",""))</f>
        <v/>
      </c>
      <c r="N136" s="19">
        <f>IF(I136="","",IFERROR(INDEX(ctaMon,MATCH(E136,ctaNom,0))&amp;"","DOP"))</f>
        <v/>
      </c>
      <c r="O136" s="20">
        <f>IF(I136="","",C136*IF(N136="USD",TasaUSD,1))</f>
        <v/>
      </c>
      <c r="P136" s="20">
        <f>IF(I136="","",IF(I136="Gasto",O136,0))</f>
        <v/>
      </c>
      <c r="Q136" s="20">
        <f>IF(I136="","",IF(I136="Ingreso",O136,0))</f>
        <v/>
      </c>
      <c r="R136" s="20">
        <f>IF(I136="","",IF(I136="Trading",O136,0))</f>
        <v/>
      </c>
      <c r="S136" s="19">
        <f>IF(I136="","",IF(AND(I136="Gasto",K136="Variable",J136&lt;&gt;"Trading",O136&gt;0,O136&lt;=Umbral),1,0))</f>
        <v/>
      </c>
      <c r="T136" s="20">
        <f>IF(OR(I136="",E136=""),"",IF(OR(I136="Gasto",I136="Transferencia",I136="Pago tarjeta"),-1,1)*C136)</f>
        <v/>
      </c>
      <c r="U136" s="20">
        <f>IF(OR(G136="",AND(I136&lt;&gt;"Transferencia",I136&lt;&gt;"Pago tarjeta")),"",IF(IFERROR(INDEX(ctaMon,MATCH(G136,ctaNom,0))&amp;"","DOP")=N136,C136,IF(N136="USD",C136*TasaUSD,C136/TasaUSD)))</f>
        <v/>
      </c>
      <c r="V136" s="20">
        <f>IF(I136="","",IF(IFERROR(INDEX(ctaLiq,MATCH(E136,ctaNom,0))="Sí",FALSE),IF(OR(I136="Gasto",I136="Transferencia",I136="Pago tarjeta"),-1,1)*O136,0)+IF(AND(U136&lt;&gt;"",IFERROR(INDEX(ctaLiq,MATCH(G136,ctaNom,0))="Sí",FALSE)),O136,0))</f>
        <v/>
      </c>
      <c r="W136" s="19">
        <f>IF(OR(F136="",I136=""),"",IF(COUNTIFS(F$6:F136,F136,I$6:I136,"?*")=1,MAX(W$5:W135)+1,""))</f>
        <v/>
      </c>
    </row>
    <row r="137">
      <c r="B137" s="15" t="n"/>
      <c r="C137" s="16" t="n"/>
      <c r="D137" s="17" t="n"/>
      <c r="E137" s="17" t="n"/>
      <c r="F137" s="17" t="n"/>
      <c r="G137" s="17" t="n"/>
      <c r="H137" s="18">
        <f>IF(AND(B137="",C137="",D137="",E137=""),"",IF(B137="","⚠ Falta fecha",IF(C137="","⚠ Falta monto",IF(D137="","⚠ Falta categoría",IF(ISNA(MATCH(D137,catNom,0)),"⚠ Categoría no existe",IF(E137="","⚠ Falta cuenta",IF(ISNA(MATCH(E137,ctaNom,0)),"⚠ Cuenta no existe",IF(AND(OR(I137="Transferencia",I137="Pago tarjeta"),G137=""),"⚠ Indica la cuenta «Hacia»",IF(AND(G137&lt;&gt;"",G137=E137),"⚠ «Hacia» igual a la cuenta",IF(AND(G137&lt;&gt;"",ISNA(MATCH(G137,ctaNom,0))),"⚠ «Hacia» no existe",IF(AND(I137="Pago tarjeta",IFERROR(INDEX(ctaTipo,MATCH(G137,ctaNom,0)),"")&lt;&gt;"Tarjeta de crédito"),"⚠ «Hacia» debe ser la tarjeta",IF(AND(I137="Trading",IFERROR(INDEX(ctaTipo,MATCH(E137,ctaNom,0)),"")&lt;&gt;"Cuenta de trading"),"⚠ Usa la cuenta de trading","✓"))))))))))))</f>
        <v/>
      </c>
      <c r="I137" s="19">
        <f>IF(OR(B137="",C137="",D137=""),"",IFERROR(INDEX(catTipo,MATCH(D137,catNom,0))&amp;"",""))</f>
        <v/>
      </c>
      <c r="J137" s="19">
        <f>IF(I137="","",IFERROR(INDEX(catGrupo,MATCH(D137,catNom,0))&amp;"",""))</f>
        <v/>
      </c>
      <c r="K137" s="19">
        <f>IF(I137="Gasto",IF(IFERROR(INDEX(catClas,MATCH(D137,catNom,0))&amp;"","")="","Variable",IFERROR(INDEX(catClas,MATCH(D137,catNom,0))&amp;"","")),"")</f>
        <v/>
      </c>
      <c r="L137" s="19">
        <f>IF(I137="","",IFERROR(INDEX(catAlim,MATCH(D137,catNom,0))&amp;"",""))</f>
        <v/>
      </c>
      <c r="M137" s="19">
        <f>IF(I137="","",IFERROR(INDEX(catComida,MATCH(D137,catNom,0))&amp;"",""))</f>
        <v/>
      </c>
      <c r="N137" s="19">
        <f>IF(I137="","",IFERROR(INDEX(ctaMon,MATCH(E137,ctaNom,0))&amp;"","DOP"))</f>
        <v/>
      </c>
      <c r="O137" s="20">
        <f>IF(I137="","",C137*IF(N137="USD",TasaUSD,1))</f>
        <v/>
      </c>
      <c r="P137" s="20">
        <f>IF(I137="","",IF(I137="Gasto",O137,0))</f>
        <v/>
      </c>
      <c r="Q137" s="20">
        <f>IF(I137="","",IF(I137="Ingreso",O137,0))</f>
        <v/>
      </c>
      <c r="R137" s="20">
        <f>IF(I137="","",IF(I137="Trading",O137,0))</f>
        <v/>
      </c>
      <c r="S137" s="19">
        <f>IF(I137="","",IF(AND(I137="Gasto",K137="Variable",J137&lt;&gt;"Trading",O137&gt;0,O137&lt;=Umbral),1,0))</f>
        <v/>
      </c>
      <c r="T137" s="20">
        <f>IF(OR(I137="",E137=""),"",IF(OR(I137="Gasto",I137="Transferencia",I137="Pago tarjeta"),-1,1)*C137)</f>
        <v/>
      </c>
      <c r="U137" s="20">
        <f>IF(OR(G137="",AND(I137&lt;&gt;"Transferencia",I137&lt;&gt;"Pago tarjeta")),"",IF(IFERROR(INDEX(ctaMon,MATCH(G137,ctaNom,0))&amp;"","DOP")=N137,C137,IF(N137="USD",C137*TasaUSD,C137/TasaUSD)))</f>
        <v/>
      </c>
      <c r="V137" s="20">
        <f>IF(I137="","",IF(IFERROR(INDEX(ctaLiq,MATCH(E137,ctaNom,0))="Sí",FALSE),IF(OR(I137="Gasto",I137="Transferencia",I137="Pago tarjeta"),-1,1)*O137,0)+IF(AND(U137&lt;&gt;"",IFERROR(INDEX(ctaLiq,MATCH(G137,ctaNom,0))="Sí",FALSE)),O137,0))</f>
        <v/>
      </c>
      <c r="W137" s="19">
        <f>IF(OR(F137="",I137=""),"",IF(COUNTIFS(F$6:F137,F137,I$6:I137,"?*")=1,MAX(W$5:W136)+1,""))</f>
        <v/>
      </c>
    </row>
    <row r="138">
      <c r="B138" s="15" t="n"/>
      <c r="C138" s="16" t="n"/>
      <c r="D138" s="17" t="n"/>
      <c r="E138" s="17" t="n"/>
      <c r="F138" s="17" t="n"/>
      <c r="G138" s="17" t="n"/>
      <c r="H138" s="18">
        <f>IF(AND(B138="",C138="",D138="",E138=""),"",IF(B138="","⚠ Falta fecha",IF(C138="","⚠ Falta monto",IF(D138="","⚠ Falta categoría",IF(ISNA(MATCH(D138,catNom,0)),"⚠ Categoría no existe",IF(E138="","⚠ Falta cuenta",IF(ISNA(MATCH(E138,ctaNom,0)),"⚠ Cuenta no existe",IF(AND(OR(I138="Transferencia",I138="Pago tarjeta"),G138=""),"⚠ Indica la cuenta «Hacia»",IF(AND(G138&lt;&gt;"",G138=E138),"⚠ «Hacia» igual a la cuenta",IF(AND(G138&lt;&gt;"",ISNA(MATCH(G138,ctaNom,0))),"⚠ «Hacia» no existe",IF(AND(I138="Pago tarjeta",IFERROR(INDEX(ctaTipo,MATCH(G138,ctaNom,0)),"")&lt;&gt;"Tarjeta de crédito"),"⚠ «Hacia» debe ser la tarjeta",IF(AND(I138="Trading",IFERROR(INDEX(ctaTipo,MATCH(E138,ctaNom,0)),"")&lt;&gt;"Cuenta de trading"),"⚠ Usa la cuenta de trading","✓"))))))))))))</f>
        <v/>
      </c>
      <c r="I138" s="19">
        <f>IF(OR(B138="",C138="",D138=""),"",IFERROR(INDEX(catTipo,MATCH(D138,catNom,0))&amp;"",""))</f>
        <v/>
      </c>
      <c r="J138" s="19">
        <f>IF(I138="","",IFERROR(INDEX(catGrupo,MATCH(D138,catNom,0))&amp;"",""))</f>
        <v/>
      </c>
      <c r="K138" s="19">
        <f>IF(I138="Gasto",IF(IFERROR(INDEX(catClas,MATCH(D138,catNom,0))&amp;"","")="","Variable",IFERROR(INDEX(catClas,MATCH(D138,catNom,0))&amp;"","")),"")</f>
        <v/>
      </c>
      <c r="L138" s="19">
        <f>IF(I138="","",IFERROR(INDEX(catAlim,MATCH(D138,catNom,0))&amp;"",""))</f>
        <v/>
      </c>
      <c r="M138" s="19">
        <f>IF(I138="","",IFERROR(INDEX(catComida,MATCH(D138,catNom,0))&amp;"",""))</f>
        <v/>
      </c>
      <c r="N138" s="19">
        <f>IF(I138="","",IFERROR(INDEX(ctaMon,MATCH(E138,ctaNom,0))&amp;"","DOP"))</f>
        <v/>
      </c>
      <c r="O138" s="20">
        <f>IF(I138="","",C138*IF(N138="USD",TasaUSD,1))</f>
        <v/>
      </c>
      <c r="P138" s="20">
        <f>IF(I138="","",IF(I138="Gasto",O138,0))</f>
        <v/>
      </c>
      <c r="Q138" s="20">
        <f>IF(I138="","",IF(I138="Ingreso",O138,0))</f>
        <v/>
      </c>
      <c r="R138" s="20">
        <f>IF(I138="","",IF(I138="Trading",O138,0))</f>
        <v/>
      </c>
      <c r="S138" s="19">
        <f>IF(I138="","",IF(AND(I138="Gasto",K138="Variable",J138&lt;&gt;"Trading",O138&gt;0,O138&lt;=Umbral),1,0))</f>
        <v/>
      </c>
      <c r="T138" s="20">
        <f>IF(OR(I138="",E138=""),"",IF(OR(I138="Gasto",I138="Transferencia",I138="Pago tarjeta"),-1,1)*C138)</f>
        <v/>
      </c>
      <c r="U138" s="20">
        <f>IF(OR(G138="",AND(I138&lt;&gt;"Transferencia",I138&lt;&gt;"Pago tarjeta")),"",IF(IFERROR(INDEX(ctaMon,MATCH(G138,ctaNom,0))&amp;"","DOP")=N138,C138,IF(N138="USD",C138*TasaUSD,C138/TasaUSD)))</f>
        <v/>
      </c>
      <c r="V138" s="20">
        <f>IF(I138="","",IF(IFERROR(INDEX(ctaLiq,MATCH(E138,ctaNom,0))="Sí",FALSE),IF(OR(I138="Gasto",I138="Transferencia",I138="Pago tarjeta"),-1,1)*O138,0)+IF(AND(U138&lt;&gt;"",IFERROR(INDEX(ctaLiq,MATCH(G138,ctaNom,0))="Sí",FALSE)),O138,0))</f>
        <v/>
      </c>
      <c r="W138" s="19">
        <f>IF(OR(F138="",I138=""),"",IF(COUNTIFS(F$6:F138,F138,I$6:I138,"?*")=1,MAX(W$5:W137)+1,""))</f>
        <v/>
      </c>
    </row>
    <row r="139">
      <c r="B139" s="15" t="n"/>
      <c r="C139" s="16" t="n"/>
      <c r="D139" s="17" t="n"/>
      <c r="E139" s="17" t="n"/>
      <c r="F139" s="17" t="n"/>
      <c r="G139" s="17" t="n"/>
      <c r="H139" s="18">
        <f>IF(AND(B139="",C139="",D139="",E139=""),"",IF(B139="","⚠ Falta fecha",IF(C139="","⚠ Falta monto",IF(D139="","⚠ Falta categoría",IF(ISNA(MATCH(D139,catNom,0)),"⚠ Categoría no existe",IF(E139="","⚠ Falta cuenta",IF(ISNA(MATCH(E139,ctaNom,0)),"⚠ Cuenta no existe",IF(AND(OR(I139="Transferencia",I139="Pago tarjeta"),G139=""),"⚠ Indica la cuenta «Hacia»",IF(AND(G139&lt;&gt;"",G139=E139),"⚠ «Hacia» igual a la cuenta",IF(AND(G139&lt;&gt;"",ISNA(MATCH(G139,ctaNom,0))),"⚠ «Hacia» no existe",IF(AND(I139="Pago tarjeta",IFERROR(INDEX(ctaTipo,MATCH(G139,ctaNom,0)),"")&lt;&gt;"Tarjeta de crédito"),"⚠ «Hacia» debe ser la tarjeta",IF(AND(I139="Trading",IFERROR(INDEX(ctaTipo,MATCH(E139,ctaNom,0)),"")&lt;&gt;"Cuenta de trading"),"⚠ Usa la cuenta de trading","✓"))))))))))))</f>
        <v/>
      </c>
      <c r="I139" s="19">
        <f>IF(OR(B139="",C139="",D139=""),"",IFERROR(INDEX(catTipo,MATCH(D139,catNom,0))&amp;"",""))</f>
        <v/>
      </c>
      <c r="J139" s="19">
        <f>IF(I139="","",IFERROR(INDEX(catGrupo,MATCH(D139,catNom,0))&amp;"",""))</f>
        <v/>
      </c>
      <c r="K139" s="19">
        <f>IF(I139="Gasto",IF(IFERROR(INDEX(catClas,MATCH(D139,catNom,0))&amp;"","")="","Variable",IFERROR(INDEX(catClas,MATCH(D139,catNom,0))&amp;"","")),"")</f>
        <v/>
      </c>
      <c r="L139" s="19">
        <f>IF(I139="","",IFERROR(INDEX(catAlim,MATCH(D139,catNom,0))&amp;"",""))</f>
        <v/>
      </c>
      <c r="M139" s="19">
        <f>IF(I139="","",IFERROR(INDEX(catComida,MATCH(D139,catNom,0))&amp;"",""))</f>
        <v/>
      </c>
      <c r="N139" s="19">
        <f>IF(I139="","",IFERROR(INDEX(ctaMon,MATCH(E139,ctaNom,0))&amp;"","DOP"))</f>
        <v/>
      </c>
      <c r="O139" s="20">
        <f>IF(I139="","",C139*IF(N139="USD",TasaUSD,1))</f>
        <v/>
      </c>
      <c r="P139" s="20">
        <f>IF(I139="","",IF(I139="Gasto",O139,0))</f>
        <v/>
      </c>
      <c r="Q139" s="20">
        <f>IF(I139="","",IF(I139="Ingreso",O139,0))</f>
        <v/>
      </c>
      <c r="R139" s="20">
        <f>IF(I139="","",IF(I139="Trading",O139,0))</f>
        <v/>
      </c>
      <c r="S139" s="19">
        <f>IF(I139="","",IF(AND(I139="Gasto",K139="Variable",J139&lt;&gt;"Trading",O139&gt;0,O139&lt;=Umbral),1,0))</f>
        <v/>
      </c>
      <c r="T139" s="20">
        <f>IF(OR(I139="",E139=""),"",IF(OR(I139="Gasto",I139="Transferencia",I139="Pago tarjeta"),-1,1)*C139)</f>
        <v/>
      </c>
      <c r="U139" s="20">
        <f>IF(OR(G139="",AND(I139&lt;&gt;"Transferencia",I139&lt;&gt;"Pago tarjeta")),"",IF(IFERROR(INDEX(ctaMon,MATCH(G139,ctaNom,0))&amp;"","DOP")=N139,C139,IF(N139="USD",C139*TasaUSD,C139/TasaUSD)))</f>
        <v/>
      </c>
      <c r="V139" s="20">
        <f>IF(I139="","",IF(IFERROR(INDEX(ctaLiq,MATCH(E139,ctaNom,0))="Sí",FALSE),IF(OR(I139="Gasto",I139="Transferencia",I139="Pago tarjeta"),-1,1)*O139,0)+IF(AND(U139&lt;&gt;"",IFERROR(INDEX(ctaLiq,MATCH(G139,ctaNom,0))="Sí",FALSE)),O139,0))</f>
        <v/>
      </c>
      <c r="W139" s="19">
        <f>IF(OR(F139="",I139=""),"",IF(COUNTIFS(F$6:F139,F139,I$6:I139,"?*")=1,MAX(W$5:W138)+1,""))</f>
        <v/>
      </c>
    </row>
    <row r="140">
      <c r="B140" s="15" t="n"/>
      <c r="C140" s="16" t="n"/>
      <c r="D140" s="17" t="n"/>
      <c r="E140" s="17" t="n"/>
      <c r="F140" s="17" t="n"/>
      <c r="G140" s="17" t="n"/>
      <c r="H140" s="18">
        <f>IF(AND(B140="",C140="",D140="",E140=""),"",IF(B140="","⚠ Falta fecha",IF(C140="","⚠ Falta monto",IF(D140="","⚠ Falta categoría",IF(ISNA(MATCH(D140,catNom,0)),"⚠ Categoría no existe",IF(E140="","⚠ Falta cuenta",IF(ISNA(MATCH(E140,ctaNom,0)),"⚠ Cuenta no existe",IF(AND(OR(I140="Transferencia",I140="Pago tarjeta"),G140=""),"⚠ Indica la cuenta «Hacia»",IF(AND(G140&lt;&gt;"",G140=E140),"⚠ «Hacia» igual a la cuenta",IF(AND(G140&lt;&gt;"",ISNA(MATCH(G140,ctaNom,0))),"⚠ «Hacia» no existe",IF(AND(I140="Pago tarjeta",IFERROR(INDEX(ctaTipo,MATCH(G140,ctaNom,0)),"")&lt;&gt;"Tarjeta de crédito"),"⚠ «Hacia» debe ser la tarjeta",IF(AND(I140="Trading",IFERROR(INDEX(ctaTipo,MATCH(E140,ctaNom,0)),"")&lt;&gt;"Cuenta de trading"),"⚠ Usa la cuenta de trading","✓"))))))))))))</f>
        <v/>
      </c>
      <c r="I140" s="19">
        <f>IF(OR(B140="",C140="",D140=""),"",IFERROR(INDEX(catTipo,MATCH(D140,catNom,0))&amp;"",""))</f>
        <v/>
      </c>
      <c r="J140" s="19">
        <f>IF(I140="","",IFERROR(INDEX(catGrupo,MATCH(D140,catNom,0))&amp;"",""))</f>
        <v/>
      </c>
      <c r="K140" s="19">
        <f>IF(I140="Gasto",IF(IFERROR(INDEX(catClas,MATCH(D140,catNom,0))&amp;"","")="","Variable",IFERROR(INDEX(catClas,MATCH(D140,catNom,0))&amp;"","")),"")</f>
        <v/>
      </c>
      <c r="L140" s="19">
        <f>IF(I140="","",IFERROR(INDEX(catAlim,MATCH(D140,catNom,0))&amp;"",""))</f>
        <v/>
      </c>
      <c r="M140" s="19">
        <f>IF(I140="","",IFERROR(INDEX(catComida,MATCH(D140,catNom,0))&amp;"",""))</f>
        <v/>
      </c>
      <c r="N140" s="19">
        <f>IF(I140="","",IFERROR(INDEX(ctaMon,MATCH(E140,ctaNom,0))&amp;"","DOP"))</f>
        <v/>
      </c>
      <c r="O140" s="20">
        <f>IF(I140="","",C140*IF(N140="USD",TasaUSD,1))</f>
        <v/>
      </c>
      <c r="P140" s="20">
        <f>IF(I140="","",IF(I140="Gasto",O140,0))</f>
        <v/>
      </c>
      <c r="Q140" s="20">
        <f>IF(I140="","",IF(I140="Ingreso",O140,0))</f>
        <v/>
      </c>
      <c r="R140" s="20">
        <f>IF(I140="","",IF(I140="Trading",O140,0))</f>
        <v/>
      </c>
      <c r="S140" s="19">
        <f>IF(I140="","",IF(AND(I140="Gasto",K140="Variable",J140&lt;&gt;"Trading",O140&gt;0,O140&lt;=Umbral),1,0))</f>
        <v/>
      </c>
      <c r="T140" s="20">
        <f>IF(OR(I140="",E140=""),"",IF(OR(I140="Gasto",I140="Transferencia",I140="Pago tarjeta"),-1,1)*C140)</f>
        <v/>
      </c>
      <c r="U140" s="20">
        <f>IF(OR(G140="",AND(I140&lt;&gt;"Transferencia",I140&lt;&gt;"Pago tarjeta")),"",IF(IFERROR(INDEX(ctaMon,MATCH(G140,ctaNom,0))&amp;"","DOP")=N140,C140,IF(N140="USD",C140*TasaUSD,C140/TasaUSD)))</f>
        <v/>
      </c>
      <c r="V140" s="20">
        <f>IF(I140="","",IF(IFERROR(INDEX(ctaLiq,MATCH(E140,ctaNom,0))="Sí",FALSE),IF(OR(I140="Gasto",I140="Transferencia",I140="Pago tarjeta"),-1,1)*O140,0)+IF(AND(U140&lt;&gt;"",IFERROR(INDEX(ctaLiq,MATCH(G140,ctaNom,0))="Sí",FALSE)),O140,0))</f>
        <v/>
      </c>
      <c r="W140" s="19">
        <f>IF(OR(F140="",I140=""),"",IF(COUNTIFS(F$6:F140,F140,I$6:I140,"?*")=1,MAX(W$5:W139)+1,""))</f>
        <v/>
      </c>
    </row>
    <row r="141">
      <c r="B141" s="15" t="n"/>
      <c r="C141" s="16" t="n"/>
      <c r="D141" s="17" t="n"/>
      <c r="E141" s="17" t="n"/>
      <c r="F141" s="17" t="n"/>
      <c r="G141" s="17" t="n"/>
      <c r="H141" s="18">
        <f>IF(AND(B141="",C141="",D141="",E141=""),"",IF(B141="","⚠ Falta fecha",IF(C141="","⚠ Falta monto",IF(D141="","⚠ Falta categoría",IF(ISNA(MATCH(D141,catNom,0)),"⚠ Categoría no existe",IF(E141="","⚠ Falta cuenta",IF(ISNA(MATCH(E141,ctaNom,0)),"⚠ Cuenta no existe",IF(AND(OR(I141="Transferencia",I141="Pago tarjeta"),G141=""),"⚠ Indica la cuenta «Hacia»",IF(AND(G141&lt;&gt;"",G141=E141),"⚠ «Hacia» igual a la cuenta",IF(AND(G141&lt;&gt;"",ISNA(MATCH(G141,ctaNom,0))),"⚠ «Hacia» no existe",IF(AND(I141="Pago tarjeta",IFERROR(INDEX(ctaTipo,MATCH(G141,ctaNom,0)),"")&lt;&gt;"Tarjeta de crédito"),"⚠ «Hacia» debe ser la tarjeta",IF(AND(I141="Trading",IFERROR(INDEX(ctaTipo,MATCH(E141,ctaNom,0)),"")&lt;&gt;"Cuenta de trading"),"⚠ Usa la cuenta de trading","✓"))))))))))))</f>
        <v/>
      </c>
      <c r="I141" s="19">
        <f>IF(OR(B141="",C141="",D141=""),"",IFERROR(INDEX(catTipo,MATCH(D141,catNom,0))&amp;"",""))</f>
        <v/>
      </c>
      <c r="J141" s="19">
        <f>IF(I141="","",IFERROR(INDEX(catGrupo,MATCH(D141,catNom,0))&amp;"",""))</f>
        <v/>
      </c>
      <c r="K141" s="19">
        <f>IF(I141="Gasto",IF(IFERROR(INDEX(catClas,MATCH(D141,catNom,0))&amp;"","")="","Variable",IFERROR(INDEX(catClas,MATCH(D141,catNom,0))&amp;"","")),"")</f>
        <v/>
      </c>
      <c r="L141" s="19">
        <f>IF(I141="","",IFERROR(INDEX(catAlim,MATCH(D141,catNom,0))&amp;"",""))</f>
        <v/>
      </c>
      <c r="M141" s="19">
        <f>IF(I141="","",IFERROR(INDEX(catComida,MATCH(D141,catNom,0))&amp;"",""))</f>
        <v/>
      </c>
      <c r="N141" s="19">
        <f>IF(I141="","",IFERROR(INDEX(ctaMon,MATCH(E141,ctaNom,0))&amp;"","DOP"))</f>
        <v/>
      </c>
      <c r="O141" s="20">
        <f>IF(I141="","",C141*IF(N141="USD",TasaUSD,1))</f>
        <v/>
      </c>
      <c r="P141" s="20">
        <f>IF(I141="","",IF(I141="Gasto",O141,0))</f>
        <v/>
      </c>
      <c r="Q141" s="20">
        <f>IF(I141="","",IF(I141="Ingreso",O141,0))</f>
        <v/>
      </c>
      <c r="R141" s="20">
        <f>IF(I141="","",IF(I141="Trading",O141,0))</f>
        <v/>
      </c>
      <c r="S141" s="19">
        <f>IF(I141="","",IF(AND(I141="Gasto",K141="Variable",J141&lt;&gt;"Trading",O141&gt;0,O141&lt;=Umbral),1,0))</f>
        <v/>
      </c>
      <c r="T141" s="20">
        <f>IF(OR(I141="",E141=""),"",IF(OR(I141="Gasto",I141="Transferencia",I141="Pago tarjeta"),-1,1)*C141)</f>
        <v/>
      </c>
      <c r="U141" s="20">
        <f>IF(OR(G141="",AND(I141&lt;&gt;"Transferencia",I141&lt;&gt;"Pago tarjeta")),"",IF(IFERROR(INDEX(ctaMon,MATCH(G141,ctaNom,0))&amp;"","DOP")=N141,C141,IF(N141="USD",C141*TasaUSD,C141/TasaUSD)))</f>
        <v/>
      </c>
      <c r="V141" s="20">
        <f>IF(I141="","",IF(IFERROR(INDEX(ctaLiq,MATCH(E141,ctaNom,0))="Sí",FALSE),IF(OR(I141="Gasto",I141="Transferencia",I141="Pago tarjeta"),-1,1)*O141,0)+IF(AND(U141&lt;&gt;"",IFERROR(INDEX(ctaLiq,MATCH(G141,ctaNom,0))="Sí",FALSE)),O141,0))</f>
        <v/>
      </c>
      <c r="W141" s="19">
        <f>IF(OR(F141="",I141=""),"",IF(COUNTIFS(F$6:F141,F141,I$6:I141,"?*")=1,MAX(W$5:W140)+1,""))</f>
        <v/>
      </c>
    </row>
    <row r="142">
      <c r="B142" s="15" t="n"/>
      <c r="C142" s="16" t="n"/>
      <c r="D142" s="17" t="n"/>
      <c r="E142" s="17" t="n"/>
      <c r="F142" s="17" t="n"/>
      <c r="G142" s="17" t="n"/>
      <c r="H142" s="18">
        <f>IF(AND(B142="",C142="",D142="",E142=""),"",IF(B142="","⚠ Falta fecha",IF(C142="","⚠ Falta monto",IF(D142="","⚠ Falta categoría",IF(ISNA(MATCH(D142,catNom,0)),"⚠ Categoría no existe",IF(E142="","⚠ Falta cuenta",IF(ISNA(MATCH(E142,ctaNom,0)),"⚠ Cuenta no existe",IF(AND(OR(I142="Transferencia",I142="Pago tarjeta"),G142=""),"⚠ Indica la cuenta «Hacia»",IF(AND(G142&lt;&gt;"",G142=E142),"⚠ «Hacia» igual a la cuenta",IF(AND(G142&lt;&gt;"",ISNA(MATCH(G142,ctaNom,0))),"⚠ «Hacia» no existe",IF(AND(I142="Pago tarjeta",IFERROR(INDEX(ctaTipo,MATCH(G142,ctaNom,0)),"")&lt;&gt;"Tarjeta de crédito"),"⚠ «Hacia» debe ser la tarjeta",IF(AND(I142="Trading",IFERROR(INDEX(ctaTipo,MATCH(E142,ctaNom,0)),"")&lt;&gt;"Cuenta de trading"),"⚠ Usa la cuenta de trading","✓"))))))))))))</f>
        <v/>
      </c>
      <c r="I142" s="19">
        <f>IF(OR(B142="",C142="",D142=""),"",IFERROR(INDEX(catTipo,MATCH(D142,catNom,0))&amp;"",""))</f>
        <v/>
      </c>
      <c r="J142" s="19">
        <f>IF(I142="","",IFERROR(INDEX(catGrupo,MATCH(D142,catNom,0))&amp;"",""))</f>
        <v/>
      </c>
      <c r="K142" s="19">
        <f>IF(I142="Gasto",IF(IFERROR(INDEX(catClas,MATCH(D142,catNom,0))&amp;"","")="","Variable",IFERROR(INDEX(catClas,MATCH(D142,catNom,0))&amp;"","")),"")</f>
        <v/>
      </c>
      <c r="L142" s="19">
        <f>IF(I142="","",IFERROR(INDEX(catAlim,MATCH(D142,catNom,0))&amp;"",""))</f>
        <v/>
      </c>
      <c r="M142" s="19">
        <f>IF(I142="","",IFERROR(INDEX(catComida,MATCH(D142,catNom,0))&amp;"",""))</f>
        <v/>
      </c>
      <c r="N142" s="19">
        <f>IF(I142="","",IFERROR(INDEX(ctaMon,MATCH(E142,ctaNom,0))&amp;"","DOP"))</f>
        <v/>
      </c>
      <c r="O142" s="20">
        <f>IF(I142="","",C142*IF(N142="USD",TasaUSD,1))</f>
        <v/>
      </c>
      <c r="P142" s="20">
        <f>IF(I142="","",IF(I142="Gasto",O142,0))</f>
        <v/>
      </c>
      <c r="Q142" s="20">
        <f>IF(I142="","",IF(I142="Ingreso",O142,0))</f>
        <v/>
      </c>
      <c r="R142" s="20">
        <f>IF(I142="","",IF(I142="Trading",O142,0))</f>
        <v/>
      </c>
      <c r="S142" s="19">
        <f>IF(I142="","",IF(AND(I142="Gasto",K142="Variable",J142&lt;&gt;"Trading",O142&gt;0,O142&lt;=Umbral),1,0))</f>
        <v/>
      </c>
      <c r="T142" s="20">
        <f>IF(OR(I142="",E142=""),"",IF(OR(I142="Gasto",I142="Transferencia",I142="Pago tarjeta"),-1,1)*C142)</f>
        <v/>
      </c>
      <c r="U142" s="20">
        <f>IF(OR(G142="",AND(I142&lt;&gt;"Transferencia",I142&lt;&gt;"Pago tarjeta")),"",IF(IFERROR(INDEX(ctaMon,MATCH(G142,ctaNom,0))&amp;"","DOP")=N142,C142,IF(N142="USD",C142*TasaUSD,C142/TasaUSD)))</f>
        <v/>
      </c>
      <c r="V142" s="20">
        <f>IF(I142="","",IF(IFERROR(INDEX(ctaLiq,MATCH(E142,ctaNom,0))="Sí",FALSE),IF(OR(I142="Gasto",I142="Transferencia",I142="Pago tarjeta"),-1,1)*O142,0)+IF(AND(U142&lt;&gt;"",IFERROR(INDEX(ctaLiq,MATCH(G142,ctaNom,0))="Sí",FALSE)),O142,0))</f>
        <v/>
      </c>
      <c r="W142" s="19">
        <f>IF(OR(F142="",I142=""),"",IF(COUNTIFS(F$6:F142,F142,I$6:I142,"?*")=1,MAX(W$5:W141)+1,""))</f>
        <v/>
      </c>
    </row>
    <row r="143">
      <c r="B143" s="15" t="n"/>
      <c r="C143" s="16" t="n"/>
      <c r="D143" s="17" t="n"/>
      <c r="E143" s="17" t="n"/>
      <c r="F143" s="17" t="n"/>
      <c r="G143" s="17" t="n"/>
      <c r="H143" s="18">
        <f>IF(AND(B143="",C143="",D143="",E143=""),"",IF(B143="","⚠ Falta fecha",IF(C143="","⚠ Falta monto",IF(D143="","⚠ Falta categoría",IF(ISNA(MATCH(D143,catNom,0)),"⚠ Categoría no existe",IF(E143="","⚠ Falta cuenta",IF(ISNA(MATCH(E143,ctaNom,0)),"⚠ Cuenta no existe",IF(AND(OR(I143="Transferencia",I143="Pago tarjeta"),G143=""),"⚠ Indica la cuenta «Hacia»",IF(AND(G143&lt;&gt;"",G143=E143),"⚠ «Hacia» igual a la cuenta",IF(AND(G143&lt;&gt;"",ISNA(MATCH(G143,ctaNom,0))),"⚠ «Hacia» no existe",IF(AND(I143="Pago tarjeta",IFERROR(INDEX(ctaTipo,MATCH(G143,ctaNom,0)),"")&lt;&gt;"Tarjeta de crédito"),"⚠ «Hacia» debe ser la tarjeta",IF(AND(I143="Trading",IFERROR(INDEX(ctaTipo,MATCH(E143,ctaNom,0)),"")&lt;&gt;"Cuenta de trading"),"⚠ Usa la cuenta de trading","✓"))))))))))))</f>
        <v/>
      </c>
      <c r="I143" s="19">
        <f>IF(OR(B143="",C143="",D143=""),"",IFERROR(INDEX(catTipo,MATCH(D143,catNom,0))&amp;"",""))</f>
        <v/>
      </c>
      <c r="J143" s="19">
        <f>IF(I143="","",IFERROR(INDEX(catGrupo,MATCH(D143,catNom,0))&amp;"",""))</f>
        <v/>
      </c>
      <c r="K143" s="19">
        <f>IF(I143="Gasto",IF(IFERROR(INDEX(catClas,MATCH(D143,catNom,0))&amp;"","")="","Variable",IFERROR(INDEX(catClas,MATCH(D143,catNom,0))&amp;"","")),"")</f>
        <v/>
      </c>
      <c r="L143" s="19">
        <f>IF(I143="","",IFERROR(INDEX(catAlim,MATCH(D143,catNom,0))&amp;"",""))</f>
        <v/>
      </c>
      <c r="M143" s="19">
        <f>IF(I143="","",IFERROR(INDEX(catComida,MATCH(D143,catNom,0))&amp;"",""))</f>
        <v/>
      </c>
      <c r="N143" s="19">
        <f>IF(I143="","",IFERROR(INDEX(ctaMon,MATCH(E143,ctaNom,0))&amp;"","DOP"))</f>
        <v/>
      </c>
      <c r="O143" s="20">
        <f>IF(I143="","",C143*IF(N143="USD",TasaUSD,1))</f>
        <v/>
      </c>
      <c r="P143" s="20">
        <f>IF(I143="","",IF(I143="Gasto",O143,0))</f>
        <v/>
      </c>
      <c r="Q143" s="20">
        <f>IF(I143="","",IF(I143="Ingreso",O143,0))</f>
        <v/>
      </c>
      <c r="R143" s="20">
        <f>IF(I143="","",IF(I143="Trading",O143,0))</f>
        <v/>
      </c>
      <c r="S143" s="19">
        <f>IF(I143="","",IF(AND(I143="Gasto",K143="Variable",J143&lt;&gt;"Trading",O143&gt;0,O143&lt;=Umbral),1,0))</f>
        <v/>
      </c>
      <c r="T143" s="20">
        <f>IF(OR(I143="",E143=""),"",IF(OR(I143="Gasto",I143="Transferencia",I143="Pago tarjeta"),-1,1)*C143)</f>
        <v/>
      </c>
      <c r="U143" s="20">
        <f>IF(OR(G143="",AND(I143&lt;&gt;"Transferencia",I143&lt;&gt;"Pago tarjeta")),"",IF(IFERROR(INDEX(ctaMon,MATCH(G143,ctaNom,0))&amp;"","DOP")=N143,C143,IF(N143="USD",C143*TasaUSD,C143/TasaUSD)))</f>
        <v/>
      </c>
      <c r="V143" s="20">
        <f>IF(I143="","",IF(IFERROR(INDEX(ctaLiq,MATCH(E143,ctaNom,0))="Sí",FALSE),IF(OR(I143="Gasto",I143="Transferencia",I143="Pago tarjeta"),-1,1)*O143,0)+IF(AND(U143&lt;&gt;"",IFERROR(INDEX(ctaLiq,MATCH(G143,ctaNom,0))="Sí",FALSE)),O143,0))</f>
        <v/>
      </c>
      <c r="W143" s="19">
        <f>IF(OR(F143="",I143=""),"",IF(COUNTIFS(F$6:F143,F143,I$6:I143,"?*")=1,MAX(W$5:W142)+1,""))</f>
        <v/>
      </c>
    </row>
    <row r="144">
      <c r="B144" s="15" t="n"/>
      <c r="C144" s="16" t="n"/>
      <c r="D144" s="17" t="n"/>
      <c r="E144" s="17" t="n"/>
      <c r="F144" s="17" t="n"/>
      <c r="G144" s="17" t="n"/>
      <c r="H144" s="18">
        <f>IF(AND(B144="",C144="",D144="",E144=""),"",IF(B144="","⚠ Falta fecha",IF(C144="","⚠ Falta monto",IF(D144="","⚠ Falta categoría",IF(ISNA(MATCH(D144,catNom,0)),"⚠ Categoría no existe",IF(E144="","⚠ Falta cuenta",IF(ISNA(MATCH(E144,ctaNom,0)),"⚠ Cuenta no existe",IF(AND(OR(I144="Transferencia",I144="Pago tarjeta"),G144=""),"⚠ Indica la cuenta «Hacia»",IF(AND(G144&lt;&gt;"",G144=E144),"⚠ «Hacia» igual a la cuenta",IF(AND(G144&lt;&gt;"",ISNA(MATCH(G144,ctaNom,0))),"⚠ «Hacia» no existe",IF(AND(I144="Pago tarjeta",IFERROR(INDEX(ctaTipo,MATCH(G144,ctaNom,0)),"")&lt;&gt;"Tarjeta de crédito"),"⚠ «Hacia» debe ser la tarjeta",IF(AND(I144="Trading",IFERROR(INDEX(ctaTipo,MATCH(E144,ctaNom,0)),"")&lt;&gt;"Cuenta de trading"),"⚠ Usa la cuenta de trading","✓"))))))))))))</f>
        <v/>
      </c>
      <c r="I144" s="19">
        <f>IF(OR(B144="",C144="",D144=""),"",IFERROR(INDEX(catTipo,MATCH(D144,catNom,0))&amp;"",""))</f>
        <v/>
      </c>
      <c r="J144" s="19">
        <f>IF(I144="","",IFERROR(INDEX(catGrupo,MATCH(D144,catNom,0))&amp;"",""))</f>
        <v/>
      </c>
      <c r="K144" s="19">
        <f>IF(I144="Gasto",IF(IFERROR(INDEX(catClas,MATCH(D144,catNom,0))&amp;"","")="","Variable",IFERROR(INDEX(catClas,MATCH(D144,catNom,0))&amp;"","")),"")</f>
        <v/>
      </c>
      <c r="L144" s="19">
        <f>IF(I144="","",IFERROR(INDEX(catAlim,MATCH(D144,catNom,0))&amp;"",""))</f>
        <v/>
      </c>
      <c r="M144" s="19">
        <f>IF(I144="","",IFERROR(INDEX(catComida,MATCH(D144,catNom,0))&amp;"",""))</f>
        <v/>
      </c>
      <c r="N144" s="19">
        <f>IF(I144="","",IFERROR(INDEX(ctaMon,MATCH(E144,ctaNom,0))&amp;"","DOP"))</f>
        <v/>
      </c>
      <c r="O144" s="20">
        <f>IF(I144="","",C144*IF(N144="USD",TasaUSD,1))</f>
        <v/>
      </c>
      <c r="P144" s="20">
        <f>IF(I144="","",IF(I144="Gasto",O144,0))</f>
        <v/>
      </c>
      <c r="Q144" s="20">
        <f>IF(I144="","",IF(I144="Ingreso",O144,0))</f>
        <v/>
      </c>
      <c r="R144" s="20">
        <f>IF(I144="","",IF(I144="Trading",O144,0))</f>
        <v/>
      </c>
      <c r="S144" s="19">
        <f>IF(I144="","",IF(AND(I144="Gasto",K144="Variable",J144&lt;&gt;"Trading",O144&gt;0,O144&lt;=Umbral),1,0))</f>
        <v/>
      </c>
      <c r="T144" s="20">
        <f>IF(OR(I144="",E144=""),"",IF(OR(I144="Gasto",I144="Transferencia",I144="Pago tarjeta"),-1,1)*C144)</f>
        <v/>
      </c>
      <c r="U144" s="20">
        <f>IF(OR(G144="",AND(I144&lt;&gt;"Transferencia",I144&lt;&gt;"Pago tarjeta")),"",IF(IFERROR(INDEX(ctaMon,MATCH(G144,ctaNom,0))&amp;"","DOP")=N144,C144,IF(N144="USD",C144*TasaUSD,C144/TasaUSD)))</f>
        <v/>
      </c>
      <c r="V144" s="20">
        <f>IF(I144="","",IF(IFERROR(INDEX(ctaLiq,MATCH(E144,ctaNom,0))="Sí",FALSE),IF(OR(I144="Gasto",I144="Transferencia",I144="Pago tarjeta"),-1,1)*O144,0)+IF(AND(U144&lt;&gt;"",IFERROR(INDEX(ctaLiq,MATCH(G144,ctaNom,0))="Sí",FALSE)),O144,0))</f>
        <v/>
      </c>
      <c r="W144" s="19">
        <f>IF(OR(F144="",I144=""),"",IF(COUNTIFS(F$6:F144,F144,I$6:I144,"?*")=1,MAX(W$5:W143)+1,""))</f>
        <v/>
      </c>
    </row>
    <row r="145">
      <c r="B145" s="15" t="n"/>
      <c r="C145" s="16" t="n"/>
      <c r="D145" s="17" t="n"/>
      <c r="E145" s="17" t="n"/>
      <c r="F145" s="17" t="n"/>
      <c r="G145" s="17" t="n"/>
      <c r="H145" s="18">
        <f>IF(AND(B145="",C145="",D145="",E145=""),"",IF(B145="","⚠ Falta fecha",IF(C145="","⚠ Falta monto",IF(D145="","⚠ Falta categoría",IF(ISNA(MATCH(D145,catNom,0)),"⚠ Categoría no existe",IF(E145="","⚠ Falta cuenta",IF(ISNA(MATCH(E145,ctaNom,0)),"⚠ Cuenta no existe",IF(AND(OR(I145="Transferencia",I145="Pago tarjeta"),G145=""),"⚠ Indica la cuenta «Hacia»",IF(AND(G145&lt;&gt;"",G145=E145),"⚠ «Hacia» igual a la cuenta",IF(AND(G145&lt;&gt;"",ISNA(MATCH(G145,ctaNom,0))),"⚠ «Hacia» no existe",IF(AND(I145="Pago tarjeta",IFERROR(INDEX(ctaTipo,MATCH(G145,ctaNom,0)),"")&lt;&gt;"Tarjeta de crédito"),"⚠ «Hacia» debe ser la tarjeta",IF(AND(I145="Trading",IFERROR(INDEX(ctaTipo,MATCH(E145,ctaNom,0)),"")&lt;&gt;"Cuenta de trading"),"⚠ Usa la cuenta de trading","✓"))))))))))))</f>
        <v/>
      </c>
      <c r="I145" s="19">
        <f>IF(OR(B145="",C145="",D145=""),"",IFERROR(INDEX(catTipo,MATCH(D145,catNom,0))&amp;"",""))</f>
        <v/>
      </c>
      <c r="J145" s="19">
        <f>IF(I145="","",IFERROR(INDEX(catGrupo,MATCH(D145,catNom,0))&amp;"",""))</f>
        <v/>
      </c>
      <c r="K145" s="19">
        <f>IF(I145="Gasto",IF(IFERROR(INDEX(catClas,MATCH(D145,catNom,0))&amp;"","")="","Variable",IFERROR(INDEX(catClas,MATCH(D145,catNom,0))&amp;"","")),"")</f>
        <v/>
      </c>
      <c r="L145" s="19">
        <f>IF(I145="","",IFERROR(INDEX(catAlim,MATCH(D145,catNom,0))&amp;"",""))</f>
        <v/>
      </c>
      <c r="M145" s="19">
        <f>IF(I145="","",IFERROR(INDEX(catComida,MATCH(D145,catNom,0))&amp;"",""))</f>
        <v/>
      </c>
      <c r="N145" s="19">
        <f>IF(I145="","",IFERROR(INDEX(ctaMon,MATCH(E145,ctaNom,0))&amp;"","DOP"))</f>
        <v/>
      </c>
      <c r="O145" s="20">
        <f>IF(I145="","",C145*IF(N145="USD",TasaUSD,1))</f>
        <v/>
      </c>
      <c r="P145" s="20">
        <f>IF(I145="","",IF(I145="Gasto",O145,0))</f>
        <v/>
      </c>
      <c r="Q145" s="20">
        <f>IF(I145="","",IF(I145="Ingreso",O145,0))</f>
        <v/>
      </c>
      <c r="R145" s="20">
        <f>IF(I145="","",IF(I145="Trading",O145,0))</f>
        <v/>
      </c>
      <c r="S145" s="19">
        <f>IF(I145="","",IF(AND(I145="Gasto",K145="Variable",J145&lt;&gt;"Trading",O145&gt;0,O145&lt;=Umbral),1,0))</f>
        <v/>
      </c>
      <c r="T145" s="20">
        <f>IF(OR(I145="",E145=""),"",IF(OR(I145="Gasto",I145="Transferencia",I145="Pago tarjeta"),-1,1)*C145)</f>
        <v/>
      </c>
      <c r="U145" s="20">
        <f>IF(OR(G145="",AND(I145&lt;&gt;"Transferencia",I145&lt;&gt;"Pago tarjeta")),"",IF(IFERROR(INDEX(ctaMon,MATCH(G145,ctaNom,0))&amp;"","DOP")=N145,C145,IF(N145="USD",C145*TasaUSD,C145/TasaUSD)))</f>
        <v/>
      </c>
      <c r="V145" s="20">
        <f>IF(I145="","",IF(IFERROR(INDEX(ctaLiq,MATCH(E145,ctaNom,0))="Sí",FALSE),IF(OR(I145="Gasto",I145="Transferencia",I145="Pago tarjeta"),-1,1)*O145,0)+IF(AND(U145&lt;&gt;"",IFERROR(INDEX(ctaLiq,MATCH(G145,ctaNom,0))="Sí",FALSE)),O145,0))</f>
        <v/>
      </c>
      <c r="W145" s="19">
        <f>IF(OR(F145="",I145=""),"",IF(COUNTIFS(F$6:F145,F145,I$6:I145,"?*")=1,MAX(W$5:W144)+1,""))</f>
        <v/>
      </c>
    </row>
    <row r="146">
      <c r="B146" s="15" t="n"/>
      <c r="C146" s="16" t="n"/>
      <c r="D146" s="17" t="n"/>
      <c r="E146" s="17" t="n"/>
      <c r="F146" s="17" t="n"/>
      <c r="G146" s="17" t="n"/>
      <c r="H146" s="18">
        <f>IF(AND(B146="",C146="",D146="",E146=""),"",IF(B146="","⚠ Falta fecha",IF(C146="","⚠ Falta monto",IF(D146="","⚠ Falta categoría",IF(ISNA(MATCH(D146,catNom,0)),"⚠ Categoría no existe",IF(E146="","⚠ Falta cuenta",IF(ISNA(MATCH(E146,ctaNom,0)),"⚠ Cuenta no existe",IF(AND(OR(I146="Transferencia",I146="Pago tarjeta"),G146=""),"⚠ Indica la cuenta «Hacia»",IF(AND(G146&lt;&gt;"",G146=E146),"⚠ «Hacia» igual a la cuenta",IF(AND(G146&lt;&gt;"",ISNA(MATCH(G146,ctaNom,0))),"⚠ «Hacia» no existe",IF(AND(I146="Pago tarjeta",IFERROR(INDEX(ctaTipo,MATCH(G146,ctaNom,0)),"")&lt;&gt;"Tarjeta de crédito"),"⚠ «Hacia» debe ser la tarjeta",IF(AND(I146="Trading",IFERROR(INDEX(ctaTipo,MATCH(E146,ctaNom,0)),"")&lt;&gt;"Cuenta de trading"),"⚠ Usa la cuenta de trading","✓"))))))))))))</f>
        <v/>
      </c>
      <c r="I146" s="19">
        <f>IF(OR(B146="",C146="",D146=""),"",IFERROR(INDEX(catTipo,MATCH(D146,catNom,0))&amp;"",""))</f>
        <v/>
      </c>
      <c r="J146" s="19">
        <f>IF(I146="","",IFERROR(INDEX(catGrupo,MATCH(D146,catNom,0))&amp;"",""))</f>
        <v/>
      </c>
      <c r="K146" s="19">
        <f>IF(I146="Gasto",IF(IFERROR(INDEX(catClas,MATCH(D146,catNom,0))&amp;"","")="","Variable",IFERROR(INDEX(catClas,MATCH(D146,catNom,0))&amp;"","")),"")</f>
        <v/>
      </c>
      <c r="L146" s="19">
        <f>IF(I146="","",IFERROR(INDEX(catAlim,MATCH(D146,catNom,0))&amp;"",""))</f>
        <v/>
      </c>
      <c r="M146" s="19">
        <f>IF(I146="","",IFERROR(INDEX(catComida,MATCH(D146,catNom,0))&amp;"",""))</f>
        <v/>
      </c>
      <c r="N146" s="19">
        <f>IF(I146="","",IFERROR(INDEX(ctaMon,MATCH(E146,ctaNom,0))&amp;"","DOP"))</f>
        <v/>
      </c>
      <c r="O146" s="20">
        <f>IF(I146="","",C146*IF(N146="USD",TasaUSD,1))</f>
        <v/>
      </c>
      <c r="P146" s="20">
        <f>IF(I146="","",IF(I146="Gasto",O146,0))</f>
        <v/>
      </c>
      <c r="Q146" s="20">
        <f>IF(I146="","",IF(I146="Ingreso",O146,0))</f>
        <v/>
      </c>
      <c r="R146" s="20">
        <f>IF(I146="","",IF(I146="Trading",O146,0))</f>
        <v/>
      </c>
      <c r="S146" s="19">
        <f>IF(I146="","",IF(AND(I146="Gasto",K146="Variable",J146&lt;&gt;"Trading",O146&gt;0,O146&lt;=Umbral),1,0))</f>
        <v/>
      </c>
      <c r="T146" s="20">
        <f>IF(OR(I146="",E146=""),"",IF(OR(I146="Gasto",I146="Transferencia",I146="Pago tarjeta"),-1,1)*C146)</f>
        <v/>
      </c>
      <c r="U146" s="20">
        <f>IF(OR(G146="",AND(I146&lt;&gt;"Transferencia",I146&lt;&gt;"Pago tarjeta")),"",IF(IFERROR(INDEX(ctaMon,MATCH(G146,ctaNom,0))&amp;"","DOP")=N146,C146,IF(N146="USD",C146*TasaUSD,C146/TasaUSD)))</f>
        <v/>
      </c>
      <c r="V146" s="20">
        <f>IF(I146="","",IF(IFERROR(INDEX(ctaLiq,MATCH(E146,ctaNom,0))="Sí",FALSE),IF(OR(I146="Gasto",I146="Transferencia",I146="Pago tarjeta"),-1,1)*O146,0)+IF(AND(U146&lt;&gt;"",IFERROR(INDEX(ctaLiq,MATCH(G146,ctaNom,0))="Sí",FALSE)),O146,0))</f>
        <v/>
      </c>
      <c r="W146" s="19">
        <f>IF(OR(F146="",I146=""),"",IF(COUNTIFS(F$6:F146,F146,I$6:I146,"?*")=1,MAX(W$5:W145)+1,""))</f>
        <v/>
      </c>
    </row>
    <row r="147">
      <c r="B147" s="15" t="n"/>
      <c r="C147" s="16" t="n"/>
      <c r="D147" s="17" t="n"/>
      <c r="E147" s="17" t="n"/>
      <c r="F147" s="17" t="n"/>
      <c r="G147" s="17" t="n"/>
      <c r="H147" s="18">
        <f>IF(AND(B147="",C147="",D147="",E147=""),"",IF(B147="","⚠ Falta fecha",IF(C147="","⚠ Falta monto",IF(D147="","⚠ Falta categoría",IF(ISNA(MATCH(D147,catNom,0)),"⚠ Categoría no existe",IF(E147="","⚠ Falta cuenta",IF(ISNA(MATCH(E147,ctaNom,0)),"⚠ Cuenta no existe",IF(AND(OR(I147="Transferencia",I147="Pago tarjeta"),G147=""),"⚠ Indica la cuenta «Hacia»",IF(AND(G147&lt;&gt;"",G147=E147),"⚠ «Hacia» igual a la cuenta",IF(AND(G147&lt;&gt;"",ISNA(MATCH(G147,ctaNom,0))),"⚠ «Hacia» no existe",IF(AND(I147="Pago tarjeta",IFERROR(INDEX(ctaTipo,MATCH(G147,ctaNom,0)),"")&lt;&gt;"Tarjeta de crédito"),"⚠ «Hacia» debe ser la tarjeta",IF(AND(I147="Trading",IFERROR(INDEX(ctaTipo,MATCH(E147,ctaNom,0)),"")&lt;&gt;"Cuenta de trading"),"⚠ Usa la cuenta de trading","✓"))))))))))))</f>
        <v/>
      </c>
      <c r="I147" s="19">
        <f>IF(OR(B147="",C147="",D147=""),"",IFERROR(INDEX(catTipo,MATCH(D147,catNom,0))&amp;"",""))</f>
        <v/>
      </c>
      <c r="J147" s="19">
        <f>IF(I147="","",IFERROR(INDEX(catGrupo,MATCH(D147,catNom,0))&amp;"",""))</f>
        <v/>
      </c>
      <c r="K147" s="19">
        <f>IF(I147="Gasto",IF(IFERROR(INDEX(catClas,MATCH(D147,catNom,0))&amp;"","")="","Variable",IFERROR(INDEX(catClas,MATCH(D147,catNom,0))&amp;"","")),"")</f>
        <v/>
      </c>
      <c r="L147" s="19">
        <f>IF(I147="","",IFERROR(INDEX(catAlim,MATCH(D147,catNom,0))&amp;"",""))</f>
        <v/>
      </c>
      <c r="M147" s="19">
        <f>IF(I147="","",IFERROR(INDEX(catComida,MATCH(D147,catNom,0))&amp;"",""))</f>
        <v/>
      </c>
      <c r="N147" s="19">
        <f>IF(I147="","",IFERROR(INDEX(ctaMon,MATCH(E147,ctaNom,0))&amp;"","DOP"))</f>
        <v/>
      </c>
      <c r="O147" s="20">
        <f>IF(I147="","",C147*IF(N147="USD",TasaUSD,1))</f>
        <v/>
      </c>
      <c r="P147" s="20">
        <f>IF(I147="","",IF(I147="Gasto",O147,0))</f>
        <v/>
      </c>
      <c r="Q147" s="20">
        <f>IF(I147="","",IF(I147="Ingreso",O147,0))</f>
        <v/>
      </c>
      <c r="R147" s="20">
        <f>IF(I147="","",IF(I147="Trading",O147,0))</f>
        <v/>
      </c>
      <c r="S147" s="19">
        <f>IF(I147="","",IF(AND(I147="Gasto",K147="Variable",J147&lt;&gt;"Trading",O147&gt;0,O147&lt;=Umbral),1,0))</f>
        <v/>
      </c>
      <c r="T147" s="20">
        <f>IF(OR(I147="",E147=""),"",IF(OR(I147="Gasto",I147="Transferencia",I147="Pago tarjeta"),-1,1)*C147)</f>
        <v/>
      </c>
      <c r="U147" s="20">
        <f>IF(OR(G147="",AND(I147&lt;&gt;"Transferencia",I147&lt;&gt;"Pago tarjeta")),"",IF(IFERROR(INDEX(ctaMon,MATCH(G147,ctaNom,0))&amp;"","DOP")=N147,C147,IF(N147="USD",C147*TasaUSD,C147/TasaUSD)))</f>
        <v/>
      </c>
      <c r="V147" s="20">
        <f>IF(I147="","",IF(IFERROR(INDEX(ctaLiq,MATCH(E147,ctaNom,0))="Sí",FALSE),IF(OR(I147="Gasto",I147="Transferencia",I147="Pago tarjeta"),-1,1)*O147,0)+IF(AND(U147&lt;&gt;"",IFERROR(INDEX(ctaLiq,MATCH(G147,ctaNom,0))="Sí",FALSE)),O147,0))</f>
        <v/>
      </c>
      <c r="W147" s="19">
        <f>IF(OR(F147="",I147=""),"",IF(COUNTIFS(F$6:F147,F147,I$6:I147,"?*")=1,MAX(W$5:W146)+1,""))</f>
        <v/>
      </c>
    </row>
    <row r="148">
      <c r="B148" s="15" t="n"/>
      <c r="C148" s="16" t="n"/>
      <c r="D148" s="17" t="n"/>
      <c r="E148" s="17" t="n"/>
      <c r="F148" s="17" t="n"/>
      <c r="G148" s="17" t="n"/>
      <c r="H148" s="18">
        <f>IF(AND(B148="",C148="",D148="",E148=""),"",IF(B148="","⚠ Falta fecha",IF(C148="","⚠ Falta monto",IF(D148="","⚠ Falta categoría",IF(ISNA(MATCH(D148,catNom,0)),"⚠ Categoría no existe",IF(E148="","⚠ Falta cuenta",IF(ISNA(MATCH(E148,ctaNom,0)),"⚠ Cuenta no existe",IF(AND(OR(I148="Transferencia",I148="Pago tarjeta"),G148=""),"⚠ Indica la cuenta «Hacia»",IF(AND(G148&lt;&gt;"",G148=E148),"⚠ «Hacia» igual a la cuenta",IF(AND(G148&lt;&gt;"",ISNA(MATCH(G148,ctaNom,0))),"⚠ «Hacia» no existe",IF(AND(I148="Pago tarjeta",IFERROR(INDEX(ctaTipo,MATCH(G148,ctaNom,0)),"")&lt;&gt;"Tarjeta de crédito"),"⚠ «Hacia» debe ser la tarjeta",IF(AND(I148="Trading",IFERROR(INDEX(ctaTipo,MATCH(E148,ctaNom,0)),"")&lt;&gt;"Cuenta de trading"),"⚠ Usa la cuenta de trading","✓"))))))))))))</f>
        <v/>
      </c>
      <c r="I148" s="19">
        <f>IF(OR(B148="",C148="",D148=""),"",IFERROR(INDEX(catTipo,MATCH(D148,catNom,0))&amp;"",""))</f>
        <v/>
      </c>
      <c r="J148" s="19">
        <f>IF(I148="","",IFERROR(INDEX(catGrupo,MATCH(D148,catNom,0))&amp;"",""))</f>
        <v/>
      </c>
      <c r="K148" s="19">
        <f>IF(I148="Gasto",IF(IFERROR(INDEX(catClas,MATCH(D148,catNom,0))&amp;"","")="","Variable",IFERROR(INDEX(catClas,MATCH(D148,catNom,0))&amp;"","")),"")</f>
        <v/>
      </c>
      <c r="L148" s="19">
        <f>IF(I148="","",IFERROR(INDEX(catAlim,MATCH(D148,catNom,0))&amp;"",""))</f>
        <v/>
      </c>
      <c r="M148" s="19">
        <f>IF(I148="","",IFERROR(INDEX(catComida,MATCH(D148,catNom,0))&amp;"",""))</f>
        <v/>
      </c>
      <c r="N148" s="19">
        <f>IF(I148="","",IFERROR(INDEX(ctaMon,MATCH(E148,ctaNom,0))&amp;"","DOP"))</f>
        <v/>
      </c>
      <c r="O148" s="20">
        <f>IF(I148="","",C148*IF(N148="USD",TasaUSD,1))</f>
        <v/>
      </c>
      <c r="P148" s="20">
        <f>IF(I148="","",IF(I148="Gasto",O148,0))</f>
        <v/>
      </c>
      <c r="Q148" s="20">
        <f>IF(I148="","",IF(I148="Ingreso",O148,0))</f>
        <v/>
      </c>
      <c r="R148" s="20">
        <f>IF(I148="","",IF(I148="Trading",O148,0))</f>
        <v/>
      </c>
      <c r="S148" s="19">
        <f>IF(I148="","",IF(AND(I148="Gasto",K148="Variable",J148&lt;&gt;"Trading",O148&gt;0,O148&lt;=Umbral),1,0))</f>
        <v/>
      </c>
      <c r="T148" s="20">
        <f>IF(OR(I148="",E148=""),"",IF(OR(I148="Gasto",I148="Transferencia",I148="Pago tarjeta"),-1,1)*C148)</f>
        <v/>
      </c>
      <c r="U148" s="20">
        <f>IF(OR(G148="",AND(I148&lt;&gt;"Transferencia",I148&lt;&gt;"Pago tarjeta")),"",IF(IFERROR(INDEX(ctaMon,MATCH(G148,ctaNom,0))&amp;"","DOP")=N148,C148,IF(N148="USD",C148*TasaUSD,C148/TasaUSD)))</f>
        <v/>
      </c>
      <c r="V148" s="20">
        <f>IF(I148="","",IF(IFERROR(INDEX(ctaLiq,MATCH(E148,ctaNom,0))="Sí",FALSE),IF(OR(I148="Gasto",I148="Transferencia",I148="Pago tarjeta"),-1,1)*O148,0)+IF(AND(U148&lt;&gt;"",IFERROR(INDEX(ctaLiq,MATCH(G148,ctaNom,0))="Sí",FALSE)),O148,0))</f>
        <v/>
      </c>
      <c r="W148" s="19">
        <f>IF(OR(F148="",I148=""),"",IF(COUNTIFS(F$6:F148,F148,I$6:I148,"?*")=1,MAX(W$5:W147)+1,""))</f>
        <v/>
      </c>
    </row>
    <row r="149">
      <c r="B149" s="15" t="n"/>
      <c r="C149" s="16" t="n"/>
      <c r="D149" s="17" t="n"/>
      <c r="E149" s="17" t="n"/>
      <c r="F149" s="17" t="n"/>
      <c r="G149" s="17" t="n"/>
      <c r="H149" s="18">
        <f>IF(AND(B149="",C149="",D149="",E149=""),"",IF(B149="","⚠ Falta fecha",IF(C149="","⚠ Falta monto",IF(D149="","⚠ Falta categoría",IF(ISNA(MATCH(D149,catNom,0)),"⚠ Categoría no existe",IF(E149="","⚠ Falta cuenta",IF(ISNA(MATCH(E149,ctaNom,0)),"⚠ Cuenta no existe",IF(AND(OR(I149="Transferencia",I149="Pago tarjeta"),G149=""),"⚠ Indica la cuenta «Hacia»",IF(AND(G149&lt;&gt;"",G149=E149),"⚠ «Hacia» igual a la cuenta",IF(AND(G149&lt;&gt;"",ISNA(MATCH(G149,ctaNom,0))),"⚠ «Hacia» no existe",IF(AND(I149="Pago tarjeta",IFERROR(INDEX(ctaTipo,MATCH(G149,ctaNom,0)),"")&lt;&gt;"Tarjeta de crédito"),"⚠ «Hacia» debe ser la tarjeta",IF(AND(I149="Trading",IFERROR(INDEX(ctaTipo,MATCH(E149,ctaNom,0)),"")&lt;&gt;"Cuenta de trading"),"⚠ Usa la cuenta de trading","✓"))))))))))))</f>
        <v/>
      </c>
      <c r="I149" s="19">
        <f>IF(OR(B149="",C149="",D149=""),"",IFERROR(INDEX(catTipo,MATCH(D149,catNom,0))&amp;"",""))</f>
        <v/>
      </c>
      <c r="J149" s="19">
        <f>IF(I149="","",IFERROR(INDEX(catGrupo,MATCH(D149,catNom,0))&amp;"",""))</f>
        <v/>
      </c>
      <c r="K149" s="19">
        <f>IF(I149="Gasto",IF(IFERROR(INDEX(catClas,MATCH(D149,catNom,0))&amp;"","")="","Variable",IFERROR(INDEX(catClas,MATCH(D149,catNom,0))&amp;"","")),"")</f>
        <v/>
      </c>
      <c r="L149" s="19">
        <f>IF(I149="","",IFERROR(INDEX(catAlim,MATCH(D149,catNom,0))&amp;"",""))</f>
        <v/>
      </c>
      <c r="M149" s="19">
        <f>IF(I149="","",IFERROR(INDEX(catComida,MATCH(D149,catNom,0))&amp;"",""))</f>
        <v/>
      </c>
      <c r="N149" s="19">
        <f>IF(I149="","",IFERROR(INDEX(ctaMon,MATCH(E149,ctaNom,0))&amp;"","DOP"))</f>
        <v/>
      </c>
      <c r="O149" s="20">
        <f>IF(I149="","",C149*IF(N149="USD",TasaUSD,1))</f>
        <v/>
      </c>
      <c r="P149" s="20">
        <f>IF(I149="","",IF(I149="Gasto",O149,0))</f>
        <v/>
      </c>
      <c r="Q149" s="20">
        <f>IF(I149="","",IF(I149="Ingreso",O149,0))</f>
        <v/>
      </c>
      <c r="R149" s="20">
        <f>IF(I149="","",IF(I149="Trading",O149,0))</f>
        <v/>
      </c>
      <c r="S149" s="19">
        <f>IF(I149="","",IF(AND(I149="Gasto",K149="Variable",J149&lt;&gt;"Trading",O149&gt;0,O149&lt;=Umbral),1,0))</f>
        <v/>
      </c>
      <c r="T149" s="20">
        <f>IF(OR(I149="",E149=""),"",IF(OR(I149="Gasto",I149="Transferencia",I149="Pago tarjeta"),-1,1)*C149)</f>
        <v/>
      </c>
      <c r="U149" s="20">
        <f>IF(OR(G149="",AND(I149&lt;&gt;"Transferencia",I149&lt;&gt;"Pago tarjeta")),"",IF(IFERROR(INDEX(ctaMon,MATCH(G149,ctaNom,0))&amp;"","DOP")=N149,C149,IF(N149="USD",C149*TasaUSD,C149/TasaUSD)))</f>
        <v/>
      </c>
      <c r="V149" s="20">
        <f>IF(I149="","",IF(IFERROR(INDEX(ctaLiq,MATCH(E149,ctaNom,0))="Sí",FALSE),IF(OR(I149="Gasto",I149="Transferencia",I149="Pago tarjeta"),-1,1)*O149,0)+IF(AND(U149&lt;&gt;"",IFERROR(INDEX(ctaLiq,MATCH(G149,ctaNom,0))="Sí",FALSE)),O149,0))</f>
        <v/>
      </c>
      <c r="W149" s="19">
        <f>IF(OR(F149="",I149=""),"",IF(COUNTIFS(F$6:F149,F149,I$6:I149,"?*")=1,MAX(W$5:W148)+1,""))</f>
        <v/>
      </c>
    </row>
    <row r="150">
      <c r="B150" s="15" t="n"/>
      <c r="C150" s="16" t="n"/>
      <c r="D150" s="17" t="n"/>
      <c r="E150" s="17" t="n"/>
      <c r="F150" s="17" t="n"/>
      <c r="G150" s="17" t="n"/>
      <c r="H150" s="18">
        <f>IF(AND(B150="",C150="",D150="",E150=""),"",IF(B150="","⚠ Falta fecha",IF(C150="","⚠ Falta monto",IF(D150="","⚠ Falta categoría",IF(ISNA(MATCH(D150,catNom,0)),"⚠ Categoría no existe",IF(E150="","⚠ Falta cuenta",IF(ISNA(MATCH(E150,ctaNom,0)),"⚠ Cuenta no existe",IF(AND(OR(I150="Transferencia",I150="Pago tarjeta"),G150=""),"⚠ Indica la cuenta «Hacia»",IF(AND(G150&lt;&gt;"",G150=E150),"⚠ «Hacia» igual a la cuenta",IF(AND(G150&lt;&gt;"",ISNA(MATCH(G150,ctaNom,0))),"⚠ «Hacia» no existe",IF(AND(I150="Pago tarjeta",IFERROR(INDEX(ctaTipo,MATCH(G150,ctaNom,0)),"")&lt;&gt;"Tarjeta de crédito"),"⚠ «Hacia» debe ser la tarjeta",IF(AND(I150="Trading",IFERROR(INDEX(ctaTipo,MATCH(E150,ctaNom,0)),"")&lt;&gt;"Cuenta de trading"),"⚠ Usa la cuenta de trading","✓"))))))))))))</f>
        <v/>
      </c>
      <c r="I150" s="19">
        <f>IF(OR(B150="",C150="",D150=""),"",IFERROR(INDEX(catTipo,MATCH(D150,catNom,0))&amp;"",""))</f>
        <v/>
      </c>
      <c r="J150" s="19">
        <f>IF(I150="","",IFERROR(INDEX(catGrupo,MATCH(D150,catNom,0))&amp;"",""))</f>
        <v/>
      </c>
      <c r="K150" s="19">
        <f>IF(I150="Gasto",IF(IFERROR(INDEX(catClas,MATCH(D150,catNom,0))&amp;"","")="","Variable",IFERROR(INDEX(catClas,MATCH(D150,catNom,0))&amp;"","")),"")</f>
        <v/>
      </c>
      <c r="L150" s="19">
        <f>IF(I150="","",IFERROR(INDEX(catAlim,MATCH(D150,catNom,0))&amp;"",""))</f>
        <v/>
      </c>
      <c r="M150" s="19">
        <f>IF(I150="","",IFERROR(INDEX(catComida,MATCH(D150,catNom,0))&amp;"",""))</f>
        <v/>
      </c>
      <c r="N150" s="19">
        <f>IF(I150="","",IFERROR(INDEX(ctaMon,MATCH(E150,ctaNom,0))&amp;"","DOP"))</f>
        <v/>
      </c>
      <c r="O150" s="20">
        <f>IF(I150="","",C150*IF(N150="USD",TasaUSD,1))</f>
        <v/>
      </c>
      <c r="P150" s="20">
        <f>IF(I150="","",IF(I150="Gasto",O150,0))</f>
        <v/>
      </c>
      <c r="Q150" s="20">
        <f>IF(I150="","",IF(I150="Ingreso",O150,0))</f>
        <v/>
      </c>
      <c r="R150" s="20">
        <f>IF(I150="","",IF(I150="Trading",O150,0))</f>
        <v/>
      </c>
      <c r="S150" s="19">
        <f>IF(I150="","",IF(AND(I150="Gasto",K150="Variable",J150&lt;&gt;"Trading",O150&gt;0,O150&lt;=Umbral),1,0))</f>
        <v/>
      </c>
      <c r="T150" s="20">
        <f>IF(OR(I150="",E150=""),"",IF(OR(I150="Gasto",I150="Transferencia",I150="Pago tarjeta"),-1,1)*C150)</f>
        <v/>
      </c>
      <c r="U150" s="20">
        <f>IF(OR(G150="",AND(I150&lt;&gt;"Transferencia",I150&lt;&gt;"Pago tarjeta")),"",IF(IFERROR(INDEX(ctaMon,MATCH(G150,ctaNom,0))&amp;"","DOP")=N150,C150,IF(N150="USD",C150*TasaUSD,C150/TasaUSD)))</f>
        <v/>
      </c>
      <c r="V150" s="20">
        <f>IF(I150="","",IF(IFERROR(INDEX(ctaLiq,MATCH(E150,ctaNom,0))="Sí",FALSE),IF(OR(I150="Gasto",I150="Transferencia",I150="Pago tarjeta"),-1,1)*O150,0)+IF(AND(U150&lt;&gt;"",IFERROR(INDEX(ctaLiq,MATCH(G150,ctaNom,0))="Sí",FALSE)),O150,0))</f>
        <v/>
      </c>
      <c r="W150" s="19">
        <f>IF(OR(F150="",I150=""),"",IF(COUNTIFS(F$6:F150,F150,I$6:I150,"?*")=1,MAX(W$5:W149)+1,""))</f>
        <v/>
      </c>
    </row>
    <row r="151">
      <c r="B151" s="15" t="n"/>
      <c r="C151" s="16" t="n"/>
      <c r="D151" s="17" t="n"/>
      <c r="E151" s="17" t="n"/>
      <c r="F151" s="17" t="n"/>
      <c r="G151" s="17" t="n"/>
      <c r="H151" s="18">
        <f>IF(AND(B151="",C151="",D151="",E151=""),"",IF(B151="","⚠ Falta fecha",IF(C151="","⚠ Falta monto",IF(D151="","⚠ Falta categoría",IF(ISNA(MATCH(D151,catNom,0)),"⚠ Categoría no existe",IF(E151="","⚠ Falta cuenta",IF(ISNA(MATCH(E151,ctaNom,0)),"⚠ Cuenta no existe",IF(AND(OR(I151="Transferencia",I151="Pago tarjeta"),G151=""),"⚠ Indica la cuenta «Hacia»",IF(AND(G151&lt;&gt;"",G151=E151),"⚠ «Hacia» igual a la cuenta",IF(AND(G151&lt;&gt;"",ISNA(MATCH(G151,ctaNom,0))),"⚠ «Hacia» no existe",IF(AND(I151="Pago tarjeta",IFERROR(INDEX(ctaTipo,MATCH(G151,ctaNom,0)),"")&lt;&gt;"Tarjeta de crédito"),"⚠ «Hacia» debe ser la tarjeta",IF(AND(I151="Trading",IFERROR(INDEX(ctaTipo,MATCH(E151,ctaNom,0)),"")&lt;&gt;"Cuenta de trading"),"⚠ Usa la cuenta de trading","✓"))))))))))))</f>
        <v/>
      </c>
      <c r="I151" s="19">
        <f>IF(OR(B151="",C151="",D151=""),"",IFERROR(INDEX(catTipo,MATCH(D151,catNom,0))&amp;"",""))</f>
        <v/>
      </c>
      <c r="J151" s="19">
        <f>IF(I151="","",IFERROR(INDEX(catGrupo,MATCH(D151,catNom,0))&amp;"",""))</f>
        <v/>
      </c>
      <c r="K151" s="19">
        <f>IF(I151="Gasto",IF(IFERROR(INDEX(catClas,MATCH(D151,catNom,0))&amp;"","")="","Variable",IFERROR(INDEX(catClas,MATCH(D151,catNom,0))&amp;"","")),"")</f>
        <v/>
      </c>
      <c r="L151" s="19">
        <f>IF(I151="","",IFERROR(INDEX(catAlim,MATCH(D151,catNom,0))&amp;"",""))</f>
        <v/>
      </c>
      <c r="M151" s="19">
        <f>IF(I151="","",IFERROR(INDEX(catComida,MATCH(D151,catNom,0))&amp;"",""))</f>
        <v/>
      </c>
      <c r="N151" s="19">
        <f>IF(I151="","",IFERROR(INDEX(ctaMon,MATCH(E151,ctaNom,0))&amp;"","DOP"))</f>
        <v/>
      </c>
      <c r="O151" s="20">
        <f>IF(I151="","",C151*IF(N151="USD",TasaUSD,1))</f>
        <v/>
      </c>
      <c r="P151" s="20">
        <f>IF(I151="","",IF(I151="Gasto",O151,0))</f>
        <v/>
      </c>
      <c r="Q151" s="20">
        <f>IF(I151="","",IF(I151="Ingreso",O151,0))</f>
        <v/>
      </c>
      <c r="R151" s="20">
        <f>IF(I151="","",IF(I151="Trading",O151,0))</f>
        <v/>
      </c>
      <c r="S151" s="19">
        <f>IF(I151="","",IF(AND(I151="Gasto",K151="Variable",J151&lt;&gt;"Trading",O151&gt;0,O151&lt;=Umbral),1,0))</f>
        <v/>
      </c>
      <c r="T151" s="20">
        <f>IF(OR(I151="",E151=""),"",IF(OR(I151="Gasto",I151="Transferencia",I151="Pago tarjeta"),-1,1)*C151)</f>
        <v/>
      </c>
      <c r="U151" s="20">
        <f>IF(OR(G151="",AND(I151&lt;&gt;"Transferencia",I151&lt;&gt;"Pago tarjeta")),"",IF(IFERROR(INDEX(ctaMon,MATCH(G151,ctaNom,0))&amp;"","DOP")=N151,C151,IF(N151="USD",C151*TasaUSD,C151/TasaUSD)))</f>
        <v/>
      </c>
      <c r="V151" s="20">
        <f>IF(I151="","",IF(IFERROR(INDEX(ctaLiq,MATCH(E151,ctaNom,0))="Sí",FALSE),IF(OR(I151="Gasto",I151="Transferencia",I151="Pago tarjeta"),-1,1)*O151,0)+IF(AND(U151&lt;&gt;"",IFERROR(INDEX(ctaLiq,MATCH(G151,ctaNom,0))="Sí",FALSE)),O151,0))</f>
        <v/>
      </c>
      <c r="W151" s="19">
        <f>IF(OR(F151="",I151=""),"",IF(COUNTIFS(F$6:F151,F151,I$6:I151,"?*")=1,MAX(W$5:W150)+1,""))</f>
        <v/>
      </c>
    </row>
    <row r="152">
      <c r="B152" s="15" t="n"/>
      <c r="C152" s="16" t="n"/>
      <c r="D152" s="17" t="n"/>
      <c r="E152" s="17" t="n"/>
      <c r="F152" s="17" t="n"/>
      <c r="G152" s="17" t="n"/>
      <c r="H152" s="18">
        <f>IF(AND(B152="",C152="",D152="",E152=""),"",IF(B152="","⚠ Falta fecha",IF(C152="","⚠ Falta monto",IF(D152="","⚠ Falta categoría",IF(ISNA(MATCH(D152,catNom,0)),"⚠ Categoría no existe",IF(E152="","⚠ Falta cuenta",IF(ISNA(MATCH(E152,ctaNom,0)),"⚠ Cuenta no existe",IF(AND(OR(I152="Transferencia",I152="Pago tarjeta"),G152=""),"⚠ Indica la cuenta «Hacia»",IF(AND(G152&lt;&gt;"",G152=E152),"⚠ «Hacia» igual a la cuenta",IF(AND(G152&lt;&gt;"",ISNA(MATCH(G152,ctaNom,0))),"⚠ «Hacia» no existe",IF(AND(I152="Pago tarjeta",IFERROR(INDEX(ctaTipo,MATCH(G152,ctaNom,0)),"")&lt;&gt;"Tarjeta de crédito"),"⚠ «Hacia» debe ser la tarjeta",IF(AND(I152="Trading",IFERROR(INDEX(ctaTipo,MATCH(E152,ctaNom,0)),"")&lt;&gt;"Cuenta de trading"),"⚠ Usa la cuenta de trading","✓"))))))))))))</f>
        <v/>
      </c>
      <c r="I152" s="19">
        <f>IF(OR(B152="",C152="",D152=""),"",IFERROR(INDEX(catTipo,MATCH(D152,catNom,0))&amp;"",""))</f>
        <v/>
      </c>
      <c r="J152" s="19">
        <f>IF(I152="","",IFERROR(INDEX(catGrupo,MATCH(D152,catNom,0))&amp;"",""))</f>
        <v/>
      </c>
      <c r="K152" s="19">
        <f>IF(I152="Gasto",IF(IFERROR(INDEX(catClas,MATCH(D152,catNom,0))&amp;"","")="","Variable",IFERROR(INDEX(catClas,MATCH(D152,catNom,0))&amp;"","")),"")</f>
        <v/>
      </c>
      <c r="L152" s="19">
        <f>IF(I152="","",IFERROR(INDEX(catAlim,MATCH(D152,catNom,0))&amp;"",""))</f>
        <v/>
      </c>
      <c r="M152" s="19">
        <f>IF(I152="","",IFERROR(INDEX(catComida,MATCH(D152,catNom,0))&amp;"",""))</f>
        <v/>
      </c>
      <c r="N152" s="19">
        <f>IF(I152="","",IFERROR(INDEX(ctaMon,MATCH(E152,ctaNom,0))&amp;"","DOP"))</f>
        <v/>
      </c>
      <c r="O152" s="20">
        <f>IF(I152="","",C152*IF(N152="USD",TasaUSD,1))</f>
        <v/>
      </c>
      <c r="P152" s="20">
        <f>IF(I152="","",IF(I152="Gasto",O152,0))</f>
        <v/>
      </c>
      <c r="Q152" s="20">
        <f>IF(I152="","",IF(I152="Ingreso",O152,0))</f>
        <v/>
      </c>
      <c r="R152" s="20">
        <f>IF(I152="","",IF(I152="Trading",O152,0))</f>
        <v/>
      </c>
      <c r="S152" s="19">
        <f>IF(I152="","",IF(AND(I152="Gasto",K152="Variable",J152&lt;&gt;"Trading",O152&gt;0,O152&lt;=Umbral),1,0))</f>
        <v/>
      </c>
      <c r="T152" s="20">
        <f>IF(OR(I152="",E152=""),"",IF(OR(I152="Gasto",I152="Transferencia",I152="Pago tarjeta"),-1,1)*C152)</f>
        <v/>
      </c>
      <c r="U152" s="20">
        <f>IF(OR(G152="",AND(I152&lt;&gt;"Transferencia",I152&lt;&gt;"Pago tarjeta")),"",IF(IFERROR(INDEX(ctaMon,MATCH(G152,ctaNom,0))&amp;"","DOP")=N152,C152,IF(N152="USD",C152*TasaUSD,C152/TasaUSD)))</f>
        <v/>
      </c>
      <c r="V152" s="20">
        <f>IF(I152="","",IF(IFERROR(INDEX(ctaLiq,MATCH(E152,ctaNom,0))="Sí",FALSE),IF(OR(I152="Gasto",I152="Transferencia",I152="Pago tarjeta"),-1,1)*O152,0)+IF(AND(U152&lt;&gt;"",IFERROR(INDEX(ctaLiq,MATCH(G152,ctaNom,0))="Sí",FALSE)),O152,0))</f>
        <v/>
      </c>
      <c r="W152" s="19">
        <f>IF(OR(F152="",I152=""),"",IF(COUNTIFS(F$6:F152,F152,I$6:I152,"?*")=1,MAX(W$5:W151)+1,""))</f>
        <v/>
      </c>
    </row>
    <row r="153">
      <c r="B153" s="15" t="n"/>
      <c r="C153" s="16" t="n"/>
      <c r="D153" s="17" t="n"/>
      <c r="E153" s="17" t="n"/>
      <c r="F153" s="17" t="n"/>
      <c r="G153" s="17" t="n"/>
      <c r="H153" s="18">
        <f>IF(AND(B153="",C153="",D153="",E153=""),"",IF(B153="","⚠ Falta fecha",IF(C153="","⚠ Falta monto",IF(D153="","⚠ Falta categoría",IF(ISNA(MATCH(D153,catNom,0)),"⚠ Categoría no existe",IF(E153="","⚠ Falta cuenta",IF(ISNA(MATCH(E153,ctaNom,0)),"⚠ Cuenta no existe",IF(AND(OR(I153="Transferencia",I153="Pago tarjeta"),G153=""),"⚠ Indica la cuenta «Hacia»",IF(AND(G153&lt;&gt;"",G153=E153),"⚠ «Hacia» igual a la cuenta",IF(AND(G153&lt;&gt;"",ISNA(MATCH(G153,ctaNom,0))),"⚠ «Hacia» no existe",IF(AND(I153="Pago tarjeta",IFERROR(INDEX(ctaTipo,MATCH(G153,ctaNom,0)),"")&lt;&gt;"Tarjeta de crédito"),"⚠ «Hacia» debe ser la tarjeta",IF(AND(I153="Trading",IFERROR(INDEX(ctaTipo,MATCH(E153,ctaNom,0)),"")&lt;&gt;"Cuenta de trading"),"⚠ Usa la cuenta de trading","✓"))))))))))))</f>
        <v/>
      </c>
      <c r="I153" s="19">
        <f>IF(OR(B153="",C153="",D153=""),"",IFERROR(INDEX(catTipo,MATCH(D153,catNom,0))&amp;"",""))</f>
        <v/>
      </c>
      <c r="J153" s="19">
        <f>IF(I153="","",IFERROR(INDEX(catGrupo,MATCH(D153,catNom,0))&amp;"",""))</f>
        <v/>
      </c>
      <c r="K153" s="19">
        <f>IF(I153="Gasto",IF(IFERROR(INDEX(catClas,MATCH(D153,catNom,0))&amp;"","")="","Variable",IFERROR(INDEX(catClas,MATCH(D153,catNom,0))&amp;"","")),"")</f>
        <v/>
      </c>
      <c r="L153" s="19">
        <f>IF(I153="","",IFERROR(INDEX(catAlim,MATCH(D153,catNom,0))&amp;"",""))</f>
        <v/>
      </c>
      <c r="M153" s="19">
        <f>IF(I153="","",IFERROR(INDEX(catComida,MATCH(D153,catNom,0))&amp;"",""))</f>
        <v/>
      </c>
      <c r="N153" s="19">
        <f>IF(I153="","",IFERROR(INDEX(ctaMon,MATCH(E153,ctaNom,0))&amp;"","DOP"))</f>
        <v/>
      </c>
      <c r="O153" s="20">
        <f>IF(I153="","",C153*IF(N153="USD",TasaUSD,1))</f>
        <v/>
      </c>
      <c r="P153" s="20">
        <f>IF(I153="","",IF(I153="Gasto",O153,0))</f>
        <v/>
      </c>
      <c r="Q153" s="20">
        <f>IF(I153="","",IF(I153="Ingreso",O153,0))</f>
        <v/>
      </c>
      <c r="R153" s="20">
        <f>IF(I153="","",IF(I153="Trading",O153,0))</f>
        <v/>
      </c>
      <c r="S153" s="19">
        <f>IF(I153="","",IF(AND(I153="Gasto",K153="Variable",J153&lt;&gt;"Trading",O153&gt;0,O153&lt;=Umbral),1,0))</f>
        <v/>
      </c>
      <c r="T153" s="20">
        <f>IF(OR(I153="",E153=""),"",IF(OR(I153="Gasto",I153="Transferencia",I153="Pago tarjeta"),-1,1)*C153)</f>
        <v/>
      </c>
      <c r="U153" s="20">
        <f>IF(OR(G153="",AND(I153&lt;&gt;"Transferencia",I153&lt;&gt;"Pago tarjeta")),"",IF(IFERROR(INDEX(ctaMon,MATCH(G153,ctaNom,0))&amp;"","DOP")=N153,C153,IF(N153="USD",C153*TasaUSD,C153/TasaUSD)))</f>
        <v/>
      </c>
      <c r="V153" s="20">
        <f>IF(I153="","",IF(IFERROR(INDEX(ctaLiq,MATCH(E153,ctaNom,0))="Sí",FALSE),IF(OR(I153="Gasto",I153="Transferencia",I153="Pago tarjeta"),-1,1)*O153,0)+IF(AND(U153&lt;&gt;"",IFERROR(INDEX(ctaLiq,MATCH(G153,ctaNom,0))="Sí",FALSE)),O153,0))</f>
        <v/>
      </c>
      <c r="W153" s="19">
        <f>IF(OR(F153="",I153=""),"",IF(COUNTIFS(F$6:F153,F153,I$6:I153,"?*")=1,MAX(W$5:W152)+1,""))</f>
        <v/>
      </c>
    </row>
    <row r="154">
      <c r="B154" s="15" t="n"/>
      <c r="C154" s="16" t="n"/>
      <c r="D154" s="17" t="n"/>
      <c r="E154" s="17" t="n"/>
      <c r="F154" s="17" t="n"/>
      <c r="G154" s="17" t="n"/>
      <c r="H154" s="18">
        <f>IF(AND(B154="",C154="",D154="",E154=""),"",IF(B154="","⚠ Falta fecha",IF(C154="","⚠ Falta monto",IF(D154="","⚠ Falta categoría",IF(ISNA(MATCH(D154,catNom,0)),"⚠ Categoría no existe",IF(E154="","⚠ Falta cuenta",IF(ISNA(MATCH(E154,ctaNom,0)),"⚠ Cuenta no existe",IF(AND(OR(I154="Transferencia",I154="Pago tarjeta"),G154=""),"⚠ Indica la cuenta «Hacia»",IF(AND(G154&lt;&gt;"",G154=E154),"⚠ «Hacia» igual a la cuenta",IF(AND(G154&lt;&gt;"",ISNA(MATCH(G154,ctaNom,0))),"⚠ «Hacia» no existe",IF(AND(I154="Pago tarjeta",IFERROR(INDEX(ctaTipo,MATCH(G154,ctaNom,0)),"")&lt;&gt;"Tarjeta de crédito"),"⚠ «Hacia» debe ser la tarjeta",IF(AND(I154="Trading",IFERROR(INDEX(ctaTipo,MATCH(E154,ctaNom,0)),"")&lt;&gt;"Cuenta de trading"),"⚠ Usa la cuenta de trading","✓"))))))))))))</f>
        <v/>
      </c>
      <c r="I154" s="19">
        <f>IF(OR(B154="",C154="",D154=""),"",IFERROR(INDEX(catTipo,MATCH(D154,catNom,0))&amp;"",""))</f>
        <v/>
      </c>
      <c r="J154" s="19">
        <f>IF(I154="","",IFERROR(INDEX(catGrupo,MATCH(D154,catNom,0))&amp;"",""))</f>
        <v/>
      </c>
      <c r="K154" s="19">
        <f>IF(I154="Gasto",IF(IFERROR(INDEX(catClas,MATCH(D154,catNom,0))&amp;"","")="","Variable",IFERROR(INDEX(catClas,MATCH(D154,catNom,0))&amp;"","")),"")</f>
        <v/>
      </c>
      <c r="L154" s="19">
        <f>IF(I154="","",IFERROR(INDEX(catAlim,MATCH(D154,catNom,0))&amp;"",""))</f>
        <v/>
      </c>
      <c r="M154" s="19">
        <f>IF(I154="","",IFERROR(INDEX(catComida,MATCH(D154,catNom,0))&amp;"",""))</f>
        <v/>
      </c>
      <c r="N154" s="19">
        <f>IF(I154="","",IFERROR(INDEX(ctaMon,MATCH(E154,ctaNom,0))&amp;"","DOP"))</f>
        <v/>
      </c>
      <c r="O154" s="20">
        <f>IF(I154="","",C154*IF(N154="USD",TasaUSD,1))</f>
        <v/>
      </c>
      <c r="P154" s="20">
        <f>IF(I154="","",IF(I154="Gasto",O154,0))</f>
        <v/>
      </c>
      <c r="Q154" s="20">
        <f>IF(I154="","",IF(I154="Ingreso",O154,0))</f>
        <v/>
      </c>
      <c r="R154" s="20">
        <f>IF(I154="","",IF(I154="Trading",O154,0))</f>
        <v/>
      </c>
      <c r="S154" s="19">
        <f>IF(I154="","",IF(AND(I154="Gasto",K154="Variable",J154&lt;&gt;"Trading",O154&gt;0,O154&lt;=Umbral),1,0))</f>
        <v/>
      </c>
      <c r="T154" s="20">
        <f>IF(OR(I154="",E154=""),"",IF(OR(I154="Gasto",I154="Transferencia",I154="Pago tarjeta"),-1,1)*C154)</f>
        <v/>
      </c>
      <c r="U154" s="20">
        <f>IF(OR(G154="",AND(I154&lt;&gt;"Transferencia",I154&lt;&gt;"Pago tarjeta")),"",IF(IFERROR(INDEX(ctaMon,MATCH(G154,ctaNom,0))&amp;"","DOP")=N154,C154,IF(N154="USD",C154*TasaUSD,C154/TasaUSD)))</f>
        <v/>
      </c>
      <c r="V154" s="20">
        <f>IF(I154="","",IF(IFERROR(INDEX(ctaLiq,MATCH(E154,ctaNom,0))="Sí",FALSE),IF(OR(I154="Gasto",I154="Transferencia",I154="Pago tarjeta"),-1,1)*O154,0)+IF(AND(U154&lt;&gt;"",IFERROR(INDEX(ctaLiq,MATCH(G154,ctaNom,0))="Sí",FALSE)),O154,0))</f>
        <v/>
      </c>
      <c r="W154" s="19">
        <f>IF(OR(F154="",I154=""),"",IF(COUNTIFS(F$6:F154,F154,I$6:I154,"?*")=1,MAX(W$5:W153)+1,""))</f>
        <v/>
      </c>
    </row>
    <row r="155">
      <c r="B155" s="15" t="n"/>
      <c r="C155" s="16" t="n"/>
      <c r="D155" s="17" t="n"/>
      <c r="E155" s="17" t="n"/>
      <c r="F155" s="17" t="n"/>
      <c r="G155" s="17" t="n"/>
      <c r="H155" s="18">
        <f>IF(AND(B155="",C155="",D155="",E155=""),"",IF(B155="","⚠ Falta fecha",IF(C155="","⚠ Falta monto",IF(D155="","⚠ Falta categoría",IF(ISNA(MATCH(D155,catNom,0)),"⚠ Categoría no existe",IF(E155="","⚠ Falta cuenta",IF(ISNA(MATCH(E155,ctaNom,0)),"⚠ Cuenta no existe",IF(AND(OR(I155="Transferencia",I155="Pago tarjeta"),G155=""),"⚠ Indica la cuenta «Hacia»",IF(AND(G155&lt;&gt;"",G155=E155),"⚠ «Hacia» igual a la cuenta",IF(AND(G155&lt;&gt;"",ISNA(MATCH(G155,ctaNom,0))),"⚠ «Hacia» no existe",IF(AND(I155="Pago tarjeta",IFERROR(INDEX(ctaTipo,MATCH(G155,ctaNom,0)),"")&lt;&gt;"Tarjeta de crédito"),"⚠ «Hacia» debe ser la tarjeta",IF(AND(I155="Trading",IFERROR(INDEX(ctaTipo,MATCH(E155,ctaNom,0)),"")&lt;&gt;"Cuenta de trading"),"⚠ Usa la cuenta de trading","✓"))))))))))))</f>
        <v/>
      </c>
      <c r="I155" s="19">
        <f>IF(OR(B155="",C155="",D155=""),"",IFERROR(INDEX(catTipo,MATCH(D155,catNom,0))&amp;"",""))</f>
        <v/>
      </c>
      <c r="J155" s="19">
        <f>IF(I155="","",IFERROR(INDEX(catGrupo,MATCH(D155,catNom,0))&amp;"",""))</f>
        <v/>
      </c>
      <c r="K155" s="19">
        <f>IF(I155="Gasto",IF(IFERROR(INDEX(catClas,MATCH(D155,catNom,0))&amp;"","")="","Variable",IFERROR(INDEX(catClas,MATCH(D155,catNom,0))&amp;"","")),"")</f>
        <v/>
      </c>
      <c r="L155" s="19">
        <f>IF(I155="","",IFERROR(INDEX(catAlim,MATCH(D155,catNom,0))&amp;"",""))</f>
        <v/>
      </c>
      <c r="M155" s="19">
        <f>IF(I155="","",IFERROR(INDEX(catComida,MATCH(D155,catNom,0))&amp;"",""))</f>
        <v/>
      </c>
      <c r="N155" s="19">
        <f>IF(I155="","",IFERROR(INDEX(ctaMon,MATCH(E155,ctaNom,0))&amp;"","DOP"))</f>
        <v/>
      </c>
      <c r="O155" s="20">
        <f>IF(I155="","",C155*IF(N155="USD",TasaUSD,1))</f>
        <v/>
      </c>
      <c r="P155" s="20">
        <f>IF(I155="","",IF(I155="Gasto",O155,0))</f>
        <v/>
      </c>
      <c r="Q155" s="20">
        <f>IF(I155="","",IF(I155="Ingreso",O155,0))</f>
        <v/>
      </c>
      <c r="R155" s="20">
        <f>IF(I155="","",IF(I155="Trading",O155,0))</f>
        <v/>
      </c>
      <c r="S155" s="19">
        <f>IF(I155="","",IF(AND(I155="Gasto",K155="Variable",J155&lt;&gt;"Trading",O155&gt;0,O155&lt;=Umbral),1,0))</f>
        <v/>
      </c>
      <c r="T155" s="20">
        <f>IF(OR(I155="",E155=""),"",IF(OR(I155="Gasto",I155="Transferencia",I155="Pago tarjeta"),-1,1)*C155)</f>
        <v/>
      </c>
      <c r="U155" s="20">
        <f>IF(OR(G155="",AND(I155&lt;&gt;"Transferencia",I155&lt;&gt;"Pago tarjeta")),"",IF(IFERROR(INDEX(ctaMon,MATCH(G155,ctaNom,0))&amp;"","DOP")=N155,C155,IF(N155="USD",C155*TasaUSD,C155/TasaUSD)))</f>
        <v/>
      </c>
      <c r="V155" s="20">
        <f>IF(I155="","",IF(IFERROR(INDEX(ctaLiq,MATCH(E155,ctaNom,0))="Sí",FALSE),IF(OR(I155="Gasto",I155="Transferencia",I155="Pago tarjeta"),-1,1)*O155,0)+IF(AND(U155&lt;&gt;"",IFERROR(INDEX(ctaLiq,MATCH(G155,ctaNom,0))="Sí",FALSE)),O155,0))</f>
        <v/>
      </c>
      <c r="W155" s="19">
        <f>IF(OR(F155="",I155=""),"",IF(COUNTIFS(F$6:F155,F155,I$6:I155,"?*")=1,MAX(W$5:W154)+1,""))</f>
        <v/>
      </c>
    </row>
    <row r="156">
      <c r="B156" s="15" t="n"/>
      <c r="C156" s="16" t="n"/>
      <c r="D156" s="17" t="n"/>
      <c r="E156" s="17" t="n"/>
      <c r="F156" s="17" t="n"/>
      <c r="G156" s="17" t="n"/>
      <c r="H156" s="18">
        <f>IF(AND(B156="",C156="",D156="",E156=""),"",IF(B156="","⚠ Falta fecha",IF(C156="","⚠ Falta monto",IF(D156="","⚠ Falta categoría",IF(ISNA(MATCH(D156,catNom,0)),"⚠ Categoría no existe",IF(E156="","⚠ Falta cuenta",IF(ISNA(MATCH(E156,ctaNom,0)),"⚠ Cuenta no existe",IF(AND(OR(I156="Transferencia",I156="Pago tarjeta"),G156=""),"⚠ Indica la cuenta «Hacia»",IF(AND(G156&lt;&gt;"",G156=E156),"⚠ «Hacia» igual a la cuenta",IF(AND(G156&lt;&gt;"",ISNA(MATCH(G156,ctaNom,0))),"⚠ «Hacia» no existe",IF(AND(I156="Pago tarjeta",IFERROR(INDEX(ctaTipo,MATCH(G156,ctaNom,0)),"")&lt;&gt;"Tarjeta de crédito"),"⚠ «Hacia» debe ser la tarjeta",IF(AND(I156="Trading",IFERROR(INDEX(ctaTipo,MATCH(E156,ctaNom,0)),"")&lt;&gt;"Cuenta de trading"),"⚠ Usa la cuenta de trading","✓"))))))))))))</f>
        <v/>
      </c>
      <c r="I156" s="19">
        <f>IF(OR(B156="",C156="",D156=""),"",IFERROR(INDEX(catTipo,MATCH(D156,catNom,0))&amp;"",""))</f>
        <v/>
      </c>
      <c r="J156" s="19">
        <f>IF(I156="","",IFERROR(INDEX(catGrupo,MATCH(D156,catNom,0))&amp;"",""))</f>
        <v/>
      </c>
      <c r="K156" s="19">
        <f>IF(I156="Gasto",IF(IFERROR(INDEX(catClas,MATCH(D156,catNom,0))&amp;"","")="","Variable",IFERROR(INDEX(catClas,MATCH(D156,catNom,0))&amp;"","")),"")</f>
        <v/>
      </c>
      <c r="L156" s="19">
        <f>IF(I156="","",IFERROR(INDEX(catAlim,MATCH(D156,catNom,0))&amp;"",""))</f>
        <v/>
      </c>
      <c r="M156" s="19">
        <f>IF(I156="","",IFERROR(INDEX(catComida,MATCH(D156,catNom,0))&amp;"",""))</f>
        <v/>
      </c>
      <c r="N156" s="19">
        <f>IF(I156="","",IFERROR(INDEX(ctaMon,MATCH(E156,ctaNom,0))&amp;"","DOP"))</f>
        <v/>
      </c>
      <c r="O156" s="20">
        <f>IF(I156="","",C156*IF(N156="USD",TasaUSD,1))</f>
        <v/>
      </c>
      <c r="P156" s="20">
        <f>IF(I156="","",IF(I156="Gasto",O156,0))</f>
        <v/>
      </c>
      <c r="Q156" s="20">
        <f>IF(I156="","",IF(I156="Ingreso",O156,0))</f>
        <v/>
      </c>
      <c r="R156" s="20">
        <f>IF(I156="","",IF(I156="Trading",O156,0))</f>
        <v/>
      </c>
      <c r="S156" s="19">
        <f>IF(I156="","",IF(AND(I156="Gasto",K156="Variable",J156&lt;&gt;"Trading",O156&gt;0,O156&lt;=Umbral),1,0))</f>
        <v/>
      </c>
      <c r="T156" s="20">
        <f>IF(OR(I156="",E156=""),"",IF(OR(I156="Gasto",I156="Transferencia",I156="Pago tarjeta"),-1,1)*C156)</f>
        <v/>
      </c>
      <c r="U156" s="20">
        <f>IF(OR(G156="",AND(I156&lt;&gt;"Transferencia",I156&lt;&gt;"Pago tarjeta")),"",IF(IFERROR(INDEX(ctaMon,MATCH(G156,ctaNom,0))&amp;"","DOP")=N156,C156,IF(N156="USD",C156*TasaUSD,C156/TasaUSD)))</f>
        <v/>
      </c>
      <c r="V156" s="20">
        <f>IF(I156="","",IF(IFERROR(INDEX(ctaLiq,MATCH(E156,ctaNom,0))="Sí",FALSE),IF(OR(I156="Gasto",I156="Transferencia",I156="Pago tarjeta"),-1,1)*O156,0)+IF(AND(U156&lt;&gt;"",IFERROR(INDEX(ctaLiq,MATCH(G156,ctaNom,0))="Sí",FALSE)),O156,0))</f>
        <v/>
      </c>
      <c r="W156" s="19">
        <f>IF(OR(F156="",I156=""),"",IF(COUNTIFS(F$6:F156,F156,I$6:I156,"?*")=1,MAX(W$5:W155)+1,""))</f>
        <v/>
      </c>
    </row>
    <row r="157">
      <c r="B157" s="15" t="n"/>
      <c r="C157" s="16" t="n"/>
      <c r="D157" s="17" t="n"/>
      <c r="E157" s="17" t="n"/>
      <c r="F157" s="17" t="n"/>
      <c r="G157" s="17" t="n"/>
      <c r="H157" s="18">
        <f>IF(AND(B157="",C157="",D157="",E157=""),"",IF(B157="","⚠ Falta fecha",IF(C157="","⚠ Falta monto",IF(D157="","⚠ Falta categoría",IF(ISNA(MATCH(D157,catNom,0)),"⚠ Categoría no existe",IF(E157="","⚠ Falta cuenta",IF(ISNA(MATCH(E157,ctaNom,0)),"⚠ Cuenta no existe",IF(AND(OR(I157="Transferencia",I157="Pago tarjeta"),G157=""),"⚠ Indica la cuenta «Hacia»",IF(AND(G157&lt;&gt;"",G157=E157),"⚠ «Hacia» igual a la cuenta",IF(AND(G157&lt;&gt;"",ISNA(MATCH(G157,ctaNom,0))),"⚠ «Hacia» no existe",IF(AND(I157="Pago tarjeta",IFERROR(INDEX(ctaTipo,MATCH(G157,ctaNom,0)),"")&lt;&gt;"Tarjeta de crédito"),"⚠ «Hacia» debe ser la tarjeta",IF(AND(I157="Trading",IFERROR(INDEX(ctaTipo,MATCH(E157,ctaNom,0)),"")&lt;&gt;"Cuenta de trading"),"⚠ Usa la cuenta de trading","✓"))))))))))))</f>
        <v/>
      </c>
      <c r="I157" s="19">
        <f>IF(OR(B157="",C157="",D157=""),"",IFERROR(INDEX(catTipo,MATCH(D157,catNom,0))&amp;"",""))</f>
        <v/>
      </c>
      <c r="J157" s="19">
        <f>IF(I157="","",IFERROR(INDEX(catGrupo,MATCH(D157,catNom,0))&amp;"",""))</f>
        <v/>
      </c>
      <c r="K157" s="19">
        <f>IF(I157="Gasto",IF(IFERROR(INDEX(catClas,MATCH(D157,catNom,0))&amp;"","")="","Variable",IFERROR(INDEX(catClas,MATCH(D157,catNom,0))&amp;"","")),"")</f>
        <v/>
      </c>
      <c r="L157" s="19">
        <f>IF(I157="","",IFERROR(INDEX(catAlim,MATCH(D157,catNom,0))&amp;"",""))</f>
        <v/>
      </c>
      <c r="M157" s="19">
        <f>IF(I157="","",IFERROR(INDEX(catComida,MATCH(D157,catNom,0))&amp;"",""))</f>
        <v/>
      </c>
      <c r="N157" s="19">
        <f>IF(I157="","",IFERROR(INDEX(ctaMon,MATCH(E157,ctaNom,0))&amp;"","DOP"))</f>
        <v/>
      </c>
      <c r="O157" s="20">
        <f>IF(I157="","",C157*IF(N157="USD",TasaUSD,1))</f>
        <v/>
      </c>
      <c r="P157" s="20">
        <f>IF(I157="","",IF(I157="Gasto",O157,0))</f>
        <v/>
      </c>
      <c r="Q157" s="20">
        <f>IF(I157="","",IF(I157="Ingreso",O157,0))</f>
        <v/>
      </c>
      <c r="R157" s="20">
        <f>IF(I157="","",IF(I157="Trading",O157,0))</f>
        <v/>
      </c>
      <c r="S157" s="19">
        <f>IF(I157="","",IF(AND(I157="Gasto",K157="Variable",J157&lt;&gt;"Trading",O157&gt;0,O157&lt;=Umbral),1,0))</f>
        <v/>
      </c>
      <c r="T157" s="20">
        <f>IF(OR(I157="",E157=""),"",IF(OR(I157="Gasto",I157="Transferencia",I157="Pago tarjeta"),-1,1)*C157)</f>
        <v/>
      </c>
      <c r="U157" s="20">
        <f>IF(OR(G157="",AND(I157&lt;&gt;"Transferencia",I157&lt;&gt;"Pago tarjeta")),"",IF(IFERROR(INDEX(ctaMon,MATCH(G157,ctaNom,0))&amp;"","DOP")=N157,C157,IF(N157="USD",C157*TasaUSD,C157/TasaUSD)))</f>
        <v/>
      </c>
      <c r="V157" s="20">
        <f>IF(I157="","",IF(IFERROR(INDEX(ctaLiq,MATCH(E157,ctaNom,0))="Sí",FALSE),IF(OR(I157="Gasto",I157="Transferencia",I157="Pago tarjeta"),-1,1)*O157,0)+IF(AND(U157&lt;&gt;"",IFERROR(INDEX(ctaLiq,MATCH(G157,ctaNom,0))="Sí",FALSE)),O157,0))</f>
        <v/>
      </c>
      <c r="W157" s="19">
        <f>IF(OR(F157="",I157=""),"",IF(COUNTIFS(F$6:F157,F157,I$6:I157,"?*")=1,MAX(W$5:W156)+1,""))</f>
        <v/>
      </c>
    </row>
    <row r="158">
      <c r="B158" s="15" t="n"/>
      <c r="C158" s="16" t="n"/>
      <c r="D158" s="17" t="n"/>
      <c r="E158" s="17" t="n"/>
      <c r="F158" s="17" t="n"/>
      <c r="G158" s="17" t="n"/>
      <c r="H158" s="18">
        <f>IF(AND(B158="",C158="",D158="",E158=""),"",IF(B158="","⚠ Falta fecha",IF(C158="","⚠ Falta monto",IF(D158="","⚠ Falta categoría",IF(ISNA(MATCH(D158,catNom,0)),"⚠ Categoría no existe",IF(E158="","⚠ Falta cuenta",IF(ISNA(MATCH(E158,ctaNom,0)),"⚠ Cuenta no existe",IF(AND(OR(I158="Transferencia",I158="Pago tarjeta"),G158=""),"⚠ Indica la cuenta «Hacia»",IF(AND(G158&lt;&gt;"",G158=E158),"⚠ «Hacia» igual a la cuenta",IF(AND(G158&lt;&gt;"",ISNA(MATCH(G158,ctaNom,0))),"⚠ «Hacia» no existe",IF(AND(I158="Pago tarjeta",IFERROR(INDEX(ctaTipo,MATCH(G158,ctaNom,0)),"")&lt;&gt;"Tarjeta de crédito"),"⚠ «Hacia» debe ser la tarjeta",IF(AND(I158="Trading",IFERROR(INDEX(ctaTipo,MATCH(E158,ctaNom,0)),"")&lt;&gt;"Cuenta de trading"),"⚠ Usa la cuenta de trading","✓"))))))))))))</f>
        <v/>
      </c>
      <c r="I158" s="19">
        <f>IF(OR(B158="",C158="",D158=""),"",IFERROR(INDEX(catTipo,MATCH(D158,catNom,0))&amp;"",""))</f>
        <v/>
      </c>
      <c r="J158" s="19">
        <f>IF(I158="","",IFERROR(INDEX(catGrupo,MATCH(D158,catNom,0))&amp;"",""))</f>
        <v/>
      </c>
      <c r="K158" s="19">
        <f>IF(I158="Gasto",IF(IFERROR(INDEX(catClas,MATCH(D158,catNom,0))&amp;"","")="","Variable",IFERROR(INDEX(catClas,MATCH(D158,catNom,0))&amp;"","")),"")</f>
        <v/>
      </c>
      <c r="L158" s="19">
        <f>IF(I158="","",IFERROR(INDEX(catAlim,MATCH(D158,catNom,0))&amp;"",""))</f>
        <v/>
      </c>
      <c r="M158" s="19">
        <f>IF(I158="","",IFERROR(INDEX(catComida,MATCH(D158,catNom,0))&amp;"",""))</f>
        <v/>
      </c>
      <c r="N158" s="19">
        <f>IF(I158="","",IFERROR(INDEX(ctaMon,MATCH(E158,ctaNom,0))&amp;"","DOP"))</f>
        <v/>
      </c>
      <c r="O158" s="20">
        <f>IF(I158="","",C158*IF(N158="USD",TasaUSD,1))</f>
        <v/>
      </c>
      <c r="P158" s="20">
        <f>IF(I158="","",IF(I158="Gasto",O158,0))</f>
        <v/>
      </c>
      <c r="Q158" s="20">
        <f>IF(I158="","",IF(I158="Ingreso",O158,0))</f>
        <v/>
      </c>
      <c r="R158" s="20">
        <f>IF(I158="","",IF(I158="Trading",O158,0))</f>
        <v/>
      </c>
      <c r="S158" s="19">
        <f>IF(I158="","",IF(AND(I158="Gasto",K158="Variable",J158&lt;&gt;"Trading",O158&gt;0,O158&lt;=Umbral),1,0))</f>
        <v/>
      </c>
      <c r="T158" s="20">
        <f>IF(OR(I158="",E158=""),"",IF(OR(I158="Gasto",I158="Transferencia",I158="Pago tarjeta"),-1,1)*C158)</f>
        <v/>
      </c>
      <c r="U158" s="20">
        <f>IF(OR(G158="",AND(I158&lt;&gt;"Transferencia",I158&lt;&gt;"Pago tarjeta")),"",IF(IFERROR(INDEX(ctaMon,MATCH(G158,ctaNom,0))&amp;"","DOP")=N158,C158,IF(N158="USD",C158*TasaUSD,C158/TasaUSD)))</f>
        <v/>
      </c>
      <c r="V158" s="20">
        <f>IF(I158="","",IF(IFERROR(INDEX(ctaLiq,MATCH(E158,ctaNom,0))="Sí",FALSE),IF(OR(I158="Gasto",I158="Transferencia",I158="Pago tarjeta"),-1,1)*O158,0)+IF(AND(U158&lt;&gt;"",IFERROR(INDEX(ctaLiq,MATCH(G158,ctaNom,0))="Sí",FALSE)),O158,0))</f>
        <v/>
      </c>
      <c r="W158" s="19">
        <f>IF(OR(F158="",I158=""),"",IF(COUNTIFS(F$6:F158,F158,I$6:I158,"?*")=1,MAX(W$5:W157)+1,""))</f>
        <v/>
      </c>
    </row>
    <row r="159">
      <c r="B159" s="15" t="n"/>
      <c r="C159" s="16" t="n"/>
      <c r="D159" s="17" t="n"/>
      <c r="E159" s="17" t="n"/>
      <c r="F159" s="17" t="n"/>
      <c r="G159" s="17" t="n"/>
      <c r="H159" s="18">
        <f>IF(AND(B159="",C159="",D159="",E159=""),"",IF(B159="","⚠ Falta fecha",IF(C159="","⚠ Falta monto",IF(D159="","⚠ Falta categoría",IF(ISNA(MATCH(D159,catNom,0)),"⚠ Categoría no existe",IF(E159="","⚠ Falta cuenta",IF(ISNA(MATCH(E159,ctaNom,0)),"⚠ Cuenta no existe",IF(AND(OR(I159="Transferencia",I159="Pago tarjeta"),G159=""),"⚠ Indica la cuenta «Hacia»",IF(AND(G159&lt;&gt;"",G159=E159),"⚠ «Hacia» igual a la cuenta",IF(AND(G159&lt;&gt;"",ISNA(MATCH(G159,ctaNom,0))),"⚠ «Hacia» no existe",IF(AND(I159="Pago tarjeta",IFERROR(INDEX(ctaTipo,MATCH(G159,ctaNom,0)),"")&lt;&gt;"Tarjeta de crédito"),"⚠ «Hacia» debe ser la tarjeta",IF(AND(I159="Trading",IFERROR(INDEX(ctaTipo,MATCH(E159,ctaNom,0)),"")&lt;&gt;"Cuenta de trading"),"⚠ Usa la cuenta de trading","✓"))))))))))))</f>
        <v/>
      </c>
      <c r="I159" s="19">
        <f>IF(OR(B159="",C159="",D159=""),"",IFERROR(INDEX(catTipo,MATCH(D159,catNom,0))&amp;"",""))</f>
        <v/>
      </c>
      <c r="J159" s="19">
        <f>IF(I159="","",IFERROR(INDEX(catGrupo,MATCH(D159,catNom,0))&amp;"",""))</f>
        <v/>
      </c>
      <c r="K159" s="19">
        <f>IF(I159="Gasto",IF(IFERROR(INDEX(catClas,MATCH(D159,catNom,0))&amp;"","")="","Variable",IFERROR(INDEX(catClas,MATCH(D159,catNom,0))&amp;"","")),"")</f>
        <v/>
      </c>
      <c r="L159" s="19">
        <f>IF(I159="","",IFERROR(INDEX(catAlim,MATCH(D159,catNom,0))&amp;"",""))</f>
        <v/>
      </c>
      <c r="M159" s="19">
        <f>IF(I159="","",IFERROR(INDEX(catComida,MATCH(D159,catNom,0))&amp;"",""))</f>
        <v/>
      </c>
      <c r="N159" s="19">
        <f>IF(I159="","",IFERROR(INDEX(ctaMon,MATCH(E159,ctaNom,0))&amp;"","DOP"))</f>
        <v/>
      </c>
      <c r="O159" s="20">
        <f>IF(I159="","",C159*IF(N159="USD",TasaUSD,1))</f>
        <v/>
      </c>
      <c r="P159" s="20">
        <f>IF(I159="","",IF(I159="Gasto",O159,0))</f>
        <v/>
      </c>
      <c r="Q159" s="20">
        <f>IF(I159="","",IF(I159="Ingreso",O159,0))</f>
        <v/>
      </c>
      <c r="R159" s="20">
        <f>IF(I159="","",IF(I159="Trading",O159,0))</f>
        <v/>
      </c>
      <c r="S159" s="19">
        <f>IF(I159="","",IF(AND(I159="Gasto",K159="Variable",J159&lt;&gt;"Trading",O159&gt;0,O159&lt;=Umbral),1,0))</f>
        <v/>
      </c>
      <c r="T159" s="20">
        <f>IF(OR(I159="",E159=""),"",IF(OR(I159="Gasto",I159="Transferencia",I159="Pago tarjeta"),-1,1)*C159)</f>
        <v/>
      </c>
      <c r="U159" s="20">
        <f>IF(OR(G159="",AND(I159&lt;&gt;"Transferencia",I159&lt;&gt;"Pago tarjeta")),"",IF(IFERROR(INDEX(ctaMon,MATCH(G159,ctaNom,0))&amp;"","DOP")=N159,C159,IF(N159="USD",C159*TasaUSD,C159/TasaUSD)))</f>
        <v/>
      </c>
      <c r="V159" s="20">
        <f>IF(I159="","",IF(IFERROR(INDEX(ctaLiq,MATCH(E159,ctaNom,0))="Sí",FALSE),IF(OR(I159="Gasto",I159="Transferencia",I159="Pago tarjeta"),-1,1)*O159,0)+IF(AND(U159&lt;&gt;"",IFERROR(INDEX(ctaLiq,MATCH(G159,ctaNom,0))="Sí",FALSE)),O159,0))</f>
        <v/>
      </c>
      <c r="W159" s="19">
        <f>IF(OR(F159="",I159=""),"",IF(COUNTIFS(F$6:F159,F159,I$6:I159,"?*")=1,MAX(W$5:W158)+1,""))</f>
        <v/>
      </c>
    </row>
    <row r="160">
      <c r="B160" s="15" t="n"/>
      <c r="C160" s="16" t="n"/>
      <c r="D160" s="17" t="n"/>
      <c r="E160" s="17" t="n"/>
      <c r="F160" s="17" t="n"/>
      <c r="G160" s="17" t="n"/>
      <c r="H160" s="18">
        <f>IF(AND(B160="",C160="",D160="",E160=""),"",IF(B160="","⚠ Falta fecha",IF(C160="","⚠ Falta monto",IF(D160="","⚠ Falta categoría",IF(ISNA(MATCH(D160,catNom,0)),"⚠ Categoría no existe",IF(E160="","⚠ Falta cuenta",IF(ISNA(MATCH(E160,ctaNom,0)),"⚠ Cuenta no existe",IF(AND(OR(I160="Transferencia",I160="Pago tarjeta"),G160=""),"⚠ Indica la cuenta «Hacia»",IF(AND(G160&lt;&gt;"",G160=E160),"⚠ «Hacia» igual a la cuenta",IF(AND(G160&lt;&gt;"",ISNA(MATCH(G160,ctaNom,0))),"⚠ «Hacia» no existe",IF(AND(I160="Pago tarjeta",IFERROR(INDEX(ctaTipo,MATCH(G160,ctaNom,0)),"")&lt;&gt;"Tarjeta de crédito"),"⚠ «Hacia» debe ser la tarjeta",IF(AND(I160="Trading",IFERROR(INDEX(ctaTipo,MATCH(E160,ctaNom,0)),"")&lt;&gt;"Cuenta de trading"),"⚠ Usa la cuenta de trading","✓"))))))))))))</f>
        <v/>
      </c>
      <c r="I160" s="19">
        <f>IF(OR(B160="",C160="",D160=""),"",IFERROR(INDEX(catTipo,MATCH(D160,catNom,0))&amp;"",""))</f>
        <v/>
      </c>
      <c r="J160" s="19">
        <f>IF(I160="","",IFERROR(INDEX(catGrupo,MATCH(D160,catNom,0))&amp;"",""))</f>
        <v/>
      </c>
      <c r="K160" s="19">
        <f>IF(I160="Gasto",IF(IFERROR(INDEX(catClas,MATCH(D160,catNom,0))&amp;"","")="","Variable",IFERROR(INDEX(catClas,MATCH(D160,catNom,0))&amp;"","")),"")</f>
        <v/>
      </c>
      <c r="L160" s="19">
        <f>IF(I160="","",IFERROR(INDEX(catAlim,MATCH(D160,catNom,0))&amp;"",""))</f>
        <v/>
      </c>
      <c r="M160" s="19">
        <f>IF(I160="","",IFERROR(INDEX(catComida,MATCH(D160,catNom,0))&amp;"",""))</f>
        <v/>
      </c>
      <c r="N160" s="19">
        <f>IF(I160="","",IFERROR(INDEX(ctaMon,MATCH(E160,ctaNom,0))&amp;"","DOP"))</f>
        <v/>
      </c>
      <c r="O160" s="20">
        <f>IF(I160="","",C160*IF(N160="USD",TasaUSD,1))</f>
        <v/>
      </c>
      <c r="P160" s="20">
        <f>IF(I160="","",IF(I160="Gasto",O160,0))</f>
        <v/>
      </c>
      <c r="Q160" s="20">
        <f>IF(I160="","",IF(I160="Ingreso",O160,0))</f>
        <v/>
      </c>
      <c r="R160" s="20">
        <f>IF(I160="","",IF(I160="Trading",O160,0))</f>
        <v/>
      </c>
      <c r="S160" s="19">
        <f>IF(I160="","",IF(AND(I160="Gasto",K160="Variable",J160&lt;&gt;"Trading",O160&gt;0,O160&lt;=Umbral),1,0))</f>
        <v/>
      </c>
      <c r="T160" s="20">
        <f>IF(OR(I160="",E160=""),"",IF(OR(I160="Gasto",I160="Transferencia",I160="Pago tarjeta"),-1,1)*C160)</f>
        <v/>
      </c>
      <c r="U160" s="20">
        <f>IF(OR(G160="",AND(I160&lt;&gt;"Transferencia",I160&lt;&gt;"Pago tarjeta")),"",IF(IFERROR(INDEX(ctaMon,MATCH(G160,ctaNom,0))&amp;"","DOP")=N160,C160,IF(N160="USD",C160*TasaUSD,C160/TasaUSD)))</f>
        <v/>
      </c>
      <c r="V160" s="20">
        <f>IF(I160="","",IF(IFERROR(INDEX(ctaLiq,MATCH(E160,ctaNom,0))="Sí",FALSE),IF(OR(I160="Gasto",I160="Transferencia",I160="Pago tarjeta"),-1,1)*O160,0)+IF(AND(U160&lt;&gt;"",IFERROR(INDEX(ctaLiq,MATCH(G160,ctaNom,0))="Sí",FALSE)),O160,0))</f>
        <v/>
      </c>
      <c r="W160" s="19">
        <f>IF(OR(F160="",I160=""),"",IF(COUNTIFS(F$6:F160,F160,I$6:I160,"?*")=1,MAX(W$5:W159)+1,""))</f>
        <v/>
      </c>
    </row>
    <row r="161">
      <c r="B161" s="15" t="n"/>
      <c r="C161" s="16" t="n"/>
      <c r="D161" s="17" t="n"/>
      <c r="E161" s="17" t="n"/>
      <c r="F161" s="17" t="n"/>
      <c r="G161" s="17" t="n"/>
      <c r="H161" s="18">
        <f>IF(AND(B161="",C161="",D161="",E161=""),"",IF(B161="","⚠ Falta fecha",IF(C161="","⚠ Falta monto",IF(D161="","⚠ Falta categoría",IF(ISNA(MATCH(D161,catNom,0)),"⚠ Categoría no existe",IF(E161="","⚠ Falta cuenta",IF(ISNA(MATCH(E161,ctaNom,0)),"⚠ Cuenta no existe",IF(AND(OR(I161="Transferencia",I161="Pago tarjeta"),G161=""),"⚠ Indica la cuenta «Hacia»",IF(AND(G161&lt;&gt;"",G161=E161),"⚠ «Hacia» igual a la cuenta",IF(AND(G161&lt;&gt;"",ISNA(MATCH(G161,ctaNom,0))),"⚠ «Hacia» no existe",IF(AND(I161="Pago tarjeta",IFERROR(INDEX(ctaTipo,MATCH(G161,ctaNom,0)),"")&lt;&gt;"Tarjeta de crédito"),"⚠ «Hacia» debe ser la tarjeta",IF(AND(I161="Trading",IFERROR(INDEX(ctaTipo,MATCH(E161,ctaNom,0)),"")&lt;&gt;"Cuenta de trading"),"⚠ Usa la cuenta de trading","✓"))))))))))))</f>
        <v/>
      </c>
      <c r="I161" s="19">
        <f>IF(OR(B161="",C161="",D161=""),"",IFERROR(INDEX(catTipo,MATCH(D161,catNom,0))&amp;"",""))</f>
        <v/>
      </c>
      <c r="J161" s="19">
        <f>IF(I161="","",IFERROR(INDEX(catGrupo,MATCH(D161,catNom,0))&amp;"",""))</f>
        <v/>
      </c>
      <c r="K161" s="19">
        <f>IF(I161="Gasto",IF(IFERROR(INDEX(catClas,MATCH(D161,catNom,0))&amp;"","")="","Variable",IFERROR(INDEX(catClas,MATCH(D161,catNom,0))&amp;"","")),"")</f>
        <v/>
      </c>
      <c r="L161" s="19">
        <f>IF(I161="","",IFERROR(INDEX(catAlim,MATCH(D161,catNom,0))&amp;"",""))</f>
        <v/>
      </c>
      <c r="M161" s="19">
        <f>IF(I161="","",IFERROR(INDEX(catComida,MATCH(D161,catNom,0))&amp;"",""))</f>
        <v/>
      </c>
      <c r="N161" s="19">
        <f>IF(I161="","",IFERROR(INDEX(ctaMon,MATCH(E161,ctaNom,0))&amp;"","DOP"))</f>
        <v/>
      </c>
      <c r="O161" s="20">
        <f>IF(I161="","",C161*IF(N161="USD",TasaUSD,1))</f>
        <v/>
      </c>
      <c r="P161" s="20">
        <f>IF(I161="","",IF(I161="Gasto",O161,0))</f>
        <v/>
      </c>
      <c r="Q161" s="20">
        <f>IF(I161="","",IF(I161="Ingreso",O161,0))</f>
        <v/>
      </c>
      <c r="R161" s="20">
        <f>IF(I161="","",IF(I161="Trading",O161,0))</f>
        <v/>
      </c>
      <c r="S161" s="19">
        <f>IF(I161="","",IF(AND(I161="Gasto",K161="Variable",J161&lt;&gt;"Trading",O161&gt;0,O161&lt;=Umbral),1,0))</f>
        <v/>
      </c>
      <c r="T161" s="20">
        <f>IF(OR(I161="",E161=""),"",IF(OR(I161="Gasto",I161="Transferencia",I161="Pago tarjeta"),-1,1)*C161)</f>
        <v/>
      </c>
      <c r="U161" s="20">
        <f>IF(OR(G161="",AND(I161&lt;&gt;"Transferencia",I161&lt;&gt;"Pago tarjeta")),"",IF(IFERROR(INDEX(ctaMon,MATCH(G161,ctaNom,0))&amp;"","DOP")=N161,C161,IF(N161="USD",C161*TasaUSD,C161/TasaUSD)))</f>
        <v/>
      </c>
      <c r="V161" s="20">
        <f>IF(I161="","",IF(IFERROR(INDEX(ctaLiq,MATCH(E161,ctaNom,0))="Sí",FALSE),IF(OR(I161="Gasto",I161="Transferencia",I161="Pago tarjeta"),-1,1)*O161,0)+IF(AND(U161&lt;&gt;"",IFERROR(INDEX(ctaLiq,MATCH(G161,ctaNom,0))="Sí",FALSE)),O161,0))</f>
        <v/>
      </c>
      <c r="W161" s="19">
        <f>IF(OR(F161="",I161=""),"",IF(COUNTIFS(F$6:F161,F161,I$6:I161,"?*")=1,MAX(W$5:W160)+1,""))</f>
        <v/>
      </c>
    </row>
    <row r="162">
      <c r="B162" s="15" t="n"/>
      <c r="C162" s="16" t="n"/>
      <c r="D162" s="17" t="n"/>
      <c r="E162" s="17" t="n"/>
      <c r="F162" s="17" t="n"/>
      <c r="G162" s="17" t="n"/>
      <c r="H162" s="18">
        <f>IF(AND(B162="",C162="",D162="",E162=""),"",IF(B162="","⚠ Falta fecha",IF(C162="","⚠ Falta monto",IF(D162="","⚠ Falta categoría",IF(ISNA(MATCH(D162,catNom,0)),"⚠ Categoría no existe",IF(E162="","⚠ Falta cuenta",IF(ISNA(MATCH(E162,ctaNom,0)),"⚠ Cuenta no existe",IF(AND(OR(I162="Transferencia",I162="Pago tarjeta"),G162=""),"⚠ Indica la cuenta «Hacia»",IF(AND(G162&lt;&gt;"",G162=E162),"⚠ «Hacia» igual a la cuenta",IF(AND(G162&lt;&gt;"",ISNA(MATCH(G162,ctaNom,0))),"⚠ «Hacia» no existe",IF(AND(I162="Pago tarjeta",IFERROR(INDEX(ctaTipo,MATCH(G162,ctaNom,0)),"")&lt;&gt;"Tarjeta de crédito"),"⚠ «Hacia» debe ser la tarjeta",IF(AND(I162="Trading",IFERROR(INDEX(ctaTipo,MATCH(E162,ctaNom,0)),"")&lt;&gt;"Cuenta de trading"),"⚠ Usa la cuenta de trading","✓"))))))))))))</f>
        <v/>
      </c>
      <c r="I162" s="19">
        <f>IF(OR(B162="",C162="",D162=""),"",IFERROR(INDEX(catTipo,MATCH(D162,catNom,0))&amp;"",""))</f>
        <v/>
      </c>
      <c r="J162" s="19">
        <f>IF(I162="","",IFERROR(INDEX(catGrupo,MATCH(D162,catNom,0))&amp;"",""))</f>
        <v/>
      </c>
      <c r="K162" s="19">
        <f>IF(I162="Gasto",IF(IFERROR(INDEX(catClas,MATCH(D162,catNom,0))&amp;"","")="","Variable",IFERROR(INDEX(catClas,MATCH(D162,catNom,0))&amp;"","")),"")</f>
        <v/>
      </c>
      <c r="L162" s="19">
        <f>IF(I162="","",IFERROR(INDEX(catAlim,MATCH(D162,catNom,0))&amp;"",""))</f>
        <v/>
      </c>
      <c r="M162" s="19">
        <f>IF(I162="","",IFERROR(INDEX(catComida,MATCH(D162,catNom,0))&amp;"",""))</f>
        <v/>
      </c>
      <c r="N162" s="19">
        <f>IF(I162="","",IFERROR(INDEX(ctaMon,MATCH(E162,ctaNom,0))&amp;"","DOP"))</f>
        <v/>
      </c>
      <c r="O162" s="20">
        <f>IF(I162="","",C162*IF(N162="USD",TasaUSD,1))</f>
        <v/>
      </c>
      <c r="P162" s="20">
        <f>IF(I162="","",IF(I162="Gasto",O162,0))</f>
        <v/>
      </c>
      <c r="Q162" s="20">
        <f>IF(I162="","",IF(I162="Ingreso",O162,0))</f>
        <v/>
      </c>
      <c r="R162" s="20">
        <f>IF(I162="","",IF(I162="Trading",O162,0))</f>
        <v/>
      </c>
      <c r="S162" s="19">
        <f>IF(I162="","",IF(AND(I162="Gasto",K162="Variable",J162&lt;&gt;"Trading",O162&gt;0,O162&lt;=Umbral),1,0))</f>
        <v/>
      </c>
      <c r="T162" s="20">
        <f>IF(OR(I162="",E162=""),"",IF(OR(I162="Gasto",I162="Transferencia",I162="Pago tarjeta"),-1,1)*C162)</f>
        <v/>
      </c>
      <c r="U162" s="20">
        <f>IF(OR(G162="",AND(I162&lt;&gt;"Transferencia",I162&lt;&gt;"Pago tarjeta")),"",IF(IFERROR(INDEX(ctaMon,MATCH(G162,ctaNom,0))&amp;"","DOP")=N162,C162,IF(N162="USD",C162*TasaUSD,C162/TasaUSD)))</f>
        <v/>
      </c>
      <c r="V162" s="20">
        <f>IF(I162="","",IF(IFERROR(INDEX(ctaLiq,MATCH(E162,ctaNom,0))="Sí",FALSE),IF(OR(I162="Gasto",I162="Transferencia",I162="Pago tarjeta"),-1,1)*O162,0)+IF(AND(U162&lt;&gt;"",IFERROR(INDEX(ctaLiq,MATCH(G162,ctaNom,0))="Sí",FALSE)),O162,0))</f>
        <v/>
      </c>
      <c r="W162" s="19">
        <f>IF(OR(F162="",I162=""),"",IF(COUNTIFS(F$6:F162,F162,I$6:I162,"?*")=1,MAX(W$5:W161)+1,""))</f>
        <v/>
      </c>
    </row>
    <row r="163">
      <c r="B163" s="15" t="n"/>
      <c r="C163" s="16" t="n"/>
      <c r="D163" s="17" t="n"/>
      <c r="E163" s="17" t="n"/>
      <c r="F163" s="17" t="n"/>
      <c r="G163" s="17" t="n"/>
      <c r="H163" s="18">
        <f>IF(AND(B163="",C163="",D163="",E163=""),"",IF(B163="","⚠ Falta fecha",IF(C163="","⚠ Falta monto",IF(D163="","⚠ Falta categoría",IF(ISNA(MATCH(D163,catNom,0)),"⚠ Categoría no existe",IF(E163="","⚠ Falta cuenta",IF(ISNA(MATCH(E163,ctaNom,0)),"⚠ Cuenta no existe",IF(AND(OR(I163="Transferencia",I163="Pago tarjeta"),G163=""),"⚠ Indica la cuenta «Hacia»",IF(AND(G163&lt;&gt;"",G163=E163),"⚠ «Hacia» igual a la cuenta",IF(AND(G163&lt;&gt;"",ISNA(MATCH(G163,ctaNom,0))),"⚠ «Hacia» no existe",IF(AND(I163="Pago tarjeta",IFERROR(INDEX(ctaTipo,MATCH(G163,ctaNom,0)),"")&lt;&gt;"Tarjeta de crédito"),"⚠ «Hacia» debe ser la tarjeta",IF(AND(I163="Trading",IFERROR(INDEX(ctaTipo,MATCH(E163,ctaNom,0)),"")&lt;&gt;"Cuenta de trading"),"⚠ Usa la cuenta de trading","✓"))))))))))))</f>
        <v/>
      </c>
      <c r="I163" s="19">
        <f>IF(OR(B163="",C163="",D163=""),"",IFERROR(INDEX(catTipo,MATCH(D163,catNom,0))&amp;"",""))</f>
        <v/>
      </c>
      <c r="J163" s="19">
        <f>IF(I163="","",IFERROR(INDEX(catGrupo,MATCH(D163,catNom,0))&amp;"",""))</f>
        <v/>
      </c>
      <c r="K163" s="19">
        <f>IF(I163="Gasto",IF(IFERROR(INDEX(catClas,MATCH(D163,catNom,0))&amp;"","")="","Variable",IFERROR(INDEX(catClas,MATCH(D163,catNom,0))&amp;"","")),"")</f>
        <v/>
      </c>
      <c r="L163" s="19">
        <f>IF(I163="","",IFERROR(INDEX(catAlim,MATCH(D163,catNom,0))&amp;"",""))</f>
        <v/>
      </c>
      <c r="M163" s="19">
        <f>IF(I163="","",IFERROR(INDEX(catComida,MATCH(D163,catNom,0))&amp;"",""))</f>
        <v/>
      </c>
      <c r="N163" s="19">
        <f>IF(I163="","",IFERROR(INDEX(ctaMon,MATCH(E163,ctaNom,0))&amp;"","DOP"))</f>
        <v/>
      </c>
      <c r="O163" s="20">
        <f>IF(I163="","",C163*IF(N163="USD",TasaUSD,1))</f>
        <v/>
      </c>
      <c r="P163" s="20">
        <f>IF(I163="","",IF(I163="Gasto",O163,0))</f>
        <v/>
      </c>
      <c r="Q163" s="20">
        <f>IF(I163="","",IF(I163="Ingreso",O163,0))</f>
        <v/>
      </c>
      <c r="R163" s="20">
        <f>IF(I163="","",IF(I163="Trading",O163,0))</f>
        <v/>
      </c>
      <c r="S163" s="19">
        <f>IF(I163="","",IF(AND(I163="Gasto",K163="Variable",J163&lt;&gt;"Trading",O163&gt;0,O163&lt;=Umbral),1,0))</f>
        <v/>
      </c>
      <c r="T163" s="20">
        <f>IF(OR(I163="",E163=""),"",IF(OR(I163="Gasto",I163="Transferencia",I163="Pago tarjeta"),-1,1)*C163)</f>
        <v/>
      </c>
      <c r="U163" s="20">
        <f>IF(OR(G163="",AND(I163&lt;&gt;"Transferencia",I163&lt;&gt;"Pago tarjeta")),"",IF(IFERROR(INDEX(ctaMon,MATCH(G163,ctaNom,0))&amp;"","DOP")=N163,C163,IF(N163="USD",C163*TasaUSD,C163/TasaUSD)))</f>
        <v/>
      </c>
      <c r="V163" s="20">
        <f>IF(I163="","",IF(IFERROR(INDEX(ctaLiq,MATCH(E163,ctaNom,0))="Sí",FALSE),IF(OR(I163="Gasto",I163="Transferencia",I163="Pago tarjeta"),-1,1)*O163,0)+IF(AND(U163&lt;&gt;"",IFERROR(INDEX(ctaLiq,MATCH(G163,ctaNom,0))="Sí",FALSE)),O163,0))</f>
        <v/>
      </c>
      <c r="W163" s="19">
        <f>IF(OR(F163="",I163=""),"",IF(COUNTIFS(F$6:F163,F163,I$6:I163,"?*")=1,MAX(W$5:W162)+1,""))</f>
        <v/>
      </c>
    </row>
    <row r="164">
      <c r="B164" s="15" t="n"/>
      <c r="C164" s="16" t="n"/>
      <c r="D164" s="17" t="n"/>
      <c r="E164" s="17" t="n"/>
      <c r="F164" s="17" t="n"/>
      <c r="G164" s="17" t="n"/>
      <c r="H164" s="18">
        <f>IF(AND(B164="",C164="",D164="",E164=""),"",IF(B164="","⚠ Falta fecha",IF(C164="","⚠ Falta monto",IF(D164="","⚠ Falta categoría",IF(ISNA(MATCH(D164,catNom,0)),"⚠ Categoría no existe",IF(E164="","⚠ Falta cuenta",IF(ISNA(MATCH(E164,ctaNom,0)),"⚠ Cuenta no existe",IF(AND(OR(I164="Transferencia",I164="Pago tarjeta"),G164=""),"⚠ Indica la cuenta «Hacia»",IF(AND(G164&lt;&gt;"",G164=E164),"⚠ «Hacia» igual a la cuenta",IF(AND(G164&lt;&gt;"",ISNA(MATCH(G164,ctaNom,0))),"⚠ «Hacia» no existe",IF(AND(I164="Pago tarjeta",IFERROR(INDEX(ctaTipo,MATCH(G164,ctaNom,0)),"")&lt;&gt;"Tarjeta de crédito"),"⚠ «Hacia» debe ser la tarjeta",IF(AND(I164="Trading",IFERROR(INDEX(ctaTipo,MATCH(E164,ctaNom,0)),"")&lt;&gt;"Cuenta de trading"),"⚠ Usa la cuenta de trading","✓"))))))))))))</f>
        <v/>
      </c>
      <c r="I164" s="19">
        <f>IF(OR(B164="",C164="",D164=""),"",IFERROR(INDEX(catTipo,MATCH(D164,catNom,0))&amp;"",""))</f>
        <v/>
      </c>
      <c r="J164" s="19">
        <f>IF(I164="","",IFERROR(INDEX(catGrupo,MATCH(D164,catNom,0))&amp;"",""))</f>
        <v/>
      </c>
      <c r="K164" s="19">
        <f>IF(I164="Gasto",IF(IFERROR(INDEX(catClas,MATCH(D164,catNom,0))&amp;"","")="","Variable",IFERROR(INDEX(catClas,MATCH(D164,catNom,0))&amp;"","")),"")</f>
        <v/>
      </c>
      <c r="L164" s="19">
        <f>IF(I164="","",IFERROR(INDEX(catAlim,MATCH(D164,catNom,0))&amp;"",""))</f>
        <v/>
      </c>
      <c r="M164" s="19">
        <f>IF(I164="","",IFERROR(INDEX(catComida,MATCH(D164,catNom,0))&amp;"",""))</f>
        <v/>
      </c>
      <c r="N164" s="19">
        <f>IF(I164="","",IFERROR(INDEX(ctaMon,MATCH(E164,ctaNom,0))&amp;"","DOP"))</f>
        <v/>
      </c>
      <c r="O164" s="20">
        <f>IF(I164="","",C164*IF(N164="USD",TasaUSD,1))</f>
        <v/>
      </c>
      <c r="P164" s="20">
        <f>IF(I164="","",IF(I164="Gasto",O164,0))</f>
        <v/>
      </c>
      <c r="Q164" s="20">
        <f>IF(I164="","",IF(I164="Ingreso",O164,0))</f>
        <v/>
      </c>
      <c r="R164" s="20">
        <f>IF(I164="","",IF(I164="Trading",O164,0))</f>
        <v/>
      </c>
      <c r="S164" s="19">
        <f>IF(I164="","",IF(AND(I164="Gasto",K164="Variable",J164&lt;&gt;"Trading",O164&gt;0,O164&lt;=Umbral),1,0))</f>
        <v/>
      </c>
      <c r="T164" s="20">
        <f>IF(OR(I164="",E164=""),"",IF(OR(I164="Gasto",I164="Transferencia",I164="Pago tarjeta"),-1,1)*C164)</f>
        <v/>
      </c>
      <c r="U164" s="20">
        <f>IF(OR(G164="",AND(I164&lt;&gt;"Transferencia",I164&lt;&gt;"Pago tarjeta")),"",IF(IFERROR(INDEX(ctaMon,MATCH(G164,ctaNom,0))&amp;"","DOP")=N164,C164,IF(N164="USD",C164*TasaUSD,C164/TasaUSD)))</f>
        <v/>
      </c>
      <c r="V164" s="20">
        <f>IF(I164="","",IF(IFERROR(INDEX(ctaLiq,MATCH(E164,ctaNom,0))="Sí",FALSE),IF(OR(I164="Gasto",I164="Transferencia",I164="Pago tarjeta"),-1,1)*O164,0)+IF(AND(U164&lt;&gt;"",IFERROR(INDEX(ctaLiq,MATCH(G164,ctaNom,0))="Sí",FALSE)),O164,0))</f>
        <v/>
      </c>
      <c r="W164" s="19">
        <f>IF(OR(F164="",I164=""),"",IF(COUNTIFS(F$6:F164,F164,I$6:I164,"?*")=1,MAX(W$5:W163)+1,""))</f>
        <v/>
      </c>
    </row>
    <row r="165">
      <c r="B165" s="15" t="n"/>
      <c r="C165" s="16" t="n"/>
      <c r="D165" s="17" t="n"/>
      <c r="E165" s="17" t="n"/>
      <c r="F165" s="17" t="n"/>
      <c r="G165" s="17" t="n"/>
      <c r="H165" s="18">
        <f>IF(AND(B165="",C165="",D165="",E165=""),"",IF(B165="","⚠ Falta fecha",IF(C165="","⚠ Falta monto",IF(D165="","⚠ Falta categoría",IF(ISNA(MATCH(D165,catNom,0)),"⚠ Categoría no existe",IF(E165="","⚠ Falta cuenta",IF(ISNA(MATCH(E165,ctaNom,0)),"⚠ Cuenta no existe",IF(AND(OR(I165="Transferencia",I165="Pago tarjeta"),G165=""),"⚠ Indica la cuenta «Hacia»",IF(AND(G165&lt;&gt;"",G165=E165),"⚠ «Hacia» igual a la cuenta",IF(AND(G165&lt;&gt;"",ISNA(MATCH(G165,ctaNom,0))),"⚠ «Hacia» no existe",IF(AND(I165="Pago tarjeta",IFERROR(INDEX(ctaTipo,MATCH(G165,ctaNom,0)),"")&lt;&gt;"Tarjeta de crédito"),"⚠ «Hacia» debe ser la tarjeta",IF(AND(I165="Trading",IFERROR(INDEX(ctaTipo,MATCH(E165,ctaNom,0)),"")&lt;&gt;"Cuenta de trading"),"⚠ Usa la cuenta de trading","✓"))))))))))))</f>
        <v/>
      </c>
      <c r="I165" s="19">
        <f>IF(OR(B165="",C165="",D165=""),"",IFERROR(INDEX(catTipo,MATCH(D165,catNom,0))&amp;"",""))</f>
        <v/>
      </c>
      <c r="J165" s="19">
        <f>IF(I165="","",IFERROR(INDEX(catGrupo,MATCH(D165,catNom,0))&amp;"",""))</f>
        <v/>
      </c>
      <c r="K165" s="19">
        <f>IF(I165="Gasto",IF(IFERROR(INDEX(catClas,MATCH(D165,catNom,0))&amp;"","")="","Variable",IFERROR(INDEX(catClas,MATCH(D165,catNom,0))&amp;"","")),"")</f>
        <v/>
      </c>
      <c r="L165" s="19">
        <f>IF(I165="","",IFERROR(INDEX(catAlim,MATCH(D165,catNom,0))&amp;"",""))</f>
        <v/>
      </c>
      <c r="M165" s="19">
        <f>IF(I165="","",IFERROR(INDEX(catComida,MATCH(D165,catNom,0))&amp;"",""))</f>
        <v/>
      </c>
      <c r="N165" s="19">
        <f>IF(I165="","",IFERROR(INDEX(ctaMon,MATCH(E165,ctaNom,0))&amp;"","DOP"))</f>
        <v/>
      </c>
      <c r="O165" s="20">
        <f>IF(I165="","",C165*IF(N165="USD",TasaUSD,1))</f>
        <v/>
      </c>
      <c r="P165" s="20">
        <f>IF(I165="","",IF(I165="Gasto",O165,0))</f>
        <v/>
      </c>
      <c r="Q165" s="20">
        <f>IF(I165="","",IF(I165="Ingreso",O165,0))</f>
        <v/>
      </c>
      <c r="R165" s="20">
        <f>IF(I165="","",IF(I165="Trading",O165,0))</f>
        <v/>
      </c>
      <c r="S165" s="19">
        <f>IF(I165="","",IF(AND(I165="Gasto",K165="Variable",J165&lt;&gt;"Trading",O165&gt;0,O165&lt;=Umbral),1,0))</f>
        <v/>
      </c>
      <c r="T165" s="20">
        <f>IF(OR(I165="",E165=""),"",IF(OR(I165="Gasto",I165="Transferencia",I165="Pago tarjeta"),-1,1)*C165)</f>
        <v/>
      </c>
      <c r="U165" s="20">
        <f>IF(OR(G165="",AND(I165&lt;&gt;"Transferencia",I165&lt;&gt;"Pago tarjeta")),"",IF(IFERROR(INDEX(ctaMon,MATCH(G165,ctaNom,0))&amp;"","DOP")=N165,C165,IF(N165="USD",C165*TasaUSD,C165/TasaUSD)))</f>
        <v/>
      </c>
      <c r="V165" s="20">
        <f>IF(I165="","",IF(IFERROR(INDEX(ctaLiq,MATCH(E165,ctaNom,0))="Sí",FALSE),IF(OR(I165="Gasto",I165="Transferencia",I165="Pago tarjeta"),-1,1)*O165,0)+IF(AND(U165&lt;&gt;"",IFERROR(INDEX(ctaLiq,MATCH(G165,ctaNom,0))="Sí",FALSE)),O165,0))</f>
        <v/>
      </c>
      <c r="W165" s="19">
        <f>IF(OR(F165="",I165=""),"",IF(COUNTIFS(F$6:F165,F165,I$6:I165,"?*")=1,MAX(W$5:W164)+1,""))</f>
        <v/>
      </c>
    </row>
    <row r="166">
      <c r="B166" s="15" t="n"/>
      <c r="C166" s="16" t="n"/>
      <c r="D166" s="17" t="n"/>
      <c r="E166" s="17" t="n"/>
      <c r="F166" s="17" t="n"/>
      <c r="G166" s="17" t="n"/>
      <c r="H166" s="18">
        <f>IF(AND(B166="",C166="",D166="",E166=""),"",IF(B166="","⚠ Falta fecha",IF(C166="","⚠ Falta monto",IF(D166="","⚠ Falta categoría",IF(ISNA(MATCH(D166,catNom,0)),"⚠ Categoría no existe",IF(E166="","⚠ Falta cuenta",IF(ISNA(MATCH(E166,ctaNom,0)),"⚠ Cuenta no existe",IF(AND(OR(I166="Transferencia",I166="Pago tarjeta"),G166=""),"⚠ Indica la cuenta «Hacia»",IF(AND(G166&lt;&gt;"",G166=E166),"⚠ «Hacia» igual a la cuenta",IF(AND(G166&lt;&gt;"",ISNA(MATCH(G166,ctaNom,0))),"⚠ «Hacia» no existe",IF(AND(I166="Pago tarjeta",IFERROR(INDEX(ctaTipo,MATCH(G166,ctaNom,0)),"")&lt;&gt;"Tarjeta de crédito"),"⚠ «Hacia» debe ser la tarjeta",IF(AND(I166="Trading",IFERROR(INDEX(ctaTipo,MATCH(E166,ctaNom,0)),"")&lt;&gt;"Cuenta de trading"),"⚠ Usa la cuenta de trading","✓"))))))))))))</f>
        <v/>
      </c>
      <c r="I166" s="19">
        <f>IF(OR(B166="",C166="",D166=""),"",IFERROR(INDEX(catTipo,MATCH(D166,catNom,0))&amp;"",""))</f>
        <v/>
      </c>
      <c r="J166" s="19">
        <f>IF(I166="","",IFERROR(INDEX(catGrupo,MATCH(D166,catNom,0))&amp;"",""))</f>
        <v/>
      </c>
      <c r="K166" s="19">
        <f>IF(I166="Gasto",IF(IFERROR(INDEX(catClas,MATCH(D166,catNom,0))&amp;"","")="","Variable",IFERROR(INDEX(catClas,MATCH(D166,catNom,0))&amp;"","")),"")</f>
        <v/>
      </c>
      <c r="L166" s="19">
        <f>IF(I166="","",IFERROR(INDEX(catAlim,MATCH(D166,catNom,0))&amp;"",""))</f>
        <v/>
      </c>
      <c r="M166" s="19">
        <f>IF(I166="","",IFERROR(INDEX(catComida,MATCH(D166,catNom,0))&amp;"",""))</f>
        <v/>
      </c>
      <c r="N166" s="19">
        <f>IF(I166="","",IFERROR(INDEX(ctaMon,MATCH(E166,ctaNom,0))&amp;"","DOP"))</f>
        <v/>
      </c>
      <c r="O166" s="20">
        <f>IF(I166="","",C166*IF(N166="USD",TasaUSD,1))</f>
        <v/>
      </c>
      <c r="P166" s="20">
        <f>IF(I166="","",IF(I166="Gasto",O166,0))</f>
        <v/>
      </c>
      <c r="Q166" s="20">
        <f>IF(I166="","",IF(I166="Ingreso",O166,0))</f>
        <v/>
      </c>
      <c r="R166" s="20">
        <f>IF(I166="","",IF(I166="Trading",O166,0))</f>
        <v/>
      </c>
      <c r="S166" s="19">
        <f>IF(I166="","",IF(AND(I166="Gasto",K166="Variable",J166&lt;&gt;"Trading",O166&gt;0,O166&lt;=Umbral),1,0))</f>
        <v/>
      </c>
      <c r="T166" s="20">
        <f>IF(OR(I166="",E166=""),"",IF(OR(I166="Gasto",I166="Transferencia",I166="Pago tarjeta"),-1,1)*C166)</f>
        <v/>
      </c>
      <c r="U166" s="20">
        <f>IF(OR(G166="",AND(I166&lt;&gt;"Transferencia",I166&lt;&gt;"Pago tarjeta")),"",IF(IFERROR(INDEX(ctaMon,MATCH(G166,ctaNom,0))&amp;"","DOP")=N166,C166,IF(N166="USD",C166*TasaUSD,C166/TasaUSD)))</f>
        <v/>
      </c>
      <c r="V166" s="20">
        <f>IF(I166="","",IF(IFERROR(INDEX(ctaLiq,MATCH(E166,ctaNom,0))="Sí",FALSE),IF(OR(I166="Gasto",I166="Transferencia",I166="Pago tarjeta"),-1,1)*O166,0)+IF(AND(U166&lt;&gt;"",IFERROR(INDEX(ctaLiq,MATCH(G166,ctaNom,0))="Sí",FALSE)),O166,0))</f>
        <v/>
      </c>
      <c r="W166" s="19">
        <f>IF(OR(F166="",I166=""),"",IF(COUNTIFS(F$6:F166,F166,I$6:I166,"?*")=1,MAX(W$5:W165)+1,""))</f>
        <v/>
      </c>
    </row>
    <row r="167">
      <c r="B167" s="15" t="n"/>
      <c r="C167" s="16" t="n"/>
      <c r="D167" s="17" t="n"/>
      <c r="E167" s="17" t="n"/>
      <c r="F167" s="17" t="n"/>
      <c r="G167" s="17" t="n"/>
      <c r="H167" s="18">
        <f>IF(AND(B167="",C167="",D167="",E167=""),"",IF(B167="","⚠ Falta fecha",IF(C167="","⚠ Falta monto",IF(D167="","⚠ Falta categoría",IF(ISNA(MATCH(D167,catNom,0)),"⚠ Categoría no existe",IF(E167="","⚠ Falta cuenta",IF(ISNA(MATCH(E167,ctaNom,0)),"⚠ Cuenta no existe",IF(AND(OR(I167="Transferencia",I167="Pago tarjeta"),G167=""),"⚠ Indica la cuenta «Hacia»",IF(AND(G167&lt;&gt;"",G167=E167),"⚠ «Hacia» igual a la cuenta",IF(AND(G167&lt;&gt;"",ISNA(MATCH(G167,ctaNom,0))),"⚠ «Hacia» no existe",IF(AND(I167="Pago tarjeta",IFERROR(INDEX(ctaTipo,MATCH(G167,ctaNom,0)),"")&lt;&gt;"Tarjeta de crédito"),"⚠ «Hacia» debe ser la tarjeta",IF(AND(I167="Trading",IFERROR(INDEX(ctaTipo,MATCH(E167,ctaNom,0)),"")&lt;&gt;"Cuenta de trading"),"⚠ Usa la cuenta de trading","✓"))))))))))))</f>
        <v/>
      </c>
      <c r="I167" s="19">
        <f>IF(OR(B167="",C167="",D167=""),"",IFERROR(INDEX(catTipo,MATCH(D167,catNom,0))&amp;"",""))</f>
        <v/>
      </c>
      <c r="J167" s="19">
        <f>IF(I167="","",IFERROR(INDEX(catGrupo,MATCH(D167,catNom,0))&amp;"",""))</f>
        <v/>
      </c>
      <c r="K167" s="19">
        <f>IF(I167="Gasto",IF(IFERROR(INDEX(catClas,MATCH(D167,catNom,0))&amp;"","")="","Variable",IFERROR(INDEX(catClas,MATCH(D167,catNom,0))&amp;"","")),"")</f>
        <v/>
      </c>
      <c r="L167" s="19">
        <f>IF(I167="","",IFERROR(INDEX(catAlim,MATCH(D167,catNom,0))&amp;"",""))</f>
        <v/>
      </c>
      <c r="M167" s="19">
        <f>IF(I167="","",IFERROR(INDEX(catComida,MATCH(D167,catNom,0))&amp;"",""))</f>
        <v/>
      </c>
      <c r="N167" s="19">
        <f>IF(I167="","",IFERROR(INDEX(ctaMon,MATCH(E167,ctaNom,0))&amp;"","DOP"))</f>
        <v/>
      </c>
      <c r="O167" s="20">
        <f>IF(I167="","",C167*IF(N167="USD",TasaUSD,1))</f>
        <v/>
      </c>
      <c r="P167" s="20">
        <f>IF(I167="","",IF(I167="Gasto",O167,0))</f>
        <v/>
      </c>
      <c r="Q167" s="20">
        <f>IF(I167="","",IF(I167="Ingreso",O167,0))</f>
        <v/>
      </c>
      <c r="R167" s="20">
        <f>IF(I167="","",IF(I167="Trading",O167,0))</f>
        <v/>
      </c>
      <c r="S167" s="19">
        <f>IF(I167="","",IF(AND(I167="Gasto",K167="Variable",J167&lt;&gt;"Trading",O167&gt;0,O167&lt;=Umbral),1,0))</f>
        <v/>
      </c>
      <c r="T167" s="20">
        <f>IF(OR(I167="",E167=""),"",IF(OR(I167="Gasto",I167="Transferencia",I167="Pago tarjeta"),-1,1)*C167)</f>
        <v/>
      </c>
      <c r="U167" s="20">
        <f>IF(OR(G167="",AND(I167&lt;&gt;"Transferencia",I167&lt;&gt;"Pago tarjeta")),"",IF(IFERROR(INDEX(ctaMon,MATCH(G167,ctaNom,0))&amp;"","DOP")=N167,C167,IF(N167="USD",C167*TasaUSD,C167/TasaUSD)))</f>
        <v/>
      </c>
      <c r="V167" s="20">
        <f>IF(I167="","",IF(IFERROR(INDEX(ctaLiq,MATCH(E167,ctaNom,0))="Sí",FALSE),IF(OR(I167="Gasto",I167="Transferencia",I167="Pago tarjeta"),-1,1)*O167,0)+IF(AND(U167&lt;&gt;"",IFERROR(INDEX(ctaLiq,MATCH(G167,ctaNom,0))="Sí",FALSE)),O167,0))</f>
        <v/>
      </c>
      <c r="W167" s="19">
        <f>IF(OR(F167="",I167=""),"",IF(COUNTIFS(F$6:F167,F167,I$6:I167,"?*")=1,MAX(W$5:W166)+1,""))</f>
        <v/>
      </c>
    </row>
    <row r="168">
      <c r="B168" s="15" t="n"/>
      <c r="C168" s="16" t="n"/>
      <c r="D168" s="17" t="n"/>
      <c r="E168" s="17" t="n"/>
      <c r="F168" s="17" t="n"/>
      <c r="G168" s="17" t="n"/>
      <c r="H168" s="18">
        <f>IF(AND(B168="",C168="",D168="",E168=""),"",IF(B168="","⚠ Falta fecha",IF(C168="","⚠ Falta monto",IF(D168="","⚠ Falta categoría",IF(ISNA(MATCH(D168,catNom,0)),"⚠ Categoría no existe",IF(E168="","⚠ Falta cuenta",IF(ISNA(MATCH(E168,ctaNom,0)),"⚠ Cuenta no existe",IF(AND(OR(I168="Transferencia",I168="Pago tarjeta"),G168=""),"⚠ Indica la cuenta «Hacia»",IF(AND(G168&lt;&gt;"",G168=E168),"⚠ «Hacia» igual a la cuenta",IF(AND(G168&lt;&gt;"",ISNA(MATCH(G168,ctaNom,0))),"⚠ «Hacia» no existe",IF(AND(I168="Pago tarjeta",IFERROR(INDEX(ctaTipo,MATCH(G168,ctaNom,0)),"")&lt;&gt;"Tarjeta de crédito"),"⚠ «Hacia» debe ser la tarjeta",IF(AND(I168="Trading",IFERROR(INDEX(ctaTipo,MATCH(E168,ctaNom,0)),"")&lt;&gt;"Cuenta de trading"),"⚠ Usa la cuenta de trading","✓"))))))))))))</f>
        <v/>
      </c>
      <c r="I168" s="19">
        <f>IF(OR(B168="",C168="",D168=""),"",IFERROR(INDEX(catTipo,MATCH(D168,catNom,0))&amp;"",""))</f>
        <v/>
      </c>
      <c r="J168" s="19">
        <f>IF(I168="","",IFERROR(INDEX(catGrupo,MATCH(D168,catNom,0))&amp;"",""))</f>
        <v/>
      </c>
      <c r="K168" s="19">
        <f>IF(I168="Gasto",IF(IFERROR(INDEX(catClas,MATCH(D168,catNom,0))&amp;"","")="","Variable",IFERROR(INDEX(catClas,MATCH(D168,catNom,0))&amp;"","")),"")</f>
        <v/>
      </c>
      <c r="L168" s="19">
        <f>IF(I168="","",IFERROR(INDEX(catAlim,MATCH(D168,catNom,0))&amp;"",""))</f>
        <v/>
      </c>
      <c r="M168" s="19">
        <f>IF(I168="","",IFERROR(INDEX(catComida,MATCH(D168,catNom,0))&amp;"",""))</f>
        <v/>
      </c>
      <c r="N168" s="19">
        <f>IF(I168="","",IFERROR(INDEX(ctaMon,MATCH(E168,ctaNom,0))&amp;"","DOP"))</f>
        <v/>
      </c>
      <c r="O168" s="20">
        <f>IF(I168="","",C168*IF(N168="USD",TasaUSD,1))</f>
        <v/>
      </c>
      <c r="P168" s="20">
        <f>IF(I168="","",IF(I168="Gasto",O168,0))</f>
        <v/>
      </c>
      <c r="Q168" s="20">
        <f>IF(I168="","",IF(I168="Ingreso",O168,0))</f>
        <v/>
      </c>
      <c r="R168" s="20">
        <f>IF(I168="","",IF(I168="Trading",O168,0))</f>
        <v/>
      </c>
      <c r="S168" s="19">
        <f>IF(I168="","",IF(AND(I168="Gasto",K168="Variable",J168&lt;&gt;"Trading",O168&gt;0,O168&lt;=Umbral),1,0))</f>
        <v/>
      </c>
      <c r="T168" s="20">
        <f>IF(OR(I168="",E168=""),"",IF(OR(I168="Gasto",I168="Transferencia",I168="Pago tarjeta"),-1,1)*C168)</f>
        <v/>
      </c>
      <c r="U168" s="20">
        <f>IF(OR(G168="",AND(I168&lt;&gt;"Transferencia",I168&lt;&gt;"Pago tarjeta")),"",IF(IFERROR(INDEX(ctaMon,MATCH(G168,ctaNom,0))&amp;"","DOP")=N168,C168,IF(N168="USD",C168*TasaUSD,C168/TasaUSD)))</f>
        <v/>
      </c>
      <c r="V168" s="20">
        <f>IF(I168="","",IF(IFERROR(INDEX(ctaLiq,MATCH(E168,ctaNom,0))="Sí",FALSE),IF(OR(I168="Gasto",I168="Transferencia",I168="Pago tarjeta"),-1,1)*O168,0)+IF(AND(U168&lt;&gt;"",IFERROR(INDEX(ctaLiq,MATCH(G168,ctaNom,0))="Sí",FALSE)),O168,0))</f>
        <v/>
      </c>
      <c r="W168" s="19">
        <f>IF(OR(F168="",I168=""),"",IF(COUNTIFS(F$6:F168,F168,I$6:I168,"?*")=1,MAX(W$5:W167)+1,""))</f>
        <v/>
      </c>
    </row>
    <row r="169">
      <c r="B169" s="15" t="n"/>
      <c r="C169" s="16" t="n"/>
      <c r="D169" s="17" t="n"/>
      <c r="E169" s="17" t="n"/>
      <c r="F169" s="17" t="n"/>
      <c r="G169" s="17" t="n"/>
      <c r="H169" s="18">
        <f>IF(AND(B169="",C169="",D169="",E169=""),"",IF(B169="","⚠ Falta fecha",IF(C169="","⚠ Falta monto",IF(D169="","⚠ Falta categoría",IF(ISNA(MATCH(D169,catNom,0)),"⚠ Categoría no existe",IF(E169="","⚠ Falta cuenta",IF(ISNA(MATCH(E169,ctaNom,0)),"⚠ Cuenta no existe",IF(AND(OR(I169="Transferencia",I169="Pago tarjeta"),G169=""),"⚠ Indica la cuenta «Hacia»",IF(AND(G169&lt;&gt;"",G169=E169),"⚠ «Hacia» igual a la cuenta",IF(AND(G169&lt;&gt;"",ISNA(MATCH(G169,ctaNom,0))),"⚠ «Hacia» no existe",IF(AND(I169="Pago tarjeta",IFERROR(INDEX(ctaTipo,MATCH(G169,ctaNom,0)),"")&lt;&gt;"Tarjeta de crédito"),"⚠ «Hacia» debe ser la tarjeta",IF(AND(I169="Trading",IFERROR(INDEX(ctaTipo,MATCH(E169,ctaNom,0)),"")&lt;&gt;"Cuenta de trading"),"⚠ Usa la cuenta de trading","✓"))))))))))))</f>
        <v/>
      </c>
      <c r="I169" s="19">
        <f>IF(OR(B169="",C169="",D169=""),"",IFERROR(INDEX(catTipo,MATCH(D169,catNom,0))&amp;"",""))</f>
        <v/>
      </c>
      <c r="J169" s="19">
        <f>IF(I169="","",IFERROR(INDEX(catGrupo,MATCH(D169,catNom,0))&amp;"",""))</f>
        <v/>
      </c>
      <c r="K169" s="19">
        <f>IF(I169="Gasto",IF(IFERROR(INDEX(catClas,MATCH(D169,catNom,0))&amp;"","")="","Variable",IFERROR(INDEX(catClas,MATCH(D169,catNom,0))&amp;"","")),"")</f>
        <v/>
      </c>
      <c r="L169" s="19">
        <f>IF(I169="","",IFERROR(INDEX(catAlim,MATCH(D169,catNom,0))&amp;"",""))</f>
        <v/>
      </c>
      <c r="M169" s="19">
        <f>IF(I169="","",IFERROR(INDEX(catComida,MATCH(D169,catNom,0))&amp;"",""))</f>
        <v/>
      </c>
      <c r="N169" s="19">
        <f>IF(I169="","",IFERROR(INDEX(ctaMon,MATCH(E169,ctaNom,0))&amp;"","DOP"))</f>
        <v/>
      </c>
      <c r="O169" s="20">
        <f>IF(I169="","",C169*IF(N169="USD",TasaUSD,1))</f>
        <v/>
      </c>
      <c r="P169" s="20">
        <f>IF(I169="","",IF(I169="Gasto",O169,0))</f>
        <v/>
      </c>
      <c r="Q169" s="20">
        <f>IF(I169="","",IF(I169="Ingreso",O169,0))</f>
        <v/>
      </c>
      <c r="R169" s="20">
        <f>IF(I169="","",IF(I169="Trading",O169,0))</f>
        <v/>
      </c>
      <c r="S169" s="19">
        <f>IF(I169="","",IF(AND(I169="Gasto",K169="Variable",J169&lt;&gt;"Trading",O169&gt;0,O169&lt;=Umbral),1,0))</f>
        <v/>
      </c>
      <c r="T169" s="20">
        <f>IF(OR(I169="",E169=""),"",IF(OR(I169="Gasto",I169="Transferencia",I169="Pago tarjeta"),-1,1)*C169)</f>
        <v/>
      </c>
      <c r="U169" s="20">
        <f>IF(OR(G169="",AND(I169&lt;&gt;"Transferencia",I169&lt;&gt;"Pago tarjeta")),"",IF(IFERROR(INDEX(ctaMon,MATCH(G169,ctaNom,0))&amp;"","DOP")=N169,C169,IF(N169="USD",C169*TasaUSD,C169/TasaUSD)))</f>
        <v/>
      </c>
      <c r="V169" s="20">
        <f>IF(I169="","",IF(IFERROR(INDEX(ctaLiq,MATCH(E169,ctaNom,0))="Sí",FALSE),IF(OR(I169="Gasto",I169="Transferencia",I169="Pago tarjeta"),-1,1)*O169,0)+IF(AND(U169&lt;&gt;"",IFERROR(INDEX(ctaLiq,MATCH(G169,ctaNom,0))="Sí",FALSE)),O169,0))</f>
        <v/>
      </c>
      <c r="W169" s="19">
        <f>IF(OR(F169="",I169=""),"",IF(COUNTIFS(F$6:F169,F169,I$6:I169,"?*")=1,MAX(W$5:W168)+1,""))</f>
        <v/>
      </c>
    </row>
    <row r="170">
      <c r="B170" s="15" t="n"/>
      <c r="C170" s="16" t="n"/>
      <c r="D170" s="17" t="n"/>
      <c r="E170" s="17" t="n"/>
      <c r="F170" s="17" t="n"/>
      <c r="G170" s="17" t="n"/>
      <c r="H170" s="18">
        <f>IF(AND(B170="",C170="",D170="",E170=""),"",IF(B170="","⚠ Falta fecha",IF(C170="","⚠ Falta monto",IF(D170="","⚠ Falta categoría",IF(ISNA(MATCH(D170,catNom,0)),"⚠ Categoría no existe",IF(E170="","⚠ Falta cuenta",IF(ISNA(MATCH(E170,ctaNom,0)),"⚠ Cuenta no existe",IF(AND(OR(I170="Transferencia",I170="Pago tarjeta"),G170=""),"⚠ Indica la cuenta «Hacia»",IF(AND(G170&lt;&gt;"",G170=E170),"⚠ «Hacia» igual a la cuenta",IF(AND(G170&lt;&gt;"",ISNA(MATCH(G170,ctaNom,0))),"⚠ «Hacia» no existe",IF(AND(I170="Pago tarjeta",IFERROR(INDEX(ctaTipo,MATCH(G170,ctaNom,0)),"")&lt;&gt;"Tarjeta de crédito"),"⚠ «Hacia» debe ser la tarjeta",IF(AND(I170="Trading",IFERROR(INDEX(ctaTipo,MATCH(E170,ctaNom,0)),"")&lt;&gt;"Cuenta de trading"),"⚠ Usa la cuenta de trading","✓"))))))))))))</f>
        <v/>
      </c>
      <c r="I170" s="19">
        <f>IF(OR(B170="",C170="",D170=""),"",IFERROR(INDEX(catTipo,MATCH(D170,catNom,0))&amp;"",""))</f>
        <v/>
      </c>
      <c r="J170" s="19">
        <f>IF(I170="","",IFERROR(INDEX(catGrupo,MATCH(D170,catNom,0))&amp;"",""))</f>
        <v/>
      </c>
      <c r="K170" s="19">
        <f>IF(I170="Gasto",IF(IFERROR(INDEX(catClas,MATCH(D170,catNom,0))&amp;"","")="","Variable",IFERROR(INDEX(catClas,MATCH(D170,catNom,0))&amp;"","")),"")</f>
        <v/>
      </c>
      <c r="L170" s="19">
        <f>IF(I170="","",IFERROR(INDEX(catAlim,MATCH(D170,catNom,0))&amp;"",""))</f>
        <v/>
      </c>
      <c r="M170" s="19">
        <f>IF(I170="","",IFERROR(INDEX(catComida,MATCH(D170,catNom,0))&amp;"",""))</f>
        <v/>
      </c>
      <c r="N170" s="19">
        <f>IF(I170="","",IFERROR(INDEX(ctaMon,MATCH(E170,ctaNom,0))&amp;"","DOP"))</f>
        <v/>
      </c>
      <c r="O170" s="20">
        <f>IF(I170="","",C170*IF(N170="USD",TasaUSD,1))</f>
        <v/>
      </c>
      <c r="P170" s="20">
        <f>IF(I170="","",IF(I170="Gasto",O170,0))</f>
        <v/>
      </c>
      <c r="Q170" s="20">
        <f>IF(I170="","",IF(I170="Ingreso",O170,0))</f>
        <v/>
      </c>
      <c r="R170" s="20">
        <f>IF(I170="","",IF(I170="Trading",O170,0))</f>
        <v/>
      </c>
      <c r="S170" s="19">
        <f>IF(I170="","",IF(AND(I170="Gasto",K170="Variable",J170&lt;&gt;"Trading",O170&gt;0,O170&lt;=Umbral),1,0))</f>
        <v/>
      </c>
      <c r="T170" s="20">
        <f>IF(OR(I170="",E170=""),"",IF(OR(I170="Gasto",I170="Transferencia",I170="Pago tarjeta"),-1,1)*C170)</f>
        <v/>
      </c>
      <c r="U170" s="20">
        <f>IF(OR(G170="",AND(I170&lt;&gt;"Transferencia",I170&lt;&gt;"Pago tarjeta")),"",IF(IFERROR(INDEX(ctaMon,MATCH(G170,ctaNom,0))&amp;"","DOP")=N170,C170,IF(N170="USD",C170*TasaUSD,C170/TasaUSD)))</f>
        <v/>
      </c>
      <c r="V170" s="20">
        <f>IF(I170="","",IF(IFERROR(INDEX(ctaLiq,MATCH(E170,ctaNom,0))="Sí",FALSE),IF(OR(I170="Gasto",I170="Transferencia",I170="Pago tarjeta"),-1,1)*O170,0)+IF(AND(U170&lt;&gt;"",IFERROR(INDEX(ctaLiq,MATCH(G170,ctaNom,0))="Sí",FALSE)),O170,0))</f>
        <v/>
      </c>
      <c r="W170" s="19">
        <f>IF(OR(F170="",I170=""),"",IF(COUNTIFS(F$6:F170,F170,I$6:I170,"?*")=1,MAX(W$5:W169)+1,""))</f>
        <v/>
      </c>
    </row>
    <row r="171">
      <c r="B171" s="15" t="n"/>
      <c r="C171" s="16" t="n"/>
      <c r="D171" s="17" t="n"/>
      <c r="E171" s="17" t="n"/>
      <c r="F171" s="17" t="n"/>
      <c r="G171" s="17" t="n"/>
      <c r="H171" s="18">
        <f>IF(AND(B171="",C171="",D171="",E171=""),"",IF(B171="","⚠ Falta fecha",IF(C171="","⚠ Falta monto",IF(D171="","⚠ Falta categoría",IF(ISNA(MATCH(D171,catNom,0)),"⚠ Categoría no existe",IF(E171="","⚠ Falta cuenta",IF(ISNA(MATCH(E171,ctaNom,0)),"⚠ Cuenta no existe",IF(AND(OR(I171="Transferencia",I171="Pago tarjeta"),G171=""),"⚠ Indica la cuenta «Hacia»",IF(AND(G171&lt;&gt;"",G171=E171),"⚠ «Hacia» igual a la cuenta",IF(AND(G171&lt;&gt;"",ISNA(MATCH(G171,ctaNom,0))),"⚠ «Hacia» no existe",IF(AND(I171="Pago tarjeta",IFERROR(INDEX(ctaTipo,MATCH(G171,ctaNom,0)),"")&lt;&gt;"Tarjeta de crédito"),"⚠ «Hacia» debe ser la tarjeta",IF(AND(I171="Trading",IFERROR(INDEX(ctaTipo,MATCH(E171,ctaNom,0)),"")&lt;&gt;"Cuenta de trading"),"⚠ Usa la cuenta de trading","✓"))))))))))))</f>
        <v/>
      </c>
      <c r="I171" s="19">
        <f>IF(OR(B171="",C171="",D171=""),"",IFERROR(INDEX(catTipo,MATCH(D171,catNom,0))&amp;"",""))</f>
        <v/>
      </c>
      <c r="J171" s="19">
        <f>IF(I171="","",IFERROR(INDEX(catGrupo,MATCH(D171,catNom,0))&amp;"",""))</f>
        <v/>
      </c>
      <c r="K171" s="19">
        <f>IF(I171="Gasto",IF(IFERROR(INDEX(catClas,MATCH(D171,catNom,0))&amp;"","")="","Variable",IFERROR(INDEX(catClas,MATCH(D171,catNom,0))&amp;"","")),"")</f>
        <v/>
      </c>
      <c r="L171" s="19">
        <f>IF(I171="","",IFERROR(INDEX(catAlim,MATCH(D171,catNom,0))&amp;"",""))</f>
        <v/>
      </c>
      <c r="M171" s="19">
        <f>IF(I171="","",IFERROR(INDEX(catComida,MATCH(D171,catNom,0))&amp;"",""))</f>
        <v/>
      </c>
      <c r="N171" s="19">
        <f>IF(I171="","",IFERROR(INDEX(ctaMon,MATCH(E171,ctaNom,0))&amp;"","DOP"))</f>
        <v/>
      </c>
      <c r="O171" s="20">
        <f>IF(I171="","",C171*IF(N171="USD",TasaUSD,1))</f>
        <v/>
      </c>
      <c r="P171" s="20">
        <f>IF(I171="","",IF(I171="Gasto",O171,0))</f>
        <v/>
      </c>
      <c r="Q171" s="20">
        <f>IF(I171="","",IF(I171="Ingreso",O171,0))</f>
        <v/>
      </c>
      <c r="R171" s="20">
        <f>IF(I171="","",IF(I171="Trading",O171,0))</f>
        <v/>
      </c>
      <c r="S171" s="19">
        <f>IF(I171="","",IF(AND(I171="Gasto",K171="Variable",J171&lt;&gt;"Trading",O171&gt;0,O171&lt;=Umbral),1,0))</f>
        <v/>
      </c>
      <c r="T171" s="20">
        <f>IF(OR(I171="",E171=""),"",IF(OR(I171="Gasto",I171="Transferencia",I171="Pago tarjeta"),-1,1)*C171)</f>
        <v/>
      </c>
      <c r="U171" s="20">
        <f>IF(OR(G171="",AND(I171&lt;&gt;"Transferencia",I171&lt;&gt;"Pago tarjeta")),"",IF(IFERROR(INDEX(ctaMon,MATCH(G171,ctaNom,0))&amp;"","DOP")=N171,C171,IF(N171="USD",C171*TasaUSD,C171/TasaUSD)))</f>
        <v/>
      </c>
      <c r="V171" s="20">
        <f>IF(I171="","",IF(IFERROR(INDEX(ctaLiq,MATCH(E171,ctaNom,0))="Sí",FALSE),IF(OR(I171="Gasto",I171="Transferencia",I171="Pago tarjeta"),-1,1)*O171,0)+IF(AND(U171&lt;&gt;"",IFERROR(INDEX(ctaLiq,MATCH(G171,ctaNom,0))="Sí",FALSE)),O171,0))</f>
        <v/>
      </c>
      <c r="W171" s="19">
        <f>IF(OR(F171="",I171=""),"",IF(COUNTIFS(F$6:F171,F171,I$6:I171,"?*")=1,MAX(W$5:W170)+1,""))</f>
        <v/>
      </c>
    </row>
    <row r="172">
      <c r="B172" s="15" t="n"/>
      <c r="C172" s="16" t="n"/>
      <c r="D172" s="17" t="n"/>
      <c r="E172" s="17" t="n"/>
      <c r="F172" s="17" t="n"/>
      <c r="G172" s="17" t="n"/>
      <c r="H172" s="18">
        <f>IF(AND(B172="",C172="",D172="",E172=""),"",IF(B172="","⚠ Falta fecha",IF(C172="","⚠ Falta monto",IF(D172="","⚠ Falta categoría",IF(ISNA(MATCH(D172,catNom,0)),"⚠ Categoría no existe",IF(E172="","⚠ Falta cuenta",IF(ISNA(MATCH(E172,ctaNom,0)),"⚠ Cuenta no existe",IF(AND(OR(I172="Transferencia",I172="Pago tarjeta"),G172=""),"⚠ Indica la cuenta «Hacia»",IF(AND(G172&lt;&gt;"",G172=E172),"⚠ «Hacia» igual a la cuenta",IF(AND(G172&lt;&gt;"",ISNA(MATCH(G172,ctaNom,0))),"⚠ «Hacia» no existe",IF(AND(I172="Pago tarjeta",IFERROR(INDEX(ctaTipo,MATCH(G172,ctaNom,0)),"")&lt;&gt;"Tarjeta de crédito"),"⚠ «Hacia» debe ser la tarjeta",IF(AND(I172="Trading",IFERROR(INDEX(ctaTipo,MATCH(E172,ctaNom,0)),"")&lt;&gt;"Cuenta de trading"),"⚠ Usa la cuenta de trading","✓"))))))))))))</f>
        <v/>
      </c>
      <c r="I172" s="19">
        <f>IF(OR(B172="",C172="",D172=""),"",IFERROR(INDEX(catTipo,MATCH(D172,catNom,0))&amp;"",""))</f>
        <v/>
      </c>
      <c r="J172" s="19">
        <f>IF(I172="","",IFERROR(INDEX(catGrupo,MATCH(D172,catNom,0))&amp;"",""))</f>
        <v/>
      </c>
      <c r="K172" s="19">
        <f>IF(I172="Gasto",IF(IFERROR(INDEX(catClas,MATCH(D172,catNom,0))&amp;"","")="","Variable",IFERROR(INDEX(catClas,MATCH(D172,catNom,0))&amp;"","")),"")</f>
        <v/>
      </c>
      <c r="L172" s="19">
        <f>IF(I172="","",IFERROR(INDEX(catAlim,MATCH(D172,catNom,0))&amp;"",""))</f>
        <v/>
      </c>
      <c r="M172" s="19">
        <f>IF(I172="","",IFERROR(INDEX(catComida,MATCH(D172,catNom,0))&amp;"",""))</f>
        <v/>
      </c>
      <c r="N172" s="19">
        <f>IF(I172="","",IFERROR(INDEX(ctaMon,MATCH(E172,ctaNom,0))&amp;"","DOP"))</f>
        <v/>
      </c>
      <c r="O172" s="20">
        <f>IF(I172="","",C172*IF(N172="USD",TasaUSD,1))</f>
        <v/>
      </c>
      <c r="P172" s="20">
        <f>IF(I172="","",IF(I172="Gasto",O172,0))</f>
        <v/>
      </c>
      <c r="Q172" s="20">
        <f>IF(I172="","",IF(I172="Ingreso",O172,0))</f>
        <v/>
      </c>
      <c r="R172" s="20">
        <f>IF(I172="","",IF(I172="Trading",O172,0))</f>
        <v/>
      </c>
      <c r="S172" s="19">
        <f>IF(I172="","",IF(AND(I172="Gasto",K172="Variable",J172&lt;&gt;"Trading",O172&gt;0,O172&lt;=Umbral),1,0))</f>
        <v/>
      </c>
      <c r="T172" s="20">
        <f>IF(OR(I172="",E172=""),"",IF(OR(I172="Gasto",I172="Transferencia",I172="Pago tarjeta"),-1,1)*C172)</f>
        <v/>
      </c>
      <c r="U172" s="20">
        <f>IF(OR(G172="",AND(I172&lt;&gt;"Transferencia",I172&lt;&gt;"Pago tarjeta")),"",IF(IFERROR(INDEX(ctaMon,MATCH(G172,ctaNom,0))&amp;"","DOP")=N172,C172,IF(N172="USD",C172*TasaUSD,C172/TasaUSD)))</f>
        <v/>
      </c>
      <c r="V172" s="20">
        <f>IF(I172="","",IF(IFERROR(INDEX(ctaLiq,MATCH(E172,ctaNom,0))="Sí",FALSE),IF(OR(I172="Gasto",I172="Transferencia",I172="Pago tarjeta"),-1,1)*O172,0)+IF(AND(U172&lt;&gt;"",IFERROR(INDEX(ctaLiq,MATCH(G172,ctaNom,0))="Sí",FALSE)),O172,0))</f>
        <v/>
      </c>
      <c r="W172" s="19">
        <f>IF(OR(F172="",I172=""),"",IF(COUNTIFS(F$6:F172,F172,I$6:I172,"?*")=1,MAX(W$5:W171)+1,""))</f>
        <v/>
      </c>
    </row>
    <row r="173">
      <c r="B173" s="15" t="n"/>
      <c r="C173" s="16" t="n"/>
      <c r="D173" s="17" t="n"/>
      <c r="E173" s="17" t="n"/>
      <c r="F173" s="17" t="n"/>
      <c r="G173" s="17" t="n"/>
      <c r="H173" s="18">
        <f>IF(AND(B173="",C173="",D173="",E173=""),"",IF(B173="","⚠ Falta fecha",IF(C173="","⚠ Falta monto",IF(D173="","⚠ Falta categoría",IF(ISNA(MATCH(D173,catNom,0)),"⚠ Categoría no existe",IF(E173="","⚠ Falta cuenta",IF(ISNA(MATCH(E173,ctaNom,0)),"⚠ Cuenta no existe",IF(AND(OR(I173="Transferencia",I173="Pago tarjeta"),G173=""),"⚠ Indica la cuenta «Hacia»",IF(AND(G173&lt;&gt;"",G173=E173),"⚠ «Hacia» igual a la cuenta",IF(AND(G173&lt;&gt;"",ISNA(MATCH(G173,ctaNom,0))),"⚠ «Hacia» no existe",IF(AND(I173="Pago tarjeta",IFERROR(INDEX(ctaTipo,MATCH(G173,ctaNom,0)),"")&lt;&gt;"Tarjeta de crédito"),"⚠ «Hacia» debe ser la tarjeta",IF(AND(I173="Trading",IFERROR(INDEX(ctaTipo,MATCH(E173,ctaNom,0)),"")&lt;&gt;"Cuenta de trading"),"⚠ Usa la cuenta de trading","✓"))))))))))))</f>
        <v/>
      </c>
      <c r="I173" s="19">
        <f>IF(OR(B173="",C173="",D173=""),"",IFERROR(INDEX(catTipo,MATCH(D173,catNom,0))&amp;"",""))</f>
        <v/>
      </c>
      <c r="J173" s="19">
        <f>IF(I173="","",IFERROR(INDEX(catGrupo,MATCH(D173,catNom,0))&amp;"",""))</f>
        <v/>
      </c>
      <c r="K173" s="19">
        <f>IF(I173="Gasto",IF(IFERROR(INDEX(catClas,MATCH(D173,catNom,0))&amp;"","")="","Variable",IFERROR(INDEX(catClas,MATCH(D173,catNom,0))&amp;"","")),"")</f>
        <v/>
      </c>
      <c r="L173" s="19">
        <f>IF(I173="","",IFERROR(INDEX(catAlim,MATCH(D173,catNom,0))&amp;"",""))</f>
        <v/>
      </c>
      <c r="M173" s="19">
        <f>IF(I173="","",IFERROR(INDEX(catComida,MATCH(D173,catNom,0))&amp;"",""))</f>
        <v/>
      </c>
      <c r="N173" s="19">
        <f>IF(I173="","",IFERROR(INDEX(ctaMon,MATCH(E173,ctaNom,0))&amp;"","DOP"))</f>
        <v/>
      </c>
      <c r="O173" s="20">
        <f>IF(I173="","",C173*IF(N173="USD",TasaUSD,1))</f>
        <v/>
      </c>
      <c r="P173" s="20">
        <f>IF(I173="","",IF(I173="Gasto",O173,0))</f>
        <v/>
      </c>
      <c r="Q173" s="20">
        <f>IF(I173="","",IF(I173="Ingreso",O173,0))</f>
        <v/>
      </c>
      <c r="R173" s="20">
        <f>IF(I173="","",IF(I173="Trading",O173,0))</f>
        <v/>
      </c>
      <c r="S173" s="19">
        <f>IF(I173="","",IF(AND(I173="Gasto",K173="Variable",J173&lt;&gt;"Trading",O173&gt;0,O173&lt;=Umbral),1,0))</f>
        <v/>
      </c>
      <c r="T173" s="20">
        <f>IF(OR(I173="",E173=""),"",IF(OR(I173="Gasto",I173="Transferencia",I173="Pago tarjeta"),-1,1)*C173)</f>
        <v/>
      </c>
      <c r="U173" s="20">
        <f>IF(OR(G173="",AND(I173&lt;&gt;"Transferencia",I173&lt;&gt;"Pago tarjeta")),"",IF(IFERROR(INDEX(ctaMon,MATCH(G173,ctaNom,0))&amp;"","DOP")=N173,C173,IF(N173="USD",C173*TasaUSD,C173/TasaUSD)))</f>
        <v/>
      </c>
      <c r="V173" s="20">
        <f>IF(I173="","",IF(IFERROR(INDEX(ctaLiq,MATCH(E173,ctaNom,0))="Sí",FALSE),IF(OR(I173="Gasto",I173="Transferencia",I173="Pago tarjeta"),-1,1)*O173,0)+IF(AND(U173&lt;&gt;"",IFERROR(INDEX(ctaLiq,MATCH(G173,ctaNom,0))="Sí",FALSE)),O173,0))</f>
        <v/>
      </c>
      <c r="W173" s="19">
        <f>IF(OR(F173="",I173=""),"",IF(COUNTIFS(F$6:F173,F173,I$6:I173,"?*")=1,MAX(W$5:W172)+1,""))</f>
        <v/>
      </c>
    </row>
    <row r="174">
      <c r="B174" s="15" t="n"/>
      <c r="C174" s="16" t="n"/>
      <c r="D174" s="17" t="n"/>
      <c r="E174" s="17" t="n"/>
      <c r="F174" s="17" t="n"/>
      <c r="G174" s="17" t="n"/>
      <c r="H174" s="18">
        <f>IF(AND(B174="",C174="",D174="",E174=""),"",IF(B174="","⚠ Falta fecha",IF(C174="","⚠ Falta monto",IF(D174="","⚠ Falta categoría",IF(ISNA(MATCH(D174,catNom,0)),"⚠ Categoría no existe",IF(E174="","⚠ Falta cuenta",IF(ISNA(MATCH(E174,ctaNom,0)),"⚠ Cuenta no existe",IF(AND(OR(I174="Transferencia",I174="Pago tarjeta"),G174=""),"⚠ Indica la cuenta «Hacia»",IF(AND(G174&lt;&gt;"",G174=E174),"⚠ «Hacia» igual a la cuenta",IF(AND(G174&lt;&gt;"",ISNA(MATCH(G174,ctaNom,0))),"⚠ «Hacia» no existe",IF(AND(I174="Pago tarjeta",IFERROR(INDEX(ctaTipo,MATCH(G174,ctaNom,0)),"")&lt;&gt;"Tarjeta de crédito"),"⚠ «Hacia» debe ser la tarjeta",IF(AND(I174="Trading",IFERROR(INDEX(ctaTipo,MATCH(E174,ctaNom,0)),"")&lt;&gt;"Cuenta de trading"),"⚠ Usa la cuenta de trading","✓"))))))))))))</f>
        <v/>
      </c>
      <c r="I174" s="19">
        <f>IF(OR(B174="",C174="",D174=""),"",IFERROR(INDEX(catTipo,MATCH(D174,catNom,0))&amp;"",""))</f>
        <v/>
      </c>
      <c r="J174" s="19">
        <f>IF(I174="","",IFERROR(INDEX(catGrupo,MATCH(D174,catNom,0))&amp;"",""))</f>
        <v/>
      </c>
      <c r="K174" s="19">
        <f>IF(I174="Gasto",IF(IFERROR(INDEX(catClas,MATCH(D174,catNom,0))&amp;"","")="","Variable",IFERROR(INDEX(catClas,MATCH(D174,catNom,0))&amp;"","")),"")</f>
        <v/>
      </c>
      <c r="L174" s="19">
        <f>IF(I174="","",IFERROR(INDEX(catAlim,MATCH(D174,catNom,0))&amp;"",""))</f>
        <v/>
      </c>
      <c r="M174" s="19">
        <f>IF(I174="","",IFERROR(INDEX(catComida,MATCH(D174,catNom,0))&amp;"",""))</f>
        <v/>
      </c>
      <c r="N174" s="19">
        <f>IF(I174="","",IFERROR(INDEX(ctaMon,MATCH(E174,ctaNom,0))&amp;"","DOP"))</f>
        <v/>
      </c>
      <c r="O174" s="20">
        <f>IF(I174="","",C174*IF(N174="USD",TasaUSD,1))</f>
        <v/>
      </c>
      <c r="P174" s="20">
        <f>IF(I174="","",IF(I174="Gasto",O174,0))</f>
        <v/>
      </c>
      <c r="Q174" s="20">
        <f>IF(I174="","",IF(I174="Ingreso",O174,0))</f>
        <v/>
      </c>
      <c r="R174" s="20">
        <f>IF(I174="","",IF(I174="Trading",O174,0))</f>
        <v/>
      </c>
      <c r="S174" s="19">
        <f>IF(I174="","",IF(AND(I174="Gasto",K174="Variable",J174&lt;&gt;"Trading",O174&gt;0,O174&lt;=Umbral),1,0))</f>
        <v/>
      </c>
      <c r="T174" s="20">
        <f>IF(OR(I174="",E174=""),"",IF(OR(I174="Gasto",I174="Transferencia",I174="Pago tarjeta"),-1,1)*C174)</f>
        <v/>
      </c>
      <c r="U174" s="20">
        <f>IF(OR(G174="",AND(I174&lt;&gt;"Transferencia",I174&lt;&gt;"Pago tarjeta")),"",IF(IFERROR(INDEX(ctaMon,MATCH(G174,ctaNom,0))&amp;"","DOP")=N174,C174,IF(N174="USD",C174*TasaUSD,C174/TasaUSD)))</f>
        <v/>
      </c>
      <c r="V174" s="20">
        <f>IF(I174="","",IF(IFERROR(INDEX(ctaLiq,MATCH(E174,ctaNom,0))="Sí",FALSE),IF(OR(I174="Gasto",I174="Transferencia",I174="Pago tarjeta"),-1,1)*O174,0)+IF(AND(U174&lt;&gt;"",IFERROR(INDEX(ctaLiq,MATCH(G174,ctaNom,0))="Sí",FALSE)),O174,0))</f>
        <v/>
      </c>
      <c r="W174" s="19">
        <f>IF(OR(F174="",I174=""),"",IF(COUNTIFS(F$6:F174,F174,I$6:I174,"?*")=1,MAX(W$5:W173)+1,""))</f>
        <v/>
      </c>
    </row>
    <row r="175">
      <c r="B175" s="15" t="n"/>
      <c r="C175" s="16" t="n"/>
      <c r="D175" s="17" t="n"/>
      <c r="E175" s="17" t="n"/>
      <c r="F175" s="17" t="n"/>
      <c r="G175" s="17" t="n"/>
      <c r="H175" s="18">
        <f>IF(AND(B175="",C175="",D175="",E175=""),"",IF(B175="","⚠ Falta fecha",IF(C175="","⚠ Falta monto",IF(D175="","⚠ Falta categoría",IF(ISNA(MATCH(D175,catNom,0)),"⚠ Categoría no existe",IF(E175="","⚠ Falta cuenta",IF(ISNA(MATCH(E175,ctaNom,0)),"⚠ Cuenta no existe",IF(AND(OR(I175="Transferencia",I175="Pago tarjeta"),G175=""),"⚠ Indica la cuenta «Hacia»",IF(AND(G175&lt;&gt;"",G175=E175),"⚠ «Hacia» igual a la cuenta",IF(AND(G175&lt;&gt;"",ISNA(MATCH(G175,ctaNom,0))),"⚠ «Hacia» no existe",IF(AND(I175="Pago tarjeta",IFERROR(INDEX(ctaTipo,MATCH(G175,ctaNom,0)),"")&lt;&gt;"Tarjeta de crédito"),"⚠ «Hacia» debe ser la tarjeta",IF(AND(I175="Trading",IFERROR(INDEX(ctaTipo,MATCH(E175,ctaNom,0)),"")&lt;&gt;"Cuenta de trading"),"⚠ Usa la cuenta de trading","✓"))))))))))))</f>
        <v/>
      </c>
      <c r="I175" s="19">
        <f>IF(OR(B175="",C175="",D175=""),"",IFERROR(INDEX(catTipo,MATCH(D175,catNom,0))&amp;"",""))</f>
        <v/>
      </c>
      <c r="J175" s="19">
        <f>IF(I175="","",IFERROR(INDEX(catGrupo,MATCH(D175,catNom,0))&amp;"",""))</f>
        <v/>
      </c>
      <c r="K175" s="19">
        <f>IF(I175="Gasto",IF(IFERROR(INDEX(catClas,MATCH(D175,catNom,0))&amp;"","")="","Variable",IFERROR(INDEX(catClas,MATCH(D175,catNom,0))&amp;"","")),"")</f>
        <v/>
      </c>
      <c r="L175" s="19">
        <f>IF(I175="","",IFERROR(INDEX(catAlim,MATCH(D175,catNom,0))&amp;"",""))</f>
        <v/>
      </c>
      <c r="M175" s="19">
        <f>IF(I175="","",IFERROR(INDEX(catComida,MATCH(D175,catNom,0))&amp;"",""))</f>
        <v/>
      </c>
      <c r="N175" s="19">
        <f>IF(I175="","",IFERROR(INDEX(ctaMon,MATCH(E175,ctaNom,0))&amp;"","DOP"))</f>
        <v/>
      </c>
      <c r="O175" s="20">
        <f>IF(I175="","",C175*IF(N175="USD",TasaUSD,1))</f>
        <v/>
      </c>
      <c r="P175" s="20">
        <f>IF(I175="","",IF(I175="Gasto",O175,0))</f>
        <v/>
      </c>
      <c r="Q175" s="20">
        <f>IF(I175="","",IF(I175="Ingreso",O175,0))</f>
        <v/>
      </c>
      <c r="R175" s="20">
        <f>IF(I175="","",IF(I175="Trading",O175,0))</f>
        <v/>
      </c>
      <c r="S175" s="19">
        <f>IF(I175="","",IF(AND(I175="Gasto",K175="Variable",J175&lt;&gt;"Trading",O175&gt;0,O175&lt;=Umbral),1,0))</f>
        <v/>
      </c>
      <c r="T175" s="20">
        <f>IF(OR(I175="",E175=""),"",IF(OR(I175="Gasto",I175="Transferencia",I175="Pago tarjeta"),-1,1)*C175)</f>
        <v/>
      </c>
      <c r="U175" s="20">
        <f>IF(OR(G175="",AND(I175&lt;&gt;"Transferencia",I175&lt;&gt;"Pago tarjeta")),"",IF(IFERROR(INDEX(ctaMon,MATCH(G175,ctaNom,0))&amp;"","DOP")=N175,C175,IF(N175="USD",C175*TasaUSD,C175/TasaUSD)))</f>
        <v/>
      </c>
      <c r="V175" s="20">
        <f>IF(I175="","",IF(IFERROR(INDEX(ctaLiq,MATCH(E175,ctaNom,0))="Sí",FALSE),IF(OR(I175="Gasto",I175="Transferencia",I175="Pago tarjeta"),-1,1)*O175,0)+IF(AND(U175&lt;&gt;"",IFERROR(INDEX(ctaLiq,MATCH(G175,ctaNom,0))="Sí",FALSE)),O175,0))</f>
        <v/>
      </c>
      <c r="W175" s="19">
        <f>IF(OR(F175="",I175=""),"",IF(COUNTIFS(F$6:F175,F175,I$6:I175,"?*")=1,MAX(W$5:W174)+1,""))</f>
        <v/>
      </c>
    </row>
    <row r="176">
      <c r="B176" s="15" t="n"/>
      <c r="C176" s="16" t="n"/>
      <c r="D176" s="17" t="n"/>
      <c r="E176" s="17" t="n"/>
      <c r="F176" s="17" t="n"/>
      <c r="G176" s="17" t="n"/>
      <c r="H176" s="18">
        <f>IF(AND(B176="",C176="",D176="",E176=""),"",IF(B176="","⚠ Falta fecha",IF(C176="","⚠ Falta monto",IF(D176="","⚠ Falta categoría",IF(ISNA(MATCH(D176,catNom,0)),"⚠ Categoría no existe",IF(E176="","⚠ Falta cuenta",IF(ISNA(MATCH(E176,ctaNom,0)),"⚠ Cuenta no existe",IF(AND(OR(I176="Transferencia",I176="Pago tarjeta"),G176=""),"⚠ Indica la cuenta «Hacia»",IF(AND(G176&lt;&gt;"",G176=E176),"⚠ «Hacia» igual a la cuenta",IF(AND(G176&lt;&gt;"",ISNA(MATCH(G176,ctaNom,0))),"⚠ «Hacia» no existe",IF(AND(I176="Pago tarjeta",IFERROR(INDEX(ctaTipo,MATCH(G176,ctaNom,0)),"")&lt;&gt;"Tarjeta de crédito"),"⚠ «Hacia» debe ser la tarjeta",IF(AND(I176="Trading",IFERROR(INDEX(ctaTipo,MATCH(E176,ctaNom,0)),"")&lt;&gt;"Cuenta de trading"),"⚠ Usa la cuenta de trading","✓"))))))))))))</f>
        <v/>
      </c>
      <c r="I176" s="19">
        <f>IF(OR(B176="",C176="",D176=""),"",IFERROR(INDEX(catTipo,MATCH(D176,catNom,0))&amp;"",""))</f>
        <v/>
      </c>
      <c r="J176" s="19">
        <f>IF(I176="","",IFERROR(INDEX(catGrupo,MATCH(D176,catNom,0))&amp;"",""))</f>
        <v/>
      </c>
      <c r="K176" s="19">
        <f>IF(I176="Gasto",IF(IFERROR(INDEX(catClas,MATCH(D176,catNom,0))&amp;"","")="","Variable",IFERROR(INDEX(catClas,MATCH(D176,catNom,0))&amp;"","")),"")</f>
        <v/>
      </c>
      <c r="L176" s="19">
        <f>IF(I176="","",IFERROR(INDEX(catAlim,MATCH(D176,catNom,0))&amp;"",""))</f>
        <v/>
      </c>
      <c r="M176" s="19">
        <f>IF(I176="","",IFERROR(INDEX(catComida,MATCH(D176,catNom,0))&amp;"",""))</f>
        <v/>
      </c>
      <c r="N176" s="19">
        <f>IF(I176="","",IFERROR(INDEX(ctaMon,MATCH(E176,ctaNom,0))&amp;"","DOP"))</f>
        <v/>
      </c>
      <c r="O176" s="20">
        <f>IF(I176="","",C176*IF(N176="USD",TasaUSD,1))</f>
        <v/>
      </c>
      <c r="P176" s="20">
        <f>IF(I176="","",IF(I176="Gasto",O176,0))</f>
        <v/>
      </c>
      <c r="Q176" s="20">
        <f>IF(I176="","",IF(I176="Ingreso",O176,0))</f>
        <v/>
      </c>
      <c r="R176" s="20">
        <f>IF(I176="","",IF(I176="Trading",O176,0))</f>
        <v/>
      </c>
      <c r="S176" s="19">
        <f>IF(I176="","",IF(AND(I176="Gasto",K176="Variable",J176&lt;&gt;"Trading",O176&gt;0,O176&lt;=Umbral),1,0))</f>
        <v/>
      </c>
      <c r="T176" s="20">
        <f>IF(OR(I176="",E176=""),"",IF(OR(I176="Gasto",I176="Transferencia",I176="Pago tarjeta"),-1,1)*C176)</f>
        <v/>
      </c>
      <c r="U176" s="20">
        <f>IF(OR(G176="",AND(I176&lt;&gt;"Transferencia",I176&lt;&gt;"Pago tarjeta")),"",IF(IFERROR(INDEX(ctaMon,MATCH(G176,ctaNom,0))&amp;"","DOP")=N176,C176,IF(N176="USD",C176*TasaUSD,C176/TasaUSD)))</f>
        <v/>
      </c>
      <c r="V176" s="20">
        <f>IF(I176="","",IF(IFERROR(INDEX(ctaLiq,MATCH(E176,ctaNom,0))="Sí",FALSE),IF(OR(I176="Gasto",I176="Transferencia",I176="Pago tarjeta"),-1,1)*O176,0)+IF(AND(U176&lt;&gt;"",IFERROR(INDEX(ctaLiq,MATCH(G176,ctaNom,0))="Sí",FALSE)),O176,0))</f>
        <v/>
      </c>
      <c r="W176" s="19">
        <f>IF(OR(F176="",I176=""),"",IF(COUNTIFS(F$6:F176,F176,I$6:I176,"?*")=1,MAX(W$5:W175)+1,""))</f>
        <v/>
      </c>
    </row>
    <row r="177">
      <c r="B177" s="15" t="n"/>
      <c r="C177" s="16" t="n"/>
      <c r="D177" s="17" t="n"/>
      <c r="E177" s="17" t="n"/>
      <c r="F177" s="17" t="n"/>
      <c r="G177" s="17" t="n"/>
      <c r="H177" s="18">
        <f>IF(AND(B177="",C177="",D177="",E177=""),"",IF(B177="","⚠ Falta fecha",IF(C177="","⚠ Falta monto",IF(D177="","⚠ Falta categoría",IF(ISNA(MATCH(D177,catNom,0)),"⚠ Categoría no existe",IF(E177="","⚠ Falta cuenta",IF(ISNA(MATCH(E177,ctaNom,0)),"⚠ Cuenta no existe",IF(AND(OR(I177="Transferencia",I177="Pago tarjeta"),G177=""),"⚠ Indica la cuenta «Hacia»",IF(AND(G177&lt;&gt;"",G177=E177),"⚠ «Hacia» igual a la cuenta",IF(AND(G177&lt;&gt;"",ISNA(MATCH(G177,ctaNom,0))),"⚠ «Hacia» no existe",IF(AND(I177="Pago tarjeta",IFERROR(INDEX(ctaTipo,MATCH(G177,ctaNom,0)),"")&lt;&gt;"Tarjeta de crédito"),"⚠ «Hacia» debe ser la tarjeta",IF(AND(I177="Trading",IFERROR(INDEX(ctaTipo,MATCH(E177,ctaNom,0)),"")&lt;&gt;"Cuenta de trading"),"⚠ Usa la cuenta de trading","✓"))))))))))))</f>
        <v/>
      </c>
      <c r="I177" s="19">
        <f>IF(OR(B177="",C177="",D177=""),"",IFERROR(INDEX(catTipo,MATCH(D177,catNom,0))&amp;"",""))</f>
        <v/>
      </c>
      <c r="J177" s="19">
        <f>IF(I177="","",IFERROR(INDEX(catGrupo,MATCH(D177,catNom,0))&amp;"",""))</f>
        <v/>
      </c>
      <c r="K177" s="19">
        <f>IF(I177="Gasto",IF(IFERROR(INDEX(catClas,MATCH(D177,catNom,0))&amp;"","")="","Variable",IFERROR(INDEX(catClas,MATCH(D177,catNom,0))&amp;"","")),"")</f>
        <v/>
      </c>
      <c r="L177" s="19">
        <f>IF(I177="","",IFERROR(INDEX(catAlim,MATCH(D177,catNom,0))&amp;"",""))</f>
        <v/>
      </c>
      <c r="M177" s="19">
        <f>IF(I177="","",IFERROR(INDEX(catComida,MATCH(D177,catNom,0))&amp;"",""))</f>
        <v/>
      </c>
      <c r="N177" s="19">
        <f>IF(I177="","",IFERROR(INDEX(ctaMon,MATCH(E177,ctaNom,0))&amp;"","DOP"))</f>
        <v/>
      </c>
      <c r="O177" s="20">
        <f>IF(I177="","",C177*IF(N177="USD",TasaUSD,1))</f>
        <v/>
      </c>
      <c r="P177" s="20">
        <f>IF(I177="","",IF(I177="Gasto",O177,0))</f>
        <v/>
      </c>
      <c r="Q177" s="20">
        <f>IF(I177="","",IF(I177="Ingreso",O177,0))</f>
        <v/>
      </c>
      <c r="R177" s="20">
        <f>IF(I177="","",IF(I177="Trading",O177,0))</f>
        <v/>
      </c>
      <c r="S177" s="19">
        <f>IF(I177="","",IF(AND(I177="Gasto",K177="Variable",J177&lt;&gt;"Trading",O177&gt;0,O177&lt;=Umbral),1,0))</f>
        <v/>
      </c>
      <c r="T177" s="20">
        <f>IF(OR(I177="",E177=""),"",IF(OR(I177="Gasto",I177="Transferencia",I177="Pago tarjeta"),-1,1)*C177)</f>
        <v/>
      </c>
      <c r="U177" s="20">
        <f>IF(OR(G177="",AND(I177&lt;&gt;"Transferencia",I177&lt;&gt;"Pago tarjeta")),"",IF(IFERROR(INDEX(ctaMon,MATCH(G177,ctaNom,0))&amp;"","DOP")=N177,C177,IF(N177="USD",C177*TasaUSD,C177/TasaUSD)))</f>
        <v/>
      </c>
      <c r="V177" s="20">
        <f>IF(I177="","",IF(IFERROR(INDEX(ctaLiq,MATCH(E177,ctaNom,0))="Sí",FALSE),IF(OR(I177="Gasto",I177="Transferencia",I177="Pago tarjeta"),-1,1)*O177,0)+IF(AND(U177&lt;&gt;"",IFERROR(INDEX(ctaLiq,MATCH(G177,ctaNom,0))="Sí",FALSE)),O177,0))</f>
        <v/>
      </c>
      <c r="W177" s="19">
        <f>IF(OR(F177="",I177=""),"",IF(COUNTIFS(F$6:F177,F177,I$6:I177,"?*")=1,MAX(W$5:W176)+1,""))</f>
        <v/>
      </c>
    </row>
    <row r="178">
      <c r="B178" s="15" t="n"/>
      <c r="C178" s="16" t="n"/>
      <c r="D178" s="17" t="n"/>
      <c r="E178" s="17" t="n"/>
      <c r="F178" s="17" t="n"/>
      <c r="G178" s="17" t="n"/>
      <c r="H178" s="18">
        <f>IF(AND(B178="",C178="",D178="",E178=""),"",IF(B178="","⚠ Falta fecha",IF(C178="","⚠ Falta monto",IF(D178="","⚠ Falta categoría",IF(ISNA(MATCH(D178,catNom,0)),"⚠ Categoría no existe",IF(E178="","⚠ Falta cuenta",IF(ISNA(MATCH(E178,ctaNom,0)),"⚠ Cuenta no existe",IF(AND(OR(I178="Transferencia",I178="Pago tarjeta"),G178=""),"⚠ Indica la cuenta «Hacia»",IF(AND(G178&lt;&gt;"",G178=E178),"⚠ «Hacia» igual a la cuenta",IF(AND(G178&lt;&gt;"",ISNA(MATCH(G178,ctaNom,0))),"⚠ «Hacia» no existe",IF(AND(I178="Pago tarjeta",IFERROR(INDEX(ctaTipo,MATCH(G178,ctaNom,0)),"")&lt;&gt;"Tarjeta de crédito"),"⚠ «Hacia» debe ser la tarjeta",IF(AND(I178="Trading",IFERROR(INDEX(ctaTipo,MATCH(E178,ctaNom,0)),"")&lt;&gt;"Cuenta de trading"),"⚠ Usa la cuenta de trading","✓"))))))))))))</f>
        <v/>
      </c>
      <c r="I178" s="19">
        <f>IF(OR(B178="",C178="",D178=""),"",IFERROR(INDEX(catTipo,MATCH(D178,catNom,0))&amp;"",""))</f>
        <v/>
      </c>
      <c r="J178" s="19">
        <f>IF(I178="","",IFERROR(INDEX(catGrupo,MATCH(D178,catNom,0))&amp;"",""))</f>
        <v/>
      </c>
      <c r="K178" s="19">
        <f>IF(I178="Gasto",IF(IFERROR(INDEX(catClas,MATCH(D178,catNom,0))&amp;"","")="","Variable",IFERROR(INDEX(catClas,MATCH(D178,catNom,0))&amp;"","")),"")</f>
        <v/>
      </c>
      <c r="L178" s="19">
        <f>IF(I178="","",IFERROR(INDEX(catAlim,MATCH(D178,catNom,0))&amp;"",""))</f>
        <v/>
      </c>
      <c r="M178" s="19">
        <f>IF(I178="","",IFERROR(INDEX(catComida,MATCH(D178,catNom,0))&amp;"",""))</f>
        <v/>
      </c>
      <c r="N178" s="19">
        <f>IF(I178="","",IFERROR(INDEX(ctaMon,MATCH(E178,ctaNom,0))&amp;"","DOP"))</f>
        <v/>
      </c>
      <c r="O178" s="20">
        <f>IF(I178="","",C178*IF(N178="USD",TasaUSD,1))</f>
        <v/>
      </c>
      <c r="P178" s="20">
        <f>IF(I178="","",IF(I178="Gasto",O178,0))</f>
        <v/>
      </c>
      <c r="Q178" s="20">
        <f>IF(I178="","",IF(I178="Ingreso",O178,0))</f>
        <v/>
      </c>
      <c r="R178" s="20">
        <f>IF(I178="","",IF(I178="Trading",O178,0))</f>
        <v/>
      </c>
      <c r="S178" s="19">
        <f>IF(I178="","",IF(AND(I178="Gasto",K178="Variable",J178&lt;&gt;"Trading",O178&gt;0,O178&lt;=Umbral),1,0))</f>
        <v/>
      </c>
      <c r="T178" s="20">
        <f>IF(OR(I178="",E178=""),"",IF(OR(I178="Gasto",I178="Transferencia",I178="Pago tarjeta"),-1,1)*C178)</f>
        <v/>
      </c>
      <c r="U178" s="20">
        <f>IF(OR(G178="",AND(I178&lt;&gt;"Transferencia",I178&lt;&gt;"Pago tarjeta")),"",IF(IFERROR(INDEX(ctaMon,MATCH(G178,ctaNom,0))&amp;"","DOP")=N178,C178,IF(N178="USD",C178*TasaUSD,C178/TasaUSD)))</f>
        <v/>
      </c>
      <c r="V178" s="20">
        <f>IF(I178="","",IF(IFERROR(INDEX(ctaLiq,MATCH(E178,ctaNom,0))="Sí",FALSE),IF(OR(I178="Gasto",I178="Transferencia",I178="Pago tarjeta"),-1,1)*O178,0)+IF(AND(U178&lt;&gt;"",IFERROR(INDEX(ctaLiq,MATCH(G178,ctaNom,0))="Sí",FALSE)),O178,0))</f>
        <v/>
      </c>
      <c r="W178" s="19">
        <f>IF(OR(F178="",I178=""),"",IF(COUNTIFS(F$6:F178,F178,I$6:I178,"?*")=1,MAX(W$5:W177)+1,""))</f>
        <v/>
      </c>
    </row>
    <row r="179">
      <c r="B179" s="15" t="n"/>
      <c r="C179" s="16" t="n"/>
      <c r="D179" s="17" t="n"/>
      <c r="E179" s="17" t="n"/>
      <c r="F179" s="17" t="n"/>
      <c r="G179" s="17" t="n"/>
      <c r="H179" s="18">
        <f>IF(AND(B179="",C179="",D179="",E179=""),"",IF(B179="","⚠ Falta fecha",IF(C179="","⚠ Falta monto",IF(D179="","⚠ Falta categoría",IF(ISNA(MATCH(D179,catNom,0)),"⚠ Categoría no existe",IF(E179="","⚠ Falta cuenta",IF(ISNA(MATCH(E179,ctaNom,0)),"⚠ Cuenta no existe",IF(AND(OR(I179="Transferencia",I179="Pago tarjeta"),G179=""),"⚠ Indica la cuenta «Hacia»",IF(AND(G179&lt;&gt;"",G179=E179),"⚠ «Hacia» igual a la cuenta",IF(AND(G179&lt;&gt;"",ISNA(MATCH(G179,ctaNom,0))),"⚠ «Hacia» no existe",IF(AND(I179="Pago tarjeta",IFERROR(INDEX(ctaTipo,MATCH(G179,ctaNom,0)),"")&lt;&gt;"Tarjeta de crédito"),"⚠ «Hacia» debe ser la tarjeta",IF(AND(I179="Trading",IFERROR(INDEX(ctaTipo,MATCH(E179,ctaNom,0)),"")&lt;&gt;"Cuenta de trading"),"⚠ Usa la cuenta de trading","✓"))))))))))))</f>
        <v/>
      </c>
      <c r="I179" s="19">
        <f>IF(OR(B179="",C179="",D179=""),"",IFERROR(INDEX(catTipo,MATCH(D179,catNom,0))&amp;"",""))</f>
        <v/>
      </c>
      <c r="J179" s="19">
        <f>IF(I179="","",IFERROR(INDEX(catGrupo,MATCH(D179,catNom,0))&amp;"",""))</f>
        <v/>
      </c>
      <c r="K179" s="19">
        <f>IF(I179="Gasto",IF(IFERROR(INDEX(catClas,MATCH(D179,catNom,0))&amp;"","")="","Variable",IFERROR(INDEX(catClas,MATCH(D179,catNom,0))&amp;"","")),"")</f>
        <v/>
      </c>
      <c r="L179" s="19">
        <f>IF(I179="","",IFERROR(INDEX(catAlim,MATCH(D179,catNom,0))&amp;"",""))</f>
        <v/>
      </c>
      <c r="M179" s="19">
        <f>IF(I179="","",IFERROR(INDEX(catComida,MATCH(D179,catNom,0))&amp;"",""))</f>
        <v/>
      </c>
      <c r="N179" s="19">
        <f>IF(I179="","",IFERROR(INDEX(ctaMon,MATCH(E179,ctaNom,0))&amp;"","DOP"))</f>
        <v/>
      </c>
      <c r="O179" s="20">
        <f>IF(I179="","",C179*IF(N179="USD",TasaUSD,1))</f>
        <v/>
      </c>
      <c r="P179" s="20">
        <f>IF(I179="","",IF(I179="Gasto",O179,0))</f>
        <v/>
      </c>
      <c r="Q179" s="20">
        <f>IF(I179="","",IF(I179="Ingreso",O179,0))</f>
        <v/>
      </c>
      <c r="R179" s="20">
        <f>IF(I179="","",IF(I179="Trading",O179,0))</f>
        <v/>
      </c>
      <c r="S179" s="19">
        <f>IF(I179="","",IF(AND(I179="Gasto",K179="Variable",J179&lt;&gt;"Trading",O179&gt;0,O179&lt;=Umbral),1,0))</f>
        <v/>
      </c>
      <c r="T179" s="20">
        <f>IF(OR(I179="",E179=""),"",IF(OR(I179="Gasto",I179="Transferencia",I179="Pago tarjeta"),-1,1)*C179)</f>
        <v/>
      </c>
      <c r="U179" s="20">
        <f>IF(OR(G179="",AND(I179&lt;&gt;"Transferencia",I179&lt;&gt;"Pago tarjeta")),"",IF(IFERROR(INDEX(ctaMon,MATCH(G179,ctaNom,0))&amp;"","DOP")=N179,C179,IF(N179="USD",C179*TasaUSD,C179/TasaUSD)))</f>
        <v/>
      </c>
      <c r="V179" s="20">
        <f>IF(I179="","",IF(IFERROR(INDEX(ctaLiq,MATCH(E179,ctaNom,0))="Sí",FALSE),IF(OR(I179="Gasto",I179="Transferencia",I179="Pago tarjeta"),-1,1)*O179,0)+IF(AND(U179&lt;&gt;"",IFERROR(INDEX(ctaLiq,MATCH(G179,ctaNom,0))="Sí",FALSE)),O179,0))</f>
        <v/>
      </c>
      <c r="W179" s="19">
        <f>IF(OR(F179="",I179=""),"",IF(COUNTIFS(F$6:F179,F179,I$6:I179,"?*")=1,MAX(W$5:W178)+1,""))</f>
        <v/>
      </c>
    </row>
    <row r="180">
      <c r="B180" s="15" t="n"/>
      <c r="C180" s="16" t="n"/>
      <c r="D180" s="17" t="n"/>
      <c r="E180" s="17" t="n"/>
      <c r="F180" s="17" t="n"/>
      <c r="G180" s="17" t="n"/>
      <c r="H180" s="18">
        <f>IF(AND(B180="",C180="",D180="",E180=""),"",IF(B180="","⚠ Falta fecha",IF(C180="","⚠ Falta monto",IF(D180="","⚠ Falta categoría",IF(ISNA(MATCH(D180,catNom,0)),"⚠ Categoría no existe",IF(E180="","⚠ Falta cuenta",IF(ISNA(MATCH(E180,ctaNom,0)),"⚠ Cuenta no existe",IF(AND(OR(I180="Transferencia",I180="Pago tarjeta"),G180=""),"⚠ Indica la cuenta «Hacia»",IF(AND(G180&lt;&gt;"",G180=E180),"⚠ «Hacia» igual a la cuenta",IF(AND(G180&lt;&gt;"",ISNA(MATCH(G180,ctaNom,0))),"⚠ «Hacia» no existe",IF(AND(I180="Pago tarjeta",IFERROR(INDEX(ctaTipo,MATCH(G180,ctaNom,0)),"")&lt;&gt;"Tarjeta de crédito"),"⚠ «Hacia» debe ser la tarjeta",IF(AND(I180="Trading",IFERROR(INDEX(ctaTipo,MATCH(E180,ctaNom,0)),"")&lt;&gt;"Cuenta de trading"),"⚠ Usa la cuenta de trading","✓"))))))))))))</f>
        <v/>
      </c>
      <c r="I180" s="19">
        <f>IF(OR(B180="",C180="",D180=""),"",IFERROR(INDEX(catTipo,MATCH(D180,catNom,0))&amp;"",""))</f>
        <v/>
      </c>
      <c r="J180" s="19">
        <f>IF(I180="","",IFERROR(INDEX(catGrupo,MATCH(D180,catNom,0))&amp;"",""))</f>
        <v/>
      </c>
      <c r="K180" s="19">
        <f>IF(I180="Gasto",IF(IFERROR(INDEX(catClas,MATCH(D180,catNom,0))&amp;"","")="","Variable",IFERROR(INDEX(catClas,MATCH(D180,catNom,0))&amp;"","")),"")</f>
        <v/>
      </c>
      <c r="L180" s="19">
        <f>IF(I180="","",IFERROR(INDEX(catAlim,MATCH(D180,catNom,0))&amp;"",""))</f>
        <v/>
      </c>
      <c r="M180" s="19">
        <f>IF(I180="","",IFERROR(INDEX(catComida,MATCH(D180,catNom,0))&amp;"",""))</f>
        <v/>
      </c>
      <c r="N180" s="19">
        <f>IF(I180="","",IFERROR(INDEX(ctaMon,MATCH(E180,ctaNom,0))&amp;"","DOP"))</f>
        <v/>
      </c>
      <c r="O180" s="20">
        <f>IF(I180="","",C180*IF(N180="USD",TasaUSD,1))</f>
        <v/>
      </c>
      <c r="P180" s="20">
        <f>IF(I180="","",IF(I180="Gasto",O180,0))</f>
        <v/>
      </c>
      <c r="Q180" s="20">
        <f>IF(I180="","",IF(I180="Ingreso",O180,0))</f>
        <v/>
      </c>
      <c r="R180" s="20">
        <f>IF(I180="","",IF(I180="Trading",O180,0))</f>
        <v/>
      </c>
      <c r="S180" s="19">
        <f>IF(I180="","",IF(AND(I180="Gasto",K180="Variable",J180&lt;&gt;"Trading",O180&gt;0,O180&lt;=Umbral),1,0))</f>
        <v/>
      </c>
      <c r="T180" s="20">
        <f>IF(OR(I180="",E180=""),"",IF(OR(I180="Gasto",I180="Transferencia",I180="Pago tarjeta"),-1,1)*C180)</f>
        <v/>
      </c>
      <c r="U180" s="20">
        <f>IF(OR(G180="",AND(I180&lt;&gt;"Transferencia",I180&lt;&gt;"Pago tarjeta")),"",IF(IFERROR(INDEX(ctaMon,MATCH(G180,ctaNom,0))&amp;"","DOP")=N180,C180,IF(N180="USD",C180*TasaUSD,C180/TasaUSD)))</f>
        <v/>
      </c>
      <c r="V180" s="20">
        <f>IF(I180="","",IF(IFERROR(INDEX(ctaLiq,MATCH(E180,ctaNom,0))="Sí",FALSE),IF(OR(I180="Gasto",I180="Transferencia",I180="Pago tarjeta"),-1,1)*O180,0)+IF(AND(U180&lt;&gt;"",IFERROR(INDEX(ctaLiq,MATCH(G180,ctaNom,0))="Sí",FALSE)),O180,0))</f>
        <v/>
      </c>
      <c r="W180" s="19">
        <f>IF(OR(F180="",I180=""),"",IF(COUNTIFS(F$6:F180,F180,I$6:I180,"?*")=1,MAX(W$5:W179)+1,""))</f>
        <v/>
      </c>
    </row>
    <row r="181">
      <c r="B181" s="15" t="n"/>
      <c r="C181" s="16" t="n"/>
      <c r="D181" s="17" t="n"/>
      <c r="E181" s="17" t="n"/>
      <c r="F181" s="17" t="n"/>
      <c r="G181" s="17" t="n"/>
      <c r="H181" s="18">
        <f>IF(AND(B181="",C181="",D181="",E181=""),"",IF(B181="","⚠ Falta fecha",IF(C181="","⚠ Falta monto",IF(D181="","⚠ Falta categoría",IF(ISNA(MATCH(D181,catNom,0)),"⚠ Categoría no existe",IF(E181="","⚠ Falta cuenta",IF(ISNA(MATCH(E181,ctaNom,0)),"⚠ Cuenta no existe",IF(AND(OR(I181="Transferencia",I181="Pago tarjeta"),G181=""),"⚠ Indica la cuenta «Hacia»",IF(AND(G181&lt;&gt;"",G181=E181),"⚠ «Hacia» igual a la cuenta",IF(AND(G181&lt;&gt;"",ISNA(MATCH(G181,ctaNom,0))),"⚠ «Hacia» no existe",IF(AND(I181="Pago tarjeta",IFERROR(INDEX(ctaTipo,MATCH(G181,ctaNom,0)),"")&lt;&gt;"Tarjeta de crédito"),"⚠ «Hacia» debe ser la tarjeta",IF(AND(I181="Trading",IFERROR(INDEX(ctaTipo,MATCH(E181,ctaNom,0)),"")&lt;&gt;"Cuenta de trading"),"⚠ Usa la cuenta de trading","✓"))))))))))))</f>
        <v/>
      </c>
      <c r="I181" s="19">
        <f>IF(OR(B181="",C181="",D181=""),"",IFERROR(INDEX(catTipo,MATCH(D181,catNom,0))&amp;"",""))</f>
        <v/>
      </c>
      <c r="J181" s="19">
        <f>IF(I181="","",IFERROR(INDEX(catGrupo,MATCH(D181,catNom,0))&amp;"",""))</f>
        <v/>
      </c>
      <c r="K181" s="19">
        <f>IF(I181="Gasto",IF(IFERROR(INDEX(catClas,MATCH(D181,catNom,0))&amp;"","")="","Variable",IFERROR(INDEX(catClas,MATCH(D181,catNom,0))&amp;"","")),"")</f>
        <v/>
      </c>
      <c r="L181" s="19">
        <f>IF(I181="","",IFERROR(INDEX(catAlim,MATCH(D181,catNom,0))&amp;"",""))</f>
        <v/>
      </c>
      <c r="M181" s="19">
        <f>IF(I181="","",IFERROR(INDEX(catComida,MATCH(D181,catNom,0))&amp;"",""))</f>
        <v/>
      </c>
      <c r="N181" s="19">
        <f>IF(I181="","",IFERROR(INDEX(ctaMon,MATCH(E181,ctaNom,0))&amp;"","DOP"))</f>
        <v/>
      </c>
      <c r="O181" s="20">
        <f>IF(I181="","",C181*IF(N181="USD",TasaUSD,1))</f>
        <v/>
      </c>
      <c r="P181" s="20">
        <f>IF(I181="","",IF(I181="Gasto",O181,0))</f>
        <v/>
      </c>
      <c r="Q181" s="20">
        <f>IF(I181="","",IF(I181="Ingreso",O181,0))</f>
        <v/>
      </c>
      <c r="R181" s="20">
        <f>IF(I181="","",IF(I181="Trading",O181,0))</f>
        <v/>
      </c>
      <c r="S181" s="19">
        <f>IF(I181="","",IF(AND(I181="Gasto",K181="Variable",J181&lt;&gt;"Trading",O181&gt;0,O181&lt;=Umbral),1,0))</f>
        <v/>
      </c>
      <c r="T181" s="20">
        <f>IF(OR(I181="",E181=""),"",IF(OR(I181="Gasto",I181="Transferencia",I181="Pago tarjeta"),-1,1)*C181)</f>
        <v/>
      </c>
      <c r="U181" s="20">
        <f>IF(OR(G181="",AND(I181&lt;&gt;"Transferencia",I181&lt;&gt;"Pago tarjeta")),"",IF(IFERROR(INDEX(ctaMon,MATCH(G181,ctaNom,0))&amp;"","DOP")=N181,C181,IF(N181="USD",C181*TasaUSD,C181/TasaUSD)))</f>
        <v/>
      </c>
      <c r="V181" s="20">
        <f>IF(I181="","",IF(IFERROR(INDEX(ctaLiq,MATCH(E181,ctaNom,0))="Sí",FALSE),IF(OR(I181="Gasto",I181="Transferencia",I181="Pago tarjeta"),-1,1)*O181,0)+IF(AND(U181&lt;&gt;"",IFERROR(INDEX(ctaLiq,MATCH(G181,ctaNom,0))="Sí",FALSE)),O181,0))</f>
        <v/>
      </c>
      <c r="W181" s="19">
        <f>IF(OR(F181="",I181=""),"",IF(COUNTIFS(F$6:F181,F181,I$6:I181,"?*")=1,MAX(W$5:W180)+1,""))</f>
        <v/>
      </c>
    </row>
    <row r="182">
      <c r="B182" s="15" t="n"/>
      <c r="C182" s="16" t="n"/>
      <c r="D182" s="17" t="n"/>
      <c r="E182" s="17" t="n"/>
      <c r="F182" s="17" t="n"/>
      <c r="G182" s="17" t="n"/>
      <c r="H182" s="18">
        <f>IF(AND(B182="",C182="",D182="",E182=""),"",IF(B182="","⚠ Falta fecha",IF(C182="","⚠ Falta monto",IF(D182="","⚠ Falta categoría",IF(ISNA(MATCH(D182,catNom,0)),"⚠ Categoría no existe",IF(E182="","⚠ Falta cuenta",IF(ISNA(MATCH(E182,ctaNom,0)),"⚠ Cuenta no existe",IF(AND(OR(I182="Transferencia",I182="Pago tarjeta"),G182=""),"⚠ Indica la cuenta «Hacia»",IF(AND(G182&lt;&gt;"",G182=E182),"⚠ «Hacia» igual a la cuenta",IF(AND(G182&lt;&gt;"",ISNA(MATCH(G182,ctaNom,0))),"⚠ «Hacia» no existe",IF(AND(I182="Pago tarjeta",IFERROR(INDEX(ctaTipo,MATCH(G182,ctaNom,0)),"")&lt;&gt;"Tarjeta de crédito"),"⚠ «Hacia» debe ser la tarjeta",IF(AND(I182="Trading",IFERROR(INDEX(ctaTipo,MATCH(E182,ctaNom,0)),"")&lt;&gt;"Cuenta de trading"),"⚠ Usa la cuenta de trading","✓"))))))))))))</f>
        <v/>
      </c>
      <c r="I182" s="19">
        <f>IF(OR(B182="",C182="",D182=""),"",IFERROR(INDEX(catTipo,MATCH(D182,catNom,0))&amp;"",""))</f>
        <v/>
      </c>
      <c r="J182" s="19">
        <f>IF(I182="","",IFERROR(INDEX(catGrupo,MATCH(D182,catNom,0))&amp;"",""))</f>
        <v/>
      </c>
      <c r="K182" s="19">
        <f>IF(I182="Gasto",IF(IFERROR(INDEX(catClas,MATCH(D182,catNom,0))&amp;"","")="","Variable",IFERROR(INDEX(catClas,MATCH(D182,catNom,0))&amp;"","")),"")</f>
        <v/>
      </c>
      <c r="L182" s="19">
        <f>IF(I182="","",IFERROR(INDEX(catAlim,MATCH(D182,catNom,0))&amp;"",""))</f>
        <v/>
      </c>
      <c r="M182" s="19">
        <f>IF(I182="","",IFERROR(INDEX(catComida,MATCH(D182,catNom,0))&amp;"",""))</f>
        <v/>
      </c>
      <c r="N182" s="19">
        <f>IF(I182="","",IFERROR(INDEX(ctaMon,MATCH(E182,ctaNom,0))&amp;"","DOP"))</f>
        <v/>
      </c>
      <c r="O182" s="20">
        <f>IF(I182="","",C182*IF(N182="USD",TasaUSD,1))</f>
        <v/>
      </c>
      <c r="P182" s="20">
        <f>IF(I182="","",IF(I182="Gasto",O182,0))</f>
        <v/>
      </c>
      <c r="Q182" s="20">
        <f>IF(I182="","",IF(I182="Ingreso",O182,0))</f>
        <v/>
      </c>
      <c r="R182" s="20">
        <f>IF(I182="","",IF(I182="Trading",O182,0))</f>
        <v/>
      </c>
      <c r="S182" s="19">
        <f>IF(I182="","",IF(AND(I182="Gasto",K182="Variable",J182&lt;&gt;"Trading",O182&gt;0,O182&lt;=Umbral),1,0))</f>
        <v/>
      </c>
      <c r="T182" s="20">
        <f>IF(OR(I182="",E182=""),"",IF(OR(I182="Gasto",I182="Transferencia",I182="Pago tarjeta"),-1,1)*C182)</f>
        <v/>
      </c>
      <c r="U182" s="20">
        <f>IF(OR(G182="",AND(I182&lt;&gt;"Transferencia",I182&lt;&gt;"Pago tarjeta")),"",IF(IFERROR(INDEX(ctaMon,MATCH(G182,ctaNom,0))&amp;"","DOP")=N182,C182,IF(N182="USD",C182*TasaUSD,C182/TasaUSD)))</f>
        <v/>
      </c>
      <c r="V182" s="20">
        <f>IF(I182="","",IF(IFERROR(INDEX(ctaLiq,MATCH(E182,ctaNom,0))="Sí",FALSE),IF(OR(I182="Gasto",I182="Transferencia",I182="Pago tarjeta"),-1,1)*O182,0)+IF(AND(U182&lt;&gt;"",IFERROR(INDEX(ctaLiq,MATCH(G182,ctaNom,0))="Sí",FALSE)),O182,0))</f>
        <v/>
      </c>
      <c r="W182" s="19">
        <f>IF(OR(F182="",I182=""),"",IF(COUNTIFS(F$6:F182,F182,I$6:I182,"?*")=1,MAX(W$5:W181)+1,""))</f>
        <v/>
      </c>
    </row>
    <row r="183">
      <c r="B183" s="15" t="n"/>
      <c r="C183" s="16" t="n"/>
      <c r="D183" s="17" t="n"/>
      <c r="E183" s="17" t="n"/>
      <c r="F183" s="17" t="n"/>
      <c r="G183" s="17" t="n"/>
      <c r="H183" s="18">
        <f>IF(AND(B183="",C183="",D183="",E183=""),"",IF(B183="","⚠ Falta fecha",IF(C183="","⚠ Falta monto",IF(D183="","⚠ Falta categoría",IF(ISNA(MATCH(D183,catNom,0)),"⚠ Categoría no existe",IF(E183="","⚠ Falta cuenta",IF(ISNA(MATCH(E183,ctaNom,0)),"⚠ Cuenta no existe",IF(AND(OR(I183="Transferencia",I183="Pago tarjeta"),G183=""),"⚠ Indica la cuenta «Hacia»",IF(AND(G183&lt;&gt;"",G183=E183),"⚠ «Hacia» igual a la cuenta",IF(AND(G183&lt;&gt;"",ISNA(MATCH(G183,ctaNom,0))),"⚠ «Hacia» no existe",IF(AND(I183="Pago tarjeta",IFERROR(INDEX(ctaTipo,MATCH(G183,ctaNom,0)),"")&lt;&gt;"Tarjeta de crédito"),"⚠ «Hacia» debe ser la tarjeta",IF(AND(I183="Trading",IFERROR(INDEX(ctaTipo,MATCH(E183,ctaNom,0)),"")&lt;&gt;"Cuenta de trading"),"⚠ Usa la cuenta de trading","✓"))))))))))))</f>
        <v/>
      </c>
      <c r="I183" s="19">
        <f>IF(OR(B183="",C183="",D183=""),"",IFERROR(INDEX(catTipo,MATCH(D183,catNom,0))&amp;"",""))</f>
        <v/>
      </c>
      <c r="J183" s="19">
        <f>IF(I183="","",IFERROR(INDEX(catGrupo,MATCH(D183,catNom,0))&amp;"",""))</f>
        <v/>
      </c>
      <c r="K183" s="19">
        <f>IF(I183="Gasto",IF(IFERROR(INDEX(catClas,MATCH(D183,catNom,0))&amp;"","")="","Variable",IFERROR(INDEX(catClas,MATCH(D183,catNom,0))&amp;"","")),"")</f>
        <v/>
      </c>
      <c r="L183" s="19">
        <f>IF(I183="","",IFERROR(INDEX(catAlim,MATCH(D183,catNom,0))&amp;"",""))</f>
        <v/>
      </c>
      <c r="M183" s="19">
        <f>IF(I183="","",IFERROR(INDEX(catComida,MATCH(D183,catNom,0))&amp;"",""))</f>
        <v/>
      </c>
      <c r="N183" s="19">
        <f>IF(I183="","",IFERROR(INDEX(ctaMon,MATCH(E183,ctaNom,0))&amp;"","DOP"))</f>
        <v/>
      </c>
      <c r="O183" s="20">
        <f>IF(I183="","",C183*IF(N183="USD",TasaUSD,1))</f>
        <v/>
      </c>
      <c r="P183" s="20">
        <f>IF(I183="","",IF(I183="Gasto",O183,0))</f>
        <v/>
      </c>
      <c r="Q183" s="20">
        <f>IF(I183="","",IF(I183="Ingreso",O183,0))</f>
        <v/>
      </c>
      <c r="R183" s="20">
        <f>IF(I183="","",IF(I183="Trading",O183,0))</f>
        <v/>
      </c>
      <c r="S183" s="19">
        <f>IF(I183="","",IF(AND(I183="Gasto",K183="Variable",J183&lt;&gt;"Trading",O183&gt;0,O183&lt;=Umbral),1,0))</f>
        <v/>
      </c>
      <c r="T183" s="20">
        <f>IF(OR(I183="",E183=""),"",IF(OR(I183="Gasto",I183="Transferencia",I183="Pago tarjeta"),-1,1)*C183)</f>
        <v/>
      </c>
      <c r="U183" s="20">
        <f>IF(OR(G183="",AND(I183&lt;&gt;"Transferencia",I183&lt;&gt;"Pago tarjeta")),"",IF(IFERROR(INDEX(ctaMon,MATCH(G183,ctaNom,0))&amp;"","DOP")=N183,C183,IF(N183="USD",C183*TasaUSD,C183/TasaUSD)))</f>
        <v/>
      </c>
      <c r="V183" s="20">
        <f>IF(I183="","",IF(IFERROR(INDEX(ctaLiq,MATCH(E183,ctaNom,0))="Sí",FALSE),IF(OR(I183="Gasto",I183="Transferencia",I183="Pago tarjeta"),-1,1)*O183,0)+IF(AND(U183&lt;&gt;"",IFERROR(INDEX(ctaLiq,MATCH(G183,ctaNom,0))="Sí",FALSE)),O183,0))</f>
        <v/>
      </c>
      <c r="W183" s="19">
        <f>IF(OR(F183="",I183=""),"",IF(COUNTIFS(F$6:F183,F183,I$6:I183,"?*")=1,MAX(W$5:W182)+1,""))</f>
        <v/>
      </c>
    </row>
    <row r="184">
      <c r="B184" s="15" t="n"/>
      <c r="C184" s="16" t="n"/>
      <c r="D184" s="17" t="n"/>
      <c r="E184" s="17" t="n"/>
      <c r="F184" s="17" t="n"/>
      <c r="G184" s="17" t="n"/>
      <c r="H184" s="18">
        <f>IF(AND(B184="",C184="",D184="",E184=""),"",IF(B184="","⚠ Falta fecha",IF(C184="","⚠ Falta monto",IF(D184="","⚠ Falta categoría",IF(ISNA(MATCH(D184,catNom,0)),"⚠ Categoría no existe",IF(E184="","⚠ Falta cuenta",IF(ISNA(MATCH(E184,ctaNom,0)),"⚠ Cuenta no existe",IF(AND(OR(I184="Transferencia",I184="Pago tarjeta"),G184=""),"⚠ Indica la cuenta «Hacia»",IF(AND(G184&lt;&gt;"",G184=E184),"⚠ «Hacia» igual a la cuenta",IF(AND(G184&lt;&gt;"",ISNA(MATCH(G184,ctaNom,0))),"⚠ «Hacia» no existe",IF(AND(I184="Pago tarjeta",IFERROR(INDEX(ctaTipo,MATCH(G184,ctaNom,0)),"")&lt;&gt;"Tarjeta de crédito"),"⚠ «Hacia» debe ser la tarjeta",IF(AND(I184="Trading",IFERROR(INDEX(ctaTipo,MATCH(E184,ctaNom,0)),"")&lt;&gt;"Cuenta de trading"),"⚠ Usa la cuenta de trading","✓"))))))))))))</f>
        <v/>
      </c>
      <c r="I184" s="19">
        <f>IF(OR(B184="",C184="",D184=""),"",IFERROR(INDEX(catTipo,MATCH(D184,catNom,0))&amp;"",""))</f>
        <v/>
      </c>
      <c r="J184" s="19">
        <f>IF(I184="","",IFERROR(INDEX(catGrupo,MATCH(D184,catNom,0))&amp;"",""))</f>
        <v/>
      </c>
      <c r="K184" s="19">
        <f>IF(I184="Gasto",IF(IFERROR(INDEX(catClas,MATCH(D184,catNom,0))&amp;"","")="","Variable",IFERROR(INDEX(catClas,MATCH(D184,catNom,0))&amp;"","")),"")</f>
        <v/>
      </c>
      <c r="L184" s="19">
        <f>IF(I184="","",IFERROR(INDEX(catAlim,MATCH(D184,catNom,0))&amp;"",""))</f>
        <v/>
      </c>
      <c r="M184" s="19">
        <f>IF(I184="","",IFERROR(INDEX(catComida,MATCH(D184,catNom,0))&amp;"",""))</f>
        <v/>
      </c>
      <c r="N184" s="19">
        <f>IF(I184="","",IFERROR(INDEX(ctaMon,MATCH(E184,ctaNom,0))&amp;"","DOP"))</f>
        <v/>
      </c>
      <c r="O184" s="20">
        <f>IF(I184="","",C184*IF(N184="USD",TasaUSD,1))</f>
        <v/>
      </c>
      <c r="P184" s="20">
        <f>IF(I184="","",IF(I184="Gasto",O184,0))</f>
        <v/>
      </c>
      <c r="Q184" s="20">
        <f>IF(I184="","",IF(I184="Ingreso",O184,0))</f>
        <v/>
      </c>
      <c r="R184" s="20">
        <f>IF(I184="","",IF(I184="Trading",O184,0))</f>
        <v/>
      </c>
      <c r="S184" s="19">
        <f>IF(I184="","",IF(AND(I184="Gasto",K184="Variable",J184&lt;&gt;"Trading",O184&gt;0,O184&lt;=Umbral),1,0))</f>
        <v/>
      </c>
      <c r="T184" s="20">
        <f>IF(OR(I184="",E184=""),"",IF(OR(I184="Gasto",I184="Transferencia",I184="Pago tarjeta"),-1,1)*C184)</f>
        <v/>
      </c>
      <c r="U184" s="20">
        <f>IF(OR(G184="",AND(I184&lt;&gt;"Transferencia",I184&lt;&gt;"Pago tarjeta")),"",IF(IFERROR(INDEX(ctaMon,MATCH(G184,ctaNom,0))&amp;"","DOP")=N184,C184,IF(N184="USD",C184*TasaUSD,C184/TasaUSD)))</f>
        <v/>
      </c>
      <c r="V184" s="20">
        <f>IF(I184="","",IF(IFERROR(INDEX(ctaLiq,MATCH(E184,ctaNom,0))="Sí",FALSE),IF(OR(I184="Gasto",I184="Transferencia",I184="Pago tarjeta"),-1,1)*O184,0)+IF(AND(U184&lt;&gt;"",IFERROR(INDEX(ctaLiq,MATCH(G184,ctaNom,0))="Sí",FALSE)),O184,0))</f>
        <v/>
      </c>
      <c r="W184" s="19">
        <f>IF(OR(F184="",I184=""),"",IF(COUNTIFS(F$6:F184,F184,I$6:I184,"?*")=1,MAX(W$5:W183)+1,""))</f>
        <v/>
      </c>
    </row>
    <row r="185">
      <c r="B185" s="15" t="n"/>
      <c r="C185" s="16" t="n"/>
      <c r="D185" s="17" t="n"/>
      <c r="E185" s="17" t="n"/>
      <c r="F185" s="17" t="n"/>
      <c r="G185" s="17" t="n"/>
      <c r="H185" s="18">
        <f>IF(AND(B185="",C185="",D185="",E185=""),"",IF(B185="","⚠ Falta fecha",IF(C185="","⚠ Falta monto",IF(D185="","⚠ Falta categoría",IF(ISNA(MATCH(D185,catNom,0)),"⚠ Categoría no existe",IF(E185="","⚠ Falta cuenta",IF(ISNA(MATCH(E185,ctaNom,0)),"⚠ Cuenta no existe",IF(AND(OR(I185="Transferencia",I185="Pago tarjeta"),G185=""),"⚠ Indica la cuenta «Hacia»",IF(AND(G185&lt;&gt;"",G185=E185),"⚠ «Hacia» igual a la cuenta",IF(AND(G185&lt;&gt;"",ISNA(MATCH(G185,ctaNom,0))),"⚠ «Hacia» no existe",IF(AND(I185="Pago tarjeta",IFERROR(INDEX(ctaTipo,MATCH(G185,ctaNom,0)),"")&lt;&gt;"Tarjeta de crédito"),"⚠ «Hacia» debe ser la tarjeta",IF(AND(I185="Trading",IFERROR(INDEX(ctaTipo,MATCH(E185,ctaNom,0)),"")&lt;&gt;"Cuenta de trading"),"⚠ Usa la cuenta de trading","✓"))))))))))))</f>
        <v/>
      </c>
      <c r="I185" s="19">
        <f>IF(OR(B185="",C185="",D185=""),"",IFERROR(INDEX(catTipo,MATCH(D185,catNom,0))&amp;"",""))</f>
        <v/>
      </c>
      <c r="J185" s="19">
        <f>IF(I185="","",IFERROR(INDEX(catGrupo,MATCH(D185,catNom,0))&amp;"",""))</f>
        <v/>
      </c>
      <c r="K185" s="19">
        <f>IF(I185="Gasto",IF(IFERROR(INDEX(catClas,MATCH(D185,catNom,0))&amp;"","")="","Variable",IFERROR(INDEX(catClas,MATCH(D185,catNom,0))&amp;"","")),"")</f>
        <v/>
      </c>
      <c r="L185" s="19">
        <f>IF(I185="","",IFERROR(INDEX(catAlim,MATCH(D185,catNom,0))&amp;"",""))</f>
        <v/>
      </c>
      <c r="M185" s="19">
        <f>IF(I185="","",IFERROR(INDEX(catComida,MATCH(D185,catNom,0))&amp;"",""))</f>
        <v/>
      </c>
      <c r="N185" s="19">
        <f>IF(I185="","",IFERROR(INDEX(ctaMon,MATCH(E185,ctaNom,0))&amp;"","DOP"))</f>
        <v/>
      </c>
      <c r="O185" s="20">
        <f>IF(I185="","",C185*IF(N185="USD",TasaUSD,1))</f>
        <v/>
      </c>
      <c r="P185" s="20">
        <f>IF(I185="","",IF(I185="Gasto",O185,0))</f>
        <v/>
      </c>
      <c r="Q185" s="20">
        <f>IF(I185="","",IF(I185="Ingreso",O185,0))</f>
        <v/>
      </c>
      <c r="R185" s="20">
        <f>IF(I185="","",IF(I185="Trading",O185,0))</f>
        <v/>
      </c>
      <c r="S185" s="19">
        <f>IF(I185="","",IF(AND(I185="Gasto",K185="Variable",J185&lt;&gt;"Trading",O185&gt;0,O185&lt;=Umbral),1,0))</f>
        <v/>
      </c>
      <c r="T185" s="20">
        <f>IF(OR(I185="",E185=""),"",IF(OR(I185="Gasto",I185="Transferencia",I185="Pago tarjeta"),-1,1)*C185)</f>
        <v/>
      </c>
      <c r="U185" s="20">
        <f>IF(OR(G185="",AND(I185&lt;&gt;"Transferencia",I185&lt;&gt;"Pago tarjeta")),"",IF(IFERROR(INDEX(ctaMon,MATCH(G185,ctaNom,0))&amp;"","DOP")=N185,C185,IF(N185="USD",C185*TasaUSD,C185/TasaUSD)))</f>
        <v/>
      </c>
      <c r="V185" s="20">
        <f>IF(I185="","",IF(IFERROR(INDEX(ctaLiq,MATCH(E185,ctaNom,0))="Sí",FALSE),IF(OR(I185="Gasto",I185="Transferencia",I185="Pago tarjeta"),-1,1)*O185,0)+IF(AND(U185&lt;&gt;"",IFERROR(INDEX(ctaLiq,MATCH(G185,ctaNom,0))="Sí",FALSE)),O185,0))</f>
        <v/>
      </c>
      <c r="W185" s="19">
        <f>IF(OR(F185="",I185=""),"",IF(COUNTIFS(F$6:F185,F185,I$6:I185,"?*")=1,MAX(W$5:W184)+1,""))</f>
        <v/>
      </c>
    </row>
    <row r="186">
      <c r="B186" s="15" t="n"/>
      <c r="C186" s="16" t="n"/>
      <c r="D186" s="17" t="n"/>
      <c r="E186" s="17" t="n"/>
      <c r="F186" s="17" t="n"/>
      <c r="G186" s="17" t="n"/>
      <c r="H186" s="18">
        <f>IF(AND(B186="",C186="",D186="",E186=""),"",IF(B186="","⚠ Falta fecha",IF(C186="","⚠ Falta monto",IF(D186="","⚠ Falta categoría",IF(ISNA(MATCH(D186,catNom,0)),"⚠ Categoría no existe",IF(E186="","⚠ Falta cuenta",IF(ISNA(MATCH(E186,ctaNom,0)),"⚠ Cuenta no existe",IF(AND(OR(I186="Transferencia",I186="Pago tarjeta"),G186=""),"⚠ Indica la cuenta «Hacia»",IF(AND(G186&lt;&gt;"",G186=E186),"⚠ «Hacia» igual a la cuenta",IF(AND(G186&lt;&gt;"",ISNA(MATCH(G186,ctaNom,0))),"⚠ «Hacia» no existe",IF(AND(I186="Pago tarjeta",IFERROR(INDEX(ctaTipo,MATCH(G186,ctaNom,0)),"")&lt;&gt;"Tarjeta de crédito"),"⚠ «Hacia» debe ser la tarjeta",IF(AND(I186="Trading",IFERROR(INDEX(ctaTipo,MATCH(E186,ctaNom,0)),"")&lt;&gt;"Cuenta de trading"),"⚠ Usa la cuenta de trading","✓"))))))))))))</f>
        <v/>
      </c>
      <c r="I186" s="19">
        <f>IF(OR(B186="",C186="",D186=""),"",IFERROR(INDEX(catTipo,MATCH(D186,catNom,0))&amp;"",""))</f>
        <v/>
      </c>
      <c r="J186" s="19">
        <f>IF(I186="","",IFERROR(INDEX(catGrupo,MATCH(D186,catNom,0))&amp;"",""))</f>
        <v/>
      </c>
      <c r="K186" s="19">
        <f>IF(I186="Gasto",IF(IFERROR(INDEX(catClas,MATCH(D186,catNom,0))&amp;"","")="","Variable",IFERROR(INDEX(catClas,MATCH(D186,catNom,0))&amp;"","")),"")</f>
        <v/>
      </c>
      <c r="L186" s="19">
        <f>IF(I186="","",IFERROR(INDEX(catAlim,MATCH(D186,catNom,0))&amp;"",""))</f>
        <v/>
      </c>
      <c r="M186" s="19">
        <f>IF(I186="","",IFERROR(INDEX(catComida,MATCH(D186,catNom,0))&amp;"",""))</f>
        <v/>
      </c>
      <c r="N186" s="19">
        <f>IF(I186="","",IFERROR(INDEX(ctaMon,MATCH(E186,ctaNom,0))&amp;"","DOP"))</f>
        <v/>
      </c>
      <c r="O186" s="20">
        <f>IF(I186="","",C186*IF(N186="USD",TasaUSD,1))</f>
        <v/>
      </c>
      <c r="P186" s="20">
        <f>IF(I186="","",IF(I186="Gasto",O186,0))</f>
        <v/>
      </c>
      <c r="Q186" s="20">
        <f>IF(I186="","",IF(I186="Ingreso",O186,0))</f>
        <v/>
      </c>
      <c r="R186" s="20">
        <f>IF(I186="","",IF(I186="Trading",O186,0))</f>
        <v/>
      </c>
      <c r="S186" s="19">
        <f>IF(I186="","",IF(AND(I186="Gasto",K186="Variable",J186&lt;&gt;"Trading",O186&gt;0,O186&lt;=Umbral),1,0))</f>
        <v/>
      </c>
      <c r="T186" s="20">
        <f>IF(OR(I186="",E186=""),"",IF(OR(I186="Gasto",I186="Transferencia",I186="Pago tarjeta"),-1,1)*C186)</f>
        <v/>
      </c>
      <c r="U186" s="20">
        <f>IF(OR(G186="",AND(I186&lt;&gt;"Transferencia",I186&lt;&gt;"Pago tarjeta")),"",IF(IFERROR(INDEX(ctaMon,MATCH(G186,ctaNom,0))&amp;"","DOP")=N186,C186,IF(N186="USD",C186*TasaUSD,C186/TasaUSD)))</f>
        <v/>
      </c>
      <c r="V186" s="20">
        <f>IF(I186="","",IF(IFERROR(INDEX(ctaLiq,MATCH(E186,ctaNom,0))="Sí",FALSE),IF(OR(I186="Gasto",I186="Transferencia",I186="Pago tarjeta"),-1,1)*O186,0)+IF(AND(U186&lt;&gt;"",IFERROR(INDEX(ctaLiq,MATCH(G186,ctaNom,0))="Sí",FALSE)),O186,0))</f>
        <v/>
      </c>
      <c r="W186" s="19">
        <f>IF(OR(F186="",I186=""),"",IF(COUNTIFS(F$6:F186,F186,I$6:I186,"?*")=1,MAX(W$5:W185)+1,""))</f>
        <v/>
      </c>
    </row>
    <row r="187">
      <c r="B187" s="15" t="n"/>
      <c r="C187" s="16" t="n"/>
      <c r="D187" s="17" t="n"/>
      <c r="E187" s="17" t="n"/>
      <c r="F187" s="17" t="n"/>
      <c r="G187" s="17" t="n"/>
      <c r="H187" s="18">
        <f>IF(AND(B187="",C187="",D187="",E187=""),"",IF(B187="","⚠ Falta fecha",IF(C187="","⚠ Falta monto",IF(D187="","⚠ Falta categoría",IF(ISNA(MATCH(D187,catNom,0)),"⚠ Categoría no existe",IF(E187="","⚠ Falta cuenta",IF(ISNA(MATCH(E187,ctaNom,0)),"⚠ Cuenta no existe",IF(AND(OR(I187="Transferencia",I187="Pago tarjeta"),G187=""),"⚠ Indica la cuenta «Hacia»",IF(AND(G187&lt;&gt;"",G187=E187),"⚠ «Hacia» igual a la cuenta",IF(AND(G187&lt;&gt;"",ISNA(MATCH(G187,ctaNom,0))),"⚠ «Hacia» no existe",IF(AND(I187="Pago tarjeta",IFERROR(INDEX(ctaTipo,MATCH(G187,ctaNom,0)),"")&lt;&gt;"Tarjeta de crédito"),"⚠ «Hacia» debe ser la tarjeta",IF(AND(I187="Trading",IFERROR(INDEX(ctaTipo,MATCH(E187,ctaNom,0)),"")&lt;&gt;"Cuenta de trading"),"⚠ Usa la cuenta de trading","✓"))))))))))))</f>
        <v/>
      </c>
      <c r="I187" s="19">
        <f>IF(OR(B187="",C187="",D187=""),"",IFERROR(INDEX(catTipo,MATCH(D187,catNom,0))&amp;"",""))</f>
        <v/>
      </c>
      <c r="J187" s="19">
        <f>IF(I187="","",IFERROR(INDEX(catGrupo,MATCH(D187,catNom,0))&amp;"",""))</f>
        <v/>
      </c>
      <c r="K187" s="19">
        <f>IF(I187="Gasto",IF(IFERROR(INDEX(catClas,MATCH(D187,catNom,0))&amp;"","")="","Variable",IFERROR(INDEX(catClas,MATCH(D187,catNom,0))&amp;"","")),"")</f>
        <v/>
      </c>
      <c r="L187" s="19">
        <f>IF(I187="","",IFERROR(INDEX(catAlim,MATCH(D187,catNom,0))&amp;"",""))</f>
        <v/>
      </c>
      <c r="M187" s="19">
        <f>IF(I187="","",IFERROR(INDEX(catComida,MATCH(D187,catNom,0))&amp;"",""))</f>
        <v/>
      </c>
      <c r="N187" s="19">
        <f>IF(I187="","",IFERROR(INDEX(ctaMon,MATCH(E187,ctaNom,0))&amp;"","DOP"))</f>
        <v/>
      </c>
      <c r="O187" s="20">
        <f>IF(I187="","",C187*IF(N187="USD",TasaUSD,1))</f>
        <v/>
      </c>
      <c r="P187" s="20">
        <f>IF(I187="","",IF(I187="Gasto",O187,0))</f>
        <v/>
      </c>
      <c r="Q187" s="20">
        <f>IF(I187="","",IF(I187="Ingreso",O187,0))</f>
        <v/>
      </c>
      <c r="R187" s="20">
        <f>IF(I187="","",IF(I187="Trading",O187,0))</f>
        <v/>
      </c>
      <c r="S187" s="19">
        <f>IF(I187="","",IF(AND(I187="Gasto",K187="Variable",J187&lt;&gt;"Trading",O187&gt;0,O187&lt;=Umbral),1,0))</f>
        <v/>
      </c>
      <c r="T187" s="20">
        <f>IF(OR(I187="",E187=""),"",IF(OR(I187="Gasto",I187="Transferencia",I187="Pago tarjeta"),-1,1)*C187)</f>
        <v/>
      </c>
      <c r="U187" s="20">
        <f>IF(OR(G187="",AND(I187&lt;&gt;"Transferencia",I187&lt;&gt;"Pago tarjeta")),"",IF(IFERROR(INDEX(ctaMon,MATCH(G187,ctaNom,0))&amp;"","DOP")=N187,C187,IF(N187="USD",C187*TasaUSD,C187/TasaUSD)))</f>
        <v/>
      </c>
      <c r="V187" s="20">
        <f>IF(I187="","",IF(IFERROR(INDEX(ctaLiq,MATCH(E187,ctaNom,0))="Sí",FALSE),IF(OR(I187="Gasto",I187="Transferencia",I187="Pago tarjeta"),-1,1)*O187,0)+IF(AND(U187&lt;&gt;"",IFERROR(INDEX(ctaLiq,MATCH(G187,ctaNom,0))="Sí",FALSE)),O187,0))</f>
        <v/>
      </c>
      <c r="W187" s="19">
        <f>IF(OR(F187="",I187=""),"",IF(COUNTIFS(F$6:F187,F187,I$6:I187,"?*")=1,MAX(W$5:W186)+1,""))</f>
        <v/>
      </c>
    </row>
    <row r="188">
      <c r="B188" s="15" t="n"/>
      <c r="C188" s="16" t="n"/>
      <c r="D188" s="17" t="n"/>
      <c r="E188" s="17" t="n"/>
      <c r="F188" s="17" t="n"/>
      <c r="G188" s="17" t="n"/>
      <c r="H188" s="18">
        <f>IF(AND(B188="",C188="",D188="",E188=""),"",IF(B188="","⚠ Falta fecha",IF(C188="","⚠ Falta monto",IF(D188="","⚠ Falta categoría",IF(ISNA(MATCH(D188,catNom,0)),"⚠ Categoría no existe",IF(E188="","⚠ Falta cuenta",IF(ISNA(MATCH(E188,ctaNom,0)),"⚠ Cuenta no existe",IF(AND(OR(I188="Transferencia",I188="Pago tarjeta"),G188=""),"⚠ Indica la cuenta «Hacia»",IF(AND(G188&lt;&gt;"",G188=E188),"⚠ «Hacia» igual a la cuenta",IF(AND(G188&lt;&gt;"",ISNA(MATCH(G188,ctaNom,0))),"⚠ «Hacia» no existe",IF(AND(I188="Pago tarjeta",IFERROR(INDEX(ctaTipo,MATCH(G188,ctaNom,0)),"")&lt;&gt;"Tarjeta de crédito"),"⚠ «Hacia» debe ser la tarjeta",IF(AND(I188="Trading",IFERROR(INDEX(ctaTipo,MATCH(E188,ctaNom,0)),"")&lt;&gt;"Cuenta de trading"),"⚠ Usa la cuenta de trading","✓"))))))))))))</f>
        <v/>
      </c>
      <c r="I188" s="19">
        <f>IF(OR(B188="",C188="",D188=""),"",IFERROR(INDEX(catTipo,MATCH(D188,catNom,0))&amp;"",""))</f>
        <v/>
      </c>
      <c r="J188" s="19">
        <f>IF(I188="","",IFERROR(INDEX(catGrupo,MATCH(D188,catNom,0))&amp;"",""))</f>
        <v/>
      </c>
      <c r="K188" s="19">
        <f>IF(I188="Gasto",IF(IFERROR(INDEX(catClas,MATCH(D188,catNom,0))&amp;"","")="","Variable",IFERROR(INDEX(catClas,MATCH(D188,catNom,0))&amp;"","")),"")</f>
        <v/>
      </c>
      <c r="L188" s="19">
        <f>IF(I188="","",IFERROR(INDEX(catAlim,MATCH(D188,catNom,0))&amp;"",""))</f>
        <v/>
      </c>
      <c r="M188" s="19">
        <f>IF(I188="","",IFERROR(INDEX(catComida,MATCH(D188,catNom,0))&amp;"",""))</f>
        <v/>
      </c>
      <c r="N188" s="19">
        <f>IF(I188="","",IFERROR(INDEX(ctaMon,MATCH(E188,ctaNom,0))&amp;"","DOP"))</f>
        <v/>
      </c>
      <c r="O188" s="20">
        <f>IF(I188="","",C188*IF(N188="USD",TasaUSD,1))</f>
        <v/>
      </c>
      <c r="P188" s="20">
        <f>IF(I188="","",IF(I188="Gasto",O188,0))</f>
        <v/>
      </c>
      <c r="Q188" s="20">
        <f>IF(I188="","",IF(I188="Ingreso",O188,0))</f>
        <v/>
      </c>
      <c r="R188" s="20">
        <f>IF(I188="","",IF(I188="Trading",O188,0))</f>
        <v/>
      </c>
      <c r="S188" s="19">
        <f>IF(I188="","",IF(AND(I188="Gasto",K188="Variable",J188&lt;&gt;"Trading",O188&gt;0,O188&lt;=Umbral),1,0))</f>
        <v/>
      </c>
      <c r="T188" s="20">
        <f>IF(OR(I188="",E188=""),"",IF(OR(I188="Gasto",I188="Transferencia",I188="Pago tarjeta"),-1,1)*C188)</f>
        <v/>
      </c>
      <c r="U188" s="20">
        <f>IF(OR(G188="",AND(I188&lt;&gt;"Transferencia",I188&lt;&gt;"Pago tarjeta")),"",IF(IFERROR(INDEX(ctaMon,MATCH(G188,ctaNom,0))&amp;"","DOP")=N188,C188,IF(N188="USD",C188*TasaUSD,C188/TasaUSD)))</f>
        <v/>
      </c>
      <c r="V188" s="20">
        <f>IF(I188="","",IF(IFERROR(INDEX(ctaLiq,MATCH(E188,ctaNom,0))="Sí",FALSE),IF(OR(I188="Gasto",I188="Transferencia",I188="Pago tarjeta"),-1,1)*O188,0)+IF(AND(U188&lt;&gt;"",IFERROR(INDEX(ctaLiq,MATCH(G188,ctaNom,0))="Sí",FALSE)),O188,0))</f>
        <v/>
      </c>
      <c r="W188" s="19">
        <f>IF(OR(F188="",I188=""),"",IF(COUNTIFS(F$6:F188,F188,I$6:I188,"?*")=1,MAX(W$5:W187)+1,""))</f>
        <v/>
      </c>
    </row>
    <row r="189">
      <c r="B189" s="15" t="n"/>
      <c r="C189" s="16" t="n"/>
      <c r="D189" s="17" t="n"/>
      <c r="E189" s="17" t="n"/>
      <c r="F189" s="17" t="n"/>
      <c r="G189" s="17" t="n"/>
      <c r="H189" s="18">
        <f>IF(AND(B189="",C189="",D189="",E189=""),"",IF(B189="","⚠ Falta fecha",IF(C189="","⚠ Falta monto",IF(D189="","⚠ Falta categoría",IF(ISNA(MATCH(D189,catNom,0)),"⚠ Categoría no existe",IF(E189="","⚠ Falta cuenta",IF(ISNA(MATCH(E189,ctaNom,0)),"⚠ Cuenta no existe",IF(AND(OR(I189="Transferencia",I189="Pago tarjeta"),G189=""),"⚠ Indica la cuenta «Hacia»",IF(AND(G189&lt;&gt;"",G189=E189),"⚠ «Hacia» igual a la cuenta",IF(AND(G189&lt;&gt;"",ISNA(MATCH(G189,ctaNom,0))),"⚠ «Hacia» no existe",IF(AND(I189="Pago tarjeta",IFERROR(INDEX(ctaTipo,MATCH(G189,ctaNom,0)),"")&lt;&gt;"Tarjeta de crédito"),"⚠ «Hacia» debe ser la tarjeta",IF(AND(I189="Trading",IFERROR(INDEX(ctaTipo,MATCH(E189,ctaNom,0)),"")&lt;&gt;"Cuenta de trading"),"⚠ Usa la cuenta de trading","✓"))))))))))))</f>
        <v/>
      </c>
      <c r="I189" s="19">
        <f>IF(OR(B189="",C189="",D189=""),"",IFERROR(INDEX(catTipo,MATCH(D189,catNom,0))&amp;"",""))</f>
        <v/>
      </c>
      <c r="J189" s="19">
        <f>IF(I189="","",IFERROR(INDEX(catGrupo,MATCH(D189,catNom,0))&amp;"",""))</f>
        <v/>
      </c>
      <c r="K189" s="19">
        <f>IF(I189="Gasto",IF(IFERROR(INDEX(catClas,MATCH(D189,catNom,0))&amp;"","")="","Variable",IFERROR(INDEX(catClas,MATCH(D189,catNom,0))&amp;"","")),"")</f>
        <v/>
      </c>
      <c r="L189" s="19">
        <f>IF(I189="","",IFERROR(INDEX(catAlim,MATCH(D189,catNom,0))&amp;"",""))</f>
        <v/>
      </c>
      <c r="M189" s="19">
        <f>IF(I189="","",IFERROR(INDEX(catComida,MATCH(D189,catNom,0))&amp;"",""))</f>
        <v/>
      </c>
      <c r="N189" s="19">
        <f>IF(I189="","",IFERROR(INDEX(ctaMon,MATCH(E189,ctaNom,0))&amp;"","DOP"))</f>
        <v/>
      </c>
      <c r="O189" s="20">
        <f>IF(I189="","",C189*IF(N189="USD",TasaUSD,1))</f>
        <v/>
      </c>
      <c r="P189" s="20">
        <f>IF(I189="","",IF(I189="Gasto",O189,0))</f>
        <v/>
      </c>
      <c r="Q189" s="20">
        <f>IF(I189="","",IF(I189="Ingreso",O189,0))</f>
        <v/>
      </c>
      <c r="R189" s="20">
        <f>IF(I189="","",IF(I189="Trading",O189,0))</f>
        <v/>
      </c>
      <c r="S189" s="19">
        <f>IF(I189="","",IF(AND(I189="Gasto",K189="Variable",J189&lt;&gt;"Trading",O189&gt;0,O189&lt;=Umbral),1,0))</f>
        <v/>
      </c>
      <c r="T189" s="20">
        <f>IF(OR(I189="",E189=""),"",IF(OR(I189="Gasto",I189="Transferencia",I189="Pago tarjeta"),-1,1)*C189)</f>
        <v/>
      </c>
      <c r="U189" s="20">
        <f>IF(OR(G189="",AND(I189&lt;&gt;"Transferencia",I189&lt;&gt;"Pago tarjeta")),"",IF(IFERROR(INDEX(ctaMon,MATCH(G189,ctaNom,0))&amp;"","DOP")=N189,C189,IF(N189="USD",C189*TasaUSD,C189/TasaUSD)))</f>
        <v/>
      </c>
      <c r="V189" s="20">
        <f>IF(I189="","",IF(IFERROR(INDEX(ctaLiq,MATCH(E189,ctaNom,0))="Sí",FALSE),IF(OR(I189="Gasto",I189="Transferencia",I189="Pago tarjeta"),-1,1)*O189,0)+IF(AND(U189&lt;&gt;"",IFERROR(INDEX(ctaLiq,MATCH(G189,ctaNom,0))="Sí",FALSE)),O189,0))</f>
        <v/>
      </c>
      <c r="W189" s="19">
        <f>IF(OR(F189="",I189=""),"",IF(COUNTIFS(F$6:F189,F189,I$6:I189,"?*")=1,MAX(W$5:W188)+1,""))</f>
        <v/>
      </c>
    </row>
    <row r="190">
      <c r="B190" s="15" t="n"/>
      <c r="C190" s="16" t="n"/>
      <c r="D190" s="17" t="n"/>
      <c r="E190" s="17" t="n"/>
      <c r="F190" s="17" t="n"/>
      <c r="G190" s="17" t="n"/>
      <c r="H190" s="18">
        <f>IF(AND(B190="",C190="",D190="",E190=""),"",IF(B190="","⚠ Falta fecha",IF(C190="","⚠ Falta monto",IF(D190="","⚠ Falta categoría",IF(ISNA(MATCH(D190,catNom,0)),"⚠ Categoría no existe",IF(E190="","⚠ Falta cuenta",IF(ISNA(MATCH(E190,ctaNom,0)),"⚠ Cuenta no existe",IF(AND(OR(I190="Transferencia",I190="Pago tarjeta"),G190=""),"⚠ Indica la cuenta «Hacia»",IF(AND(G190&lt;&gt;"",G190=E190),"⚠ «Hacia» igual a la cuenta",IF(AND(G190&lt;&gt;"",ISNA(MATCH(G190,ctaNom,0))),"⚠ «Hacia» no existe",IF(AND(I190="Pago tarjeta",IFERROR(INDEX(ctaTipo,MATCH(G190,ctaNom,0)),"")&lt;&gt;"Tarjeta de crédito"),"⚠ «Hacia» debe ser la tarjeta",IF(AND(I190="Trading",IFERROR(INDEX(ctaTipo,MATCH(E190,ctaNom,0)),"")&lt;&gt;"Cuenta de trading"),"⚠ Usa la cuenta de trading","✓"))))))))))))</f>
        <v/>
      </c>
      <c r="I190" s="19">
        <f>IF(OR(B190="",C190="",D190=""),"",IFERROR(INDEX(catTipo,MATCH(D190,catNom,0))&amp;"",""))</f>
        <v/>
      </c>
      <c r="J190" s="19">
        <f>IF(I190="","",IFERROR(INDEX(catGrupo,MATCH(D190,catNom,0))&amp;"",""))</f>
        <v/>
      </c>
      <c r="K190" s="19">
        <f>IF(I190="Gasto",IF(IFERROR(INDEX(catClas,MATCH(D190,catNom,0))&amp;"","")="","Variable",IFERROR(INDEX(catClas,MATCH(D190,catNom,0))&amp;"","")),"")</f>
        <v/>
      </c>
      <c r="L190" s="19">
        <f>IF(I190="","",IFERROR(INDEX(catAlim,MATCH(D190,catNom,0))&amp;"",""))</f>
        <v/>
      </c>
      <c r="M190" s="19">
        <f>IF(I190="","",IFERROR(INDEX(catComida,MATCH(D190,catNom,0))&amp;"",""))</f>
        <v/>
      </c>
      <c r="N190" s="19">
        <f>IF(I190="","",IFERROR(INDEX(ctaMon,MATCH(E190,ctaNom,0))&amp;"","DOP"))</f>
        <v/>
      </c>
      <c r="O190" s="20">
        <f>IF(I190="","",C190*IF(N190="USD",TasaUSD,1))</f>
        <v/>
      </c>
      <c r="P190" s="20">
        <f>IF(I190="","",IF(I190="Gasto",O190,0))</f>
        <v/>
      </c>
      <c r="Q190" s="20">
        <f>IF(I190="","",IF(I190="Ingreso",O190,0))</f>
        <v/>
      </c>
      <c r="R190" s="20">
        <f>IF(I190="","",IF(I190="Trading",O190,0))</f>
        <v/>
      </c>
      <c r="S190" s="19">
        <f>IF(I190="","",IF(AND(I190="Gasto",K190="Variable",J190&lt;&gt;"Trading",O190&gt;0,O190&lt;=Umbral),1,0))</f>
        <v/>
      </c>
      <c r="T190" s="20">
        <f>IF(OR(I190="",E190=""),"",IF(OR(I190="Gasto",I190="Transferencia",I190="Pago tarjeta"),-1,1)*C190)</f>
        <v/>
      </c>
      <c r="U190" s="20">
        <f>IF(OR(G190="",AND(I190&lt;&gt;"Transferencia",I190&lt;&gt;"Pago tarjeta")),"",IF(IFERROR(INDEX(ctaMon,MATCH(G190,ctaNom,0))&amp;"","DOP")=N190,C190,IF(N190="USD",C190*TasaUSD,C190/TasaUSD)))</f>
        <v/>
      </c>
      <c r="V190" s="20">
        <f>IF(I190="","",IF(IFERROR(INDEX(ctaLiq,MATCH(E190,ctaNom,0))="Sí",FALSE),IF(OR(I190="Gasto",I190="Transferencia",I190="Pago tarjeta"),-1,1)*O190,0)+IF(AND(U190&lt;&gt;"",IFERROR(INDEX(ctaLiq,MATCH(G190,ctaNom,0))="Sí",FALSE)),O190,0))</f>
        <v/>
      </c>
      <c r="W190" s="19">
        <f>IF(OR(F190="",I190=""),"",IF(COUNTIFS(F$6:F190,F190,I$6:I190,"?*")=1,MAX(W$5:W189)+1,""))</f>
        <v/>
      </c>
    </row>
    <row r="191">
      <c r="B191" s="15" t="n"/>
      <c r="C191" s="16" t="n"/>
      <c r="D191" s="17" t="n"/>
      <c r="E191" s="17" t="n"/>
      <c r="F191" s="17" t="n"/>
      <c r="G191" s="17" t="n"/>
      <c r="H191" s="18">
        <f>IF(AND(B191="",C191="",D191="",E191=""),"",IF(B191="","⚠ Falta fecha",IF(C191="","⚠ Falta monto",IF(D191="","⚠ Falta categoría",IF(ISNA(MATCH(D191,catNom,0)),"⚠ Categoría no existe",IF(E191="","⚠ Falta cuenta",IF(ISNA(MATCH(E191,ctaNom,0)),"⚠ Cuenta no existe",IF(AND(OR(I191="Transferencia",I191="Pago tarjeta"),G191=""),"⚠ Indica la cuenta «Hacia»",IF(AND(G191&lt;&gt;"",G191=E191),"⚠ «Hacia» igual a la cuenta",IF(AND(G191&lt;&gt;"",ISNA(MATCH(G191,ctaNom,0))),"⚠ «Hacia» no existe",IF(AND(I191="Pago tarjeta",IFERROR(INDEX(ctaTipo,MATCH(G191,ctaNom,0)),"")&lt;&gt;"Tarjeta de crédito"),"⚠ «Hacia» debe ser la tarjeta",IF(AND(I191="Trading",IFERROR(INDEX(ctaTipo,MATCH(E191,ctaNom,0)),"")&lt;&gt;"Cuenta de trading"),"⚠ Usa la cuenta de trading","✓"))))))))))))</f>
        <v/>
      </c>
      <c r="I191" s="19">
        <f>IF(OR(B191="",C191="",D191=""),"",IFERROR(INDEX(catTipo,MATCH(D191,catNom,0))&amp;"",""))</f>
        <v/>
      </c>
      <c r="J191" s="19">
        <f>IF(I191="","",IFERROR(INDEX(catGrupo,MATCH(D191,catNom,0))&amp;"",""))</f>
        <v/>
      </c>
      <c r="K191" s="19">
        <f>IF(I191="Gasto",IF(IFERROR(INDEX(catClas,MATCH(D191,catNom,0))&amp;"","")="","Variable",IFERROR(INDEX(catClas,MATCH(D191,catNom,0))&amp;"","")),"")</f>
        <v/>
      </c>
      <c r="L191" s="19">
        <f>IF(I191="","",IFERROR(INDEX(catAlim,MATCH(D191,catNom,0))&amp;"",""))</f>
        <v/>
      </c>
      <c r="M191" s="19">
        <f>IF(I191="","",IFERROR(INDEX(catComida,MATCH(D191,catNom,0))&amp;"",""))</f>
        <v/>
      </c>
      <c r="N191" s="19">
        <f>IF(I191="","",IFERROR(INDEX(ctaMon,MATCH(E191,ctaNom,0))&amp;"","DOP"))</f>
        <v/>
      </c>
      <c r="O191" s="20">
        <f>IF(I191="","",C191*IF(N191="USD",TasaUSD,1))</f>
        <v/>
      </c>
      <c r="P191" s="20">
        <f>IF(I191="","",IF(I191="Gasto",O191,0))</f>
        <v/>
      </c>
      <c r="Q191" s="20">
        <f>IF(I191="","",IF(I191="Ingreso",O191,0))</f>
        <v/>
      </c>
      <c r="R191" s="20">
        <f>IF(I191="","",IF(I191="Trading",O191,0))</f>
        <v/>
      </c>
      <c r="S191" s="19">
        <f>IF(I191="","",IF(AND(I191="Gasto",K191="Variable",J191&lt;&gt;"Trading",O191&gt;0,O191&lt;=Umbral),1,0))</f>
        <v/>
      </c>
      <c r="T191" s="20">
        <f>IF(OR(I191="",E191=""),"",IF(OR(I191="Gasto",I191="Transferencia",I191="Pago tarjeta"),-1,1)*C191)</f>
        <v/>
      </c>
      <c r="U191" s="20">
        <f>IF(OR(G191="",AND(I191&lt;&gt;"Transferencia",I191&lt;&gt;"Pago tarjeta")),"",IF(IFERROR(INDEX(ctaMon,MATCH(G191,ctaNom,0))&amp;"","DOP")=N191,C191,IF(N191="USD",C191*TasaUSD,C191/TasaUSD)))</f>
        <v/>
      </c>
      <c r="V191" s="20">
        <f>IF(I191="","",IF(IFERROR(INDEX(ctaLiq,MATCH(E191,ctaNom,0))="Sí",FALSE),IF(OR(I191="Gasto",I191="Transferencia",I191="Pago tarjeta"),-1,1)*O191,0)+IF(AND(U191&lt;&gt;"",IFERROR(INDEX(ctaLiq,MATCH(G191,ctaNom,0))="Sí",FALSE)),O191,0))</f>
        <v/>
      </c>
      <c r="W191" s="19">
        <f>IF(OR(F191="",I191=""),"",IF(COUNTIFS(F$6:F191,F191,I$6:I191,"?*")=1,MAX(W$5:W190)+1,""))</f>
        <v/>
      </c>
    </row>
    <row r="192">
      <c r="B192" s="15" t="n"/>
      <c r="C192" s="16" t="n"/>
      <c r="D192" s="17" t="n"/>
      <c r="E192" s="17" t="n"/>
      <c r="F192" s="17" t="n"/>
      <c r="G192" s="17" t="n"/>
      <c r="H192" s="18">
        <f>IF(AND(B192="",C192="",D192="",E192=""),"",IF(B192="","⚠ Falta fecha",IF(C192="","⚠ Falta monto",IF(D192="","⚠ Falta categoría",IF(ISNA(MATCH(D192,catNom,0)),"⚠ Categoría no existe",IF(E192="","⚠ Falta cuenta",IF(ISNA(MATCH(E192,ctaNom,0)),"⚠ Cuenta no existe",IF(AND(OR(I192="Transferencia",I192="Pago tarjeta"),G192=""),"⚠ Indica la cuenta «Hacia»",IF(AND(G192&lt;&gt;"",G192=E192),"⚠ «Hacia» igual a la cuenta",IF(AND(G192&lt;&gt;"",ISNA(MATCH(G192,ctaNom,0))),"⚠ «Hacia» no existe",IF(AND(I192="Pago tarjeta",IFERROR(INDEX(ctaTipo,MATCH(G192,ctaNom,0)),"")&lt;&gt;"Tarjeta de crédito"),"⚠ «Hacia» debe ser la tarjeta",IF(AND(I192="Trading",IFERROR(INDEX(ctaTipo,MATCH(E192,ctaNom,0)),"")&lt;&gt;"Cuenta de trading"),"⚠ Usa la cuenta de trading","✓"))))))))))))</f>
        <v/>
      </c>
      <c r="I192" s="19">
        <f>IF(OR(B192="",C192="",D192=""),"",IFERROR(INDEX(catTipo,MATCH(D192,catNom,0))&amp;"",""))</f>
        <v/>
      </c>
      <c r="J192" s="19">
        <f>IF(I192="","",IFERROR(INDEX(catGrupo,MATCH(D192,catNom,0))&amp;"",""))</f>
        <v/>
      </c>
      <c r="K192" s="19">
        <f>IF(I192="Gasto",IF(IFERROR(INDEX(catClas,MATCH(D192,catNom,0))&amp;"","")="","Variable",IFERROR(INDEX(catClas,MATCH(D192,catNom,0))&amp;"","")),"")</f>
        <v/>
      </c>
      <c r="L192" s="19">
        <f>IF(I192="","",IFERROR(INDEX(catAlim,MATCH(D192,catNom,0))&amp;"",""))</f>
        <v/>
      </c>
      <c r="M192" s="19">
        <f>IF(I192="","",IFERROR(INDEX(catComida,MATCH(D192,catNom,0))&amp;"",""))</f>
        <v/>
      </c>
      <c r="N192" s="19">
        <f>IF(I192="","",IFERROR(INDEX(ctaMon,MATCH(E192,ctaNom,0))&amp;"","DOP"))</f>
        <v/>
      </c>
      <c r="O192" s="20">
        <f>IF(I192="","",C192*IF(N192="USD",TasaUSD,1))</f>
        <v/>
      </c>
      <c r="P192" s="20">
        <f>IF(I192="","",IF(I192="Gasto",O192,0))</f>
        <v/>
      </c>
      <c r="Q192" s="20">
        <f>IF(I192="","",IF(I192="Ingreso",O192,0))</f>
        <v/>
      </c>
      <c r="R192" s="20">
        <f>IF(I192="","",IF(I192="Trading",O192,0))</f>
        <v/>
      </c>
      <c r="S192" s="19">
        <f>IF(I192="","",IF(AND(I192="Gasto",K192="Variable",J192&lt;&gt;"Trading",O192&gt;0,O192&lt;=Umbral),1,0))</f>
        <v/>
      </c>
      <c r="T192" s="20">
        <f>IF(OR(I192="",E192=""),"",IF(OR(I192="Gasto",I192="Transferencia",I192="Pago tarjeta"),-1,1)*C192)</f>
        <v/>
      </c>
      <c r="U192" s="20">
        <f>IF(OR(G192="",AND(I192&lt;&gt;"Transferencia",I192&lt;&gt;"Pago tarjeta")),"",IF(IFERROR(INDEX(ctaMon,MATCH(G192,ctaNom,0))&amp;"","DOP")=N192,C192,IF(N192="USD",C192*TasaUSD,C192/TasaUSD)))</f>
        <v/>
      </c>
      <c r="V192" s="20">
        <f>IF(I192="","",IF(IFERROR(INDEX(ctaLiq,MATCH(E192,ctaNom,0))="Sí",FALSE),IF(OR(I192="Gasto",I192="Transferencia",I192="Pago tarjeta"),-1,1)*O192,0)+IF(AND(U192&lt;&gt;"",IFERROR(INDEX(ctaLiq,MATCH(G192,ctaNom,0))="Sí",FALSE)),O192,0))</f>
        <v/>
      </c>
      <c r="W192" s="19">
        <f>IF(OR(F192="",I192=""),"",IF(COUNTIFS(F$6:F192,F192,I$6:I192,"?*")=1,MAX(W$5:W191)+1,""))</f>
        <v/>
      </c>
    </row>
    <row r="193">
      <c r="B193" s="15" t="n"/>
      <c r="C193" s="16" t="n"/>
      <c r="D193" s="17" t="n"/>
      <c r="E193" s="17" t="n"/>
      <c r="F193" s="17" t="n"/>
      <c r="G193" s="17" t="n"/>
      <c r="H193" s="18">
        <f>IF(AND(B193="",C193="",D193="",E193=""),"",IF(B193="","⚠ Falta fecha",IF(C193="","⚠ Falta monto",IF(D193="","⚠ Falta categoría",IF(ISNA(MATCH(D193,catNom,0)),"⚠ Categoría no existe",IF(E193="","⚠ Falta cuenta",IF(ISNA(MATCH(E193,ctaNom,0)),"⚠ Cuenta no existe",IF(AND(OR(I193="Transferencia",I193="Pago tarjeta"),G193=""),"⚠ Indica la cuenta «Hacia»",IF(AND(G193&lt;&gt;"",G193=E193),"⚠ «Hacia» igual a la cuenta",IF(AND(G193&lt;&gt;"",ISNA(MATCH(G193,ctaNom,0))),"⚠ «Hacia» no existe",IF(AND(I193="Pago tarjeta",IFERROR(INDEX(ctaTipo,MATCH(G193,ctaNom,0)),"")&lt;&gt;"Tarjeta de crédito"),"⚠ «Hacia» debe ser la tarjeta",IF(AND(I193="Trading",IFERROR(INDEX(ctaTipo,MATCH(E193,ctaNom,0)),"")&lt;&gt;"Cuenta de trading"),"⚠ Usa la cuenta de trading","✓"))))))))))))</f>
        <v/>
      </c>
      <c r="I193" s="19">
        <f>IF(OR(B193="",C193="",D193=""),"",IFERROR(INDEX(catTipo,MATCH(D193,catNom,0))&amp;"",""))</f>
        <v/>
      </c>
      <c r="J193" s="19">
        <f>IF(I193="","",IFERROR(INDEX(catGrupo,MATCH(D193,catNom,0))&amp;"",""))</f>
        <v/>
      </c>
      <c r="K193" s="19">
        <f>IF(I193="Gasto",IF(IFERROR(INDEX(catClas,MATCH(D193,catNom,0))&amp;"","")="","Variable",IFERROR(INDEX(catClas,MATCH(D193,catNom,0))&amp;"","")),"")</f>
        <v/>
      </c>
      <c r="L193" s="19">
        <f>IF(I193="","",IFERROR(INDEX(catAlim,MATCH(D193,catNom,0))&amp;"",""))</f>
        <v/>
      </c>
      <c r="M193" s="19">
        <f>IF(I193="","",IFERROR(INDEX(catComida,MATCH(D193,catNom,0))&amp;"",""))</f>
        <v/>
      </c>
      <c r="N193" s="19">
        <f>IF(I193="","",IFERROR(INDEX(ctaMon,MATCH(E193,ctaNom,0))&amp;"","DOP"))</f>
        <v/>
      </c>
      <c r="O193" s="20">
        <f>IF(I193="","",C193*IF(N193="USD",TasaUSD,1))</f>
        <v/>
      </c>
      <c r="P193" s="20">
        <f>IF(I193="","",IF(I193="Gasto",O193,0))</f>
        <v/>
      </c>
      <c r="Q193" s="20">
        <f>IF(I193="","",IF(I193="Ingreso",O193,0))</f>
        <v/>
      </c>
      <c r="R193" s="20">
        <f>IF(I193="","",IF(I193="Trading",O193,0))</f>
        <v/>
      </c>
      <c r="S193" s="19">
        <f>IF(I193="","",IF(AND(I193="Gasto",K193="Variable",J193&lt;&gt;"Trading",O193&gt;0,O193&lt;=Umbral),1,0))</f>
        <v/>
      </c>
      <c r="T193" s="20">
        <f>IF(OR(I193="",E193=""),"",IF(OR(I193="Gasto",I193="Transferencia",I193="Pago tarjeta"),-1,1)*C193)</f>
        <v/>
      </c>
      <c r="U193" s="20">
        <f>IF(OR(G193="",AND(I193&lt;&gt;"Transferencia",I193&lt;&gt;"Pago tarjeta")),"",IF(IFERROR(INDEX(ctaMon,MATCH(G193,ctaNom,0))&amp;"","DOP")=N193,C193,IF(N193="USD",C193*TasaUSD,C193/TasaUSD)))</f>
        <v/>
      </c>
      <c r="V193" s="20">
        <f>IF(I193="","",IF(IFERROR(INDEX(ctaLiq,MATCH(E193,ctaNom,0))="Sí",FALSE),IF(OR(I193="Gasto",I193="Transferencia",I193="Pago tarjeta"),-1,1)*O193,0)+IF(AND(U193&lt;&gt;"",IFERROR(INDEX(ctaLiq,MATCH(G193,ctaNom,0))="Sí",FALSE)),O193,0))</f>
        <v/>
      </c>
      <c r="W193" s="19">
        <f>IF(OR(F193="",I193=""),"",IF(COUNTIFS(F$6:F193,F193,I$6:I193,"?*")=1,MAX(W$5:W192)+1,""))</f>
        <v/>
      </c>
    </row>
    <row r="194">
      <c r="B194" s="15" t="n"/>
      <c r="C194" s="16" t="n"/>
      <c r="D194" s="17" t="n"/>
      <c r="E194" s="17" t="n"/>
      <c r="F194" s="17" t="n"/>
      <c r="G194" s="17" t="n"/>
      <c r="H194" s="18">
        <f>IF(AND(B194="",C194="",D194="",E194=""),"",IF(B194="","⚠ Falta fecha",IF(C194="","⚠ Falta monto",IF(D194="","⚠ Falta categoría",IF(ISNA(MATCH(D194,catNom,0)),"⚠ Categoría no existe",IF(E194="","⚠ Falta cuenta",IF(ISNA(MATCH(E194,ctaNom,0)),"⚠ Cuenta no existe",IF(AND(OR(I194="Transferencia",I194="Pago tarjeta"),G194=""),"⚠ Indica la cuenta «Hacia»",IF(AND(G194&lt;&gt;"",G194=E194),"⚠ «Hacia» igual a la cuenta",IF(AND(G194&lt;&gt;"",ISNA(MATCH(G194,ctaNom,0))),"⚠ «Hacia» no existe",IF(AND(I194="Pago tarjeta",IFERROR(INDEX(ctaTipo,MATCH(G194,ctaNom,0)),"")&lt;&gt;"Tarjeta de crédito"),"⚠ «Hacia» debe ser la tarjeta",IF(AND(I194="Trading",IFERROR(INDEX(ctaTipo,MATCH(E194,ctaNom,0)),"")&lt;&gt;"Cuenta de trading"),"⚠ Usa la cuenta de trading","✓"))))))))))))</f>
        <v/>
      </c>
      <c r="I194" s="19">
        <f>IF(OR(B194="",C194="",D194=""),"",IFERROR(INDEX(catTipo,MATCH(D194,catNom,0))&amp;"",""))</f>
        <v/>
      </c>
      <c r="J194" s="19">
        <f>IF(I194="","",IFERROR(INDEX(catGrupo,MATCH(D194,catNom,0))&amp;"",""))</f>
        <v/>
      </c>
      <c r="K194" s="19">
        <f>IF(I194="Gasto",IF(IFERROR(INDEX(catClas,MATCH(D194,catNom,0))&amp;"","")="","Variable",IFERROR(INDEX(catClas,MATCH(D194,catNom,0))&amp;"","")),"")</f>
        <v/>
      </c>
      <c r="L194" s="19">
        <f>IF(I194="","",IFERROR(INDEX(catAlim,MATCH(D194,catNom,0))&amp;"",""))</f>
        <v/>
      </c>
      <c r="M194" s="19">
        <f>IF(I194="","",IFERROR(INDEX(catComida,MATCH(D194,catNom,0))&amp;"",""))</f>
        <v/>
      </c>
      <c r="N194" s="19">
        <f>IF(I194="","",IFERROR(INDEX(ctaMon,MATCH(E194,ctaNom,0))&amp;"","DOP"))</f>
        <v/>
      </c>
      <c r="O194" s="20">
        <f>IF(I194="","",C194*IF(N194="USD",TasaUSD,1))</f>
        <v/>
      </c>
      <c r="P194" s="20">
        <f>IF(I194="","",IF(I194="Gasto",O194,0))</f>
        <v/>
      </c>
      <c r="Q194" s="20">
        <f>IF(I194="","",IF(I194="Ingreso",O194,0))</f>
        <v/>
      </c>
      <c r="R194" s="20">
        <f>IF(I194="","",IF(I194="Trading",O194,0))</f>
        <v/>
      </c>
      <c r="S194" s="19">
        <f>IF(I194="","",IF(AND(I194="Gasto",K194="Variable",J194&lt;&gt;"Trading",O194&gt;0,O194&lt;=Umbral),1,0))</f>
        <v/>
      </c>
      <c r="T194" s="20">
        <f>IF(OR(I194="",E194=""),"",IF(OR(I194="Gasto",I194="Transferencia",I194="Pago tarjeta"),-1,1)*C194)</f>
        <v/>
      </c>
      <c r="U194" s="20">
        <f>IF(OR(G194="",AND(I194&lt;&gt;"Transferencia",I194&lt;&gt;"Pago tarjeta")),"",IF(IFERROR(INDEX(ctaMon,MATCH(G194,ctaNom,0))&amp;"","DOP")=N194,C194,IF(N194="USD",C194*TasaUSD,C194/TasaUSD)))</f>
        <v/>
      </c>
      <c r="V194" s="20">
        <f>IF(I194="","",IF(IFERROR(INDEX(ctaLiq,MATCH(E194,ctaNom,0))="Sí",FALSE),IF(OR(I194="Gasto",I194="Transferencia",I194="Pago tarjeta"),-1,1)*O194,0)+IF(AND(U194&lt;&gt;"",IFERROR(INDEX(ctaLiq,MATCH(G194,ctaNom,0))="Sí",FALSE)),O194,0))</f>
        <v/>
      </c>
      <c r="W194" s="19">
        <f>IF(OR(F194="",I194=""),"",IF(COUNTIFS(F$6:F194,F194,I$6:I194,"?*")=1,MAX(W$5:W193)+1,""))</f>
        <v/>
      </c>
    </row>
    <row r="195">
      <c r="B195" s="15" t="n"/>
      <c r="C195" s="16" t="n"/>
      <c r="D195" s="17" t="n"/>
      <c r="E195" s="17" t="n"/>
      <c r="F195" s="17" t="n"/>
      <c r="G195" s="17" t="n"/>
      <c r="H195" s="18">
        <f>IF(AND(B195="",C195="",D195="",E195=""),"",IF(B195="","⚠ Falta fecha",IF(C195="","⚠ Falta monto",IF(D195="","⚠ Falta categoría",IF(ISNA(MATCH(D195,catNom,0)),"⚠ Categoría no existe",IF(E195="","⚠ Falta cuenta",IF(ISNA(MATCH(E195,ctaNom,0)),"⚠ Cuenta no existe",IF(AND(OR(I195="Transferencia",I195="Pago tarjeta"),G195=""),"⚠ Indica la cuenta «Hacia»",IF(AND(G195&lt;&gt;"",G195=E195),"⚠ «Hacia» igual a la cuenta",IF(AND(G195&lt;&gt;"",ISNA(MATCH(G195,ctaNom,0))),"⚠ «Hacia» no existe",IF(AND(I195="Pago tarjeta",IFERROR(INDEX(ctaTipo,MATCH(G195,ctaNom,0)),"")&lt;&gt;"Tarjeta de crédito"),"⚠ «Hacia» debe ser la tarjeta",IF(AND(I195="Trading",IFERROR(INDEX(ctaTipo,MATCH(E195,ctaNom,0)),"")&lt;&gt;"Cuenta de trading"),"⚠ Usa la cuenta de trading","✓"))))))))))))</f>
        <v/>
      </c>
      <c r="I195" s="19">
        <f>IF(OR(B195="",C195="",D195=""),"",IFERROR(INDEX(catTipo,MATCH(D195,catNom,0))&amp;"",""))</f>
        <v/>
      </c>
      <c r="J195" s="19">
        <f>IF(I195="","",IFERROR(INDEX(catGrupo,MATCH(D195,catNom,0))&amp;"",""))</f>
        <v/>
      </c>
      <c r="K195" s="19">
        <f>IF(I195="Gasto",IF(IFERROR(INDEX(catClas,MATCH(D195,catNom,0))&amp;"","")="","Variable",IFERROR(INDEX(catClas,MATCH(D195,catNom,0))&amp;"","")),"")</f>
        <v/>
      </c>
      <c r="L195" s="19">
        <f>IF(I195="","",IFERROR(INDEX(catAlim,MATCH(D195,catNom,0))&amp;"",""))</f>
        <v/>
      </c>
      <c r="M195" s="19">
        <f>IF(I195="","",IFERROR(INDEX(catComida,MATCH(D195,catNom,0))&amp;"",""))</f>
        <v/>
      </c>
      <c r="N195" s="19">
        <f>IF(I195="","",IFERROR(INDEX(ctaMon,MATCH(E195,ctaNom,0))&amp;"","DOP"))</f>
        <v/>
      </c>
      <c r="O195" s="20">
        <f>IF(I195="","",C195*IF(N195="USD",TasaUSD,1))</f>
        <v/>
      </c>
      <c r="P195" s="20">
        <f>IF(I195="","",IF(I195="Gasto",O195,0))</f>
        <v/>
      </c>
      <c r="Q195" s="20">
        <f>IF(I195="","",IF(I195="Ingreso",O195,0))</f>
        <v/>
      </c>
      <c r="R195" s="20">
        <f>IF(I195="","",IF(I195="Trading",O195,0))</f>
        <v/>
      </c>
      <c r="S195" s="19">
        <f>IF(I195="","",IF(AND(I195="Gasto",K195="Variable",J195&lt;&gt;"Trading",O195&gt;0,O195&lt;=Umbral),1,0))</f>
        <v/>
      </c>
      <c r="T195" s="20">
        <f>IF(OR(I195="",E195=""),"",IF(OR(I195="Gasto",I195="Transferencia",I195="Pago tarjeta"),-1,1)*C195)</f>
        <v/>
      </c>
      <c r="U195" s="20">
        <f>IF(OR(G195="",AND(I195&lt;&gt;"Transferencia",I195&lt;&gt;"Pago tarjeta")),"",IF(IFERROR(INDEX(ctaMon,MATCH(G195,ctaNom,0))&amp;"","DOP")=N195,C195,IF(N195="USD",C195*TasaUSD,C195/TasaUSD)))</f>
        <v/>
      </c>
      <c r="V195" s="20">
        <f>IF(I195="","",IF(IFERROR(INDEX(ctaLiq,MATCH(E195,ctaNom,0))="Sí",FALSE),IF(OR(I195="Gasto",I195="Transferencia",I195="Pago tarjeta"),-1,1)*O195,0)+IF(AND(U195&lt;&gt;"",IFERROR(INDEX(ctaLiq,MATCH(G195,ctaNom,0))="Sí",FALSE)),O195,0))</f>
        <v/>
      </c>
      <c r="W195" s="19">
        <f>IF(OR(F195="",I195=""),"",IF(COUNTIFS(F$6:F195,F195,I$6:I195,"?*")=1,MAX(W$5:W194)+1,""))</f>
        <v/>
      </c>
    </row>
    <row r="196">
      <c r="B196" s="15" t="n"/>
      <c r="C196" s="16" t="n"/>
      <c r="D196" s="17" t="n"/>
      <c r="E196" s="17" t="n"/>
      <c r="F196" s="17" t="n"/>
      <c r="G196" s="17" t="n"/>
      <c r="H196" s="18">
        <f>IF(AND(B196="",C196="",D196="",E196=""),"",IF(B196="","⚠ Falta fecha",IF(C196="","⚠ Falta monto",IF(D196="","⚠ Falta categoría",IF(ISNA(MATCH(D196,catNom,0)),"⚠ Categoría no existe",IF(E196="","⚠ Falta cuenta",IF(ISNA(MATCH(E196,ctaNom,0)),"⚠ Cuenta no existe",IF(AND(OR(I196="Transferencia",I196="Pago tarjeta"),G196=""),"⚠ Indica la cuenta «Hacia»",IF(AND(G196&lt;&gt;"",G196=E196),"⚠ «Hacia» igual a la cuenta",IF(AND(G196&lt;&gt;"",ISNA(MATCH(G196,ctaNom,0))),"⚠ «Hacia» no existe",IF(AND(I196="Pago tarjeta",IFERROR(INDEX(ctaTipo,MATCH(G196,ctaNom,0)),"")&lt;&gt;"Tarjeta de crédito"),"⚠ «Hacia» debe ser la tarjeta",IF(AND(I196="Trading",IFERROR(INDEX(ctaTipo,MATCH(E196,ctaNom,0)),"")&lt;&gt;"Cuenta de trading"),"⚠ Usa la cuenta de trading","✓"))))))))))))</f>
        <v/>
      </c>
      <c r="I196" s="19">
        <f>IF(OR(B196="",C196="",D196=""),"",IFERROR(INDEX(catTipo,MATCH(D196,catNom,0))&amp;"",""))</f>
        <v/>
      </c>
      <c r="J196" s="19">
        <f>IF(I196="","",IFERROR(INDEX(catGrupo,MATCH(D196,catNom,0))&amp;"",""))</f>
        <v/>
      </c>
      <c r="K196" s="19">
        <f>IF(I196="Gasto",IF(IFERROR(INDEX(catClas,MATCH(D196,catNom,0))&amp;"","")="","Variable",IFERROR(INDEX(catClas,MATCH(D196,catNom,0))&amp;"","")),"")</f>
        <v/>
      </c>
      <c r="L196" s="19">
        <f>IF(I196="","",IFERROR(INDEX(catAlim,MATCH(D196,catNom,0))&amp;"",""))</f>
        <v/>
      </c>
      <c r="M196" s="19">
        <f>IF(I196="","",IFERROR(INDEX(catComida,MATCH(D196,catNom,0))&amp;"",""))</f>
        <v/>
      </c>
      <c r="N196" s="19">
        <f>IF(I196="","",IFERROR(INDEX(ctaMon,MATCH(E196,ctaNom,0))&amp;"","DOP"))</f>
        <v/>
      </c>
      <c r="O196" s="20">
        <f>IF(I196="","",C196*IF(N196="USD",TasaUSD,1))</f>
        <v/>
      </c>
      <c r="P196" s="20">
        <f>IF(I196="","",IF(I196="Gasto",O196,0))</f>
        <v/>
      </c>
      <c r="Q196" s="20">
        <f>IF(I196="","",IF(I196="Ingreso",O196,0))</f>
        <v/>
      </c>
      <c r="R196" s="20">
        <f>IF(I196="","",IF(I196="Trading",O196,0))</f>
        <v/>
      </c>
      <c r="S196" s="19">
        <f>IF(I196="","",IF(AND(I196="Gasto",K196="Variable",J196&lt;&gt;"Trading",O196&gt;0,O196&lt;=Umbral),1,0))</f>
        <v/>
      </c>
      <c r="T196" s="20">
        <f>IF(OR(I196="",E196=""),"",IF(OR(I196="Gasto",I196="Transferencia",I196="Pago tarjeta"),-1,1)*C196)</f>
        <v/>
      </c>
      <c r="U196" s="20">
        <f>IF(OR(G196="",AND(I196&lt;&gt;"Transferencia",I196&lt;&gt;"Pago tarjeta")),"",IF(IFERROR(INDEX(ctaMon,MATCH(G196,ctaNom,0))&amp;"","DOP")=N196,C196,IF(N196="USD",C196*TasaUSD,C196/TasaUSD)))</f>
        <v/>
      </c>
      <c r="V196" s="20">
        <f>IF(I196="","",IF(IFERROR(INDEX(ctaLiq,MATCH(E196,ctaNom,0))="Sí",FALSE),IF(OR(I196="Gasto",I196="Transferencia",I196="Pago tarjeta"),-1,1)*O196,0)+IF(AND(U196&lt;&gt;"",IFERROR(INDEX(ctaLiq,MATCH(G196,ctaNom,0))="Sí",FALSE)),O196,0))</f>
        <v/>
      </c>
      <c r="W196" s="19">
        <f>IF(OR(F196="",I196=""),"",IF(COUNTIFS(F$6:F196,F196,I$6:I196,"?*")=1,MAX(W$5:W195)+1,""))</f>
        <v/>
      </c>
    </row>
    <row r="197">
      <c r="B197" s="15" t="n"/>
      <c r="C197" s="16" t="n"/>
      <c r="D197" s="17" t="n"/>
      <c r="E197" s="17" t="n"/>
      <c r="F197" s="17" t="n"/>
      <c r="G197" s="17" t="n"/>
      <c r="H197" s="18">
        <f>IF(AND(B197="",C197="",D197="",E197=""),"",IF(B197="","⚠ Falta fecha",IF(C197="","⚠ Falta monto",IF(D197="","⚠ Falta categoría",IF(ISNA(MATCH(D197,catNom,0)),"⚠ Categoría no existe",IF(E197="","⚠ Falta cuenta",IF(ISNA(MATCH(E197,ctaNom,0)),"⚠ Cuenta no existe",IF(AND(OR(I197="Transferencia",I197="Pago tarjeta"),G197=""),"⚠ Indica la cuenta «Hacia»",IF(AND(G197&lt;&gt;"",G197=E197),"⚠ «Hacia» igual a la cuenta",IF(AND(G197&lt;&gt;"",ISNA(MATCH(G197,ctaNom,0))),"⚠ «Hacia» no existe",IF(AND(I197="Pago tarjeta",IFERROR(INDEX(ctaTipo,MATCH(G197,ctaNom,0)),"")&lt;&gt;"Tarjeta de crédito"),"⚠ «Hacia» debe ser la tarjeta",IF(AND(I197="Trading",IFERROR(INDEX(ctaTipo,MATCH(E197,ctaNom,0)),"")&lt;&gt;"Cuenta de trading"),"⚠ Usa la cuenta de trading","✓"))))))))))))</f>
        <v/>
      </c>
      <c r="I197" s="19">
        <f>IF(OR(B197="",C197="",D197=""),"",IFERROR(INDEX(catTipo,MATCH(D197,catNom,0))&amp;"",""))</f>
        <v/>
      </c>
      <c r="J197" s="19">
        <f>IF(I197="","",IFERROR(INDEX(catGrupo,MATCH(D197,catNom,0))&amp;"",""))</f>
        <v/>
      </c>
      <c r="K197" s="19">
        <f>IF(I197="Gasto",IF(IFERROR(INDEX(catClas,MATCH(D197,catNom,0))&amp;"","")="","Variable",IFERROR(INDEX(catClas,MATCH(D197,catNom,0))&amp;"","")),"")</f>
        <v/>
      </c>
      <c r="L197" s="19">
        <f>IF(I197="","",IFERROR(INDEX(catAlim,MATCH(D197,catNom,0))&amp;"",""))</f>
        <v/>
      </c>
      <c r="M197" s="19">
        <f>IF(I197="","",IFERROR(INDEX(catComida,MATCH(D197,catNom,0))&amp;"",""))</f>
        <v/>
      </c>
      <c r="N197" s="19">
        <f>IF(I197="","",IFERROR(INDEX(ctaMon,MATCH(E197,ctaNom,0))&amp;"","DOP"))</f>
        <v/>
      </c>
      <c r="O197" s="20">
        <f>IF(I197="","",C197*IF(N197="USD",TasaUSD,1))</f>
        <v/>
      </c>
      <c r="P197" s="20">
        <f>IF(I197="","",IF(I197="Gasto",O197,0))</f>
        <v/>
      </c>
      <c r="Q197" s="20">
        <f>IF(I197="","",IF(I197="Ingreso",O197,0))</f>
        <v/>
      </c>
      <c r="R197" s="20">
        <f>IF(I197="","",IF(I197="Trading",O197,0))</f>
        <v/>
      </c>
      <c r="S197" s="19">
        <f>IF(I197="","",IF(AND(I197="Gasto",K197="Variable",J197&lt;&gt;"Trading",O197&gt;0,O197&lt;=Umbral),1,0))</f>
        <v/>
      </c>
      <c r="T197" s="20">
        <f>IF(OR(I197="",E197=""),"",IF(OR(I197="Gasto",I197="Transferencia",I197="Pago tarjeta"),-1,1)*C197)</f>
        <v/>
      </c>
      <c r="U197" s="20">
        <f>IF(OR(G197="",AND(I197&lt;&gt;"Transferencia",I197&lt;&gt;"Pago tarjeta")),"",IF(IFERROR(INDEX(ctaMon,MATCH(G197,ctaNom,0))&amp;"","DOP")=N197,C197,IF(N197="USD",C197*TasaUSD,C197/TasaUSD)))</f>
        <v/>
      </c>
      <c r="V197" s="20">
        <f>IF(I197="","",IF(IFERROR(INDEX(ctaLiq,MATCH(E197,ctaNom,0))="Sí",FALSE),IF(OR(I197="Gasto",I197="Transferencia",I197="Pago tarjeta"),-1,1)*O197,0)+IF(AND(U197&lt;&gt;"",IFERROR(INDEX(ctaLiq,MATCH(G197,ctaNom,0))="Sí",FALSE)),O197,0))</f>
        <v/>
      </c>
      <c r="W197" s="19">
        <f>IF(OR(F197="",I197=""),"",IF(COUNTIFS(F$6:F197,F197,I$6:I197,"?*")=1,MAX(W$5:W196)+1,""))</f>
        <v/>
      </c>
    </row>
    <row r="198">
      <c r="B198" s="15" t="n"/>
      <c r="C198" s="16" t="n"/>
      <c r="D198" s="17" t="n"/>
      <c r="E198" s="17" t="n"/>
      <c r="F198" s="17" t="n"/>
      <c r="G198" s="17" t="n"/>
      <c r="H198" s="18">
        <f>IF(AND(B198="",C198="",D198="",E198=""),"",IF(B198="","⚠ Falta fecha",IF(C198="","⚠ Falta monto",IF(D198="","⚠ Falta categoría",IF(ISNA(MATCH(D198,catNom,0)),"⚠ Categoría no existe",IF(E198="","⚠ Falta cuenta",IF(ISNA(MATCH(E198,ctaNom,0)),"⚠ Cuenta no existe",IF(AND(OR(I198="Transferencia",I198="Pago tarjeta"),G198=""),"⚠ Indica la cuenta «Hacia»",IF(AND(G198&lt;&gt;"",G198=E198),"⚠ «Hacia» igual a la cuenta",IF(AND(G198&lt;&gt;"",ISNA(MATCH(G198,ctaNom,0))),"⚠ «Hacia» no existe",IF(AND(I198="Pago tarjeta",IFERROR(INDEX(ctaTipo,MATCH(G198,ctaNom,0)),"")&lt;&gt;"Tarjeta de crédito"),"⚠ «Hacia» debe ser la tarjeta",IF(AND(I198="Trading",IFERROR(INDEX(ctaTipo,MATCH(E198,ctaNom,0)),"")&lt;&gt;"Cuenta de trading"),"⚠ Usa la cuenta de trading","✓"))))))))))))</f>
        <v/>
      </c>
      <c r="I198" s="19">
        <f>IF(OR(B198="",C198="",D198=""),"",IFERROR(INDEX(catTipo,MATCH(D198,catNom,0))&amp;"",""))</f>
        <v/>
      </c>
      <c r="J198" s="19">
        <f>IF(I198="","",IFERROR(INDEX(catGrupo,MATCH(D198,catNom,0))&amp;"",""))</f>
        <v/>
      </c>
      <c r="K198" s="19">
        <f>IF(I198="Gasto",IF(IFERROR(INDEX(catClas,MATCH(D198,catNom,0))&amp;"","")="","Variable",IFERROR(INDEX(catClas,MATCH(D198,catNom,0))&amp;"","")),"")</f>
        <v/>
      </c>
      <c r="L198" s="19">
        <f>IF(I198="","",IFERROR(INDEX(catAlim,MATCH(D198,catNom,0))&amp;"",""))</f>
        <v/>
      </c>
      <c r="M198" s="19">
        <f>IF(I198="","",IFERROR(INDEX(catComida,MATCH(D198,catNom,0))&amp;"",""))</f>
        <v/>
      </c>
      <c r="N198" s="19">
        <f>IF(I198="","",IFERROR(INDEX(ctaMon,MATCH(E198,ctaNom,0))&amp;"","DOP"))</f>
        <v/>
      </c>
      <c r="O198" s="20">
        <f>IF(I198="","",C198*IF(N198="USD",TasaUSD,1))</f>
        <v/>
      </c>
      <c r="P198" s="20">
        <f>IF(I198="","",IF(I198="Gasto",O198,0))</f>
        <v/>
      </c>
      <c r="Q198" s="20">
        <f>IF(I198="","",IF(I198="Ingreso",O198,0))</f>
        <v/>
      </c>
      <c r="R198" s="20">
        <f>IF(I198="","",IF(I198="Trading",O198,0))</f>
        <v/>
      </c>
      <c r="S198" s="19">
        <f>IF(I198="","",IF(AND(I198="Gasto",K198="Variable",J198&lt;&gt;"Trading",O198&gt;0,O198&lt;=Umbral),1,0))</f>
        <v/>
      </c>
      <c r="T198" s="20">
        <f>IF(OR(I198="",E198=""),"",IF(OR(I198="Gasto",I198="Transferencia",I198="Pago tarjeta"),-1,1)*C198)</f>
        <v/>
      </c>
      <c r="U198" s="20">
        <f>IF(OR(G198="",AND(I198&lt;&gt;"Transferencia",I198&lt;&gt;"Pago tarjeta")),"",IF(IFERROR(INDEX(ctaMon,MATCH(G198,ctaNom,0))&amp;"","DOP")=N198,C198,IF(N198="USD",C198*TasaUSD,C198/TasaUSD)))</f>
        <v/>
      </c>
      <c r="V198" s="20">
        <f>IF(I198="","",IF(IFERROR(INDEX(ctaLiq,MATCH(E198,ctaNom,0))="Sí",FALSE),IF(OR(I198="Gasto",I198="Transferencia",I198="Pago tarjeta"),-1,1)*O198,0)+IF(AND(U198&lt;&gt;"",IFERROR(INDEX(ctaLiq,MATCH(G198,ctaNom,0))="Sí",FALSE)),O198,0))</f>
        <v/>
      </c>
      <c r="W198" s="19">
        <f>IF(OR(F198="",I198=""),"",IF(COUNTIFS(F$6:F198,F198,I$6:I198,"?*")=1,MAX(W$5:W197)+1,""))</f>
        <v/>
      </c>
    </row>
    <row r="199">
      <c r="B199" s="15" t="n"/>
      <c r="C199" s="16" t="n"/>
      <c r="D199" s="17" t="n"/>
      <c r="E199" s="17" t="n"/>
      <c r="F199" s="17" t="n"/>
      <c r="G199" s="17" t="n"/>
      <c r="H199" s="18">
        <f>IF(AND(B199="",C199="",D199="",E199=""),"",IF(B199="","⚠ Falta fecha",IF(C199="","⚠ Falta monto",IF(D199="","⚠ Falta categoría",IF(ISNA(MATCH(D199,catNom,0)),"⚠ Categoría no existe",IF(E199="","⚠ Falta cuenta",IF(ISNA(MATCH(E199,ctaNom,0)),"⚠ Cuenta no existe",IF(AND(OR(I199="Transferencia",I199="Pago tarjeta"),G199=""),"⚠ Indica la cuenta «Hacia»",IF(AND(G199&lt;&gt;"",G199=E199),"⚠ «Hacia» igual a la cuenta",IF(AND(G199&lt;&gt;"",ISNA(MATCH(G199,ctaNom,0))),"⚠ «Hacia» no existe",IF(AND(I199="Pago tarjeta",IFERROR(INDEX(ctaTipo,MATCH(G199,ctaNom,0)),"")&lt;&gt;"Tarjeta de crédito"),"⚠ «Hacia» debe ser la tarjeta",IF(AND(I199="Trading",IFERROR(INDEX(ctaTipo,MATCH(E199,ctaNom,0)),"")&lt;&gt;"Cuenta de trading"),"⚠ Usa la cuenta de trading","✓"))))))))))))</f>
        <v/>
      </c>
      <c r="I199" s="19">
        <f>IF(OR(B199="",C199="",D199=""),"",IFERROR(INDEX(catTipo,MATCH(D199,catNom,0))&amp;"",""))</f>
        <v/>
      </c>
      <c r="J199" s="19">
        <f>IF(I199="","",IFERROR(INDEX(catGrupo,MATCH(D199,catNom,0))&amp;"",""))</f>
        <v/>
      </c>
      <c r="K199" s="19">
        <f>IF(I199="Gasto",IF(IFERROR(INDEX(catClas,MATCH(D199,catNom,0))&amp;"","")="","Variable",IFERROR(INDEX(catClas,MATCH(D199,catNom,0))&amp;"","")),"")</f>
        <v/>
      </c>
      <c r="L199" s="19">
        <f>IF(I199="","",IFERROR(INDEX(catAlim,MATCH(D199,catNom,0))&amp;"",""))</f>
        <v/>
      </c>
      <c r="M199" s="19">
        <f>IF(I199="","",IFERROR(INDEX(catComida,MATCH(D199,catNom,0))&amp;"",""))</f>
        <v/>
      </c>
      <c r="N199" s="19">
        <f>IF(I199="","",IFERROR(INDEX(ctaMon,MATCH(E199,ctaNom,0))&amp;"","DOP"))</f>
        <v/>
      </c>
      <c r="O199" s="20">
        <f>IF(I199="","",C199*IF(N199="USD",TasaUSD,1))</f>
        <v/>
      </c>
      <c r="P199" s="20">
        <f>IF(I199="","",IF(I199="Gasto",O199,0))</f>
        <v/>
      </c>
      <c r="Q199" s="20">
        <f>IF(I199="","",IF(I199="Ingreso",O199,0))</f>
        <v/>
      </c>
      <c r="R199" s="20">
        <f>IF(I199="","",IF(I199="Trading",O199,0))</f>
        <v/>
      </c>
      <c r="S199" s="19">
        <f>IF(I199="","",IF(AND(I199="Gasto",K199="Variable",J199&lt;&gt;"Trading",O199&gt;0,O199&lt;=Umbral),1,0))</f>
        <v/>
      </c>
      <c r="T199" s="20">
        <f>IF(OR(I199="",E199=""),"",IF(OR(I199="Gasto",I199="Transferencia",I199="Pago tarjeta"),-1,1)*C199)</f>
        <v/>
      </c>
      <c r="U199" s="20">
        <f>IF(OR(G199="",AND(I199&lt;&gt;"Transferencia",I199&lt;&gt;"Pago tarjeta")),"",IF(IFERROR(INDEX(ctaMon,MATCH(G199,ctaNom,0))&amp;"","DOP")=N199,C199,IF(N199="USD",C199*TasaUSD,C199/TasaUSD)))</f>
        <v/>
      </c>
      <c r="V199" s="20">
        <f>IF(I199="","",IF(IFERROR(INDEX(ctaLiq,MATCH(E199,ctaNom,0))="Sí",FALSE),IF(OR(I199="Gasto",I199="Transferencia",I199="Pago tarjeta"),-1,1)*O199,0)+IF(AND(U199&lt;&gt;"",IFERROR(INDEX(ctaLiq,MATCH(G199,ctaNom,0))="Sí",FALSE)),O199,0))</f>
        <v/>
      </c>
      <c r="W199" s="19">
        <f>IF(OR(F199="",I199=""),"",IF(COUNTIFS(F$6:F199,F199,I$6:I199,"?*")=1,MAX(W$5:W198)+1,""))</f>
        <v/>
      </c>
    </row>
    <row r="200">
      <c r="B200" s="15" t="n"/>
      <c r="C200" s="16" t="n"/>
      <c r="D200" s="17" t="n"/>
      <c r="E200" s="17" t="n"/>
      <c r="F200" s="17" t="n"/>
      <c r="G200" s="17" t="n"/>
      <c r="H200" s="18">
        <f>IF(AND(B200="",C200="",D200="",E200=""),"",IF(B200="","⚠ Falta fecha",IF(C200="","⚠ Falta monto",IF(D200="","⚠ Falta categoría",IF(ISNA(MATCH(D200,catNom,0)),"⚠ Categoría no existe",IF(E200="","⚠ Falta cuenta",IF(ISNA(MATCH(E200,ctaNom,0)),"⚠ Cuenta no existe",IF(AND(OR(I200="Transferencia",I200="Pago tarjeta"),G200=""),"⚠ Indica la cuenta «Hacia»",IF(AND(G200&lt;&gt;"",G200=E200),"⚠ «Hacia» igual a la cuenta",IF(AND(G200&lt;&gt;"",ISNA(MATCH(G200,ctaNom,0))),"⚠ «Hacia» no existe",IF(AND(I200="Pago tarjeta",IFERROR(INDEX(ctaTipo,MATCH(G200,ctaNom,0)),"")&lt;&gt;"Tarjeta de crédito"),"⚠ «Hacia» debe ser la tarjeta",IF(AND(I200="Trading",IFERROR(INDEX(ctaTipo,MATCH(E200,ctaNom,0)),"")&lt;&gt;"Cuenta de trading"),"⚠ Usa la cuenta de trading","✓"))))))))))))</f>
        <v/>
      </c>
      <c r="I200" s="19">
        <f>IF(OR(B200="",C200="",D200=""),"",IFERROR(INDEX(catTipo,MATCH(D200,catNom,0))&amp;"",""))</f>
        <v/>
      </c>
      <c r="J200" s="19">
        <f>IF(I200="","",IFERROR(INDEX(catGrupo,MATCH(D200,catNom,0))&amp;"",""))</f>
        <v/>
      </c>
      <c r="K200" s="19">
        <f>IF(I200="Gasto",IF(IFERROR(INDEX(catClas,MATCH(D200,catNom,0))&amp;"","")="","Variable",IFERROR(INDEX(catClas,MATCH(D200,catNom,0))&amp;"","")),"")</f>
        <v/>
      </c>
      <c r="L200" s="19">
        <f>IF(I200="","",IFERROR(INDEX(catAlim,MATCH(D200,catNom,0))&amp;"",""))</f>
        <v/>
      </c>
      <c r="M200" s="19">
        <f>IF(I200="","",IFERROR(INDEX(catComida,MATCH(D200,catNom,0))&amp;"",""))</f>
        <v/>
      </c>
      <c r="N200" s="19">
        <f>IF(I200="","",IFERROR(INDEX(ctaMon,MATCH(E200,ctaNom,0))&amp;"","DOP"))</f>
        <v/>
      </c>
      <c r="O200" s="20">
        <f>IF(I200="","",C200*IF(N200="USD",TasaUSD,1))</f>
        <v/>
      </c>
      <c r="P200" s="20">
        <f>IF(I200="","",IF(I200="Gasto",O200,0))</f>
        <v/>
      </c>
      <c r="Q200" s="20">
        <f>IF(I200="","",IF(I200="Ingreso",O200,0))</f>
        <v/>
      </c>
      <c r="R200" s="20">
        <f>IF(I200="","",IF(I200="Trading",O200,0))</f>
        <v/>
      </c>
      <c r="S200" s="19">
        <f>IF(I200="","",IF(AND(I200="Gasto",K200="Variable",J200&lt;&gt;"Trading",O200&gt;0,O200&lt;=Umbral),1,0))</f>
        <v/>
      </c>
      <c r="T200" s="20">
        <f>IF(OR(I200="",E200=""),"",IF(OR(I200="Gasto",I200="Transferencia",I200="Pago tarjeta"),-1,1)*C200)</f>
        <v/>
      </c>
      <c r="U200" s="20">
        <f>IF(OR(G200="",AND(I200&lt;&gt;"Transferencia",I200&lt;&gt;"Pago tarjeta")),"",IF(IFERROR(INDEX(ctaMon,MATCH(G200,ctaNom,0))&amp;"","DOP")=N200,C200,IF(N200="USD",C200*TasaUSD,C200/TasaUSD)))</f>
        <v/>
      </c>
      <c r="V200" s="20">
        <f>IF(I200="","",IF(IFERROR(INDEX(ctaLiq,MATCH(E200,ctaNom,0))="Sí",FALSE),IF(OR(I200="Gasto",I200="Transferencia",I200="Pago tarjeta"),-1,1)*O200,0)+IF(AND(U200&lt;&gt;"",IFERROR(INDEX(ctaLiq,MATCH(G200,ctaNom,0))="Sí",FALSE)),O200,0))</f>
        <v/>
      </c>
      <c r="W200" s="19">
        <f>IF(OR(F200="",I200=""),"",IF(COUNTIFS(F$6:F200,F200,I$6:I200,"?*")=1,MAX(W$5:W199)+1,""))</f>
        <v/>
      </c>
    </row>
    <row r="201">
      <c r="B201" s="15" t="n"/>
      <c r="C201" s="16" t="n"/>
      <c r="D201" s="17" t="n"/>
      <c r="E201" s="17" t="n"/>
      <c r="F201" s="17" t="n"/>
      <c r="G201" s="17" t="n"/>
      <c r="H201" s="18">
        <f>IF(AND(B201="",C201="",D201="",E201=""),"",IF(B201="","⚠ Falta fecha",IF(C201="","⚠ Falta monto",IF(D201="","⚠ Falta categoría",IF(ISNA(MATCH(D201,catNom,0)),"⚠ Categoría no existe",IF(E201="","⚠ Falta cuenta",IF(ISNA(MATCH(E201,ctaNom,0)),"⚠ Cuenta no existe",IF(AND(OR(I201="Transferencia",I201="Pago tarjeta"),G201=""),"⚠ Indica la cuenta «Hacia»",IF(AND(G201&lt;&gt;"",G201=E201),"⚠ «Hacia» igual a la cuenta",IF(AND(G201&lt;&gt;"",ISNA(MATCH(G201,ctaNom,0))),"⚠ «Hacia» no existe",IF(AND(I201="Pago tarjeta",IFERROR(INDEX(ctaTipo,MATCH(G201,ctaNom,0)),"")&lt;&gt;"Tarjeta de crédito"),"⚠ «Hacia» debe ser la tarjeta",IF(AND(I201="Trading",IFERROR(INDEX(ctaTipo,MATCH(E201,ctaNom,0)),"")&lt;&gt;"Cuenta de trading"),"⚠ Usa la cuenta de trading","✓"))))))))))))</f>
        <v/>
      </c>
      <c r="I201" s="19">
        <f>IF(OR(B201="",C201="",D201=""),"",IFERROR(INDEX(catTipo,MATCH(D201,catNom,0))&amp;"",""))</f>
        <v/>
      </c>
      <c r="J201" s="19">
        <f>IF(I201="","",IFERROR(INDEX(catGrupo,MATCH(D201,catNom,0))&amp;"",""))</f>
        <v/>
      </c>
      <c r="K201" s="19">
        <f>IF(I201="Gasto",IF(IFERROR(INDEX(catClas,MATCH(D201,catNom,0))&amp;"","")="","Variable",IFERROR(INDEX(catClas,MATCH(D201,catNom,0))&amp;"","")),"")</f>
        <v/>
      </c>
      <c r="L201" s="19">
        <f>IF(I201="","",IFERROR(INDEX(catAlim,MATCH(D201,catNom,0))&amp;"",""))</f>
        <v/>
      </c>
      <c r="M201" s="19">
        <f>IF(I201="","",IFERROR(INDEX(catComida,MATCH(D201,catNom,0))&amp;"",""))</f>
        <v/>
      </c>
      <c r="N201" s="19">
        <f>IF(I201="","",IFERROR(INDEX(ctaMon,MATCH(E201,ctaNom,0))&amp;"","DOP"))</f>
        <v/>
      </c>
      <c r="O201" s="20">
        <f>IF(I201="","",C201*IF(N201="USD",TasaUSD,1))</f>
        <v/>
      </c>
      <c r="P201" s="20">
        <f>IF(I201="","",IF(I201="Gasto",O201,0))</f>
        <v/>
      </c>
      <c r="Q201" s="20">
        <f>IF(I201="","",IF(I201="Ingreso",O201,0))</f>
        <v/>
      </c>
      <c r="R201" s="20">
        <f>IF(I201="","",IF(I201="Trading",O201,0))</f>
        <v/>
      </c>
      <c r="S201" s="19">
        <f>IF(I201="","",IF(AND(I201="Gasto",K201="Variable",J201&lt;&gt;"Trading",O201&gt;0,O201&lt;=Umbral),1,0))</f>
        <v/>
      </c>
      <c r="T201" s="20">
        <f>IF(OR(I201="",E201=""),"",IF(OR(I201="Gasto",I201="Transferencia",I201="Pago tarjeta"),-1,1)*C201)</f>
        <v/>
      </c>
      <c r="U201" s="20">
        <f>IF(OR(G201="",AND(I201&lt;&gt;"Transferencia",I201&lt;&gt;"Pago tarjeta")),"",IF(IFERROR(INDEX(ctaMon,MATCH(G201,ctaNom,0))&amp;"","DOP")=N201,C201,IF(N201="USD",C201*TasaUSD,C201/TasaUSD)))</f>
        <v/>
      </c>
      <c r="V201" s="20">
        <f>IF(I201="","",IF(IFERROR(INDEX(ctaLiq,MATCH(E201,ctaNom,0))="Sí",FALSE),IF(OR(I201="Gasto",I201="Transferencia",I201="Pago tarjeta"),-1,1)*O201,0)+IF(AND(U201&lt;&gt;"",IFERROR(INDEX(ctaLiq,MATCH(G201,ctaNom,0))="Sí",FALSE)),O201,0))</f>
        <v/>
      </c>
      <c r="W201" s="19">
        <f>IF(OR(F201="",I201=""),"",IF(COUNTIFS(F$6:F201,F201,I$6:I201,"?*")=1,MAX(W$5:W200)+1,""))</f>
        <v/>
      </c>
    </row>
    <row r="202">
      <c r="B202" s="15" t="n"/>
      <c r="C202" s="16" t="n"/>
      <c r="D202" s="17" t="n"/>
      <c r="E202" s="17" t="n"/>
      <c r="F202" s="17" t="n"/>
      <c r="G202" s="17" t="n"/>
      <c r="H202" s="18">
        <f>IF(AND(B202="",C202="",D202="",E202=""),"",IF(B202="","⚠ Falta fecha",IF(C202="","⚠ Falta monto",IF(D202="","⚠ Falta categoría",IF(ISNA(MATCH(D202,catNom,0)),"⚠ Categoría no existe",IF(E202="","⚠ Falta cuenta",IF(ISNA(MATCH(E202,ctaNom,0)),"⚠ Cuenta no existe",IF(AND(OR(I202="Transferencia",I202="Pago tarjeta"),G202=""),"⚠ Indica la cuenta «Hacia»",IF(AND(G202&lt;&gt;"",G202=E202),"⚠ «Hacia» igual a la cuenta",IF(AND(G202&lt;&gt;"",ISNA(MATCH(G202,ctaNom,0))),"⚠ «Hacia» no existe",IF(AND(I202="Pago tarjeta",IFERROR(INDEX(ctaTipo,MATCH(G202,ctaNom,0)),"")&lt;&gt;"Tarjeta de crédito"),"⚠ «Hacia» debe ser la tarjeta",IF(AND(I202="Trading",IFERROR(INDEX(ctaTipo,MATCH(E202,ctaNom,0)),"")&lt;&gt;"Cuenta de trading"),"⚠ Usa la cuenta de trading","✓"))))))))))))</f>
        <v/>
      </c>
      <c r="I202" s="19">
        <f>IF(OR(B202="",C202="",D202=""),"",IFERROR(INDEX(catTipo,MATCH(D202,catNom,0))&amp;"",""))</f>
        <v/>
      </c>
      <c r="J202" s="19">
        <f>IF(I202="","",IFERROR(INDEX(catGrupo,MATCH(D202,catNom,0))&amp;"",""))</f>
        <v/>
      </c>
      <c r="K202" s="19">
        <f>IF(I202="Gasto",IF(IFERROR(INDEX(catClas,MATCH(D202,catNom,0))&amp;"","")="","Variable",IFERROR(INDEX(catClas,MATCH(D202,catNom,0))&amp;"","")),"")</f>
        <v/>
      </c>
      <c r="L202" s="19">
        <f>IF(I202="","",IFERROR(INDEX(catAlim,MATCH(D202,catNom,0))&amp;"",""))</f>
        <v/>
      </c>
      <c r="M202" s="19">
        <f>IF(I202="","",IFERROR(INDEX(catComida,MATCH(D202,catNom,0))&amp;"",""))</f>
        <v/>
      </c>
      <c r="N202" s="19">
        <f>IF(I202="","",IFERROR(INDEX(ctaMon,MATCH(E202,ctaNom,0))&amp;"","DOP"))</f>
        <v/>
      </c>
      <c r="O202" s="20">
        <f>IF(I202="","",C202*IF(N202="USD",TasaUSD,1))</f>
        <v/>
      </c>
      <c r="P202" s="20">
        <f>IF(I202="","",IF(I202="Gasto",O202,0))</f>
        <v/>
      </c>
      <c r="Q202" s="20">
        <f>IF(I202="","",IF(I202="Ingreso",O202,0))</f>
        <v/>
      </c>
      <c r="R202" s="20">
        <f>IF(I202="","",IF(I202="Trading",O202,0))</f>
        <v/>
      </c>
      <c r="S202" s="19">
        <f>IF(I202="","",IF(AND(I202="Gasto",K202="Variable",J202&lt;&gt;"Trading",O202&gt;0,O202&lt;=Umbral),1,0))</f>
        <v/>
      </c>
      <c r="T202" s="20">
        <f>IF(OR(I202="",E202=""),"",IF(OR(I202="Gasto",I202="Transferencia",I202="Pago tarjeta"),-1,1)*C202)</f>
        <v/>
      </c>
      <c r="U202" s="20">
        <f>IF(OR(G202="",AND(I202&lt;&gt;"Transferencia",I202&lt;&gt;"Pago tarjeta")),"",IF(IFERROR(INDEX(ctaMon,MATCH(G202,ctaNom,0))&amp;"","DOP")=N202,C202,IF(N202="USD",C202*TasaUSD,C202/TasaUSD)))</f>
        <v/>
      </c>
      <c r="V202" s="20">
        <f>IF(I202="","",IF(IFERROR(INDEX(ctaLiq,MATCH(E202,ctaNom,0))="Sí",FALSE),IF(OR(I202="Gasto",I202="Transferencia",I202="Pago tarjeta"),-1,1)*O202,0)+IF(AND(U202&lt;&gt;"",IFERROR(INDEX(ctaLiq,MATCH(G202,ctaNom,0))="Sí",FALSE)),O202,0))</f>
        <v/>
      </c>
      <c r="W202" s="19">
        <f>IF(OR(F202="",I202=""),"",IF(COUNTIFS(F$6:F202,F202,I$6:I202,"?*")=1,MAX(W$5:W201)+1,""))</f>
        <v/>
      </c>
    </row>
    <row r="203">
      <c r="B203" s="15" t="n"/>
      <c r="C203" s="16" t="n"/>
      <c r="D203" s="17" t="n"/>
      <c r="E203" s="17" t="n"/>
      <c r="F203" s="17" t="n"/>
      <c r="G203" s="17" t="n"/>
      <c r="H203" s="18">
        <f>IF(AND(B203="",C203="",D203="",E203=""),"",IF(B203="","⚠ Falta fecha",IF(C203="","⚠ Falta monto",IF(D203="","⚠ Falta categoría",IF(ISNA(MATCH(D203,catNom,0)),"⚠ Categoría no existe",IF(E203="","⚠ Falta cuenta",IF(ISNA(MATCH(E203,ctaNom,0)),"⚠ Cuenta no existe",IF(AND(OR(I203="Transferencia",I203="Pago tarjeta"),G203=""),"⚠ Indica la cuenta «Hacia»",IF(AND(G203&lt;&gt;"",G203=E203),"⚠ «Hacia» igual a la cuenta",IF(AND(G203&lt;&gt;"",ISNA(MATCH(G203,ctaNom,0))),"⚠ «Hacia» no existe",IF(AND(I203="Pago tarjeta",IFERROR(INDEX(ctaTipo,MATCH(G203,ctaNom,0)),"")&lt;&gt;"Tarjeta de crédito"),"⚠ «Hacia» debe ser la tarjeta",IF(AND(I203="Trading",IFERROR(INDEX(ctaTipo,MATCH(E203,ctaNom,0)),"")&lt;&gt;"Cuenta de trading"),"⚠ Usa la cuenta de trading","✓"))))))))))))</f>
        <v/>
      </c>
      <c r="I203" s="19">
        <f>IF(OR(B203="",C203="",D203=""),"",IFERROR(INDEX(catTipo,MATCH(D203,catNom,0))&amp;"",""))</f>
        <v/>
      </c>
      <c r="J203" s="19">
        <f>IF(I203="","",IFERROR(INDEX(catGrupo,MATCH(D203,catNom,0))&amp;"",""))</f>
        <v/>
      </c>
      <c r="K203" s="19">
        <f>IF(I203="Gasto",IF(IFERROR(INDEX(catClas,MATCH(D203,catNom,0))&amp;"","")="","Variable",IFERROR(INDEX(catClas,MATCH(D203,catNom,0))&amp;"","")),"")</f>
        <v/>
      </c>
      <c r="L203" s="19">
        <f>IF(I203="","",IFERROR(INDEX(catAlim,MATCH(D203,catNom,0))&amp;"",""))</f>
        <v/>
      </c>
      <c r="M203" s="19">
        <f>IF(I203="","",IFERROR(INDEX(catComida,MATCH(D203,catNom,0))&amp;"",""))</f>
        <v/>
      </c>
      <c r="N203" s="19">
        <f>IF(I203="","",IFERROR(INDEX(ctaMon,MATCH(E203,ctaNom,0))&amp;"","DOP"))</f>
        <v/>
      </c>
      <c r="O203" s="20">
        <f>IF(I203="","",C203*IF(N203="USD",TasaUSD,1))</f>
        <v/>
      </c>
      <c r="P203" s="20">
        <f>IF(I203="","",IF(I203="Gasto",O203,0))</f>
        <v/>
      </c>
      <c r="Q203" s="20">
        <f>IF(I203="","",IF(I203="Ingreso",O203,0))</f>
        <v/>
      </c>
      <c r="R203" s="20">
        <f>IF(I203="","",IF(I203="Trading",O203,0))</f>
        <v/>
      </c>
      <c r="S203" s="19">
        <f>IF(I203="","",IF(AND(I203="Gasto",K203="Variable",J203&lt;&gt;"Trading",O203&gt;0,O203&lt;=Umbral),1,0))</f>
        <v/>
      </c>
      <c r="T203" s="20">
        <f>IF(OR(I203="",E203=""),"",IF(OR(I203="Gasto",I203="Transferencia",I203="Pago tarjeta"),-1,1)*C203)</f>
        <v/>
      </c>
      <c r="U203" s="20">
        <f>IF(OR(G203="",AND(I203&lt;&gt;"Transferencia",I203&lt;&gt;"Pago tarjeta")),"",IF(IFERROR(INDEX(ctaMon,MATCH(G203,ctaNom,0))&amp;"","DOP")=N203,C203,IF(N203="USD",C203*TasaUSD,C203/TasaUSD)))</f>
        <v/>
      </c>
      <c r="V203" s="20">
        <f>IF(I203="","",IF(IFERROR(INDEX(ctaLiq,MATCH(E203,ctaNom,0))="Sí",FALSE),IF(OR(I203="Gasto",I203="Transferencia",I203="Pago tarjeta"),-1,1)*O203,0)+IF(AND(U203&lt;&gt;"",IFERROR(INDEX(ctaLiq,MATCH(G203,ctaNom,0))="Sí",FALSE)),O203,0))</f>
        <v/>
      </c>
      <c r="W203" s="19">
        <f>IF(OR(F203="",I203=""),"",IF(COUNTIFS(F$6:F203,F203,I$6:I203,"?*")=1,MAX(W$5:W202)+1,""))</f>
        <v/>
      </c>
    </row>
    <row r="204">
      <c r="B204" s="15" t="n"/>
      <c r="C204" s="16" t="n"/>
      <c r="D204" s="17" t="n"/>
      <c r="E204" s="17" t="n"/>
      <c r="F204" s="17" t="n"/>
      <c r="G204" s="17" t="n"/>
      <c r="H204" s="18">
        <f>IF(AND(B204="",C204="",D204="",E204=""),"",IF(B204="","⚠ Falta fecha",IF(C204="","⚠ Falta monto",IF(D204="","⚠ Falta categoría",IF(ISNA(MATCH(D204,catNom,0)),"⚠ Categoría no existe",IF(E204="","⚠ Falta cuenta",IF(ISNA(MATCH(E204,ctaNom,0)),"⚠ Cuenta no existe",IF(AND(OR(I204="Transferencia",I204="Pago tarjeta"),G204=""),"⚠ Indica la cuenta «Hacia»",IF(AND(G204&lt;&gt;"",G204=E204),"⚠ «Hacia» igual a la cuenta",IF(AND(G204&lt;&gt;"",ISNA(MATCH(G204,ctaNom,0))),"⚠ «Hacia» no existe",IF(AND(I204="Pago tarjeta",IFERROR(INDEX(ctaTipo,MATCH(G204,ctaNom,0)),"")&lt;&gt;"Tarjeta de crédito"),"⚠ «Hacia» debe ser la tarjeta",IF(AND(I204="Trading",IFERROR(INDEX(ctaTipo,MATCH(E204,ctaNom,0)),"")&lt;&gt;"Cuenta de trading"),"⚠ Usa la cuenta de trading","✓"))))))))))))</f>
        <v/>
      </c>
      <c r="I204" s="19">
        <f>IF(OR(B204="",C204="",D204=""),"",IFERROR(INDEX(catTipo,MATCH(D204,catNom,0))&amp;"",""))</f>
        <v/>
      </c>
      <c r="J204" s="19">
        <f>IF(I204="","",IFERROR(INDEX(catGrupo,MATCH(D204,catNom,0))&amp;"",""))</f>
        <v/>
      </c>
      <c r="K204" s="19">
        <f>IF(I204="Gasto",IF(IFERROR(INDEX(catClas,MATCH(D204,catNom,0))&amp;"","")="","Variable",IFERROR(INDEX(catClas,MATCH(D204,catNom,0))&amp;"","")),"")</f>
        <v/>
      </c>
      <c r="L204" s="19">
        <f>IF(I204="","",IFERROR(INDEX(catAlim,MATCH(D204,catNom,0))&amp;"",""))</f>
        <v/>
      </c>
      <c r="M204" s="19">
        <f>IF(I204="","",IFERROR(INDEX(catComida,MATCH(D204,catNom,0))&amp;"",""))</f>
        <v/>
      </c>
      <c r="N204" s="19">
        <f>IF(I204="","",IFERROR(INDEX(ctaMon,MATCH(E204,ctaNom,0))&amp;"","DOP"))</f>
        <v/>
      </c>
      <c r="O204" s="20">
        <f>IF(I204="","",C204*IF(N204="USD",TasaUSD,1))</f>
        <v/>
      </c>
      <c r="P204" s="20">
        <f>IF(I204="","",IF(I204="Gasto",O204,0))</f>
        <v/>
      </c>
      <c r="Q204" s="20">
        <f>IF(I204="","",IF(I204="Ingreso",O204,0))</f>
        <v/>
      </c>
      <c r="R204" s="20">
        <f>IF(I204="","",IF(I204="Trading",O204,0))</f>
        <v/>
      </c>
      <c r="S204" s="19">
        <f>IF(I204="","",IF(AND(I204="Gasto",K204="Variable",J204&lt;&gt;"Trading",O204&gt;0,O204&lt;=Umbral),1,0))</f>
        <v/>
      </c>
      <c r="T204" s="20">
        <f>IF(OR(I204="",E204=""),"",IF(OR(I204="Gasto",I204="Transferencia",I204="Pago tarjeta"),-1,1)*C204)</f>
        <v/>
      </c>
      <c r="U204" s="20">
        <f>IF(OR(G204="",AND(I204&lt;&gt;"Transferencia",I204&lt;&gt;"Pago tarjeta")),"",IF(IFERROR(INDEX(ctaMon,MATCH(G204,ctaNom,0))&amp;"","DOP")=N204,C204,IF(N204="USD",C204*TasaUSD,C204/TasaUSD)))</f>
        <v/>
      </c>
      <c r="V204" s="20">
        <f>IF(I204="","",IF(IFERROR(INDEX(ctaLiq,MATCH(E204,ctaNom,0))="Sí",FALSE),IF(OR(I204="Gasto",I204="Transferencia",I204="Pago tarjeta"),-1,1)*O204,0)+IF(AND(U204&lt;&gt;"",IFERROR(INDEX(ctaLiq,MATCH(G204,ctaNom,0))="Sí",FALSE)),O204,0))</f>
        <v/>
      </c>
      <c r="W204" s="19">
        <f>IF(OR(F204="",I204=""),"",IF(COUNTIFS(F$6:F204,F204,I$6:I204,"?*")=1,MAX(W$5:W203)+1,""))</f>
        <v/>
      </c>
    </row>
    <row r="205">
      <c r="B205" s="15" t="n"/>
      <c r="C205" s="16" t="n"/>
      <c r="D205" s="17" t="n"/>
      <c r="E205" s="17" t="n"/>
      <c r="F205" s="17" t="n"/>
      <c r="G205" s="17" t="n"/>
      <c r="H205" s="18">
        <f>IF(AND(B205="",C205="",D205="",E205=""),"",IF(B205="","⚠ Falta fecha",IF(C205="","⚠ Falta monto",IF(D205="","⚠ Falta categoría",IF(ISNA(MATCH(D205,catNom,0)),"⚠ Categoría no existe",IF(E205="","⚠ Falta cuenta",IF(ISNA(MATCH(E205,ctaNom,0)),"⚠ Cuenta no existe",IF(AND(OR(I205="Transferencia",I205="Pago tarjeta"),G205=""),"⚠ Indica la cuenta «Hacia»",IF(AND(G205&lt;&gt;"",G205=E205),"⚠ «Hacia» igual a la cuenta",IF(AND(G205&lt;&gt;"",ISNA(MATCH(G205,ctaNom,0))),"⚠ «Hacia» no existe",IF(AND(I205="Pago tarjeta",IFERROR(INDEX(ctaTipo,MATCH(G205,ctaNom,0)),"")&lt;&gt;"Tarjeta de crédito"),"⚠ «Hacia» debe ser la tarjeta",IF(AND(I205="Trading",IFERROR(INDEX(ctaTipo,MATCH(E205,ctaNom,0)),"")&lt;&gt;"Cuenta de trading"),"⚠ Usa la cuenta de trading","✓"))))))))))))</f>
        <v/>
      </c>
      <c r="I205" s="19">
        <f>IF(OR(B205="",C205="",D205=""),"",IFERROR(INDEX(catTipo,MATCH(D205,catNom,0))&amp;"",""))</f>
        <v/>
      </c>
      <c r="J205" s="19">
        <f>IF(I205="","",IFERROR(INDEX(catGrupo,MATCH(D205,catNom,0))&amp;"",""))</f>
        <v/>
      </c>
      <c r="K205" s="19">
        <f>IF(I205="Gasto",IF(IFERROR(INDEX(catClas,MATCH(D205,catNom,0))&amp;"","")="","Variable",IFERROR(INDEX(catClas,MATCH(D205,catNom,0))&amp;"","")),"")</f>
        <v/>
      </c>
      <c r="L205" s="19">
        <f>IF(I205="","",IFERROR(INDEX(catAlim,MATCH(D205,catNom,0))&amp;"",""))</f>
        <v/>
      </c>
      <c r="M205" s="19">
        <f>IF(I205="","",IFERROR(INDEX(catComida,MATCH(D205,catNom,0))&amp;"",""))</f>
        <v/>
      </c>
      <c r="N205" s="19">
        <f>IF(I205="","",IFERROR(INDEX(ctaMon,MATCH(E205,ctaNom,0))&amp;"","DOP"))</f>
        <v/>
      </c>
      <c r="O205" s="20">
        <f>IF(I205="","",C205*IF(N205="USD",TasaUSD,1))</f>
        <v/>
      </c>
      <c r="P205" s="20">
        <f>IF(I205="","",IF(I205="Gasto",O205,0))</f>
        <v/>
      </c>
      <c r="Q205" s="20">
        <f>IF(I205="","",IF(I205="Ingreso",O205,0))</f>
        <v/>
      </c>
      <c r="R205" s="20">
        <f>IF(I205="","",IF(I205="Trading",O205,0))</f>
        <v/>
      </c>
      <c r="S205" s="19">
        <f>IF(I205="","",IF(AND(I205="Gasto",K205="Variable",J205&lt;&gt;"Trading",O205&gt;0,O205&lt;=Umbral),1,0))</f>
        <v/>
      </c>
      <c r="T205" s="20">
        <f>IF(OR(I205="",E205=""),"",IF(OR(I205="Gasto",I205="Transferencia",I205="Pago tarjeta"),-1,1)*C205)</f>
        <v/>
      </c>
      <c r="U205" s="20">
        <f>IF(OR(G205="",AND(I205&lt;&gt;"Transferencia",I205&lt;&gt;"Pago tarjeta")),"",IF(IFERROR(INDEX(ctaMon,MATCH(G205,ctaNom,0))&amp;"","DOP")=N205,C205,IF(N205="USD",C205*TasaUSD,C205/TasaUSD)))</f>
        <v/>
      </c>
      <c r="V205" s="20">
        <f>IF(I205="","",IF(IFERROR(INDEX(ctaLiq,MATCH(E205,ctaNom,0))="Sí",FALSE),IF(OR(I205="Gasto",I205="Transferencia",I205="Pago tarjeta"),-1,1)*O205,0)+IF(AND(U205&lt;&gt;"",IFERROR(INDEX(ctaLiq,MATCH(G205,ctaNom,0))="Sí",FALSE)),O205,0))</f>
        <v/>
      </c>
      <c r="W205" s="19">
        <f>IF(OR(F205="",I205=""),"",IF(COUNTIFS(F$6:F205,F205,I$6:I205,"?*")=1,MAX(W$5:W204)+1,""))</f>
        <v/>
      </c>
    </row>
    <row r="206">
      <c r="B206" s="15" t="n"/>
      <c r="C206" s="16" t="n"/>
      <c r="D206" s="17" t="n"/>
      <c r="E206" s="17" t="n"/>
      <c r="F206" s="17" t="n"/>
      <c r="G206" s="17" t="n"/>
      <c r="H206" s="18">
        <f>IF(AND(B206="",C206="",D206="",E206=""),"",IF(B206="","⚠ Falta fecha",IF(C206="","⚠ Falta monto",IF(D206="","⚠ Falta categoría",IF(ISNA(MATCH(D206,catNom,0)),"⚠ Categoría no existe",IF(E206="","⚠ Falta cuenta",IF(ISNA(MATCH(E206,ctaNom,0)),"⚠ Cuenta no existe",IF(AND(OR(I206="Transferencia",I206="Pago tarjeta"),G206=""),"⚠ Indica la cuenta «Hacia»",IF(AND(G206&lt;&gt;"",G206=E206),"⚠ «Hacia» igual a la cuenta",IF(AND(G206&lt;&gt;"",ISNA(MATCH(G206,ctaNom,0))),"⚠ «Hacia» no existe",IF(AND(I206="Pago tarjeta",IFERROR(INDEX(ctaTipo,MATCH(G206,ctaNom,0)),"")&lt;&gt;"Tarjeta de crédito"),"⚠ «Hacia» debe ser la tarjeta",IF(AND(I206="Trading",IFERROR(INDEX(ctaTipo,MATCH(E206,ctaNom,0)),"")&lt;&gt;"Cuenta de trading"),"⚠ Usa la cuenta de trading","✓"))))))))))))</f>
        <v/>
      </c>
      <c r="I206" s="19">
        <f>IF(OR(B206="",C206="",D206=""),"",IFERROR(INDEX(catTipo,MATCH(D206,catNom,0))&amp;"",""))</f>
        <v/>
      </c>
      <c r="J206" s="19">
        <f>IF(I206="","",IFERROR(INDEX(catGrupo,MATCH(D206,catNom,0))&amp;"",""))</f>
        <v/>
      </c>
      <c r="K206" s="19">
        <f>IF(I206="Gasto",IF(IFERROR(INDEX(catClas,MATCH(D206,catNom,0))&amp;"","")="","Variable",IFERROR(INDEX(catClas,MATCH(D206,catNom,0))&amp;"","")),"")</f>
        <v/>
      </c>
      <c r="L206" s="19">
        <f>IF(I206="","",IFERROR(INDEX(catAlim,MATCH(D206,catNom,0))&amp;"",""))</f>
        <v/>
      </c>
      <c r="M206" s="19">
        <f>IF(I206="","",IFERROR(INDEX(catComida,MATCH(D206,catNom,0))&amp;"",""))</f>
        <v/>
      </c>
      <c r="N206" s="19">
        <f>IF(I206="","",IFERROR(INDEX(ctaMon,MATCH(E206,ctaNom,0))&amp;"","DOP"))</f>
        <v/>
      </c>
      <c r="O206" s="20">
        <f>IF(I206="","",C206*IF(N206="USD",TasaUSD,1))</f>
        <v/>
      </c>
      <c r="P206" s="20">
        <f>IF(I206="","",IF(I206="Gasto",O206,0))</f>
        <v/>
      </c>
      <c r="Q206" s="20">
        <f>IF(I206="","",IF(I206="Ingreso",O206,0))</f>
        <v/>
      </c>
      <c r="R206" s="20">
        <f>IF(I206="","",IF(I206="Trading",O206,0))</f>
        <v/>
      </c>
      <c r="S206" s="19">
        <f>IF(I206="","",IF(AND(I206="Gasto",K206="Variable",J206&lt;&gt;"Trading",O206&gt;0,O206&lt;=Umbral),1,0))</f>
        <v/>
      </c>
      <c r="T206" s="20">
        <f>IF(OR(I206="",E206=""),"",IF(OR(I206="Gasto",I206="Transferencia",I206="Pago tarjeta"),-1,1)*C206)</f>
        <v/>
      </c>
      <c r="U206" s="20">
        <f>IF(OR(G206="",AND(I206&lt;&gt;"Transferencia",I206&lt;&gt;"Pago tarjeta")),"",IF(IFERROR(INDEX(ctaMon,MATCH(G206,ctaNom,0))&amp;"","DOP")=N206,C206,IF(N206="USD",C206*TasaUSD,C206/TasaUSD)))</f>
        <v/>
      </c>
      <c r="V206" s="20">
        <f>IF(I206="","",IF(IFERROR(INDEX(ctaLiq,MATCH(E206,ctaNom,0))="Sí",FALSE),IF(OR(I206="Gasto",I206="Transferencia",I206="Pago tarjeta"),-1,1)*O206,0)+IF(AND(U206&lt;&gt;"",IFERROR(INDEX(ctaLiq,MATCH(G206,ctaNom,0))="Sí",FALSE)),O206,0))</f>
        <v/>
      </c>
      <c r="W206" s="19">
        <f>IF(OR(F206="",I206=""),"",IF(COUNTIFS(F$6:F206,F206,I$6:I206,"?*")=1,MAX(W$5:W205)+1,""))</f>
        <v/>
      </c>
    </row>
    <row r="207">
      <c r="B207" s="15" t="n"/>
      <c r="C207" s="16" t="n"/>
      <c r="D207" s="17" t="n"/>
      <c r="E207" s="17" t="n"/>
      <c r="F207" s="17" t="n"/>
      <c r="G207" s="17" t="n"/>
      <c r="H207" s="18">
        <f>IF(AND(B207="",C207="",D207="",E207=""),"",IF(B207="","⚠ Falta fecha",IF(C207="","⚠ Falta monto",IF(D207="","⚠ Falta categoría",IF(ISNA(MATCH(D207,catNom,0)),"⚠ Categoría no existe",IF(E207="","⚠ Falta cuenta",IF(ISNA(MATCH(E207,ctaNom,0)),"⚠ Cuenta no existe",IF(AND(OR(I207="Transferencia",I207="Pago tarjeta"),G207=""),"⚠ Indica la cuenta «Hacia»",IF(AND(G207&lt;&gt;"",G207=E207),"⚠ «Hacia» igual a la cuenta",IF(AND(G207&lt;&gt;"",ISNA(MATCH(G207,ctaNom,0))),"⚠ «Hacia» no existe",IF(AND(I207="Pago tarjeta",IFERROR(INDEX(ctaTipo,MATCH(G207,ctaNom,0)),"")&lt;&gt;"Tarjeta de crédito"),"⚠ «Hacia» debe ser la tarjeta",IF(AND(I207="Trading",IFERROR(INDEX(ctaTipo,MATCH(E207,ctaNom,0)),"")&lt;&gt;"Cuenta de trading"),"⚠ Usa la cuenta de trading","✓"))))))))))))</f>
        <v/>
      </c>
      <c r="I207" s="19">
        <f>IF(OR(B207="",C207="",D207=""),"",IFERROR(INDEX(catTipo,MATCH(D207,catNom,0))&amp;"",""))</f>
        <v/>
      </c>
      <c r="J207" s="19">
        <f>IF(I207="","",IFERROR(INDEX(catGrupo,MATCH(D207,catNom,0))&amp;"",""))</f>
        <v/>
      </c>
      <c r="K207" s="19">
        <f>IF(I207="Gasto",IF(IFERROR(INDEX(catClas,MATCH(D207,catNom,0))&amp;"","")="","Variable",IFERROR(INDEX(catClas,MATCH(D207,catNom,0))&amp;"","")),"")</f>
        <v/>
      </c>
      <c r="L207" s="19">
        <f>IF(I207="","",IFERROR(INDEX(catAlim,MATCH(D207,catNom,0))&amp;"",""))</f>
        <v/>
      </c>
      <c r="M207" s="19">
        <f>IF(I207="","",IFERROR(INDEX(catComida,MATCH(D207,catNom,0))&amp;"",""))</f>
        <v/>
      </c>
      <c r="N207" s="19">
        <f>IF(I207="","",IFERROR(INDEX(ctaMon,MATCH(E207,ctaNom,0))&amp;"","DOP"))</f>
        <v/>
      </c>
      <c r="O207" s="20">
        <f>IF(I207="","",C207*IF(N207="USD",TasaUSD,1))</f>
        <v/>
      </c>
      <c r="P207" s="20">
        <f>IF(I207="","",IF(I207="Gasto",O207,0))</f>
        <v/>
      </c>
      <c r="Q207" s="20">
        <f>IF(I207="","",IF(I207="Ingreso",O207,0))</f>
        <v/>
      </c>
      <c r="R207" s="20">
        <f>IF(I207="","",IF(I207="Trading",O207,0))</f>
        <v/>
      </c>
      <c r="S207" s="19">
        <f>IF(I207="","",IF(AND(I207="Gasto",K207="Variable",J207&lt;&gt;"Trading",O207&gt;0,O207&lt;=Umbral),1,0))</f>
        <v/>
      </c>
      <c r="T207" s="20">
        <f>IF(OR(I207="",E207=""),"",IF(OR(I207="Gasto",I207="Transferencia",I207="Pago tarjeta"),-1,1)*C207)</f>
        <v/>
      </c>
      <c r="U207" s="20">
        <f>IF(OR(G207="",AND(I207&lt;&gt;"Transferencia",I207&lt;&gt;"Pago tarjeta")),"",IF(IFERROR(INDEX(ctaMon,MATCH(G207,ctaNom,0))&amp;"","DOP")=N207,C207,IF(N207="USD",C207*TasaUSD,C207/TasaUSD)))</f>
        <v/>
      </c>
      <c r="V207" s="20">
        <f>IF(I207="","",IF(IFERROR(INDEX(ctaLiq,MATCH(E207,ctaNom,0))="Sí",FALSE),IF(OR(I207="Gasto",I207="Transferencia",I207="Pago tarjeta"),-1,1)*O207,0)+IF(AND(U207&lt;&gt;"",IFERROR(INDEX(ctaLiq,MATCH(G207,ctaNom,0))="Sí",FALSE)),O207,0))</f>
        <v/>
      </c>
      <c r="W207" s="19">
        <f>IF(OR(F207="",I207=""),"",IF(COUNTIFS(F$6:F207,F207,I$6:I207,"?*")=1,MAX(W$5:W206)+1,""))</f>
        <v/>
      </c>
    </row>
    <row r="208">
      <c r="B208" s="15" t="n"/>
      <c r="C208" s="16" t="n"/>
      <c r="D208" s="17" t="n"/>
      <c r="E208" s="17" t="n"/>
      <c r="F208" s="17" t="n"/>
      <c r="G208" s="17" t="n"/>
      <c r="H208" s="18">
        <f>IF(AND(B208="",C208="",D208="",E208=""),"",IF(B208="","⚠ Falta fecha",IF(C208="","⚠ Falta monto",IF(D208="","⚠ Falta categoría",IF(ISNA(MATCH(D208,catNom,0)),"⚠ Categoría no existe",IF(E208="","⚠ Falta cuenta",IF(ISNA(MATCH(E208,ctaNom,0)),"⚠ Cuenta no existe",IF(AND(OR(I208="Transferencia",I208="Pago tarjeta"),G208=""),"⚠ Indica la cuenta «Hacia»",IF(AND(G208&lt;&gt;"",G208=E208),"⚠ «Hacia» igual a la cuenta",IF(AND(G208&lt;&gt;"",ISNA(MATCH(G208,ctaNom,0))),"⚠ «Hacia» no existe",IF(AND(I208="Pago tarjeta",IFERROR(INDEX(ctaTipo,MATCH(G208,ctaNom,0)),"")&lt;&gt;"Tarjeta de crédito"),"⚠ «Hacia» debe ser la tarjeta",IF(AND(I208="Trading",IFERROR(INDEX(ctaTipo,MATCH(E208,ctaNom,0)),"")&lt;&gt;"Cuenta de trading"),"⚠ Usa la cuenta de trading","✓"))))))))))))</f>
        <v/>
      </c>
      <c r="I208" s="19">
        <f>IF(OR(B208="",C208="",D208=""),"",IFERROR(INDEX(catTipo,MATCH(D208,catNom,0))&amp;"",""))</f>
        <v/>
      </c>
      <c r="J208" s="19">
        <f>IF(I208="","",IFERROR(INDEX(catGrupo,MATCH(D208,catNom,0))&amp;"",""))</f>
        <v/>
      </c>
      <c r="K208" s="19">
        <f>IF(I208="Gasto",IF(IFERROR(INDEX(catClas,MATCH(D208,catNom,0))&amp;"","")="","Variable",IFERROR(INDEX(catClas,MATCH(D208,catNom,0))&amp;"","")),"")</f>
        <v/>
      </c>
      <c r="L208" s="19">
        <f>IF(I208="","",IFERROR(INDEX(catAlim,MATCH(D208,catNom,0))&amp;"",""))</f>
        <v/>
      </c>
      <c r="M208" s="19">
        <f>IF(I208="","",IFERROR(INDEX(catComida,MATCH(D208,catNom,0))&amp;"",""))</f>
        <v/>
      </c>
      <c r="N208" s="19">
        <f>IF(I208="","",IFERROR(INDEX(ctaMon,MATCH(E208,ctaNom,0))&amp;"","DOP"))</f>
        <v/>
      </c>
      <c r="O208" s="20">
        <f>IF(I208="","",C208*IF(N208="USD",TasaUSD,1))</f>
        <v/>
      </c>
      <c r="P208" s="20">
        <f>IF(I208="","",IF(I208="Gasto",O208,0))</f>
        <v/>
      </c>
      <c r="Q208" s="20">
        <f>IF(I208="","",IF(I208="Ingreso",O208,0))</f>
        <v/>
      </c>
      <c r="R208" s="20">
        <f>IF(I208="","",IF(I208="Trading",O208,0))</f>
        <v/>
      </c>
      <c r="S208" s="19">
        <f>IF(I208="","",IF(AND(I208="Gasto",K208="Variable",J208&lt;&gt;"Trading",O208&gt;0,O208&lt;=Umbral),1,0))</f>
        <v/>
      </c>
      <c r="T208" s="20">
        <f>IF(OR(I208="",E208=""),"",IF(OR(I208="Gasto",I208="Transferencia",I208="Pago tarjeta"),-1,1)*C208)</f>
        <v/>
      </c>
      <c r="U208" s="20">
        <f>IF(OR(G208="",AND(I208&lt;&gt;"Transferencia",I208&lt;&gt;"Pago tarjeta")),"",IF(IFERROR(INDEX(ctaMon,MATCH(G208,ctaNom,0))&amp;"","DOP")=N208,C208,IF(N208="USD",C208*TasaUSD,C208/TasaUSD)))</f>
        <v/>
      </c>
      <c r="V208" s="20">
        <f>IF(I208="","",IF(IFERROR(INDEX(ctaLiq,MATCH(E208,ctaNom,0))="Sí",FALSE),IF(OR(I208="Gasto",I208="Transferencia",I208="Pago tarjeta"),-1,1)*O208,0)+IF(AND(U208&lt;&gt;"",IFERROR(INDEX(ctaLiq,MATCH(G208,ctaNom,0))="Sí",FALSE)),O208,0))</f>
        <v/>
      </c>
      <c r="W208" s="19">
        <f>IF(OR(F208="",I208=""),"",IF(COUNTIFS(F$6:F208,F208,I$6:I208,"?*")=1,MAX(W$5:W207)+1,""))</f>
        <v/>
      </c>
    </row>
    <row r="209">
      <c r="B209" s="15" t="n"/>
      <c r="C209" s="16" t="n"/>
      <c r="D209" s="17" t="n"/>
      <c r="E209" s="17" t="n"/>
      <c r="F209" s="17" t="n"/>
      <c r="G209" s="17" t="n"/>
      <c r="H209" s="18">
        <f>IF(AND(B209="",C209="",D209="",E209=""),"",IF(B209="","⚠ Falta fecha",IF(C209="","⚠ Falta monto",IF(D209="","⚠ Falta categoría",IF(ISNA(MATCH(D209,catNom,0)),"⚠ Categoría no existe",IF(E209="","⚠ Falta cuenta",IF(ISNA(MATCH(E209,ctaNom,0)),"⚠ Cuenta no existe",IF(AND(OR(I209="Transferencia",I209="Pago tarjeta"),G209=""),"⚠ Indica la cuenta «Hacia»",IF(AND(G209&lt;&gt;"",G209=E209),"⚠ «Hacia» igual a la cuenta",IF(AND(G209&lt;&gt;"",ISNA(MATCH(G209,ctaNom,0))),"⚠ «Hacia» no existe",IF(AND(I209="Pago tarjeta",IFERROR(INDEX(ctaTipo,MATCH(G209,ctaNom,0)),"")&lt;&gt;"Tarjeta de crédito"),"⚠ «Hacia» debe ser la tarjeta",IF(AND(I209="Trading",IFERROR(INDEX(ctaTipo,MATCH(E209,ctaNom,0)),"")&lt;&gt;"Cuenta de trading"),"⚠ Usa la cuenta de trading","✓"))))))))))))</f>
        <v/>
      </c>
      <c r="I209" s="19">
        <f>IF(OR(B209="",C209="",D209=""),"",IFERROR(INDEX(catTipo,MATCH(D209,catNom,0))&amp;"",""))</f>
        <v/>
      </c>
      <c r="J209" s="19">
        <f>IF(I209="","",IFERROR(INDEX(catGrupo,MATCH(D209,catNom,0))&amp;"",""))</f>
        <v/>
      </c>
      <c r="K209" s="19">
        <f>IF(I209="Gasto",IF(IFERROR(INDEX(catClas,MATCH(D209,catNom,0))&amp;"","")="","Variable",IFERROR(INDEX(catClas,MATCH(D209,catNom,0))&amp;"","")),"")</f>
        <v/>
      </c>
      <c r="L209" s="19">
        <f>IF(I209="","",IFERROR(INDEX(catAlim,MATCH(D209,catNom,0))&amp;"",""))</f>
        <v/>
      </c>
      <c r="M209" s="19">
        <f>IF(I209="","",IFERROR(INDEX(catComida,MATCH(D209,catNom,0))&amp;"",""))</f>
        <v/>
      </c>
      <c r="N209" s="19">
        <f>IF(I209="","",IFERROR(INDEX(ctaMon,MATCH(E209,ctaNom,0))&amp;"","DOP"))</f>
        <v/>
      </c>
      <c r="O209" s="20">
        <f>IF(I209="","",C209*IF(N209="USD",TasaUSD,1))</f>
        <v/>
      </c>
      <c r="P209" s="20">
        <f>IF(I209="","",IF(I209="Gasto",O209,0))</f>
        <v/>
      </c>
      <c r="Q209" s="20">
        <f>IF(I209="","",IF(I209="Ingreso",O209,0))</f>
        <v/>
      </c>
      <c r="R209" s="20">
        <f>IF(I209="","",IF(I209="Trading",O209,0))</f>
        <v/>
      </c>
      <c r="S209" s="19">
        <f>IF(I209="","",IF(AND(I209="Gasto",K209="Variable",J209&lt;&gt;"Trading",O209&gt;0,O209&lt;=Umbral),1,0))</f>
        <v/>
      </c>
      <c r="T209" s="20">
        <f>IF(OR(I209="",E209=""),"",IF(OR(I209="Gasto",I209="Transferencia",I209="Pago tarjeta"),-1,1)*C209)</f>
        <v/>
      </c>
      <c r="U209" s="20">
        <f>IF(OR(G209="",AND(I209&lt;&gt;"Transferencia",I209&lt;&gt;"Pago tarjeta")),"",IF(IFERROR(INDEX(ctaMon,MATCH(G209,ctaNom,0))&amp;"","DOP")=N209,C209,IF(N209="USD",C209*TasaUSD,C209/TasaUSD)))</f>
        <v/>
      </c>
      <c r="V209" s="20">
        <f>IF(I209="","",IF(IFERROR(INDEX(ctaLiq,MATCH(E209,ctaNom,0))="Sí",FALSE),IF(OR(I209="Gasto",I209="Transferencia",I209="Pago tarjeta"),-1,1)*O209,0)+IF(AND(U209&lt;&gt;"",IFERROR(INDEX(ctaLiq,MATCH(G209,ctaNom,0))="Sí",FALSE)),O209,0))</f>
        <v/>
      </c>
      <c r="W209" s="19">
        <f>IF(OR(F209="",I209=""),"",IF(COUNTIFS(F$6:F209,F209,I$6:I209,"?*")=1,MAX(W$5:W208)+1,""))</f>
        <v/>
      </c>
    </row>
    <row r="210">
      <c r="B210" s="15" t="n"/>
      <c r="C210" s="16" t="n"/>
      <c r="D210" s="17" t="n"/>
      <c r="E210" s="17" t="n"/>
      <c r="F210" s="17" t="n"/>
      <c r="G210" s="17" t="n"/>
      <c r="H210" s="18">
        <f>IF(AND(B210="",C210="",D210="",E210=""),"",IF(B210="","⚠ Falta fecha",IF(C210="","⚠ Falta monto",IF(D210="","⚠ Falta categoría",IF(ISNA(MATCH(D210,catNom,0)),"⚠ Categoría no existe",IF(E210="","⚠ Falta cuenta",IF(ISNA(MATCH(E210,ctaNom,0)),"⚠ Cuenta no existe",IF(AND(OR(I210="Transferencia",I210="Pago tarjeta"),G210=""),"⚠ Indica la cuenta «Hacia»",IF(AND(G210&lt;&gt;"",G210=E210),"⚠ «Hacia» igual a la cuenta",IF(AND(G210&lt;&gt;"",ISNA(MATCH(G210,ctaNom,0))),"⚠ «Hacia» no existe",IF(AND(I210="Pago tarjeta",IFERROR(INDEX(ctaTipo,MATCH(G210,ctaNom,0)),"")&lt;&gt;"Tarjeta de crédito"),"⚠ «Hacia» debe ser la tarjeta",IF(AND(I210="Trading",IFERROR(INDEX(ctaTipo,MATCH(E210,ctaNom,0)),"")&lt;&gt;"Cuenta de trading"),"⚠ Usa la cuenta de trading","✓"))))))))))))</f>
        <v/>
      </c>
      <c r="I210" s="19">
        <f>IF(OR(B210="",C210="",D210=""),"",IFERROR(INDEX(catTipo,MATCH(D210,catNom,0))&amp;"",""))</f>
        <v/>
      </c>
      <c r="J210" s="19">
        <f>IF(I210="","",IFERROR(INDEX(catGrupo,MATCH(D210,catNom,0))&amp;"",""))</f>
        <v/>
      </c>
      <c r="K210" s="19">
        <f>IF(I210="Gasto",IF(IFERROR(INDEX(catClas,MATCH(D210,catNom,0))&amp;"","")="","Variable",IFERROR(INDEX(catClas,MATCH(D210,catNom,0))&amp;"","")),"")</f>
        <v/>
      </c>
      <c r="L210" s="19">
        <f>IF(I210="","",IFERROR(INDEX(catAlim,MATCH(D210,catNom,0))&amp;"",""))</f>
        <v/>
      </c>
      <c r="M210" s="19">
        <f>IF(I210="","",IFERROR(INDEX(catComida,MATCH(D210,catNom,0))&amp;"",""))</f>
        <v/>
      </c>
      <c r="N210" s="19">
        <f>IF(I210="","",IFERROR(INDEX(ctaMon,MATCH(E210,ctaNom,0))&amp;"","DOP"))</f>
        <v/>
      </c>
      <c r="O210" s="20">
        <f>IF(I210="","",C210*IF(N210="USD",TasaUSD,1))</f>
        <v/>
      </c>
      <c r="P210" s="20">
        <f>IF(I210="","",IF(I210="Gasto",O210,0))</f>
        <v/>
      </c>
      <c r="Q210" s="20">
        <f>IF(I210="","",IF(I210="Ingreso",O210,0))</f>
        <v/>
      </c>
      <c r="R210" s="20">
        <f>IF(I210="","",IF(I210="Trading",O210,0))</f>
        <v/>
      </c>
      <c r="S210" s="19">
        <f>IF(I210="","",IF(AND(I210="Gasto",K210="Variable",J210&lt;&gt;"Trading",O210&gt;0,O210&lt;=Umbral),1,0))</f>
        <v/>
      </c>
      <c r="T210" s="20">
        <f>IF(OR(I210="",E210=""),"",IF(OR(I210="Gasto",I210="Transferencia",I210="Pago tarjeta"),-1,1)*C210)</f>
        <v/>
      </c>
      <c r="U210" s="20">
        <f>IF(OR(G210="",AND(I210&lt;&gt;"Transferencia",I210&lt;&gt;"Pago tarjeta")),"",IF(IFERROR(INDEX(ctaMon,MATCH(G210,ctaNom,0))&amp;"","DOP")=N210,C210,IF(N210="USD",C210*TasaUSD,C210/TasaUSD)))</f>
        <v/>
      </c>
      <c r="V210" s="20">
        <f>IF(I210="","",IF(IFERROR(INDEX(ctaLiq,MATCH(E210,ctaNom,0))="Sí",FALSE),IF(OR(I210="Gasto",I210="Transferencia",I210="Pago tarjeta"),-1,1)*O210,0)+IF(AND(U210&lt;&gt;"",IFERROR(INDEX(ctaLiq,MATCH(G210,ctaNom,0))="Sí",FALSE)),O210,0))</f>
        <v/>
      </c>
      <c r="W210" s="19">
        <f>IF(OR(F210="",I210=""),"",IF(COUNTIFS(F$6:F210,F210,I$6:I210,"?*")=1,MAX(W$5:W209)+1,""))</f>
        <v/>
      </c>
    </row>
    <row r="211">
      <c r="B211" s="15" t="n"/>
      <c r="C211" s="16" t="n"/>
      <c r="D211" s="17" t="n"/>
      <c r="E211" s="17" t="n"/>
      <c r="F211" s="17" t="n"/>
      <c r="G211" s="17" t="n"/>
      <c r="H211" s="18">
        <f>IF(AND(B211="",C211="",D211="",E211=""),"",IF(B211="","⚠ Falta fecha",IF(C211="","⚠ Falta monto",IF(D211="","⚠ Falta categoría",IF(ISNA(MATCH(D211,catNom,0)),"⚠ Categoría no existe",IF(E211="","⚠ Falta cuenta",IF(ISNA(MATCH(E211,ctaNom,0)),"⚠ Cuenta no existe",IF(AND(OR(I211="Transferencia",I211="Pago tarjeta"),G211=""),"⚠ Indica la cuenta «Hacia»",IF(AND(G211&lt;&gt;"",G211=E211),"⚠ «Hacia» igual a la cuenta",IF(AND(G211&lt;&gt;"",ISNA(MATCH(G211,ctaNom,0))),"⚠ «Hacia» no existe",IF(AND(I211="Pago tarjeta",IFERROR(INDEX(ctaTipo,MATCH(G211,ctaNom,0)),"")&lt;&gt;"Tarjeta de crédito"),"⚠ «Hacia» debe ser la tarjeta",IF(AND(I211="Trading",IFERROR(INDEX(ctaTipo,MATCH(E211,ctaNom,0)),"")&lt;&gt;"Cuenta de trading"),"⚠ Usa la cuenta de trading","✓"))))))))))))</f>
        <v/>
      </c>
      <c r="I211" s="19">
        <f>IF(OR(B211="",C211="",D211=""),"",IFERROR(INDEX(catTipo,MATCH(D211,catNom,0))&amp;"",""))</f>
        <v/>
      </c>
      <c r="J211" s="19">
        <f>IF(I211="","",IFERROR(INDEX(catGrupo,MATCH(D211,catNom,0))&amp;"",""))</f>
        <v/>
      </c>
      <c r="K211" s="19">
        <f>IF(I211="Gasto",IF(IFERROR(INDEX(catClas,MATCH(D211,catNom,0))&amp;"","")="","Variable",IFERROR(INDEX(catClas,MATCH(D211,catNom,0))&amp;"","")),"")</f>
        <v/>
      </c>
      <c r="L211" s="19">
        <f>IF(I211="","",IFERROR(INDEX(catAlim,MATCH(D211,catNom,0))&amp;"",""))</f>
        <v/>
      </c>
      <c r="M211" s="19">
        <f>IF(I211="","",IFERROR(INDEX(catComida,MATCH(D211,catNom,0))&amp;"",""))</f>
        <v/>
      </c>
      <c r="N211" s="19">
        <f>IF(I211="","",IFERROR(INDEX(ctaMon,MATCH(E211,ctaNom,0))&amp;"","DOP"))</f>
        <v/>
      </c>
      <c r="O211" s="20">
        <f>IF(I211="","",C211*IF(N211="USD",TasaUSD,1))</f>
        <v/>
      </c>
      <c r="P211" s="20">
        <f>IF(I211="","",IF(I211="Gasto",O211,0))</f>
        <v/>
      </c>
      <c r="Q211" s="20">
        <f>IF(I211="","",IF(I211="Ingreso",O211,0))</f>
        <v/>
      </c>
      <c r="R211" s="20">
        <f>IF(I211="","",IF(I211="Trading",O211,0))</f>
        <v/>
      </c>
      <c r="S211" s="19">
        <f>IF(I211="","",IF(AND(I211="Gasto",K211="Variable",J211&lt;&gt;"Trading",O211&gt;0,O211&lt;=Umbral),1,0))</f>
        <v/>
      </c>
      <c r="T211" s="20">
        <f>IF(OR(I211="",E211=""),"",IF(OR(I211="Gasto",I211="Transferencia",I211="Pago tarjeta"),-1,1)*C211)</f>
        <v/>
      </c>
      <c r="U211" s="20">
        <f>IF(OR(G211="",AND(I211&lt;&gt;"Transferencia",I211&lt;&gt;"Pago tarjeta")),"",IF(IFERROR(INDEX(ctaMon,MATCH(G211,ctaNom,0))&amp;"","DOP")=N211,C211,IF(N211="USD",C211*TasaUSD,C211/TasaUSD)))</f>
        <v/>
      </c>
      <c r="V211" s="20">
        <f>IF(I211="","",IF(IFERROR(INDEX(ctaLiq,MATCH(E211,ctaNom,0))="Sí",FALSE),IF(OR(I211="Gasto",I211="Transferencia",I211="Pago tarjeta"),-1,1)*O211,0)+IF(AND(U211&lt;&gt;"",IFERROR(INDEX(ctaLiq,MATCH(G211,ctaNom,0))="Sí",FALSE)),O211,0))</f>
        <v/>
      </c>
      <c r="W211" s="19">
        <f>IF(OR(F211="",I211=""),"",IF(COUNTIFS(F$6:F211,F211,I$6:I211,"?*")=1,MAX(W$5:W210)+1,""))</f>
        <v/>
      </c>
    </row>
    <row r="212">
      <c r="B212" s="15" t="n"/>
      <c r="C212" s="16" t="n"/>
      <c r="D212" s="17" t="n"/>
      <c r="E212" s="17" t="n"/>
      <c r="F212" s="17" t="n"/>
      <c r="G212" s="17" t="n"/>
      <c r="H212" s="18">
        <f>IF(AND(B212="",C212="",D212="",E212=""),"",IF(B212="","⚠ Falta fecha",IF(C212="","⚠ Falta monto",IF(D212="","⚠ Falta categoría",IF(ISNA(MATCH(D212,catNom,0)),"⚠ Categoría no existe",IF(E212="","⚠ Falta cuenta",IF(ISNA(MATCH(E212,ctaNom,0)),"⚠ Cuenta no existe",IF(AND(OR(I212="Transferencia",I212="Pago tarjeta"),G212=""),"⚠ Indica la cuenta «Hacia»",IF(AND(G212&lt;&gt;"",G212=E212),"⚠ «Hacia» igual a la cuenta",IF(AND(G212&lt;&gt;"",ISNA(MATCH(G212,ctaNom,0))),"⚠ «Hacia» no existe",IF(AND(I212="Pago tarjeta",IFERROR(INDEX(ctaTipo,MATCH(G212,ctaNom,0)),"")&lt;&gt;"Tarjeta de crédito"),"⚠ «Hacia» debe ser la tarjeta",IF(AND(I212="Trading",IFERROR(INDEX(ctaTipo,MATCH(E212,ctaNom,0)),"")&lt;&gt;"Cuenta de trading"),"⚠ Usa la cuenta de trading","✓"))))))))))))</f>
        <v/>
      </c>
      <c r="I212" s="19">
        <f>IF(OR(B212="",C212="",D212=""),"",IFERROR(INDEX(catTipo,MATCH(D212,catNom,0))&amp;"",""))</f>
        <v/>
      </c>
      <c r="J212" s="19">
        <f>IF(I212="","",IFERROR(INDEX(catGrupo,MATCH(D212,catNom,0))&amp;"",""))</f>
        <v/>
      </c>
      <c r="K212" s="19">
        <f>IF(I212="Gasto",IF(IFERROR(INDEX(catClas,MATCH(D212,catNom,0))&amp;"","")="","Variable",IFERROR(INDEX(catClas,MATCH(D212,catNom,0))&amp;"","")),"")</f>
        <v/>
      </c>
      <c r="L212" s="19">
        <f>IF(I212="","",IFERROR(INDEX(catAlim,MATCH(D212,catNom,0))&amp;"",""))</f>
        <v/>
      </c>
      <c r="M212" s="19">
        <f>IF(I212="","",IFERROR(INDEX(catComida,MATCH(D212,catNom,0))&amp;"",""))</f>
        <v/>
      </c>
      <c r="N212" s="19">
        <f>IF(I212="","",IFERROR(INDEX(ctaMon,MATCH(E212,ctaNom,0))&amp;"","DOP"))</f>
        <v/>
      </c>
      <c r="O212" s="20">
        <f>IF(I212="","",C212*IF(N212="USD",TasaUSD,1))</f>
        <v/>
      </c>
      <c r="P212" s="20">
        <f>IF(I212="","",IF(I212="Gasto",O212,0))</f>
        <v/>
      </c>
      <c r="Q212" s="20">
        <f>IF(I212="","",IF(I212="Ingreso",O212,0))</f>
        <v/>
      </c>
      <c r="R212" s="20">
        <f>IF(I212="","",IF(I212="Trading",O212,0))</f>
        <v/>
      </c>
      <c r="S212" s="19">
        <f>IF(I212="","",IF(AND(I212="Gasto",K212="Variable",J212&lt;&gt;"Trading",O212&gt;0,O212&lt;=Umbral),1,0))</f>
        <v/>
      </c>
      <c r="T212" s="20">
        <f>IF(OR(I212="",E212=""),"",IF(OR(I212="Gasto",I212="Transferencia",I212="Pago tarjeta"),-1,1)*C212)</f>
        <v/>
      </c>
      <c r="U212" s="20">
        <f>IF(OR(G212="",AND(I212&lt;&gt;"Transferencia",I212&lt;&gt;"Pago tarjeta")),"",IF(IFERROR(INDEX(ctaMon,MATCH(G212,ctaNom,0))&amp;"","DOP")=N212,C212,IF(N212="USD",C212*TasaUSD,C212/TasaUSD)))</f>
        <v/>
      </c>
      <c r="V212" s="20">
        <f>IF(I212="","",IF(IFERROR(INDEX(ctaLiq,MATCH(E212,ctaNom,0))="Sí",FALSE),IF(OR(I212="Gasto",I212="Transferencia",I212="Pago tarjeta"),-1,1)*O212,0)+IF(AND(U212&lt;&gt;"",IFERROR(INDEX(ctaLiq,MATCH(G212,ctaNom,0))="Sí",FALSE)),O212,0))</f>
        <v/>
      </c>
      <c r="W212" s="19">
        <f>IF(OR(F212="",I212=""),"",IF(COUNTIFS(F$6:F212,F212,I$6:I212,"?*")=1,MAX(W$5:W211)+1,""))</f>
        <v/>
      </c>
    </row>
    <row r="213">
      <c r="B213" s="15" t="n"/>
      <c r="C213" s="16" t="n"/>
      <c r="D213" s="17" t="n"/>
      <c r="E213" s="17" t="n"/>
      <c r="F213" s="17" t="n"/>
      <c r="G213" s="17" t="n"/>
      <c r="H213" s="18">
        <f>IF(AND(B213="",C213="",D213="",E213=""),"",IF(B213="","⚠ Falta fecha",IF(C213="","⚠ Falta monto",IF(D213="","⚠ Falta categoría",IF(ISNA(MATCH(D213,catNom,0)),"⚠ Categoría no existe",IF(E213="","⚠ Falta cuenta",IF(ISNA(MATCH(E213,ctaNom,0)),"⚠ Cuenta no existe",IF(AND(OR(I213="Transferencia",I213="Pago tarjeta"),G213=""),"⚠ Indica la cuenta «Hacia»",IF(AND(G213&lt;&gt;"",G213=E213),"⚠ «Hacia» igual a la cuenta",IF(AND(G213&lt;&gt;"",ISNA(MATCH(G213,ctaNom,0))),"⚠ «Hacia» no existe",IF(AND(I213="Pago tarjeta",IFERROR(INDEX(ctaTipo,MATCH(G213,ctaNom,0)),"")&lt;&gt;"Tarjeta de crédito"),"⚠ «Hacia» debe ser la tarjeta",IF(AND(I213="Trading",IFERROR(INDEX(ctaTipo,MATCH(E213,ctaNom,0)),"")&lt;&gt;"Cuenta de trading"),"⚠ Usa la cuenta de trading","✓"))))))))))))</f>
        <v/>
      </c>
      <c r="I213" s="19">
        <f>IF(OR(B213="",C213="",D213=""),"",IFERROR(INDEX(catTipo,MATCH(D213,catNom,0))&amp;"",""))</f>
        <v/>
      </c>
      <c r="J213" s="19">
        <f>IF(I213="","",IFERROR(INDEX(catGrupo,MATCH(D213,catNom,0))&amp;"",""))</f>
        <v/>
      </c>
      <c r="K213" s="19">
        <f>IF(I213="Gasto",IF(IFERROR(INDEX(catClas,MATCH(D213,catNom,0))&amp;"","")="","Variable",IFERROR(INDEX(catClas,MATCH(D213,catNom,0))&amp;"","")),"")</f>
        <v/>
      </c>
      <c r="L213" s="19">
        <f>IF(I213="","",IFERROR(INDEX(catAlim,MATCH(D213,catNom,0))&amp;"",""))</f>
        <v/>
      </c>
      <c r="M213" s="19">
        <f>IF(I213="","",IFERROR(INDEX(catComida,MATCH(D213,catNom,0))&amp;"",""))</f>
        <v/>
      </c>
      <c r="N213" s="19">
        <f>IF(I213="","",IFERROR(INDEX(ctaMon,MATCH(E213,ctaNom,0))&amp;"","DOP"))</f>
        <v/>
      </c>
      <c r="O213" s="20">
        <f>IF(I213="","",C213*IF(N213="USD",TasaUSD,1))</f>
        <v/>
      </c>
      <c r="P213" s="20">
        <f>IF(I213="","",IF(I213="Gasto",O213,0))</f>
        <v/>
      </c>
      <c r="Q213" s="20">
        <f>IF(I213="","",IF(I213="Ingreso",O213,0))</f>
        <v/>
      </c>
      <c r="R213" s="20">
        <f>IF(I213="","",IF(I213="Trading",O213,0))</f>
        <v/>
      </c>
      <c r="S213" s="19">
        <f>IF(I213="","",IF(AND(I213="Gasto",K213="Variable",J213&lt;&gt;"Trading",O213&gt;0,O213&lt;=Umbral),1,0))</f>
        <v/>
      </c>
      <c r="T213" s="20">
        <f>IF(OR(I213="",E213=""),"",IF(OR(I213="Gasto",I213="Transferencia",I213="Pago tarjeta"),-1,1)*C213)</f>
        <v/>
      </c>
      <c r="U213" s="20">
        <f>IF(OR(G213="",AND(I213&lt;&gt;"Transferencia",I213&lt;&gt;"Pago tarjeta")),"",IF(IFERROR(INDEX(ctaMon,MATCH(G213,ctaNom,0))&amp;"","DOP")=N213,C213,IF(N213="USD",C213*TasaUSD,C213/TasaUSD)))</f>
        <v/>
      </c>
      <c r="V213" s="20">
        <f>IF(I213="","",IF(IFERROR(INDEX(ctaLiq,MATCH(E213,ctaNom,0))="Sí",FALSE),IF(OR(I213="Gasto",I213="Transferencia",I213="Pago tarjeta"),-1,1)*O213,0)+IF(AND(U213&lt;&gt;"",IFERROR(INDEX(ctaLiq,MATCH(G213,ctaNom,0))="Sí",FALSE)),O213,0))</f>
        <v/>
      </c>
      <c r="W213" s="19">
        <f>IF(OR(F213="",I213=""),"",IF(COUNTIFS(F$6:F213,F213,I$6:I213,"?*")=1,MAX(W$5:W212)+1,""))</f>
        <v/>
      </c>
    </row>
    <row r="214">
      <c r="B214" s="15" t="n"/>
      <c r="C214" s="16" t="n"/>
      <c r="D214" s="17" t="n"/>
      <c r="E214" s="17" t="n"/>
      <c r="F214" s="17" t="n"/>
      <c r="G214" s="17" t="n"/>
      <c r="H214" s="18">
        <f>IF(AND(B214="",C214="",D214="",E214=""),"",IF(B214="","⚠ Falta fecha",IF(C214="","⚠ Falta monto",IF(D214="","⚠ Falta categoría",IF(ISNA(MATCH(D214,catNom,0)),"⚠ Categoría no existe",IF(E214="","⚠ Falta cuenta",IF(ISNA(MATCH(E214,ctaNom,0)),"⚠ Cuenta no existe",IF(AND(OR(I214="Transferencia",I214="Pago tarjeta"),G214=""),"⚠ Indica la cuenta «Hacia»",IF(AND(G214&lt;&gt;"",G214=E214),"⚠ «Hacia» igual a la cuenta",IF(AND(G214&lt;&gt;"",ISNA(MATCH(G214,ctaNom,0))),"⚠ «Hacia» no existe",IF(AND(I214="Pago tarjeta",IFERROR(INDEX(ctaTipo,MATCH(G214,ctaNom,0)),"")&lt;&gt;"Tarjeta de crédito"),"⚠ «Hacia» debe ser la tarjeta",IF(AND(I214="Trading",IFERROR(INDEX(ctaTipo,MATCH(E214,ctaNom,0)),"")&lt;&gt;"Cuenta de trading"),"⚠ Usa la cuenta de trading","✓"))))))))))))</f>
        <v/>
      </c>
      <c r="I214" s="19">
        <f>IF(OR(B214="",C214="",D214=""),"",IFERROR(INDEX(catTipo,MATCH(D214,catNom,0))&amp;"",""))</f>
        <v/>
      </c>
      <c r="J214" s="19">
        <f>IF(I214="","",IFERROR(INDEX(catGrupo,MATCH(D214,catNom,0))&amp;"",""))</f>
        <v/>
      </c>
      <c r="K214" s="19">
        <f>IF(I214="Gasto",IF(IFERROR(INDEX(catClas,MATCH(D214,catNom,0))&amp;"","")="","Variable",IFERROR(INDEX(catClas,MATCH(D214,catNom,0))&amp;"","")),"")</f>
        <v/>
      </c>
      <c r="L214" s="19">
        <f>IF(I214="","",IFERROR(INDEX(catAlim,MATCH(D214,catNom,0))&amp;"",""))</f>
        <v/>
      </c>
      <c r="M214" s="19">
        <f>IF(I214="","",IFERROR(INDEX(catComida,MATCH(D214,catNom,0))&amp;"",""))</f>
        <v/>
      </c>
      <c r="N214" s="19">
        <f>IF(I214="","",IFERROR(INDEX(ctaMon,MATCH(E214,ctaNom,0))&amp;"","DOP"))</f>
        <v/>
      </c>
      <c r="O214" s="20">
        <f>IF(I214="","",C214*IF(N214="USD",TasaUSD,1))</f>
        <v/>
      </c>
      <c r="P214" s="20">
        <f>IF(I214="","",IF(I214="Gasto",O214,0))</f>
        <v/>
      </c>
      <c r="Q214" s="20">
        <f>IF(I214="","",IF(I214="Ingreso",O214,0))</f>
        <v/>
      </c>
      <c r="R214" s="20">
        <f>IF(I214="","",IF(I214="Trading",O214,0))</f>
        <v/>
      </c>
      <c r="S214" s="19">
        <f>IF(I214="","",IF(AND(I214="Gasto",K214="Variable",J214&lt;&gt;"Trading",O214&gt;0,O214&lt;=Umbral),1,0))</f>
        <v/>
      </c>
      <c r="T214" s="20">
        <f>IF(OR(I214="",E214=""),"",IF(OR(I214="Gasto",I214="Transferencia",I214="Pago tarjeta"),-1,1)*C214)</f>
        <v/>
      </c>
      <c r="U214" s="20">
        <f>IF(OR(G214="",AND(I214&lt;&gt;"Transferencia",I214&lt;&gt;"Pago tarjeta")),"",IF(IFERROR(INDEX(ctaMon,MATCH(G214,ctaNom,0))&amp;"","DOP")=N214,C214,IF(N214="USD",C214*TasaUSD,C214/TasaUSD)))</f>
        <v/>
      </c>
      <c r="V214" s="20">
        <f>IF(I214="","",IF(IFERROR(INDEX(ctaLiq,MATCH(E214,ctaNom,0))="Sí",FALSE),IF(OR(I214="Gasto",I214="Transferencia",I214="Pago tarjeta"),-1,1)*O214,0)+IF(AND(U214&lt;&gt;"",IFERROR(INDEX(ctaLiq,MATCH(G214,ctaNom,0))="Sí",FALSE)),O214,0))</f>
        <v/>
      </c>
      <c r="W214" s="19">
        <f>IF(OR(F214="",I214=""),"",IF(COUNTIFS(F$6:F214,F214,I$6:I214,"?*")=1,MAX(W$5:W213)+1,""))</f>
        <v/>
      </c>
    </row>
    <row r="215">
      <c r="B215" s="15" t="n"/>
      <c r="C215" s="16" t="n"/>
      <c r="D215" s="17" t="n"/>
      <c r="E215" s="17" t="n"/>
      <c r="F215" s="17" t="n"/>
      <c r="G215" s="17" t="n"/>
      <c r="H215" s="18">
        <f>IF(AND(B215="",C215="",D215="",E215=""),"",IF(B215="","⚠ Falta fecha",IF(C215="","⚠ Falta monto",IF(D215="","⚠ Falta categoría",IF(ISNA(MATCH(D215,catNom,0)),"⚠ Categoría no existe",IF(E215="","⚠ Falta cuenta",IF(ISNA(MATCH(E215,ctaNom,0)),"⚠ Cuenta no existe",IF(AND(OR(I215="Transferencia",I215="Pago tarjeta"),G215=""),"⚠ Indica la cuenta «Hacia»",IF(AND(G215&lt;&gt;"",G215=E215),"⚠ «Hacia» igual a la cuenta",IF(AND(G215&lt;&gt;"",ISNA(MATCH(G215,ctaNom,0))),"⚠ «Hacia» no existe",IF(AND(I215="Pago tarjeta",IFERROR(INDEX(ctaTipo,MATCH(G215,ctaNom,0)),"")&lt;&gt;"Tarjeta de crédito"),"⚠ «Hacia» debe ser la tarjeta",IF(AND(I215="Trading",IFERROR(INDEX(ctaTipo,MATCH(E215,ctaNom,0)),"")&lt;&gt;"Cuenta de trading"),"⚠ Usa la cuenta de trading","✓"))))))))))))</f>
        <v/>
      </c>
      <c r="I215" s="19">
        <f>IF(OR(B215="",C215="",D215=""),"",IFERROR(INDEX(catTipo,MATCH(D215,catNom,0))&amp;"",""))</f>
        <v/>
      </c>
      <c r="J215" s="19">
        <f>IF(I215="","",IFERROR(INDEX(catGrupo,MATCH(D215,catNom,0))&amp;"",""))</f>
        <v/>
      </c>
      <c r="K215" s="19">
        <f>IF(I215="Gasto",IF(IFERROR(INDEX(catClas,MATCH(D215,catNom,0))&amp;"","")="","Variable",IFERROR(INDEX(catClas,MATCH(D215,catNom,0))&amp;"","")),"")</f>
        <v/>
      </c>
      <c r="L215" s="19">
        <f>IF(I215="","",IFERROR(INDEX(catAlim,MATCH(D215,catNom,0))&amp;"",""))</f>
        <v/>
      </c>
      <c r="M215" s="19">
        <f>IF(I215="","",IFERROR(INDEX(catComida,MATCH(D215,catNom,0))&amp;"",""))</f>
        <v/>
      </c>
      <c r="N215" s="19">
        <f>IF(I215="","",IFERROR(INDEX(ctaMon,MATCH(E215,ctaNom,0))&amp;"","DOP"))</f>
        <v/>
      </c>
      <c r="O215" s="20">
        <f>IF(I215="","",C215*IF(N215="USD",TasaUSD,1))</f>
        <v/>
      </c>
      <c r="P215" s="20">
        <f>IF(I215="","",IF(I215="Gasto",O215,0))</f>
        <v/>
      </c>
      <c r="Q215" s="20">
        <f>IF(I215="","",IF(I215="Ingreso",O215,0))</f>
        <v/>
      </c>
      <c r="R215" s="20">
        <f>IF(I215="","",IF(I215="Trading",O215,0))</f>
        <v/>
      </c>
      <c r="S215" s="19">
        <f>IF(I215="","",IF(AND(I215="Gasto",K215="Variable",J215&lt;&gt;"Trading",O215&gt;0,O215&lt;=Umbral),1,0))</f>
        <v/>
      </c>
      <c r="T215" s="20">
        <f>IF(OR(I215="",E215=""),"",IF(OR(I215="Gasto",I215="Transferencia",I215="Pago tarjeta"),-1,1)*C215)</f>
        <v/>
      </c>
      <c r="U215" s="20">
        <f>IF(OR(G215="",AND(I215&lt;&gt;"Transferencia",I215&lt;&gt;"Pago tarjeta")),"",IF(IFERROR(INDEX(ctaMon,MATCH(G215,ctaNom,0))&amp;"","DOP")=N215,C215,IF(N215="USD",C215*TasaUSD,C215/TasaUSD)))</f>
        <v/>
      </c>
      <c r="V215" s="20">
        <f>IF(I215="","",IF(IFERROR(INDEX(ctaLiq,MATCH(E215,ctaNom,0))="Sí",FALSE),IF(OR(I215="Gasto",I215="Transferencia",I215="Pago tarjeta"),-1,1)*O215,0)+IF(AND(U215&lt;&gt;"",IFERROR(INDEX(ctaLiq,MATCH(G215,ctaNom,0))="Sí",FALSE)),O215,0))</f>
        <v/>
      </c>
      <c r="W215" s="19">
        <f>IF(OR(F215="",I215=""),"",IF(COUNTIFS(F$6:F215,F215,I$6:I215,"?*")=1,MAX(W$5:W214)+1,""))</f>
        <v/>
      </c>
    </row>
    <row r="216">
      <c r="B216" s="15" t="n"/>
      <c r="C216" s="16" t="n"/>
      <c r="D216" s="17" t="n"/>
      <c r="E216" s="17" t="n"/>
      <c r="F216" s="17" t="n"/>
      <c r="G216" s="17" t="n"/>
      <c r="H216" s="18">
        <f>IF(AND(B216="",C216="",D216="",E216=""),"",IF(B216="","⚠ Falta fecha",IF(C216="","⚠ Falta monto",IF(D216="","⚠ Falta categoría",IF(ISNA(MATCH(D216,catNom,0)),"⚠ Categoría no existe",IF(E216="","⚠ Falta cuenta",IF(ISNA(MATCH(E216,ctaNom,0)),"⚠ Cuenta no existe",IF(AND(OR(I216="Transferencia",I216="Pago tarjeta"),G216=""),"⚠ Indica la cuenta «Hacia»",IF(AND(G216&lt;&gt;"",G216=E216),"⚠ «Hacia» igual a la cuenta",IF(AND(G216&lt;&gt;"",ISNA(MATCH(G216,ctaNom,0))),"⚠ «Hacia» no existe",IF(AND(I216="Pago tarjeta",IFERROR(INDEX(ctaTipo,MATCH(G216,ctaNom,0)),"")&lt;&gt;"Tarjeta de crédito"),"⚠ «Hacia» debe ser la tarjeta",IF(AND(I216="Trading",IFERROR(INDEX(ctaTipo,MATCH(E216,ctaNom,0)),"")&lt;&gt;"Cuenta de trading"),"⚠ Usa la cuenta de trading","✓"))))))))))))</f>
        <v/>
      </c>
      <c r="I216" s="19">
        <f>IF(OR(B216="",C216="",D216=""),"",IFERROR(INDEX(catTipo,MATCH(D216,catNom,0))&amp;"",""))</f>
        <v/>
      </c>
      <c r="J216" s="19">
        <f>IF(I216="","",IFERROR(INDEX(catGrupo,MATCH(D216,catNom,0))&amp;"",""))</f>
        <v/>
      </c>
      <c r="K216" s="19">
        <f>IF(I216="Gasto",IF(IFERROR(INDEX(catClas,MATCH(D216,catNom,0))&amp;"","")="","Variable",IFERROR(INDEX(catClas,MATCH(D216,catNom,0))&amp;"","")),"")</f>
        <v/>
      </c>
      <c r="L216" s="19">
        <f>IF(I216="","",IFERROR(INDEX(catAlim,MATCH(D216,catNom,0))&amp;"",""))</f>
        <v/>
      </c>
      <c r="M216" s="19">
        <f>IF(I216="","",IFERROR(INDEX(catComida,MATCH(D216,catNom,0))&amp;"",""))</f>
        <v/>
      </c>
      <c r="N216" s="19">
        <f>IF(I216="","",IFERROR(INDEX(ctaMon,MATCH(E216,ctaNom,0))&amp;"","DOP"))</f>
        <v/>
      </c>
      <c r="O216" s="20">
        <f>IF(I216="","",C216*IF(N216="USD",TasaUSD,1))</f>
        <v/>
      </c>
      <c r="P216" s="20">
        <f>IF(I216="","",IF(I216="Gasto",O216,0))</f>
        <v/>
      </c>
      <c r="Q216" s="20">
        <f>IF(I216="","",IF(I216="Ingreso",O216,0))</f>
        <v/>
      </c>
      <c r="R216" s="20">
        <f>IF(I216="","",IF(I216="Trading",O216,0))</f>
        <v/>
      </c>
      <c r="S216" s="19">
        <f>IF(I216="","",IF(AND(I216="Gasto",K216="Variable",J216&lt;&gt;"Trading",O216&gt;0,O216&lt;=Umbral),1,0))</f>
        <v/>
      </c>
      <c r="T216" s="20">
        <f>IF(OR(I216="",E216=""),"",IF(OR(I216="Gasto",I216="Transferencia",I216="Pago tarjeta"),-1,1)*C216)</f>
        <v/>
      </c>
      <c r="U216" s="20">
        <f>IF(OR(G216="",AND(I216&lt;&gt;"Transferencia",I216&lt;&gt;"Pago tarjeta")),"",IF(IFERROR(INDEX(ctaMon,MATCH(G216,ctaNom,0))&amp;"","DOP")=N216,C216,IF(N216="USD",C216*TasaUSD,C216/TasaUSD)))</f>
        <v/>
      </c>
      <c r="V216" s="20">
        <f>IF(I216="","",IF(IFERROR(INDEX(ctaLiq,MATCH(E216,ctaNom,0))="Sí",FALSE),IF(OR(I216="Gasto",I216="Transferencia",I216="Pago tarjeta"),-1,1)*O216,0)+IF(AND(U216&lt;&gt;"",IFERROR(INDEX(ctaLiq,MATCH(G216,ctaNom,0))="Sí",FALSE)),O216,0))</f>
        <v/>
      </c>
      <c r="W216" s="19">
        <f>IF(OR(F216="",I216=""),"",IF(COUNTIFS(F$6:F216,F216,I$6:I216,"?*")=1,MAX(W$5:W215)+1,""))</f>
        <v/>
      </c>
    </row>
    <row r="217">
      <c r="B217" s="15" t="n"/>
      <c r="C217" s="16" t="n"/>
      <c r="D217" s="17" t="n"/>
      <c r="E217" s="17" t="n"/>
      <c r="F217" s="17" t="n"/>
      <c r="G217" s="17" t="n"/>
      <c r="H217" s="18">
        <f>IF(AND(B217="",C217="",D217="",E217=""),"",IF(B217="","⚠ Falta fecha",IF(C217="","⚠ Falta monto",IF(D217="","⚠ Falta categoría",IF(ISNA(MATCH(D217,catNom,0)),"⚠ Categoría no existe",IF(E217="","⚠ Falta cuenta",IF(ISNA(MATCH(E217,ctaNom,0)),"⚠ Cuenta no existe",IF(AND(OR(I217="Transferencia",I217="Pago tarjeta"),G217=""),"⚠ Indica la cuenta «Hacia»",IF(AND(G217&lt;&gt;"",G217=E217),"⚠ «Hacia» igual a la cuenta",IF(AND(G217&lt;&gt;"",ISNA(MATCH(G217,ctaNom,0))),"⚠ «Hacia» no existe",IF(AND(I217="Pago tarjeta",IFERROR(INDEX(ctaTipo,MATCH(G217,ctaNom,0)),"")&lt;&gt;"Tarjeta de crédito"),"⚠ «Hacia» debe ser la tarjeta",IF(AND(I217="Trading",IFERROR(INDEX(ctaTipo,MATCH(E217,ctaNom,0)),"")&lt;&gt;"Cuenta de trading"),"⚠ Usa la cuenta de trading","✓"))))))))))))</f>
        <v/>
      </c>
      <c r="I217" s="19">
        <f>IF(OR(B217="",C217="",D217=""),"",IFERROR(INDEX(catTipo,MATCH(D217,catNom,0))&amp;"",""))</f>
        <v/>
      </c>
      <c r="J217" s="19">
        <f>IF(I217="","",IFERROR(INDEX(catGrupo,MATCH(D217,catNom,0))&amp;"",""))</f>
        <v/>
      </c>
      <c r="K217" s="19">
        <f>IF(I217="Gasto",IF(IFERROR(INDEX(catClas,MATCH(D217,catNom,0))&amp;"","")="","Variable",IFERROR(INDEX(catClas,MATCH(D217,catNom,0))&amp;"","")),"")</f>
        <v/>
      </c>
      <c r="L217" s="19">
        <f>IF(I217="","",IFERROR(INDEX(catAlim,MATCH(D217,catNom,0))&amp;"",""))</f>
        <v/>
      </c>
      <c r="M217" s="19">
        <f>IF(I217="","",IFERROR(INDEX(catComida,MATCH(D217,catNom,0))&amp;"",""))</f>
        <v/>
      </c>
      <c r="N217" s="19">
        <f>IF(I217="","",IFERROR(INDEX(ctaMon,MATCH(E217,ctaNom,0))&amp;"","DOP"))</f>
        <v/>
      </c>
      <c r="O217" s="20">
        <f>IF(I217="","",C217*IF(N217="USD",TasaUSD,1))</f>
        <v/>
      </c>
      <c r="P217" s="20">
        <f>IF(I217="","",IF(I217="Gasto",O217,0))</f>
        <v/>
      </c>
      <c r="Q217" s="20">
        <f>IF(I217="","",IF(I217="Ingreso",O217,0))</f>
        <v/>
      </c>
      <c r="R217" s="20">
        <f>IF(I217="","",IF(I217="Trading",O217,0))</f>
        <v/>
      </c>
      <c r="S217" s="19">
        <f>IF(I217="","",IF(AND(I217="Gasto",K217="Variable",J217&lt;&gt;"Trading",O217&gt;0,O217&lt;=Umbral),1,0))</f>
        <v/>
      </c>
      <c r="T217" s="20">
        <f>IF(OR(I217="",E217=""),"",IF(OR(I217="Gasto",I217="Transferencia",I217="Pago tarjeta"),-1,1)*C217)</f>
        <v/>
      </c>
      <c r="U217" s="20">
        <f>IF(OR(G217="",AND(I217&lt;&gt;"Transferencia",I217&lt;&gt;"Pago tarjeta")),"",IF(IFERROR(INDEX(ctaMon,MATCH(G217,ctaNom,0))&amp;"","DOP")=N217,C217,IF(N217="USD",C217*TasaUSD,C217/TasaUSD)))</f>
        <v/>
      </c>
      <c r="V217" s="20">
        <f>IF(I217="","",IF(IFERROR(INDEX(ctaLiq,MATCH(E217,ctaNom,0))="Sí",FALSE),IF(OR(I217="Gasto",I217="Transferencia",I217="Pago tarjeta"),-1,1)*O217,0)+IF(AND(U217&lt;&gt;"",IFERROR(INDEX(ctaLiq,MATCH(G217,ctaNom,0))="Sí",FALSE)),O217,0))</f>
        <v/>
      </c>
      <c r="W217" s="19">
        <f>IF(OR(F217="",I217=""),"",IF(COUNTIFS(F$6:F217,F217,I$6:I217,"?*")=1,MAX(W$5:W216)+1,""))</f>
        <v/>
      </c>
    </row>
    <row r="218">
      <c r="B218" s="15" t="n"/>
      <c r="C218" s="16" t="n"/>
      <c r="D218" s="17" t="n"/>
      <c r="E218" s="17" t="n"/>
      <c r="F218" s="17" t="n"/>
      <c r="G218" s="17" t="n"/>
      <c r="H218" s="18">
        <f>IF(AND(B218="",C218="",D218="",E218=""),"",IF(B218="","⚠ Falta fecha",IF(C218="","⚠ Falta monto",IF(D218="","⚠ Falta categoría",IF(ISNA(MATCH(D218,catNom,0)),"⚠ Categoría no existe",IF(E218="","⚠ Falta cuenta",IF(ISNA(MATCH(E218,ctaNom,0)),"⚠ Cuenta no existe",IF(AND(OR(I218="Transferencia",I218="Pago tarjeta"),G218=""),"⚠ Indica la cuenta «Hacia»",IF(AND(G218&lt;&gt;"",G218=E218),"⚠ «Hacia» igual a la cuenta",IF(AND(G218&lt;&gt;"",ISNA(MATCH(G218,ctaNom,0))),"⚠ «Hacia» no existe",IF(AND(I218="Pago tarjeta",IFERROR(INDEX(ctaTipo,MATCH(G218,ctaNom,0)),"")&lt;&gt;"Tarjeta de crédito"),"⚠ «Hacia» debe ser la tarjeta",IF(AND(I218="Trading",IFERROR(INDEX(ctaTipo,MATCH(E218,ctaNom,0)),"")&lt;&gt;"Cuenta de trading"),"⚠ Usa la cuenta de trading","✓"))))))))))))</f>
        <v/>
      </c>
      <c r="I218" s="19">
        <f>IF(OR(B218="",C218="",D218=""),"",IFERROR(INDEX(catTipo,MATCH(D218,catNom,0))&amp;"",""))</f>
        <v/>
      </c>
      <c r="J218" s="19">
        <f>IF(I218="","",IFERROR(INDEX(catGrupo,MATCH(D218,catNom,0))&amp;"",""))</f>
        <v/>
      </c>
      <c r="K218" s="19">
        <f>IF(I218="Gasto",IF(IFERROR(INDEX(catClas,MATCH(D218,catNom,0))&amp;"","")="","Variable",IFERROR(INDEX(catClas,MATCH(D218,catNom,0))&amp;"","")),"")</f>
        <v/>
      </c>
      <c r="L218" s="19">
        <f>IF(I218="","",IFERROR(INDEX(catAlim,MATCH(D218,catNom,0))&amp;"",""))</f>
        <v/>
      </c>
      <c r="M218" s="19">
        <f>IF(I218="","",IFERROR(INDEX(catComida,MATCH(D218,catNom,0))&amp;"",""))</f>
        <v/>
      </c>
      <c r="N218" s="19">
        <f>IF(I218="","",IFERROR(INDEX(ctaMon,MATCH(E218,ctaNom,0))&amp;"","DOP"))</f>
        <v/>
      </c>
      <c r="O218" s="20">
        <f>IF(I218="","",C218*IF(N218="USD",TasaUSD,1))</f>
        <v/>
      </c>
      <c r="P218" s="20">
        <f>IF(I218="","",IF(I218="Gasto",O218,0))</f>
        <v/>
      </c>
      <c r="Q218" s="20">
        <f>IF(I218="","",IF(I218="Ingreso",O218,0))</f>
        <v/>
      </c>
      <c r="R218" s="20">
        <f>IF(I218="","",IF(I218="Trading",O218,0))</f>
        <v/>
      </c>
      <c r="S218" s="19">
        <f>IF(I218="","",IF(AND(I218="Gasto",K218="Variable",J218&lt;&gt;"Trading",O218&gt;0,O218&lt;=Umbral),1,0))</f>
        <v/>
      </c>
      <c r="T218" s="20">
        <f>IF(OR(I218="",E218=""),"",IF(OR(I218="Gasto",I218="Transferencia",I218="Pago tarjeta"),-1,1)*C218)</f>
        <v/>
      </c>
      <c r="U218" s="20">
        <f>IF(OR(G218="",AND(I218&lt;&gt;"Transferencia",I218&lt;&gt;"Pago tarjeta")),"",IF(IFERROR(INDEX(ctaMon,MATCH(G218,ctaNom,0))&amp;"","DOP")=N218,C218,IF(N218="USD",C218*TasaUSD,C218/TasaUSD)))</f>
        <v/>
      </c>
      <c r="V218" s="20">
        <f>IF(I218="","",IF(IFERROR(INDEX(ctaLiq,MATCH(E218,ctaNom,0))="Sí",FALSE),IF(OR(I218="Gasto",I218="Transferencia",I218="Pago tarjeta"),-1,1)*O218,0)+IF(AND(U218&lt;&gt;"",IFERROR(INDEX(ctaLiq,MATCH(G218,ctaNom,0))="Sí",FALSE)),O218,0))</f>
        <v/>
      </c>
      <c r="W218" s="19">
        <f>IF(OR(F218="",I218=""),"",IF(COUNTIFS(F$6:F218,F218,I$6:I218,"?*")=1,MAX(W$5:W217)+1,""))</f>
        <v/>
      </c>
    </row>
    <row r="219">
      <c r="B219" s="15" t="n"/>
      <c r="C219" s="16" t="n"/>
      <c r="D219" s="17" t="n"/>
      <c r="E219" s="17" t="n"/>
      <c r="F219" s="17" t="n"/>
      <c r="G219" s="17" t="n"/>
      <c r="H219" s="18">
        <f>IF(AND(B219="",C219="",D219="",E219=""),"",IF(B219="","⚠ Falta fecha",IF(C219="","⚠ Falta monto",IF(D219="","⚠ Falta categoría",IF(ISNA(MATCH(D219,catNom,0)),"⚠ Categoría no existe",IF(E219="","⚠ Falta cuenta",IF(ISNA(MATCH(E219,ctaNom,0)),"⚠ Cuenta no existe",IF(AND(OR(I219="Transferencia",I219="Pago tarjeta"),G219=""),"⚠ Indica la cuenta «Hacia»",IF(AND(G219&lt;&gt;"",G219=E219),"⚠ «Hacia» igual a la cuenta",IF(AND(G219&lt;&gt;"",ISNA(MATCH(G219,ctaNom,0))),"⚠ «Hacia» no existe",IF(AND(I219="Pago tarjeta",IFERROR(INDEX(ctaTipo,MATCH(G219,ctaNom,0)),"")&lt;&gt;"Tarjeta de crédito"),"⚠ «Hacia» debe ser la tarjeta",IF(AND(I219="Trading",IFERROR(INDEX(ctaTipo,MATCH(E219,ctaNom,0)),"")&lt;&gt;"Cuenta de trading"),"⚠ Usa la cuenta de trading","✓"))))))))))))</f>
        <v/>
      </c>
      <c r="I219" s="19">
        <f>IF(OR(B219="",C219="",D219=""),"",IFERROR(INDEX(catTipo,MATCH(D219,catNom,0))&amp;"",""))</f>
        <v/>
      </c>
      <c r="J219" s="19">
        <f>IF(I219="","",IFERROR(INDEX(catGrupo,MATCH(D219,catNom,0))&amp;"",""))</f>
        <v/>
      </c>
      <c r="K219" s="19">
        <f>IF(I219="Gasto",IF(IFERROR(INDEX(catClas,MATCH(D219,catNom,0))&amp;"","")="","Variable",IFERROR(INDEX(catClas,MATCH(D219,catNom,0))&amp;"","")),"")</f>
        <v/>
      </c>
      <c r="L219" s="19">
        <f>IF(I219="","",IFERROR(INDEX(catAlim,MATCH(D219,catNom,0))&amp;"",""))</f>
        <v/>
      </c>
      <c r="M219" s="19">
        <f>IF(I219="","",IFERROR(INDEX(catComida,MATCH(D219,catNom,0))&amp;"",""))</f>
        <v/>
      </c>
      <c r="N219" s="19">
        <f>IF(I219="","",IFERROR(INDEX(ctaMon,MATCH(E219,ctaNom,0))&amp;"","DOP"))</f>
        <v/>
      </c>
      <c r="O219" s="20">
        <f>IF(I219="","",C219*IF(N219="USD",TasaUSD,1))</f>
        <v/>
      </c>
      <c r="P219" s="20">
        <f>IF(I219="","",IF(I219="Gasto",O219,0))</f>
        <v/>
      </c>
      <c r="Q219" s="20">
        <f>IF(I219="","",IF(I219="Ingreso",O219,0))</f>
        <v/>
      </c>
      <c r="R219" s="20">
        <f>IF(I219="","",IF(I219="Trading",O219,0))</f>
        <v/>
      </c>
      <c r="S219" s="19">
        <f>IF(I219="","",IF(AND(I219="Gasto",K219="Variable",J219&lt;&gt;"Trading",O219&gt;0,O219&lt;=Umbral),1,0))</f>
        <v/>
      </c>
      <c r="T219" s="20">
        <f>IF(OR(I219="",E219=""),"",IF(OR(I219="Gasto",I219="Transferencia",I219="Pago tarjeta"),-1,1)*C219)</f>
        <v/>
      </c>
      <c r="U219" s="20">
        <f>IF(OR(G219="",AND(I219&lt;&gt;"Transferencia",I219&lt;&gt;"Pago tarjeta")),"",IF(IFERROR(INDEX(ctaMon,MATCH(G219,ctaNom,0))&amp;"","DOP")=N219,C219,IF(N219="USD",C219*TasaUSD,C219/TasaUSD)))</f>
        <v/>
      </c>
      <c r="V219" s="20">
        <f>IF(I219="","",IF(IFERROR(INDEX(ctaLiq,MATCH(E219,ctaNom,0))="Sí",FALSE),IF(OR(I219="Gasto",I219="Transferencia",I219="Pago tarjeta"),-1,1)*O219,0)+IF(AND(U219&lt;&gt;"",IFERROR(INDEX(ctaLiq,MATCH(G219,ctaNom,0))="Sí",FALSE)),O219,0))</f>
        <v/>
      </c>
      <c r="W219" s="19">
        <f>IF(OR(F219="",I219=""),"",IF(COUNTIFS(F$6:F219,F219,I$6:I219,"?*")=1,MAX(W$5:W218)+1,""))</f>
        <v/>
      </c>
    </row>
    <row r="220">
      <c r="B220" s="15" t="n"/>
      <c r="C220" s="16" t="n"/>
      <c r="D220" s="17" t="n"/>
      <c r="E220" s="17" t="n"/>
      <c r="F220" s="17" t="n"/>
      <c r="G220" s="17" t="n"/>
      <c r="H220" s="18">
        <f>IF(AND(B220="",C220="",D220="",E220=""),"",IF(B220="","⚠ Falta fecha",IF(C220="","⚠ Falta monto",IF(D220="","⚠ Falta categoría",IF(ISNA(MATCH(D220,catNom,0)),"⚠ Categoría no existe",IF(E220="","⚠ Falta cuenta",IF(ISNA(MATCH(E220,ctaNom,0)),"⚠ Cuenta no existe",IF(AND(OR(I220="Transferencia",I220="Pago tarjeta"),G220=""),"⚠ Indica la cuenta «Hacia»",IF(AND(G220&lt;&gt;"",G220=E220),"⚠ «Hacia» igual a la cuenta",IF(AND(G220&lt;&gt;"",ISNA(MATCH(G220,ctaNom,0))),"⚠ «Hacia» no existe",IF(AND(I220="Pago tarjeta",IFERROR(INDEX(ctaTipo,MATCH(G220,ctaNom,0)),"")&lt;&gt;"Tarjeta de crédito"),"⚠ «Hacia» debe ser la tarjeta",IF(AND(I220="Trading",IFERROR(INDEX(ctaTipo,MATCH(E220,ctaNom,0)),"")&lt;&gt;"Cuenta de trading"),"⚠ Usa la cuenta de trading","✓"))))))))))))</f>
        <v/>
      </c>
      <c r="I220" s="19">
        <f>IF(OR(B220="",C220="",D220=""),"",IFERROR(INDEX(catTipo,MATCH(D220,catNom,0))&amp;"",""))</f>
        <v/>
      </c>
      <c r="J220" s="19">
        <f>IF(I220="","",IFERROR(INDEX(catGrupo,MATCH(D220,catNom,0))&amp;"",""))</f>
        <v/>
      </c>
      <c r="K220" s="19">
        <f>IF(I220="Gasto",IF(IFERROR(INDEX(catClas,MATCH(D220,catNom,0))&amp;"","")="","Variable",IFERROR(INDEX(catClas,MATCH(D220,catNom,0))&amp;"","")),"")</f>
        <v/>
      </c>
      <c r="L220" s="19">
        <f>IF(I220="","",IFERROR(INDEX(catAlim,MATCH(D220,catNom,0))&amp;"",""))</f>
        <v/>
      </c>
      <c r="M220" s="19">
        <f>IF(I220="","",IFERROR(INDEX(catComida,MATCH(D220,catNom,0))&amp;"",""))</f>
        <v/>
      </c>
      <c r="N220" s="19">
        <f>IF(I220="","",IFERROR(INDEX(ctaMon,MATCH(E220,ctaNom,0))&amp;"","DOP"))</f>
        <v/>
      </c>
      <c r="O220" s="20">
        <f>IF(I220="","",C220*IF(N220="USD",TasaUSD,1))</f>
        <v/>
      </c>
      <c r="P220" s="20">
        <f>IF(I220="","",IF(I220="Gasto",O220,0))</f>
        <v/>
      </c>
      <c r="Q220" s="20">
        <f>IF(I220="","",IF(I220="Ingreso",O220,0))</f>
        <v/>
      </c>
      <c r="R220" s="20">
        <f>IF(I220="","",IF(I220="Trading",O220,0))</f>
        <v/>
      </c>
      <c r="S220" s="19">
        <f>IF(I220="","",IF(AND(I220="Gasto",K220="Variable",J220&lt;&gt;"Trading",O220&gt;0,O220&lt;=Umbral),1,0))</f>
        <v/>
      </c>
      <c r="T220" s="20">
        <f>IF(OR(I220="",E220=""),"",IF(OR(I220="Gasto",I220="Transferencia",I220="Pago tarjeta"),-1,1)*C220)</f>
        <v/>
      </c>
      <c r="U220" s="20">
        <f>IF(OR(G220="",AND(I220&lt;&gt;"Transferencia",I220&lt;&gt;"Pago tarjeta")),"",IF(IFERROR(INDEX(ctaMon,MATCH(G220,ctaNom,0))&amp;"","DOP")=N220,C220,IF(N220="USD",C220*TasaUSD,C220/TasaUSD)))</f>
        <v/>
      </c>
      <c r="V220" s="20">
        <f>IF(I220="","",IF(IFERROR(INDEX(ctaLiq,MATCH(E220,ctaNom,0))="Sí",FALSE),IF(OR(I220="Gasto",I220="Transferencia",I220="Pago tarjeta"),-1,1)*O220,0)+IF(AND(U220&lt;&gt;"",IFERROR(INDEX(ctaLiq,MATCH(G220,ctaNom,0))="Sí",FALSE)),O220,0))</f>
        <v/>
      </c>
      <c r="W220" s="19">
        <f>IF(OR(F220="",I220=""),"",IF(COUNTIFS(F$6:F220,F220,I$6:I220,"?*")=1,MAX(W$5:W219)+1,""))</f>
        <v/>
      </c>
    </row>
    <row r="221">
      <c r="B221" s="15" t="n"/>
      <c r="C221" s="16" t="n"/>
      <c r="D221" s="17" t="n"/>
      <c r="E221" s="17" t="n"/>
      <c r="F221" s="17" t="n"/>
      <c r="G221" s="17" t="n"/>
      <c r="H221" s="18">
        <f>IF(AND(B221="",C221="",D221="",E221=""),"",IF(B221="","⚠ Falta fecha",IF(C221="","⚠ Falta monto",IF(D221="","⚠ Falta categoría",IF(ISNA(MATCH(D221,catNom,0)),"⚠ Categoría no existe",IF(E221="","⚠ Falta cuenta",IF(ISNA(MATCH(E221,ctaNom,0)),"⚠ Cuenta no existe",IF(AND(OR(I221="Transferencia",I221="Pago tarjeta"),G221=""),"⚠ Indica la cuenta «Hacia»",IF(AND(G221&lt;&gt;"",G221=E221),"⚠ «Hacia» igual a la cuenta",IF(AND(G221&lt;&gt;"",ISNA(MATCH(G221,ctaNom,0))),"⚠ «Hacia» no existe",IF(AND(I221="Pago tarjeta",IFERROR(INDEX(ctaTipo,MATCH(G221,ctaNom,0)),"")&lt;&gt;"Tarjeta de crédito"),"⚠ «Hacia» debe ser la tarjeta",IF(AND(I221="Trading",IFERROR(INDEX(ctaTipo,MATCH(E221,ctaNom,0)),"")&lt;&gt;"Cuenta de trading"),"⚠ Usa la cuenta de trading","✓"))))))))))))</f>
        <v/>
      </c>
      <c r="I221" s="19">
        <f>IF(OR(B221="",C221="",D221=""),"",IFERROR(INDEX(catTipo,MATCH(D221,catNom,0))&amp;"",""))</f>
        <v/>
      </c>
      <c r="J221" s="19">
        <f>IF(I221="","",IFERROR(INDEX(catGrupo,MATCH(D221,catNom,0))&amp;"",""))</f>
        <v/>
      </c>
      <c r="K221" s="19">
        <f>IF(I221="Gasto",IF(IFERROR(INDEX(catClas,MATCH(D221,catNom,0))&amp;"","")="","Variable",IFERROR(INDEX(catClas,MATCH(D221,catNom,0))&amp;"","")),"")</f>
        <v/>
      </c>
      <c r="L221" s="19">
        <f>IF(I221="","",IFERROR(INDEX(catAlim,MATCH(D221,catNom,0))&amp;"",""))</f>
        <v/>
      </c>
      <c r="M221" s="19">
        <f>IF(I221="","",IFERROR(INDEX(catComida,MATCH(D221,catNom,0))&amp;"",""))</f>
        <v/>
      </c>
      <c r="N221" s="19">
        <f>IF(I221="","",IFERROR(INDEX(ctaMon,MATCH(E221,ctaNom,0))&amp;"","DOP"))</f>
        <v/>
      </c>
      <c r="O221" s="20">
        <f>IF(I221="","",C221*IF(N221="USD",TasaUSD,1))</f>
        <v/>
      </c>
      <c r="P221" s="20">
        <f>IF(I221="","",IF(I221="Gasto",O221,0))</f>
        <v/>
      </c>
      <c r="Q221" s="20">
        <f>IF(I221="","",IF(I221="Ingreso",O221,0))</f>
        <v/>
      </c>
      <c r="R221" s="20">
        <f>IF(I221="","",IF(I221="Trading",O221,0))</f>
        <v/>
      </c>
      <c r="S221" s="19">
        <f>IF(I221="","",IF(AND(I221="Gasto",K221="Variable",J221&lt;&gt;"Trading",O221&gt;0,O221&lt;=Umbral),1,0))</f>
        <v/>
      </c>
      <c r="T221" s="20">
        <f>IF(OR(I221="",E221=""),"",IF(OR(I221="Gasto",I221="Transferencia",I221="Pago tarjeta"),-1,1)*C221)</f>
        <v/>
      </c>
      <c r="U221" s="20">
        <f>IF(OR(G221="",AND(I221&lt;&gt;"Transferencia",I221&lt;&gt;"Pago tarjeta")),"",IF(IFERROR(INDEX(ctaMon,MATCH(G221,ctaNom,0))&amp;"","DOP")=N221,C221,IF(N221="USD",C221*TasaUSD,C221/TasaUSD)))</f>
        <v/>
      </c>
      <c r="V221" s="20">
        <f>IF(I221="","",IF(IFERROR(INDEX(ctaLiq,MATCH(E221,ctaNom,0))="Sí",FALSE),IF(OR(I221="Gasto",I221="Transferencia",I221="Pago tarjeta"),-1,1)*O221,0)+IF(AND(U221&lt;&gt;"",IFERROR(INDEX(ctaLiq,MATCH(G221,ctaNom,0))="Sí",FALSE)),O221,0))</f>
        <v/>
      </c>
      <c r="W221" s="19">
        <f>IF(OR(F221="",I221=""),"",IF(COUNTIFS(F$6:F221,F221,I$6:I221,"?*")=1,MAX(W$5:W220)+1,""))</f>
        <v/>
      </c>
    </row>
    <row r="222">
      <c r="B222" s="15" t="n"/>
      <c r="C222" s="16" t="n"/>
      <c r="D222" s="17" t="n"/>
      <c r="E222" s="17" t="n"/>
      <c r="F222" s="17" t="n"/>
      <c r="G222" s="17" t="n"/>
      <c r="H222" s="18">
        <f>IF(AND(B222="",C222="",D222="",E222=""),"",IF(B222="","⚠ Falta fecha",IF(C222="","⚠ Falta monto",IF(D222="","⚠ Falta categoría",IF(ISNA(MATCH(D222,catNom,0)),"⚠ Categoría no existe",IF(E222="","⚠ Falta cuenta",IF(ISNA(MATCH(E222,ctaNom,0)),"⚠ Cuenta no existe",IF(AND(OR(I222="Transferencia",I222="Pago tarjeta"),G222=""),"⚠ Indica la cuenta «Hacia»",IF(AND(G222&lt;&gt;"",G222=E222),"⚠ «Hacia» igual a la cuenta",IF(AND(G222&lt;&gt;"",ISNA(MATCH(G222,ctaNom,0))),"⚠ «Hacia» no existe",IF(AND(I222="Pago tarjeta",IFERROR(INDEX(ctaTipo,MATCH(G222,ctaNom,0)),"")&lt;&gt;"Tarjeta de crédito"),"⚠ «Hacia» debe ser la tarjeta",IF(AND(I222="Trading",IFERROR(INDEX(ctaTipo,MATCH(E222,ctaNom,0)),"")&lt;&gt;"Cuenta de trading"),"⚠ Usa la cuenta de trading","✓"))))))))))))</f>
        <v/>
      </c>
      <c r="I222" s="19">
        <f>IF(OR(B222="",C222="",D222=""),"",IFERROR(INDEX(catTipo,MATCH(D222,catNom,0))&amp;"",""))</f>
        <v/>
      </c>
      <c r="J222" s="19">
        <f>IF(I222="","",IFERROR(INDEX(catGrupo,MATCH(D222,catNom,0))&amp;"",""))</f>
        <v/>
      </c>
      <c r="K222" s="19">
        <f>IF(I222="Gasto",IF(IFERROR(INDEX(catClas,MATCH(D222,catNom,0))&amp;"","")="","Variable",IFERROR(INDEX(catClas,MATCH(D222,catNom,0))&amp;"","")),"")</f>
        <v/>
      </c>
      <c r="L222" s="19">
        <f>IF(I222="","",IFERROR(INDEX(catAlim,MATCH(D222,catNom,0))&amp;"",""))</f>
        <v/>
      </c>
      <c r="M222" s="19">
        <f>IF(I222="","",IFERROR(INDEX(catComida,MATCH(D222,catNom,0))&amp;"",""))</f>
        <v/>
      </c>
      <c r="N222" s="19">
        <f>IF(I222="","",IFERROR(INDEX(ctaMon,MATCH(E222,ctaNom,0))&amp;"","DOP"))</f>
        <v/>
      </c>
      <c r="O222" s="20">
        <f>IF(I222="","",C222*IF(N222="USD",TasaUSD,1))</f>
        <v/>
      </c>
      <c r="P222" s="20">
        <f>IF(I222="","",IF(I222="Gasto",O222,0))</f>
        <v/>
      </c>
      <c r="Q222" s="20">
        <f>IF(I222="","",IF(I222="Ingreso",O222,0))</f>
        <v/>
      </c>
      <c r="R222" s="20">
        <f>IF(I222="","",IF(I222="Trading",O222,0))</f>
        <v/>
      </c>
      <c r="S222" s="19">
        <f>IF(I222="","",IF(AND(I222="Gasto",K222="Variable",J222&lt;&gt;"Trading",O222&gt;0,O222&lt;=Umbral),1,0))</f>
        <v/>
      </c>
      <c r="T222" s="20">
        <f>IF(OR(I222="",E222=""),"",IF(OR(I222="Gasto",I222="Transferencia",I222="Pago tarjeta"),-1,1)*C222)</f>
        <v/>
      </c>
      <c r="U222" s="20">
        <f>IF(OR(G222="",AND(I222&lt;&gt;"Transferencia",I222&lt;&gt;"Pago tarjeta")),"",IF(IFERROR(INDEX(ctaMon,MATCH(G222,ctaNom,0))&amp;"","DOP")=N222,C222,IF(N222="USD",C222*TasaUSD,C222/TasaUSD)))</f>
        <v/>
      </c>
      <c r="V222" s="20">
        <f>IF(I222="","",IF(IFERROR(INDEX(ctaLiq,MATCH(E222,ctaNom,0))="Sí",FALSE),IF(OR(I222="Gasto",I222="Transferencia",I222="Pago tarjeta"),-1,1)*O222,0)+IF(AND(U222&lt;&gt;"",IFERROR(INDEX(ctaLiq,MATCH(G222,ctaNom,0))="Sí",FALSE)),O222,0))</f>
        <v/>
      </c>
      <c r="W222" s="19">
        <f>IF(OR(F222="",I222=""),"",IF(COUNTIFS(F$6:F222,F222,I$6:I222,"?*")=1,MAX(W$5:W221)+1,""))</f>
        <v/>
      </c>
    </row>
    <row r="223">
      <c r="B223" s="15" t="n"/>
      <c r="C223" s="16" t="n"/>
      <c r="D223" s="17" t="n"/>
      <c r="E223" s="17" t="n"/>
      <c r="F223" s="17" t="n"/>
      <c r="G223" s="17" t="n"/>
      <c r="H223" s="18">
        <f>IF(AND(B223="",C223="",D223="",E223=""),"",IF(B223="","⚠ Falta fecha",IF(C223="","⚠ Falta monto",IF(D223="","⚠ Falta categoría",IF(ISNA(MATCH(D223,catNom,0)),"⚠ Categoría no existe",IF(E223="","⚠ Falta cuenta",IF(ISNA(MATCH(E223,ctaNom,0)),"⚠ Cuenta no existe",IF(AND(OR(I223="Transferencia",I223="Pago tarjeta"),G223=""),"⚠ Indica la cuenta «Hacia»",IF(AND(G223&lt;&gt;"",G223=E223),"⚠ «Hacia» igual a la cuenta",IF(AND(G223&lt;&gt;"",ISNA(MATCH(G223,ctaNom,0))),"⚠ «Hacia» no existe",IF(AND(I223="Pago tarjeta",IFERROR(INDEX(ctaTipo,MATCH(G223,ctaNom,0)),"")&lt;&gt;"Tarjeta de crédito"),"⚠ «Hacia» debe ser la tarjeta",IF(AND(I223="Trading",IFERROR(INDEX(ctaTipo,MATCH(E223,ctaNom,0)),"")&lt;&gt;"Cuenta de trading"),"⚠ Usa la cuenta de trading","✓"))))))))))))</f>
        <v/>
      </c>
      <c r="I223" s="19">
        <f>IF(OR(B223="",C223="",D223=""),"",IFERROR(INDEX(catTipo,MATCH(D223,catNom,0))&amp;"",""))</f>
        <v/>
      </c>
      <c r="J223" s="19">
        <f>IF(I223="","",IFERROR(INDEX(catGrupo,MATCH(D223,catNom,0))&amp;"",""))</f>
        <v/>
      </c>
      <c r="K223" s="19">
        <f>IF(I223="Gasto",IF(IFERROR(INDEX(catClas,MATCH(D223,catNom,0))&amp;"","")="","Variable",IFERROR(INDEX(catClas,MATCH(D223,catNom,0))&amp;"","")),"")</f>
        <v/>
      </c>
      <c r="L223" s="19">
        <f>IF(I223="","",IFERROR(INDEX(catAlim,MATCH(D223,catNom,0))&amp;"",""))</f>
        <v/>
      </c>
      <c r="M223" s="19">
        <f>IF(I223="","",IFERROR(INDEX(catComida,MATCH(D223,catNom,0))&amp;"",""))</f>
        <v/>
      </c>
      <c r="N223" s="19">
        <f>IF(I223="","",IFERROR(INDEX(ctaMon,MATCH(E223,ctaNom,0))&amp;"","DOP"))</f>
        <v/>
      </c>
      <c r="O223" s="20">
        <f>IF(I223="","",C223*IF(N223="USD",TasaUSD,1))</f>
        <v/>
      </c>
      <c r="P223" s="20">
        <f>IF(I223="","",IF(I223="Gasto",O223,0))</f>
        <v/>
      </c>
      <c r="Q223" s="20">
        <f>IF(I223="","",IF(I223="Ingreso",O223,0))</f>
        <v/>
      </c>
      <c r="R223" s="20">
        <f>IF(I223="","",IF(I223="Trading",O223,0))</f>
        <v/>
      </c>
      <c r="S223" s="19">
        <f>IF(I223="","",IF(AND(I223="Gasto",K223="Variable",J223&lt;&gt;"Trading",O223&gt;0,O223&lt;=Umbral),1,0))</f>
        <v/>
      </c>
      <c r="T223" s="20">
        <f>IF(OR(I223="",E223=""),"",IF(OR(I223="Gasto",I223="Transferencia",I223="Pago tarjeta"),-1,1)*C223)</f>
        <v/>
      </c>
      <c r="U223" s="20">
        <f>IF(OR(G223="",AND(I223&lt;&gt;"Transferencia",I223&lt;&gt;"Pago tarjeta")),"",IF(IFERROR(INDEX(ctaMon,MATCH(G223,ctaNom,0))&amp;"","DOP")=N223,C223,IF(N223="USD",C223*TasaUSD,C223/TasaUSD)))</f>
        <v/>
      </c>
      <c r="V223" s="20">
        <f>IF(I223="","",IF(IFERROR(INDEX(ctaLiq,MATCH(E223,ctaNom,0))="Sí",FALSE),IF(OR(I223="Gasto",I223="Transferencia",I223="Pago tarjeta"),-1,1)*O223,0)+IF(AND(U223&lt;&gt;"",IFERROR(INDEX(ctaLiq,MATCH(G223,ctaNom,0))="Sí",FALSE)),O223,0))</f>
        <v/>
      </c>
      <c r="W223" s="19">
        <f>IF(OR(F223="",I223=""),"",IF(COUNTIFS(F$6:F223,F223,I$6:I223,"?*")=1,MAX(W$5:W222)+1,""))</f>
        <v/>
      </c>
    </row>
    <row r="224">
      <c r="B224" s="15" t="n"/>
      <c r="C224" s="16" t="n"/>
      <c r="D224" s="17" t="n"/>
      <c r="E224" s="17" t="n"/>
      <c r="F224" s="17" t="n"/>
      <c r="G224" s="17" t="n"/>
      <c r="H224" s="18">
        <f>IF(AND(B224="",C224="",D224="",E224=""),"",IF(B224="","⚠ Falta fecha",IF(C224="","⚠ Falta monto",IF(D224="","⚠ Falta categoría",IF(ISNA(MATCH(D224,catNom,0)),"⚠ Categoría no existe",IF(E224="","⚠ Falta cuenta",IF(ISNA(MATCH(E224,ctaNom,0)),"⚠ Cuenta no existe",IF(AND(OR(I224="Transferencia",I224="Pago tarjeta"),G224=""),"⚠ Indica la cuenta «Hacia»",IF(AND(G224&lt;&gt;"",G224=E224),"⚠ «Hacia» igual a la cuenta",IF(AND(G224&lt;&gt;"",ISNA(MATCH(G224,ctaNom,0))),"⚠ «Hacia» no existe",IF(AND(I224="Pago tarjeta",IFERROR(INDEX(ctaTipo,MATCH(G224,ctaNom,0)),"")&lt;&gt;"Tarjeta de crédito"),"⚠ «Hacia» debe ser la tarjeta",IF(AND(I224="Trading",IFERROR(INDEX(ctaTipo,MATCH(E224,ctaNom,0)),"")&lt;&gt;"Cuenta de trading"),"⚠ Usa la cuenta de trading","✓"))))))))))))</f>
        <v/>
      </c>
      <c r="I224" s="19">
        <f>IF(OR(B224="",C224="",D224=""),"",IFERROR(INDEX(catTipo,MATCH(D224,catNom,0))&amp;"",""))</f>
        <v/>
      </c>
      <c r="J224" s="19">
        <f>IF(I224="","",IFERROR(INDEX(catGrupo,MATCH(D224,catNom,0))&amp;"",""))</f>
        <v/>
      </c>
      <c r="K224" s="19">
        <f>IF(I224="Gasto",IF(IFERROR(INDEX(catClas,MATCH(D224,catNom,0))&amp;"","")="","Variable",IFERROR(INDEX(catClas,MATCH(D224,catNom,0))&amp;"","")),"")</f>
        <v/>
      </c>
      <c r="L224" s="19">
        <f>IF(I224="","",IFERROR(INDEX(catAlim,MATCH(D224,catNom,0))&amp;"",""))</f>
        <v/>
      </c>
      <c r="M224" s="19">
        <f>IF(I224="","",IFERROR(INDEX(catComida,MATCH(D224,catNom,0))&amp;"",""))</f>
        <v/>
      </c>
      <c r="N224" s="19">
        <f>IF(I224="","",IFERROR(INDEX(ctaMon,MATCH(E224,ctaNom,0))&amp;"","DOP"))</f>
        <v/>
      </c>
      <c r="O224" s="20">
        <f>IF(I224="","",C224*IF(N224="USD",TasaUSD,1))</f>
        <v/>
      </c>
      <c r="P224" s="20">
        <f>IF(I224="","",IF(I224="Gasto",O224,0))</f>
        <v/>
      </c>
      <c r="Q224" s="20">
        <f>IF(I224="","",IF(I224="Ingreso",O224,0))</f>
        <v/>
      </c>
      <c r="R224" s="20">
        <f>IF(I224="","",IF(I224="Trading",O224,0))</f>
        <v/>
      </c>
      <c r="S224" s="19">
        <f>IF(I224="","",IF(AND(I224="Gasto",K224="Variable",J224&lt;&gt;"Trading",O224&gt;0,O224&lt;=Umbral),1,0))</f>
        <v/>
      </c>
      <c r="T224" s="20">
        <f>IF(OR(I224="",E224=""),"",IF(OR(I224="Gasto",I224="Transferencia",I224="Pago tarjeta"),-1,1)*C224)</f>
        <v/>
      </c>
      <c r="U224" s="20">
        <f>IF(OR(G224="",AND(I224&lt;&gt;"Transferencia",I224&lt;&gt;"Pago tarjeta")),"",IF(IFERROR(INDEX(ctaMon,MATCH(G224,ctaNom,0))&amp;"","DOP")=N224,C224,IF(N224="USD",C224*TasaUSD,C224/TasaUSD)))</f>
        <v/>
      </c>
      <c r="V224" s="20">
        <f>IF(I224="","",IF(IFERROR(INDEX(ctaLiq,MATCH(E224,ctaNom,0))="Sí",FALSE),IF(OR(I224="Gasto",I224="Transferencia",I224="Pago tarjeta"),-1,1)*O224,0)+IF(AND(U224&lt;&gt;"",IFERROR(INDEX(ctaLiq,MATCH(G224,ctaNom,0))="Sí",FALSE)),O224,0))</f>
        <v/>
      </c>
      <c r="W224" s="19">
        <f>IF(OR(F224="",I224=""),"",IF(COUNTIFS(F$6:F224,F224,I$6:I224,"?*")=1,MAX(W$5:W223)+1,""))</f>
        <v/>
      </c>
    </row>
    <row r="225">
      <c r="B225" s="15" t="n"/>
      <c r="C225" s="16" t="n"/>
      <c r="D225" s="17" t="n"/>
      <c r="E225" s="17" t="n"/>
      <c r="F225" s="17" t="n"/>
      <c r="G225" s="17" t="n"/>
      <c r="H225" s="18">
        <f>IF(AND(B225="",C225="",D225="",E225=""),"",IF(B225="","⚠ Falta fecha",IF(C225="","⚠ Falta monto",IF(D225="","⚠ Falta categoría",IF(ISNA(MATCH(D225,catNom,0)),"⚠ Categoría no existe",IF(E225="","⚠ Falta cuenta",IF(ISNA(MATCH(E225,ctaNom,0)),"⚠ Cuenta no existe",IF(AND(OR(I225="Transferencia",I225="Pago tarjeta"),G225=""),"⚠ Indica la cuenta «Hacia»",IF(AND(G225&lt;&gt;"",G225=E225),"⚠ «Hacia» igual a la cuenta",IF(AND(G225&lt;&gt;"",ISNA(MATCH(G225,ctaNom,0))),"⚠ «Hacia» no existe",IF(AND(I225="Pago tarjeta",IFERROR(INDEX(ctaTipo,MATCH(G225,ctaNom,0)),"")&lt;&gt;"Tarjeta de crédito"),"⚠ «Hacia» debe ser la tarjeta",IF(AND(I225="Trading",IFERROR(INDEX(ctaTipo,MATCH(E225,ctaNom,0)),"")&lt;&gt;"Cuenta de trading"),"⚠ Usa la cuenta de trading","✓"))))))))))))</f>
        <v/>
      </c>
      <c r="I225" s="19">
        <f>IF(OR(B225="",C225="",D225=""),"",IFERROR(INDEX(catTipo,MATCH(D225,catNom,0))&amp;"",""))</f>
        <v/>
      </c>
      <c r="J225" s="19">
        <f>IF(I225="","",IFERROR(INDEX(catGrupo,MATCH(D225,catNom,0))&amp;"",""))</f>
        <v/>
      </c>
      <c r="K225" s="19">
        <f>IF(I225="Gasto",IF(IFERROR(INDEX(catClas,MATCH(D225,catNom,0))&amp;"","")="","Variable",IFERROR(INDEX(catClas,MATCH(D225,catNom,0))&amp;"","")),"")</f>
        <v/>
      </c>
      <c r="L225" s="19">
        <f>IF(I225="","",IFERROR(INDEX(catAlim,MATCH(D225,catNom,0))&amp;"",""))</f>
        <v/>
      </c>
      <c r="M225" s="19">
        <f>IF(I225="","",IFERROR(INDEX(catComida,MATCH(D225,catNom,0))&amp;"",""))</f>
        <v/>
      </c>
      <c r="N225" s="19">
        <f>IF(I225="","",IFERROR(INDEX(ctaMon,MATCH(E225,ctaNom,0))&amp;"","DOP"))</f>
        <v/>
      </c>
      <c r="O225" s="20">
        <f>IF(I225="","",C225*IF(N225="USD",TasaUSD,1))</f>
        <v/>
      </c>
      <c r="P225" s="20">
        <f>IF(I225="","",IF(I225="Gasto",O225,0))</f>
        <v/>
      </c>
      <c r="Q225" s="20">
        <f>IF(I225="","",IF(I225="Ingreso",O225,0))</f>
        <v/>
      </c>
      <c r="R225" s="20">
        <f>IF(I225="","",IF(I225="Trading",O225,0))</f>
        <v/>
      </c>
      <c r="S225" s="19">
        <f>IF(I225="","",IF(AND(I225="Gasto",K225="Variable",J225&lt;&gt;"Trading",O225&gt;0,O225&lt;=Umbral),1,0))</f>
        <v/>
      </c>
      <c r="T225" s="20">
        <f>IF(OR(I225="",E225=""),"",IF(OR(I225="Gasto",I225="Transferencia",I225="Pago tarjeta"),-1,1)*C225)</f>
        <v/>
      </c>
      <c r="U225" s="20">
        <f>IF(OR(G225="",AND(I225&lt;&gt;"Transferencia",I225&lt;&gt;"Pago tarjeta")),"",IF(IFERROR(INDEX(ctaMon,MATCH(G225,ctaNom,0))&amp;"","DOP")=N225,C225,IF(N225="USD",C225*TasaUSD,C225/TasaUSD)))</f>
        <v/>
      </c>
      <c r="V225" s="20">
        <f>IF(I225="","",IF(IFERROR(INDEX(ctaLiq,MATCH(E225,ctaNom,0))="Sí",FALSE),IF(OR(I225="Gasto",I225="Transferencia",I225="Pago tarjeta"),-1,1)*O225,0)+IF(AND(U225&lt;&gt;"",IFERROR(INDEX(ctaLiq,MATCH(G225,ctaNom,0))="Sí",FALSE)),O225,0))</f>
        <v/>
      </c>
      <c r="W225" s="19">
        <f>IF(OR(F225="",I225=""),"",IF(COUNTIFS(F$6:F225,F225,I$6:I225,"?*")=1,MAX(W$5:W224)+1,""))</f>
        <v/>
      </c>
    </row>
    <row r="226">
      <c r="B226" s="15" t="n"/>
      <c r="C226" s="16" t="n"/>
      <c r="D226" s="17" t="n"/>
      <c r="E226" s="17" t="n"/>
      <c r="F226" s="17" t="n"/>
      <c r="G226" s="17" t="n"/>
      <c r="H226" s="18">
        <f>IF(AND(B226="",C226="",D226="",E226=""),"",IF(B226="","⚠ Falta fecha",IF(C226="","⚠ Falta monto",IF(D226="","⚠ Falta categoría",IF(ISNA(MATCH(D226,catNom,0)),"⚠ Categoría no existe",IF(E226="","⚠ Falta cuenta",IF(ISNA(MATCH(E226,ctaNom,0)),"⚠ Cuenta no existe",IF(AND(OR(I226="Transferencia",I226="Pago tarjeta"),G226=""),"⚠ Indica la cuenta «Hacia»",IF(AND(G226&lt;&gt;"",G226=E226),"⚠ «Hacia» igual a la cuenta",IF(AND(G226&lt;&gt;"",ISNA(MATCH(G226,ctaNom,0))),"⚠ «Hacia» no existe",IF(AND(I226="Pago tarjeta",IFERROR(INDEX(ctaTipo,MATCH(G226,ctaNom,0)),"")&lt;&gt;"Tarjeta de crédito"),"⚠ «Hacia» debe ser la tarjeta",IF(AND(I226="Trading",IFERROR(INDEX(ctaTipo,MATCH(E226,ctaNom,0)),"")&lt;&gt;"Cuenta de trading"),"⚠ Usa la cuenta de trading","✓"))))))))))))</f>
        <v/>
      </c>
      <c r="I226" s="19">
        <f>IF(OR(B226="",C226="",D226=""),"",IFERROR(INDEX(catTipo,MATCH(D226,catNom,0))&amp;"",""))</f>
        <v/>
      </c>
      <c r="J226" s="19">
        <f>IF(I226="","",IFERROR(INDEX(catGrupo,MATCH(D226,catNom,0))&amp;"",""))</f>
        <v/>
      </c>
      <c r="K226" s="19">
        <f>IF(I226="Gasto",IF(IFERROR(INDEX(catClas,MATCH(D226,catNom,0))&amp;"","")="","Variable",IFERROR(INDEX(catClas,MATCH(D226,catNom,0))&amp;"","")),"")</f>
        <v/>
      </c>
      <c r="L226" s="19">
        <f>IF(I226="","",IFERROR(INDEX(catAlim,MATCH(D226,catNom,0))&amp;"",""))</f>
        <v/>
      </c>
      <c r="M226" s="19">
        <f>IF(I226="","",IFERROR(INDEX(catComida,MATCH(D226,catNom,0))&amp;"",""))</f>
        <v/>
      </c>
      <c r="N226" s="19">
        <f>IF(I226="","",IFERROR(INDEX(ctaMon,MATCH(E226,ctaNom,0))&amp;"","DOP"))</f>
        <v/>
      </c>
      <c r="O226" s="20">
        <f>IF(I226="","",C226*IF(N226="USD",TasaUSD,1))</f>
        <v/>
      </c>
      <c r="P226" s="20">
        <f>IF(I226="","",IF(I226="Gasto",O226,0))</f>
        <v/>
      </c>
      <c r="Q226" s="20">
        <f>IF(I226="","",IF(I226="Ingreso",O226,0))</f>
        <v/>
      </c>
      <c r="R226" s="20">
        <f>IF(I226="","",IF(I226="Trading",O226,0))</f>
        <v/>
      </c>
      <c r="S226" s="19">
        <f>IF(I226="","",IF(AND(I226="Gasto",K226="Variable",J226&lt;&gt;"Trading",O226&gt;0,O226&lt;=Umbral),1,0))</f>
        <v/>
      </c>
      <c r="T226" s="20">
        <f>IF(OR(I226="",E226=""),"",IF(OR(I226="Gasto",I226="Transferencia",I226="Pago tarjeta"),-1,1)*C226)</f>
        <v/>
      </c>
      <c r="U226" s="20">
        <f>IF(OR(G226="",AND(I226&lt;&gt;"Transferencia",I226&lt;&gt;"Pago tarjeta")),"",IF(IFERROR(INDEX(ctaMon,MATCH(G226,ctaNom,0))&amp;"","DOP")=N226,C226,IF(N226="USD",C226*TasaUSD,C226/TasaUSD)))</f>
        <v/>
      </c>
      <c r="V226" s="20">
        <f>IF(I226="","",IF(IFERROR(INDEX(ctaLiq,MATCH(E226,ctaNom,0))="Sí",FALSE),IF(OR(I226="Gasto",I226="Transferencia",I226="Pago tarjeta"),-1,1)*O226,0)+IF(AND(U226&lt;&gt;"",IFERROR(INDEX(ctaLiq,MATCH(G226,ctaNom,0))="Sí",FALSE)),O226,0))</f>
        <v/>
      </c>
      <c r="W226" s="19">
        <f>IF(OR(F226="",I226=""),"",IF(COUNTIFS(F$6:F226,F226,I$6:I226,"?*")=1,MAX(W$5:W225)+1,""))</f>
        <v/>
      </c>
    </row>
    <row r="227">
      <c r="B227" s="15" t="n"/>
      <c r="C227" s="16" t="n"/>
      <c r="D227" s="17" t="n"/>
      <c r="E227" s="17" t="n"/>
      <c r="F227" s="17" t="n"/>
      <c r="G227" s="17" t="n"/>
      <c r="H227" s="18">
        <f>IF(AND(B227="",C227="",D227="",E227=""),"",IF(B227="","⚠ Falta fecha",IF(C227="","⚠ Falta monto",IF(D227="","⚠ Falta categoría",IF(ISNA(MATCH(D227,catNom,0)),"⚠ Categoría no existe",IF(E227="","⚠ Falta cuenta",IF(ISNA(MATCH(E227,ctaNom,0)),"⚠ Cuenta no existe",IF(AND(OR(I227="Transferencia",I227="Pago tarjeta"),G227=""),"⚠ Indica la cuenta «Hacia»",IF(AND(G227&lt;&gt;"",G227=E227),"⚠ «Hacia» igual a la cuenta",IF(AND(G227&lt;&gt;"",ISNA(MATCH(G227,ctaNom,0))),"⚠ «Hacia» no existe",IF(AND(I227="Pago tarjeta",IFERROR(INDEX(ctaTipo,MATCH(G227,ctaNom,0)),"")&lt;&gt;"Tarjeta de crédito"),"⚠ «Hacia» debe ser la tarjeta",IF(AND(I227="Trading",IFERROR(INDEX(ctaTipo,MATCH(E227,ctaNom,0)),"")&lt;&gt;"Cuenta de trading"),"⚠ Usa la cuenta de trading","✓"))))))))))))</f>
        <v/>
      </c>
      <c r="I227" s="19">
        <f>IF(OR(B227="",C227="",D227=""),"",IFERROR(INDEX(catTipo,MATCH(D227,catNom,0))&amp;"",""))</f>
        <v/>
      </c>
      <c r="J227" s="19">
        <f>IF(I227="","",IFERROR(INDEX(catGrupo,MATCH(D227,catNom,0))&amp;"",""))</f>
        <v/>
      </c>
      <c r="K227" s="19">
        <f>IF(I227="Gasto",IF(IFERROR(INDEX(catClas,MATCH(D227,catNom,0))&amp;"","")="","Variable",IFERROR(INDEX(catClas,MATCH(D227,catNom,0))&amp;"","")),"")</f>
        <v/>
      </c>
      <c r="L227" s="19">
        <f>IF(I227="","",IFERROR(INDEX(catAlim,MATCH(D227,catNom,0))&amp;"",""))</f>
        <v/>
      </c>
      <c r="M227" s="19">
        <f>IF(I227="","",IFERROR(INDEX(catComida,MATCH(D227,catNom,0))&amp;"",""))</f>
        <v/>
      </c>
      <c r="N227" s="19">
        <f>IF(I227="","",IFERROR(INDEX(ctaMon,MATCH(E227,ctaNom,0))&amp;"","DOP"))</f>
        <v/>
      </c>
      <c r="O227" s="20">
        <f>IF(I227="","",C227*IF(N227="USD",TasaUSD,1))</f>
        <v/>
      </c>
      <c r="P227" s="20">
        <f>IF(I227="","",IF(I227="Gasto",O227,0))</f>
        <v/>
      </c>
      <c r="Q227" s="20">
        <f>IF(I227="","",IF(I227="Ingreso",O227,0))</f>
        <v/>
      </c>
      <c r="R227" s="20">
        <f>IF(I227="","",IF(I227="Trading",O227,0))</f>
        <v/>
      </c>
      <c r="S227" s="19">
        <f>IF(I227="","",IF(AND(I227="Gasto",K227="Variable",J227&lt;&gt;"Trading",O227&gt;0,O227&lt;=Umbral),1,0))</f>
        <v/>
      </c>
      <c r="T227" s="20">
        <f>IF(OR(I227="",E227=""),"",IF(OR(I227="Gasto",I227="Transferencia",I227="Pago tarjeta"),-1,1)*C227)</f>
        <v/>
      </c>
      <c r="U227" s="20">
        <f>IF(OR(G227="",AND(I227&lt;&gt;"Transferencia",I227&lt;&gt;"Pago tarjeta")),"",IF(IFERROR(INDEX(ctaMon,MATCH(G227,ctaNom,0))&amp;"","DOP")=N227,C227,IF(N227="USD",C227*TasaUSD,C227/TasaUSD)))</f>
        <v/>
      </c>
      <c r="V227" s="20">
        <f>IF(I227="","",IF(IFERROR(INDEX(ctaLiq,MATCH(E227,ctaNom,0))="Sí",FALSE),IF(OR(I227="Gasto",I227="Transferencia",I227="Pago tarjeta"),-1,1)*O227,0)+IF(AND(U227&lt;&gt;"",IFERROR(INDEX(ctaLiq,MATCH(G227,ctaNom,0))="Sí",FALSE)),O227,0))</f>
        <v/>
      </c>
      <c r="W227" s="19">
        <f>IF(OR(F227="",I227=""),"",IF(COUNTIFS(F$6:F227,F227,I$6:I227,"?*")=1,MAX(W$5:W226)+1,""))</f>
        <v/>
      </c>
    </row>
    <row r="228">
      <c r="B228" s="15" t="n"/>
      <c r="C228" s="16" t="n"/>
      <c r="D228" s="17" t="n"/>
      <c r="E228" s="17" t="n"/>
      <c r="F228" s="17" t="n"/>
      <c r="G228" s="17" t="n"/>
      <c r="H228" s="18">
        <f>IF(AND(B228="",C228="",D228="",E228=""),"",IF(B228="","⚠ Falta fecha",IF(C228="","⚠ Falta monto",IF(D228="","⚠ Falta categoría",IF(ISNA(MATCH(D228,catNom,0)),"⚠ Categoría no existe",IF(E228="","⚠ Falta cuenta",IF(ISNA(MATCH(E228,ctaNom,0)),"⚠ Cuenta no existe",IF(AND(OR(I228="Transferencia",I228="Pago tarjeta"),G228=""),"⚠ Indica la cuenta «Hacia»",IF(AND(G228&lt;&gt;"",G228=E228),"⚠ «Hacia» igual a la cuenta",IF(AND(G228&lt;&gt;"",ISNA(MATCH(G228,ctaNom,0))),"⚠ «Hacia» no existe",IF(AND(I228="Pago tarjeta",IFERROR(INDEX(ctaTipo,MATCH(G228,ctaNom,0)),"")&lt;&gt;"Tarjeta de crédito"),"⚠ «Hacia» debe ser la tarjeta",IF(AND(I228="Trading",IFERROR(INDEX(ctaTipo,MATCH(E228,ctaNom,0)),"")&lt;&gt;"Cuenta de trading"),"⚠ Usa la cuenta de trading","✓"))))))))))))</f>
        <v/>
      </c>
      <c r="I228" s="19">
        <f>IF(OR(B228="",C228="",D228=""),"",IFERROR(INDEX(catTipo,MATCH(D228,catNom,0))&amp;"",""))</f>
        <v/>
      </c>
      <c r="J228" s="19">
        <f>IF(I228="","",IFERROR(INDEX(catGrupo,MATCH(D228,catNom,0))&amp;"",""))</f>
        <v/>
      </c>
      <c r="K228" s="19">
        <f>IF(I228="Gasto",IF(IFERROR(INDEX(catClas,MATCH(D228,catNom,0))&amp;"","")="","Variable",IFERROR(INDEX(catClas,MATCH(D228,catNom,0))&amp;"","")),"")</f>
        <v/>
      </c>
      <c r="L228" s="19">
        <f>IF(I228="","",IFERROR(INDEX(catAlim,MATCH(D228,catNom,0))&amp;"",""))</f>
        <v/>
      </c>
      <c r="M228" s="19">
        <f>IF(I228="","",IFERROR(INDEX(catComida,MATCH(D228,catNom,0))&amp;"",""))</f>
        <v/>
      </c>
      <c r="N228" s="19">
        <f>IF(I228="","",IFERROR(INDEX(ctaMon,MATCH(E228,ctaNom,0))&amp;"","DOP"))</f>
        <v/>
      </c>
      <c r="O228" s="20">
        <f>IF(I228="","",C228*IF(N228="USD",TasaUSD,1))</f>
        <v/>
      </c>
      <c r="P228" s="20">
        <f>IF(I228="","",IF(I228="Gasto",O228,0))</f>
        <v/>
      </c>
      <c r="Q228" s="20">
        <f>IF(I228="","",IF(I228="Ingreso",O228,0))</f>
        <v/>
      </c>
      <c r="R228" s="20">
        <f>IF(I228="","",IF(I228="Trading",O228,0))</f>
        <v/>
      </c>
      <c r="S228" s="19">
        <f>IF(I228="","",IF(AND(I228="Gasto",K228="Variable",J228&lt;&gt;"Trading",O228&gt;0,O228&lt;=Umbral),1,0))</f>
        <v/>
      </c>
      <c r="T228" s="20">
        <f>IF(OR(I228="",E228=""),"",IF(OR(I228="Gasto",I228="Transferencia",I228="Pago tarjeta"),-1,1)*C228)</f>
        <v/>
      </c>
      <c r="U228" s="20">
        <f>IF(OR(G228="",AND(I228&lt;&gt;"Transferencia",I228&lt;&gt;"Pago tarjeta")),"",IF(IFERROR(INDEX(ctaMon,MATCH(G228,ctaNom,0))&amp;"","DOP")=N228,C228,IF(N228="USD",C228*TasaUSD,C228/TasaUSD)))</f>
        <v/>
      </c>
      <c r="V228" s="20">
        <f>IF(I228="","",IF(IFERROR(INDEX(ctaLiq,MATCH(E228,ctaNom,0))="Sí",FALSE),IF(OR(I228="Gasto",I228="Transferencia",I228="Pago tarjeta"),-1,1)*O228,0)+IF(AND(U228&lt;&gt;"",IFERROR(INDEX(ctaLiq,MATCH(G228,ctaNom,0))="Sí",FALSE)),O228,0))</f>
        <v/>
      </c>
      <c r="W228" s="19">
        <f>IF(OR(F228="",I228=""),"",IF(COUNTIFS(F$6:F228,F228,I$6:I228,"?*")=1,MAX(W$5:W227)+1,""))</f>
        <v/>
      </c>
    </row>
    <row r="229">
      <c r="B229" s="15" t="n"/>
      <c r="C229" s="16" t="n"/>
      <c r="D229" s="17" t="n"/>
      <c r="E229" s="17" t="n"/>
      <c r="F229" s="17" t="n"/>
      <c r="G229" s="17" t="n"/>
      <c r="H229" s="18">
        <f>IF(AND(B229="",C229="",D229="",E229=""),"",IF(B229="","⚠ Falta fecha",IF(C229="","⚠ Falta monto",IF(D229="","⚠ Falta categoría",IF(ISNA(MATCH(D229,catNom,0)),"⚠ Categoría no existe",IF(E229="","⚠ Falta cuenta",IF(ISNA(MATCH(E229,ctaNom,0)),"⚠ Cuenta no existe",IF(AND(OR(I229="Transferencia",I229="Pago tarjeta"),G229=""),"⚠ Indica la cuenta «Hacia»",IF(AND(G229&lt;&gt;"",G229=E229),"⚠ «Hacia» igual a la cuenta",IF(AND(G229&lt;&gt;"",ISNA(MATCH(G229,ctaNom,0))),"⚠ «Hacia» no existe",IF(AND(I229="Pago tarjeta",IFERROR(INDEX(ctaTipo,MATCH(G229,ctaNom,0)),"")&lt;&gt;"Tarjeta de crédito"),"⚠ «Hacia» debe ser la tarjeta",IF(AND(I229="Trading",IFERROR(INDEX(ctaTipo,MATCH(E229,ctaNom,0)),"")&lt;&gt;"Cuenta de trading"),"⚠ Usa la cuenta de trading","✓"))))))))))))</f>
        <v/>
      </c>
      <c r="I229" s="19">
        <f>IF(OR(B229="",C229="",D229=""),"",IFERROR(INDEX(catTipo,MATCH(D229,catNom,0))&amp;"",""))</f>
        <v/>
      </c>
      <c r="J229" s="19">
        <f>IF(I229="","",IFERROR(INDEX(catGrupo,MATCH(D229,catNom,0))&amp;"",""))</f>
        <v/>
      </c>
      <c r="K229" s="19">
        <f>IF(I229="Gasto",IF(IFERROR(INDEX(catClas,MATCH(D229,catNom,0))&amp;"","")="","Variable",IFERROR(INDEX(catClas,MATCH(D229,catNom,0))&amp;"","")),"")</f>
        <v/>
      </c>
      <c r="L229" s="19">
        <f>IF(I229="","",IFERROR(INDEX(catAlim,MATCH(D229,catNom,0))&amp;"",""))</f>
        <v/>
      </c>
      <c r="M229" s="19">
        <f>IF(I229="","",IFERROR(INDEX(catComida,MATCH(D229,catNom,0))&amp;"",""))</f>
        <v/>
      </c>
      <c r="N229" s="19">
        <f>IF(I229="","",IFERROR(INDEX(ctaMon,MATCH(E229,ctaNom,0))&amp;"","DOP"))</f>
        <v/>
      </c>
      <c r="O229" s="20">
        <f>IF(I229="","",C229*IF(N229="USD",TasaUSD,1))</f>
        <v/>
      </c>
      <c r="P229" s="20">
        <f>IF(I229="","",IF(I229="Gasto",O229,0))</f>
        <v/>
      </c>
      <c r="Q229" s="20">
        <f>IF(I229="","",IF(I229="Ingreso",O229,0))</f>
        <v/>
      </c>
      <c r="R229" s="20">
        <f>IF(I229="","",IF(I229="Trading",O229,0))</f>
        <v/>
      </c>
      <c r="S229" s="19">
        <f>IF(I229="","",IF(AND(I229="Gasto",K229="Variable",J229&lt;&gt;"Trading",O229&gt;0,O229&lt;=Umbral),1,0))</f>
        <v/>
      </c>
      <c r="T229" s="20">
        <f>IF(OR(I229="",E229=""),"",IF(OR(I229="Gasto",I229="Transferencia",I229="Pago tarjeta"),-1,1)*C229)</f>
        <v/>
      </c>
      <c r="U229" s="20">
        <f>IF(OR(G229="",AND(I229&lt;&gt;"Transferencia",I229&lt;&gt;"Pago tarjeta")),"",IF(IFERROR(INDEX(ctaMon,MATCH(G229,ctaNom,0))&amp;"","DOP")=N229,C229,IF(N229="USD",C229*TasaUSD,C229/TasaUSD)))</f>
        <v/>
      </c>
      <c r="V229" s="20">
        <f>IF(I229="","",IF(IFERROR(INDEX(ctaLiq,MATCH(E229,ctaNom,0))="Sí",FALSE),IF(OR(I229="Gasto",I229="Transferencia",I229="Pago tarjeta"),-1,1)*O229,0)+IF(AND(U229&lt;&gt;"",IFERROR(INDEX(ctaLiq,MATCH(G229,ctaNom,0))="Sí",FALSE)),O229,0))</f>
        <v/>
      </c>
      <c r="W229" s="19">
        <f>IF(OR(F229="",I229=""),"",IF(COUNTIFS(F$6:F229,F229,I$6:I229,"?*")=1,MAX(W$5:W228)+1,""))</f>
        <v/>
      </c>
    </row>
    <row r="230">
      <c r="B230" s="15" t="n"/>
      <c r="C230" s="16" t="n"/>
      <c r="D230" s="17" t="n"/>
      <c r="E230" s="17" t="n"/>
      <c r="F230" s="17" t="n"/>
      <c r="G230" s="17" t="n"/>
      <c r="H230" s="18">
        <f>IF(AND(B230="",C230="",D230="",E230=""),"",IF(B230="","⚠ Falta fecha",IF(C230="","⚠ Falta monto",IF(D230="","⚠ Falta categoría",IF(ISNA(MATCH(D230,catNom,0)),"⚠ Categoría no existe",IF(E230="","⚠ Falta cuenta",IF(ISNA(MATCH(E230,ctaNom,0)),"⚠ Cuenta no existe",IF(AND(OR(I230="Transferencia",I230="Pago tarjeta"),G230=""),"⚠ Indica la cuenta «Hacia»",IF(AND(G230&lt;&gt;"",G230=E230),"⚠ «Hacia» igual a la cuenta",IF(AND(G230&lt;&gt;"",ISNA(MATCH(G230,ctaNom,0))),"⚠ «Hacia» no existe",IF(AND(I230="Pago tarjeta",IFERROR(INDEX(ctaTipo,MATCH(G230,ctaNom,0)),"")&lt;&gt;"Tarjeta de crédito"),"⚠ «Hacia» debe ser la tarjeta",IF(AND(I230="Trading",IFERROR(INDEX(ctaTipo,MATCH(E230,ctaNom,0)),"")&lt;&gt;"Cuenta de trading"),"⚠ Usa la cuenta de trading","✓"))))))))))))</f>
        <v/>
      </c>
      <c r="I230" s="19">
        <f>IF(OR(B230="",C230="",D230=""),"",IFERROR(INDEX(catTipo,MATCH(D230,catNom,0))&amp;"",""))</f>
        <v/>
      </c>
      <c r="J230" s="19">
        <f>IF(I230="","",IFERROR(INDEX(catGrupo,MATCH(D230,catNom,0))&amp;"",""))</f>
        <v/>
      </c>
      <c r="K230" s="19">
        <f>IF(I230="Gasto",IF(IFERROR(INDEX(catClas,MATCH(D230,catNom,0))&amp;"","")="","Variable",IFERROR(INDEX(catClas,MATCH(D230,catNom,0))&amp;"","")),"")</f>
        <v/>
      </c>
      <c r="L230" s="19">
        <f>IF(I230="","",IFERROR(INDEX(catAlim,MATCH(D230,catNom,0))&amp;"",""))</f>
        <v/>
      </c>
      <c r="M230" s="19">
        <f>IF(I230="","",IFERROR(INDEX(catComida,MATCH(D230,catNom,0))&amp;"",""))</f>
        <v/>
      </c>
      <c r="N230" s="19">
        <f>IF(I230="","",IFERROR(INDEX(ctaMon,MATCH(E230,ctaNom,0))&amp;"","DOP"))</f>
        <v/>
      </c>
      <c r="O230" s="20">
        <f>IF(I230="","",C230*IF(N230="USD",TasaUSD,1))</f>
        <v/>
      </c>
      <c r="P230" s="20">
        <f>IF(I230="","",IF(I230="Gasto",O230,0))</f>
        <v/>
      </c>
      <c r="Q230" s="20">
        <f>IF(I230="","",IF(I230="Ingreso",O230,0))</f>
        <v/>
      </c>
      <c r="R230" s="20">
        <f>IF(I230="","",IF(I230="Trading",O230,0))</f>
        <v/>
      </c>
      <c r="S230" s="19">
        <f>IF(I230="","",IF(AND(I230="Gasto",K230="Variable",J230&lt;&gt;"Trading",O230&gt;0,O230&lt;=Umbral),1,0))</f>
        <v/>
      </c>
      <c r="T230" s="20">
        <f>IF(OR(I230="",E230=""),"",IF(OR(I230="Gasto",I230="Transferencia",I230="Pago tarjeta"),-1,1)*C230)</f>
        <v/>
      </c>
      <c r="U230" s="20">
        <f>IF(OR(G230="",AND(I230&lt;&gt;"Transferencia",I230&lt;&gt;"Pago tarjeta")),"",IF(IFERROR(INDEX(ctaMon,MATCH(G230,ctaNom,0))&amp;"","DOP")=N230,C230,IF(N230="USD",C230*TasaUSD,C230/TasaUSD)))</f>
        <v/>
      </c>
      <c r="V230" s="20">
        <f>IF(I230="","",IF(IFERROR(INDEX(ctaLiq,MATCH(E230,ctaNom,0))="Sí",FALSE),IF(OR(I230="Gasto",I230="Transferencia",I230="Pago tarjeta"),-1,1)*O230,0)+IF(AND(U230&lt;&gt;"",IFERROR(INDEX(ctaLiq,MATCH(G230,ctaNom,0))="Sí",FALSE)),O230,0))</f>
        <v/>
      </c>
      <c r="W230" s="19">
        <f>IF(OR(F230="",I230=""),"",IF(COUNTIFS(F$6:F230,F230,I$6:I230,"?*")=1,MAX(W$5:W229)+1,""))</f>
        <v/>
      </c>
    </row>
    <row r="231">
      <c r="B231" s="15" t="n"/>
      <c r="C231" s="16" t="n"/>
      <c r="D231" s="17" t="n"/>
      <c r="E231" s="17" t="n"/>
      <c r="F231" s="17" t="n"/>
      <c r="G231" s="17" t="n"/>
      <c r="H231" s="18">
        <f>IF(AND(B231="",C231="",D231="",E231=""),"",IF(B231="","⚠ Falta fecha",IF(C231="","⚠ Falta monto",IF(D231="","⚠ Falta categoría",IF(ISNA(MATCH(D231,catNom,0)),"⚠ Categoría no existe",IF(E231="","⚠ Falta cuenta",IF(ISNA(MATCH(E231,ctaNom,0)),"⚠ Cuenta no existe",IF(AND(OR(I231="Transferencia",I231="Pago tarjeta"),G231=""),"⚠ Indica la cuenta «Hacia»",IF(AND(G231&lt;&gt;"",G231=E231),"⚠ «Hacia» igual a la cuenta",IF(AND(G231&lt;&gt;"",ISNA(MATCH(G231,ctaNom,0))),"⚠ «Hacia» no existe",IF(AND(I231="Pago tarjeta",IFERROR(INDEX(ctaTipo,MATCH(G231,ctaNom,0)),"")&lt;&gt;"Tarjeta de crédito"),"⚠ «Hacia» debe ser la tarjeta",IF(AND(I231="Trading",IFERROR(INDEX(ctaTipo,MATCH(E231,ctaNom,0)),"")&lt;&gt;"Cuenta de trading"),"⚠ Usa la cuenta de trading","✓"))))))))))))</f>
        <v/>
      </c>
      <c r="I231" s="19">
        <f>IF(OR(B231="",C231="",D231=""),"",IFERROR(INDEX(catTipo,MATCH(D231,catNom,0))&amp;"",""))</f>
        <v/>
      </c>
      <c r="J231" s="19">
        <f>IF(I231="","",IFERROR(INDEX(catGrupo,MATCH(D231,catNom,0))&amp;"",""))</f>
        <v/>
      </c>
      <c r="K231" s="19">
        <f>IF(I231="Gasto",IF(IFERROR(INDEX(catClas,MATCH(D231,catNom,0))&amp;"","")="","Variable",IFERROR(INDEX(catClas,MATCH(D231,catNom,0))&amp;"","")),"")</f>
        <v/>
      </c>
      <c r="L231" s="19">
        <f>IF(I231="","",IFERROR(INDEX(catAlim,MATCH(D231,catNom,0))&amp;"",""))</f>
        <v/>
      </c>
      <c r="M231" s="19">
        <f>IF(I231="","",IFERROR(INDEX(catComida,MATCH(D231,catNom,0))&amp;"",""))</f>
        <v/>
      </c>
      <c r="N231" s="19">
        <f>IF(I231="","",IFERROR(INDEX(ctaMon,MATCH(E231,ctaNom,0))&amp;"","DOP"))</f>
        <v/>
      </c>
      <c r="O231" s="20">
        <f>IF(I231="","",C231*IF(N231="USD",TasaUSD,1))</f>
        <v/>
      </c>
      <c r="P231" s="20">
        <f>IF(I231="","",IF(I231="Gasto",O231,0))</f>
        <v/>
      </c>
      <c r="Q231" s="20">
        <f>IF(I231="","",IF(I231="Ingreso",O231,0))</f>
        <v/>
      </c>
      <c r="R231" s="20">
        <f>IF(I231="","",IF(I231="Trading",O231,0))</f>
        <v/>
      </c>
      <c r="S231" s="19">
        <f>IF(I231="","",IF(AND(I231="Gasto",K231="Variable",J231&lt;&gt;"Trading",O231&gt;0,O231&lt;=Umbral),1,0))</f>
        <v/>
      </c>
      <c r="T231" s="20">
        <f>IF(OR(I231="",E231=""),"",IF(OR(I231="Gasto",I231="Transferencia",I231="Pago tarjeta"),-1,1)*C231)</f>
        <v/>
      </c>
      <c r="U231" s="20">
        <f>IF(OR(G231="",AND(I231&lt;&gt;"Transferencia",I231&lt;&gt;"Pago tarjeta")),"",IF(IFERROR(INDEX(ctaMon,MATCH(G231,ctaNom,0))&amp;"","DOP")=N231,C231,IF(N231="USD",C231*TasaUSD,C231/TasaUSD)))</f>
        <v/>
      </c>
      <c r="V231" s="20">
        <f>IF(I231="","",IF(IFERROR(INDEX(ctaLiq,MATCH(E231,ctaNom,0))="Sí",FALSE),IF(OR(I231="Gasto",I231="Transferencia",I231="Pago tarjeta"),-1,1)*O231,0)+IF(AND(U231&lt;&gt;"",IFERROR(INDEX(ctaLiq,MATCH(G231,ctaNom,0))="Sí",FALSE)),O231,0))</f>
        <v/>
      </c>
      <c r="W231" s="19">
        <f>IF(OR(F231="",I231=""),"",IF(COUNTIFS(F$6:F231,F231,I$6:I231,"?*")=1,MAX(W$5:W230)+1,""))</f>
        <v/>
      </c>
    </row>
    <row r="232">
      <c r="B232" s="15" t="n"/>
      <c r="C232" s="16" t="n"/>
      <c r="D232" s="17" t="n"/>
      <c r="E232" s="17" t="n"/>
      <c r="F232" s="17" t="n"/>
      <c r="G232" s="17" t="n"/>
      <c r="H232" s="18">
        <f>IF(AND(B232="",C232="",D232="",E232=""),"",IF(B232="","⚠ Falta fecha",IF(C232="","⚠ Falta monto",IF(D232="","⚠ Falta categoría",IF(ISNA(MATCH(D232,catNom,0)),"⚠ Categoría no existe",IF(E232="","⚠ Falta cuenta",IF(ISNA(MATCH(E232,ctaNom,0)),"⚠ Cuenta no existe",IF(AND(OR(I232="Transferencia",I232="Pago tarjeta"),G232=""),"⚠ Indica la cuenta «Hacia»",IF(AND(G232&lt;&gt;"",G232=E232),"⚠ «Hacia» igual a la cuenta",IF(AND(G232&lt;&gt;"",ISNA(MATCH(G232,ctaNom,0))),"⚠ «Hacia» no existe",IF(AND(I232="Pago tarjeta",IFERROR(INDEX(ctaTipo,MATCH(G232,ctaNom,0)),"")&lt;&gt;"Tarjeta de crédito"),"⚠ «Hacia» debe ser la tarjeta",IF(AND(I232="Trading",IFERROR(INDEX(ctaTipo,MATCH(E232,ctaNom,0)),"")&lt;&gt;"Cuenta de trading"),"⚠ Usa la cuenta de trading","✓"))))))))))))</f>
        <v/>
      </c>
      <c r="I232" s="19">
        <f>IF(OR(B232="",C232="",D232=""),"",IFERROR(INDEX(catTipo,MATCH(D232,catNom,0))&amp;"",""))</f>
        <v/>
      </c>
      <c r="J232" s="19">
        <f>IF(I232="","",IFERROR(INDEX(catGrupo,MATCH(D232,catNom,0))&amp;"",""))</f>
        <v/>
      </c>
      <c r="K232" s="19">
        <f>IF(I232="Gasto",IF(IFERROR(INDEX(catClas,MATCH(D232,catNom,0))&amp;"","")="","Variable",IFERROR(INDEX(catClas,MATCH(D232,catNom,0))&amp;"","")),"")</f>
        <v/>
      </c>
      <c r="L232" s="19">
        <f>IF(I232="","",IFERROR(INDEX(catAlim,MATCH(D232,catNom,0))&amp;"",""))</f>
        <v/>
      </c>
      <c r="M232" s="19">
        <f>IF(I232="","",IFERROR(INDEX(catComida,MATCH(D232,catNom,0))&amp;"",""))</f>
        <v/>
      </c>
      <c r="N232" s="19">
        <f>IF(I232="","",IFERROR(INDEX(ctaMon,MATCH(E232,ctaNom,0))&amp;"","DOP"))</f>
        <v/>
      </c>
      <c r="O232" s="20">
        <f>IF(I232="","",C232*IF(N232="USD",TasaUSD,1))</f>
        <v/>
      </c>
      <c r="P232" s="20">
        <f>IF(I232="","",IF(I232="Gasto",O232,0))</f>
        <v/>
      </c>
      <c r="Q232" s="20">
        <f>IF(I232="","",IF(I232="Ingreso",O232,0))</f>
        <v/>
      </c>
      <c r="R232" s="20">
        <f>IF(I232="","",IF(I232="Trading",O232,0))</f>
        <v/>
      </c>
      <c r="S232" s="19">
        <f>IF(I232="","",IF(AND(I232="Gasto",K232="Variable",J232&lt;&gt;"Trading",O232&gt;0,O232&lt;=Umbral),1,0))</f>
        <v/>
      </c>
      <c r="T232" s="20">
        <f>IF(OR(I232="",E232=""),"",IF(OR(I232="Gasto",I232="Transferencia",I232="Pago tarjeta"),-1,1)*C232)</f>
        <v/>
      </c>
      <c r="U232" s="20">
        <f>IF(OR(G232="",AND(I232&lt;&gt;"Transferencia",I232&lt;&gt;"Pago tarjeta")),"",IF(IFERROR(INDEX(ctaMon,MATCH(G232,ctaNom,0))&amp;"","DOP")=N232,C232,IF(N232="USD",C232*TasaUSD,C232/TasaUSD)))</f>
        <v/>
      </c>
      <c r="V232" s="20">
        <f>IF(I232="","",IF(IFERROR(INDEX(ctaLiq,MATCH(E232,ctaNom,0))="Sí",FALSE),IF(OR(I232="Gasto",I232="Transferencia",I232="Pago tarjeta"),-1,1)*O232,0)+IF(AND(U232&lt;&gt;"",IFERROR(INDEX(ctaLiq,MATCH(G232,ctaNom,0))="Sí",FALSE)),O232,0))</f>
        <v/>
      </c>
      <c r="W232" s="19">
        <f>IF(OR(F232="",I232=""),"",IF(COUNTIFS(F$6:F232,F232,I$6:I232,"?*")=1,MAX(W$5:W231)+1,""))</f>
        <v/>
      </c>
    </row>
    <row r="233">
      <c r="B233" s="15" t="n"/>
      <c r="C233" s="16" t="n"/>
      <c r="D233" s="17" t="n"/>
      <c r="E233" s="17" t="n"/>
      <c r="F233" s="17" t="n"/>
      <c r="G233" s="17" t="n"/>
      <c r="H233" s="18">
        <f>IF(AND(B233="",C233="",D233="",E233=""),"",IF(B233="","⚠ Falta fecha",IF(C233="","⚠ Falta monto",IF(D233="","⚠ Falta categoría",IF(ISNA(MATCH(D233,catNom,0)),"⚠ Categoría no existe",IF(E233="","⚠ Falta cuenta",IF(ISNA(MATCH(E233,ctaNom,0)),"⚠ Cuenta no existe",IF(AND(OR(I233="Transferencia",I233="Pago tarjeta"),G233=""),"⚠ Indica la cuenta «Hacia»",IF(AND(G233&lt;&gt;"",G233=E233),"⚠ «Hacia» igual a la cuenta",IF(AND(G233&lt;&gt;"",ISNA(MATCH(G233,ctaNom,0))),"⚠ «Hacia» no existe",IF(AND(I233="Pago tarjeta",IFERROR(INDEX(ctaTipo,MATCH(G233,ctaNom,0)),"")&lt;&gt;"Tarjeta de crédito"),"⚠ «Hacia» debe ser la tarjeta",IF(AND(I233="Trading",IFERROR(INDEX(ctaTipo,MATCH(E233,ctaNom,0)),"")&lt;&gt;"Cuenta de trading"),"⚠ Usa la cuenta de trading","✓"))))))))))))</f>
        <v/>
      </c>
      <c r="I233" s="19">
        <f>IF(OR(B233="",C233="",D233=""),"",IFERROR(INDEX(catTipo,MATCH(D233,catNom,0))&amp;"",""))</f>
        <v/>
      </c>
      <c r="J233" s="19">
        <f>IF(I233="","",IFERROR(INDEX(catGrupo,MATCH(D233,catNom,0))&amp;"",""))</f>
        <v/>
      </c>
      <c r="K233" s="19">
        <f>IF(I233="Gasto",IF(IFERROR(INDEX(catClas,MATCH(D233,catNom,0))&amp;"","")="","Variable",IFERROR(INDEX(catClas,MATCH(D233,catNom,0))&amp;"","")),"")</f>
        <v/>
      </c>
      <c r="L233" s="19">
        <f>IF(I233="","",IFERROR(INDEX(catAlim,MATCH(D233,catNom,0))&amp;"",""))</f>
        <v/>
      </c>
      <c r="M233" s="19">
        <f>IF(I233="","",IFERROR(INDEX(catComida,MATCH(D233,catNom,0))&amp;"",""))</f>
        <v/>
      </c>
      <c r="N233" s="19">
        <f>IF(I233="","",IFERROR(INDEX(ctaMon,MATCH(E233,ctaNom,0))&amp;"","DOP"))</f>
        <v/>
      </c>
      <c r="O233" s="20">
        <f>IF(I233="","",C233*IF(N233="USD",TasaUSD,1))</f>
        <v/>
      </c>
      <c r="P233" s="20">
        <f>IF(I233="","",IF(I233="Gasto",O233,0))</f>
        <v/>
      </c>
      <c r="Q233" s="20">
        <f>IF(I233="","",IF(I233="Ingreso",O233,0))</f>
        <v/>
      </c>
      <c r="R233" s="20">
        <f>IF(I233="","",IF(I233="Trading",O233,0))</f>
        <v/>
      </c>
      <c r="S233" s="19">
        <f>IF(I233="","",IF(AND(I233="Gasto",K233="Variable",J233&lt;&gt;"Trading",O233&gt;0,O233&lt;=Umbral),1,0))</f>
        <v/>
      </c>
      <c r="T233" s="20">
        <f>IF(OR(I233="",E233=""),"",IF(OR(I233="Gasto",I233="Transferencia",I233="Pago tarjeta"),-1,1)*C233)</f>
        <v/>
      </c>
      <c r="U233" s="20">
        <f>IF(OR(G233="",AND(I233&lt;&gt;"Transferencia",I233&lt;&gt;"Pago tarjeta")),"",IF(IFERROR(INDEX(ctaMon,MATCH(G233,ctaNom,0))&amp;"","DOP")=N233,C233,IF(N233="USD",C233*TasaUSD,C233/TasaUSD)))</f>
        <v/>
      </c>
      <c r="V233" s="20">
        <f>IF(I233="","",IF(IFERROR(INDEX(ctaLiq,MATCH(E233,ctaNom,0))="Sí",FALSE),IF(OR(I233="Gasto",I233="Transferencia",I233="Pago tarjeta"),-1,1)*O233,0)+IF(AND(U233&lt;&gt;"",IFERROR(INDEX(ctaLiq,MATCH(G233,ctaNom,0))="Sí",FALSE)),O233,0))</f>
        <v/>
      </c>
      <c r="W233" s="19">
        <f>IF(OR(F233="",I233=""),"",IF(COUNTIFS(F$6:F233,F233,I$6:I233,"?*")=1,MAX(W$5:W232)+1,""))</f>
        <v/>
      </c>
    </row>
    <row r="234">
      <c r="B234" s="15" t="n"/>
      <c r="C234" s="16" t="n"/>
      <c r="D234" s="17" t="n"/>
      <c r="E234" s="17" t="n"/>
      <c r="F234" s="17" t="n"/>
      <c r="G234" s="17" t="n"/>
      <c r="H234" s="18">
        <f>IF(AND(B234="",C234="",D234="",E234=""),"",IF(B234="","⚠ Falta fecha",IF(C234="","⚠ Falta monto",IF(D234="","⚠ Falta categoría",IF(ISNA(MATCH(D234,catNom,0)),"⚠ Categoría no existe",IF(E234="","⚠ Falta cuenta",IF(ISNA(MATCH(E234,ctaNom,0)),"⚠ Cuenta no existe",IF(AND(OR(I234="Transferencia",I234="Pago tarjeta"),G234=""),"⚠ Indica la cuenta «Hacia»",IF(AND(G234&lt;&gt;"",G234=E234),"⚠ «Hacia» igual a la cuenta",IF(AND(G234&lt;&gt;"",ISNA(MATCH(G234,ctaNom,0))),"⚠ «Hacia» no existe",IF(AND(I234="Pago tarjeta",IFERROR(INDEX(ctaTipo,MATCH(G234,ctaNom,0)),"")&lt;&gt;"Tarjeta de crédito"),"⚠ «Hacia» debe ser la tarjeta",IF(AND(I234="Trading",IFERROR(INDEX(ctaTipo,MATCH(E234,ctaNom,0)),"")&lt;&gt;"Cuenta de trading"),"⚠ Usa la cuenta de trading","✓"))))))))))))</f>
        <v/>
      </c>
      <c r="I234" s="19">
        <f>IF(OR(B234="",C234="",D234=""),"",IFERROR(INDEX(catTipo,MATCH(D234,catNom,0))&amp;"",""))</f>
        <v/>
      </c>
      <c r="J234" s="19">
        <f>IF(I234="","",IFERROR(INDEX(catGrupo,MATCH(D234,catNom,0))&amp;"",""))</f>
        <v/>
      </c>
      <c r="K234" s="19">
        <f>IF(I234="Gasto",IF(IFERROR(INDEX(catClas,MATCH(D234,catNom,0))&amp;"","")="","Variable",IFERROR(INDEX(catClas,MATCH(D234,catNom,0))&amp;"","")),"")</f>
        <v/>
      </c>
      <c r="L234" s="19">
        <f>IF(I234="","",IFERROR(INDEX(catAlim,MATCH(D234,catNom,0))&amp;"",""))</f>
        <v/>
      </c>
      <c r="M234" s="19">
        <f>IF(I234="","",IFERROR(INDEX(catComida,MATCH(D234,catNom,0))&amp;"",""))</f>
        <v/>
      </c>
      <c r="N234" s="19">
        <f>IF(I234="","",IFERROR(INDEX(ctaMon,MATCH(E234,ctaNom,0))&amp;"","DOP"))</f>
        <v/>
      </c>
      <c r="O234" s="20">
        <f>IF(I234="","",C234*IF(N234="USD",TasaUSD,1))</f>
        <v/>
      </c>
      <c r="P234" s="20">
        <f>IF(I234="","",IF(I234="Gasto",O234,0))</f>
        <v/>
      </c>
      <c r="Q234" s="20">
        <f>IF(I234="","",IF(I234="Ingreso",O234,0))</f>
        <v/>
      </c>
      <c r="R234" s="20">
        <f>IF(I234="","",IF(I234="Trading",O234,0))</f>
        <v/>
      </c>
      <c r="S234" s="19">
        <f>IF(I234="","",IF(AND(I234="Gasto",K234="Variable",J234&lt;&gt;"Trading",O234&gt;0,O234&lt;=Umbral),1,0))</f>
        <v/>
      </c>
      <c r="T234" s="20">
        <f>IF(OR(I234="",E234=""),"",IF(OR(I234="Gasto",I234="Transferencia",I234="Pago tarjeta"),-1,1)*C234)</f>
        <v/>
      </c>
      <c r="U234" s="20">
        <f>IF(OR(G234="",AND(I234&lt;&gt;"Transferencia",I234&lt;&gt;"Pago tarjeta")),"",IF(IFERROR(INDEX(ctaMon,MATCH(G234,ctaNom,0))&amp;"","DOP")=N234,C234,IF(N234="USD",C234*TasaUSD,C234/TasaUSD)))</f>
        <v/>
      </c>
      <c r="V234" s="20">
        <f>IF(I234="","",IF(IFERROR(INDEX(ctaLiq,MATCH(E234,ctaNom,0))="Sí",FALSE),IF(OR(I234="Gasto",I234="Transferencia",I234="Pago tarjeta"),-1,1)*O234,0)+IF(AND(U234&lt;&gt;"",IFERROR(INDEX(ctaLiq,MATCH(G234,ctaNom,0))="Sí",FALSE)),O234,0))</f>
        <v/>
      </c>
      <c r="W234" s="19">
        <f>IF(OR(F234="",I234=""),"",IF(COUNTIFS(F$6:F234,F234,I$6:I234,"?*")=1,MAX(W$5:W233)+1,""))</f>
        <v/>
      </c>
    </row>
    <row r="235">
      <c r="B235" s="15" t="n"/>
      <c r="C235" s="16" t="n"/>
      <c r="D235" s="17" t="n"/>
      <c r="E235" s="17" t="n"/>
      <c r="F235" s="17" t="n"/>
      <c r="G235" s="17" t="n"/>
      <c r="H235" s="18">
        <f>IF(AND(B235="",C235="",D235="",E235=""),"",IF(B235="","⚠ Falta fecha",IF(C235="","⚠ Falta monto",IF(D235="","⚠ Falta categoría",IF(ISNA(MATCH(D235,catNom,0)),"⚠ Categoría no existe",IF(E235="","⚠ Falta cuenta",IF(ISNA(MATCH(E235,ctaNom,0)),"⚠ Cuenta no existe",IF(AND(OR(I235="Transferencia",I235="Pago tarjeta"),G235=""),"⚠ Indica la cuenta «Hacia»",IF(AND(G235&lt;&gt;"",G235=E235),"⚠ «Hacia» igual a la cuenta",IF(AND(G235&lt;&gt;"",ISNA(MATCH(G235,ctaNom,0))),"⚠ «Hacia» no existe",IF(AND(I235="Pago tarjeta",IFERROR(INDEX(ctaTipo,MATCH(G235,ctaNom,0)),"")&lt;&gt;"Tarjeta de crédito"),"⚠ «Hacia» debe ser la tarjeta",IF(AND(I235="Trading",IFERROR(INDEX(ctaTipo,MATCH(E235,ctaNom,0)),"")&lt;&gt;"Cuenta de trading"),"⚠ Usa la cuenta de trading","✓"))))))))))))</f>
        <v/>
      </c>
      <c r="I235" s="19">
        <f>IF(OR(B235="",C235="",D235=""),"",IFERROR(INDEX(catTipo,MATCH(D235,catNom,0))&amp;"",""))</f>
        <v/>
      </c>
      <c r="J235" s="19">
        <f>IF(I235="","",IFERROR(INDEX(catGrupo,MATCH(D235,catNom,0))&amp;"",""))</f>
        <v/>
      </c>
      <c r="K235" s="19">
        <f>IF(I235="Gasto",IF(IFERROR(INDEX(catClas,MATCH(D235,catNom,0))&amp;"","")="","Variable",IFERROR(INDEX(catClas,MATCH(D235,catNom,0))&amp;"","")),"")</f>
        <v/>
      </c>
      <c r="L235" s="19">
        <f>IF(I235="","",IFERROR(INDEX(catAlim,MATCH(D235,catNom,0))&amp;"",""))</f>
        <v/>
      </c>
      <c r="M235" s="19">
        <f>IF(I235="","",IFERROR(INDEX(catComida,MATCH(D235,catNom,0))&amp;"",""))</f>
        <v/>
      </c>
      <c r="N235" s="19">
        <f>IF(I235="","",IFERROR(INDEX(ctaMon,MATCH(E235,ctaNom,0))&amp;"","DOP"))</f>
        <v/>
      </c>
      <c r="O235" s="20">
        <f>IF(I235="","",C235*IF(N235="USD",TasaUSD,1))</f>
        <v/>
      </c>
      <c r="P235" s="20">
        <f>IF(I235="","",IF(I235="Gasto",O235,0))</f>
        <v/>
      </c>
      <c r="Q235" s="20">
        <f>IF(I235="","",IF(I235="Ingreso",O235,0))</f>
        <v/>
      </c>
      <c r="R235" s="20">
        <f>IF(I235="","",IF(I235="Trading",O235,0))</f>
        <v/>
      </c>
      <c r="S235" s="19">
        <f>IF(I235="","",IF(AND(I235="Gasto",K235="Variable",J235&lt;&gt;"Trading",O235&gt;0,O235&lt;=Umbral),1,0))</f>
        <v/>
      </c>
      <c r="T235" s="20">
        <f>IF(OR(I235="",E235=""),"",IF(OR(I235="Gasto",I235="Transferencia",I235="Pago tarjeta"),-1,1)*C235)</f>
        <v/>
      </c>
      <c r="U235" s="20">
        <f>IF(OR(G235="",AND(I235&lt;&gt;"Transferencia",I235&lt;&gt;"Pago tarjeta")),"",IF(IFERROR(INDEX(ctaMon,MATCH(G235,ctaNom,0))&amp;"","DOP")=N235,C235,IF(N235="USD",C235*TasaUSD,C235/TasaUSD)))</f>
        <v/>
      </c>
      <c r="V235" s="20">
        <f>IF(I235="","",IF(IFERROR(INDEX(ctaLiq,MATCH(E235,ctaNom,0))="Sí",FALSE),IF(OR(I235="Gasto",I235="Transferencia",I235="Pago tarjeta"),-1,1)*O235,0)+IF(AND(U235&lt;&gt;"",IFERROR(INDEX(ctaLiq,MATCH(G235,ctaNom,0))="Sí",FALSE)),O235,0))</f>
        <v/>
      </c>
      <c r="W235" s="19">
        <f>IF(OR(F235="",I235=""),"",IF(COUNTIFS(F$6:F235,F235,I$6:I235,"?*")=1,MAX(W$5:W234)+1,""))</f>
        <v/>
      </c>
    </row>
    <row r="236">
      <c r="B236" s="15" t="n"/>
      <c r="C236" s="16" t="n"/>
      <c r="D236" s="17" t="n"/>
      <c r="E236" s="17" t="n"/>
      <c r="F236" s="17" t="n"/>
      <c r="G236" s="17" t="n"/>
      <c r="H236" s="18">
        <f>IF(AND(B236="",C236="",D236="",E236=""),"",IF(B236="","⚠ Falta fecha",IF(C236="","⚠ Falta monto",IF(D236="","⚠ Falta categoría",IF(ISNA(MATCH(D236,catNom,0)),"⚠ Categoría no existe",IF(E236="","⚠ Falta cuenta",IF(ISNA(MATCH(E236,ctaNom,0)),"⚠ Cuenta no existe",IF(AND(OR(I236="Transferencia",I236="Pago tarjeta"),G236=""),"⚠ Indica la cuenta «Hacia»",IF(AND(G236&lt;&gt;"",G236=E236),"⚠ «Hacia» igual a la cuenta",IF(AND(G236&lt;&gt;"",ISNA(MATCH(G236,ctaNom,0))),"⚠ «Hacia» no existe",IF(AND(I236="Pago tarjeta",IFERROR(INDEX(ctaTipo,MATCH(G236,ctaNom,0)),"")&lt;&gt;"Tarjeta de crédito"),"⚠ «Hacia» debe ser la tarjeta",IF(AND(I236="Trading",IFERROR(INDEX(ctaTipo,MATCH(E236,ctaNom,0)),"")&lt;&gt;"Cuenta de trading"),"⚠ Usa la cuenta de trading","✓"))))))))))))</f>
        <v/>
      </c>
      <c r="I236" s="19">
        <f>IF(OR(B236="",C236="",D236=""),"",IFERROR(INDEX(catTipo,MATCH(D236,catNom,0))&amp;"",""))</f>
        <v/>
      </c>
      <c r="J236" s="19">
        <f>IF(I236="","",IFERROR(INDEX(catGrupo,MATCH(D236,catNom,0))&amp;"",""))</f>
        <v/>
      </c>
      <c r="K236" s="19">
        <f>IF(I236="Gasto",IF(IFERROR(INDEX(catClas,MATCH(D236,catNom,0))&amp;"","")="","Variable",IFERROR(INDEX(catClas,MATCH(D236,catNom,0))&amp;"","")),"")</f>
        <v/>
      </c>
      <c r="L236" s="19">
        <f>IF(I236="","",IFERROR(INDEX(catAlim,MATCH(D236,catNom,0))&amp;"",""))</f>
        <v/>
      </c>
      <c r="M236" s="19">
        <f>IF(I236="","",IFERROR(INDEX(catComida,MATCH(D236,catNom,0))&amp;"",""))</f>
        <v/>
      </c>
      <c r="N236" s="19">
        <f>IF(I236="","",IFERROR(INDEX(ctaMon,MATCH(E236,ctaNom,0))&amp;"","DOP"))</f>
        <v/>
      </c>
      <c r="O236" s="20">
        <f>IF(I236="","",C236*IF(N236="USD",TasaUSD,1))</f>
        <v/>
      </c>
      <c r="P236" s="20">
        <f>IF(I236="","",IF(I236="Gasto",O236,0))</f>
        <v/>
      </c>
      <c r="Q236" s="20">
        <f>IF(I236="","",IF(I236="Ingreso",O236,0))</f>
        <v/>
      </c>
      <c r="R236" s="20">
        <f>IF(I236="","",IF(I236="Trading",O236,0))</f>
        <v/>
      </c>
      <c r="S236" s="19">
        <f>IF(I236="","",IF(AND(I236="Gasto",K236="Variable",J236&lt;&gt;"Trading",O236&gt;0,O236&lt;=Umbral),1,0))</f>
        <v/>
      </c>
      <c r="T236" s="20">
        <f>IF(OR(I236="",E236=""),"",IF(OR(I236="Gasto",I236="Transferencia",I236="Pago tarjeta"),-1,1)*C236)</f>
        <v/>
      </c>
      <c r="U236" s="20">
        <f>IF(OR(G236="",AND(I236&lt;&gt;"Transferencia",I236&lt;&gt;"Pago tarjeta")),"",IF(IFERROR(INDEX(ctaMon,MATCH(G236,ctaNom,0))&amp;"","DOP")=N236,C236,IF(N236="USD",C236*TasaUSD,C236/TasaUSD)))</f>
        <v/>
      </c>
      <c r="V236" s="20">
        <f>IF(I236="","",IF(IFERROR(INDEX(ctaLiq,MATCH(E236,ctaNom,0))="Sí",FALSE),IF(OR(I236="Gasto",I236="Transferencia",I236="Pago tarjeta"),-1,1)*O236,0)+IF(AND(U236&lt;&gt;"",IFERROR(INDEX(ctaLiq,MATCH(G236,ctaNom,0))="Sí",FALSE)),O236,0))</f>
        <v/>
      </c>
      <c r="W236" s="19">
        <f>IF(OR(F236="",I236=""),"",IF(COUNTIFS(F$6:F236,F236,I$6:I236,"?*")=1,MAX(W$5:W235)+1,""))</f>
        <v/>
      </c>
    </row>
    <row r="237">
      <c r="B237" s="15" t="n"/>
      <c r="C237" s="16" t="n"/>
      <c r="D237" s="17" t="n"/>
      <c r="E237" s="17" t="n"/>
      <c r="F237" s="17" t="n"/>
      <c r="G237" s="17" t="n"/>
      <c r="H237" s="18">
        <f>IF(AND(B237="",C237="",D237="",E237=""),"",IF(B237="","⚠ Falta fecha",IF(C237="","⚠ Falta monto",IF(D237="","⚠ Falta categoría",IF(ISNA(MATCH(D237,catNom,0)),"⚠ Categoría no existe",IF(E237="","⚠ Falta cuenta",IF(ISNA(MATCH(E237,ctaNom,0)),"⚠ Cuenta no existe",IF(AND(OR(I237="Transferencia",I237="Pago tarjeta"),G237=""),"⚠ Indica la cuenta «Hacia»",IF(AND(G237&lt;&gt;"",G237=E237),"⚠ «Hacia» igual a la cuenta",IF(AND(G237&lt;&gt;"",ISNA(MATCH(G237,ctaNom,0))),"⚠ «Hacia» no existe",IF(AND(I237="Pago tarjeta",IFERROR(INDEX(ctaTipo,MATCH(G237,ctaNom,0)),"")&lt;&gt;"Tarjeta de crédito"),"⚠ «Hacia» debe ser la tarjeta",IF(AND(I237="Trading",IFERROR(INDEX(ctaTipo,MATCH(E237,ctaNom,0)),"")&lt;&gt;"Cuenta de trading"),"⚠ Usa la cuenta de trading","✓"))))))))))))</f>
        <v/>
      </c>
      <c r="I237" s="19">
        <f>IF(OR(B237="",C237="",D237=""),"",IFERROR(INDEX(catTipo,MATCH(D237,catNom,0))&amp;"",""))</f>
        <v/>
      </c>
      <c r="J237" s="19">
        <f>IF(I237="","",IFERROR(INDEX(catGrupo,MATCH(D237,catNom,0))&amp;"",""))</f>
        <v/>
      </c>
      <c r="K237" s="19">
        <f>IF(I237="Gasto",IF(IFERROR(INDEX(catClas,MATCH(D237,catNom,0))&amp;"","")="","Variable",IFERROR(INDEX(catClas,MATCH(D237,catNom,0))&amp;"","")),"")</f>
        <v/>
      </c>
      <c r="L237" s="19">
        <f>IF(I237="","",IFERROR(INDEX(catAlim,MATCH(D237,catNom,0))&amp;"",""))</f>
        <v/>
      </c>
      <c r="M237" s="19">
        <f>IF(I237="","",IFERROR(INDEX(catComida,MATCH(D237,catNom,0))&amp;"",""))</f>
        <v/>
      </c>
      <c r="N237" s="19">
        <f>IF(I237="","",IFERROR(INDEX(ctaMon,MATCH(E237,ctaNom,0))&amp;"","DOP"))</f>
        <v/>
      </c>
      <c r="O237" s="20">
        <f>IF(I237="","",C237*IF(N237="USD",TasaUSD,1))</f>
        <v/>
      </c>
      <c r="P237" s="20">
        <f>IF(I237="","",IF(I237="Gasto",O237,0))</f>
        <v/>
      </c>
      <c r="Q237" s="20">
        <f>IF(I237="","",IF(I237="Ingreso",O237,0))</f>
        <v/>
      </c>
      <c r="R237" s="20">
        <f>IF(I237="","",IF(I237="Trading",O237,0))</f>
        <v/>
      </c>
      <c r="S237" s="19">
        <f>IF(I237="","",IF(AND(I237="Gasto",K237="Variable",J237&lt;&gt;"Trading",O237&gt;0,O237&lt;=Umbral),1,0))</f>
        <v/>
      </c>
      <c r="T237" s="20">
        <f>IF(OR(I237="",E237=""),"",IF(OR(I237="Gasto",I237="Transferencia",I237="Pago tarjeta"),-1,1)*C237)</f>
        <v/>
      </c>
      <c r="U237" s="20">
        <f>IF(OR(G237="",AND(I237&lt;&gt;"Transferencia",I237&lt;&gt;"Pago tarjeta")),"",IF(IFERROR(INDEX(ctaMon,MATCH(G237,ctaNom,0))&amp;"","DOP")=N237,C237,IF(N237="USD",C237*TasaUSD,C237/TasaUSD)))</f>
        <v/>
      </c>
      <c r="V237" s="20">
        <f>IF(I237="","",IF(IFERROR(INDEX(ctaLiq,MATCH(E237,ctaNom,0))="Sí",FALSE),IF(OR(I237="Gasto",I237="Transferencia",I237="Pago tarjeta"),-1,1)*O237,0)+IF(AND(U237&lt;&gt;"",IFERROR(INDEX(ctaLiq,MATCH(G237,ctaNom,0))="Sí",FALSE)),O237,0))</f>
        <v/>
      </c>
      <c r="W237" s="19">
        <f>IF(OR(F237="",I237=""),"",IF(COUNTIFS(F$6:F237,F237,I$6:I237,"?*")=1,MAX(W$5:W236)+1,""))</f>
        <v/>
      </c>
    </row>
    <row r="238">
      <c r="B238" s="15" t="n"/>
      <c r="C238" s="16" t="n"/>
      <c r="D238" s="17" t="n"/>
      <c r="E238" s="17" t="n"/>
      <c r="F238" s="17" t="n"/>
      <c r="G238" s="17" t="n"/>
      <c r="H238" s="18">
        <f>IF(AND(B238="",C238="",D238="",E238=""),"",IF(B238="","⚠ Falta fecha",IF(C238="","⚠ Falta monto",IF(D238="","⚠ Falta categoría",IF(ISNA(MATCH(D238,catNom,0)),"⚠ Categoría no existe",IF(E238="","⚠ Falta cuenta",IF(ISNA(MATCH(E238,ctaNom,0)),"⚠ Cuenta no existe",IF(AND(OR(I238="Transferencia",I238="Pago tarjeta"),G238=""),"⚠ Indica la cuenta «Hacia»",IF(AND(G238&lt;&gt;"",G238=E238),"⚠ «Hacia» igual a la cuenta",IF(AND(G238&lt;&gt;"",ISNA(MATCH(G238,ctaNom,0))),"⚠ «Hacia» no existe",IF(AND(I238="Pago tarjeta",IFERROR(INDEX(ctaTipo,MATCH(G238,ctaNom,0)),"")&lt;&gt;"Tarjeta de crédito"),"⚠ «Hacia» debe ser la tarjeta",IF(AND(I238="Trading",IFERROR(INDEX(ctaTipo,MATCH(E238,ctaNom,0)),"")&lt;&gt;"Cuenta de trading"),"⚠ Usa la cuenta de trading","✓"))))))))))))</f>
        <v/>
      </c>
      <c r="I238" s="19">
        <f>IF(OR(B238="",C238="",D238=""),"",IFERROR(INDEX(catTipo,MATCH(D238,catNom,0))&amp;"",""))</f>
        <v/>
      </c>
      <c r="J238" s="19">
        <f>IF(I238="","",IFERROR(INDEX(catGrupo,MATCH(D238,catNom,0))&amp;"",""))</f>
        <v/>
      </c>
      <c r="K238" s="19">
        <f>IF(I238="Gasto",IF(IFERROR(INDEX(catClas,MATCH(D238,catNom,0))&amp;"","")="","Variable",IFERROR(INDEX(catClas,MATCH(D238,catNom,0))&amp;"","")),"")</f>
        <v/>
      </c>
      <c r="L238" s="19">
        <f>IF(I238="","",IFERROR(INDEX(catAlim,MATCH(D238,catNom,0))&amp;"",""))</f>
        <v/>
      </c>
      <c r="M238" s="19">
        <f>IF(I238="","",IFERROR(INDEX(catComida,MATCH(D238,catNom,0))&amp;"",""))</f>
        <v/>
      </c>
      <c r="N238" s="19">
        <f>IF(I238="","",IFERROR(INDEX(ctaMon,MATCH(E238,ctaNom,0))&amp;"","DOP"))</f>
        <v/>
      </c>
      <c r="O238" s="20">
        <f>IF(I238="","",C238*IF(N238="USD",TasaUSD,1))</f>
        <v/>
      </c>
      <c r="P238" s="20">
        <f>IF(I238="","",IF(I238="Gasto",O238,0))</f>
        <v/>
      </c>
      <c r="Q238" s="20">
        <f>IF(I238="","",IF(I238="Ingreso",O238,0))</f>
        <v/>
      </c>
      <c r="R238" s="20">
        <f>IF(I238="","",IF(I238="Trading",O238,0))</f>
        <v/>
      </c>
      <c r="S238" s="19">
        <f>IF(I238="","",IF(AND(I238="Gasto",K238="Variable",J238&lt;&gt;"Trading",O238&gt;0,O238&lt;=Umbral),1,0))</f>
        <v/>
      </c>
      <c r="T238" s="20">
        <f>IF(OR(I238="",E238=""),"",IF(OR(I238="Gasto",I238="Transferencia",I238="Pago tarjeta"),-1,1)*C238)</f>
        <v/>
      </c>
      <c r="U238" s="20">
        <f>IF(OR(G238="",AND(I238&lt;&gt;"Transferencia",I238&lt;&gt;"Pago tarjeta")),"",IF(IFERROR(INDEX(ctaMon,MATCH(G238,ctaNom,0))&amp;"","DOP")=N238,C238,IF(N238="USD",C238*TasaUSD,C238/TasaUSD)))</f>
        <v/>
      </c>
      <c r="V238" s="20">
        <f>IF(I238="","",IF(IFERROR(INDEX(ctaLiq,MATCH(E238,ctaNom,0))="Sí",FALSE),IF(OR(I238="Gasto",I238="Transferencia",I238="Pago tarjeta"),-1,1)*O238,0)+IF(AND(U238&lt;&gt;"",IFERROR(INDEX(ctaLiq,MATCH(G238,ctaNom,0))="Sí",FALSE)),O238,0))</f>
        <v/>
      </c>
      <c r="W238" s="19">
        <f>IF(OR(F238="",I238=""),"",IF(COUNTIFS(F$6:F238,F238,I$6:I238,"?*")=1,MAX(W$5:W237)+1,""))</f>
        <v/>
      </c>
    </row>
    <row r="239">
      <c r="B239" s="15" t="n"/>
      <c r="C239" s="16" t="n"/>
      <c r="D239" s="17" t="n"/>
      <c r="E239" s="17" t="n"/>
      <c r="F239" s="17" t="n"/>
      <c r="G239" s="17" t="n"/>
      <c r="H239" s="18">
        <f>IF(AND(B239="",C239="",D239="",E239=""),"",IF(B239="","⚠ Falta fecha",IF(C239="","⚠ Falta monto",IF(D239="","⚠ Falta categoría",IF(ISNA(MATCH(D239,catNom,0)),"⚠ Categoría no existe",IF(E239="","⚠ Falta cuenta",IF(ISNA(MATCH(E239,ctaNom,0)),"⚠ Cuenta no existe",IF(AND(OR(I239="Transferencia",I239="Pago tarjeta"),G239=""),"⚠ Indica la cuenta «Hacia»",IF(AND(G239&lt;&gt;"",G239=E239),"⚠ «Hacia» igual a la cuenta",IF(AND(G239&lt;&gt;"",ISNA(MATCH(G239,ctaNom,0))),"⚠ «Hacia» no existe",IF(AND(I239="Pago tarjeta",IFERROR(INDEX(ctaTipo,MATCH(G239,ctaNom,0)),"")&lt;&gt;"Tarjeta de crédito"),"⚠ «Hacia» debe ser la tarjeta",IF(AND(I239="Trading",IFERROR(INDEX(ctaTipo,MATCH(E239,ctaNom,0)),"")&lt;&gt;"Cuenta de trading"),"⚠ Usa la cuenta de trading","✓"))))))))))))</f>
        <v/>
      </c>
      <c r="I239" s="19">
        <f>IF(OR(B239="",C239="",D239=""),"",IFERROR(INDEX(catTipo,MATCH(D239,catNom,0))&amp;"",""))</f>
        <v/>
      </c>
      <c r="J239" s="19">
        <f>IF(I239="","",IFERROR(INDEX(catGrupo,MATCH(D239,catNom,0))&amp;"",""))</f>
        <v/>
      </c>
      <c r="K239" s="19">
        <f>IF(I239="Gasto",IF(IFERROR(INDEX(catClas,MATCH(D239,catNom,0))&amp;"","")="","Variable",IFERROR(INDEX(catClas,MATCH(D239,catNom,0))&amp;"","")),"")</f>
        <v/>
      </c>
      <c r="L239" s="19">
        <f>IF(I239="","",IFERROR(INDEX(catAlim,MATCH(D239,catNom,0))&amp;"",""))</f>
        <v/>
      </c>
      <c r="M239" s="19">
        <f>IF(I239="","",IFERROR(INDEX(catComida,MATCH(D239,catNom,0))&amp;"",""))</f>
        <v/>
      </c>
      <c r="N239" s="19">
        <f>IF(I239="","",IFERROR(INDEX(ctaMon,MATCH(E239,ctaNom,0))&amp;"","DOP"))</f>
        <v/>
      </c>
      <c r="O239" s="20">
        <f>IF(I239="","",C239*IF(N239="USD",TasaUSD,1))</f>
        <v/>
      </c>
      <c r="P239" s="20">
        <f>IF(I239="","",IF(I239="Gasto",O239,0))</f>
        <v/>
      </c>
      <c r="Q239" s="20">
        <f>IF(I239="","",IF(I239="Ingreso",O239,0))</f>
        <v/>
      </c>
      <c r="R239" s="20">
        <f>IF(I239="","",IF(I239="Trading",O239,0))</f>
        <v/>
      </c>
      <c r="S239" s="19">
        <f>IF(I239="","",IF(AND(I239="Gasto",K239="Variable",J239&lt;&gt;"Trading",O239&gt;0,O239&lt;=Umbral),1,0))</f>
        <v/>
      </c>
      <c r="T239" s="20">
        <f>IF(OR(I239="",E239=""),"",IF(OR(I239="Gasto",I239="Transferencia",I239="Pago tarjeta"),-1,1)*C239)</f>
        <v/>
      </c>
      <c r="U239" s="20">
        <f>IF(OR(G239="",AND(I239&lt;&gt;"Transferencia",I239&lt;&gt;"Pago tarjeta")),"",IF(IFERROR(INDEX(ctaMon,MATCH(G239,ctaNom,0))&amp;"","DOP")=N239,C239,IF(N239="USD",C239*TasaUSD,C239/TasaUSD)))</f>
        <v/>
      </c>
      <c r="V239" s="20">
        <f>IF(I239="","",IF(IFERROR(INDEX(ctaLiq,MATCH(E239,ctaNom,0))="Sí",FALSE),IF(OR(I239="Gasto",I239="Transferencia",I239="Pago tarjeta"),-1,1)*O239,0)+IF(AND(U239&lt;&gt;"",IFERROR(INDEX(ctaLiq,MATCH(G239,ctaNom,0))="Sí",FALSE)),O239,0))</f>
        <v/>
      </c>
      <c r="W239" s="19">
        <f>IF(OR(F239="",I239=""),"",IF(COUNTIFS(F$6:F239,F239,I$6:I239,"?*")=1,MAX(W$5:W238)+1,""))</f>
        <v/>
      </c>
    </row>
    <row r="240">
      <c r="B240" s="15" t="n"/>
      <c r="C240" s="16" t="n"/>
      <c r="D240" s="17" t="n"/>
      <c r="E240" s="17" t="n"/>
      <c r="F240" s="17" t="n"/>
      <c r="G240" s="17" t="n"/>
      <c r="H240" s="18">
        <f>IF(AND(B240="",C240="",D240="",E240=""),"",IF(B240="","⚠ Falta fecha",IF(C240="","⚠ Falta monto",IF(D240="","⚠ Falta categoría",IF(ISNA(MATCH(D240,catNom,0)),"⚠ Categoría no existe",IF(E240="","⚠ Falta cuenta",IF(ISNA(MATCH(E240,ctaNom,0)),"⚠ Cuenta no existe",IF(AND(OR(I240="Transferencia",I240="Pago tarjeta"),G240=""),"⚠ Indica la cuenta «Hacia»",IF(AND(G240&lt;&gt;"",G240=E240),"⚠ «Hacia» igual a la cuenta",IF(AND(G240&lt;&gt;"",ISNA(MATCH(G240,ctaNom,0))),"⚠ «Hacia» no existe",IF(AND(I240="Pago tarjeta",IFERROR(INDEX(ctaTipo,MATCH(G240,ctaNom,0)),"")&lt;&gt;"Tarjeta de crédito"),"⚠ «Hacia» debe ser la tarjeta",IF(AND(I240="Trading",IFERROR(INDEX(ctaTipo,MATCH(E240,ctaNom,0)),"")&lt;&gt;"Cuenta de trading"),"⚠ Usa la cuenta de trading","✓"))))))))))))</f>
        <v/>
      </c>
      <c r="I240" s="19">
        <f>IF(OR(B240="",C240="",D240=""),"",IFERROR(INDEX(catTipo,MATCH(D240,catNom,0))&amp;"",""))</f>
        <v/>
      </c>
      <c r="J240" s="19">
        <f>IF(I240="","",IFERROR(INDEX(catGrupo,MATCH(D240,catNom,0))&amp;"",""))</f>
        <v/>
      </c>
      <c r="K240" s="19">
        <f>IF(I240="Gasto",IF(IFERROR(INDEX(catClas,MATCH(D240,catNom,0))&amp;"","")="","Variable",IFERROR(INDEX(catClas,MATCH(D240,catNom,0))&amp;"","")),"")</f>
        <v/>
      </c>
      <c r="L240" s="19">
        <f>IF(I240="","",IFERROR(INDEX(catAlim,MATCH(D240,catNom,0))&amp;"",""))</f>
        <v/>
      </c>
      <c r="M240" s="19">
        <f>IF(I240="","",IFERROR(INDEX(catComida,MATCH(D240,catNom,0))&amp;"",""))</f>
        <v/>
      </c>
      <c r="N240" s="19">
        <f>IF(I240="","",IFERROR(INDEX(ctaMon,MATCH(E240,ctaNom,0))&amp;"","DOP"))</f>
        <v/>
      </c>
      <c r="O240" s="20">
        <f>IF(I240="","",C240*IF(N240="USD",TasaUSD,1))</f>
        <v/>
      </c>
      <c r="P240" s="20">
        <f>IF(I240="","",IF(I240="Gasto",O240,0))</f>
        <v/>
      </c>
      <c r="Q240" s="20">
        <f>IF(I240="","",IF(I240="Ingreso",O240,0))</f>
        <v/>
      </c>
      <c r="R240" s="20">
        <f>IF(I240="","",IF(I240="Trading",O240,0))</f>
        <v/>
      </c>
      <c r="S240" s="19">
        <f>IF(I240="","",IF(AND(I240="Gasto",K240="Variable",J240&lt;&gt;"Trading",O240&gt;0,O240&lt;=Umbral),1,0))</f>
        <v/>
      </c>
      <c r="T240" s="20">
        <f>IF(OR(I240="",E240=""),"",IF(OR(I240="Gasto",I240="Transferencia",I240="Pago tarjeta"),-1,1)*C240)</f>
        <v/>
      </c>
      <c r="U240" s="20">
        <f>IF(OR(G240="",AND(I240&lt;&gt;"Transferencia",I240&lt;&gt;"Pago tarjeta")),"",IF(IFERROR(INDEX(ctaMon,MATCH(G240,ctaNom,0))&amp;"","DOP")=N240,C240,IF(N240="USD",C240*TasaUSD,C240/TasaUSD)))</f>
        <v/>
      </c>
      <c r="V240" s="20">
        <f>IF(I240="","",IF(IFERROR(INDEX(ctaLiq,MATCH(E240,ctaNom,0))="Sí",FALSE),IF(OR(I240="Gasto",I240="Transferencia",I240="Pago tarjeta"),-1,1)*O240,0)+IF(AND(U240&lt;&gt;"",IFERROR(INDEX(ctaLiq,MATCH(G240,ctaNom,0))="Sí",FALSE)),O240,0))</f>
        <v/>
      </c>
      <c r="W240" s="19">
        <f>IF(OR(F240="",I240=""),"",IF(COUNTIFS(F$6:F240,F240,I$6:I240,"?*")=1,MAX(W$5:W239)+1,""))</f>
        <v/>
      </c>
    </row>
    <row r="241">
      <c r="B241" s="15" t="n"/>
      <c r="C241" s="16" t="n"/>
      <c r="D241" s="17" t="n"/>
      <c r="E241" s="17" t="n"/>
      <c r="F241" s="17" t="n"/>
      <c r="G241" s="17" t="n"/>
      <c r="H241" s="18">
        <f>IF(AND(B241="",C241="",D241="",E241=""),"",IF(B241="","⚠ Falta fecha",IF(C241="","⚠ Falta monto",IF(D241="","⚠ Falta categoría",IF(ISNA(MATCH(D241,catNom,0)),"⚠ Categoría no existe",IF(E241="","⚠ Falta cuenta",IF(ISNA(MATCH(E241,ctaNom,0)),"⚠ Cuenta no existe",IF(AND(OR(I241="Transferencia",I241="Pago tarjeta"),G241=""),"⚠ Indica la cuenta «Hacia»",IF(AND(G241&lt;&gt;"",G241=E241),"⚠ «Hacia» igual a la cuenta",IF(AND(G241&lt;&gt;"",ISNA(MATCH(G241,ctaNom,0))),"⚠ «Hacia» no existe",IF(AND(I241="Pago tarjeta",IFERROR(INDEX(ctaTipo,MATCH(G241,ctaNom,0)),"")&lt;&gt;"Tarjeta de crédito"),"⚠ «Hacia» debe ser la tarjeta",IF(AND(I241="Trading",IFERROR(INDEX(ctaTipo,MATCH(E241,ctaNom,0)),"")&lt;&gt;"Cuenta de trading"),"⚠ Usa la cuenta de trading","✓"))))))))))))</f>
        <v/>
      </c>
      <c r="I241" s="19">
        <f>IF(OR(B241="",C241="",D241=""),"",IFERROR(INDEX(catTipo,MATCH(D241,catNom,0))&amp;"",""))</f>
        <v/>
      </c>
      <c r="J241" s="19">
        <f>IF(I241="","",IFERROR(INDEX(catGrupo,MATCH(D241,catNom,0))&amp;"",""))</f>
        <v/>
      </c>
      <c r="K241" s="19">
        <f>IF(I241="Gasto",IF(IFERROR(INDEX(catClas,MATCH(D241,catNom,0))&amp;"","")="","Variable",IFERROR(INDEX(catClas,MATCH(D241,catNom,0))&amp;"","")),"")</f>
        <v/>
      </c>
      <c r="L241" s="19">
        <f>IF(I241="","",IFERROR(INDEX(catAlim,MATCH(D241,catNom,0))&amp;"",""))</f>
        <v/>
      </c>
      <c r="M241" s="19">
        <f>IF(I241="","",IFERROR(INDEX(catComida,MATCH(D241,catNom,0))&amp;"",""))</f>
        <v/>
      </c>
      <c r="N241" s="19">
        <f>IF(I241="","",IFERROR(INDEX(ctaMon,MATCH(E241,ctaNom,0))&amp;"","DOP"))</f>
        <v/>
      </c>
      <c r="O241" s="20">
        <f>IF(I241="","",C241*IF(N241="USD",TasaUSD,1))</f>
        <v/>
      </c>
      <c r="P241" s="20">
        <f>IF(I241="","",IF(I241="Gasto",O241,0))</f>
        <v/>
      </c>
      <c r="Q241" s="20">
        <f>IF(I241="","",IF(I241="Ingreso",O241,0))</f>
        <v/>
      </c>
      <c r="R241" s="20">
        <f>IF(I241="","",IF(I241="Trading",O241,0))</f>
        <v/>
      </c>
      <c r="S241" s="19">
        <f>IF(I241="","",IF(AND(I241="Gasto",K241="Variable",J241&lt;&gt;"Trading",O241&gt;0,O241&lt;=Umbral),1,0))</f>
        <v/>
      </c>
      <c r="T241" s="20">
        <f>IF(OR(I241="",E241=""),"",IF(OR(I241="Gasto",I241="Transferencia",I241="Pago tarjeta"),-1,1)*C241)</f>
        <v/>
      </c>
      <c r="U241" s="20">
        <f>IF(OR(G241="",AND(I241&lt;&gt;"Transferencia",I241&lt;&gt;"Pago tarjeta")),"",IF(IFERROR(INDEX(ctaMon,MATCH(G241,ctaNom,0))&amp;"","DOP")=N241,C241,IF(N241="USD",C241*TasaUSD,C241/TasaUSD)))</f>
        <v/>
      </c>
      <c r="V241" s="20">
        <f>IF(I241="","",IF(IFERROR(INDEX(ctaLiq,MATCH(E241,ctaNom,0))="Sí",FALSE),IF(OR(I241="Gasto",I241="Transferencia",I241="Pago tarjeta"),-1,1)*O241,0)+IF(AND(U241&lt;&gt;"",IFERROR(INDEX(ctaLiq,MATCH(G241,ctaNom,0))="Sí",FALSE)),O241,0))</f>
        <v/>
      </c>
      <c r="W241" s="19">
        <f>IF(OR(F241="",I241=""),"",IF(COUNTIFS(F$6:F241,F241,I$6:I241,"?*")=1,MAX(W$5:W240)+1,""))</f>
        <v/>
      </c>
    </row>
    <row r="242">
      <c r="B242" s="15" t="n"/>
      <c r="C242" s="16" t="n"/>
      <c r="D242" s="17" t="n"/>
      <c r="E242" s="17" t="n"/>
      <c r="F242" s="17" t="n"/>
      <c r="G242" s="17" t="n"/>
      <c r="H242" s="18">
        <f>IF(AND(B242="",C242="",D242="",E242=""),"",IF(B242="","⚠ Falta fecha",IF(C242="","⚠ Falta monto",IF(D242="","⚠ Falta categoría",IF(ISNA(MATCH(D242,catNom,0)),"⚠ Categoría no existe",IF(E242="","⚠ Falta cuenta",IF(ISNA(MATCH(E242,ctaNom,0)),"⚠ Cuenta no existe",IF(AND(OR(I242="Transferencia",I242="Pago tarjeta"),G242=""),"⚠ Indica la cuenta «Hacia»",IF(AND(G242&lt;&gt;"",G242=E242),"⚠ «Hacia» igual a la cuenta",IF(AND(G242&lt;&gt;"",ISNA(MATCH(G242,ctaNom,0))),"⚠ «Hacia» no existe",IF(AND(I242="Pago tarjeta",IFERROR(INDEX(ctaTipo,MATCH(G242,ctaNom,0)),"")&lt;&gt;"Tarjeta de crédito"),"⚠ «Hacia» debe ser la tarjeta",IF(AND(I242="Trading",IFERROR(INDEX(ctaTipo,MATCH(E242,ctaNom,0)),"")&lt;&gt;"Cuenta de trading"),"⚠ Usa la cuenta de trading","✓"))))))))))))</f>
        <v/>
      </c>
      <c r="I242" s="19">
        <f>IF(OR(B242="",C242="",D242=""),"",IFERROR(INDEX(catTipo,MATCH(D242,catNom,0))&amp;"",""))</f>
        <v/>
      </c>
      <c r="J242" s="19">
        <f>IF(I242="","",IFERROR(INDEX(catGrupo,MATCH(D242,catNom,0))&amp;"",""))</f>
        <v/>
      </c>
      <c r="K242" s="19">
        <f>IF(I242="Gasto",IF(IFERROR(INDEX(catClas,MATCH(D242,catNom,0))&amp;"","")="","Variable",IFERROR(INDEX(catClas,MATCH(D242,catNom,0))&amp;"","")),"")</f>
        <v/>
      </c>
      <c r="L242" s="19">
        <f>IF(I242="","",IFERROR(INDEX(catAlim,MATCH(D242,catNom,0))&amp;"",""))</f>
        <v/>
      </c>
      <c r="M242" s="19">
        <f>IF(I242="","",IFERROR(INDEX(catComida,MATCH(D242,catNom,0))&amp;"",""))</f>
        <v/>
      </c>
      <c r="N242" s="19">
        <f>IF(I242="","",IFERROR(INDEX(ctaMon,MATCH(E242,ctaNom,0))&amp;"","DOP"))</f>
        <v/>
      </c>
      <c r="O242" s="20">
        <f>IF(I242="","",C242*IF(N242="USD",TasaUSD,1))</f>
        <v/>
      </c>
      <c r="P242" s="20">
        <f>IF(I242="","",IF(I242="Gasto",O242,0))</f>
        <v/>
      </c>
      <c r="Q242" s="20">
        <f>IF(I242="","",IF(I242="Ingreso",O242,0))</f>
        <v/>
      </c>
      <c r="R242" s="20">
        <f>IF(I242="","",IF(I242="Trading",O242,0))</f>
        <v/>
      </c>
      <c r="S242" s="19">
        <f>IF(I242="","",IF(AND(I242="Gasto",K242="Variable",J242&lt;&gt;"Trading",O242&gt;0,O242&lt;=Umbral),1,0))</f>
        <v/>
      </c>
      <c r="T242" s="20">
        <f>IF(OR(I242="",E242=""),"",IF(OR(I242="Gasto",I242="Transferencia",I242="Pago tarjeta"),-1,1)*C242)</f>
        <v/>
      </c>
      <c r="U242" s="20">
        <f>IF(OR(G242="",AND(I242&lt;&gt;"Transferencia",I242&lt;&gt;"Pago tarjeta")),"",IF(IFERROR(INDEX(ctaMon,MATCH(G242,ctaNom,0))&amp;"","DOP")=N242,C242,IF(N242="USD",C242*TasaUSD,C242/TasaUSD)))</f>
        <v/>
      </c>
      <c r="V242" s="20">
        <f>IF(I242="","",IF(IFERROR(INDEX(ctaLiq,MATCH(E242,ctaNom,0))="Sí",FALSE),IF(OR(I242="Gasto",I242="Transferencia",I242="Pago tarjeta"),-1,1)*O242,0)+IF(AND(U242&lt;&gt;"",IFERROR(INDEX(ctaLiq,MATCH(G242,ctaNom,0))="Sí",FALSE)),O242,0))</f>
        <v/>
      </c>
      <c r="W242" s="19">
        <f>IF(OR(F242="",I242=""),"",IF(COUNTIFS(F$6:F242,F242,I$6:I242,"?*")=1,MAX(W$5:W241)+1,""))</f>
        <v/>
      </c>
    </row>
    <row r="243">
      <c r="B243" s="15" t="n"/>
      <c r="C243" s="16" t="n"/>
      <c r="D243" s="17" t="n"/>
      <c r="E243" s="17" t="n"/>
      <c r="F243" s="17" t="n"/>
      <c r="G243" s="17" t="n"/>
      <c r="H243" s="18">
        <f>IF(AND(B243="",C243="",D243="",E243=""),"",IF(B243="","⚠ Falta fecha",IF(C243="","⚠ Falta monto",IF(D243="","⚠ Falta categoría",IF(ISNA(MATCH(D243,catNom,0)),"⚠ Categoría no existe",IF(E243="","⚠ Falta cuenta",IF(ISNA(MATCH(E243,ctaNom,0)),"⚠ Cuenta no existe",IF(AND(OR(I243="Transferencia",I243="Pago tarjeta"),G243=""),"⚠ Indica la cuenta «Hacia»",IF(AND(G243&lt;&gt;"",G243=E243),"⚠ «Hacia» igual a la cuenta",IF(AND(G243&lt;&gt;"",ISNA(MATCH(G243,ctaNom,0))),"⚠ «Hacia» no existe",IF(AND(I243="Pago tarjeta",IFERROR(INDEX(ctaTipo,MATCH(G243,ctaNom,0)),"")&lt;&gt;"Tarjeta de crédito"),"⚠ «Hacia» debe ser la tarjeta",IF(AND(I243="Trading",IFERROR(INDEX(ctaTipo,MATCH(E243,ctaNom,0)),"")&lt;&gt;"Cuenta de trading"),"⚠ Usa la cuenta de trading","✓"))))))))))))</f>
        <v/>
      </c>
      <c r="I243" s="19">
        <f>IF(OR(B243="",C243="",D243=""),"",IFERROR(INDEX(catTipo,MATCH(D243,catNom,0))&amp;"",""))</f>
        <v/>
      </c>
      <c r="J243" s="19">
        <f>IF(I243="","",IFERROR(INDEX(catGrupo,MATCH(D243,catNom,0))&amp;"",""))</f>
        <v/>
      </c>
      <c r="K243" s="19">
        <f>IF(I243="Gasto",IF(IFERROR(INDEX(catClas,MATCH(D243,catNom,0))&amp;"","")="","Variable",IFERROR(INDEX(catClas,MATCH(D243,catNom,0))&amp;"","")),"")</f>
        <v/>
      </c>
      <c r="L243" s="19">
        <f>IF(I243="","",IFERROR(INDEX(catAlim,MATCH(D243,catNom,0))&amp;"",""))</f>
        <v/>
      </c>
      <c r="M243" s="19">
        <f>IF(I243="","",IFERROR(INDEX(catComida,MATCH(D243,catNom,0))&amp;"",""))</f>
        <v/>
      </c>
      <c r="N243" s="19">
        <f>IF(I243="","",IFERROR(INDEX(ctaMon,MATCH(E243,ctaNom,0))&amp;"","DOP"))</f>
        <v/>
      </c>
      <c r="O243" s="20">
        <f>IF(I243="","",C243*IF(N243="USD",TasaUSD,1))</f>
        <v/>
      </c>
      <c r="P243" s="20">
        <f>IF(I243="","",IF(I243="Gasto",O243,0))</f>
        <v/>
      </c>
      <c r="Q243" s="20">
        <f>IF(I243="","",IF(I243="Ingreso",O243,0))</f>
        <v/>
      </c>
      <c r="R243" s="20">
        <f>IF(I243="","",IF(I243="Trading",O243,0))</f>
        <v/>
      </c>
      <c r="S243" s="19">
        <f>IF(I243="","",IF(AND(I243="Gasto",K243="Variable",J243&lt;&gt;"Trading",O243&gt;0,O243&lt;=Umbral),1,0))</f>
        <v/>
      </c>
      <c r="T243" s="20">
        <f>IF(OR(I243="",E243=""),"",IF(OR(I243="Gasto",I243="Transferencia",I243="Pago tarjeta"),-1,1)*C243)</f>
        <v/>
      </c>
      <c r="U243" s="20">
        <f>IF(OR(G243="",AND(I243&lt;&gt;"Transferencia",I243&lt;&gt;"Pago tarjeta")),"",IF(IFERROR(INDEX(ctaMon,MATCH(G243,ctaNom,0))&amp;"","DOP")=N243,C243,IF(N243="USD",C243*TasaUSD,C243/TasaUSD)))</f>
        <v/>
      </c>
      <c r="V243" s="20">
        <f>IF(I243="","",IF(IFERROR(INDEX(ctaLiq,MATCH(E243,ctaNom,0))="Sí",FALSE),IF(OR(I243="Gasto",I243="Transferencia",I243="Pago tarjeta"),-1,1)*O243,0)+IF(AND(U243&lt;&gt;"",IFERROR(INDEX(ctaLiq,MATCH(G243,ctaNom,0))="Sí",FALSE)),O243,0))</f>
        <v/>
      </c>
      <c r="W243" s="19">
        <f>IF(OR(F243="",I243=""),"",IF(COUNTIFS(F$6:F243,F243,I$6:I243,"?*")=1,MAX(W$5:W242)+1,""))</f>
        <v/>
      </c>
    </row>
    <row r="244">
      <c r="B244" s="15" t="n"/>
      <c r="C244" s="16" t="n"/>
      <c r="D244" s="17" t="n"/>
      <c r="E244" s="17" t="n"/>
      <c r="F244" s="17" t="n"/>
      <c r="G244" s="17" t="n"/>
      <c r="H244" s="18">
        <f>IF(AND(B244="",C244="",D244="",E244=""),"",IF(B244="","⚠ Falta fecha",IF(C244="","⚠ Falta monto",IF(D244="","⚠ Falta categoría",IF(ISNA(MATCH(D244,catNom,0)),"⚠ Categoría no existe",IF(E244="","⚠ Falta cuenta",IF(ISNA(MATCH(E244,ctaNom,0)),"⚠ Cuenta no existe",IF(AND(OR(I244="Transferencia",I244="Pago tarjeta"),G244=""),"⚠ Indica la cuenta «Hacia»",IF(AND(G244&lt;&gt;"",G244=E244),"⚠ «Hacia» igual a la cuenta",IF(AND(G244&lt;&gt;"",ISNA(MATCH(G244,ctaNom,0))),"⚠ «Hacia» no existe",IF(AND(I244="Pago tarjeta",IFERROR(INDEX(ctaTipo,MATCH(G244,ctaNom,0)),"")&lt;&gt;"Tarjeta de crédito"),"⚠ «Hacia» debe ser la tarjeta",IF(AND(I244="Trading",IFERROR(INDEX(ctaTipo,MATCH(E244,ctaNom,0)),"")&lt;&gt;"Cuenta de trading"),"⚠ Usa la cuenta de trading","✓"))))))))))))</f>
        <v/>
      </c>
      <c r="I244" s="19">
        <f>IF(OR(B244="",C244="",D244=""),"",IFERROR(INDEX(catTipo,MATCH(D244,catNom,0))&amp;"",""))</f>
        <v/>
      </c>
      <c r="J244" s="19">
        <f>IF(I244="","",IFERROR(INDEX(catGrupo,MATCH(D244,catNom,0))&amp;"",""))</f>
        <v/>
      </c>
      <c r="K244" s="19">
        <f>IF(I244="Gasto",IF(IFERROR(INDEX(catClas,MATCH(D244,catNom,0))&amp;"","")="","Variable",IFERROR(INDEX(catClas,MATCH(D244,catNom,0))&amp;"","")),"")</f>
        <v/>
      </c>
      <c r="L244" s="19">
        <f>IF(I244="","",IFERROR(INDEX(catAlim,MATCH(D244,catNom,0))&amp;"",""))</f>
        <v/>
      </c>
      <c r="M244" s="19">
        <f>IF(I244="","",IFERROR(INDEX(catComida,MATCH(D244,catNom,0))&amp;"",""))</f>
        <v/>
      </c>
      <c r="N244" s="19">
        <f>IF(I244="","",IFERROR(INDEX(ctaMon,MATCH(E244,ctaNom,0))&amp;"","DOP"))</f>
        <v/>
      </c>
      <c r="O244" s="20">
        <f>IF(I244="","",C244*IF(N244="USD",TasaUSD,1))</f>
        <v/>
      </c>
      <c r="P244" s="20">
        <f>IF(I244="","",IF(I244="Gasto",O244,0))</f>
        <v/>
      </c>
      <c r="Q244" s="20">
        <f>IF(I244="","",IF(I244="Ingreso",O244,0))</f>
        <v/>
      </c>
      <c r="R244" s="20">
        <f>IF(I244="","",IF(I244="Trading",O244,0))</f>
        <v/>
      </c>
      <c r="S244" s="19">
        <f>IF(I244="","",IF(AND(I244="Gasto",K244="Variable",J244&lt;&gt;"Trading",O244&gt;0,O244&lt;=Umbral),1,0))</f>
        <v/>
      </c>
      <c r="T244" s="20">
        <f>IF(OR(I244="",E244=""),"",IF(OR(I244="Gasto",I244="Transferencia",I244="Pago tarjeta"),-1,1)*C244)</f>
        <v/>
      </c>
      <c r="U244" s="20">
        <f>IF(OR(G244="",AND(I244&lt;&gt;"Transferencia",I244&lt;&gt;"Pago tarjeta")),"",IF(IFERROR(INDEX(ctaMon,MATCH(G244,ctaNom,0))&amp;"","DOP")=N244,C244,IF(N244="USD",C244*TasaUSD,C244/TasaUSD)))</f>
        <v/>
      </c>
      <c r="V244" s="20">
        <f>IF(I244="","",IF(IFERROR(INDEX(ctaLiq,MATCH(E244,ctaNom,0))="Sí",FALSE),IF(OR(I244="Gasto",I244="Transferencia",I244="Pago tarjeta"),-1,1)*O244,0)+IF(AND(U244&lt;&gt;"",IFERROR(INDEX(ctaLiq,MATCH(G244,ctaNom,0))="Sí",FALSE)),O244,0))</f>
        <v/>
      </c>
      <c r="W244" s="19">
        <f>IF(OR(F244="",I244=""),"",IF(COUNTIFS(F$6:F244,F244,I$6:I244,"?*")=1,MAX(W$5:W243)+1,""))</f>
        <v/>
      </c>
    </row>
    <row r="245">
      <c r="B245" s="15" t="n"/>
      <c r="C245" s="16" t="n"/>
      <c r="D245" s="17" t="n"/>
      <c r="E245" s="17" t="n"/>
      <c r="F245" s="17" t="n"/>
      <c r="G245" s="17" t="n"/>
      <c r="H245" s="18">
        <f>IF(AND(B245="",C245="",D245="",E245=""),"",IF(B245="","⚠ Falta fecha",IF(C245="","⚠ Falta monto",IF(D245="","⚠ Falta categoría",IF(ISNA(MATCH(D245,catNom,0)),"⚠ Categoría no existe",IF(E245="","⚠ Falta cuenta",IF(ISNA(MATCH(E245,ctaNom,0)),"⚠ Cuenta no existe",IF(AND(OR(I245="Transferencia",I245="Pago tarjeta"),G245=""),"⚠ Indica la cuenta «Hacia»",IF(AND(G245&lt;&gt;"",G245=E245),"⚠ «Hacia» igual a la cuenta",IF(AND(G245&lt;&gt;"",ISNA(MATCH(G245,ctaNom,0))),"⚠ «Hacia» no existe",IF(AND(I245="Pago tarjeta",IFERROR(INDEX(ctaTipo,MATCH(G245,ctaNom,0)),"")&lt;&gt;"Tarjeta de crédito"),"⚠ «Hacia» debe ser la tarjeta",IF(AND(I245="Trading",IFERROR(INDEX(ctaTipo,MATCH(E245,ctaNom,0)),"")&lt;&gt;"Cuenta de trading"),"⚠ Usa la cuenta de trading","✓"))))))))))))</f>
        <v/>
      </c>
      <c r="I245" s="19">
        <f>IF(OR(B245="",C245="",D245=""),"",IFERROR(INDEX(catTipo,MATCH(D245,catNom,0))&amp;"",""))</f>
        <v/>
      </c>
      <c r="J245" s="19">
        <f>IF(I245="","",IFERROR(INDEX(catGrupo,MATCH(D245,catNom,0))&amp;"",""))</f>
        <v/>
      </c>
      <c r="K245" s="19">
        <f>IF(I245="Gasto",IF(IFERROR(INDEX(catClas,MATCH(D245,catNom,0))&amp;"","")="","Variable",IFERROR(INDEX(catClas,MATCH(D245,catNom,0))&amp;"","")),"")</f>
        <v/>
      </c>
      <c r="L245" s="19">
        <f>IF(I245="","",IFERROR(INDEX(catAlim,MATCH(D245,catNom,0))&amp;"",""))</f>
        <v/>
      </c>
      <c r="M245" s="19">
        <f>IF(I245="","",IFERROR(INDEX(catComida,MATCH(D245,catNom,0))&amp;"",""))</f>
        <v/>
      </c>
      <c r="N245" s="19">
        <f>IF(I245="","",IFERROR(INDEX(ctaMon,MATCH(E245,ctaNom,0))&amp;"","DOP"))</f>
        <v/>
      </c>
      <c r="O245" s="20">
        <f>IF(I245="","",C245*IF(N245="USD",TasaUSD,1))</f>
        <v/>
      </c>
      <c r="P245" s="20">
        <f>IF(I245="","",IF(I245="Gasto",O245,0))</f>
        <v/>
      </c>
      <c r="Q245" s="20">
        <f>IF(I245="","",IF(I245="Ingreso",O245,0))</f>
        <v/>
      </c>
      <c r="R245" s="20">
        <f>IF(I245="","",IF(I245="Trading",O245,0))</f>
        <v/>
      </c>
      <c r="S245" s="19">
        <f>IF(I245="","",IF(AND(I245="Gasto",K245="Variable",J245&lt;&gt;"Trading",O245&gt;0,O245&lt;=Umbral),1,0))</f>
        <v/>
      </c>
      <c r="T245" s="20">
        <f>IF(OR(I245="",E245=""),"",IF(OR(I245="Gasto",I245="Transferencia",I245="Pago tarjeta"),-1,1)*C245)</f>
        <v/>
      </c>
      <c r="U245" s="20">
        <f>IF(OR(G245="",AND(I245&lt;&gt;"Transferencia",I245&lt;&gt;"Pago tarjeta")),"",IF(IFERROR(INDEX(ctaMon,MATCH(G245,ctaNom,0))&amp;"","DOP")=N245,C245,IF(N245="USD",C245*TasaUSD,C245/TasaUSD)))</f>
        <v/>
      </c>
      <c r="V245" s="20">
        <f>IF(I245="","",IF(IFERROR(INDEX(ctaLiq,MATCH(E245,ctaNom,0))="Sí",FALSE),IF(OR(I245="Gasto",I245="Transferencia",I245="Pago tarjeta"),-1,1)*O245,0)+IF(AND(U245&lt;&gt;"",IFERROR(INDEX(ctaLiq,MATCH(G245,ctaNom,0))="Sí",FALSE)),O245,0))</f>
        <v/>
      </c>
      <c r="W245" s="19">
        <f>IF(OR(F245="",I245=""),"",IF(COUNTIFS(F$6:F245,F245,I$6:I245,"?*")=1,MAX(W$5:W244)+1,""))</f>
        <v/>
      </c>
    </row>
    <row r="246">
      <c r="B246" s="15" t="n"/>
      <c r="C246" s="16" t="n"/>
      <c r="D246" s="17" t="n"/>
      <c r="E246" s="17" t="n"/>
      <c r="F246" s="17" t="n"/>
      <c r="G246" s="17" t="n"/>
      <c r="H246" s="18">
        <f>IF(AND(B246="",C246="",D246="",E246=""),"",IF(B246="","⚠ Falta fecha",IF(C246="","⚠ Falta monto",IF(D246="","⚠ Falta categoría",IF(ISNA(MATCH(D246,catNom,0)),"⚠ Categoría no existe",IF(E246="","⚠ Falta cuenta",IF(ISNA(MATCH(E246,ctaNom,0)),"⚠ Cuenta no existe",IF(AND(OR(I246="Transferencia",I246="Pago tarjeta"),G246=""),"⚠ Indica la cuenta «Hacia»",IF(AND(G246&lt;&gt;"",G246=E246),"⚠ «Hacia» igual a la cuenta",IF(AND(G246&lt;&gt;"",ISNA(MATCH(G246,ctaNom,0))),"⚠ «Hacia» no existe",IF(AND(I246="Pago tarjeta",IFERROR(INDEX(ctaTipo,MATCH(G246,ctaNom,0)),"")&lt;&gt;"Tarjeta de crédito"),"⚠ «Hacia» debe ser la tarjeta",IF(AND(I246="Trading",IFERROR(INDEX(ctaTipo,MATCH(E246,ctaNom,0)),"")&lt;&gt;"Cuenta de trading"),"⚠ Usa la cuenta de trading","✓"))))))))))))</f>
        <v/>
      </c>
      <c r="I246" s="19">
        <f>IF(OR(B246="",C246="",D246=""),"",IFERROR(INDEX(catTipo,MATCH(D246,catNom,0))&amp;"",""))</f>
        <v/>
      </c>
      <c r="J246" s="19">
        <f>IF(I246="","",IFERROR(INDEX(catGrupo,MATCH(D246,catNom,0))&amp;"",""))</f>
        <v/>
      </c>
      <c r="K246" s="19">
        <f>IF(I246="Gasto",IF(IFERROR(INDEX(catClas,MATCH(D246,catNom,0))&amp;"","")="","Variable",IFERROR(INDEX(catClas,MATCH(D246,catNom,0))&amp;"","")),"")</f>
        <v/>
      </c>
      <c r="L246" s="19">
        <f>IF(I246="","",IFERROR(INDEX(catAlim,MATCH(D246,catNom,0))&amp;"",""))</f>
        <v/>
      </c>
      <c r="M246" s="19">
        <f>IF(I246="","",IFERROR(INDEX(catComida,MATCH(D246,catNom,0))&amp;"",""))</f>
        <v/>
      </c>
      <c r="N246" s="19">
        <f>IF(I246="","",IFERROR(INDEX(ctaMon,MATCH(E246,ctaNom,0))&amp;"","DOP"))</f>
        <v/>
      </c>
      <c r="O246" s="20">
        <f>IF(I246="","",C246*IF(N246="USD",TasaUSD,1))</f>
        <v/>
      </c>
      <c r="P246" s="20">
        <f>IF(I246="","",IF(I246="Gasto",O246,0))</f>
        <v/>
      </c>
      <c r="Q246" s="20">
        <f>IF(I246="","",IF(I246="Ingreso",O246,0))</f>
        <v/>
      </c>
      <c r="R246" s="20">
        <f>IF(I246="","",IF(I246="Trading",O246,0))</f>
        <v/>
      </c>
      <c r="S246" s="19">
        <f>IF(I246="","",IF(AND(I246="Gasto",K246="Variable",J246&lt;&gt;"Trading",O246&gt;0,O246&lt;=Umbral),1,0))</f>
        <v/>
      </c>
      <c r="T246" s="20">
        <f>IF(OR(I246="",E246=""),"",IF(OR(I246="Gasto",I246="Transferencia",I246="Pago tarjeta"),-1,1)*C246)</f>
        <v/>
      </c>
      <c r="U246" s="20">
        <f>IF(OR(G246="",AND(I246&lt;&gt;"Transferencia",I246&lt;&gt;"Pago tarjeta")),"",IF(IFERROR(INDEX(ctaMon,MATCH(G246,ctaNom,0))&amp;"","DOP")=N246,C246,IF(N246="USD",C246*TasaUSD,C246/TasaUSD)))</f>
        <v/>
      </c>
      <c r="V246" s="20">
        <f>IF(I246="","",IF(IFERROR(INDEX(ctaLiq,MATCH(E246,ctaNom,0))="Sí",FALSE),IF(OR(I246="Gasto",I246="Transferencia",I246="Pago tarjeta"),-1,1)*O246,0)+IF(AND(U246&lt;&gt;"",IFERROR(INDEX(ctaLiq,MATCH(G246,ctaNom,0))="Sí",FALSE)),O246,0))</f>
        <v/>
      </c>
      <c r="W246" s="19">
        <f>IF(OR(F246="",I246=""),"",IF(COUNTIFS(F$6:F246,F246,I$6:I246,"?*")=1,MAX(W$5:W245)+1,""))</f>
        <v/>
      </c>
    </row>
    <row r="247">
      <c r="B247" s="15" t="n"/>
      <c r="C247" s="16" t="n"/>
      <c r="D247" s="17" t="n"/>
      <c r="E247" s="17" t="n"/>
      <c r="F247" s="17" t="n"/>
      <c r="G247" s="17" t="n"/>
      <c r="H247" s="18">
        <f>IF(AND(B247="",C247="",D247="",E247=""),"",IF(B247="","⚠ Falta fecha",IF(C247="","⚠ Falta monto",IF(D247="","⚠ Falta categoría",IF(ISNA(MATCH(D247,catNom,0)),"⚠ Categoría no existe",IF(E247="","⚠ Falta cuenta",IF(ISNA(MATCH(E247,ctaNom,0)),"⚠ Cuenta no existe",IF(AND(OR(I247="Transferencia",I247="Pago tarjeta"),G247=""),"⚠ Indica la cuenta «Hacia»",IF(AND(G247&lt;&gt;"",G247=E247),"⚠ «Hacia» igual a la cuenta",IF(AND(G247&lt;&gt;"",ISNA(MATCH(G247,ctaNom,0))),"⚠ «Hacia» no existe",IF(AND(I247="Pago tarjeta",IFERROR(INDEX(ctaTipo,MATCH(G247,ctaNom,0)),"")&lt;&gt;"Tarjeta de crédito"),"⚠ «Hacia» debe ser la tarjeta",IF(AND(I247="Trading",IFERROR(INDEX(ctaTipo,MATCH(E247,ctaNom,0)),"")&lt;&gt;"Cuenta de trading"),"⚠ Usa la cuenta de trading","✓"))))))))))))</f>
        <v/>
      </c>
      <c r="I247" s="19">
        <f>IF(OR(B247="",C247="",D247=""),"",IFERROR(INDEX(catTipo,MATCH(D247,catNom,0))&amp;"",""))</f>
        <v/>
      </c>
      <c r="J247" s="19">
        <f>IF(I247="","",IFERROR(INDEX(catGrupo,MATCH(D247,catNom,0))&amp;"",""))</f>
        <v/>
      </c>
      <c r="K247" s="19">
        <f>IF(I247="Gasto",IF(IFERROR(INDEX(catClas,MATCH(D247,catNom,0))&amp;"","")="","Variable",IFERROR(INDEX(catClas,MATCH(D247,catNom,0))&amp;"","")),"")</f>
        <v/>
      </c>
      <c r="L247" s="19">
        <f>IF(I247="","",IFERROR(INDEX(catAlim,MATCH(D247,catNom,0))&amp;"",""))</f>
        <v/>
      </c>
      <c r="M247" s="19">
        <f>IF(I247="","",IFERROR(INDEX(catComida,MATCH(D247,catNom,0))&amp;"",""))</f>
        <v/>
      </c>
      <c r="N247" s="19">
        <f>IF(I247="","",IFERROR(INDEX(ctaMon,MATCH(E247,ctaNom,0))&amp;"","DOP"))</f>
        <v/>
      </c>
      <c r="O247" s="20">
        <f>IF(I247="","",C247*IF(N247="USD",TasaUSD,1))</f>
        <v/>
      </c>
      <c r="P247" s="20">
        <f>IF(I247="","",IF(I247="Gasto",O247,0))</f>
        <v/>
      </c>
      <c r="Q247" s="20">
        <f>IF(I247="","",IF(I247="Ingreso",O247,0))</f>
        <v/>
      </c>
      <c r="R247" s="20">
        <f>IF(I247="","",IF(I247="Trading",O247,0))</f>
        <v/>
      </c>
      <c r="S247" s="19">
        <f>IF(I247="","",IF(AND(I247="Gasto",K247="Variable",J247&lt;&gt;"Trading",O247&gt;0,O247&lt;=Umbral),1,0))</f>
        <v/>
      </c>
      <c r="T247" s="20">
        <f>IF(OR(I247="",E247=""),"",IF(OR(I247="Gasto",I247="Transferencia",I247="Pago tarjeta"),-1,1)*C247)</f>
        <v/>
      </c>
      <c r="U247" s="20">
        <f>IF(OR(G247="",AND(I247&lt;&gt;"Transferencia",I247&lt;&gt;"Pago tarjeta")),"",IF(IFERROR(INDEX(ctaMon,MATCH(G247,ctaNom,0))&amp;"","DOP")=N247,C247,IF(N247="USD",C247*TasaUSD,C247/TasaUSD)))</f>
        <v/>
      </c>
      <c r="V247" s="20">
        <f>IF(I247="","",IF(IFERROR(INDEX(ctaLiq,MATCH(E247,ctaNom,0))="Sí",FALSE),IF(OR(I247="Gasto",I247="Transferencia",I247="Pago tarjeta"),-1,1)*O247,0)+IF(AND(U247&lt;&gt;"",IFERROR(INDEX(ctaLiq,MATCH(G247,ctaNom,0))="Sí",FALSE)),O247,0))</f>
        <v/>
      </c>
      <c r="W247" s="19">
        <f>IF(OR(F247="",I247=""),"",IF(COUNTIFS(F$6:F247,F247,I$6:I247,"?*")=1,MAX(W$5:W246)+1,""))</f>
        <v/>
      </c>
    </row>
    <row r="248">
      <c r="B248" s="15" t="n"/>
      <c r="C248" s="16" t="n"/>
      <c r="D248" s="17" t="n"/>
      <c r="E248" s="17" t="n"/>
      <c r="F248" s="17" t="n"/>
      <c r="G248" s="17" t="n"/>
      <c r="H248" s="18">
        <f>IF(AND(B248="",C248="",D248="",E248=""),"",IF(B248="","⚠ Falta fecha",IF(C248="","⚠ Falta monto",IF(D248="","⚠ Falta categoría",IF(ISNA(MATCH(D248,catNom,0)),"⚠ Categoría no existe",IF(E248="","⚠ Falta cuenta",IF(ISNA(MATCH(E248,ctaNom,0)),"⚠ Cuenta no existe",IF(AND(OR(I248="Transferencia",I248="Pago tarjeta"),G248=""),"⚠ Indica la cuenta «Hacia»",IF(AND(G248&lt;&gt;"",G248=E248),"⚠ «Hacia» igual a la cuenta",IF(AND(G248&lt;&gt;"",ISNA(MATCH(G248,ctaNom,0))),"⚠ «Hacia» no existe",IF(AND(I248="Pago tarjeta",IFERROR(INDEX(ctaTipo,MATCH(G248,ctaNom,0)),"")&lt;&gt;"Tarjeta de crédito"),"⚠ «Hacia» debe ser la tarjeta",IF(AND(I248="Trading",IFERROR(INDEX(ctaTipo,MATCH(E248,ctaNom,0)),"")&lt;&gt;"Cuenta de trading"),"⚠ Usa la cuenta de trading","✓"))))))))))))</f>
        <v/>
      </c>
      <c r="I248" s="19">
        <f>IF(OR(B248="",C248="",D248=""),"",IFERROR(INDEX(catTipo,MATCH(D248,catNom,0))&amp;"",""))</f>
        <v/>
      </c>
      <c r="J248" s="19">
        <f>IF(I248="","",IFERROR(INDEX(catGrupo,MATCH(D248,catNom,0))&amp;"",""))</f>
        <v/>
      </c>
      <c r="K248" s="19">
        <f>IF(I248="Gasto",IF(IFERROR(INDEX(catClas,MATCH(D248,catNom,0))&amp;"","")="","Variable",IFERROR(INDEX(catClas,MATCH(D248,catNom,0))&amp;"","")),"")</f>
        <v/>
      </c>
      <c r="L248" s="19">
        <f>IF(I248="","",IFERROR(INDEX(catAlim,MATCH(D248,catNom,0))&amp;"",""))</f>
        <v/>
      </c>
      <c r="M248" s="19">
        <f>IF(I248="","",IFERROR(INDEX(catComida,MATCH(D248,catNom,0))&amp;"",""))</f>
        <v/>
      </c>
      <c r="N248" s="19">
        <f>IF(I248="","",IFERROR(INDEX(ctaMon,MATCH(E248,ctaNom,0))&amp;"","DOP"))</f>
        <v/>
      </c>
      <c r="O248" s="20">
        <f>IF(I248="","",C248*IF(N248="USD",TasaUSD,1))</f>
        <v/>
      </c>
      <c r="P248" s="20">
        <f>IF(I248="","",IF(I248="Gasto",O248,0))</f>
        <v/>
      </c>
      <c r="Q248" s="20">
        <f>IF(I248="","",IF(I248="Ingreso",O248,0))</f>
        <v/>
      </c>
      <c r="R248" s="20">
        <f>IF(I248="","",IF(I248="Trading",O248,0))</f>
        <v/>
      </c>
      <c r="S248" s="19">
        <f>IF(I248="","",IF(AND(I248="Gasto",K248="Variable",J248&lt;&gt;"Trading",O248&gt;0,O248&lt;=Umbral),1,0))</f>
        <v/>
      </c>
      <c r="T248" s="20">
        <f>IF(OR(I248="",E248=""),"",IF(OR(I248="Gasto",I248="Transferencia",I248="Pago tarjeta"),-1,1)*C248)</f>
        <v/>
      </c>
      <c r="U248" s="20">
        <f>IF(OR(G248="",AND(I248&lt;&gt;"Transferencia",I248&lt;&gt;"Pago tarjeta")),"",IF(IFERROR(INDEX(ctaMon,MATCH(G248,ctaNom,0))&amp;"","DOP")=N248,C248,IF(N248="USD",C248*TasaUSD,C248/TasaUSD)))</f>
        <v/>
      </c>
      <c r="V248" s="20">
        <f>IF(I248="","",IF(IFERROR(INDEX(ctaLiq,MATCH(E248,ctaNom,0))="Sí",FALSE),IF(OR(I248="Gasto",I248="Transferencia",I248="Pago tarjeta"),-1,1)*O248,0)+IF(AND(U248&lt;&gt;"",IFERROR(INDEX(ctaLiq,MATCH(G248,ctaNom,0))="Sí",FALSE)),O248,0))</f>
        <v/>
      </c>
      <c r="W248" s="19">
        <f>IF(OR(F248="",I248=""),"",IF(COUNTIFS(F$6:F248,F248,I$6:I248,"?*")=1,MAX(W$5:W247)+1,""))</f>
        <v/>
      </c>
    </row>
    <row r="249">
      <c r="B249" s="15" t="n"/>
      <c r="C249" s="16" t="n"/>
      <c r="D249" s="17" t="n"/>
      <c r="E249" s="17" t="n"/>
      <c r="F249" s="17" t="n"/>
      <c r="G249" s="17" t="n"/>
      <c r="H249" s="18">
        <f>IF(AND(B249="",C249="",D249="",E249=""),"",IF(B249="","⚠ Falta fecha",IF(C249="","⚠ Falta monto",IF(D249="","⚠ Falta categoría",IF(ISNA(MATCH(D249,catNom,0)),"⚠ Categoría no existe",IF(E249="","⚠ Falta cuenta",IF(ISNA(MATCH(E249,ctaNom,0)),"⚠ Cuenta no existe",IF(AND(OR(I249="Transferencia",I249="Pago tarjeta"),G249=""),"⚠ Indica la cuenta «Hacia»",IF(AND(G249&lt;&gt;"",G249=E249),"⚠ «Hacia» igual a la cuenta",IF(AND(G249&lt;&gt;"",ISNA(MATCH(G249,ctaNom,0))),"⚠ «Hacia» no existe",IF(AND(I249="Pago tarjeta",IFERROR(INDEX(ctaTipo,MATCH(G249,ctaNom,0)),"")&lt;&gt;"Tarjeta de crédito"),"⚠ «Hacia» debe ser la tarjeta",IF(AND(I249="Trading",IFERROR(INDEX(ctaTipo,MATCH(E249,ctaNom,0)),"")&lt;&gt;"Cuenta de trading"),"⚠ Usa la cuenta de trading","✓"))))))))))))</f>
        <v/>
      </c>
      <c r="I249" s="19">
        <f>IF(OR(B249="",C249="",D249=""),"",IFERROR(INDEX(catTipo,MATCH(D249,catNom,0))&amp;"",""))</f>
        <v/>
      </c>
      <c r="J249" s="19">
        <f>IF(I249="","",IFERROR(INDEX(catGrupo,MATCH(D249,catNom,0))&amp;"",""))</f>
        <v/>
      </c>
      <c r="K249" s="19">
        <f>IF(I249="Gasto",IF(IFERROR(INDEX(catClas,MATCH(D249,catNom,0))&amp;"","")="","Variable",IFERROR(INDEX(catClas,MATCH(D249,catNom,0))&amp;"","")),"")</f>
        <v/>
      </c>
      <c r="L249" s="19">
        <f>IF(I249="","",IFERROR(INDEX(catAlim,MATCH(D249,catNom,0))&amp;"",""))</f>
        <v/>
      </c>
      <c r="M249" s="19">
        <f>IF(I249="","",IFERROR(INDEX(catComida,MATCH(D249,catNom,0))&amp;"",""))</f>
        <v/>
      </c>
      <c r="N249" s="19">
        <f>IF(I249="","",IFERROR(INDEX(ctaMon,MATCH(E249,ctaNom,0))&amp;"","DOP"))</f>
        <v/>
      </c>
      <c r="O249" s="20">
        <f>IF(I249="","",C249*IF(N249="USD",TasaUSD,1))</f>
        <v/>
      </c>
      <c r="P249" s="20">
        <f>IF(I249="","",IF(I249="Gasto",O249,0))</f>
        <v/>
      </c>
      <c r="Q249" s="20">
        <f>IF(I249="","",IF(I249="Ingreso",O249,0))</f>
        <v/>
      </c>
      <c r="R249" s="20">
        <f>IF(I249="","",IF(I249="Trading",O249,0))</f>
        <v/>
      </c>
      <c r="S249" s="19">
        <f>IF(I249="","",IF(AND(I249="Gasto",K249="Variable",J249&lt;&gt;"Trading",O249&gt;0,O249&lt;=Umbral),1,0))</f>
        <v/>
      </c>
      <c r="T249" s="20">
        <f>IF(OR(I249="",E249=""),"",IF(OR(I249="Gasto",I249="Transferencia",I249="Pago tarjeta"),-1,1)*C249)</f>
        <v/>
      </c>
      <c r="U249" s="20">
        <f>IF(OR(G249="",AND(I249&lt;&gt;"Transferencia",I249&lt;&gt;"Pago tarjeta")),"",IF(IFERROR(INDEX(ctaMon,MATCH(G249,ctaNom,0))&amp;"","DOP")=N249,C249,IF(N249="USD",C249*TasaUSD,C249/TasaUSD)))</f>
        <v/>
      </c>
      <c r="V249" s="20">
        <f>IF(I249="","",IF(IFERROR(INDEX(ctaLiq,MATCH(E249,ctaNom,0))="Sí",FALSE),IF(OR(I249="Gasto",I249="Transferencia",I249="Pago tarjeta"),-1,1)*O249,0)+IF(AND(U249&lt;&gt;"",IFERROR(INDEX(ctaLiq,MATCH(G249,ctaNom,0))="Sí",FALSE)),O249,0))</f>
        <v/>
      </c>
      <c r="W249" s="19">
        <f>IF(OR(F249="",I249=""),"",IF(COUNTIFS(F$6:F249,F249,I$6:I249,"?*")=1,MAX(W$5:W248)+1,""))</f>
        <v/>
      </c>
    </row>
    <row r="250">
      <c r="B250" s="15" t="n"/>
      <c r="C250" s="16" t="n"/>
      <c r="D250" s="17" t="n"/>
      <c r="E250" s="17" t="n"/>
      <c r="F250" s="17" t="n"/>
      <c r="G250" s="17" t="n"/>
      <c r="H250" s="18">
        <f>IF(AND(B250="",C250="",D250="",E250=""),"",IF(B250="","⚠ Falta fecha",IF(C250="","⚠ Falta monto",IF(D250="","⚠ Falta categoría",IF(ISNA(MATCH(D250,catNom,0)),"⚠ Categoría no existe",IF(E250="","⚠ Falta cuenta",IF(ISNA(MATCH(E250,ctaNom,0)),"⚠ Cuenta no existe",IF(AND(OR(I250="Transferencia",I250="Pago tarjeta"),G250=""),"⚠ Indica la cuenta «Hacia»",IF(AND(G250&lt;&gt;"",G250=E250),"⚠ «Hacia» igual a la cuenta",IF(AND(G250&lt;&gt;"",ISNA(MATCH(G250,ctaNom,0))),"⚠ «Hacia» no existe",IF(AND(I250="Pago tarjeta",IFERROR(INDEX(ctaTipo,MATCH(G250,ctaNom,0)),"")&lt;&gt;"Tarjeta de crédito"),"⚠ «Hacia» debe ser la tarjeta",IF(AND(I250="Trading",IFERROR(INDEX(ctaTipo,MATCH(E250,ctaNom,0)),"")&lt;&gt;"Cuenta de trading"),"⚠ Usa la cuenta de trading","✓"))))))))))))</f>
        <v/>
      </c>
      <c r="I250" s="19">
        <f>IF(OR(B250="",C250="",D250=""),"",IFERROR(INDEX(catTipo,MATCH(D250,catNom,0))&amp;"",""))</f>
        <v/>
      </c>
      <c r="J250" s="19">
        <f>IF(I250="","",IFERROR(INDEX(catGrupo,MATCH(D250,catNom,0))&amp;"",""))</f>
        <v/>
      </c>
      <c r="K250" s="19">
        <f>IF(I250="Gasto",IF(IFERROR(INDEX(catClas,MATCH(D250,catNom,0))&amp;"","")="","Variable",IFERROR(INDEX(catClas,MATCH(D250,catNom,0))&amp;"","")),"")</f>
        <v/>
      </c>
      <c r="L250" s="19">
        <f>IF(I250="","",IFERROR(INDEX(catAlim,MATCH(D250,catNom,0))&amp;"",""))</f>
        <v/>
      </c>
      <c r="M250" s="19">
        <f>IF(I250="","",IFERROR(INDEX(catComida,MATCH(D250,catNom,0))&amp;"",""))</f>
        <v/>
      </c>
      <c r="N250" s="19">
        <f>IF(I250="","",IFERROR(INDEX(ctaMon,MATCH(E250,ctaNom,0))&amp;"","DOP"))</f>
        <v/>
      </c>
      <c r="O250" s="20">
        <f>IF(I250="","",C250*IF(N250="USD",TasaUSD,1))</f>
        <v/>
      </c>
      <c r="P250" s="20">
        <f>IF(I250="","",IF(I250="Gasto",O250,0))</f>
        <v/>
      </c>
      <c r="Q250" s="20">
        <f>IF(I250="","",IF(I250="Ingreso",O250,0))</f>
        <v/>
      </c>
      <c r="R250" s="20">
        <f>IF(I250="","",IF(I250="Trading",O250,0))</f>
        <v/>
      </c>
      <c r="S250" s="19">
        <f>IF(I250="","",IF(AND(I250="Gasto",K250="Variable",J250&lt;&gt;"Trading",O250&gt;0,O250&lt;=Umbral),1,0))</f>
        <v/>
      </c>
      <c r="T250" s="20">
        <f>IF(OR(I250="",E250=""),"",IF(OR(I250="Gasto",I250="Transferencia",I250="Pago tarjeta"),-1,1)*C250)</f>
        <v/>
      </c>
      <c r="U250" s="20">
        <f>IF(OR(G250="",AND(I250&lt;&gt;"Transferencia",I250&lt;&gt;"Pago tarjeta")),"",IF(IFERROR(INDEX(ctaMon,MATCH(G250,ctaNom,0))&amp;"","DOP")=N250,C250,IF(N250="USD",C250*TasaUSD,C250/TasaUSD)))</f>
        <v/>
      </c>
      <c r="V250" s="20">
        <f>IF(I250="","",IF(IFERROR(INDEX(ctaLiq,MATCH(E250,ctaNom,0))="Sí",FALSE),IF(OR(I250="Gasto",I250="Transferencia",I250="Pago tarjeta"),-1,1)*O250,0)+IF(AND(U250&lt;&gt;"",IFERROR(INDEX(ctaLiq,MATCH(G250,ctaNom,0))="Sí",FALSE)),O250,0))</f>
        <v/>
      </c>
      <c r="W250" s="19">
        <f>IF(OR(F250="",I250=""),"",IF(COUNTIFS(F$6:F250,F250,I$6:I250,"?*")=1,MAX(W$5:W249)+1,""))</f>
        <v/>
      </c>
    </row>
    <row r="251">
      <c r="B251" s="15" t="n"/>
      <c r="C251" s="16" t="n"/>
      <c r="D251" s="17" t="n"/>
      <c r="E251" s="17" t="n"/>
      <c r="F251" s="17" t="n"/>
      <c r="G251" s="17" t="n"/>
      <c r="H251" s="18">
        <f>IF(AND(B251="",C251="",D251="",E251=""),"",IF(B251="","⚠ Falta fecha",IF(C251="","⚠ Falta monto",IF(D251="","⚠ Falta categoría",IF(ISNA(MATCH(D251,catNom,0)),"⚠ Categoría no existe",IF(E251="","⚠ Falta cuenta",IF(ISNA(MATCH(E251,ctaNom,0)),"⚠ Cuenta no existe",IF(AND(OR(I251="Transferencia",I251="Pago tarjeta"),G251=""),"⚠ Indica la cuenta «Hacia»",IF(AND(G251&lt;&gt;"",G251=E251),"⚠ «Hacia» igual a la cuenta",IF(AND(G251&lt;&gt;"",ISNA(MATCH(G251,ctaNom,0))),"⚠ «Hacia» no existe",IF(AND(I251="Pago tarjeta",IFERROR(INDEX(ctaTipo,MATCH(G251,ctaNom,0)),"")&lt;&gt;"Tarjeta de crédito"),"⚠ «Hacia» debe ser la tarjeta",IF(AND(I251="Trading",IFERROR(INDEX(ctaTipo,MATCH(E251,ctaNom,0)),"")&lt;&gt;"Cuenta de trading"),"⚠ Usa la cuenta de trading","✓"))))))))))))</f>
        <v/>
      </c>
      <c r="I251" s="19">
        <f>IF(OR(B251="",C251="",D251=""),"",IFERROR(INDEX(catTipo,MATCH(D251,catNom,0))&amp;"",""))</f>
        <v/>
      </c>
      <c r="J251" s="19">
        <f>IF(I251="","",IFERROR(INDEX(catGrupo,MATCH(D251,catNom,0))&amp;"",""))</f>
        <v/>
      </c>
      <c r="K251" s="19">
        <f>IF(I251="Gasto",IF(IFERROR(INDEX(catClas,MATCH(D251,catNom,0))&amp;"","")="","Variable",IFERROR(INDEX(catClas,MATCH(D251,catNom,0))&amp;"","")),"")</f>
        <v/>
      </c>
      <c r="L251" s="19">
        <f>IF(I251="","",IFERROR(INDEX(catAlim,MATCH(D251,catNom,0))&amp;"",""))</f>
        <v/>
      </c>
      <c r="M251" s="19">
        <f>IF(I251="","",IFERROR(INDEX(catComida,MATCH(D251,catNom,0))&amp;"",""))</f>
        <v/>
      </c>
      <c r="N251" s="19">
        <f>IF(I251="","",IFERROR(INDEX(ctaMon,MATCH(E251,ctaNom,0))&amp;"","DOP"))</f>
        <v/>
      </c>
      <c r="O251" s="20">
        <f>IF(I251="","",C251*IF(N251="USD",TasaUSD,1))</f>
        <v/>
      </c>
      <c r="P251" s="20">
        <f>IF(I251="","",IF(I251="Gasto",O251,0))</f>
        <v/>
      </c>
      <c r="Q251" s="20">
        <f>IF(I251="","",IF(I251="Ingreso",O251,0))</f>
        <v/>
      </c>
      <c r="R251" s="20">
        <f>IF(I251="","",IF(I251="Trading",O251,0))</f>
        <v/>
      </c>
      <c r="S251" s="19">
        <f>IF(I251="","",IF(AND(I251="Gasto",K251="Variable",J251&lt;&gt;"Trading",O251&gt;0,O251&lt;=Umbral),1,0))</f>
        <v/>
      </c>
      <c r="T251" s="20">
        <f>IF(OR(I251="",E251=""),"",IF(OR(I251="Gasto",I251="Transferencia",I251="Pago tarjeta"),-1,1)*C251)</f>
        <v/>
      </c>
      <c r="U251" s="20">
        <f>IF(OR(G251="",AND(I251&lt;&gt;"Transferencia",I251&lt;&gt;"Pago tarjeta")),"",IF(IFERROR(INDEX(ctaMon,MATCH(G251,ctaNom,0))&amp;"","DOP")=N251,C251,IF(N251="USD",C251*TasaUSD,C251/TasaUSD)))</f>
        <v/>
      </c>
      <c r="V251" s="20">
        <f>IF(I251="","",IF(IFERROR(INDEX(ctaLiq,MATCH(E251,ctaNom,0))="Sí",FALSE),IF(OR(I251="Gasto",I251="Transferencia",I251="Pago tarjeta"),-1,1)*O251,0)+IF(AND(U251&lt;&gt;"",IFERROR(INDEX(ctaLiq,MATCH(G251,ctaNom,0))="Sí",FALSE)),O251,0))</f>
        <v/>
      </c>
      <c r="W251" s="19">
        <f>IF(OR(F251="",I251=""),"",IF(COUNTIFS(F$6:F251,F251,I$6:I251,"?*")=1,MAX(W$5:W250)+1,""))</f>
        <v/>
      </c>
    </row>
    <row r="252">
      <c r="B252" s="15" t="n"/>
      <c r="C252" s="16" t="n"/>
      <c r="D252" s="17" t="n"/>
      <c r="E252" s="17" t="n"/>
      <c r="F252" s="17" t="n"/>
      <c r="G252" s="17" t="n"/>
      <c r="H252" s="18">
        <f>IF(AND(B252="",C252="",D252="",E252=""),"",IF(B252="","⚠ Falta fecha",IF(C252="","⚠ Falta monto",IF(D252="","⚠ Falta categoría",IF(ISNA(MATCH(D252,catNom,0)),"⚠ Categoría no existe",IF(E252="","⚠ Falta cuenta",IF(ISNA(MATCH(E252,ctaNom,0)),"⚠ Cuenta no existe",IF(AND(OR(I252="Transferencia",I252="Pago tarjeta"),G252=""),"⚠ Indica la cuenta «Hacia»",IF(AND(G252&lt;&gt;"",G252=E252),"⚠ «Hacia» igual a la cuenta",IF(AND(G252&lt;&gt;"",ISNA(MATCH(G252,ctaNom,0))),"⚠ «Hacia» no existe",IF(AND(I252="Pago tarjeta",IFERROR(INDEX(ctaTipo,MATCH(G252,ctaNom,0)),"")&lt;&gt;"Tarjeta de crédito"),"⚠ «Hacia» debe ser la tarjeta",IF(AND(I252="Trading",IFERROR(INDEX(ctaTipo,MATCH(E252,ctaNom,0)),"")&lt;&gt;"Cuenta de trading"),"⚠ Usa la cuenta de trading","✓"))))))))))))</f>
        <v/>
      </c>
      <c r="I252" s="19">
        <f>IF(OR(B252="",C252="",D252=""),"",IFERROR(INDEX(catTipo,MATCH(D252,catNom,0))&amp;"",""))</f>
        <v/>
      </c>
      <c r="J252" s="19">
        <f>IF(I252="","",IFERROR(INDEX(catGrupo,MATCH(D252,catNom,0))&amp;"",""))</f>
        <v/>
      </c>
      <c r="K252" s="19">
        <f>IF(I252="Gasto",IF(IFERROR(INDEX(catClas,MATCH(D252,catNom,0))&amp;"","")="","Variable",IFERROR(INDEX(catClas,MATCH(D252,catNom,0))&amp;"","")),"")</f>
        <v/>
      </c>
      <c r="L252" s="19">
        <f>IF(I252="","",IFERROR(INDEX(catAlim,MATCH(D252,catNom,0))&amp;"",""))</f>
        <v/>
      </c>
      <c r="M252" s="19">
        <f>IF(I252="","",IFERROR(INDEX(catComida,MATCH(D252,catNom,0))&amp;"",""))</f>
        <v/>
      </c>
      <c r="N252" s="19">
        <f>IF(I252="","",IFERROR(INDEX(ctaMon,MATCH(E252,ctaNom,0))&amp;"","DOP"))</f>
        <v/>
      </c>
      <c r="O252" s="20">
        <f>IF(I252="","",C252*IF(N252="USD",TasaUSD,1))</f>
        <v/>
      </c>
      <c r="P252" s="20">
        <f>IF(I252="","",IF(I252="Gasto",O252,0))</f>
        <v/>
      </c>
      <c r="Q252" s="20">
        <f>IF(I252="","",IF(I252="Ingreso",O252,0))</f>
        <v/>
      </c>
      <c r="R252" s="20">
        <f>IF(I252="","",IF(I252="Trading",O252,0))</f>
        <v/>
      </c>
      <c r="S252" s="19">
        <f>IF(I252="","",IF(AND(I252="Gasto",K252="Variable",J252&lt;&gt;"Trading",O252&gt;0,O252&lt;=Umbral),1,0))</f>
        <v/>
      </c>
      <c r="T252" s="20">
        <f>IF(OR(I252="",E252=""),"",IF(OR(I252="Gasto",I252="Transferencia",I252="Pago tarjeta"),-1,1)*C252)</f>
        <v/>
      </c>
      <c r="U252" s="20">
        <f>IF(OR(G252="",AND(I252&lt;&gt;"Transferencia",I252&lt;&gt;"Pago tarjeta")),"",IF(IFERROR(INDEX(ctaMon,MATCH(G252,ctaNom,0))&amp;"","DOP")=N252,C252,IF(N252="USD",C252*TasaUSD,C252/TasaUSD)))</f>
        <v/>
      </c>
      <c r="V252" s="20">
        <f>IF(I252="","",IF(IFERROR(INDEX(ctaLiq,MATCH(E252,ctaNom,0))="Sí",FALSE),IF(OR(I252="Gasto",I252="Transferencia",I252="Pago tarjeta"),-1,1)*O252,0)+IF(AND(U252&lt;&gt;"",IFERROR(INDEX(ctaLiq,MATCH(G252,ctaNom,0))="Sí",FALSE)),O252,0))</f>
        <v/>
      </c>
      <c r="W252" s="19">
        <f>IF(OR(F252="",I252=""),"",IF(COUNTIFS(F$6:F252,F252,I$6:I252,"?*")=1,MAX(W$5:W251)+1,""))</f>
        <v/>
      </c>
    </row>
    <row r="253">
      <c r="B253" s="15" t="n"/>
      <c r="C253" s="16" t="n"/>
      <c r="D253" s="17" t="n"/>
      <c r="E253" s="17" t="n"/>
      <c r="F253" s="17" t="n"/>
      <c r="G253" s="17" t="n"/>
      <c r="H253" s="18">
        <f>IF(AND(B253="",C253="",D253="",E253=""),"",IF(B253="","⚠ Falta fecha",IF(C253="","⚠ Falta monto",IF(D253="","⚠ Falta categoría",IF(ISNA(MATCH(D253,catNom,0)),"⚠ Categoría no existe",IF(E253="","⚠ Falta cuenta",IF(ISNA(MATCH(E253,ctaNom,0)),"⚠ Cuenta no existe",IF(AND(OR(I253="Transferencia",I253="Pago tarjeta"),G253=""),"⚠ Indica la cuenta «Hacia»",IF(AND(G253&lt;&gt;"",G253=E253),"⚠ «Hacia» igual a la cuenta",IF(AND(G253&lt;&gt;"",ISNA(MATCH(G253,ctaNom,0))),"⚠ «Hacia» no existe",IF(AND(I253="Pago tarjeta",IFERROR(INDEX(ctaTipo,MATCH(G253,ctaNom,0)),"")&lt;&gt;"Tarjeta de crédito"),"⚠ «Hacia» debe ser la tarjeta",IF(AND(I253="Trading",IFERROR(INDEX(ctaTipo,MATCH(E253,ctaNom,0)),"")&lt;&gt;"Cuenta de trading"),"⚠ Usa la cuenta de trading","✓"))))))))))))</f>
        <v/>
      </c>
      <c r="I253" s="19">
        <f>IF(OR(B253="",C253="",D253=""),"",IFERROR(INDEX(catTipo,MATCH(D253,catNom,0))&amp;"",""))</f>
        <v/>
      </c>
      <c r="J253" s="19">
        <f>IF(I253="","",IFERROR(INDEX(catGrupo,MATCH(D253,catNom,0))&amp;"",""))</f>
        <v/>
      </c>
      <c r="K253" s="19">
        <f>IF(I253="Gasto",IF(IFERROR(INDEX(catClas,MATCH(D253,catNom,0))&amp;"","")="","Variable",IFERROR(INDEX(catClas,MATCH(D253,catNom,0))&amp;"","")),"")</f>
        <v/>
      </c>
      <c r="L253" s="19">
        <f>IF(I253="","",IFERROR(INDEX(catAlim,MATCH(D253,catNom,0))&amp;"",""))</f>
        <v/>
      </c>
      <c r="M253" s="19">
        <f>IF(I253="","",IFERROR(INDEX(catComida,MATCH(D253,catNom,0))&amp;"",""))</f>
        <v/>
      </c>
      <c r="N253" s="19">
        <f>IF(I253="","",IFERROR(INDEX(ctaMon,MATCH(E253,ctaNom,0))&amp;"","DOP"))</f>
        <v/>
      </c>
      <c r="O253" s="20">
        <f>IF(I253="","",C253*IF(N253="USD",TasaUSD,1))</f>
        <v/>
      </c>
      <c r="P253" s="20">
        <f>IF(I253="","",IF(I253="Gasto",O253,0))</f>
        <v/>
      </c>
      <c r="Q253" s="20">
        <f>IF(I253="","",IF(I253="Ingreso",O253,0))</f>
        <v/>
      </c>
      <c r="R253" s="20">
        <f>IF(I253="","",IF(I253="Trading",O253,0))</f>
        <v/>
      </c>
      <c r="S253" s="19">
        <f>IF(I253="","",IF(AND(I253="Gasto",K253="Variable",J253&lt;&gt;"Trading",O253&gt;0,O253&lt;=Umbral),1,0))</f>
        <v/>
      </c>
      <c r="T253" s="20">
        <f>IF(OR(I253="",E253=""),"",IF(OR(I253="Gasto",I253="Transferencia",I253="Pago tarjeta"),-1,1)*C253)</f>
        <v/>
      </c>
      <c r="U253" s="20">
        <f>IF(OR(G253="",AND(I253&lt;&gt;"Transferencia",I253&lt;&gt;"Pago tarjeta")),"",IF(IFERROR(INDEX(ctaMon,MATCH(G253,ctaNom,0))&amp;"","DOP")=N253,C253,IF(N253="USD",C253*TasaUSD,C253/TasaUSD)))</f>
        <v/>
      </c>
      <c r="V253" s="20">
        <f>IF(I253="","",IF(IFERROR(INDEX(ctaLiq,MATCH(E253,ctaNom,0))="Sí",FALSE),IF(OR(I253="Gasto",I253="Transferencia",I253="Pago tarjeta"),-1,1)*O253,0)+IF(AND(U253&lt;&gt;"",IFERROR(INDEX(ctaLiq,MATCH(G253,ctaNom,0))="Sí",FALSE)),O253,0))</f>
        <v/>
      </c>
      <c r="W253" s="19">
        <f>IF(OR(F253="",I253=""),"",IF(COUNTIFS(F$6:F253,F253,I$6:I253,"?*")=1,MAX(W$5:W252)+1,""))</f>
        <v/>
      </c>
    </row>
    <row r="254">
      <c r="B254" s="15" t="n"/>
      <c r="C254" s="16" t="n"/>
      <c r="D254" s="17" t="n"/>
      <c r="E254" s="17" t="n"/>
      <c r="F254" s="17" t="n"/>
      <c r="G254" s="17" t="n"/>
      <c r="H254" s="18">
        <f>IF(AND(B254="",C254="",D254="",E254=""),"",IF(B254="","⚠ Falta fecha",IF(C254="","⚠ Falta monto",IF(D254="","⚠ Falta categoría",IF(ISNA(MATCH(D254,catNom,0)),"⚠ Categoría no existe",IF(E254="","⚠ Falta cuenta",IF(ISNA(MATCH(E254,ctaNom,0)),"⚠ Cuenta no existe",IF(AND(OR(I254="Transferencia",I254="Pago tarjeta"),G254=""),"⚠ Indica la cuenta «Hacia»",IF(AND(G254&lt;&gt;"",G254=E254),"⚠ «Hacia» igual a la cuenta",IF(AND(G254&lt;&gt;"",ISNA(MATCH(G254,ctaNom,0))),"⚠ «Hacia» no existe",IF(AND(I254="Pago tarjeta",IFERROR(INDEX(ctaTipo,MATCH(G254,ctaNom,0)),"")&lt;&gt;"Tarjeta de crédito"),"⚠ «Hacia» debe ser la tarjeta",IF(AND(I254="Trading",IFERROR(INDEX(ctaTipo,MATCH(E254,ctaNom,0)),"")&lt;&gt;"Cuenta de trading"),"⚠ Usa la cuenta de trading","✓"))))))))))))</f>
        <v/>
      </c>
      <c r="I254" s="19">
        <f>IF(OR(B254="",C254="",D254=""),"",IFERROR(INDEX(catTipo,MATCH(D254,catNom,0))&amp;"",""))</f>
        <v/>
      </c>
      <c r="J254" s="19">
        <f>IF(I254="","",IFERROR(INDEX(catGrupo,MATCH(D254,catNom,0))&amp;"",""))</f>
        <v/>
      </c>
      <c r="K254" s="19">
        <f>IF(I254="Gasto",IF(IFERROR(INDEX(catClas,MATCH(D254,catNom,0))&amp;"","")="","Variable",IFERROR(INDEX(catClas,MATCH(D254,catNom,0))&amp;"","")),"")</f>
        <v/>
      </c>
      <c r="L254" s="19">
        <f>IF(I254="","",IFERROR(INDEX(catAlim,MATCH(D254,catNom,0))&amp;"",""))</f>
        <v/>
      </c>
      <c r="M254" s="19">
        <f>IF(I254="","",IFERROR(INDEX(catComida,MATCH(D254,catNom,0))&amp;"",""))</f>
        <v/>
      </c>
      <c r="N254" s="19">
        <f>IF(I254="","",IFERROR(INDEX(ctaMon,MATCH(E254,ctaNom,0))&amp;"","DOP"))</f>
        <v/>
      </c>
      <c r="O254" s="20">
        <f>IF(I254="","",C254*IF(N254="USD",TasaUSD,1))</f>
        <v/>
      </c>
      <c r="P254" s="20">
        <f>IF(I254="","",IF(I254="Gasto",O254,0))</f>
        <v/>
      </c>
      <c r="Q254" s="20">
        <f>IF(I254="","",IF(I254="Ingreso",O254,0))</f>
        <v/>
      </c>
      <c r="R254" s="20">
        <f>IF(I254="","",IF(I254="Trading",O254,0))</f>
        <v/>
      </c>
      <c r="S254" s="19">
        <f>IF(I254="","",IF(AND(I254="Gasto",K254="Variable",J254&lt;&gt;"Trading",O254&gt;0,O254&lt;=Umbral),1,0))</f>
        <v/>
      </c>
      <c r="T254" s="20">
        <f>IF(OR(I254="",E254=""),"",IF(OR(I254="Gasto",I254="Transferencia",I254="Pago tarjeta"),-1,1)*C254)</f>
        <v/>
      </c>
      <c r="U254" s="20">
        <f>IF(OR(G254="",AND(I254&lt;&gt;"Transferencia",I254&lt;&gt;"Pago tarjeta")),"",IF(IFERROR(INDEX(ctaMon,MATCH(G254,ctaNom,0))&amp;"","DOP")=N254,C254,IF(N254="USD",C254*TasaUSD,C254/TasaUSD)))</f>
        <v/>
      </c>
      <c r="V254" s="20">
        <f>IF(I254="","",IF(IFERROR(INDEX(ctaLiq,MATCH(E254,ctaNom,0))="Sí",FALSE),IF(OR(I254="Gasto",I254="Transferencia",I254="Pago tarjeta"),-1,1)*O254,0)+IF(AND(U254&lt;&gt;"",IFERROR(INDEX(ctaLiq,MATCH(G254,ctaNom,0))="Sí",FALSE)),O254,0))</f>
        <v/>
      </c>
      <c r="W254" s="19">
        <f>IF(OR(F254="",I254=""),"",IF(COUNTIFS(F$6:F254,F254,I$6:I254,"?*")=1,MAX(W$5:W253)+1,""))</f>
        <v/>
      </c>
    </row>
    <row r="255">
      <c r="B255" s="15" t="n"/>
      <c r="C255" s="16" t="n"/>
      <c r="D255" s="17" t="n"/>
      <c r="E255" s="17" t="n"/>
      <c r="F255" s="17" t="n"/>
      <c r="G255" s="17" t="n"/>
      <c r="H255" s="18">
        <f>IF(AND(B255="",C255="",D255="",E255=""),"",IF(B255="","⚠ Falta fecha",IF(C255="","⚠ Falta monto",IF(D255="","⚠ Falta categoría",IF(ISNA(MATCH(D255,catNom,0)),"⚠ Categoría no existe",IF(E255="","⚠ Falta cuenta",IF(ISNA(MATCH(E255,ctaNom,0)),"⚠ Cuenta no existe",IF(AND(OR(I255="Transferencia",I255="Pago tarjeta"),G255=""),"⚠ Indica la cuenta «Hacia»",IF(AND(G255&lt;&gt;"",G255=E255),"⚠ «Hacia» igual a la cuenta",IF(AND(G255&lt;&gt;"",ISNA(MATCH(G255,ctaNom,0))),"⚠ «Hacia» no existe",IF(AND(I255="Pago tarjeta",IFERROR(INDEX(ctaTipo,MATCH(G255,ctaNom,0)),"")&lt;&gt;"Tarjeta de crédito"),"⚠ «Hacia» debe ser la tarjeta",IF(AND(I255="Trading",IFERROR(INDEX(ctaTipo,MATCH(E255,ctaNom,0)),"")&lt;&gt;"Cuenta de trading"),"⚠ Usa la cuenta de trading","✓"))))))))))))</f>
        <v/>
      </c>
      <c r="I255" s="19">
        <f>IF(OR(B255="",C255="",D255=""),"",IFERROR(INDEX(catTipo,MATCH(D255,catNom,0))&amp;"",""))</f>
        <v/>
      </c>
      <c r="J255" s="19">
        <f>IF(I255="","",IFERROR(INDEX(catGrupo,MATCH(D255,catNom,0))&amp;"",""))</f>
        <v/>
      </c>
      <c r="K255" s="19">
        <f>IF(I255="Gasto",IF(IFERROR(INDEX(catClas,MATCH(D255,catNom,0))&amp;"","")="","Variable",IFERROR(INDEX(catClas,MATCH(D255,catNom,0))&amp;"","")),"")</f>
        <v/>
      </c>
      <c r="L255" s="19">
        <f>IF(I255="","",IFERROR(INDEX(catAlim,MATCH(D255,catNom,0))&amp;"",""))</f>
        <v/>
      </c>
      <c r="M255" s="19">
        <f>IF(I255="","",IFERROR(INDEX(catComida,MATCH(D255,catNom,0))&amp;"",""))</f>
        <v/>
      </c>
      <c r="N255" s="19">
        <f>IF(I255="","",IFERROR(INDEX(ctaMon,MATCH(E255,ctaNom,0))&amp;"","DOP"))</f>
        <v/>
      </c>
      <c r="O255" s="20">
        <f>IF(I255="","",C255*IF(N255="USD",TasaUSD,1))</f>
        <v/>
      </c>
      <c r="P255" s="20">
        <f>IF(I255="","",IF(I255="Gasto",O255,0))</f>
        <v/>
      </c>
      <c r="Q255" s="20">
        <f>IF(I255="","",IF(I255="Ingreso",O255,0))</f>
        <v/>
      </c>
      <c r="R255" s="20">
        <f>IF(I255="","",IF(I255="Trading",O255,0))</f>
        <v/>
      </c>
      <c r="S255" s="19">
        <f>IF(I255="","",IF(AND(I255="Gasto",K255="Variable",J255&lt;&gt;"Trading",O255&gt;0,O255&lt;=Umbral),1,0))</f>
        <v/>
      </c>
      <c r="T255" s="20">
        <f>IF(OR(I255="",E255=""),"",IF(OR(I255="Gasto",I255="Transferencia",I255="Pago tarjeta"),-1,1)*C255)</f>
        <v/>
      </c>
      <c r="U255" s="20">
        <f>IF(OR(G255="",AND(I255&lt;&gt;"Transferencia",I255&lt;&gt;"Pago tarjeta")),"",IF(IFERROR(INDEX(ctaMon,MATCH(G255,ctaNom,0))&amp;"","DOP")=N255,C255,IF(N255="USD",C255*TasaUSD,C255/TasaUSD)))</f>
        <v/>
      </c>
      <c r="V255" s="20">
        <f>IF(I255="","",IF(IFERROR(INDEX(ctaLiq,MATCH(E255,ctaNom,0))="Sí",FALSE),IF(OR(I255="Gasto",I255="Transferencia",I255="Pago tarjeta"),-1,1)*O255,0)+IF(AND(U255&lt;&gt;"",IFERROR(INDEX(ctaLiq,MATCH(G255,ctaNom,0))="Sí",FALSE)),O255,0))</f>
        <v/>
      </c>
      <c r="W255" s="19">
        <f>IF(OR(F255="",I255=""),"",IF(COUNTIFS(F$6:F255,F255,I$6:I255,"?*")=1,MAX(W$5:W254)+1,""))</f>
        <v/>
      </c>
    </row>
    <row r="256">
      <c r="B256" s="15" t="n"/>
      <c r="C256" s="16" t="n"/>
      <c r="D256" s="17" t="n"/>
      <c r="E256" s="17" t="n"/>
      <c r="F256" s="17" t="n"/>
      <c r="G256" s="17" t="n"/>
      <c r="H256" s="18">
        <f>IF(AND(B256="",C256="",D256="",E256=""),"",IF(B256="","⚠ Falta fecha",IF(C256="","⚠ Falta monto",IF(D256="","⚠ Falta categoría",IF(ISNA(MATCH(D256,catNom,0)),"⚠ Categoría no existe",IF(E256="","⚠ Falta cuenta",IF(ISNA(MATCH(E256,ctaNom,0)),"⚠ Cuenta no existe",IF(AND(OR(I256="Transferencia",I256="Pago tarjeta"),G256=""),"⚠ Indica la cuenta «Hacia»",IF(AND(G256&lt;&gt;"",G256=E256),"⚠ «Hacia» igual a la cuenta",IF(AND(G256&lt;&gt;"",ISNA(MATCH(G256,ctaNom,0))),"⚠ «Hacia» no existe",IF(AND(I256="Pago tarjeta",IFERROR(INDEX(ctaTipo,MATCH(G256,ctaNom,0)),"")&lt;&gt;"Tarjeta de crédito"),"⚠ «Hacia» debe ser la tarjeta",IF(AND(I256="Trading",IFERROR(INDEX(ctaTipo,MATCH(E256,ctaNom,0)),"")&lt;&gt;"Cuenta de trading"),"⚠ Usa la cuenta de trading","✓"))))))))))))</f>
        <v/>
      </c>
      <c r="I256" s="19">
        <f>IF(OR(B256="",C256="",D256=""),"",IFERROR(INDEX(catTipo,MATCH(D256,catNom,0))&amp;"",""))</f>
        <v/>
      </c>
      <c r="J256" s="19">
        <f>IF(I256="","",IFERROR(INDEX(catGrupo,MATCH(D256,catNom,0))&amp;"",""))</f>
        <v/>
      </c>
      <c r="K256" s="19">
        <f>IF(I256="Gasto",IF(IFERROR(INDEX(catClas,MATCH(D256,catNom,0))&amp;"","")="","Variable",IFERROR(INDEX(catClas,MATCH(D256,catNom,0))&amp;"","")),"")</f>
        <v/>
      </c>
      <c r="L256" s="19">
        <f>IF(I256="","",IFERROR(INDEX(catAlim,MATCH(D256,catNom,0))&amp;"",""))</f>
        <v/>
      </c>
      <c r="M256" s="19">
        <f>IF(I256="","",IFERROR(INDEX(catComida,MATCH(D256,catNom,0))&amp;"",""))</f>
        <v/>
      </c>
      <c r="N256" s="19">
        <f>IF(I256="","",IFERROR(INDEX(ctaMon,MATCH(E256,ctaNom,0))&amp;"","DOP"))</f>
        <v/>
      </c>
      <c r="O256" s="20">
        <f>IF(I256="","",C256*IF(N256="USD",TasaUSD,1))</f>
        <v/>
      </c>
      <c r="P256" s="20">
        <f>IF(I256="","",IF(I256="Gasto",O256,0))</f>
        <v/>
      </c>
      <c r="Q256" s="20">
        <f>IF(I256="","",IF(I256="Ingreso",O256,0))</f>
        <v/>
      </c>
      <c r="R256" s="20">
        <f>IF(I256="","",IF(I256="Trading",O256,0))</f>
        <v/>
      </c>
      <c r="S256" s="19">
        <f>IF(I256="","",IF(AND(I256="Gasto",K256="Variable",J256&lt;&gt;"Trading",O256&gt;0,O256&lt;=Umbral),1,0))</f>
        <v/>
      </c>
      <c r="T256" s="20">
        <f>IF(OR(I256="",E256=""),"",IF(OR(I256="Gasto",I256="Transferencia",I256="Pago tarjeta"),-1,1)*C256)</f>
        <v/>
      </c>
      <c r="U256" s="20">
        <f>IF(OR(G256="",AND(I256&lt;&gt;"Transferencia",I256&lt;&gt;"Pago tarjeta")),"",IF(IFERROR(INDEX(ctaMon,MATCH(G256,ctaNom,0))&amp;"","DOP")=N256,C256,IF(N256="USD",C256*TasaUSD,C256/TasaUSD)))</f>
        <v/>
      </c>
      <c r="V256" s="20">
        <f>IF(I256="","",IF(IFERROR(INDEX(ctaLiq,MATCH(E256,ctaNom,0))="Sí",FALSE),IF(OR(I256="Gasto",I256="Transferencia",I256="Pago tarjeta"),-1,1)*O256,0)+IF(AND(U256&lt;&gt;"",IFERROR(INDEX(ctaLiq,MATCH(G256,ctaNom,0))="Sí",FALSE)),O256,0))</f>
        <v/>
      </c>
      <c r="W256" s="19">
        <f>IF(OR(F256="",I256=""),"",IF(COUNTIFS(F$6:F256,F256,I$6:I256,"?*")=1,MAX(W$5:W255)+1,""))</f>
        <v/>
      </c>
    </row>
    <row r="257">
      <c r="B257" s="15" t="n"/>
      <c r="C257" s="16" t="n"/>
      <c r="D257" s="17" t="n"/>
      <c r="E257" s="17" t="n"/>
      <c r="F257" s="17" t="n"/>
      <c r="G257" s="17" t="n"/>
      <c r="H257" s="18">
        <f>IF(AND(B257="",C257="",D257="",E257=""),"",IF(B257="","⚠ Falta fecha",IF(C257="","⚠ Falta monto",IF(D257="","⚠ Falta categoría",IF(ISNA(MATCH(D257,catNom,0)),"⚠ Categoría no existe",IF(E257="","⚠ Falta cuenta",IF(ISNA(MATCH(E257,ctaNom,0)),"⚠ Cuenta no existe",IF(AND(OR(I257="Transferencia",I257="Pago tarjeta"),G257=""),"⚠ Indica la cuenta «Hacia»",IF(AND(G257&lt;&gt;"",G257=E257),"⚠ «Hacia» igual a la cuenta",IF(AND(G257&lt;&gt;"",ISNA(MATCH(G257,ctaNom,0))),"⚠ «Hacia» no existe",IF(AND(I257="Pago tarjeta",IFERROR(INDEX(ctaTipo,MATCH(G257,ctaNom,0)),"")&lt;&gt;"Tarjeta de crédito"),"⚠ «Hacia» debe ser la tarjeta",IF(AND(I257="Trading",IFERROR(INDEX(ctaTipo,MATCH(E257,ctaNom,0)),"")&lt;&gt;"Cuenta de trading"),"⚠ Usa la cuenta de trading","✓"))))))))))))</f>
        <v/>
      </c>
      <c r="I257" s="19">
        <f>IF(OR(B257="",C257="",D257=""),"",IFERROR(INDEX(catTipo,MATCH(D257,catNom,0))&amp;"",""))</f>
        <v/>
      </c>
      <c r="J257" s="19">
        <f>IF(I257="","",IFERROR(INDEX(catGrupo,MATCH(D257,catNom,0))&amp;"",""))</f>
        <v/>
      </c>
      <c r="K257" s="19">
        <f>IF(I257="Gasto",IF(IFERROR(INDEX(catClas,MATCH(D257,catNom,0))&amp;"","")="","Variable",IFERROR(INDEX(catClas,MATCH(D257,catNom,0))&amp;"","")),"")</f>
        <v/>
      </c>
      <c r="L257" s="19">
        <f>IF(I257="","",IFERROR(INDEX(catAlim,MATCH(D257,catNom,0))&amp;"",""))</f>
        <v/>
      </c>
      <c r="M257" s="19">
        <f>IF(I257="","",IFERROR(INDEX(catComida,MATCH(D257,catNom,0))&amp;"",""))</f>
        <v/>
      </c>
      <c r="N257" s="19">
        <f>IF(I257="","",IFERROR(INDEX(ctaMon,MATCH(E257,ctaNom,0))&amp;"","DOP"))</f>
        <v/>
      </c>
      <c r="O257" s="20">
        <f>IF(I257="","",C257*IF(N257="USD",TasaUSD,1))</f>
        <v/>
      </c>
      <c r="P257" s="20">
        <f>IF(I257="","",IF(I257="Gasto",O257,0))</f>
        <v/>
      </c>
      <c r="Q257" s="20">
        <f>IF(I257="","",IF(I257="Ingreso",O257,0))</f>
        <v/>
      </c>
      <c r="R257" s="20">
        <f>IF(I257="","",IF(I257="Trading",O257,0))</f>
        <v/>
      </c>
      <c r="S257" s="19">
        <f>IF(I257="","",IF(AND(I257="Gasto",K257="Variable",J257&lt;&gt;"Trading",O257&gt;0,O257&lt;=Umbral),1,0))</f>
        <v/>
      </c>
      <c r="T257" s="20">
        <f>IF(OR(I257="",E257=""),"",IF(OR(I257="Gasto",I257="Transferencia",I257="Pago tarjeta"),-1,1)*C257)</f>
        <v/>
      </c>
      <c r="U257" s="20">
        <f>IF(OR(G257="",AND(I257&lt;&gt;"Transferencia",I257&lt;&gt;"Pago tarjeta")),"",IF(IFERROR(INDEX(ctaMon,MATCH(G257,ctaNom,0))&amp;"","DOP")=N257,C257,IF(N257="USD",C257*TasaUSD,C257/TasaUSD)))</f>
        <v/>
      </c>
      <c r="V257" s="20">
        <f>IF(I257="","",IF(IFERROR(INDEX(ctaLiq,MATCH(E257,ctaNom,0))="Sí",FALSE),IF(OR(I257="Gasto",I257="Transferencia",I257="Pago tarjeta"),-1,1)*O257,0)+IF(AND(U257&lt;&gt;"",IFERROR(INDEX(ctaLiq,MATCH(G257,ctaNom,0))="Sí",FALSE)),O257,0))</f>
        <v/>
      </c>
      <c r="W257" s="19">
        <f>IF(OR(F257="",I257=""),"",IF(COUNTIFS(F$6:F257,F257,I$6:I257,"?*")=1,MAX(W$5:W256)+1,""))</f>
        <v/>
      </c>
    </row>
    <row r="258">
      <c r="B258" s="15" t="n"/>
      <c r="C258" s="16" t="n"/>
      <c r="D258" s="17" t="n"/>
      <c r="E258" s="17" t="n"/>
      <c r="F258" s="17" t="n"/>
      <c r="G258" s="17" t="n"/>
      <c r="H258" s="18">
        <f>IF(AND(B258="",C258="",D258="",E258=""),"",IF(B258="","⚠ Falta fecha",IF(C258="","⚠ Falta monto",IF(D258="","⚠ Falta categoría",IF(ISNA(MATCH(D258,catNom,0)),"⚠ Categoría no existe",IF(E258="","⚠ Falta cuenta",IF(ISNA(MATCH(E258,ctaNom,0)),"⚠ Cuenta no existe",IF(AND(OR(I258="Transferencia",I258="Pago tarjeta"),G258=""),"⚠ Indica la cuenta «Hacia»",IF(AND(G258&lt;&gt;"",G258=E258),"⚠ «Hacia» igual a la cuenta",IF(AND(G258&lt;&gt;"",ISNA(MATCH(G258,ctaNom,0))),"⚠ «Hacia» no existe",IF(AND(I258="Pago tarjeta",IFERROR(INDEX(ctaTipo,MATCH(G258,ctaNom,0)),"")&lt;&gt;"Tarjeta de crédito"),"⚠ «Hacia» debe ser la tarjeta",IF(AND(I258="Trading",IFERROR(INDEX(ctaTipo,MATCH(E258,ctaNom,0)),"")&lt;&gt;"Cuenta de trading"),"⚠ Usa la cuenta de trading","✓"))))))))))))</f>
        <v/>
      </c>
      <c r="I258" s="19">
        <f>IF(OR(B258="",C258="",D258=""),"",IFERROR(INDEX(catTipo,MATCH(D258,catNom,0))&amp;"",""))</f>
        <v/>
      </c>
      <c r="J258" s="19">
        <f>IF(I258="","",IFERROR(INDEX(catGrupo,MATCH(D258,catNom,0))&amp;"",""))</f>
        <v/>
      </c>
      <c r="K258" s="19">
        <f>IF(I258="Gasto",IF(IFERROR(INDEX(catClas,MATCH(D258,catNom,0))&amp;"","")="","Variable",IFERROR(INDEX(catClas,MATCH(D258,catNom,0))&amp;"","")),"")</f>
        <v/>
      </c>
      <c r="L258" s="19">
        <f>IF(I258="","",IFERROR(INDEX(catAlim,MATCH(D258,catNom,0))&amp;"",""))</f>
        <v/>
      </c>
      <c r="M258" s="19">
        <f>IF(I258="","",IFERROR(INDEX(catComida,MATCH(D258,catNom,0))&amp;"",""))</f>
        <v/>
      </c>
      <c r="N258" s="19">
        <f>IF(I258="","",IFERROR(INDEX(ctaMon,MATCH(E258,ctaNom,0))&amp;"","DOP"))</f>
        <v/>
      </c>
      <c r="O258" s="20">
        <f>IF(I258="","",C258*IF(N258="USD",TasaUSD,1))</f>
        <v/>
      </c>
      <c r="P258" s="20">
        <f>IF(I258="","",IF(I258="Gasto",O258,0))</f>
        <v/>
      </c>
      <c r="Q258" s="20">
        <f>IF(I258="","",IF(I258="Ingreso",O258,0))</f>
        <v/>
      </c>
      <c r="R258" s="20">
        <f>IF(I258="","",IF(I258="Trading",O258,0))</f>
        <v/>
      </c>
      <c r="S258" s="19">
        <f>IF(I258="","",IF(AND(I258="Gasto",K258="Variable",J258&lt;&gt;"Trading",O258&gt;0,O258&lt;=Umbral),1,0))</f>
        <v/>
      </c>
      <c r="T258" s="20">
        <f>IF(OR(I258="",E258=""),"",IF(OR(I258="Gasto",I258="Transferencia",I258="Pago tarjeta"),-1,1)*C258)</f>
        <v/>
      </c>
      <c r="U258" s="20">
        <f>IF(OR(G258="",AND(I258&lt;&gt;"Transferencia",I258&lt;&gt;"Pago tarjeta")),"",IF(IFERROR(INDEX(ctaMon,MATCH(G258,ctaNom,0))&amp;"","DOP")=N258,C258,IF(N258="USD",C258*TasaUSD,C258/TasaUSD)))</f>
        <v/>
      </c>
      <c r="V258" s="20">
        <f>IF(I258="","",IF(IFERROR(INDEX(ctaLiq,MATCH(E258,ctaNom,0))="Sí",FALSE),IF(OR(I258="Gasto",I258="Transferencia",I258="Pago tarjeta"),-1,1)*O258,0)+IF(AND(U258&lt;&gt;"",IFERROR(INDEX(ctaLiq,MATCH(G258,ctaNom,0))="Sí",FALSE)),O258,0))</f>
        <v/>
      </c>
      <c r="W258" s="19">
        <f>IF(OR(F258="",I258=""),"",IF(COUNTIFS(F$6:F258,F258,I$6:I258,"?*")=1,MAX(W$5:W257)+1,""))</f>
        <v/>
      </c>
    </row>
    <row r="259">
      <c r="B259" s="15" t="n"/>
      <c r="C259" s="16" t="n"/>
      <c r="D259" s="17" t="n"/>
      <c r="E259" s="17" t="n"/>
      <c r="F259" s="17" t="n"/>
      <c r="G259" s="17" t="n"/>
      <c r="H259" s="18">
        <f>IF(AND(B259="",C259="",D259="",E259=""),"",IF(B259="","⚠ Falta fecha",IF(C259="","⚠ Falta monto",IF(D259="","⚠ Falta categoría",IF(ISNA(MATCH(D259,catNom,0)),"⚠ Categoría no existe",IF(E259="","⚠ Falta cuenta",IF(ISNA(MATCH(E259,ctaNom,0)),"⚠ Cuenta no existe",IF(AND(OR(I259="Transferencia",I259="Pago tarjeta"),G259=""),"⚠ Indica la cuenta «Hacia»",IF(AND(G259&lt;&gt;"",G259=E259),"⚠ «Hacia» igual a la cuenta",IF(AND(G259&lt;&gt;"",ISNA(MATCH(G259,ctaNom,0))),"⚠ «Hacia» no existe",IF(AND(I259="Pago tarjeta",IFERROR(INDEX(ctaTipo,MATCH(G259,ctaNom,0)),"")&lt;&gt;"Tarjeta de crédito"),"⚠ «Hacia» debe ser la tarjeta",IF(AND(I259="Trading",IFERROR(INDEX(ctaTipo,MATCH(E259,ctaNom,0)),"")&lt;&gt;"Cuenta de trading"),"⚠ Usa la cuenta de trading","✓"))))))))))))</f>
        <v/>
      </c>
      <c r="I259" s="19">
        <f>IF(OR(B259="",C259="",D259=""),"",IFERROR(INDEX(catTipo,MATCH(D259,catNom,0))&amp;"",""))</f>
        <v/>
      </c>
      <c r="J259" s="19">
        <f>IF(I259="","",IFERROR(INDEX(catGrupo,MATCH(D259,catNom,0))&amp;"",""))</f>
        <v/>
      </c>
      <c r="K259" s="19">
        <f>IF(I259="Gasto",IF(IFERROR(INDEX(catClas,MATCH(D259,catNom,0))&amp;"","")="","Variable",IFERROR(INDEX(catClas,MATCH(D259,catNom,0))&amp;"","")),"")</f>
        <v/>
      </c>
      <c r="L259" s="19">
        <f>IF(I259="","",IFERROR(INDEX(catAlim,MATCH(D259,catNom,0))&amp;"",""))</f>
        <v/>
      </c>
      <c r="M259" s="19">
        <f>IF(I259="","",IFERROR(INDEX(catComida,MATCH(D259,catNom,0))&amp;"",""))</f>
        <v/>
      </c>
      <c r="N259" s="19">
        <f>IF(I259="","",IFERROR(INDEX(ctaMon,MATCH(E259,ctaNom,0))&amp;"","DOP"))</f>
        <v/>
      </c>
      <c r="O259" s="20">
        <f>IF(I259="","",C259*IF(N259="USD",TasaUSD,1))</f>
        <v/>
      </c>
      <c r="P259" s="20">
        <f>IF(I259="","",IF(I259="Gasto",O259,0))</f>
        <v/>
      </c>
      <c r="Q259" s="20">
        <f>IF(I259="","",IF(I259="Ingreso",O259,0))</f>
        <v/>
      </c>
      <c r="R259" s="20">
        <f>IF(I259="","",IF(I259="Trading",O259,0))</f>
        <v/>
      </c>
      <c r="S259" s="19">
        <f>IF(I259="","",IF(AND(I259="Gasto",K259="Variable",J259&lt;&gt;"Trading",O259&gt;0,O259&lt;=Umbral),1,0))</f>
        <v/>
      </c>
      <c r="T259" s="20">
        <f>IF(OR(I259="",E259=""),"",IF(OR(I259="Gasto",I259="Transferencia",I259="Pago tarjeta"),-1,1)*C259)</f>
        <v/>
      </c>
      <c r="U259" s="20">
        <f>IF(OR(G259="",AND(I259&lt;&gt;"Transferencia",I259&lt;&gt;"Pago tarjeta")),"",IF(IFERROR(INDEX(ctaMon,MATCH(G259,ctaNom,0))&amp;"","DOP")=N259,C259,IF(N259="USD",C259*TasaUSD,C259/TasaUSD)))</f>
        <v/>
      </c>
      <c r="V259" s="20">
        <f>IF(I259="","",IF(IFERROR(INDEX(ctaLiq,MATCH(E259,ctaNom,0))="Sí",FALSE),IF(OR(I259="Gasto",I259="Transferencia",I259="Pago tarjeta"),-1,1)*O259,0)+IF(AND(U259&lt;&gt;"",IFERROR(INDEX(ctaLiq,MATCH(G259,ctaNom,0))="Sí",FALSE)),O259,0))</f>
        <v/>
      </c>
      <c r="W259" s="19">
        <f>IF(OR(F259="",I259=""),"",IF(COUNTIFS(F$6:F259,F259,I$6:I259,"?*")=1,MAX(W$5:W258)+1,""))</f>
        <v/>
      </c>
    </row>
    <row r="260">
      <c r="B260" s="15" t="n"/>
      <c r="C260" s="16" t="n"/>
      <c r="D260" s="17" t="n"/>
      <c r="E260" s="17" t="n"/>
      <c r="F260" s="17" t="n"/>
      <c r="G260" s="17" t="n"/>
      <c r="H260" s="18">
        <f>IF(AND(B260="",C260="",D260="",E260=""),"",IF(B260="","⚠ Falta fecha",IF(C260="","⚠ Falta monto",IF(D260="","⚠ Falta categoría",IF(ISNA(MATCH(D260,catNom,0)),"⚠ Categoría no existe",IF(E260="","⚠ Falta cuenta",IF(ISNA(MATCH(E260,ctaNom,0)),"⚠ Cuenta no existe",IF(AND(OR(I260="Transferencia",I260="Pago tarjeta"),G260=""),"⚠ Indica la cuenta «Hacia»",IF(AND(G260&lt;&gt;"",G260=E260),"⚠ «Hacia» igual a la cuenta",IF(AND(G260&lt;&gt;"",ISNA(MATCH(G260,ctaNom,0))),"⚠ «Hacia» no existe",IF(AND(I260="Pago tarjeta",IFERROR(INDEX(ctaTipo,MATCH(G260,ctaNom,0)),"")&lt;&gt;"Tarjeta de crédito"),"⚠ «Hacia» debe ser la tarjeta",IF(AND(I260="Trading",IFERROR(INDEX(ctaTipo,MATCH(E260,ctaNom,0)),"")&lt;&gt;"Cuenta de trading"),"⚠ Usa la cuenta de trading","✓"))))))))))))</f>
        <v/>
      </c>
      <c r="I260" s="19">
        <f>IF(OR(B260="",C260="",D260=""),"",IFERROR(INDEX(catTipo,MATCH(D260,catNom,0))&amp;"",""))</f>
        <v/>
      </c>
      <c r="J260" s="19">
        <f>IF(I260="","",IFERROR(INDEX(catGrupo,MATCH(D260,catNom,0))&amp;"",""))</f>
        <v/>
      </c>
      <c r="K260" s="19">
        <f>IF(I260="Gasto",IF(IFERROR(INDEX(catClas,MATCH(D260,catNom,0))&amp;"","")="","Variable",IFERROR(INDEX(catClas,MATCH(D260,catNom,0))&amp;"","")),"")</f>
        <v/>
      </c>
      <c r="L260" s="19">
        <f>IF(I260="","",IFERROR(INDEX(catAlim,MATCH(D260,catNom,0))&amp;"",""))</f>
        <v/>
      </c>
      <c r="M260" s="19">
        <f>IF(I260="","",IFERROR(INDEX(catComida,MATCH(D260,catNom,0))&amp;"",""))</f>
        <v/>
      </c>
      <c r="N260" s="19">
        <f>IF(I260="","",IFERROR(INDEX(ctaMon,MATCH(E260,ctaNom,0))&amp;"","DOP"))</f>
        <v/>
      </c>
      <c r="O260" s="20">
        <f>IF(I260="","",C260*IF(N260="USD",TasaUSD,1))</f>
        <v/>
      </c>
      <c r="P260" s="20">
        <f>IF(I260="","",IF(I260="Gasto",O260,0))</f>
        <v/>
      </c>
      <c r="Q260" s="20">
        <f>IF(I260="","",IF(I260="Ingreso",O260,0))</f>
        <v/>
      </c>
      <c r="R260" s="20">
        <f>IF(I260="","",IF(I260="Trading",O260,0))</f>
        <v/>
      </c>
      <c r="S260" s="19">
        <f>IF(I260="","",IF(AND(I260="Gasto",K260="Variable",J260&lt;&gt;"Trading",O260&gt;0,O260&lt;=Umbral),1,0))</f>
        <v/>
      </c>
      <c r="T260" s="20">
        <f>IF(OR(I260="",E260=""),"",IF(OR(I260="Gasto",I260="Transferencia",I260="Pago tarjeta"),-1,1)*C260)</f>
        <v/>
      </c>
      <c r="U260" s="20">
        <f>IF(OR(G260="",AND(I260&lt;&gt;"Transferencia",I260&lt;&gt;"Pago tarjeta")),"",IF(IFERROR(INDEX(ctaMon,MATCH(G260,ctaNom,0))&amp;"","DOP")=N260,C260,IF(N260="USD",C260*TasaUSD,C260/TasaUSD)))</f>
        <v/>
      </c>
      <c r="V260" s="20">
        <f>IF(I260="","",IF(IFERROR(INDEX(ctaLiq,MATCH(E260,ctaNom,0))="Sí",FALSE),IF(OR(I260="Gasto",I260="Transferencia",I260="Pago tarjeta"),-1,1)*O260,0)+IF(AND(U260&lt;&gt;"",IFERROR(INDEX(ctaLiq,MATCH(G260,ctaNom,0))="Sí",FALSE)),O260,0))</f>
        <v/>
      </c>
      <c r="W260" s="19">
        <f>IF(OR(F260="",I260=""),"",IF(COUNTIFS(F$6:F260,F260,I$6:I260,"?*")=1,MAX(W$5:W259)+1,""))</f>
        <v/>
      </c>
    </row>
    <row r="261">
      <c r="B261" s="15" t="n"/>
      <c r="C261" s="16" t="n"/>
      <c r="D261" s="17" t="n"/>
      <c r="E261" s="17" t="n"/>
      <c r="F261" s="17" t="n"/>
      <c r="G261" s="17" t="n"/>
      <c r="H261" s="18">
        <f>IF(AND(B261="",C261="",D261="",E261=""),"",IF(B261="","⚠ Falta fecha",IF(C261="","⚠ Falta monto",IF(D261="","⚠ Falta categoría",IF(ISNA(MATCH(D261,catNom,0)),"⚠ Categoría no existe",IF(E261="","⚠ Falta cuenta",IF(ISNA(MATCH(E261,ctaNom,0)),"⚠ Cuenta no existe",IF(AND(OR(I261="Transferencia",I261="Pago tarjeta"),G261=""),"⚠ Indica la cuenta «Hacia»",IF(AND(G261&lt;&gt;"",G261=E261),"⚠ «Hacia» igual a la cuenta",IF(AND(G261&lt;&gt;"",ISNA(MATCH(G261,ctaNom,0))),"⚠ «Hacia» no existe",IF(AND(I261="Pago tarjeta",IFERROR(INDEX(ctaTipo,MATCH(G261,ctaNom,0)),"")&lt;&gt;"Tarjeta de crédito"),"⚠ «Hacia» debe ser la tarjeta",IF(AND(I261="Trading",IFERROR(INDEX(ctaTipo,MATCH(E261,ctaNom,0)),"")&lt;&gt;"Cuenta de trading"),"⚠ Usa la cuenta de trading","✓"))))))))))))</f>
        <v/>
      </c>
      <c r="I261" s="19">
        <f>IF(OR(B261="",C261="",D261=""),"",IFERROR(INDEX(catTipo,MATCH(D261,catNom,0))&amp;"",""))</f>
        <v/>
      </c>
      <c r="J261" s="19">
        <f>IF(I261="","",IFERROR(INDEX(catGrupo,MATCH(D261,catNom,0))&amp;"",""))</f>
        <v/>
      </c>
      <c r="K261" s="19">
        <f>IF(I261="Gasto",IF(IFERROR(INDEX(catClas,MATCH(D261,catNom,0))&amp;"","")="","Variable",IFERROR(INDEX(catClas,MATCH(D261,catNom,0))&amp;"","")),"")</f>
        <v/>
      </c>
      <c r="L261" s="19">
        <f>IF(I261="","",IFERROR(INDEX(catAlim,MATCH(D261,catNom,0))&amp;"",""))</f>
        <v/>
      </c>
      <c r="M261" s="19">
        <f>IF(I261="","",IFERROR(INDEX(catComida,MATCH(D261,catNom,0))&amp;"",""))</f>
        <v/>
      </c>
      <c r="N261" s="19">
        <f>IF(I261="","",IFERROR(INDEX(ctaMon,MATCH(E261,ctaNom,0))&amp;"","DOP"))</f>
        <v/>
      </c>
      <c r="O261" s="20">
        <f>IF(I261="","",C261*IF(N261="USD",TasaUSD,1))</f>
        <v/>
      </c>
      <c r="P261" s="20">
        <f>IF(I261="","",IF(I261="Gasto",O261,0))</f>
        <v/>
      </c>
      <c r="Q261" s="20">
        <f>IF(I261="","",IF(I261="Ingreso",O261,0))</f>
        <v/>
      </c>
      <c r="R261" s="20">
        <f>IF(I261="","",IF(I261="Trading",O261,0))</f>
        <v/>
      </c>
      <c r="S261" s="19">
        <f>IF(I261="","",IF(AND(I261="Gasto",K261="Variable",J261&lt;&gt;"Trading",O261&gt;0,O261&lt;=Umbral),1,0))</f>
        <v/>
      </c>
      <c r="T261" s="20">
        <f>IF(OR(I261="",E261=""),"",IF(OR(I261="Gasto",I261="Transferencia",I261="Pago tarjeta"),-1,1)*C261)</f>
        <v/>
      </c>
      <c r="U261" s="20">
        <f>IF(OR(G261="",AND(I261&lt;&gt;"Transferencia",I261&lt;&gt;"Pago tarjeta")),"",IF(IFERROR(INDEX(ctaMon,MATCH(G261,ctaNom,0))&amp;"","DOP")=N261,C261,IF(N261="USD",C261*TasaUSD,C261/TasaUSD)))</f>
        <v/>
      </c>
      <c r="V261" s="20">
        <f>IF(I261="","",IF(IFERROR(INDEX(ctaLiq,MATCH(E261,ctaNom,0))="Sí",FALSE),IF(OR(I261="Gasto",I261="Transferencia",I261="Pago tarjeta"),-1,1)*O261,0)+IF(AND(U261&lt;&gt;"",IFERROR(INDEX(ctaLiq,MATCH(G261,ctaNom,0))="Sí",FALSE)),O261,0))</f>
        <v/>
      </c>
      <c r="W261" s="19">
        <f>IF(OR(F261="",I261=""),"",IF(COUNTIFS(F$6:F261,F261,I$6:I261,"?*")=1,MAX(W$5:W260)+1,""))</f>
        <v/>
      </c>
    </row>
    <row r="262">
      <c r="B262" s="15" t="n"/>
      <c r="C262" s="16" t="n"/>
      <c r="D262" s="17" t="n"/>
      <c r="E262" s="17" t="n"/>
      <c r="F262" s="17" t="n"/>
      <c r="G262" s="17" t="n"/>
      <c r="H262" s="18">
        <f>IF(AND(B262="",C262="",D262="",E262=""),"",IF(B262="","⚠ Falta fecha",IF(C262="","⚠ Falta monto",IF(D262="","⚠ Falta categoría",IF(ISNA(MATCH(D262,catNom,0)),"⚠ Categoría no existe",IF(E262="","⚠ Falta cuenta",IF(ISNA(MATCH(E262,ctaNom,0)),"⚠ Cuenta no existe",IF(AND(OR(I262="Transferencia",I262="Pago tarjeta"),G262=""),"⚠ Indica la cuenta «Hacia»",IF(AND(G262&lt;&gt;"",G262=E262),"⚠ «Hacia» igual a la cuenta",IF(AND(G262&lt;&gt;"",ISNA(MATCH(G262,ctaNom,0))),"⚠ «Hacia» no existe",IF(AND(I262="Pago tarjeta",IFERROR(INDEX(ctaTipo,MATCH(G262,ctaNom,0)),"")&lt;&gt;"Tarjeta de crédito"),"⚠ «Hacia» debe ser la tarjeta",IF(AND(I262="Trading",IFERROR(INDEX(ctaTipo,MATCH(E262,ctaNom,0)),"")&lt;&gt;"Cuenta de trading"),"⚠ Usa la cuenta de trading","✓"))))))))))))</f>
        <v/>
      </c>
      <c r="I262" s="19">
        <f>IF(OR(B262="",C262="",D262=""),"",IFERROR(INDEX(catTipo,MATCH(D262,catNom,0))&amp;"",""))</f>
        <v/>
      </c>
      <c r="J262" s="19">
        <f>IF(I262="","",IFERROR(INDEX(catGrupo,MATCH(D262,catNom,0))&amp;"",""))</f>
        <v/>
      </c>
      <c r="K262" s="19">
        <f>IF(I262="Gasto",IF(IFERROR(INDEX(catClas,MATCH(D262,catNom,0))&amp;"","")="","Variable",IFERROR(INDEX(catClas,MATCH(D262,catNom,0))&amp;"","")),"")</f>
        <v/>
      </c>
      <c r="L262" s="19">
        <f>IF(I262="","",IFERROR(INDEX(catAlim,MATCH(D262,catNom,0))&amp;"",""))</f>
        <v/>
      </c>
      <c r="M262" s="19">
        <f>IF(I262="","",IFERROR(INDEX(catComida,MATCH(D262,catNom,0))&amp;"",""))</f>
        <v/>
      </c>
      <c r="N262" s="19">
        <f>IF(I262="","",IFERROR(INDEX(ctaMon,MATCH(E262,ctaNom,0))&amp;"","DOP"))</f>
        <v/>
      </c>
      <c r="O262" s="20">
        <f>IF(I262="","",C262*IF(N262="USD",TasaUSD,1))</f>
        <v/>
      </c>
      <c r="P262" s="20">
        <f>IF(I262="","",IF(I262="Gasto",O262,0))</f>
        <v/>
      </c>
      <c r="Q262" s="20">
        <f>IF(I262="","",IF(I262="Ingreso",O262,0))</f>
        <v/>
      </c>
      <c r="R262" s="20">
        <f>IF(I262="","",IF(I262="Trading",O262,0))</f>
        <v/>
      </c>
      <c r="S262" s="19">
        <f>IF(I262="","",IF(AND(I262="Gasto",K262="Variable",J262&lt;&gt;"Trading",O262&gt;0,O262&lt;=Umbral),1,0))</f>
        <v/>
      </c>
      <c r="T262" s="20">
        <f>IF(OR(I262="",E262=""),"",IF(OR(I262="Gasto",I262="Transferencia",I262="Pago tarjeta"),-1,1)*C262)</f>
        <v/>
      </c>
      <c r="U262" s="20">
        <f>IF(OR(G262="",AND(I262&lt;&gt;"Transferencia",I262&lt;&gt;"Pago tarjeta")),"",IF(IFERROR(INDEX(ctaMon,MATCH(G262,ctaNom,0))&amp;"","DOP")=N262,C262,IF(N262="USD",C262*TasaUSD,C262/TasaUSD)))</f>
        <v/>
      </c>
      <c r="V262" s="20">
        <f>IF(I262="","",IF(IFERROR(INDEX(ctaLiq,MATCH(E262,ctaNom,0))="Sí",FALSE),IF(OR(I262="Gasto",I262="Transferencia",I262="Pago tarjeta"),-1,1)*O262,0)+IF(AND(U262&lt;&gt;"",IFERROR(INDEX(ctaLiq,MATCH(G262,ctaNom,0))="Sí",FALSE)),O262,0))</f>
        <v/>
      </c>
      <c r="W262" s="19">
        <f>IF(OR(F262="",I262=""),"",IF(COUNTIFS(F$6:F262,F262,I$6:I262,"?*")=1,MAX(W$5:W261)+1,""))</f>
        <v/>
      </c>
    </row>
    <row r="263">
      <c r="B263" s="15" t="n"/>
      <c r="C263" s="16" t="n"/>
      <c r="D263" s="17" t="n"/>
      <c r="E263" s="17" t="n"/>
      <c r="F263" s="17" t="n"/>
      <c r="G263" s="17" t="n"/>
      <c r="H263" s="18">
        <f>IF(AND(B263="",C263="",D263="",E263=""),"",IF(B263="","⚠ Falta fecha",IF(C263="","⚠ Falta monto",IF(D263="","⚠ Falta categoría",IF(ISNA(MATCH(D263,catNom,0)),"⚠ Categoría no existe",IF(E263="","⚠ Falta cuenta",IF(ISNA(MATCH(E263,ctaNom,0)),"⚠ Cuenta no existe",IF(AND(OR(I263="Transferencia",I263="Pago tarjeta"),G263=""),"⚠ Indica la cuenta «Hacia»",IF(AND(G263&lt;&gt;"",G263=E263),"⚠ «Hacia» igual a la cuenta",IF(AND(G263&lt;&gt;"",ISNA(MATCH(G263,ctaNom,0))),"⚠ «Hacia» no existe",IF(AND(I263="Pago tarjeta",IFERROR(INDEX(ctaTipo,MATCH(G263,ctaNom,0)),"")&lt;&gt;"Tarjeta de crédito"),"⚠ «Hacia» debe ser la tarjeta",IF(AND(I263="Trading",IFERROR(INDEX(ctaTipo,MATCH(E263,ctaNom,0)),"")&lt;&gt;"Cuenta de trading"),"⚠ Usa la cuenta de trading","✓"))))))))))))</f>
        <v/>
      </c>
      <c r="I263" s="19">
        <f>IF(OR(B263="",C263="",D263=""),"",IFERROR(INDEX(catTipo,MATCH(D263,catNom,0))&amp;"",""))</f>
        <v/>
      </c>
      <c r="J263" s="19">
        <f>IF(I263="","",IFERROR(INDEX(catGrupo,MATCH(D263,catNom,0))&amp;"",""))</f>
        <v/>
      </c>
      <c r="K263" s="19">
        <f>IF(I263="Gasto",IF(IFERROR(INDEX(catClas,MATCH(D263,catNom,0))&amp;"","")="","Variable",IFERROR(INDEX(catClas,MATCH(D263,catNom,0))&amp;"","")),"")</f>
        <v/>
      </c>
      <c r="L263" s="19">
        <f>IF(I263="","",IFERROR(INDEX(catAlim,MATCH(D263,catNom,0))&amp;"",""))</f>
        <v/>
      </c>
      <c r="M263" s="19">
        <f>IF(I263="","",IFERROR(INDEX(catComida,MATCH(D263,catNom,0))&amp;"",""))</f>
        <v/>
      </c>
      <c r="N263" s="19">
        <f>IF(I263="","",IFERROR(INDEX(ctaMon,MATCH(E263,ctaNom,0))&amp;"","DOP"))</f>
        <v/>
      </c>
      <c r="O263" s="20">
        <f>IF(I263="","",C263*IF(N263="USD",TasaUSD,1))</f>
        <v/>
      </c>
      <c r="P263" s="20">
        <f>IF(I263="","",IF(I263="Gasto",O263,0))</f>
        <v/>
      </c>
      <c r="Q263" s="20">
        <f>IF(I263="","",IF(I263="Ingreso",O263,0))</f>
        <v/>
      </c>
      <c r="R263" s="20">
        <f>IF(I263="","",IF(I263="Trading",O263,0))</f>
        <v/>
      </c>
      <c r="S263" s="19">
        <f>IF(I263="","",IF(AND(I263="Gasto",K263="Variable",J263&lt;&gt;"Trading",O263&gt;0,O263&lt;=Umbral),1,0))</f>
        <v/>
      </c>
      <c r="T263" s="20">
        <f>IF(OR(I263="",E263=""),"",IF(OR(I263="Gasto",I263="Transferencia",I263="Pago tarjeta"),-1,1)*C263)</f>
        <v/>
      </c>
      <c r="U263" s="20">
        <f>IF(OR(G263="",AND(I263&lt;&gt;"Transferencia",I263&lt;&gt;"Pago tarjeta")),"",IF(IFERROR(INDEX(ctaMon,MATCH(G263,ctaNom,0))&amp;"","DOP")=N263,C263,IF(N263="USD",C263*TasaUSD,C263/TasaUSD)))</f>
        <v/>
      </c>
      <c r="V263" s="20">
        <f>IF(I263="","",IF(IFERROR(INDEX(ctaLiq,MATCH(E263,ctaNom,0))="Sí",FALSE),IF(OR(I263="Gasto",I263="Transferencia",I263="Pago tarjeta"),-1,1)*O263,0)+IF(AND(U263&lt;&gt;"",IFERROR(INDEX(ctaLiq,MATCH(G263,ctaNom,0))="Sí",FALSE)),O263,0))</f>
        <v/>
      </c>
      <c r="W263" s="19">
        <f>IF(OR(F263="",I263=""),"",IF(COUNTIFS(F$6:F263,F263,I$6:I263,"?*")=1,MAX(W$5:W262)+1,""))</f>
        <v/>
      </c>
    </row>
    <row r="264">
      <c r="B264" s="15" t="n"/>
      <c r="C264" s="16" t="n"/>
      <c r="D264" s="17" t="n"/>
      <c r="E264" s="17" t="n"/>
      <c r="F264" s="17" t="n"/>
      <c r="G264" s="17" t="n"/>
      <c r="H264" s="18">
        <f>IF(AND(B264="",C264="",D264="",E264=""),"",IF(B264="","⚠ Falta fecha",IF(C264="","⚠ Falta monto",IF(D264="","⚠ Falta categoría",IF(ISNA(MATCH(D264,catNom,0)),"⚠ Categoría no existe",IF(E264="","⚠ Falta cuenta",IF(ISNA(MATCH(E264,ctaNom,0)),"⚠ Cuenta no existe",IF(AND(OR(I264="Transferencia",I264="Pago tarjeta"),G264=""),"⚠ Indica la cuenta «Hacia»",IF(AND(G264&lt;&gt;"",G264=E264),"⚠ «Hacia» igual a la cuenta",IF(AND(G264&lt;&gt;"",ISNA(MATCH(G264,ctaNom,0))),"⚠ «Hacia» no existe",IF(AND(I264="Pago tarjeta",IFERROR(INDEX(ctaTipo,MATCH(G264,ctaNom,0)),"")&lt;&gt;"Tarjeta de crédito"),"⚠ «Hacia» debe ser la tarjeta",IF(AND(I264="Trading",IFERROR(INDEX(ctaTipo,MATCH(E264,ctaNom,0)),"")&lt;&gt;"Cuenta de trading"),"⚠ Usa la cuenta de trading","✓"))))))))))))</f>
        <v/>
      </c>
      <c r="I264" s="19">
        <f>IF(OR(B264="",C264="",D264=""),"",IFERROR(INDEX(catTipo,MATCH(D264,catNom,0))&amp;"",""))</f>
        <v/>
      </c>
      <c r="J264" s="19">
        <f>IF(I264="","",IFERROR(INDEX(catGrupo,MATCH(D264,catNom,0))&amp;"",""))</f>
        <v/>
      </c>
      <c r="K264" s="19">
        <f>IF(I264="Gasto",IF(IFERROR(INDEX(catClas,MATCH(D264,catNom,0))&amp;"","")="","Variable",IFERROR(INDEX(catClas,MATCH(D264,catNom,0))&amp;"","")),"")</f>
        <v/>
      </c>
      <c r="L264" s="19">
        <f>IF(I264="","",IFERROR(INDEX(catAlim,MATCH(D264,catNom,0))&amp;"",""))</f>
        <v/>
      </c>
      <c r="M264" s="19">
        <f>IF(I264="","",IFERROR(INDEX(catComida,MATCH(D264,catNom,0))&amp;"",""))</f>
        <v/>
      </c>
      <c r="N264" s="19">
        <f>IF(I264="","",IFERROR(INDEX(ctaMon,MATCH(E264,ctaNom,0))&amp;"","DOP"))</f>
        <v/>
      </c>
      <c r="O264" s="20">
        <f>IF(I264="","",C264*IF(N264="USD",TasaUSD,1))</f>
        <v/>
      </c>
      <c r="P264" s="20">
        <f>IF(I264="","",IF(I264="Gasto",O264,0))</f>
        <v/>
      </c>
      <c r="Q264" s="20">
        <f>IF(I264="","",IF(I264="Ingreso",O264,0))</f>
        <v/>
      </c>
      <c r="R264" s="20">
        <f>IF(I264="","",IF(I264="Trading",O264,0))</f>
        <v/>
      </c>
      <c r="S264" s="19">
        <f>IF(I264="","",IF(AND(I264="Gasto",K264="Variable",J264&lt;&gt;"Trading",O264&gt;0,O264&lt;=Umbral),1,0))</f>
        <v/>
      </c>
      <c r="T264" s="20">
        <f>IF(OR(I264="",E264=""),"",IF(OR(I264="Gasto",I264="Transferencia",I264="Pago tarjeta"),-1,1)*C264)</f>
        <v/>
      </c>
      <c r="U264" s="20">
        <f>IF(OR(G264="",AND(I264&lt;&gt;"Transferencia",I264&lt;&gt;"Pago tarjeta")),"",IF(IFERROR(INDEX(ctaMon,MATCH(G264,ctaNom,0))&amp;"","DOP")=N264,C264,IF(N264="USD",C264*TasaUSD,C264/TasaUSD)))</f>
        <v/>
      </c>
      <c r="V264" s="20">
        <f>IF(I264="","",IF(IFERROR(INDEX(ctaLiq,MATCH(E264,ctaNom,0))="Sí",FALSE),IF(OR(I264="Gasto",I264="Transferencia",I264="Pago tarjeta"),-1,1)*O264,0)+IF(AND(U264&lt;&gt;"",IFERROR(INDEX(ctaLiq,MATCH(G264,ctaNom,0))="Sí",FALSE)),O264,0))</f>
        <v/>
      </c>
      <c r="W264" s="19">
        <f>IF(OR(F264="",I264=""),"",IF(COUNTIFS(F$6:F264,F264,I$6:I264,"?*")=1,MAX(W$5:W263)+1,""))</f>
        <v/>
      </c>
    </row>
    <row r="265">
      <c r="B265" s="15" t="n"/>
      <c r="C265" s="16" t="n"/>
      <c r="D265" s="17" t="n"/>
      <c r="E265" s="17" t="n"/>
      <c r="F265" s="17" t="n"/>
      <c r="G265" s="17" t="n"/>
      <c r="H265" s="18">
        <f>IF(AND(B265="",C265="",D265="",E265=""),"",IF(B265="","⚠ Falta fecha",IF(C265="","⚠ Falta monto",IF(D265="","⚠ Falta categoría",IF(ISNA(MATCH(D265,catNom,0)),"⚠ Categoría no existe",IF(E265="","⚠ Falta cuenta",IF(ISNA(MATCH(E265,ctaNom,0)),"⚠ Cuenta no existe",IF(AND(OR(I265="Transferencia",I265="Pago tarjeta"),G265=""),"⚠ Indica la cuenta «Hacia»",IF(AND(G265&lt;&gt;"",G265=E265),"⚠ «Hacia» igual a la cuenta",IF(AND(G265&lt;&gt;"",ISNA(MATCH(G265,ctaNom,0))),"⚠ «Hacia» no existe",IF(AND(I265="Pago tarjeta",IFERROR(INDEX(ctaTipo,MATCH(G265,ctaNom,0)),"")&lt;&gt;"Tarjeta de crédito"),"⚠ «Hacia» debe ser la tarjeta",IF(AND(I265="Trading",IFERROR(INDEX(ctaTipo,MATCH(E265,ctaNom,0)),"")&lt;&gt;"Cuenta de trading"),"⚠ Usa la cuenta de trading","✓"))))))))))))</f>
        <v/>
      </c>
      <c r="I265" s="19">
        <f>IF(OR(B265="",C265="",D265=""),"",IFERROR(INDEX(catTipo,MATCH(D265,catNom,0))&amp;"",""))</f>
        <v/>
      </c>
      <c r="J265" s="19">
        <f>IF(I265="","",IFERROR(INDEX(catGrupo,MATCH(D265,catNom,0))&amp;"",""))</f>
        <v/>
      </c>
      <c r="K265" s="19">
        <f>IF(I265="Gasto",IF(IFERROR(INDEX(catClas,MATCH(D265,catNom,0))&amp;"","")="","Variable",IFERROR(INDEX(catClas,MATCH(D265,catNom,0))&amp;"","")),"")</f>
        <v/>
      </c>
      <c r="L265" s="19">
        <f>IF(I265="","",IFERROR(INDEX(catAlim,MATCH(D265,catNom,0))&amp;"",""))</f>
        <v/>
      </c>
      <c r="M265" s="19">
        <f>IF(I265="","",IFERROR(INDEX(catComida,MATCH(D265,catNom,0))&amp;"",""))</f>
        <v/>
      </c>
      <c r="N265" s="19">
        <f>IF(I265="","",IFERROR(INDEX(ctaMon,MATCH(E265,ctaNom,0))&amp;"","DOP"))</f>
        <v/>
      </c>
      <c r="O265" s="20">
        <f>IF(I265="","",C265*IF(N265="USD",TasaUSD,1))</f>
        <v/>
      </c>
      <c r="P265" s="20">
        <f>IF(I265="","",IF(I265="Gasto",O265,0))</f>
        <v/>
      </c>
      <c r="Q265" s="20">
        <f>IF(I265="","",IF(I265="Ingreso",O265,0))</f>
        <v/>
      </c>
      <c r="R265" s="20">
        <f>IF(I265="","",IF(I265="Trading",O265,0))</f>
        <v/>
      </c>
      <c r="S265" s="19">
        <f>IF(I265="","",IF(AND(I265="Gasto",K265="Variable",J265&lt;&gt;"Trading",O265&gt;0,O265&lt;=Umbral),1,0))</f>
        <v/>
      </c>
      <c r="T265" s="20">
        <f>IF(OR(I265="",E265=""),"",IF(OR(I265="Gasto",I265="Transferencia",I265="Pago tarjeta"),-1,1)*C265)</f>
        <v/>
      </c>
      <c r="U265" s="20">
        <f>IF(OR(G265="",AND(I265&lt;&gt;"Transferencia",I265&lt;&gt;"Pago tarjeta")),"",IF(IFERROR(INDEX(ctaMon,MATCH(G265,ctaNom,0))&amp;"","DOP")=N265,C265,IF(N265="USD",C265*TasaUSD,C265/TasaUSD)))</f>
        <v/>
      </c>
      <c r="V265" s="20">
        <f>IF(I265="","",IF(IFERROR(INDEX(ctaLiq,MATCH(E265,ctaNom,0))="Sí",FALSE),IF(OR(I265="Gasto",I265="Transferencia",I265="Pago tarjeta"),-1,1)*O265,0)+IF(AND(U265&lt;&gt;"",IFERROR(INDEX(ctaLiq,MATCH(G265,ctaNom,0))="Sí",FALSE)),O265,0))</f>
        <v/>
      </c>
      <c r="W265" s="19">
        <f>IF(OR(F265="",I265=""),"",IF(COUNTIFS(F$6:F265,F265,I$6:I265,"?*")=1,MAX(W$5:W264)+1,""))</f>
        <v/>
      </c>
    </row>
    <row r="266">
      <c r="B266" s="15" t="n"/>
      <c r="C266" s="16" t="n"/>
      <c r="D266" s="17" t="n"/>
      <c r="E266" s="17" t="n"/>
      <c r="F266" s="17" t="n"/>
      <c r="G266" s="17" t="n"/>
      <c r="H266" s="18">
        <f>IF(AND(B266="",C266="",D266="",E266=""),"",IF(B266="","⚠ Falta fecha",IF(C266="","⚠ Falta monto",IF(D266="","⚠ Falta categoría",IF(ISNA(MATCH(D266,catNom,0)),"⚠ Categoría no existe",IF(E266="","⚠ Falta cuenta",IF(ISNA(MATCH(E266,ctaNom,0)),"⚠ Cuenta no existe",IF(AND(OR(I266="Transferencia",I266="Pago tarjeta"),G266=""),"⚠ Indica la cuenta «Hacia»",IF(AND(G266&lt;&gt;"",G266=E266),"⚠ «Hacia» igual a la cuenta",IF(AND(G266&lt;&gt;"",ISNA(MATCH(G266,ctaNom,0))),"⚠ «Hacia» no existe",IF(AND(I266="Pago tarjeta",IFERROR(INDEX(ctaTipo,MATCH(G266,ctaNom,0)),"")&lt;&gt;"Tarjeta de crédito"),"⚠ «Hacia» debe ser la tarjeta",IF(AND(I266="Trading",IFERROR(INDEX(ctaTipo,MATCH(E266,ctaNom,0)),"")&lt;&gt;"Cuenta de trading"),"⚠ Usa la cuenta de trading","✓"))))))))))))</f>
        <v/>
      </c>
      <c r="I266" s="19">
        <f>IF(OR(B266="",C266="",D266=""),"",IFERROR(INDEX(catTipo,MATCH(D266,catNom,0))&amp;"",""))</f>
        <v/>
      </c>
      <c r="J266" s="19">
        <f>IF(I266="","",IFERROR(INDEX(catGrupo,MATCH(D266,catNom,0))&amp;"",""))</f>
        <v/>
      </c>
      <c r="K266" s="19">
        <f>IF(I266="Gasto",IF(IFERROR(INDEX(catClas,MATCH(D266,catNom,0))&amp;"","")="","Variable",IFERROR(INDEX(catClas,MATCH(D266,catNom,0))&amp;"","")),"")</f>
        <v/>
      </c>
      <c r="L266" s="19">
        <f>IF(I266="","",IFERROR(INDEX(catAlim,MATCH(D266,catNom,0))&amp;"",""))</f>
        <v/>
      </c>
      <c r="M266" s="19">
        <f>IF(I266="","",IFERROR(INDEX(catComida,MATCH(D266,catNom,0))&amp;"",""))</f>
        <v/>
      </c>
      <c r="N266" s="19">
        <f>IF(I266="","",IFERROR(INDEX(ctaMon,MATCH(E266,ctaNom,0))&amp;"","DOP"))</f>
        <v/>
      </c>
      <c r="O266" s="20">
        <f>IF(I266="","",C266*IF(N266="USD",TasaUSD,1))</f>
        <v/>
      </c>
      <c r="P266" s="20">
        <f>IF(I266="","",IF(I266="Gasto",O266,0))</f>
        <v/>
      </c>
      <c r="Q266" s="20">
        <f>IF(I266="","",IF(I266="Ingreso",O266,0))</f>
        <v/>
      </c>
      <c r="R266" s="20">
        <f>IF(I266="","",IF(I266="Trading",O266,0))</f>
        <v/>
      </c>
      <c r="S266" s="19">
        <f>IF(I266="","",IF(AND(I266="Gasto",K266="Variable",J266&lt;&gt;"Trading",O266&gt;0,O266&lt;=Umbral),1,0))</f>
        <v/>
      </c>
      <c r="T266" s="20">
        <f>IF(OR(I266="",E266=""),"",IF(OR(I266="Gasto",I266="Transferencia",I266="Pago tarjeta"),-1,1)*C266)</f>
        <v/>
      </c>
      <c r="U266" s="20">
        <f>IF(OR(G266="",AND(I266&lt;&gt;"Transferencia",I266&lt;&gt;"Pago tarjeta")),"",IF(IFERROR(INDEX(ctaMon,MATCH(G266,ctaNom,0))&amp;"","DOP")=N266,C266,IF(N266="USD",C266*TasaUSD,C266/TasaUSD)))</f>
        <v/>
      </c>
      <c r="V266" s="20">
        <f>IF(I266="","",IF(IFERROR(INDEX(ctaLiq,MATCH(E266,ctaNom,0))="Sí",FALSE),IF(OR(I266="Gasto",I266="Transferencia",I266="Pago tarjeta"),-1,1)*O266,0)+IF(AND(U266&lt;&gt;"",IFERROR(INDEX(ctaLiq,MATCH(G266,ctaNom,0))="Sí",FALSE)),O266,0))</f>
        <v/>
      </c>
      <c r="W266" s="19">
        <f>IF(OR(F266="",I266=""),"",IF(COUNTIFS(F$6:F266,F266,I$6:I266,"?*")=1,MAX(W$5:W265)+1,""))</f>
        <v/>
      </c>
    </row>
    <row r="267">
      <c r="B267" s="15" t="n"/>
      <c r="C267" s="16" t="n"/>
      <c r="D267" s="17" t="n"/>
      <c r="E267" s="17" t="n"/>
      <c r="F267" s="17" t="n"/>
      <c r="G267" s="17" t="n"/>
      <c r="H267" s="18">
        <f>IF(AND(B267="",C267="",D267="",E267=""),"",IF(B267="","⚠ Falta fecha",IF(C267="","⚠ Falta monto",IF(D267="","⚠ Falta categoría",IF(ISNA(MATCH(D267,catNom,0)),"⚠ Categoría no existe",IF(E267="","⚠ Falta cuenta",IF(ISNA(MATCH(E267,ctaNom,0)),"⚠ Cuenta no existe",IF(AND(OR(I267="Transferencia",I267="Pago tarjeta"),G267=""),"⚠ Indica la cuenta «Hacia»",IF(AND(G267&lt;&gt;"",G267=E267),"⚠ «Hacia» igual a la cuenta",IF(AND(G267&lt;&gt;"",ISNA(MATCH(G267,ctaNom,0))),"⚠ «Hacia» no existe",IF(AND(I267="Pago tarjeta",IFERROR(INDEX(ctaTipo,MATCH(G267,ctaNom,0)),"")&lt;&gt;"Tarjeta de crédito"),"⚠ «Hacia» debe ser la tarjeta",IF(AND(I267="Trading",IFERROR(INDEX(ctaTipo,MATCH(E267,ctaNom,0)),"")&lt;&gt;"Cuenta de trading"),"⚠ Usa la cuenta de trading","✓"))))))))))))</f>
        <v/>
      </c>
      <c r="I267" s="19">
        <f>IF(OR(B267="",C267="",D267=""),"",IFERROR(INDEX(catTipo,MATCH(D267,catNom,0))&amp;"",""))</f>
        <v/>
      </c>
      <c r="J267" s="19">
        <f>IF(I267="","",IFERROR(INDEX(catGrupo,MATCH(D267,catNom,0))&amp;"",""))</f>
        <v/>
      </c>
      <c r="K267" s="19">
        <f>IF(I267="Gasto",IF(IFERROR(INDEX(catClas,MATCH(D267,catNom,0))&amp;"","")="","Variable",IFERROR(INDEX(catClas,MATCH(D267,catNom,0))&amp;"","")),"")</f>
        <v/>
      </c>
      <c r="L267" s="19">
        <f>IF(I267="","",IFERROR(INDEX(catAlim,MATCH(D267,catNom,0))&amp;"",""))</f>
        <v/>
      </c>
      <c r="M267" s="19">
        <f>IF(I267="","",IFERROR(INDEX(catComida,MATCH(D267,catNom,0))&amp;"",""))</f>
        <v/>
      </c>
      <c r="N267" s="19">
        <f>IF(I267="","",IFERROR(INDEX(ctaMon,MATCH(E267,ctaNom,0))&amp;"","DOP"))</f>
        <v/>
      </c>
      <c r="O267" s="20">
        <f>IF(I267="","",C267*IF(N267="USD",TasaUSD,1))</f>
        <v/>
      </c>
      <c r="P267" s="20">
        <f>IF(I267="","",IF(I267="Gasto",O267,0))</f>
        <v/>
      </c>
      <c r="Q267" s="20">
        <f>IF(I267="","",IF(I267="Ingreso",O267,0))</f>
        <v/>
      </c>
      <c r="R267" s="20">
        <f>IF(I267="","",IF(I267="Trading",O267,0))</f>
        <v/>
      </c>
      <c r="S267" s="19">
        <f>IF(I267="","",IF(AND(I267="Gasto",K267="Variable",J267&lt;&gt;"Trading",O267&gt;0,O267&lt;=Umbral),1,0))</f>
        <v/>
      </c>
      <c r="T267" s="20">
        <f>IF(OR(I267="",E267=""),"",IF(OR(I267="Gasto",I267="Transferencia",I267="Pago tarjeta"),-1,1)*C267)</f>
        <v/>
      </c>
      <c r="U267" s="20">
        <f>IF(OR(G267="",AND(I267&lt;&gt;"Transferencia",I267&lt;&gt;"Pago tarjeta")),"",IF(IFERROR(INDEX(ctaMon,MATCH(G267,ctaNom,0))&amp;"","DOP")=N267,C267,IF(N267="USD",C267*TasaUSD,C267/TasaUSD)))</f>
        <v/>
      </c>
      <c r="V267" s="20">
        <f>IF(I267="","",IF(IFERROR(INDEX(ctaLiq,MATCH(E267,ctaNom,0))="Sí",FALSE),IF(OR(I267="Gasto",I267="Transferencia",I267="Pago tarjeta"),-1,1)*O267,0)+IF(AND(U267&lt;&gt;"",IFERROR(INDEX(ctaLiq,MATCH(G267,ctaNom,0))="Sí",FALSE)),O267,0))</f>
        <v/>
      </c>
      <c r="W267" s="19">
        <f>IF(OR(F267="",I267=""),"",IF(COUNTIFS(F$6:F267,F267,I$6:I267,"?*")=1,MAX(W$5:W266)+1,""))</f>
        <v/>
      </c>
    </row>
    <row r="268">
      <c r="B268" s="15" t="n"/>
      <c r="C268" s="16" t="n"/>
      <c r="D268" s="17" t="n"/>
      <c r="E268" s="17" t="n"/>
      <c r="F268" s="17" t="n"/>
      <c r="G268" s="17" t="n"/>
      <c r="H268" s="18">
        <f>IF(AND(B268="",C268="",D268="",E268=""),"",IF(B268="","⚠ Falta fecha",IF(C268="","⚠ Falta monto",IF(D268="","⚠ Falta categoría",IF(ISNA(MATCH(D268,catNom,0)),"⚠ Categoría no existe",IF(E268="","⚠ Falta cuenta",IF(ISNA(MATCH(E268,ctaNom,0)),"⚠ Cuenta no existe",IF(AND(OR(I268="Transferencia",I268="Pago tarjeta"),G268=""),"⚠ Indica la cuenta «Hacia»",IF(AND(G268&lt;&gt;"",G268=E268),"⚠ «Hacia» igual a la cuenta",IF(AND(G268&lt;&gt;"",ISNA(MATCH(G268,ctaNom,0))),"⚠ «Hacia» no existe",IF(AND(I268="Pago tarjeta",IFERROR(INDEX(ctaTipo,MATCH(G268,ctaNom,0)),"")&lt;&gt;"Tarjeta de crédito"),"⚠ «Hacia» debe ser la tarjeta",IF(AND(I268="Trading",IFERROR(INDEX(ctaTipo,MATCH(E268,ctaNom,0)),"")&lt;&gt;"Cuenta de trading"),"⚠ Usa la cuenta de trading","✓"))))))))))))</f>
        <v/>
      </c>
      <c r="I268" s="19">
        <f>IF(OR(B268="",C268="",D268=""),"",IFERROR(INDEX(catTipo,MATCH(D268,catNom,0))&amp;"",""))</f>
        <v/>
      </c>
      <c r="J268" s="19">
        <f>IF(I268="","",IFERROR(INDEX(catGrupo,MATCH(D268,catNom,0))&amp;"",""))</f>
        <v/>
      </c>
      <c r="K268" s="19">
        <f>IF(I268="Gasto",IF(IFERROR(INDEX(catClas,MATCH(D268,catNom,0))&amp;"","")="","Variable",IFERROR(INDEX(catClas,MATCH(D268,catNom,0))&amp;"","")),"")</f>
        <v/>
      </c>
      <c r="L268" s="19">
        <f>IF(I268="","",IFERROR(INDEX(catAlim,MATCH(D268,catNom,0))&amp;"",""))</f>
        <v/>
      </c>
      <c r="M268" s="19">
        <f>IF(I268="","",IFERROR(INDEX(catComida,MATCH(D268,catNom,0))&amp;"",""))</f>
        <v/>
      </c>
      <c r="N268" s="19">
        <f>IF(I268="","",IFERROR(INDEX(ctaMon,MATCH(E268,ctaNom,0))&amp;"","DOP"))</f>
        <v/>
      </c>
      <c r="O268" s="20">
        <f>IF(I268="","",C268*IF(N268="USD",TasaUSD,1))</f>
        <v/>
      </c>
      <c r="P268" s="20">
        <f>IF(I268="","",IF(I268="Gasto",O268,0))</f>
        <v/>
      </c>
      <c r="Q268" s="20">
        <f>IF(I268="","",IF(I268="Ingreso",O268,0))</f>
        <v/>
      </c>
      <c r="R268" s="20">
        <f>IF(I268="","",IF(I268="Trading",O268,0))</f>
        <v/>
      </c>
      <c r="S268" s="19">
        <f>IF(I268="","",IF(AND(I268="Gasto",K268="Variable",J268&lt;&gt;"Trading",O268&gt;0,O268&lt;=Umbral),1,0))</f>
        <v/>
      </c>
      <c r="T268" s="20">
        <f>IF(OR(I268="",E268=""),"",IF(OR(I268="Gasto",I268="Transferencia",I268="Pago tarjeta"),-1,1)*C268)</f>
        <v/>
      </c>
      <c r="U268" s="20">
        <f>IF(OR(G268="",AND(I268&lt;&gt;"Transferencia",I268&lt;&gt;"Pago tarjeta")),"",IF(IFERROR(INDEX(ctaMon,MATCH(G268,ctaNom,0))&amp;"","DOP")=N268,C268,IF(N268="USD",C268*TasaUSD,C268/TasaUSD)))</f>
        <v/>
      </c>
      <c r="V268" s="20">
        <f>IF(I268="","",IF(IFERROR(INDEX(ctaLiq,MATCH(E268,ctaNom,0))="Sí",FALSE),IF(OR(I268="Gasto",I268="Transferencia",I268="Pago tarjeta"),-1,1)*O268,0)+IF(AND(U268&lt;&gt;"",IFERROR(INDEX(ctaLiq,MATCH(G268,ctaNom,0))="Sí",FALSE)),O268,0))</f>
        <v/>
      </c>
      <c r="W268" s="19">
        <f>IF(OR(F268="",I268=""),"",IF(COUNTIFS(F$6:F268,F268,I$6:I268,"?*")=1,MAX(W$5:W267)+1,""))</f>
        <v/>
      </c>
    </row>
    <row r="269">
      <c r="B269" s="15" t="n"/>
      <c r="C269" s="16" t="n"/>
      <c r="D269" s="17" t="n"/>
      <c r="E269" s="17" t="n"/>
      <c r="F269" s="17" t="n"/>
      <c r="G269" s="17" t="n"/>
      <c r="H269" s="18">
        <f>IF(AND(B269="",C269="",D269="",E269=""),"",IF(B269="","⚠ Falta fecha",IF(C269="","⚠ Falta monto",IF(D269="","⚠ Falta categoría",IF(ISNA(MATCH(D269,catNom,0)),"⚠ Categoría no existe",IF(E269="","⚠ Falta cuenta",IF(ISNA(MATCH(E269,ctaNom,0)),"⚠ Cuenta no existe",IF(AND(OR(I269="Transferencia",I269="Pago tarjeta"),G269=""),"⚠ Indica la cuenta «Hacia»",IF(AND(G269&lt;&gt;"",G269=E269),"⚠ «Hacia» igual a la cuenta",IF(AND(G269&lt;&gt;"",ISNA(MATCH(G269,ctaNom,0))),"⚠ «Hacia» no existe",IF(AND(I269="Pago tarjeta",IFERROR(INDEX(ctaTipo,MATCH(G269,ctaNom,0)),"")&lt;&gt;"Tarjeta de crédito"),"⚠ «Hacia» debe ser la tarjeta",IF(AND(I269="Trading",IFERROR(INDEX(ctaTipo,MATCH(E269,ctaNom,0)),"")&lt;&gt;"Cuenta de trading"),"⚠ Usa la cuenta de trading","✓"))))))))))))</f>
        <v/>
      </c>
      <c r="I269" s="19">
        <f>IF(OR(B269="",C269="",D269=""),"",IFERROR(INDEX(catTipo,MATCH(D269,catNom,0))&amp;"",""))</f>
        <v/>
      </c>
      <c r="J269" s="19">
        <f>IF(I269="","",IFERROR(INDEX(catGrupo,MATCH(D269,catNom,0))&amp;"",""))</f>
        <v/>
      </c>
      <c r="K269" s="19">
        <f>IF(I269="Gasto",IF(IFERROR(INDEX(catClas,MATCH(D269,catNom,0))&amp;"","")="","Variable",IFERROR(INDEX(catClas,MATCH(D269,catNom,0))&amp;"","")),"")</f>
        <v/>
      </c>
      <c r="L269" s="19">
        <f>IF(I269="","",IFERROR(INDEX(catAlim,MATCH(D269,catNom,0))&amp;"",""))</f>
        <v/>
      </c>
      <c r="M269" s="19">
        <f>IF(I269="","",IFERROR(INDEX(catComida,MATCH(D269,catNom,0))&amp;"",""))</f>
        <v/>
      </c>
      <c r="N269" s="19">
        <f>IF(I269="","",IFERROR(INDEX(ctaMon,MATCH(E269,ctaNom,0))&amp;"","DOP"))</f>
        <v/>
      </c>
      <c r="O269" s="20">
        <f>IF(I269="","",C269*IF(N269="USD",TasaUSD,1))</f>
        <v/>
      </c>
      <c r="P269" s="20">
        <f>IF(I269="","",IF(I269="Gasto",O269,0))</f>
        <v/>
      </c>
      <c r="Q269" s="20">
        <f>IF(I269="","",IF(I269="Ingreso",O269,0))</f>
        <v/>
      </c>
      <c r="R269" s="20">
        <f>IF(I269="","",IF(I269="Trading",O269,0))</f>
        <v/>
      </c>
      <c r="S269" s="19">
        <f>IF(I269="","",IF(AND(I269="Gasto",K269="Variable",J269&lt;&gt;"Trading",O269&gt;0,O269&lt;=Umbral),1,0))</f>
        <v/>
      </c>
      <c r="T269" s="20">
        <f>IF(OR(I269="",E269=""),"",IF(OR(I269="Gasto",I269="Transferencia",I269="Pago tarjeta"),-1,1)*C269)</f>
        <v/>
      </c>
      <c r="U269" s="20">
        <f>IF(OR(G269="",AND(I269&lt;&gt;"Transferencia",I269&lt;&gt;"Pago tarjeta")),"",IF(IFERROR(INDEX(ctaMon,MATCH(G269,ctaNom,0))&amp;"","DOP")=N269,C269,IF(N269="USD",C269*TasaUSD,C269/TasaUSD)))</f>
        <v/>
      </c>
      <c r="V269" s="20">
        <f>IF(I269="","",IF(IFERROR(INDEX(ctaLiq,MATCH(E269,ctaNom,0))="Sí",FALSE),IF(OR(I269="Gasto",I269="Transferencia",I269="Pago tarjeta"),-1,1)*O269,0)+IF(AND(U269&lt;&gt;"",IFERROR(INDEX(ctaLiq,MATCH(G269,ctaNom,0))="Sí",FALSE)),O269,0))</f>
        <v/>
      </c>
      <c r="W269" s="19">
        <f>IF(OR(F269="",I269=""),"",IF(COUNTIFS(F$6:F269,F269,I$6:I269,"?*")=1,MAX(W$5:W268)+1,""))</f>
        <v/>
      </c>
    </row>
    <row r="270">
      <c r="B270" s="15" t="n"/>
      <c r="C270" s="16" t="n"/>
      <c r="D270" s="17" t="n"/>
      <c r="E270" s="17" t="n"/>
      <c r="F270" s="17" t="n"/>
      <c r="G270" s="17" t="n"/>
      <c r="H270" s="18">
        <f>IF(AND(B270="",C270="",D270="",E270=""),"",IF(B270="","⚠ Falta fecha",IF(C270="","⚠ Falta monto",IF(D270="","⚠ Falta categoría",IF(ISNA(MATCH(D270,catNom,0)),"⚠ Categoría no existe",IF(E270="","⚠ Falta cuenta",IF(ISNA(MATCH(E270,ctaNom,0)),"⚠ Cuenta no existe",IF(AND(OR(I270="Transferencia",I270="Pago tarjeta"),G270=""),"⚠ Indica la cuenta «Hacia»",IF(AND(G270&lt;&gt;"",G270=E270),"⚠ «Hacia» igual a la cuenta",IF(AND(G270&lt;&gt;"",ISNA(MATCH(G270,ctaNom,0))),"⚠ «Hacia» no existe",IF(AND(I270="Pago tarjeta",IFERROR(INDEX(ctaTipo,MATCH(G270,ctaNom,0)),"")&lt;&gt;"Tarjeta de crédito"),"⚠ «Hacia» debe ser la tarjeta",IF(AND(I270="Trading",IFERROR(INDEX(ctaTipo,MATCH(E270,ctaNom,0)),"")&lt;&gt;"Cuenta de trading"),"⚠ Usa la cuenta de trading","✓"))))))))))))</f>
        <v/>
      </c>
      <c r="I270" s="19">
        <f>IF(OR(B270="",C270="",D270=""),"",IFERROR(INDEX(catTipo,MATCH(D270,catNom,0))&amp;"",""))</f>
        <v/>
      </c>
      <c r="J270" s="19">
        <f>IF(I270="","",IFERROR(INDEX(catGrupo,MATCH(D270,catNom,0))&amp;"",""))</f>
        <v/>
      </c>
      <c r="K270" s="19">
        <f>IF(I270="Gasto",IF(IFERROR(INDEX(catClas,MATCH(D270,catNom,0))&amp;"","")="","Variable",IFERROR(INDEX(catClas,MATCH(D270,catNom,0))&amp;"","")),"")</f>
        <v/>
      </c>
      <c r="L270" s="19">
        <f>IF(I270="","",IFERROR(INDEX(catAlim,MATCH(D270,catNom,0))&amp;"",""))</f>
        <v/>
      </c>
      <c r="M270" s="19">
        <f>IF(I270="","",IFERROR(INDEX(catComida,MATCH(D270,catNom,0))&amp;"",""))</f>
        <v/>
      </c>
      <c r="N270" s="19">
        <f>IF(I270="","",IFERROR(INDEX(ctaMon,MATCH(E270,ctaNom,0))&amp;"","DOP"))</f>
        <v/>
      </c>
      <c r="O270" s="20">
        <f>IF(I270="","",C270*IF(N270="USD",TasaUSD,1))</f>
        <v/>
      </c>
      <c r="P270" s="20">
        <f>IF(I270="","",IF(I270="Gasto",O270,0))</f>
        <v/>
      </c>
      <c r="Q270" s="20">
        <f>IF(I270="","",IF(I270="Ingreso",O270,0))</f>
        <v/>
      </c>
      <c r="R270" s="20">
        <f>IF(I270="","",IF(I270="Trading",O270,0))</f>
        <v/>
      </c>
      <c r="S270" s="19">
        <f>IF(I270="","",IF(AND(I270="Gasto",K270="Variable",J270&lt;&gt;"Trading",O270&gt;0,O270&lt;=Umbral),1,0))</f>
        <v/>
      </c>
      <c r="T270" s="20">
        <f>IF(OR(I270="",E270=""),"",IF(OR(I270="Gasto",I270="Transferencia",I270="Pago tarjeta"),-1,1)*C270)</f>
        <v/>
      </c>
      <c r="U270" s="20">
        <f>IF(OR(G270="",AND(I270&lt;&gt;"Transferencia",I270&lt;&gt;"Pago tarjeta")),"",IF(IFERROR(INDEX(ctaMon,MATCH(G270,ctaNom,0))&amp;"","DOP")=N270,C270,IF(N270="USD",C270*TasaUSD,C270/TasaUSD)))</f>
        <v/>
      </c>
      <c r="V270" s="20">
        <f>IF(I270="","",IF(IFERROR(INDEX(ctaLiq,MATCH(E270,ctaNom,0))="Sí",FALSE),IF(OR(I270="Gasto",I270="Transferencia",I270="Pago tarjeta"),-1,1)*O270,0)+IF(AND(U270&lt;&gt;"",IFERROR(INDEX(ctaLiq,MATCH(G270,ctaNom,0))="Sí",FALSE)),O270,0))</f>
        <v/>
      </c>
      <c r="W270" s="19">
        <f>IF(OR(F270="",I270=""),"",IF(COUNTIFS(F$6:F270,F270,I$6:I270,"?*")=1,MAX(W$5:W269)+1,""))</f>
        <v/>
      </c>
    </row>
    <row r="271">
      <c r="B271" s="15" t="n"/>
      <c r="C271" s="16" t="n"/>
      <c r="D271" s="17" t="n"/>
      <c r="E271" s="17" t="n"/>
      <c r="F271" s="17" t="n"/>
      <c r="G271" s="17" t="n"/>
      <c r="H271" s="18">
        <f>IF(AND(B271="",C271="",D271="",E271=""),"",IF(B271="","⚠ Falta fecha",IF(C271="","⚠ Falta monto",IF(D271="","⚠ Falta categoría",IF(ISNA(MATCH(D271,catNom,0)),"⚠ Categoría no existe",IF(E271="","⚠ Falta cuenta",IF(ISNA(MATCH(E271,ctaNom,0)),"⚠ Cuenta no existe",IF(AND(OR(I271="Transferencia",I271="Pago tarjeta"),G271=""),"⚠ Indica la cuenta «Hacia»",IF(AND(G271&lt;&gt;"",G271=E271),"⚠ «Hacia» igual a la cuenta",IF(AND(G271&lt;&gt;"",ISNA(MATCH(G271,ctaNom,0))),"⚠ «Hacia» no existe",IF(AND(I271="Pago tarjeta",IFERROR(INDEX(ctaTipo,MATCH(G271,ctaNom,0)),"")&lt;&gt;"Tarjeta de crédito"),"⚠ «Hacia» debe ser la tarjeta",IF(AND(I271="Trading",IFERROR(INDEX(ctaTipo,MATCH(E271,ctaNom,0)),"")&lt;&gt;"Cuenta de trading"),"⚠ Usa la cuenta de trading","✓"))))))))))))</f>
        <v/>
      </c>
      <c r="I271" s="19">
        <f>IF(OR(B271="",C271="",D271=""),"",IFERROR(INDEX(catTipo,MATCH(D271,catNom,0))&amp;"",""))</f>
        <v/>
      </c>
      <c r="J271" s="19">
        <f>IF(I271="","",IFERROR(INDEX(catGrupo,MATCH(D271,catNom,0))&amp;"",""))</f>
        <v/>
      </c>
      <c r="K271" s="19">
        <f>IF(I271="Gasto",IF(IFERROR(INDEX(catClas,MATCH(D271,catNom,0))&amp;"","")="","Variable",IFERROR(INDEX(catClas,MATCH(D271,catNom,0))&amp;"","")),"")</f>
        <v/>
      </c>
      <c r="L271" s="19">
        <f>IF(I271="","",IFERROR(INDEX(catAlim,MATCH(D271,catNom,0))&amp;"",""))</f>
        <v/>
      </c>
      <c r="M271" s="19">
        <f>IF(I271="","",IFERROR(INDEX(catComida,MATCH(D271,catNom,0))&amp;"",""))</f>
        <v/>
      </c>
      <c r="N271" s="19">
        <f>IF(I271="","",IFERROR(INDEX(ctaMon,MATCH(E271,ctaNom,0))&amp;"","DOP"))</f>
        <v/>
      </c>
      <c r="O271" s="20">
        <f>IF(I271="","",C271*IF(N271="USD",TasaUSD,1))</f>
        <v/>
      </c>
      <c r="P271" s="20">
        <f>IF(I271="","",IF(I271="Gasto",O271,0))</f>
        <v/>
      </c>
      <c r="Q271" s="20">
        <f>IF(I271="","",IF(I271="Ingreso",O271,0))</f>
        <v/>
      </c>
      <c r="R271" s="20">
        <f>IF(I271="","",IF(I271="Trading",O271,0))</f>
        <v/>
      </c>
      <c r="S271" s="19">
        <f>IF(I271="","",IF(AND(I271="Gasto",K271="Variable",J271&lt;&gt;"Trading",O271&gt;0,O271&lt;=Umbral),1,0))</f>
        <v/>
      </c>
      <c r="T271" s="20">
        <f>IF(OR(I271="",E271=""),"",IF(OR(I271="Gasto",I271="Transferencia",I271="Pago tarjeta"),-1,1)*C271)</f>
        <v/>
      </c>
      <c r="U271" s="20">
        <f>IF(OR(G271="",AND(I271&lt;&gt;"Transferencia",I271&lt;&gt;"Pago tarjeta")),"",IF(IFERROR(INDEX(ctaMon,MATCH(G271,ctaNom,0))&amp;"","DOP")=N271,C271,IF(N271="USD",C271*TasaUSD,C271/TasaUSD)))</f>
        <v/>
      </c>
      <c r="V271" s="20">
        <f>IF(I271="","",IF(IFERROR(INDEX(ctaLiq,MATCH(E271,ctaNom,0))="Sí",FALSE),IF(OR(I271="Gasto",I271="Transferencia",I271="Pago tarjeta"),-1,1)*O271,0)+IF(AND(U271&lt;&gt;"",IFERROR(INDEX(ctaLiq,MATCH(G271,ctaNom,0))="Sí",FALSE)),O271,0))</f>
        <v/>
      </c>
      <c r="W271" s="19">
        <f>IF(OR(F271="",I271=""),"",IF(COUNTIFS(F$6:F271,F271,I$6:I271,"?*")=1,MAX(W$5:W270)+1,""))</f>
        <v/>
      </c>
    </row>
    <row r="272">
      <c r="B272" s="15" t="n"/>
      <c r="C272" s="16" t="n"/>
      <c r="D272" s="17" t="n"/>
      <c r="E272" s="17" t="n"/>
      <c r="F272" s="17" t="n"/>
      <c r="G272" s="17" t="n"/>
      <c r="H272" s="18">
        <f>IF(AND(B272="",C272="",D272="",E272=""),"",IF(B272="","⚠ Falta fecha",IF(C272="","⚠ Falta monto",IF(D272="","⚠ Falta categoría",IF(ISNA(MATCH(D272,catNom,0)),"⚠ Categoría no existe",IF(E272="","⚠ Falta cuenta",IF(ISNA(MATCH(E272,ctaNom,0)),"⚠ Cuenta no existe",IF(AND(OR(I272="Transferencia",I272="Pago tarjeta"),G272=""),"⚠ Indica la cuenta «Hacia»",IF(AND(G272&lt;&gt;"",G272=E272),"⚠ «Hacia» igual a la cuenta",IF(AND(G272&lt;&gt;"",ISNA(MATCH(G272,ctaNom,0))),"⚠ «Hacia» no existe",IF(AND(I272="Pago tarjeta",IFERROR(INDEX(ctaTipo,MATCH(G272,ctaNom,0)),"")&lt;&gt;"Tarjeta de crédito"),"⚠ «Hacia» debe ser la tarjeta",IF(AND(I272="Trading",IFERROR(INDEX(ctaTipo,MATCH(E272,ctaNom,0)),"")&lt;&gt;"Cuenta de trading"),"⚠ Usa la cuenta de trading","✓"))))))))))))</f>
        <v/>
      </c>
      <c r="I272" s="19">
        <f>IF(OR(B272="",C272="",D272=""),"",IFERROR(INDEX(catTipo,MATCH(D272,catNom,0))&amp;"",""))</f>
        <v/>
      </c>
      <c r="J272" s="19">
        <f>IF(I272="","",IFERROR(INDEX(catGrupo,MATCH(D272,catNom,0))&amp;"",""))</f>
        <v/>
      </c>
      <c r="K272" s="19">
        <f>IF(I272="Gasto",IF(IFERROR(INDEX(catClas,MATCH(D272,catNom,0))&amp;"","")="","Variable",IFERROR(INDEX(catClas,MATCH(D272,catNom,0))&amp;"","")),"")</f>
        <v/>
      </c>
      <c r="L272" s="19">
        <f>IF(I272="","",IFERROR(INDEX(catAlim,MATCH(D272,catNom,0))&amp;"",""))</f>
        <v/>
      </c>
      <c r="M272" s="19">
        <f>IF(I272="","",IFERROR(INDEX(catComida,MATCH(D272,catNom,0))&amp;"",""))</f>
        <v/>
      </c>
      <c r="N272" s="19">
        <f>IF(I272="","",IFERROR(INDEX(ctaMon,MATCH(E272,ctaNom,0))&amp;"","DOP"))</f>
        <v/>
      </c>
      <c r="O272" s="20">
        <f>IF(I272="","",C272*IF(N272="USD",TasaUSD,1))</f>
        <v/>
      </c>
      <c r="P272" s="20">
        <f>IF(I272="","",IF(I272="Gasto",O272,0))</f>
        <v/>
      </c>
      <c r="Q272" s="20">
        <f>IF(I272="","",IF(I272="Ingreso",O272,0))</f>
        <v/>
      </c>
      <c r="R272" s="20">
        <f>IF(I272="","",IF(I272="Trading",O272,0))</f>
        <v/>
      </c>
      <c r="S272" s="19">
        <f>IF(I272="","",IF(AND(I272="Gasto",K272="Variable",J272&lt;&gt;"Trading",O272&gt;0,O272&lt;=Umbral),1,0))</f>
        <v/>
      </c>
      <c r="T272" s="20">
        <f>IF(OR(I272="",E272=""),"",IF(OR(I272="Gasto",I272="Transferencia",I272="Pago tarjeta"),-1,1)*C272)</f>
        <v/>
      </c>
      <c r="U272" s="20">
        <f>IF(OR(G272="",AND(I272&lt;&gt;"Transferencia",I272&lt;&gt;"Pago tarjeta")),"",IF(IFERROR(INDEX(ctaMon,MATCH(G272,ctaNom,0))&amp;"","DOP")=N272,C272,IF(N272="USD",C272*TasaUSD,C272/TasaUSD)))</f>
        <v/>
      </c>
      <c r="V272" s="20">
        <f>IF(I272="","",IF(IFERROR(INDEX(ctaLiq,MATCH(E272,ctaNom,0))="Sí",FALSE),IF(OR(I272="Gasto",I272="Transferencia",I272="Pago tarjeta"),-1,1)*O272,0)+IF(AND(U272&lt;&gt;"",IFERROR(INDEX(ctaLiq,MATCH(G272,ctaNom,0))="Sí",FALSE)),O272,0))</f>
        <v/>
      </c>
      <c r="W272" s="19">
        <f>IF(OR(F272="",I272=""),"",IF(COUNTIFS(F$6:F272,F272,I$6:I272,"?*")=1,MAX(W$5:W271)+1,""))</f>
        <v/>
      </c>
    </row>
    <row r="273">
      <c r="B273" s="15" t="n"/>
      <c r="C273" s="16" t="n"/>
      <c r="D273" s="17" t="n"/>
      <c r="E273" s="17" t="n"/>
      <c r="F273" s="17" t="n"/>
      <c r="G273" s="17" t="n"/>
      <c r="H273" s="18">
        <f>IF(AND(B273="",C273="",D273="",E273=""),"",IF(B273="","⚠ Falta fecha",IF(C273="","⚠ Falta monto",IF(D273="","⚠ Falta categoría",IF(ISNA(MATCH(D273,catNom,0)),"⚠ Categoría no existe",IF(E273="","⚠ Falta cuenta",IF(ISNA(MATCH(E273,ctaNom,0)),"⚠ Cuenta no existe",IF(AND(OR(I273="Transferencia",I273="Pago tarjeta"),G273=""),"⚠ Indica la cuenta «Hacia»",IF(AND(G273&lt;&gt;"",G273=E273),"⚠ «Hacia» igual a la cuenta",IF(AND(G273&lt;&gt;"",ISNA(MATCH(G273,ctaNom,0))),"⚠ «Hacia» no existe",IF(AND(I273="Pago tarjeta",IFERROR(INDEX(ctaTipo,MATCH(G273,ctaNom,0)),"")&lt;&gt;"Tarjeta de crédito"),"⚠ «Hacia» debe ser la tarjeta",IF(AND(I273="Trading",IFERROR(INDEX(ctaTipo,MATCH(E273,ctaNom,0)),"")&lt;&gt;"Cuenta de trading"),"⚠ Usa la cuenta de trading","✓"))))))))))))</f>
        <v/>
      </c>
      <c r="I273" s="19">
        <f>IF(OR(B273="",C273="",D273=""),"",IFERROR(INDEX(catTipo,MATCH(D273,catNom,0))&amp;"",""))</f>
        <v/>
      </c>
      <c r="J273" s="19">
        <f>IF(I273="","",IFERROR(INDEX(catGrupo,MATCH(D273,catNom,0))&amp;"",""))</f>
        <v/>
      </c>
      <c r="K273" s="19">
        <f>IF(I273="Gasto",IF(IFERROR(INDEX(catClas,MATCH(D273,catNom,0))&amp;"","")="","Variable",IFERROR(INDEX(catClas,MATCH(D273,catNom,0))&amp;"","")),"")</f>
        <v/>
      </c>
      <c r="L273" s="19">
        <f>IF(I273="","",IFERROR(INDEX(catAlim,MATCH(D273,catNom,0))&amp;"",""))</f>
        <v/>
      </c>
      <c r="M273" s="19">
        <f>IF(I273="","",IFERROR(INDEX(catComida,MATCH(D273,catNom,0))&amp;"",""))</f>
        <v/>
      </c>
      <c r="N273" s="19">
        <f>IF(I273="","",IFERROR(INDEX(ctaMon,MATCH(E273,ctaNom,0))&amp;"","DOP"))</f>
        <v/>
      </c>
      <c r="O273" s="20">
        <f>IF(I273="","",C273*IF(N273="USD",TasaUSD,1))</f>
        <v/>
      </c>
      <c r="P273" s="20">
        <f>IF(I273="","",IF(I273="Gasto",O273,0))</f>
        <v/>
      </c>
      <c r="Q273" s="20">
        <f>IF(I273="","",IF(I273="Ingreso",O273,0))</f>
        <v/>
      </c>
      <c r="R273" s="20">
        <f>IF(I273="","",IF(I273="Trading",O273,0))</f>
        <v/>
      </c>
      <c r="S273" s="19">
        <f>IF(I273="","",IF(AND(I273="Gasto",K273="Variable",J273&lt;&gt;"Trading",O273&gt;0,O273&lt;=Umbral),1,0))</f>
        <v/>
      </c>
      <c r="T273" s="20">
        <f>IF(OR(I273="",E273=""),"",IF(OR(I273="Gasto",I273="Transferencia",I273="Pago tarjeta"),-1,1)*C273)</f>
        <v/>
      </c>
      <c r="U273" s="20">
        <f>IF(OR(G273="",AND(I273&lt;&gt;"Transferencia",I273&lt;&gt;"Pago tarjeta")),"",IF(IFERROR(INDEX(ctaMon,MATCH(G273,ctaNom,0))&amp;"","DOP")=N273,C273,IF(N273="USD",C273*TasaUSD,C273/TasaUSD)))</f>
        <v/>
      </c>
      <c r="V273" s="20">
        <f>IF(I273="","",IF(IFERROR(INDEX(ctaLiq,MATCH(E273,ctaNom,0))="Sí",FALSE),IF(OR(I273="Gasto",I273="Transferencia",I273="Pago tarjeta"),-1,1)*O273,0)+IF(AND(U273&lt;&gt;"",IFERROR(INDEX(ctaLiq,MATCH(G273,ctaNom,0))="Sí",FALSE)),O273,0))</f>
        <v/>
      </c>
      <c r="W273" s="19">
        <f>IF(OR(F273="",I273=""),"",IF(COUNTIFS(F$6:F273,F273,I$6:I273,"?*")=1,MAX(W$5:W272)+1,""))</f>
        <v/>
      </c>
    </row>
    <row r="274">
      <c r="B274" s="15" t="n"/>
      <c r="C274" s="16" t="n"/>
      <c r="D274" s="17" t="n"/>
      <c r="E274" s="17" t="n"/>
      <c r="F274" s="17" t="n"/>
      <c r="G274" s="17" t="n"/>
      <c r="H274" s="18">
        <f>IF(AND(B274="",C274="",D274="",E274=""),"",IF(B274="","⚠ Falta fecha",IF(C274="","⚠ Falta monto",IF(D274="","⚠ Falta categoría",IF(ISNA(MATCH(D274,catNom,0)),"⚠ Categoría no existe",IF(E274="","⚠ Falta cuenta",IF(ISNA(MATCH(E274,ctaNom,0)),"⚠ Cuenta no existe",IF(AND(OR(I274="Transferencia",I274="Pago tarjeta"),G274=""),"⚠ Indica la cuenta «Hacia»",IF(AND(G274&lt;&gt;"",G274=E274),"⚠ «Hacia» igual a la cuenta",IF(AND(G274&lt;&gt;"",ISNA(MATCH(G274,ctaNom,0))),"⚠ «Hacia» no existe",IF(AND(I274="Pago tarjeta",IFERROR(INDEX(ctaTipo,MATCH(G274,ctaNom,0)),"")&lt;&gt;"Tarjeta de crédito"),"⚠ «Hacia» debe ser la tarjeta",IF(AND(I274="Trading",IFERROR(INDEX(ctaTipo,MATCH(E274,ctaNom,0)),"")&lt;&gt;"Cuenta de trading"),"⚠ Usa la cuenta de trading","✓"))))))))))))</f>
        <v/>
      </c>
      <c r="I274" s="19">
        <f>IF(OR(B274="",C274="",D274=""),"",IFERROR(INDEX(catTipo,MATCH(D274,catNom,0))&amp;"",""))</f>
        <v/>
      </c>
      <c r="J274" s="19">
        <f>IF(I274="","",IFERROR(INDEX(catGrupo,MATCH(D274,catNom,0))&amp;"",""))</f>
        <v/>
      </c>
      <c r="K274" s="19">
        <f>IF(I274="Gasto",IF(IFERROR(INDEX(catClas,MATCH(D274,catNom,0))&amp;"","")="","Variable",IFERROR(INDEX(catClas,MATCH(D274,catNom,0))&amp;"","")),"")</f>
        <v/>
      </c>
      <c r="L274" s="19">
        <f>IF(I274="","",IFERROR(INDEX(catAlim,MATCH(D274,catNom,0))&amp;"",""))</f>
        <v/>
      </c>
      <c r="M274" s="19">
        <f>IF(I274="","",IFERROR(INDEX(catComida,MATCH(D274,catNom,0))&amp;"",""))</f>
        <v/>
      </c>
      <c r="N274" s="19">
        <f>IF(I274="","",IFERROR(INDEX(ctaMon,MATCH(E274,ctaNom,0))&amp;"","DOP"))</f>
        <v/>
      </c>
      <c r="O274" s="20">
        <f>IF(I274="","",C274*IF(N274="USD",TasaUSD,1))</f>
        <v/>
      </c>
      <c r="P274" s="20">
        <f>IF(I274="","",IF(I274="Gasto",O274,0))</f>
        <v/>
      </c>
      <c r="Q274" s="20">
        <f>IF(I274="","",IF(I274="Ingreso",O274,0))</f>
        <v/>
      </c>
      <c r="R274" s="20">
        <f>IF(I274="","",IF(I274="Trading",O274,0))</f>
        <v/>
      </c>
      <c r="S274" s="19">
        <f>IF(I274="","",IF(AND(I274="Gasto",K274="Variable",J274&lt;&gt;"Trading",O274&gt;0,O274&lt;=Umbral),1,0))</f>
        <v/>
      </c>
      <c r="T274" s="20">
        <f>IF(OR(I274="",E274=""),"",IF(OR(I274="Gasto",I274="Transferencia",I274="Pago tarjeta"),-1,1)*C274)</f>
        <v/>
      </c>
      <c r="U274" s="20">
        <f>IF(OR(G274="",AND(I274&lt;&gt;"Transferencia",I274&lt;&gt;"Pago tarjeta")),"",IF(IFERROR(INDEX(ctaMon,MATCH(G274,ctaNom,0))&amp;"","DOP")=N274,C274,IF(N274="USD",C274*TasaUSD,C274/TasaUSD)))</f>
        <v/>
      </c>
      <c r="V274" s="20">
        <f>IF(I274="","",IF(IFERROR(INDEX(ctaLiq,MATCH(E274,ctaNom,0))="Sí",FALSE),IF(OR(I274="Gasto",I274="Transferencia",I274="Pago tarjeta"),-1,1)*O274,0)+IF(AND(U274&lt;&gt;"",IFERROR(INDEX(ctaLiq,MATCH(G274,ctaNom,0))="Sí",FALSE)),O274,0))</f>
        <v/>
      </c>
      <c r="W274" s="19">
        <f>IF(OR(F274="",I274=""),"",IF(COUNTIFS(F$6:F274,F274,I$6:I274,"?*")=1,MAX(W$5:W273)+1,""))</f>
        <v/>
      </c>
    </row>
    <row r="275">
      <c r="B275" s="15" t="n"/>
      <c r="C275" s="16" t="n"/>
      <c r="D275" s="17" t="n"/>
      <c r="E275" s="17" t="n"/>
      <c r="F275" s="17" t="n"/>
      <c r="G275" s="17" t="n"/>
      <c r="H275" s="18">
        <f>IF(AND(B275="",C275="",D275="",E275=""),"",IF(B275="","⚠ Falta fecha",IF(C275="","⚠ Falta monto",IF(D275="","⚠ Falta categoría",IF(ISNA(MATCH(D275,catNom,0)),"⚠ Categoría no existe",IF(E275="","⚠ Falta cuenta",IF(ISNA(MATCH(E275,ctaNom,0)),"⚠ Cuenta no existe",IF(AND(OR(I275="Transferencia",I275="Pago tarjeta"),G275=""),"⚠ Indica la cuenta «Hacia»",IF(AND(G275&lt;&gt;"",G275=E275),"⚠ «Hacia» igual a la cuenta",IF(AND(G275&lt;&gt;"",ISNA(MATCH(G275,ctaNom,0))),"⚠ «Hacia» no existe",IF(AND(I275="Pago tarjeta",IFERROR(INDEX(ctaTipo,MATCH(G275,ctaNom,0)),"")&lt;&gt;"Tarjeta de crédito"),"⚠ «Hacia» debe ser la tarjeta",IF(AND(I275="Trading",IFERROR(INDEX(ctaTipo,MATCH(E275,ctaNom,0)),"")&lt;&gt;"Cuenta de trading"),"⚠ Usa la cuenta de trading","✓"))))))))))))</f>
        <v/>
      </c>
      <c r="I275" s="19">
        <f>IF(OR(B275="",C275="",D275=""),"",IFERROR(INDEX(catTipo,MATCH(D275,catNom,0))&amp;"",""))</f>
        <v/>
      </c>
      <c r="J275" s="19">
        <f>IF(I275="","",IFERROR(INDEX(catGrupo,MATCH(D275,catNom,0))&amp;"",""))</f>
        <v/>
      </c>
      <c r="K275" s="19">
        <f>IF(I275="Gasto",IF(IFERROR(INDEX(catClas,MATCH(D275,catNom,0))&amp;"","")="","Variable",IFERROR(INDEX(catClas,MATCH(D275,catNom,0))&amp;"","")),"")</f>
        <v/>
      </c>
      <c r="L275" s="19">
        <f>IF(I275="","",IFERROR(INDEX(catAlim,MATCH(D275,catNom,0))&amp;"",""))</f>
        <v/>
      </c>
      <c r="M275" s="19">
        <f>IF(I275="","",IFERROR(INDEX(catComida,MATCH(D275,catNom,0))&amp;"",""))</f>
        <v/>
      </c>
      <c r="N275" s="19">
        <f>IF(I275="","",IFERROR(INDEX(ctaMon,MATCH(E275,ctaNom,0))&amp;"","DOP"))</f>
        <v/>
      </c>
      <c r="O275" s="20">
        <f>IF(I275="","",C275*IF(N275="USD",TasaUSD,1))</f>
        <v/>
      </c>
      <c r="P275" s="20">
        <f>IF(I275="","",IF(I275="Gasto",O275,0))</f>
        <v/>
      </c>
      <c r="Q275" s="20">
        <f>IF(I275="","",IF(I275="Ingreso",O275,0))</f>
        <v/>
      </c>
      <c r="R275" s="20">
        <f>IF(I275="","",IF(I275="Trading",O275,0))</f>
        <v/>
      </c>
      <c r="S275" s="19">
        <f>IF(I275="","",IF(AND(I275="Gasto",K275="Variable",J275&lt;&gt;"Trading",O275&gt;0,O275&lt;=Umbral),1,0))</f>
        <v/>
      </c>
      <c r="T275" s="20">
        <f>IF(OR(I275="",E275=""),"",IF(OR(I275="Gasto",I275="Transferencia",I275="Pago tarjeta"),-1,1)*C275)</f>
        <v/>
      </c>
      <c r="U275" s="20">
        <f>IF(OR(G275="",AND(I275&lt;&gt;"Transferencia",I275&lt;&gt;"Pago tarjeta")),"",IF(IFERROR(INDEX(ctaMon,MATCH(G275,ctaNom,0))&amp;"","DOP")=N275,C275,IF(N275="USD",C275*TasaUSD,C275/TasaUSD)))</f>
        <v/>
      </c>
      <c r="V275" s="20">
        <f>IF(I275="","",IF(IFERROR(INDEX(ctaLiq,MATCH(E275,ctaNom,0))="Sí",FALSE),IF(OR(I275="Gasto",I275="Transferencia",I275="Pago tarjeta"),-1,1)*O275,0)+IF(AND(U275&lt;&gt;"",IFERROR(INDEX(ctaLiq,MATCH(G275,ctaNom,0))="Sí",FALSE)),O275,0))</f>
        <v/>
      </c>
      <c r="W275" s="19">
        <f>IF(OR(F275="",I275=""),"",IF(COUNTIFS(F$6:F275,F275,I$6:I275,"?*")=1,MAX(W$5:W274)+1,""))</f>
        <v/>
      </c>
    </row>
    <row r="276">
      <c r="B276" s="15" t="n"/>
      <c r="C276" s="16" t="n"/>
      <c r="D276" s="17" t="n"/>
      <c r="E276" s="17" t="n"/>
      <c r="F276" s="17" t="n"/>
      <c r="G276" s="17" t="n"/>
      <c r="H276" s="18">
        <f>IF(AND(B276="",C276="",D276="",E276=""),"",IF(B276="","⚠ Falta fecha",IF(C276="","⚠ Falta monto",IF(D276="","⚠ Falta categoría",IF(ISNA(MATCH(D276,catNom,0)),"⚠ Categoría no existe",IF(E276="","⚠ Falta cuenta",IF(ISNA(MATCH(E276,ctaNom,0)),"⚠ Cuenta no existe",IF(AND(OR(I276="Transferencia",I276="Pago tarjeta"),G276=""),"⚠ Indica la cuenta «Hacia»",IF(AND(G276&lt;&gt;"",G276=E276),"⚠ «Hacia» igual a la cuenta",IF(AND(G276&lt;&gt;"",ISNA(MATCH(G276,ctaNom,0))),"⚠ «Hacia» no existe",IF(AND(I276="Pago tarjeta",IFERROR(INDEX(ctaTipo,MATCH(G276,ctaNom,0)),"")&lt;&gt;"Tarjeta de crédito"),"⚠ «Hacia» debe ser la tarjeta",IF(AND(I276="Trading",IFERROR(INDEX(ctaTipo,MATCH(E276,ctaNom,0)),"")&lt;&gt;"Cuenta de trading"),"⚠ Usa la cuenta de trading","✓"))))))))))))</f>
        <v/>
      </c>
      <c r="I276" s="19">
        <f>IF(OR(B276="",C276="",D276=""),"",IFERROR(INDEX(catTipo,MATCH(D276,catNom,0))&amp;"",""))</f>
        <v/>
      </c>
      <c r="J276" s="19">
        <f>IF(I276="","",IFERROR(INDEX(catGrupo,MATCH(D276,catNom,0))&amp;"",""))</f>
        <v/>
      </c>
      <c r="K276" s="19">
        <f>IF(I276="Gasto",IF(IFERROR(INDEX(catClas,MATCH(D276,catNom,0))&amp;"","")="","Variable",IFERROR(INDEX(catClas,MATCH(D276,catNom,0))&amp;"","")),"")</f>
        <v/>
      </c>
      <c r="L276" s="19">
        <f>IF(I276="","",IFERROR(INDEX(catAlim,MATCH(D276,catNom,0))&amp;"",""))</f>
        <v/>
      </c>
      <c r="M276" s="19">
        <f>IF(I276="","",IFERROR(INDEX(catComida,MATCH(D276,catNom,0))&amp;"",""))</f>
        <v/>
      </c>
      <c r="N276" s="19">
        <f>IF(I276="","",IFERROR(INDEX(ctaMon,MATCH(E276,ctaNom,0))&amp;"","DOP"))</f>
        <v/>
      </c>
      <c r="O276" s="20">
        <f>IF(I276="","",C276*IF(N276="USD",TasaUSD,1))</f>
        <v/>
      </c>
      <c r="P276" s="20">
        <f>IF(I276="","",IF(I276="Gasto",O276,0))</f>
        <v/>
      </c>
      <c r="Q276" s="20">
        <f>IF(I276="","",IF(I276="Ingreso",O276,0))</f>
        <v/>
      </c>
      <c r="R276" s="20">
        <f>IF(I276="","",IF(I276="Trading",O276,0))</f>
        <v/>
      </c>
      <c r="S276" s="19">
        <f>IF(I276="","",IF(AND(I276="Gasto",K276="Variable",J276&lt;&gt;"Trading",O276&gt;0,O276&lt;=Umbral),1,0))</f>
        <v/>
      </c>
      <c r="T276" s="20">
        <f>IF(OR(I276="",E276=""),"",IF(OR(I276="Gasto",I276="Transferencia",I276="Pago tarjeta"),-1,1)*C276)</f>
        <v/>
      </c>
      <c r="U276" s="20">
        <f>IF(OR(G276="",AND(I276&lt;&gt;"Transferencia",I276&lt;&gt;"Pago tarjeta")),"",IF(IFERROR(INDEX(ctaMon,MATCH(G276,ctaNom,0))&amp;"","DOP")=N276,C276,IF(N276="USD",C276*TasaUSD,C276/TasaUSD)))</f>
        <v/>
      </c>
      <c r="V276" s="20">
        <f>IF(I276="","",IF(IFERROR(INDEX(ctaLiq,MATCH(E276,ctaNom,0))="Sí",FALSE),IF(OR(I276="Gasto",I276="Transferencia",I276="Pago tarjeta"),-1,1)*O276,0)+IF(AND(U276&lt;&gt;"",IFERROR(INDEX(ctaLiq,MATCH(G276,ctaNom,0))="Sí",FALSE)),O276,0))</f>
        <v/>
      </c>
      <c r="W276" s="19">
        <f>IF(OR(F276="",I276=""),"",IF(COUNTIFS(F$6:F276,F276,I$6:I276,"?*")=1,MAX(W$5:W275)+1,""))</f>
        <v/>
      </c>
    </row>
    <row r="277">
      <c r="B277" s="15" t="n"/>
      <c r="C277" s="16" t="n"/>
      <c r="D277" s="17" t="n"/>
      <c r="E277" s="17" t="n"/>
      <c r="F277" s="17" t="n"/>
      <c r="G277" s="17" t="n"/>
      <c r="H277" s="18">
        <f>IF(AND(B277="",C277="",D277="",E277=""),"",IF(B277="","⚠ Falta fecha",IF(C277="","⚠ Falta monto",IF(D277="","⚠ Falta categoría",IF(ISNA(MATCH(D277,catNom,0)),"⚠ Categoría no existe",IF(E277="","⚠ Falta cuenta",IF(ISNA(MATCH(E277,ctaNom,0)),"⚠ Cuenta no existe",IF(AND(OR(I277="Transferencia",I277="Pago tarjeta"),G277=""),"⚠ Indica la cuenta «Hacia»",IF(AND(G277&lt;&gt;"",G277=E277),"⚠ «Hacia» igual a la cuenta",IF(AND(G277&lt;&gt;"",ISNA(MATCH(G277,ctaNom,0))),"⚠ «Hacia» no existe",IF(AND(I277="Pago tarjeta",IFERROR(INDEX(ctaTipo,MATCH(G277,ctaNom,0)),"")&lt;&gt;"Tarjeta de crédito"),"⚠ «Hacia» debe ser la tarjeta",IF(AND(I277="Trading",IFERROR(INDEX(ctaTipo,MATCH(E277,ctaNom,0)),"")&lt;&gt;"Cuenta de trading"),"⚠ Usa la cuenta de trading","✓"))))))))))))</f>
        <v/>
      </c>
      <c r="I277" s="19">
        <f>IF(OR(B277="",C277="",D277=""),"",IFERROR(INDEX(catTipo,MATCH(D277,catNom,0))&amp;"",""))</f>
        <v/>
      </c>
      <c r="J277" s="19">
        <f>IF(I277="","",IFERROR(INDEX(catGrupo,MATCH(D277,catNom,0))&amp;"",""))</f>
        <v/>
      </c>
      <c r="K277" s="19">
        <f>IF(I277="Gasto",IF(IFERROR(INDEX(catClas,MATCH(D277,catNom,0))&amp;"","")="","Variable",IFERROR(INDEX(catClas,MATCH(D277,catNom,0))&amp;"","")),"")</f>
        <v/>
      </c>
      <c r="L277" s="19">
        <f>IF(I277="","",IFERROR(INDEX(catAlim,MATCH(D277,catNom,0))&amp;"",""))</f>
        <v/>
      </c>
      <c r="M277" s="19">
        <f>IF(I277="","",IFERROR(INDEX(catComida,MATCH(D277,catNom,0))&amp;"",""))</f>
        <v/>
      </c>
      <c r="N277" s="19">
        <f>IF(I277="","",IFERROR(INDEX(ctaMon,MATCH(E277,ctaNom,0))&amp;"","DOP"))</f>
        <v/>
      </c>
      <c r="O277" s="20">
        <f>IF(I277="","",C277*IF(N277="USD",TasaUSD,1))</f>
        <v/>
      </c>
      <c r="P277" s="20">
        <f>IF(I277="","",IF(I277="Gasto",O277,0))</f>
        <v/>
      </c>
      <c r="Q277" s="20">
        <f>IF(I277="","",IF(I277="Ingreso",O277,0))</f>
        <v/>
      </c>
      <c r="R277" s="20">
        <f>IF(I277="","",IF(I277="Trading",O277,0))</f>
        <v/>
      </c>
      <c r="S277" s="19">
        <f>IF(I277="","",IF(AND(I277="Gasto",K277="Variable",J277&lt;&gt;"Trading",O277&gt;0,O277&lt;=Umbral),1,0))</f>
        <v/>
      </c>
      <c r="T277" s="20">
        <f>IF(OR(I277="",E277=""),"",IF(OR(I277="Gasto",I277="Transferencia",I277="Pago tarjeta"),-1,1)*C277)</f>
        <v/>
      </c>
      <c r="U277" s="20">
        <f>IF(OR(G277="",AND(I277&lt;&gt;"Transferencia",I277&lt;&gt;"Pago tarjeta")),"",IF(IFERROR(INDEX(ctaMon,MATCH(G277,ctaNom,0))&amp;"","DOP")=N277,C277,IF(N277="USD",C277*TasaUSD,C277/TasaUSD)))</f>
        <v/>
      </c>
      <c r="V277" s="20">
        <f>IF(I277="","",IF(IFERROR(INDEX(ctaLiq,MATCH(E277,ctaNom,0))="Sí",FALSE),IF(OR(I277="Gasto",I277="Transferencia",I277="Pago tarjeta"),-1,1)*O277,0)+IF(AND(U277&lt;&gt;"",IFERROR(INDEX(ctaLiq,MATCH(G277,ctaNom,0))="Sí",FALSE)),O277,0))</f>
        <v/>
      </c>
      <c r="W277" s="19">
        <f>IF(OR(F277="",I277=""),"",IF(COUNTIFS(F$6:F277,F277,I$6:I277,"?*")=1,MAX(W$5:W276)+1,""))</f>
        <v/>
      </c>
    </row>
    <row r="278">
      <c r="B278" s="15" t="n"/>
      <c r="C278" s="16" t="n"/>
      <c r="D278" s="17" t="n"/>
      <c r="E278" s="17" t="n"/>
      <c r="F278" s="17" t="n"/>
      <c r="G278" s="17" t="n"/>
      <c r="H278" s="18">
        <f>IF(AND(B278="",C278="",D278="",E278=""),"",IF(B278="","⚠ Falta fecha",IF(C278="","⚠ Falta monto",IF(D278="","⚠ Falta categoría",IF(ISNA(MATCH(D278,catNom,0)),"⚠ Categoría no existe",IF(E278="","⚠ Falta cuenta",IF(ISNA(MATCH(E278,ctaNom,0)),"⚠ Cuenta no existe",IF(AND(OR(I278="Transferencia",I278="Pago tarjeta"),G278=""),"⚠ Indica la cuenta «Hacia»",IF(AND(G278&lt;&gt;"",G278=E278),"⚠ «Hacia» igual a la cuenta",IF(AND(G278&lt;&gt;"",ISNA(MATCH(G278,ctaNom,0))),"⚠ «Hacia» no existe",IF(AND(I278="Pago tarjeta",IFERROR(INDEX(ctaTipo,MATCH(G278,ctaNom,0)),"")&lt;&gt;"Tarjeta de crédito"),"⚠ «Hacia» debe ser la tarjeta",IF(AND(I278="Trading",IFERROR(INDEX(ctaTipo,MATCH(E278,ctaNom,0)),"")&lt;&gt;"Cuenta de trading"),"⚠ Usa la cuenta de trading","✓"))))))))))))</f>
        <v/>
      </c>
      <c r="I278" s="19">
        <f>IF(OR(B278="",C278="",D278=""),"",IFERROR(INDEX(catTipo,MATCH(D278,catNom,0))&amp;"",""))</f>
        <v/>
      </c>
      <c r="J278" s="19">
        <f>IF(I278="","",IFERROR(INDEX(catGrupo,MATCH(D278,catNom,0))&amp;"",""))</f>
        <v/>
      </c>
      <c r="K278" s="19">
        <f>IF(I278="Gasto",IF(IFERROR(INDEX(catClas,MATCH(D278,catNom,0))&amp;"","")="","Variable",IFERROR(INDEX(catClas,MATCH(D278,catNom,0))&amp;"","")),"")</f>
        <v/>
      </c>
      <c r="L278" s="19">
        <f>IF(I278="","",IFERROR(INDEX(catAlim,MATCH(D278,catNom,0))&amp;"",""))</f>
        <v/>
      </c>
      <c r="M278" s="19">
        <f>IF(I278="","",IFERROR(INDEX(catComida,MATCH(D278,catNom,0))&amp;"",""))</f>
        <v/>
      </c>
      <c r="N278" s="19">
        <f>IF(I278="","",IFERROR(INDEX(ctaMon,MATCH(E278,ctaNom,0))&amp;"","DOP"))</f>
        <v/>
      </c>
      <c r="O278" s="20">
        <f>IF(I278="","",C278*IF(N278="USD",TasaUSD,1))</f>
        <v/>
      </c>
      <c r="P278" s="20">
        <f>IF(I278="","",IF(I278="Gasto",O278,0))</f>
        <v/>
      </c>
      <c r="Q278" s="20">
        <f>IF(I278="","",IF(I278="Ingreso",O278,0))</f>
        <v/>
      </c>
      <c r="R278" s="20">
        <f>IF(I278="","",IF(I278="Trading",O278,0))</f>
        <v/>
      </c>
      <c r="S278" s="19">
        <f>IF(I278="","",IF(AND(I278="Gasto",K278="Variable",J278&lt;&gt;"Trading",O278&gt;0,O278&lt;=Umbral),1,0))</f>
        <v/>
      </c>
      <c r="T278" s="20">
        <f>IF(OR(I278="",E278=""),"",IF(OR(I278="Gasto",I278="Transferencia",I278="Pago tarjeta"),-1,1)*C278)</f>
        <v/>
      </c>
      <c r="U278" s="20">
        <f>IF(OR(G278="",AND(I278&lt;&gt;"Transferencia",I278&lt;&gt;"Pago tarjeta")),"",IF(IFERROR(INDEX(ctaMon,MATCH(G278,ctaNom,0))&amp;"","DOP")=N278,C278,IF(N278="USD",C278*TasaUSD,C278/TasaUSD)))</f>
        <v/>
      </c>
      <c r="V278" s="20">
        <f>IF(I278="","",IF(IFERROR(INDEX(ctaLiq,MATCH(E278,ctaNom,0))="Sí",FALSE),IF(OR(I278="Gasto",I278="Transferencia",I278="Pago tarjeta"),-1,1)*O278,0)+IF(AND(U278&lt;&gt;"",IFERROR(INDEX(ctaLiq,MATCH(G278,ctaNom,0))="Sí",FALSE)),O278,0))</f>
        <v/>
      </c>
      <c r="W278" s="19">
        <f>IF(OR(F278="",I278=""),"",IF(COUNTIFS(F$6:F278,F278,I$6:I278,"?*")=1,MAX(W$5:W277)+1,""))</f>
        <v/>
      </c>
    </row>
    <row r="279">
      <c r="B279" s="15" t="n"/>
      <c r="C279" s="16" t="n"/>
      <c r="D279" s="17" t="n"/>
      <c r="E279" s="17" t="n"/>
      <c r="F279" s="17" t="n"/>
      <c r="G279" s="17" t="n"/>
      <c r="H279" s="18">
        <f>IF(AND(B279="",C279="",D279="",E279=""),"",IF(B279="","⚠ Falta fecha",IF(C279="","⚠ Falta monto",IF(D279="","⚠ Falta categoría",IF(ISNA(MATCH(D279,catNom,0)),"⚠ Categoría no existe",IF(E279="","⚠ Falta cuenta",IF(ISNA(MATCH(E279,ctaNom,0)),"⚠ Cuenta no existe",IF(AND(OR(I279="Transferencia",I279="Pago tarjeta"),G279=""),"⚠ Indica la cuenta «Hacia»",IF(AND(G279&lt;&gt;"",G279=E279),"⚠ «Hacia» igual a la cuenta",IF(AND(G279&lt;&gt;"",ISNA(MATCH(G279,ctaNom,0))),"⚠ «Hacia» no existe",IF(AND(I279="Pago tarjeta",IFERROR(INDEX(ctaTipo,MATCH(G279,ctaNom,0)),"")&lt;&gt;"Tarjeta de crédito"),"⚠ «Hacia» debe ser la tarjeta",IF(AND(I279="Trading",IFERROR(INDEX(ctaTipo,MATCH(E279,ctaNom,0)),"")&lt;&gt;"Cuenta de trading"),"⚠ Usa la cuenta de trading","✓"))))))))))))</f>
        <v/>
      </c>
      <c r="I279" s="19">
        <f>IF(OR(B279="",C279="",D279=""),"",IFERROR(INDEX(catTipo,MATCH(D279,catNom,0))&amp;"",""))</f>
        <v/>
      </c>
      <c r="J279" s="19">
        <f>IF(I279="","",IFERROR(INDEX(catGrupo,MATCH(D279,catNom,0))&amp;"",""))</f>
        <v/>
      </c>
      <c r="K279" s="19">
        <f>IF(I279="Gasto",IF(IFERROR(INDEX(catClas,MATCH(D279,catNom,0))&amp;"","")="","Variable",IFERROR(INDEX(catClas,MATCH(D279,catNom,0))&amp;"","")),"")</f>
        <v/>
      </c>
      <c r="L279" s="19">
        <f>IF(I279="","",IFERROR(INDEX(catAlim,MATCH(D279,catNom,0))&amp;"",""))</f>
        <v/>
      </c>
      <c r="M279" s="19">
        <f>IF(I279="","",IFERROR(INDEX(catComida,MATCH(D279,catNom,0))&amp;"",""))</f>
        <v/>
      </c>
      <c r="N279" s="19">
        <f>IF(I279="","",IFERROR(INDEX(ctaMon,MATCH(E279,ctaNom,0))&amp;"","DOP"))</f>
        <v/>
      </c>
      <c r="O279" s="20">
        <f>IF(I279="","",C279*IF(N279="USD",TasaUSD,1))</f>
        <v/>
      </c>
      <c r="P279" s="20">
        <f>IF(I279="","",IF(I279="Gasto",O279,0))</f>
        <v/>
      </c>
      <c r="Q279" s="20">
        <f>IF(I279="","",IF(I279="Ingreso",O279,0))</f>
        <v/>
      </c>
      <c r="R279" s="20">
        <f>IF(I279="","",IF(I279="Trading",O279,0))</f>
        <v/>
      </c>
      <c r="S279" s="19">
        <f>IF(I279="","",IF(AND(I279="Gasto",K279="Variable",J279&lt;&gt;"Trading",O279&gt;0,O279&lt;=Umbral),1,0))</f>
        <v/>
      </c>
      <c r="T279" s="20">
        <f>IF(OR(I279="",E279=""),"",IF(OR(I279="Gasto",I279="Transferencia",I279="Pago tarjeta"),-1,1)*C279)</f>
        <v/>
      </c>
      <c r="U279" s="20">
        <f>IF(OR(G279="",AND(I279&lt;&gt;"Transferencia",I279&lt;&gt;"Pago tarjeta")),"",IF(IFERROR(INDEX(ctaMon,MATCH(G279,ctaNom,0))&amp;"","DOP")=N279,C279,IF(N279="USD",C279*TasaUSD,C279/TasaUSD)))</f>
        <v/>
      </c>
      <c r="V279" s="20">
        <f>IF(I279="","",IF(IFERROR(INDEX(ctaLiq,MATCH(E279,ctaNom,0))="Sí",FALSE),IF(OR(I279="Gasto",I279="Transferencia",I279="Pago tarjeta"),-1,1)*O279,0)+IF(AND(U279&lt;&gt;"",IFERROR(INDEX(ctaLiq,MATCH(G279,ctaNom,0))="Sí",FALSE)),O279,0))</f>
        <v/>
      </c>
      <c r="W279" s="19">
        <f>IF(OR(F279="",I279=""),"",IF(COUNTIFS(F$6:F279,F279,I$6:I279,"?*")=1,MAX(W$5:W278)+1,""))</f>
        <v/>
      </c>
    </row>
    <row r="280">
      <c r="B280" s="15" t="n"/>
      <c r="C280" s="16" t="n"/>
      <c r="D280" s="17" t="n"/>
      <c r="E280" s="17" t="n"/>
      <c r="F280" s="17" t="n"/>
      <c r="G280" s="17" t="n"/>
      <c r="H280" s="18">
        <f>IF(AND(B280="",C280="",D280="",E280=""),"",IF(B280="","⚠ Falta fecha",IF(C280="","⚠ Falta monto",IF(D280="","⚠ Falta categoría",IF(ISNA(MATCH(D280,catNom,0)),"⚠ Categoría no existe",IF(E280="","⚠ Falta cuenta",IF(ISNA(MATCH(E280,ctaNom,0)),"⚠ Cuenta no existe",IF(AND(OR(I280="Transferencia",I280="Pago tarjeta"),G280=""),"⚠ Indica la cuenta «Hacia»",IF(AND(G280&lt;&gt;"",G280=E280),"⚠ «Hacia» igual a la cuenta",IF(AND(G280&lt;&gt;"",ISNA(MATCH(G280,ctaNom,0))),"⚠ «Hacia» no existe",IF(AND(I280="Pago tarjeta",IFERROR(INDEX(ctaTipo,MATCH(G280,ctaNom,0)),"")&lt;&gt;"Tarjeta de crédito"),"⚠ «Hacia» debe ser la tarjeta",IF(AND(I280="Trading",IFERROR(INDEX(ctaTipo,MATCH(E280,ctaNom,0)),"")&lt;&gt;"Cuenta de trading"),"⚠ Usa la cuenta de trading","✓"))))))))))))</f>
        <v/>
      </c>
      <c r="I280" s="19">
        <f>IF(OR(B280="",C280="",D280=""),"",IFERROR(INDEX(catTipo,MATCH(D280,catNom,0))&amp;"",""))</f>
        <v/>
      </c>
      <c r="J280" s="19">
        <f>IF(I280="","",IFERROR(INDEX(catGrupo,MATCH(D280,catNom,0))&amp;"",""))</f>
        <v/>
      </c>
      <c r="K280" s="19">
        <f>IF(I280="Gasto",IF(IFERROR(INDEX(catClas,MATCH(D280,catNom,0))&amp;"","")="","Variable",IFERROR(INDEX(catClas,MATCH(D280,catNom,0))&amp;"","")),"")</f>
        <v/>
      </c>
      <c r="L280" s="19">
        <f>IF(I280="","",IFERROR(INDEX(catAlim,MATCH(D280,catNom,0))&amp;"",""))</f>
        <v/>
      </c>
      <c r="M280" s="19">
        <f>IF(I280="","",IFERROR(INDEX(catComida,MATCH(D280,catNom,0))&amp;"",""))</f>
        <v/>
      </c>
      <c r="N280" s="19">
        <f>IF(I280="","",IFERROR(INDEX(ctaMon,MATCH(E280,ctaNom,0))&amp;"","DOP"))</f>
        <v/>
      </c>
      <c r="O280" s="20">
        <f>IF(I280="","",C280*IF(N280="USD",TasaUSD,1))</f>
        <v/>
      </c>
      <c r="P280" s="20">
        <f>IF(I280="","",IF(I280="Gasto",O280,0))</f>
        <v/>
      </c>
      <c r="Q280" s="20">
        <f>IF(I280="","",IF(I280="Ingreso",O280,0))</f>
        <v/>
      </c>
      <c r="R280" s="20">
        <f>IF(I280="","",IF(I280="Trading",O280,0))</f>
        <v/>
      </c>
      <c r="S280" s="19">
        <f>IF(I280="","",IF(AND(I280="Gasto",K280="Variable",J280&lt;&gt;"Trading",O280&gt;0,O280&lt;=Umbral),1,0))</f>
        <v/>
      </c>
      <c r="T280" s="20">
        <f>IF(OR(I280="",E280=""),"",IF(OR(I280="Gasto",I280="Transferencia",I280="Pago tarjeta"),-1,1)*C280)</f>
        <v/>
      </c>
      <c r="U280" s="20">
        <f>IF(OR(G280="",AND(I280&lt;&gt;"Transferencia",I280&lt;&gt;"Pago tarjeta")),"",IF(IFERROR(INDEX(ctaMon,MATCH(G280,ctaNom,0))&amp;"","DOP")=N280,C280,IF(N280="USD",C280*TasaUSD,C280/TasaUSD)))</f>
        <v/>
      </c>
      <c r="V280" s="20">
        <f>IF(I280="","",IF(IFERROR(INDEX(ctaLiq,MATCH(E280,ctaNom,0))="Sí",FALSE),IF(OR(I280="Gasto",I280="Transferencia",I280="Pago tarjeta"),-1,1)*O280,0)+IF(AND(U280&lt;&gt;"",IFERROR(INDEX(ctaLiq,MATCH(G280,ctaNom,0))="Sí",FALSE)),O280,0))</f>
        <v/>
      </c>
      <c r="W280" s="19">
        <f>IF(OR(F280="",I280=""),"",IF(COUNTIFS(F$6:F280,F280,I$6:I280,"?*")=1,MAX(W$5:W279)+1,""))</f>
        <v/>
      </c>
    </row>
    <row r="281">
      <c r="B281" s="15" t="n"/>
      <c r="C281" s="16" t="n"/>
      <c r="D281" s="17" t="n"/>
      <c r="E281" s="17" t="n"/>
      <c r="F281" s="17" t="n"/>
      <c r="G281" s="17" t="n"/>
      <c r="H281" s="18">
        <f>IF(AND(B281="",C281="",D281="",E281=""),"",IF(B281="","⚠ Falta fecha",IF(C281="","⚠ Falta monto",IF(D281="","⚠ Falta categoría",IF(ISNA(MATCH(D281,catNom,0)),"⚠ Categoría no existe",IF(E281="","⚠ Falta cuenta",IF(ISNA(MATCH(E281,ctaNom,0)),"⚠ Cuenta no existe",IF(AND(OR(I281="Transferencia",I281="Pago tarjeta"),G281=""),"⚠ Indica la cuenta «Hacia»",IF(AND(G281&lt;&gt;"",G281=E281),"⚠ «Hacia» igual a la cuenta",IF(AND(G281&lt;&gt;"",ISNA(MATCH(G281,ctaNom,0))),"⚠ «Hacia» no existe",IF(AND(I281="Pago tarjeta",IFERROR(INDEX(ctaTipo,MATCH(G281,ctaNom,0)),"")&lt;&gt;"Tarjeta de crédito"),"⚠ «Hacia» debe ser la tarjeta",IF(AND(I281="Trading",IFERROR(INDEX(ctaTipo,MATCH(E281,ctaNom,0)),"")&lt;&gt;"Cuenta de trading"),"⚠ Usa la cuenta de trading","✓"))))))))))))</f>
        <v/>
      </c>
      <c r="I281" s="19">
        <f>IF(OR(B281="",C281="",D281=""),"",IFERROR(INDEX(catTipo,MATCH(D281,catNom,0))&amp;"",""))</f>
        <v/>
      </c>
      <c r="J281" s="19">
        <f>IF(I281="","",IFERROR(INDEX(catGrupo,MATCH(D281,catNom,0))&amp;"",""))</f>
        <v/>
      </c>
      <c r="K281" s="19">
        <f>IF(I281="Gasto",IF(IFERROR(INDEX(catClas,MATCH(D281,catNom,0))&amp;"","")="","Variable",IFERROR(INDEX(catClas,MATCH(D281,catNom,0))&amp;"","")),"")</f>
        <v/>
      </c>
      <c r="L281" s="19">
        <f>IF(I281="","",IFERROR(INDEX(catAlim,MATCH(D281,catNom,0))&amp;"",""))</f>
        <v/>
      </c>
      <c r="M281" s="19">
        <f>IF(I281="","",IFERROR(INDEX(catComida,MATCH(D281,catNom,0))&amp;"",""))</f>
        <v/>
      </c>
      <c r="N281" s="19">
        <f>IF(I281="","",IFERROR(INDEX(ctaMon,MATCH(E281,ctaNom,0))&amp;"","DOP"))</f>
        <v/>
      </c>
      <c r="O281" s="20">
        <f>IF(I281="","",C281*IF(N281="USD",TasaUSD,1))</f>
        <v/>
      </c>
      <c r="P281" s="20">
        <f>IF(I281="","",IF(I281="Gasto",O281,0))</f>
        <v/>
      </c>
      <c r="Q281" s="20">
        <f>IF(I281="","",IF(I281="Ingreso",O281,0))</f>
        <v/>
      </c>
      <c r="R281" s="20">
        <f>IF(I281="","",IF(I281="Trading",O281,0))</f>
        <v/>
      </c>
      <c r="S281" s="19">
        <f>IF(I281="","",IF(AND(I281="Gasto",K281="Variable",J281&lt;&gt;"Trading",O281&gt;0,O281&lt;=Umbral),1,0))</f>
        <v/>
      </c>
      <c r="T281" s="20">
        <f>IF(OR(I281="",E281=""),"",IF(OR(I281="Gasto",I281="Transferencia",I281="Pago tarjeta"),-1,1)*C281)</f>
        <v/>
      </c>
      <c r="U281" s="20">
        <f>IF(OR(G281="",AND(I281&lt;&gt;"Transferencia",I281&lt;&gt;"Pago tarjeta")),"",IF(IFERROR(INDEX(ctaMon,MATCH(G281,ctaNom,0))&amp;"","DOP")=N281,C281,IF(N281="USD",C281*TasaUSD,C281/TasaUSD)))</f>
        <v/>
      </c>
      <c r="V281" s="20">
        <f>IF(I281="","",IF(IFERROR(INDEX(ctaLiq,MATCH(E281,ctaNom,0))="Sí",FALSE),IF(OR(I281="Gasto",I281="Transferencia",I281="Pago tarjeta"),-1,1)*O281,0)+IF(AND(U281&lt;&gt;"",IFERROR(INDEX(ctaLiq,MATCH(G281,ctaNom,0))="Sí",FALSE)),O281,0))</f>
        <v/>
      </c>
      <c r="W281" s="19">
        <f>IF(OR(F281="",I281=""),"",IF(COUNTIFS(F$6:F281,F281,I$6:I281,"?*")=1,MAX(W$5:W280)+1,""))</f>
        <v/>
      </c>
    </row>
    <row r="282">
      <c r="B282" s="15" t="n"/>
      <c r="C282" s="16" t="n"/>
      <c r="D282" s="17" t="n"/>
      <c r="E282" s="17" t="n"/>
      <c r="F282" s="17" t="n"/>
      <c r="G282" s="17" t="n"/>
      <c r="H282" s="18">
        <f>IF(AND(B282="",C282="",D282="",E282=""),"",IF(B282="","⚠ Falta fecha",IF(C282="","⚠ Falta monto",IF(D282="","⚠ Falta categoría",IF(ISNA(MATCH(D282,catNom,0)),"⚠ Categoría no existe",IF(E282="","⚠ Falta cuenta",IF(ISNA(MATCH(E282,ctaNom,0)),"⚠ Cuenta no existe",IF(AND(OR(I282="Transferencia",I282="Pago tarjeta"),G282=""),"⚠ Indica la cuenta «Hacia»",IF(AND(G282&lt;&gt;"",G282=E282),"⚠ «Hacia» igual a la cuenta",IF(AND(G282&lt;&gt;"",ISNA(MATCH(G282,ctaNom,0))),"⚠ «Hacia» no existe",IF(AND(I282="Pago tarjeta",IFERROR(INDEX(ctaTipo,MATCH(G282,ctaNom,0)),"")&lt;&gt;"Tarjeta de crédito"),"⚠ «Hacia» debe ser la tarjeta",IF(AND(I282="Trading",IFERROR(INDEX(ctaTipo,MATCH(E282,ctaNom,0)),"")&lt;&gt;"Cuenta de trading"),"⚠ Usa la cuenta de trading","✓"))))))))))))</f>
        <v/>
      </c>
      <c r="I282" s="19">
        <f>IF(OR(B282="",C282="",D282=""),"",IFERROR(INDEX(catTipo,MATCH(D282,catNom,0))&amp;"",""))</f>
        <v/>
      </c>
      <c r="J282" s="19">
        <f>IF(I282="","",IFERROR(INDEX(catGrupo,MATCH(D282,catNom,0))&amp;"",""))</f>
        <v/>
      </c>
      <c r="K282" s="19">
        <f>IF(I282="Gasto",IF(IFERROR(INDEX(catClas,MATCH(D282,catNom,0))&amp;"","")="","Variable",IFERROR(INDEX(catClas,MATCH(D282,catNom,0))&amp;"","")),"")</f>
        <v/>
      </c>
      <c r="L282" s="19">
        <f>IF(I282="","",IFERROR(INDEX(catAlim,MATCH(D282,catNom,0))&amp;"",""))</f>
        <v/>
      </c>
      <c r="M282" s="19">
        <f>IF(I282="","",IFERROR(INDEX(catComida,MATCH(D282,catNom,0))&amp;"",""))</f>
        <v/>
      </c>
      <c r="N282" s="19">
        <f>IF(I282="","",IFERROR(INDEX(ctaMon,MATCH(E282,ctaNom,0))&amp;"","DOP"))</f>
        <v/>
      </c>
      <c r="O282" s="20">
        <f>IF(I282="","",C282*IF(N282="USD",TasaUSD,1))</f>
        <v/>
      </c>
      <c r="P282" s="20">
        <f>IF(I282="","",IF(I282="Gasto",O282,0))</f>
        <v/>
      </c>
      <c r="Q282" s="20">
        <f>IF(I282="","",IF(I282="Ingreso",O282,0))</f>
        <v/>
      </c>
      <c r="R282" s="20">
        <f>IF(I282="","",IF(I282="Trading",O282,0))</f>
        <v/>
      </c>
      <c r="S282" s="19">
        <f>IF(I282="","",IF(AND(I282="Gasto",K282="Variable",J282&lt;&gt;"Trading",O282&gt;0,O282&lt;=Umbral),1,0))</f>
        <v/>
      </c>
      <c r="T282" s="20">
        <f>IF(OR(I282="",E282=""),"",IF(OR(I282="Gasto",I282="Transferencia",I282="Pago tarjeta"),-1,1)*C282)</f>
        <v/>
      </c>
      <c r="U282" s="20">
        <f>IF(OR(G282="",AND(I282&lt;&gt;"Transferencia",I282&lt;&gt;"Pago tarjeta")),"",IF(IFERROR(INDEX(ctaMon,MATCH(G282,ctaNom,0))&amp;"","DOP")=N282,C282,IF(N282="USD",C282*TasaUSD,C282/TasaUSD)))</f>
        <v/>
      </c>
      <c r="V282" s="20">
        <f>IF(I282="","",IF(IFERROR(INDEX(ctaLiq,MATCH(E282,ctaNom,0))="Sí",FALSE),IF(OR(I282="Gasto",I282="Transferencia",I282="Pago tarjeta"),-1,1)*O282,0)+IF(AND(U282&lt;&gt;"",IFERROR(INDEX(ctaLiq,MATCH(G282,ctaNom,0))="Sí",FALSE)),O282,0))</f>
        <v/>
      </c>
      <c r="W282" s="19">
        <f>IF(OR(F282="",I282=""),"",IF(COUNTIFS(F$6:F282,F282,I$6:I282,"?*")=1,MAX(W$5:W281)+1,""))</f>
        <v/>
      </c>
    </row>
    <row r="283">
      <c r="B283" s="15" t="n"/>
      <c r="C283" s="16" t="n"/>
      <c r="D283" s="17" t="n"/>
      <c r="E283" s="17" t="n"/>
      <c r="F283" s="17" t="n"/>
      <c r="G283" s="17" t="n"/>
      <c r="H283" s="18">
        <f>IF(AND(B283="",C283="",D283="",E283=""),"",IF(B283="","⚠ Falta fecha",IF(C283="","⚠ Falta monto",IF(D283="","⚠ Falta categoría",IF(ISNA(MATCH(D283,catNom,0)),"⚠ Categoría no existe",IF(E283="","⚠ Falta cuenta",IF(ISNA(MATCH(E283,ctaNom,0)),"⚠ Cuenta no existe",IF(AND(OR(I283="Transferencia",I283="Pago tarjeta"),G283=""),"⚠ Indica la cuenta «Hacia»",IF(AND(G283&lt;&gt;"",G283=E283),"⚠ «Hacia» igual a la cuenta",IF(AND(G283&lt;&gt;"",ISNA(MATCH(G283,ctaNom,0))),"⚠ «Hacia» no existe",IF(AND(I283="Pago tarjeta",IFERROR(INDEX(ctaTipo,MATCH(G283,ctaNom,0)),"")&lt;&gt;"Tarjeta de crédito"),"⚠ «Hacia» debe ser la tarjeta",IF(AND(I283="Trading",IFERROR(INDEX(ctaTipo,MATCH(E283,ctaNom,0)),"")&lt;&gt;"Cuenta de trading"),"⚠ Usa la cuenta de trading","✓"))))))))))))</f>
        <v/>
      </c>
      <c r="I283" s="19">
        <f>IF(OR(B283="",C283="",D283=""),"",IFERROR(INDEX(catTipo,MATCH(D283,catNom,0))&amp;"",""))</f>
        <v/>
      </c>
      <c r="J283" s="19">
        <f>IF(I283="","",IFERROR(INDEX(catGrupo,MATCH(D283,catNom,0))&amp;"",""))</f>
        <v/>
      </c>
      <c r="K283" s="19">
        <f>IF(I283="Gasto",IF(IFERROR(INDEX(catClas,MATCH(D283,catNom,0))&amp;"","")="","Variable",IFERROR(INDEX(catClas,MATCH(D283,catNom,0))&amp;"","")),"")</f>
        <v/>
      </c>
      <c r="L283" s="19">
        <f>IF(I283="","",IFERROR(INDEX(catAlim,MATCH(D283,catNom,0))&amp;"",""))</f>
        <v/>
      </c>
      <c r="M283" s="19">
        <f>IF(I283="","",IFERROR(INDEX(catComida,MATCH(D283,catNom,0))&amp;"",""))</f>
        <v/>
      </c>
      <c r="N283" s="19">
        <f>IF(I283="","",IFERROR(INDEX(ctaMon,MATCH(E283,ctaNom,0))&amp;"","DOP"))</f>
        <v/>
      </c>
      <c r="O283" s="20">
        <f>IF(I283="","",C283*IF(N283="USD",TasaUSD,1))</f>
        <v/>
      </c>
      <c r="P283" s="20">
        <f>IF(I283="","",IF(I283="Gasto",O283,0))</f>
        <v/>
      </c>
      <c r="Q283" s="20">
        <f>IF(I283="","",IF(I283="Ingreso",O283,0))</f>
        <v/>
      </c>
      <c r="R283" s="20">
        <f>IF(I283="","",IF(I283="Trading",O283,0))</f>
        <v/>
      </c>
      <c r="S283" s="19">
        <f>IF(I283="","",IF(AND(I283="Gasto",K283="Variable",J283&lt;&gt;"Trading",O283&gt;0,O283&lt;=Umbral),1,0))</f>
        <v/>
      </c>
      <c r="T283" s="20">
        <f>IF(OR(I283="",E283=""),"",IF(OR(I283="Gasto",I283="Transferencia",I283="Pago tarjeta"),-1,1)*C283)</f>
        <v/>
      </c>
      <c r="U283" s="20">
        <f>IF(OR(G283="",AND(I283&lt;&gt;"Transferencia",I283&lt;&gt;"Pago tarjeta")),"",IF(IFERROR(INDEX(ctaMon,MATCH(G283,ctaNom,0))&amp;"","DOP")=N283,C283,IF(N283="USD",C283*TasaUSD,C283/TasaUSD)))</f>
        <v/>
      </c>
      <c r="V283" s="20">
        <f>IF(I283="","",IF(IFERROR(INDEX(ctaLiq,MATCH(E283,ctaNom,0))="Sí",FALSE),IF(OR(I283="Gasto",I283="Transferencia",I283="Pago tarjeta"),-1,1)*O283,0)+IF(AND(U283&lt;&gt;"",IFERROR(INDEX(ctaLiq,MATCH(G283,ctaNom,0))="Sí",FALSE)),O283,0))</f>
        <v/>
      </c>
      <c r="W283" s="19">
        <f>IF(OR(F283="",I283=""),"",IF(COUNTIFS(F$6:F283,F283,I$6:I283,"?*")=1,MAX(W$5:W282)+1,""))</f>
        <v/>
      </c>
    </row>
    <row r="284">
      <c r="B284" s="15" t="n"/>
      <c r="C284" s="16" t="n"/>
      <c r="D284" s="17" t="n"/>
      <c r="E284" s="17" t="n"/>
      <c r="F284" s="17" t="n"/>
      <c r="G284" s="17" t="n"/>
      <c r="H284" s="18">
        <f>IF(AND(B284="",C284="",D284="",E284=""),"",IF(B284="","⚠ Falta fecha",IF(C284="","⚠ Falta monto",IF(D284="","⚠ Falta categoría",IF(ISNA(MATCH(D284,catNom,0)),"⚠ Categoría no existe",IF(E284="","⚠ Falta cuenta",IF(ISNA(MATCH(E284,ctaNom,0)),"⚠ Cuenta no existe",IF(AND(OR(I284="Transferencia",I284="Pago tarjeta"),G284=""),"⚠ Indica la cuenta «Hacia»",IF(AND(G284&lt;&gt;"",G284=E284),"⚠ «Hacia» igual a la cuenta",IF(AND(G284&lt;&gt;"",ISNA(MATCH(G284,ctaNom,0))),"⚠ «Hacia» no existe",IF(AND(I284="Pago tarjeta",IFERROR(INDEX(ctaTipo,MATCH(G284,ctaNom,0)),"")&lt;&gt;"Tarjeta de crédito"),"⚠ «Hacia» debe ser la tarjeta",IF(AND(I284="Trading",IFERROR(INDEX(ctaTipo,MATCH(E284,ctaNom,0)),"")&lt;&gt;"Cuenta de trading"),"⚠ Usa la cuenta de trading","✓"))))))))))))</f>
        <v/>
      </c>
      <c r="I284" s="19">
        <f>IF(OR(B284="",C284="",D284=""),"",IFERROR(INDEX(catTipo,MATCH(D284,catNom,0))&amp;"",""))</f>
        <v/>
      </c>
      <c r="J284" s="19">
        <f>IF(I284="","",IFERROR(INDEX(catGrupo,MATCH(D284,catNom,0))&amp;"",""))</f>
        <v/>
      </c>
      <c r="K284" s="19">
        <f>IF(I284="Gasto",IF(IFERROR(INDEX(catClas,MATCH(D284,catNom,0))&amp;"","")="","Variable",IFERROR(INDEX(catClas,MATCH(D284,catNom,0))&amp;"","")),"")</f>
        <v/>
      </c>
      <c r="L284" s="19">
        <f>IF(I284="","",IFERROR(INDEX(catAlim,MATCH(D284,catNom,0))&amp;"",""))</f>
        <v/>
      </c>
      <c r="M284" s="19">
        <f>IF(I284="","",IFERROR(INDEX(catComida,MATCH(D284,catNom,0))&amp;"",""))</f>
        <v/>
      </c>
      <c r="N284" s="19">
        <f>IF(I284="","",IFERROR(INDEX(ctaMon,MATCH(E284,ctaNom,0))&amp;"","DOP"))</f>
        <v/>
      </c>
      <c r="O284" s="20">
        <f>IF(I284="","",C284*IF(N284="USD",TasaUSD,1))</f>
        <v/>
      </c>
      <c r="P284" s="20">
        <f>IF(I284="","",IF(I284="Gasto",O284,0))</f>
        <v/>
      </c>
      <c r="Q284" s="20">
        <f>IF(I284="","",IF(I284="Ingreso",O284,0))</f>
        <v/>
      </c>
      <c r="R284" s="20">
        <f>IF(I284="","",IF(I284="Trading",O284,0))</f>
        <v/>
      </c>
      <c r="S284" s="19">
        <f>IF(I284="","",IF(AND(I284="Gasto",K284="Variable",J284&lt;&gt;"Trading",O284&gt;0,O284&lt;=Umbral),1,0))</f>
        <v/>
      </c>
      <c r="T284" s="20">
        <f>IF(OR(I284="",E284=""),"",IF(OR(I284="Gasto",I284="Transferencia",I284="Pago tarjeta"),-1,1)*C284)</f>
        <v/>
      </c>
      <c r="U284" s="20">
        <f>IF(OR(G284="",AND(I284&lt;&gt;"Transferencia",I284&lt;&gt;"Pago tarjeta")),"",IF(IFERROR(INDEX(ctaMon,MATCH(G284,ctaNom,0))&amp;"","DOP")=N284,C284,IF(N284="USD",C284*TasaUSD,C284/TasaUSD)))</f>
        <v/>
      </c>
      <c r="V284" s="20">
        <f>IF(I284="","",IF(IFERROR(INDEX(ctaLiq,MATCH(E284,ctaNom,0))="Sí",FALSE),IF(OR(I284="Gasto",I284="Transferencia",I284="Pago tarjeta"),-1,1)*O284,0)+IF(AND(U284&lt;&gt;"",IFERROR(INDEX(ctaLiq,MATCH(G284,ctaNom,0))="Sí",FALSE)),O284,0))</f>
        <v/>
      </c>
      <c r="W284" s="19">
        <f>IF(OR(F284="",I284=""),"",IF(COUNTIFS(F$6:F284,F284,I$6:I284,"?*")=1,MAX(W$5:W283)+1,""))</f>
        <v/>
      </c>
    </row>
    <row r="285">
      <c r="B285" s="15" t="n"/>
      <c r="C285" s="16" t="n"/>
      <c r="D285" s="17" t="n"/>
      <c r="E285" s="17" t="n"/>
      <c r="F285" s="17" t="n"/>
      <c r="G285" s="17" t="n"/>
      <c r="H285" s="18">
        <f>IF(AND(B285="",C285="",D285="",E285=""),"",IF(B285="","⚠ Falta fecha",IF(C285="","⚠ Falta monto",IF(D285="","⚠ Falta categoría",IF(ISNA(MATCH(D285,catNom,0)),"⚠ Categoría no existe",IF(E285="","⚠ Falta cuenta",IF(ISNA(MATCH(E285,ctaNom,0)),"⚠ Cuenta no existe",IF(AND(OR(I285="Transferencia",I285="Pago tarjeta"),G285=""),"⚠ Indica la cuenta «Hacia»",IF(AND(G285&lt;&gt;"",G285=E285),"⚠ «Hacia» igual a la cuenta",IF(AND(G285&lt;&gt;"",ISNA(MATCH(G285,ctaNom,0))),"⚠ «Hacia» no existe",IF(AND(I285="Pago tarjeta",IFERROR(INDEX(ctaTipo,MATCH(G285,ctaNom,0)),"")&lt;&gt;"Tarjeta de crédito"),"⚠ «Hacia» debe ser la tarjeta",IF(AND(I285="Trading",IFERROR(INDEX(ctaTipo,MATCH(E285,ctaNom,0)),"")&lt;&gt;"Cuenta de trading"),"⚠ Usa la cuenta de trading","✓"))))))))))))</f>
        <v/>
      </c>
      <c r="I285" s="19">
        <f>IF(OR(B285="",C285="",D285=""),"",IFERROR(INDEX(catTipo,MATCH(D285,catNom,0))&amp;"",""))</f>
        <v/>
      </c>
      <c r="J285" s="19">
        <f>IF(I285="","",IFERROR(INDEX(catGrupo,MATCH(D285,catNom,0))&amp;"",""))</f>
        <v/>
      </c>
      <c r="K285" s="19">
        <f>IF(I285="Gasto",IF(IFERROR(INDEX(catClas,MATCH(D285,catNom,0))&amp;"","")="","Variable",IFERROR(INDEX(catClas,MATCH(D285,catNom,0))&amp;"","")),"")</f>
        <v/>
      </c>
      <c r="L285" s="19">
        <f>IF(I285="","",IFERROR(INDEX(catAlim,MATCH(D285,catNom,0))&amp;"",""))</f>
        <v/>
      </c>
      <c r="M285" s="19">
        <f>IF(I285="","",IFERROR(INDEX(catComida,MATCH(D285,catNom,0))&amp;"",""))</f>
        <v/>
      </c>
      <c r="N285" s="19">
        <f>IF(I285="","",IFERROR(INDEX(ctaMon,MATCH(E285,ctaNom,0))&amp;"","DOP"))</f>
        <v/>
      </c>
      <c r="O285" s="20">
        <f>IF(I285="","",C285*IF(N285="USD",TasaUSD,1))</f>
        <v/>
      </c>
      <c r="P285" s="20">
        <f>IF(I285="","",IF(I285="Gasto",O285,0))</f>
        <v/>
      </c>
      <c r="Q285" s="20">
        <f>IF(I285="","",IF(I285="Ingreso",O285,0))</f>
        <v/>
      </c>
      <c r="R285" s="20">
        <f>IF(I285="","",IF(I285="Trading",O285,0))</f>
        <v/>
      </c>
      <c r="S285" s="19">
        <f>IF(I285="","",IF(AND(I285="Gasto",K285="Variable",J285&lt;&gt;"Trading",O285&gt;0,O285&lt;=Umbral),1,0))</f>
        <v/>
      </c>
      <c r="T285" s="20">
        <f>IF(OR(I285="",E285=""),"",IF(OR(I285="Gasto",I285="Transferencia",I285="Pago tarjeta"),-1,1)*C285)</f>
        <v/>
      </c>
      <c r="U285" s="20">
        <f>IF(OR(G285="",AND(I285&lt;&gt;"Transferencia",I285&lt;&gt;"Pago tarjeta")),"",IF(IFERROR(INDEX(ctaMon,MATCH(G285,ctaNom,0))&amp;"","DOP")=N285,C285,IF(N285="USD",C285*TasaUSD,C285/TasaUSD)))</f>
        <v/>
      </c>
      <c r="V285" s="20">
        <f>IF(I285="","",IF(IFERROR(INDEX(ctaLiq,MATCH(E285,ctaNom,0))="Sí",FALSE),IF(OR(I285="Gasto",I285="Transferencia",I285="Pago tarjeta"),-1,1)*O285,0)+IF(AND(U285&lt;&gt;"",IFERROR(INDEX(ctaLiq,MATCH(G285,ctaNom,0))="Sí",FALSE)),O285,0))</f>
        <v/>
      </c>
      <c r="W285" s="19">
        <f>IF(OR(F285="",I285=""),"",IF(COUNTIFS(F$6:F285,F285,I$6:I285,"?*")=1,MAX(W$5:W284)+1,""))</f>
        <v/>
      </c>
    </row>
    <row r="286">
      <c r="B286" s="15" t="n"/>
      <c r="C286" s="16" t="n"/>
      <c r="D286" s="17" t="n"/>
      <c r="E286" s="17" t="n"/>
      <c r="F286" s="17" t="n"/>
      <c r="G286" s="17" t="n"/>
      <c r="H286" s="18">
        <f>IF(AND(B286="",C286="",D286="",E286=""),"",IF(B286="","⚠ Falta fecha",IF(C286="","⚠ Falta monto",IF(D286="","⚠ Falta categoría",IF(ISNA(MATCH(D286,catNom,0)),"⚠ Categoría no existe",IF(E286="","⚠ Falta cuenta",IF(ISNA(MATCH(E286,ctaNom,0)),"⚠ Cuenta no existe",IF(AND(OR(I286="Transferencia",I286="Pago tarjeta"),G286=""),"⚠ Indica la cuenta «Hacia»",IF(AND(G286&lt;&gt;"",G286=E286),"⚠ «Hacia» igual a la cuenta",IF(AND(G286&lt;&gt;"",ISNA(MATCH(G286,ctaNom,0))),"⚠ «Hacia» no existe",IF(AND(I286="Pago tarjeta",IFERROR(INDEX(ctaTipo,MATCH(G286,ctaNom,0)),"")&lt;&gt;"Tarjeta de crédito"),"⚠ «Hacia» debe ser la tarjeta",IF(AND(I286="Trading",IFERROR(INDEX(ctaTipo,MATCH(E286,ctaNom,0)),"")&lt;&gt;"Cuenta de trading"),"⚠ Usa la cuenta de trading","✓"))))))))))))</f>
        <v/>
      </c>
      <c r="I286" s="19">
        <f>IF(OR(B286="",C286="",D286=""),"",IFERROR(INDEX(catTipo,MATCH(D286,catNom,0))&amp;"",""))</f>
        <v/>
      </c>
      <c r="J286" s="19">
        <f>IF(I286="","",IFERROR(INDEX(catGrupo,MATCH(D286,catNom,0))&amp;"",""))</f>
        <v/>
      </c>
      <c r="K286" s="19">
        <f>IF(I286="Gasto",IF(IFERROR(INDEX(catClas,MATCH(D286,catNom,0))&amp;"","")="","Variable",IFERROR(INDEX(catClas,MATCH(D286,catNom,0))&amp;"","")),"")</f>
        <v/>
      </c>
      <c r="L286" s="19">
        <f>IF(I286="","",IFERROR(INDEX(catAlim,MATCH(D286,catNom,0))&amp;"",""))</f>
        <v/>
      </c>
      <c r="M286" s="19">
        <f>IF(I286="","",IFERROR(INDEX(catComida,MATCH(D286,catNom,0))&amp;"",""))</f>
        <v/>
      </c>
      <c r="N286" s="19">
        <f>IF(I286="","",IFERROR(INDEX(ctaMon,MATCH(E286,ctaNom,0))&amp;"","DOP"))</f>
        <v/>
      </c>
      <c r="O286" s="20">
        <f>IF(I286="","",C286*IF(N286="USD",TasaUSD,1))</f>
        <v/>
      </c>
      <c r="P286" s="20">
        <f>IF(I286="","",IF(I286="Gasto",O286,0))</f>
        <v/>
      </c>
      <c r="Q286" s="20">
        <f>IF(I286="","",IF(I286="Ingreso",O286,0))</f>
        <v/>
      </c>
      <c r="R286" s="20">
        <f>IF(I286="","",IF(I286="Trading",O286,0))</f>
        <v/>
      </c>
      <c r="S286" s="19">
        <f>IF(I286="","",IF(AND(I286="Gasto",K286="Variable",J286&lt;&gt;"Trading",O286&gt;0,O286&lt;=Umbral),1,0))</f>
        <v/>
      </c>
      <c r="T286" s="20">
        <f>IF(OR(I286="",E286=""),"",IF(OR(I286="Gasto",I286="Transferencia",I286="Pago tarjeta"),-1,1)*C286)</f>
        <v/>
      </c>
      <c r="U286" s="20">
        <f>IF(OR(G286="",AND(I286&lt;&gt;"Transferencia",I286&lt;&gt;"Pago tarjeta")),"",IF(IFERROR(INDEX(ctaMon,MATCH(G286,ctaNom,0))&amp;"","DOP")=N286,C286,IF(N286="USD",C286*TasaUSD,C286/TasaUSD)))</f>
        <v/>
      </c>
      <c r="V286" s="20">
        <f>IF(I286="","",IF(IFERROR(INDEX(ctaLiq,MATCH(E286,ctaNom,0))="Sí",FALSE),IF(OR(I286="Gasto",I286="Transferencia",I286="Pago tarjeta"),-1,1)*O286,0)+IF(AND(U286&lt;&gt;"",IFERROR(INDEX(ctaLiq,MATCH(G286,ctaNom,0))="Sí",FALSE)),O286,0))</f>
        <v/>
      </c>
      <c r="W286" s="19">
        <f>IF(OR(F286="",I286=""),"",IF(COUNTIFS(F$6:F286,F286,I$6:I286,"?*")=1,MAX(W$5:W285)+1,""))</f>
        <v/>
      </c>
    </row>
    <row r="287">
      <c r="B287" s="15" t="n"/>
      <c r="C287" s="16" t="n"/>
      <c r="D287" s="17" t="n"/>
      <c r="E287" s="17" t="n"/>
      <c r="F287" s="17" t="n"/>
      <c r="G287" s="17" t="n"/>
      <c r="H287" s="18">
        <f>IF(AND(B287="",C287="",D287="",E287=""),"",IF(B287="","⚠ Falta fecha",IF(C287="","⚠ Falta monto",IF(D287="","⚠ Falta categoría",IF(ISNA(MATCH(D287,catNom,0)),"⚠ Categoría no existe",IF(E287="","⚠ Falta cuenta",IF(ISNA(MATCH(E287,ctaNom,0)),"⚠ Cuenta no existe",IF(AND(OR(I287="Transferencia",I287="Pago tarjeta"),G287=""),"⚠ Indica la cuenta «Hacia»",IF(AND(G287&lt;&gt;"",G287=E287),"⚠ «Hacia» igual a la cuenta",IF(AND(G287&lt;&gt;"",ISNA(MATCH(G287,ctaNom,0))),"⚠ «Hacia» no existe",IF(AND(I287="Pago tarjeta",IFERROR(INDEX(ctaTipo,MATCH(G287,ctaNom,0)),"")&lt;&gt;"Tarjeta de crédito"),"⚠ «Hacia» debe ser la tarjeta",IF(AND(I287="Trading",IFERROR(INDEX(ctaTipo,MATCH(E287,ctaNom,0)),"")&lt;&gt;"Cuenta de trading"),"⚠ Usa la cuenta de trading","✓"))))))))))))</f>
        <v/>
      </c>
      <c r="I287" s="19">
        <f>IF(OR(B287="",C287="",D287=""),"",IFERROR(INDEX(catTipo,MATCH(D287,catNom,0))&amp;"",""))</f>
        <v/>
      </c>
      <c r="J287" s="19">
        <f>IF(I287="","",IFERROR(INDEX(catGrupo,MATCH(D287,catNom,0))&amp;"",""))</f>
        <v/>
      </c>
      <c r="K287" s="19">
        <f>IF(I287="Gasto",IF(IFERROR(INDEX(catClas,MATCH(D287,catNom,0))&amp;"","")="","Variable",IFERROR(INDEX(catClas,MATCH(D287,catNom,0))&amp;"","")),"")</f>
        <v/>
      </c>
      <c r="L287" s="19">
        <f>IF(I287="","",IFERROR(INDEX(catAlim,MATCH(D287,catNom,0))&amp;"",""))</f>
        <v/>
      </c>
      <c r="M287" s="19">
        <f>IF(I287="","",IFERROR(INDEX(catComida,MATCH(D287,catNom,0))&amp;"",""))</f>
        <v/>
      </c>
      <c r="N287" s="19">
        <f>IF(I287="","",IFERROR(INDEX(ctaMon,MATCH(E287,ctaNom,0))&amp;"","DOP"))</f>
        <v/>
      </c>
      <c r="O287" s="20">
        <f>IF(I287="","",C287*IF(N287="USD",TasaUSD,1))</f>
        <v/>
      </c>
      <c r="P287" s="20">
        <f>IF(I287="","",IF(I287="Gasto",O287,0))</f>
        <v/>
      </c>
      <c r="Q287" s="20">
        <f>IF(I287="","",IF(I287="Ingreso",O287,0))</f>
        <v/>
      </c>
      <c r="R287" s="20">
        <f>IF(I287="","",IF(I287="Trading",O287,0))</f>
        <v/>
      </c>
      <c r="S287" s="19">
        <f>IF(I287="","",IF(AND(I287="Gasto",K287="Variable",J287&lt;&gt;"Trading",O287&gt;0,O287&lt;=Umbral),1,0))</f>
        <v/>
      </c>
      <c r="T287" s="20">
        <f>IF(OR(I287="",E287=""),"",IF(OR(I287="Gasto",I287="Transferencia",I287="Pago tarjeta"),-1,1)*C287)</f>
        <v/>
      </c>
      <c r="U287" s="20">
        <f>IF(OR(G287="",AND(I287&lt;&gt;"Transferencia",I287&lt;&gt;"Pago tarjeta")),"",IF(IFERROR(INDEX(ctaMon,MATCH(G287,ctaNom,0))&amp;"","DOP")=N287,C287,IF(N287="USD",C287*TasaUSD,C287/TasaUSD)))</f>
        <v/>
      </c>
      <c r="V287" s="20">
        <f>IF(I287="","",IF(IFERROR(INDEX(ctaLiq,MATCH(E287,ctaNom,0))="Sí",FALSE),IF(OR(I287="Gasto",I287="Transferencia",I287="Pago tarjeta"),-1,1)*O287,0)+IF(AND(U287&lt;&gt;"",IFERROR(INDEX(ctaLiq,MATCH(G287,ctaNom,0))="Sí",FALSE)),O287,0))</f>
        <v/>
      </c>
      <c r="W287" s="19">
        <f>IF(OR(F287="",I287=""),"",IF(COUNTIFS(F$6:F287,F287,I$6:I287,"?*")=1,MAX(W$5:W286)+1,""))</f>
        <v/>
      </c>
    </row>
    <row r="288">
      <c r="B288" s="15" t="n"/>
      <c r="C288" s="16" t="n"/>
      <c r="D288" s="17" t="n"/>
      <c r="E288" s="17" t="n"/>
      <c r="F288" s="17" t="n"/>
      <c r="G288" s="17" t="n"/>
      <c r="H288" s="18">
        <f>IF(AND(B288="",C288="",D288="",E288=""),"",IF(B288="","⚠ Falta fecha",IF(C288="","⚠ Falta monto",IF(D288="","⚠ Falta categoría",IF(ISNA(MATCH(D288,catNom,0)),"⚠ Categoría no existe",IF(E288="","⚠ Falta cuenta",IF(ISNA(MATCH(E288,ctaNom,0)),"⚠ Cuenta no existe",IF(AND(OR(I288="Transferencia",I288="Pago tarjeta"),G288=""),"⚠ Indica la cuenta «Hacia»",IF(AND(G288&lt;&gt;"",G288=E288),"⚠ «Hacia» igual a la cuenta",IF(AND(G288&lt;&gt;"",ISNA(MATCH(G288,ctaNom,0))),"⚠ «Hacia» no existe",IF(AND(I288="Pago tarjeta",IFERROR(INDEX(ctaTipo,MATCH(G288,ctaNom,0)),"")&lt;&gt;"Tarjeta de crédito"),"⚠ «Hacia» debe ser la tarjeta",IF(AND(I288="Trading",IFERROR(INDEX(ctaTipo,MATCH(E288,ctaNom,0)),"")&lt;&gt;"Cuenta de trading"),"⚠ Usa la cuenta de trading","✓"))))))))))))</f>
        <v/>
      </c>
      <c r="I288" s="19">
        <f>IF(OR(B288="",C288="",D288=""),"",IFERROR(INDEX(catTipo,MATCH(D288,catNom,0))&amp;"",""))</f>
        <v/>
      </c>
      <c r="J288" s="19">
        <f>IF(I288="","",IFERROR(INDEX(catGrupo,MATCH(D288,catNom,0))&amp;"",""))</f>
        <v/>
      </c>
      <c r="K288" s="19">
        <f>IF(I288="Gasto",IF(IFERROR(INDEX(catClas,MATCH(D288,catNom,0))&amp;"","")="","Variable",IFERROR(INDEX(catClas,MATCH(D288,catNom,0))&amp;"","")),"")</f>
        <v/>
      </c>
      <c r="L288" s="19">
        <f>IF(I288="","",IFERROR(INDEX(catAlim,MATCH(D288,catNom,0))&amp;"",""))</f>
        <v/>
      </c>
      <c r="M288" s="19">
        <f>IF(I288="","",IFERROR(INDEX(catComida,MATCH(D288,catNom,0))&amp;"",""))</f>
        <v/>
      </c>
      <c r="N288" s="19">
        <f>IF(I288="","",IFERROR(INDEX(ctaMon,MATCH(E288,ctaNom,0))&amp;"","DOP"))</f>
        <v/>
      </c>
      <c r="O288" s="20">
        <f>IF(I288="","",C288*IF(N288="USD",TasaUSD,1))</f>
        <v/>
      </c>
      <c r="P288" s="20">
        <f>IF(I288="","",IF(I288="Gasto",O288,0))</f>
        <v/>
      </c>
      <c r="Q288" s="20">
        <f>IF(I288="","",IF(I288="Ingreso",O288,0))</f>
        <v/>
      </c>
      <c r="R288" s="20">
        <f>IF(I288="","",IF(I288="Trading",O288,0))</f>
        <v/>
      </c>
      <c r="S288" s="19">
        <f>IF(I288="","",IF(AND(I288="Gasto",K288="Variable",J288&lt;&gt;"Trading",O288&gt;0,O288&lt;=Umbral),1,0))</f>
        <v/>
      </c>
      <c r="T288" s="20">
        <f>IF(OR(I288="",E288=""),"",IF(OR(I288="Gasto",I288="Transferencia",I288="Pago tarjeta"),-1,1)*C288)</f>
        <v/>
      </c>
      <c r="U288" s="20">
        <f>IF(OR(G288="",AND(I288&lt;&gt;"Transferencia",I288&lt;&gt;"Pago tarjeta")),"",IF(IFERROR(INDEX(ctaMon,MATCH(G288,ctaNom,0))&amp;"","DOP")=N288,C288,IF(N288="USD",C288*TasaUSD,C288/TasaUSD)))</f>
        <v/>
      </c>
      <c r="V288" s="20">
        <f>IF(I288="","",IF(IFERROR(INDEX(ctaLiq,MATCH(E288,ctaNom,0))="Sí",FALSE),IF(OR(I288="Gasto",I288="Transferencia",I288="Pago tarjeta"),-1,1)*O288,0)+IF(AND(U288&lt;&gt;"",IFERROR(INDEX(ctaLiq,MATCH(G288,ctaNom,0))="Sí",FALSE)),O288,0))</f>
        <v/>
      </c>
      <c r="W288" s="19">
        <f>IF(OR(F288="",I288=""),"",IF(COUNTIFS(F$6:F288,F288,I$6:I288,"?*")=1,MAX(W$5:W287)+1,""))</f>
        <v/>
      </c>
    </row>
    <row r="289">
      <c r="B289" s="15" t="n"/>
      <c r="C289" s="16" t="n"/>
      <c r="D289" s="17" t="n"/>
      <c r="E289" s="17" t="n"/>
      <c r="F289" s="17" t="n"/>
      <c r="G289" s="17" t="n"/>
      <c r="H289" s="18">
        <f>IF(AND(B289="",C289="",D289="",E289=""),"",IF(B289="","⚠ Falta fecha",IF(C289="","⚠ Falta monto",IF(D289="","⚠ Falta categoría",IF(ISNA(MATCH(D289,catNom,0)),"⚠ Categoría no existe",IF(E289="","⚠ Falta cuenta",IF(ISNA(MATCH(E289,ctaNom,0)),"⚠ Cuenta no existe",IF(AND(OR(I289="Transferencia",I289="Pago tarjeta"),G289=""),"⚠ Indica la cuenta «Hacia»",IF(AND(G289&lt;&gt;"",G289=E289),"⚠ «Hacia» igual a la cuenta",IF(AND(G289&lt;&gt;"",ISNA(MATCH(G289,ctaNom,0))),"⚠ «Hacia» no existe",IF(AND(I289="Pago tarjeta",IFERROR(INDEX(ctaTipo,MATCH(G289,ctaNom,0)),"")&lt;&gt;"Tarjeta de crédito"),"⚠ «Hacia» debe ser la tarjeta",IF(AND(I289="Trading",IFERROR(INDEX(ctaTipo,MATCH(E289,ctaNom,0)),"")&lt;&gt;"Cuenta de trading"),"⚠ Usa la cuenta de trading","✓"))))))))))))</f>
        <v/>
      </c>
      <c r="I289" s="19">
        <f>IF(OR(B289="",C289="",D289=""),"",IFERROR(INDEX(catTipo,MATCH(D289,catNom,0))&amp;"",""))</f>
        <v/>
      </c>
      <c r="J289" s="19">
        <f>IF(I289="","",IFERROR(INDEX(catGrupo,MATCH(D289,catNom,0))&amp;"",""))</f>
        <v/>
      </c>
      <c r="K289" s="19">
        <f>IF(I289="Gasto",IF(IFERROR(INDEX(catClas,MATCH(D289,catNom,0))&amp;"","")="","Variable",IFERROR(INDEX(catClas,MATCH(D289,catNom,0))&amp;"","")),"")</f>
        <v/>
      </c>
      <c r="L289" s="19">
        <f>IF(I289="","",IFERROR(INDEX(catAlim,MATCH(D289,catNom,0))&amp;"",""))</f>
        <v/>
      </c>
      <c r="M289" s="19">
        <f>IF(I289="","",IFERROR(INDEX(catComida,MATCH(D289,catNom,0))&amp;"",""))</f>
        <v/>
      </c>
      <c r="N289" s="19">
        <f>IF(I289="","",IFERROR(INDEX(ctaMon,MATCH(E289,ctaNom,0))&amp;"","DOP"))</f>
        <v/>
      </c>
      <c r="O289" s="20">
        <f>IF(I289="","",C289*IF(N289="USD",TasaUSD,1))</f>
        <v/>
      </c>
      <c r="P289" s="20">
        <f>IF(I289="","",IF(I289="Gasto",O289,0))</f>
        <v/>
      </c>
      <c r="Q289" s="20">
        <f>IF(I289="","",IF(I289="Ingreso",O289,0))</f>
        <v/>
      </c>
      <c r="R289" s="20">
        <f>IF(I289="","",IF(I289="Trading",O289,0))</f>
        <v/>
      </c>
      <c r="S289" s="19">
        <f>IF(I289="","",IF(AND(I289="Gasto",K289="Variable",J289&lt;&gt;"Trading",O289&gt;0,O289&lt;=Umbral),1,0))</f>
        <v/>
      </c>
      <c r="T289" s="20">
        <f>IF(OR(I289="",E289=""),"",IF(OR(I289="Gasto",I289="Transferencia",I289="Pago tarjeta"),-1,1)*C289)</f>
        <v/>
      </c>
      <c r="U289" s="20">
        <f>IF(OR(G289="",AND(I289&lt;&gt;"Transferencia",I289&lt;&gt;"Pago tarjeta")),"",IF(IFERROR(INDEX(ctaMon,MATCH(G289,ctaNom,0))&amp;"","DOP")=N289,C289,IF(N289="USD",C289*TasaUSD,C289/TasaUSD)))</f>
        <v/>
      </c>
      <c r="V289" s="20">
        <f>IF(I289="","",IF(IFERROR(INDEX(ctaLiq,MATCH(E289,ctaNom,0))="Sí",FALSE),IF(OR(I289="Gasto",I289="Transferencia",I289="Pago tarjeta"),-1,1)*O289,0)+IF(AND(U289&lt;&gt;"",IFERROR(INDEX(ctaLiq,MATCH(G289,ctaNom,0))="Sí",FALSE)),O289,0))</f>
        <v/>
      </c>
      <c r="W289" s="19">
        <f>IF(OR(F289="",I289=""),"",IF(COUNTIFS(F$6:F289,F289,I$6:I289,"?*")=1,MAX(W$5:W288)+1,""))</f>
        <v/>
      </c>
    </row>
    <row r="290">
      <c r="B290" s="15" t="n"/>
      <c r="C290" s="16" t="n"/>
      <c r="D290" s="17" t="n"/>
      <c r="E290" s="17" t="n"/>
      <c r="F290" s="17" t="n"/>
      <c r="G290" s="17" t="n"/>
      <c r="H290" s="18">
        <f>IF(AND(B290="",C290="",D290="",E290=""),"",IF(B290="","⚠ Falta fecha",IF(C290="","⚠ Falta monto",IF(D290="","⚠ Falta categoría",IF(ISNA(MATCH(D290,catNom,0)),"⚠ Categoría no existe",IF(E290="","⚠ Falta cuenta",IF(ISNA(MATCH(E290,ctaNom,0)),"⚠ Cuenta no existe",IF(AND(OR(I290="Transferencia",I290="Pago tarjeta"),G290=""),"⚠ Indica la cuenta «Hacia»",IF(AND(G290&lt;&gt;"",G290=E290),"⚠ «Hacia» igual a la cuenta",IF(AND(G290&lt;&gt;"",ISNA(MATCH(G290,ctaNom,0))),"⚠ «Hacia» no existe",IF(AND(I290="Pago tarjeta",IFERROR(INDEX(ctaTipo,MATCH(G290,ctaNom,0)),"")&lt;&gt;"Tarjeta de crédito"),"⚠ «Hacia» debe ser la tarjeta",IF(AND(I290="Trading",IFERROR(INDEX(ctaTipo,MATCH(E290,ctaNom,0)),"")&lt;&gt;"Cuenta de trading"),"⚠ Usa la cuenta de trading","✓"))))))))))))</f>
        <v/>
      </c>
      <c r="I290" s="19">
        <f>IF(OR(B290="",C290="",D290=""),"",IFERROR(INDEX(catTipo,MATCH(D290,catNom,0))&amp;"",""))</f>
        <v/>
      </c>
      <c r="J290" s="19">
        <f>IF(I290="","",IFERROR(INDEX(catGrupo,MATCH(D290,catNom,0))&amp;"",""))</f>
        <v/>
      </c>
      <c r="K290" s="19">
        <f>IF(I290="Gasto",IF(IFERROR(INDEX(catClas,MATCH(D290,catNom,0))&amp;"","")="","Variable",IFERROR(INDEX(catClas,MATCH(D290,catNom,0))&amp;"","")),"")</f>
        <v/>
      </c>
      <c r="L290" s="19">
        <f>IF(I290="","",IFERROR(INDEX(catAlim,MATCH(D290,catNom,0))&amp;"",""))</f>
        <v/>
      </c>
      <c r="M290" s="19">
        <f>IF(I290="","",IFERROR(INDEX(catComida,MATCH(D290,catNom,0))&amp;"",""))</f>
        <v/>
      </c>
      <c r="N290" s="19">
        <f>IF(I290="","",IFERROR(INDEX(ctaMon,MATCH(E290,ctaNom,0))&amp;"","DOP"))</f>
        <v/>
      </c>
      <c r="O290" s="20">
        <f>IF(I290="","",C290*IF(N290="USD",TasaUSD,1))</f>
        <v/>
      </c>
      <c r="P290" s="20">
        <f>IF(I290="","",IF(I290="Gasto",O290,0))</f>
        <v/>
      </c>
      <c r="Q290" s="20">
        <f>IF(I290="","",IF(I290="Ingreso",O290,0))</f>
        <v/>
      </c>
      <c r="R290" s="20">
        <f>IF(I290="","",IF(I290="Trading",O290,0))</f>
        <v/>
      </c>
      <c r="S290" s="19">
        <f>IF(I290="","",IF(AND(I290="Gasto",K290="Variable",J290&lt;&gt;"Trading",O290&gt;0,O290&lt;=Umbral),1,0))</f>
        <v/>
      </c>
      <c r="T290" s="20">
        <f>IF(OR(I290="",E290=""),"",IF(OR(I290="Gasto",I290="Transferencia",I290="Pago tarjeta"),-1,1)*C290)</f>
        <v/>
      </c>
      <c r="U290" s="20">
        <f>IF(OR(G290="",AND(I290&lt;&gt;"Transferencia",I290&lt;&gt;"Pago tarjeta")),"",IF(IFERROR(INDEX(ctaMon,MATCH(G290,ctaNom,0))&amp;"","DOP")=N290,C290,IF(N290="USD",C290*TasaUSD,C290/TasaUSD)))</f>
        <v/>
      </c>
      <c r="V290" s="20">
        <f>IF(I290="","",IF(IFERROR(INDEX(ctaLiq,MATCH(E290,ctaNom,0))="Sí",FALSE),IF(OR(I290="Gasto",I290="Transferencia",I290="Pago tarjeta"),-1,1)*O290,0)+IF(AND(U290&lt;&gt;"",IFERROR(INDEX(ctaLiq,MATCH(G290,ctaNom,0))="Sí",FALSE)),O290,0))</f>
        <v/>
      </c>
      <c r="W290" s="19">
        <f>IF(OR(F290="",I290=""),"",IF(COUNTIFS(F$6:F290,F290,I$6:I290,"?*")=1,MAX(W$5:W289)+1,""))</f>
        <v/>
      </c>
    </row>
    <row r="291">
      <c r="B291" s="15" t="n"/>
      <c r="C291" s="16" t="n"/>
      <c r="D291" s="17" t="n"/>
      <c r="E291" s="17" t="n"/>
      <c r="F291" s="17" t="n"/>
      <c r="G291" s="17" t="n"/>
      <c r="H291" s="18">
        <f>IF(AND(B291="",C291="",D291="",E291=""),"",IF(B291="","⚠ Falta fecha",IF(C291="","⚠ Falta monto",IF(D291="","⚠ Falta categoría",IF(ISNA(MATCH(D291,catNom,0)),"⚠ Categoría no existe",IF(E291="","⚠ Falta cuenta",IF(ISNA(MATCH(E291,ctaNom,0)),"⚠ Cuenta no existe",IF(AND(OR(I291="Transferencia",I291="Pago tarjeta"),G291=""),"⚠ Indica la cuenta «Hacia»",IF(AND(G291&lt;&gt;"",G291=E291),"⚠ «Hacia» igual a la cuenta",IF(AND(G291&lt;&gt;"",ISNA(MATCH(G291,ctaNom,0))),"⚠ «Hacia» no existe",IF(AND(I291="Pago tarjeta",IFERROR(INDEX(ctaTipo,MATCH(G291,ctaNom,0)),"")&lt;&gt;"Tarjeta de crédito"),"⚠ «Hacia» debe ser la tarjeta",IF(AND(I291="Trading",IFERROR(INDEX(ctaTipo,MATCH(E291,ctaNom,0)),"")&lt;&gt;"Cuenta de trading"),"⚠ Usa la cuenta de trading","✓"))))))))))))</f>
        <v/>
      </c>
      <c r="I291" s="19">
        <f>IF(OR(B291="",C291="",D291=""),"",IFERROR(INDEX(catTipo,MATCH(D291,catNom,0))&amp;"",""))</f>
        <v/>
      </c>
      <c r="J291" s="19">
        <f>IF(I291="","",IFERROR(INDEX(catGrupo,MATCH(D291,catNom,0))&amp;"",""))</f>
        <v/>
      </c>
      <c r="K291" s="19">
        <f>IF(I291="Gasto",IF(IFERROR(INDEX(catClas,MATCH(D291,catNom,0))&amp;"","")="","Variable",IFERROR(INDEX(catClas,MATCH(D291,catNom,0))&amp;"","")),"")</f>
        <v/>
      </c>
      <c r="L291" s="19">
        <f>IF(I291="","",IFERROR(INDEX(catAlim,MATCH(D291,catNom,0))&amp;"",""))</f>
        <v/>
      </c>
      <c r="M291" s="19">
        <f>IF(I291="","",IFERROR(INDEX(catComida,MATCH(D291,catNom,0))&amp;"",""))</f>
        <v/>
      </c>
      <c r="N291" s="19">
        <f>IF(I291="","",IFERROR(INDEX(ctaMon,MATCH(E291,ctaNom,0))&amp;"","DOP"))</f>
        <v/>
      </c>
      <c r="O291" s="20">
        <f>IF(I291="","",C291*IF(N291="USD",TasaUSD,1))</f>
        <v/>
      </c>
      <c r="P291" s="20">
        <f>IF(I291="","",IF(I291="Gasto",O291,0))</f>
        <v/>
      </c>
      <c r="Q291" s="20">
        <f>IF(I291="","",IF(I291="Ingreso",O291,0))</f>
        <v/>
      </c>
      <c r="R291" s="20">
        <f>IF(I291="","",IF(I291="Trading",O291,0))</f>
        <v/>
      </c>
      <c r="S291" s="19">
        <f>IF(I291="","",IF(AND(I291="Gasto",K291="Variable",J291&lt;&gt;"Trading",O291&gt;0,O291&lt;=Umbral),1,0))</f>
        <v/>
      </c>
      <c r="T291" s="20">
        <f>IF(OR(I291="",E291=""),"",IF(OR(I291="Gasto",I291="Transferencia",I291="Pago tarjeta"),-1,1)*C291)</f>
        <v/>
      </c>
      <c r="U291" s="20">
        <f>IF(OR(G291="",AND(I291&lt;&gt;"Transferencia",I291&lt;&gt;"Pago tarjeta")),"",IF(IFERROR(INDEX(ctaMon,MATCH(G291,ctaNom,0))&amp;"","DOP")=N291,C291,IF(N291="USD",C291*TasaUSD,C291/TasaUSD)))</f>
        <v/>
      </c>
      <c r="V291" s="20">
        <f>IF(I291="","",IF(IFERROR(INDEX(ctaLiq,MATCH(E291,ctaNom,0))="Sí",FALSE),IF(OR(I291="Gasto",I291="Transferencia",I291="Pago tarjeta"),-1,1)*O291,0)+IF(AND(U291&lt;&gt;"",IFERROR(INDEX(ctaLiq,MATCH(G291,ctaNom,0))="Sí",FALSE)),O291,0))</f>
        <v/>
      </c>
      <c r="W291" s="19">
        <f>IF(OR(F291="",I291=""),"",IF(COUNTIFS(F$6:F291,F291,I$6:I291,"?*")=1,MAX(W$5:W290)+1,""))</f>
        <v/>
      </c>
    </row>
    <row r="292">
      <c r="B292" s="15" t="n"/>
      <c r="C292" s="16" t="n"/>
      <c r="D292" s="17" t="n"/>
      <c r="E292" s="17" t="n"/>
      <c r="F292" s="17" t="n"/>
      <c r="G292" s="17" t="n"/>
      <c r="H292" s="18">
        <f>IF(AND(B292="",C292="",D292="",E292=""),"",IF(B292="","⚠ Falta fecha",IF(C292="","⚠ Falta monto",IF(D292="","⚠ Falta categoría",IF(ISNA(MATCH(D292,catNom,0)),"⚠ Categoría no existe",IF(E292="","⚠ Falta cuenta",IF(ISNA(MATCH(E292,ctaNom,0)),"⚠ Cuenta no existe",IF(AND(OR(I292="Transferencia",I292="Pago tarjeta"),G292=""),"⚠ Indica la cuenta «Hacia»",IF(AND(G292&lt;&gt;"",G292=E292),"⚠ «Hacia» igual a la cuenta",IF(AND(G292&lt;&gt;"",ISNA(MATCH(G292,ctaNom,0))),"⚠ «Hacia» no existe",IF(AND(I292="Pago tarjeta",IFERROR(INDEX(ctaTipo,MATCH(G292,ctaNom,0)),"")&lt;&gt;"Tarjeta de crédito"),"⚠ «Hacia» debe ser la tarjeta",IF(AND(I292="Trading",IFERROR(INDEX(ctaTipo,MATCH(E292,ctaNom,0)),"")&lt;&gt;"Cuenta de trading"),"⚠ Usa la cuenta de trading","✓"))))))))))))</f>
        <v/>
      </c>
      <c r="I292" s="19">
        <f>IF(OR(B292="",C292="",D292=""),"",IFERROR(INDEX(catTipo,MATCH(D292,catNom,0))&amp;"",""))</f>
        <v/>
      </c>
      <c r="J292" s="19">
        <f>IF(I292="","",IFERROR(INDEX(catGrupo,MATCH(D292,catNom,0))&amp;"",""))</f>
        <v/>
      </c>
      <c r="K292" s="19">
        <f>IF(I292="Gasto",IF(IFERROR(INDEX(catClas,MATCH(D292,catNom,0))&amp;"","")="","Variable",IFERROR(INDEX(catClas,MATCH(D292,catNom,0))&amp;"","")),"")</f>
        <v/>
      </c>
      <c r="L292" s="19">
        <f>IF(I292="","",IFERROR(INDEX(catAlim,MATCH(D292,catNom,0))&amp;"",""))</f>
        <v/>
      </c>
      <c r="M292" s="19">
        <f>IF(I292="","",IFERROR(INDEX(catComida,MATCH(D292,catNom,0))&amp;"",""))</f>
        <v/>
      </c>
      <c r="N292" s="19">
        <f>IF(I292="","",IFERROR(INDEX(ctaMon,MATCH(E292,ctaNom,0))&amp;"","DOP"))</f>
        <v/>
      </c>
      <c r="O292" s="20">
        <f>IF(I292="","",C292*IF(N292="USD",TasaUSD,1))</f>
        <v/>
      </c>
      <c r="P292" s="20">
        <f>IF(I292="","",IF(I292="Gasto",O292,0))</f>
        <v/>
      </c>
      <c r="Q292" s="20">
        <f>IF(I292="","",IF(I292="Ingreso",O292,0))</f>
        <v/>
      </c>
      <c r="R292" s="20">
        <f>IF(I292="","",IF(I292="Trading",O292,0))</f>
        <v/>
      </c>
      <c r="S292" s="19">
        <f>IF(I292="","",IF(AND(I292="Gasto",K292="Variable",J292&lt;&gt;"Trading",O292&gt;0,O292&lt;=Umbral),1,0))</f>
        <v/>
      </c>
      <c r="T292" s="20">
        <f>IF(OR(I292="",E292=""),"",IF(OR(I292="Gasto",I292="Transferencia",I292="Pago tarjeta"),-1,1)*C292)</f>
        <v/>
      </c>
      <c r="U292" s="20">
        <f>IF(OR(G292="",AND(I292&lt;&gt;"Transferencia",I292&lt;&gt;"Pago tarjeta")),"",IF(IFERROR(INDEX(ctaMon,MATCH(G292,ctaNom,0))&amp;"","DOP")=N292,C292,IF(N292="USD",C292*TasaUSD,C292/TasaUSD)))</f>
        <v/>
      </c>
      <c r="V292" s="20">
        <f>IF(I292="","",IF(IFERROR(INDEX(ctaLiq,MATCH(E292,ctaNom,0))="Sí",FALSE),IF(OR(I292="Gasto",I292="Transferencia",I292="Pago tarjeta"),-1,1)*O292,0)+IF(AND(U292&lt;&gt;"",IFERROR(INDEX(ctaLiq,MATCH(G292,ctaNom,0))="Sí",FALSE)),O292,0))</f>
        <v/>
      </c>
      <c r="W292" s="19">
        <f>IF(OR(F292="",I292=""),"",IF(COUNTIFS(F$6:F292,F292,I$6:I292,"?*")=1,MAX(W$5:W291)+1,""))</f>
        <v/>
      </c>
    </row>
    <row r="293">
      <c r="B293" s="15" t="n"/>
      <c r="C293" s="16" t="n"/>
      <c r="D293" s="17" t="n"/>
      <c r="E293" s="17" t="n"/>
      <c r="F293" s="17" t="n"/>
      <c r="G293" s="17" t="n"/>
      <c r="H293" s="18">
        <f>IF(AND(B293="",C293="",D293="",E293=""),"",IF(B293="","⚠ Falta fecha",IF(C293="","⚠ Falta monto",IF(D293="","⚠ Falta categoría",IF(ISNA(MATCH(D293,catNom,0)),"⚠ Categoría no existe",IF(E293="","⚠ Falta cuenta",IF(ISNA(MATCH(E293,ctaNom,0)),"⚠ Cuenta no existe",IF(AND(OR(I293="Transferencia",I293="Pago tarjeta"),G293=""),"⚠ Indica la cuenta «Hacia»",IF(AND(G293&lt;&gt;"",G293=E293),"⚠ «Hacia» igual a la cuenta",IF(AND(G293&lt;&gt;"",ISNA(MATCH(G293,ctaNom,0))),"⚠ «Hacia» no existe",IF(AND(I293="Pago tarjeta",IFERROR(INDEX(ctaTipo,MATCH(G293,ctaNom,0)),"")&lt;&gt;"Tarjeta de crédito"),"⚠ «Hacia» debe ser la tarjeta",IF(AND(I293="Trading",IFERROR(INDEX(ctaTipo,MATCH(E293,ctaNom,0)),"")&lt;&gt;"Cuenta de trading"),"⚠ Usa la cuenta de trading","✓"))))))))))))</f>
        <v/>
      </c>
      <c r="I293" s="19">
        <f>IF(OR(B293="",C293="",D293=""),"",IFERROR(INDEX(catTipo,MATCH(D293,catNom,0))&amp;"",""))</f>
        <v/>
      </c>
      <c r="J293" s="19">
        <f>IF(I293="","",IFERROR(INDEX(catGrupo,MATCH(D293,catNom,0))&amp;"",""))</f>
        <v/>
      </c>
      <c r="K293" s="19">
        <f>IF(I293="Gasto",IF(IFERROR(INDEX(catClas,MATCH(D293,catNom,0))&amp;"","")="","Variable",IFERROR(INDEX(catClas,MATCH(D293,catNom,0))&amp;"","")),"")</f>
        <v/>
      </c>
      <c r="L293" s="19">
        <f>IF(I293="","",IFERROR(INDEX(catAlim,MATCH(D293,catNom,0))&amp;"",""))</f>
        <v/>
      </c>
      <c r="M293" s="19">
        <f>IF(I293="","",IFERROR(INDEX(catComida,MATCH(D293,catNom,0))&amp;"",""))</f>
        <v/>
      </c>
      <c r="N293" s="19">
        <f>IF(I293="","",IFERROR(INDEX(ctaMon,MATCH(E293,ctaNom,0))&amp;"","DOP"))</f>
        <v/>
      </c>
      <c r="O293" s="20">
        <f>IF(I293="","",C293*IF(N293="USD",TasaUSD,1))</f>
        <v/>
      </c>
      <c r="P293" s="20">
        <f>IF(I293="","",IF(I293="Gasto",O293,0))</f>
        <v/>
      </c>
      <c r="Q293" s="20">
        <f>IF(I293="","",IF(I293="Ingreso",O293,0))</f>
        <v/>
      </c>
      <c r="R293" s="20">
        <f>IF(I293="","",IF(I293="Trading",O293,0))</f>
        <v/>
      </c>
      <c r="S293" s="19">
        <f>IF(I293="","",IF(AND(I293="Gasto",K293="Variable",J293&lt;&gt;"Trading",O293&gt;0,O293&lt;=Umbral),1,0))</f>
        <v/>
      </c>
      <c r="T293" s="20">
        <f>IF(OR(I293="",E293=""),"",IF(OR(I293="Gasto",I293="Transferencia",I293="Pago tarjeta"),-1,1)*C293)</f>
        <v/>
      </c>
      <c r="U293" s="20">
        <f>IF(OR(G293="",AND(I293&lt;&gt;"Transferencia",I293&lt;&gt;"Pago tarjeta")),"",IF(IFERROR(INDEX(ctaMon,MATCH(G293,ctaNom,0))&amp;"","DOP")=N293,C293,IF(N293="USD",C293*TasaUSD,C293/TasaUSD)))</f>
        <v/>
      </c>
      <c r="V293" s="20">
        <f>IF(I293="","",IF(IFERROR(INDEX(ctaLiq,MATCH(E293,ctaNom,0))="Sí",FALSE),IF(OR(I293="Gasto",I293="Transferencia",I293="Pago tarjeta"),-1,1)*O293,0)+IF(AND(U293&lt;&gt;"",IFERROR(INDEX(ctaLiq,MATCH(G293,ctaNom,0))="Sí",FALSE)),O293,0))</f>
        <v/>
      </c>
      <c r="W293" s="19">
        <f>IF(OR(F293="",I293=""),"",IF(COUNTIFS(F$6:F293,F293,I$6:I293,"?*")=1,MAX(W$5:W292)+1,""))</f>
        <v/>
      </c>
    </row>
    <row r="294">
      <c r="B294" s="15" t="n"/>
      <c r="C294" s="16" t="n"/>
      <c r="D294" s="17" t="n"/>
      <c r="E294" s="17" t="n"/>
      <c r="F294" s="17" t="n"/>
      <c r="G294" s="17" t="n"/>
      <c r="H294" s="18">
        <f>IF(AND(B294="",C294="",D294="",E294=""),"",IF(B294="","⚠ Falta fecha",IF(C294="","⚠ Falta monto",IF(D294="","⚠ Falta categoría",IF(ISNA(MATCH(D294,catNom,0)),"⚠ Categoría no existe",IF(E294="","⚠ Falta cuenta",IF(ISNA(MATCH(E294,ctaNom,0)),"⚠ Cuenta no existe",IF(AND(OR(I294="Transferencia",I294="Pago tarjeta"),G294=""),"⚠ Indica la cuenta «Hacia»",IF(AND(G294&lt;&gt;"",G294=E294),"⚠ «Hacia» igual a la cuenta",IF(AND(G294&lt;&gt;"",ISNA(MATCH(G294,ctaNom,0))),"⚠ «Hacia» no existe",IF(AND(I294="Pago tarjeta",IFERROR(INDEX(ctaTipo,MATCH(G294,ctaNom,0)),"")&lt;&gt;"Tarjeta de crédito"),"⚠ «Hacia» debe ser la tarjeta",IF(AND(I294="Trading",IFERROR(INDEX(ctaTipo,MATCH(E294,ctaNom,0)),"")&lt;&gt;"Cuenta de trading"),"⚠ Usa la cuenta de trading","✓"))))))))))))</f>
        <v/>
      </c>
      <c r="I294" s="19">
        <f>IF(OR(B294="",C294="",D294=""),"",IFERROR(INDEX(catTipo,MATCH(D294,catNom,0))&amp;"",""))</f>
        <v/>
      </c>
      <c r="J294" s="19">
        <f>IF(I294="","",IFERROR(INDEX(catGrupo,MATCH(D294,catNom,0))&amp;"",""))</f>
        <v/>
      </c>
      <c r="K294" s="19">
        <f>IF(I294="Gasto",IF(IFERROR(INDEX(catClas,MATCH(D294,catNom,0))&amp;"","")="","Variable",IFERROR(INDEX(catClas,MATCH(D294,catNom,0))&amp;"","")),"")</f>
        <v/>
      </c>
      <c r="L294" s="19">
        <f>IF(I294="","",IFERROR(INDEX(catAlim,MATCH(D294,catNom,0))&amp;"",""))</f>
        <v/>
      </c>
      <c r="M294" s="19">
        <f>IF(I294="","",IFERROR(INDEX(catComida,MATCH(D294,catNom,0))&amp;"",""))</f>
        <v/>
      </c>
      <c r="N294" s="19">
        <f>IF(I294="","",IFERROR(INDEX(ctaMon,MATCH(E294,ctaNom,0))&amp;"","DOP"))</f>
        <v/>
      </c>
      <c r="O294" s="20">
        <f>IF(I294="","",C294*IF(N294="USD",TasaUSD,1))</f>
        <v/>
      </c>
      <c r="P294" s="20">
        <f>IF(I294="","",IF(I294="Gasto",O294,0))</f>
        <v/>
      </c>
      <c r="Q294" s="20">
        <f>IF(I294="","",IF(I294="Ingreso",O294,0))</f>
        <v/>
      </c>
      <c r="R294" s="20">
        <f>IF(I294="","",IF(I294="Trading",O294,0))</f>
        <v/>
      </c>
      <c r="S294" s="19">
        <f>IF(I294="","",IF(AND(I294="Gasto",K294="Variable",J294&lt;&gt;"Trading",O294&gt;0,O294&lt;=Umbral),1,0))</f>
        <v/>
      </c>
      <c r="T294" s="20">
        <f>IF(OR(I294="",E294=""),"",IF(OR(I294="Gasto",I294="Transferencia",I294="Pago tarjeta"),-1,1)*C294)</f>
        <v/>
      </c>
      <c r="U294" s="20">
        <f>IF(OR(G294="",AND(I294&lt;&gt;"Transferencia",I294&lt;&gt;"Pago tarjeta")),"",IF(IFERROR(INDEX(ctaMon,MATCH(G294,ctaNom,0))&amp;"","DOP")=N294,C294,IF(N294="USD",C294*TasaUSD,C294/TasaUSD)))</f>
        <v/>
      </c>
      <c r="V294" s="20">
        <f>IF(I294="","",IF(IFERROR(INDEX(ctaLiq,MATCH(E294,ctaNom,0))="Sí",FALSE),IF(OR(I294="Gasto",I294="Transferencia",I294="Pago tarjeta"),-1,1)*O294,0)+IF(AND(U294&lt;&gt;"",IFERROR(INDEX(ctaLiq,MATCH(G294,ctaNom,0))="Sí",FALSE)),O294,0))</f>
        <v/>
      </c>
      <c r="W294" s="19">
        <f>IF(OR(F294="",I294=""),"",IF(COUNTIFS(F$6:F294,F294,I$6:I294,"?*")=1,MAX(W$5:W293)+1,""))</f>
        <v/>
      </c>
    </row>
    <row r="295">
      <c r="B295" s="15" t="n"/>
      <c r="C295" s="16" t="n"/>
      <c r="D295" s="17" t="n"/>
      <c r="E295" s="17" t="n"/>
      <c r="F295" s="17" t="n"/>
      <c r="G295" s="17" t="n"/>
      <c r="H295" s="18">
        <f>IF(AND(B295="",C295="",D295="",E295=""),"",IF(B295="","⚠ Falta fecha",IF(C295="","⚠ Falta monto",IF(D295="","⚠ Falta categoría",IF(ISNA(MATCH(D295,catNom,0)),"⚠ Categoría no existe",IF(E295="","⚠ Falta cuenta",IF(ISNA(MATCH(E295,ctaNom,0)),"⚠ Cuenta no existe",IF(AND(OR(I295="Transferencia",I295="Pago tarjeta"),G295=""),"⚠ Indica la cuenta «Hacia»",IF(AND(G295&lt;&gt;"",G295=E295),"⚠ «Hacia» igual a la cuenta",IF(AND(G295&lt;&gt;"",ISNA(MATCH(G295,ctaNom,0))),"⚠ «Hacia» no existe",IF(AND(I295="Pago tarjeta",IFERROR(INDEX(ctaTipo,MATCH(G295,ctaNom,0)),"")&lt;&gt;"Tarjeta de crédito"),"⚠ «Hacia» debe ser la tarjeta",IF(AND(I295="Trading",IFERROR(INDEX(ctaTipo,MATCH(E295,ctaNom,0)),"")&lt;&gt;"Cuenta de trading"),"⚠ Usa la cuenta de trading","✓"))))))))))))</f>
        <v/>
      </c>
      <c r="I295" s="19">
        <f>IF(OR(B295="",C295="",D295=""),"",IFERROR(INDEX(catTipo,MATCH(D295,catNom,0))&amp;"",""))</f>
        <v/>
      </c>
      <c r="J295" s="19">
        <f>IF(I295="","",IFERROR(INDEX(catGrupo,MATCH(D295,catNom,0))&amp;"",""))</f>
        <v/>
      </c>
      <c r="K295" s="19">
        <f>IF(I295="Gasto",IF(IFERROR(INDEX(catClas,MATCH(D295,catNom,0))&amp;"","")="","Variable",IFERROR(INDEX(catClas,MATCH(D295,catNom,0))&amp;"","")),"")</f>
        <v/>
      </c>
      <c r="L295" s="19">
        <f>IF(I295="","",IFERROR(INDEX(catAlim,MATCH(D295,catNom,0))&amp;"",""))</f>
        <v/>
      </c>
      <c r="M295" s="19">
        <f>IF(I295="","",IFERROR(INDEX(catComida,MATCH(D295,catNom,0))&amp;"",""))</f>
        <v/>
      </c>
      <c r="N295" s="19">
        <f>IF(I295="","",IFERROR(INDEX(ctaMon,MATCH(E295,ctaNom,0))&amp;"","DOP"))</f>
        <v/>
      </c>
      <c r="O295" s="20">
        <f>IF(I295="","",C295*IF(N295="USD",TasaUSD,1))</f>
        <v/>
      </c>
      <c r="P295" s="20">
        <f>IF(I295="","",IF(I295="Gasto",O295,0))</f>
        <v/>
      </c>
      <c r="Q295" s="20">
        <f>IF(I295="","",IF(I295="Ingreso",O295,0))</f>
        <v/>
      </c>
      <c r="R295" s="20">
        <f>IF(I295="","",IF(I295="Trading",O295,0))</f>
        <v/>
      </c>
      <c r="S295" s="19">
        <f>IF(I295="","",IF(AND(I295="Gasto",K295="Variable",J295&lt;&gt;"Trading",O295&gt;0,O295&lt;=Umbral),1,0))</f>
        <v/>
      </c>
      <c r="T295" s="20">
        <f>IF(OR(I295="",E295=""),"",IF(OR(I295="Gasto",I295="Transferencia",I295="Pago tarjeta"),-1,1)*C295)</f>
        <v/>
      </c>
      <c r="U295" s="20">
        <f>IF(OR(G295="",AND(I295&lt;&gt;"Transferencia",I295&lt;&gt;"Pago tarjeta")),"",IF(IFERROR(INDEX(ctaMon,MATCH(G295,ctaNom,0))&amp;"","DOP")=N295,C295,IF(N295="USD",C295*TasaUSD,C295/TasaUSD)))</f>
        <v/>
      </c>
      <c r="V295" s="20">
        <f>IF(I295="","",IF(IFERROR(INDEX(ctaLiq,MATCH(E295,ctaNom,0))="Sí",FALSE),IF(OR(I295="Gasto",I295="Transferencia",I295="Pago tarjeta"),-1,1)*O295,0)+IF(AND(U295&lt;&gt;"",IFERROR(INDEX(ctaLiq,MATCH(G295,ctaNom,0))="Sí",FALSE)),O295,0))</f>
        <v/>
      </c>
      <c r="W295" s="19">
        <f>IF(OR(F295="",I295=""),"",IF(COUNTIFS(F$6:F295,F295,I$6:I295,"?*")=1,MAX(W$5:W294)+1,""))</f>
        <v/>
      </c>
    </row>
    <row r="296">
      <c r="B296" s="15" t="n"/>
      <c r="C296" s="16" t="n"/>
      <c r="D296" s="17" t="n"/>
      <c r="E296" s="17" t="n"/>
      <c r="F296" s="17" t="n"/>
      <c r="G296" s="17" t="n"/>
      <c r="H296" s="18">
        <f>IF(AND(B296="",C296="",D296="",E296=""),"",IF(B296="","⚠ Falta fecha",IF(C296="","⚠ Falta monto",IF(D296="","⚠ Falta categoría",IF(ISNA(MATCH(D296,catNom,0)),"⚠ Categoría no existe",IF(E296="","⚠ Falta cuenta",IF(ISNA(MATCH(E296,ctaNom,0)),"⚠ Cuenta no existe",IF(AND(OR(I296="Transferencia",I296="Pago tarjeta"),G296=""),"⚠ Indica la cuenta «Hacia»",IF(AND(G296&lt;&gt;"",G296=E296),"⚠ «Hacia» igual a la cuenta",IF(AND(G296&lt;&gt;"",ISNA(MATCH(G296,ctaNom,0))),"⚠ «Hacia» no existe",IF(AND(I296="Pago tarjeta",IFERROR(INDEX(ctaTipo,MATCH(G296,ctaNom,0)),"")&lt;&gt;"Tarjeta de crédito"),"⚠ «Hacia» debe ser la tarjeta",IF(AND(I296="Trading",IFERROR(INDEX(ctaTipo,MATCH(E296,ctaNom,0)),"")&lt;&gt;"Cuenta de trading"),"⚠ Usa la cuenta de trading","✓"))))))))))))</f>
        <v/>
      </c>
      <c r="I296" s="19">
        <f>IF(OR(B296="",C296="",D296=""),"",IFERROR(INDEX(catTipo,MATCH(D296,catNom,0))&amp;"",""))</f>
        <v/>
      </c>
      <c r="J296" s="19">
        <f>IF(I296="","",IFERROR(INDEX(catGrupo,MATCH(D296,catNom,0))&amp;"",""))</f>
        <v/>
      </c>
      <c r="K296" s="19">
        <f>IF(I296="Gasto",IF(IFERROR(INDEX(catClas,MATCH(D296,catNom,0))&amp;"","")="","Variable",IFERROR(INDEX(catClas,MATCH(D296,catNom,0))&amp;"","")),"")</f>
        <v/>
      </c>
      <c r="L296" s="19">
        <f>IF(I296="","",IFERROR(INDEX(catAlim,MATCH(D296,catNom,0))&amp;"",""))</f>
        <v/>
      </c>
      <c r="M296" s="19">
        <f>IF(I296="","",IFERROR(INDEX(catComida,MATCH(D296,catNom,0))&amp;"",""))</f>
        <v/>
      </c>
      <c r="N296" s="19">
        <f>IF(I296="","",IFERROR(INDEX(ctaMon,MATCH(E296,ctaNom,0))&amp;"","DOP"))</f>
        <v/>
      </c>
      <c r="O296" s="20">
        <f>IF(I296="","",C296*IF(N296="USD",TasaUSD,1))</f>
        <v/>
      </c>
      <c r="P296" s="20">
        <f>IF(I296="","",IF(I296="Gasto",O296,0))</f>
        <v/>
      </c>
      <c r="Q296" s="20">
        <f>IF(I296="","",IF(I296="Ingreso",O296,0))</f>
        <v/>
      </c>
      <c r="R296" s="20">
        <f>IF(I296="","",IF(I296="Trading",O296,0))</f>
        <v/>
      </c>
      <c r="S296" s="19">
        <f>IF(I296="","",IF(AND(I296="Gasto",K296="Variable",J296&lt;&gt;"Trading",O296&gt;0,O296&lt;=Umbral),1,0))</f>
        <v/>
      </c>
      <c r="T296" s="20">
        <f>IF(OR(I296="",E296=""),"",IF(OR(I296="Gasto",I296="Transferencia",I296="Pago tarjeta"),-1,1)*C296)</f>
        <v/>
      </c>
      <c r="U296" s="20">
        <f>IF(OR(G296="",AND(I296&lt;&gt;"Transferencia",I296&lt;&gt;"Pago tarjeta")),"",IF(IFERROR(INDEX(ctaMon,MATCH(G296,ctaNom,0))&amp;"","DOP")=N296,C296,IF(N296="USD",C296*TasaUSD,C296/TasaUSD)))</f>
        <v/>
      </c>
      <c r="V296" s="20">
        <f>IF(I296="","",IF(IFERROR(INDEX(ctaLiq,MATCH(E296,ctaNom,0))="Sí",FALSE),IF(OR(I296="Gasto",I296="Transferencia",I296="Pago tarjeta"),-1,1)*O296,0)+IF(AND(U296&lt;&gt;"",IFERROR(INDEX(ctaLiq,MATCH(G296,ctaNom,0))="Sí",FALSE)),O296,0))</f>
        <v/>
      </c>
      <c r="W296" s="19">
        <f>IF(OR(F296="",I296=""),"",IF(COUNTIFS(F$6:F296,F296,I$6:I296,"?*")=1,MAX(W$5:W295)+1,""))</f>
        <v/>
      </c>
    </row>
    <row r="297">
      <c r="B297" s="15" t="n"/>
      <c r="C297" s="16" t="n"/>
      <c r="D297" s="17" t="n"/>
      <c r="E297" s="17" t="n"/>
      <c r="F297" s="17" t="n"/>
      <c r="G297" s="17" t="n"/>
      <c r="H297" s="18">
        <f>IF(AND(B297="",C297="",D297="",E297=""),"",IF(B297="","⚠ Falta fecha",IF(C297="","⚠ Falta monto",IF(D297="","⚠ Falta categoría",IF(ISNA(MATCH(D297,catNom,0)),"⚠ Categoría no existe",IF(E297="","⚠ Falta cuenta",IF(ISNA(MATCH(E297,ctaNom,0)),"⚠ Cuenta no existe",IF(AND(OR(I297="Transferencia",I297="Pago tarjeta"),G297=""),"⚠ Indica la cuenta «Hacia»",IF(AND(G297&lt;&gt;"",G297=E297),"⚠ «Hacia» igual a la cuenta",IF(AND(G297&lt;&gt;"",ISNA(MATCH(G297,ctaNom,0))),"⚠ «Hacia» no existe",IF(AND(I297="Pago tarjeta",IFERROR(INDEX(ctaTipo,MATCH(G297,ctaNom,0)),"")&lt;&gt;"Tarjeta de crédito"),"⚠ «Hacia» debe ser la tarjeta",IF(AND(I297="Trading",IFERROR(INDEX(ctaTipo,MATCH(E297,ctaNom,0)),"")&lt;&gt;"Cuenta de trading"),"⚠ Usa la cuenta de trading","✓"))))))))))))</f>
        <v/>
      </c>
      <c r="I297" s="19">
        <f>IF(OR(B297="",C297="",D297=""),"",IFERROR(INDEX(catTipo,MATCH(D297,catNom,0))&amp;"",""))</f>
        <v/>
      </c>
      <c r="J297" s="19">
        <f>IF(I297="","",IFERROR(INDEX(catGrupo,MATCH(D297,catNom,0))&amp;"",""))</f>
        <v/>
      </c>
      <c r="K297" s="19">
        <f>IF(I297="Gasto",IF(IFERROR(INDEX(catClas,MATCH(D297,catNom,0))&amp;"","")="","Variable",IFERROR(INDEX(catClas,MATCH(D297,catNom,0))&amp;"","")),"")</f>
        <v/>
      </c>
      <c r="L297" s="19">
        <f>IF(I297="","",IFERROR(INDEX(catAlim,MATCH(D297,catNom,0))&amp;"",""))</f>
        <v/>
      </c>
      <c r="M297" s="19">
        <f>IF(I297="","",IFERROR(INDEX(catComida,MATCH(D297,catNom,0))&amp;"",""))</f>
        <v/>
      </c>
      <c r="N297" s="19">
        <f>IF(I297="","",IFERROR(INDEX(ctaMon,MATCH(E297,ctaNom,0))&amp;"","DOP"))</f>
        <v/>
      </c>
      <c r="O297" s="20">
        <f>IF(I297="","",C297*IF(N297="USD",TasaUSD,1))</f>
        <v/>
      </c>
      <c r="P297" s="20">
        <f>IF(I297="","",IF(I297="Gasto",O297,0))</f>
        <v/>
      </c>
      <c r="Q297" s="20">
        <f>IF(I297="","",IF(I297="Ingreso",O297,0))</f>
        <v/>
      </c>
      <c r="R297" s="20">
        <f>IF(I297="","",IF(I297="Trading",O297,0))</f>
        <v/>
      </c>
      <c r="S297" s="19">
        <f>IF(I297="","",IF(AND(I297="Gasto",K297="Variable",J297&lt;&gt;"Trading",O297&gt;0,O297&lt;=Umbral),1,0))</f>
        <v/>
      </c>
      <c r="T297" s="20">
        <f>IF(OR(I297="",E297=""),"",IF(OR(I297="Gasto",I297="Transferencia",I297="Pago tarjeta"),-1,1)*C297)</f>
        <v/>
      </c>
      <c r="U297" s="20">
        <f>IF(OR(G297="",AND(I297&lt;&gt;"Transferencia",I297&lt;&gt;"Pago tarjeta")),"",IF(IFERROR(INDEX(ctaMon,MATCH(G297,ctaNom,0))&amp;"","DOP")=N297,C297,IF(N297="USD",C297*TasaUSD,C297/TasaUSD)))</f>
        <v/>
      </c>
      <c r="V297" s="20">
        <f>IF(I297="","",IF(IFERROR(INDEX(ctaLiq,MATCH(E297,ctaNom,0))="Sí",FALSE),IF(OR(I297="Gasto",I297="Transferencia",I297="Pago tarjeta"),-1,1)*O297,0)+IF(AND(U297&lt;&gt;"",IFERROR(INDEX(ctaLiq,MATCH(G297,ctaNom,0))="Sí",FALSE)),O297,0))</f>
        <v/>
      </c>
      <c r="W297" s="19">
        <f>IF(OR(F297="",I297=""),"",IF(COUNTIFS(F$6:F297,F297,I$6:I297,"?*")=1,MAX(W$5:W296)+1,""))</f>
        <v/>
      </c>
    </row>
    <row r="298">
      <c r="B298" s="15" t="n"/>
      <c r="C298" s="16" t="n"/>
      <c r="D298" s="17" t="n"/>
      <c r="E298" s="17" t="n"/>
      <c r="F298" s="17" t="n"/>
      <c r="G298" s="17" t="n"/>
      <c r="H298" s="18">
        <f>IF(AND(B298="",C298="",D298="",E298=""),"",IF(B298="","⚠ Falta fecha",IF(C298="","⚠ Falta monto",IF(D298="","⚠ Falta categoría",IF(ISNA(MATCH(D298,catNom,0)),"⚠ Categoría no existe",IF(E298="","⚠ Falta cuenta",IF(ISNA(MATCH(E298,ctaNom,0)),"⚠ Cuenta no existe",IF(AND(OR(I298="Transferencia",I298="Pago tarjeta"),G298=""),"⚠ Indica la cuenta «Hacia»",IF(AND(G298&lt;&gt;"",G298=E298),"⚠ «Hacia» igual a la cuenta",IF(AND(G298&lt;&gt;"",ISNA(MATCH(G298,ctaNom,0))),"⚠ «Hacia» no existe",IF(AND(I298="Pago tarjeta",IFERROR(INDEX(ctaTipo,MATCH(G298,ctaNom,0)),"")&lt;&gt;"Tarjeta de crédito"),"⚠ «Hacia» debe ser la tarjeta",IF(AND(I298="Trading",IFERROR(INDEX(ctaTipo,MATCH(E298,ctaNom,0)),"")&lt;&gt;"Cuenta de trading"),"⚠ Usa la cuenta de trading","✓"))))))))))))</f>
        <v/>
      </c>
      <c r="I298" s="19">
        <f>IF(OR(B298="",C298="",D298=""),"",IFERROR(INDEX(catTipo,MATCH(D298,catNom,0))&amp;"",""))</f>
        <v/>
      </c>
      <c r="J298" s="19">
        <f>IF(I298="","",IFERROR(INDEX(catGrupo,MATCH(D298,catNom,0))&amp;"",""))</f>
        <v/>
      </c>
      <c r="K298" s="19">
        <f>IF(I298="Gasto",IF(IFERROR(INDEX(catClas,MATCH(D298,catNom,0))&amp;"","")="","Variable",IFERROR(INDEX(catClas,MATCH(D298,catNom,0))&amp;"","")),"")</f>
        <v/>
      </c>
      <c r="L298" s="19">
        <f>IF(I298="","",IFERROR(INDEX(catAlim,MATCH(D298,catNom,0))&amp;"",""))</f>
        <v/>
      </c>
      <c r="M298" s="19">
        <f>IF(I298="","",IFERROR(INDEX(catComida,MATCH(D298,catNom,0))&amp;"",""))</f>
        <v/>
      </c>
      <c r="N298" s="19">
        <f>IF(I298="","",IFERROR(INDEX(ctaMon,MATCH(E298,ctaNom,0))&amp;"","DOP"))</f>
        <v/>
      </c>
      <c r="O298" s="20">
        <f>IF(I298="","",C298*IF(N298="USD",TasaUSD,1))</f>
        <v/>
      </c>
      <c r="P298" s="20">
        <f>IF(I298="","",IF(I298="Gasto",O298,0))</f>
        <v/>
      </c>
      <c r="Q298" s="20">
        <f>IF(I298="","",IF(I298="Ingreso",O298,0))</f>
        <v/>
      </c>
      <c r="R298" s="20">
        <f>IF(I298="","",IF(I298="Trading",O298,0))</f>
        <v/>
      </c>
      <c r="S298" s="19">
        <f>IF(I298="","",IF(AND(I298="Gasto",K298="Variable",J298&lt;&gt;"Trading",O298&gt;0,O298&lt;=Umbral),1,0))</f>
        <v/>
      </c>
      <c r="T298" s="20">
        <f>IF(OR(I298="",E298=""),"",IF(OR(I298="Gasto",I298="Transferencia",I298="Pago tarjeta"),-1,1)*C298)</f>
        <v/>
      </c>
      <c r="U298" s="20">
        <f>IF(OR(G298="",AND(I298&lt;&gt;"Transferencia",I298&lt;&gt;"Pago tarjeta")),"",IF(IFERROR(INDEX(ctaMon,MATCH(G298,ctaNom,0))&amp;"","DOP")=N298,C298,IF(N298="USD",C298*TasaUSD,C298/TasaUSD)))</f>
        <v/>
      </c>
      <c r="V298" s="20">
        <f>IF(I298="","",IF(IFERROR(INDEX(ctaLiq,MATCH(E298,ctaNom,0))="Sí",FALSE),IF(OR(I298="Gasto",I298="Transferencia",I298="Pago tarjeta"),-1,1)*O298,0)+IF(AND(U298&lt;&gt;"",IFERROR(INDEX(ctaLiq,MATCH(G298,ctaNom,0))="Sí",FALSE)),O298,0))</f>
        <v/>
      </c>
      <c r="W298" s="19">
        <f>IF(OR(F298="",I298=""),"",IF(COUNTIFS(F$6:F298,F298,I$6:I298,"?*")=1,MAX(W$5:W297)+1,""))</f>
        <v/>
      </c>
    </row>
    <row r="299">
      <c r="B299" s="15" t="n"/>
      <c r="C299" s="16" t="n"/>
      <c r="D299" s="17" t="n"/>
      <c r="E299" s="17" t="n"/>
      <c r="F299" s="17" t="n"/>
      <c r="G299" s="17" t="n"/>
      <c r="H299" s="18">
        <f>IF(AND(B299="",C299="",D299="",E299=""),"",IF(B299="","⚠ Falta fecha",IF(C299="","⚠ Falta monto",IF(D299="","⚠ Falta categoría",IF(ISNA(MATCH(D299,catNom,0)),"⚠ Categoría no existe",IF(E299="","⚠ Falta cuenta",IF(ISNA(MATCH(E299,ctaNom,0)),"⚠ Cuenta no existe",IF(AND(OR(I299="Transferencia",I299="Pago tarjeta"),G299=""),"⚠ Indica la cuenta «Hacia»",IF(AND(G299&lt;&gt;"",G299=E299),"⚠ «Hacia» igual a la cuenta",IF(AND(G299&lt;&gt;"",ISNA(MATCH(G299,ctaNom,0))),"⚠ «Hacia» no existe",IF(AND(I299="Pago tarjeta",IFERROR(INDEX(ctaTipo,MATCH(G299,ctaNom,0)),"")&lt;&gt;"Tarjeta de crédito"),"⚠ «Hacia» debe ser la tarjeta",IF(AND(I299="Trading",IFERROR(INDEX(ctaTipo,MATCH(E299,ctaNom,0)),"")&lt;&gt;"Cuenta de trading"),"⚠ Usa la cuenta de trading","✓"))))))))))))</f>
        <v/>
      </c>
      <c r="I299" s="19">
        <f>IF(OR(B299="",C299="",D299=""),"",IFERROR(INDEX(catTipo,MATCH(D299,catNom,0))&amp;"",""))</f>
        <v/>
      </c>
      <c r="J299" s="19">
        <f>IF(I299="","",IFERROR(INDEX(catGrupo,MATCH(D299,catNom,0))&amp;"",""))</f>
        <v/>
      </c>
      <c r="K299" s="19">
        <f>IF(I299="Gasto",IF(IFERROR(INDEX(catClas,MATCH(D299,catNom,0))&amp;"","")="","Variable",IFERROR(INDEX(catClas,MATCH(D299,catNom,0))&amp;"","")),"")</f>
        <v/>
      </c>
      <c r="L299" s="19">
        <f>IF(I299="","",IFERROR(INDEX(catAlim,MATCH(D299,catNom,0))&amp;"",""))</f>
        <v/>
      </c>
      <c r="M299" s="19">
        <f>IF(I299="","",IFERROR(INDEX(catComida,MATCH(D299,catNom,0))&amp;"",""))</f>
        <v/>
      </c>
      <c r="N299" s="19">
        <f>IF(I299="","",IFERROR(INDEX(ctaMon,MATCH(E299,ctaNom,0))&amp;"","DOP"))</f>
        <v/>
      </c>
      <c r="O299" s="20">
        <f>IF(I299="","",C299*IF(N299="USD",TasaUSD,1))</f>
        <v/>
      </c>
      <c r="P299" s="20">
        <f>IF(I299="","",IF(I299="Gasto",O299,0))</f>
        <v/>
      </c>
      <c r="Q299" s="20">
        <f>IF(I299="","",IF(I299="Ingreso",O299,0))</f>
        <v/>
      </c>
      <c r="R299" s="20">
        <f>IF(I299="","",IF(I299="Trading",O299,0))</f>
        <v/>
      </c>
      <c r="S299" s="19">
        <f>IF(I299="","",IF(AND(I299="Gasto",K299="Variable",J299&lt;&gt;"Trading",O299&gt;0,O299&lt;=Umbral),1,0))</f>
        <v/>
      </c>
      <c r="T299" s="20">
        <f>IF(OR(I299="",E299=""),"",IF(OR(I299="Gasto",I299="Transferencia",I299="Pago tarjeta"),-1,1)*C299)</f>
        <v/>
      </c>
      <c r="U299" s="20">
        <f>IF(OR(G299="",AND(I299&lt;&gt;"Transferencia",I299&lt;&gt;"Pago tarjeta")),"",IF(IFERROR(INDEX(ctaMon,MATCH(G299,ctaNom,0))&amp;"","DOP")=N299,C299,IF(N299="USD",C299*TasaUSD,C299/TasaUSD)))</f>
        <v/>
      </c>
      <c r="V299" s="20">
        <f>IF(I299="","",IF(IFERROR(INDEX(ctaLiq,MATCH(E299,ctaNom,0))="Sí",FALSE),IF(OR(I299="Gasto",I299="Transferencia",I299="Pago tarjeta"),-1,1)*O299,0)+IF(AND(U299&lt;&gt;"",IFERROR(INDEX(ctaLiq,MATCH(G299,ctaNom,0))="Sí",FALSE)),O299,0))</f>
        <v/>
      </c>
      <c r="W299" s="19">
        <f>IF(OR(F299="",I299=""),"",IF(COUNTIFS(F$6:F299,F299,I$6:I299,"?*")=1,MAX(W$5:W298)+1,""))</f>
        <v/>
      </c>
    </row>
    <row r="300">
      <c r="B300" s="15" t="n"/>
      <c r="C300" s="16" t="n"/>
      <c r="D300" s="17" t="n"/>
      <c r="E300" s="17" t="n"/>
      <c r="F300" s="17" t="n"/>
      <c r="G300" s="17" t="n"/>
      <c r="H300" s="18">
        <f>IF(AND(B300="",C300="",D300="",E300=""),"",IF(B300="","⚠ Falta fecha",IF(C300="","⚠ Falta monto",IF(D300="","⚠ Falta categoría",IF(ISNA(MATCH(D300,catNom,0)),"⚠ Categoría no existe",IF(E300="","⚠ Falta cuenta",IF(ISNA(MATCH(E300,ctaNom,0)),"⚠ Cuenta no existe",IF(AND(OR(I300="Transferencia",I300="Pago tarjeta"),G300=""),"⚠ Indica la cuenta «Hacia»",IF(AND(G300&lt;&gt;"",G300=E300),"⚠ «Hacia» igual a la cuenta",IF(AND(G300&lt;&gt;"",ISNA(MATCH(G300,ctaNom,0))),"⚠ «Hacia» no existe",IF(AND(I300="Pago tarjeta",IFERROR(INDEX(ctaTipo,MATCH(G300,ctaNom,0)),"")&lt;&gt;"Tarjeta de crédito"),"⚠ «Hacia» debe ser la tarjeta",IF(AND(I300="Trading",IFERROR(INDEX(ctaTipo,MATCH(E300,ctaNom,0)),"")&lt;&gt;"Cuenta de trading"),"⚠ Usa la cuenta de trading","✓"))))))))))))</f>
        <v/>
      </c>
      <c r="I300" s="19">
        <f>IF(OR(B300="",C300="",D300=""),"",IFERROR(INDEX(catTipo,MATCH(D300,catNom,0))&amp;"",""))</f>
        <v/>
      </c>
      <c r="J300" s="19">
        <f>IF(I300="","",IFERROR(INDEX(catGrupo,MATCH(D300,catNom,0))&amp;"",""))</f>
        <v/>
      </c>
      <c r="K300" s="19">
        <f>IF(I300="Gasto",IF(IFERROR(INDEX(catClas,MATCH(D300,catNom,0))&amp;"","")="","Variable",IFERROR(INDEX(catClas,MATCH(D300,catNom,0))&amp;"","")),"")</f>
        <v/>
      </c>
      <c r="L300" s="19">
        <f>IF(I300="","",IFERROR(INDEX(catAlim,MATCH(D300,catNom,0))&amp;"",""))</f>
        <v/>
      </c>
      <c r="M300" s="19">
        <f>IF(I300="","",IFERROR(INDEX(catComida,MATCH(D300,catNom,0))&amp;"",""))</f>
        <v/>
      </c>
      <c r="N300" s="19">
        <f>IF(I300="","",IFERROR(INDEX(ctaMon,MATCH(E300,ctaNom,0))&amp;"","DOP"))</f>
        <v/>
      </c>
      <c r="O300" s="20">
        <f>IF(I300="","",C300*IF(N300="USD",TasaUSD,1))</f>
        <v/>
      </c>
      <c r="P300" s="20">
        <f>IF(I300="","",IF(I300="Gasto",O300,0))</f>
        <v/>
      </c>
      <c r="Q300" s="20">
        <f>IF(I300="","",IF(I300="Ingreso",O300,0))</f>
        <v/>
      </c>
      <c r="R300" s="20">
        <f>IF(I300="","",IF(I300="Trading",O300,0))</f>
        <v/>
      </c>
      <c r="S300" s="19">
        <f>IF(I300="","",IF(AND(I300="Gasto",K300="Variable",J300&lt;&gt;"Trading",O300&gt;0,O300&lt;=Umbral),1,0))</f>
        <v/>
      </c>
      <c r="T300" s="20">
        <f>IF(OR(I300="",E300=""),"",IF(OR(I300="Gasto",I300="Transferencia",I300="Pago tarjeta"),-1,1)*C300)</f>
        <v/>
      </c>
      <c r="U300" s="20">
        <f>IF(OR(G300="",AND(I300&lt;&gt;"Transferencia",I300&lt;&gt;"Pago tarjeta")),"",IF(IFERROR(INDEX(ctaMon,MATCH(G300,ctaNom,0))&amp;"","DOP")=N300,C300,IF(N300="USD",C300*TasaUSD,C300/TasaUSD)))</f>
        <v/>
      </c>
      <c r="V300" s="20">
        <f>IF(I300="","",IF(IFERROR(INDEX(ctaLiq,MATCH(E300,ctaNom,0))="Sí",FALSE),IF(OR(I300="Gasto",I300="Transferencia",I300="Pago tarjeta"),-1,1)*O300,0)+IF(AND(U300&lt;&gt;"",IFERROR(INDEX(ctaLiq,MATCH(G300,ctaNom,0))="Sí",FALSE)),O300,0))</f>
        <v/>
      </c>
      <c r="W300" s="19">
        <f>IF(OR(F300="",I300=""),"",IF(COUNTIFS(F$6:F300,F300,I$6:I300,"?*")=1,MAX(W$5:W299)+1,""))</f>
        <v/>
      </c>
    </row>
    <row r="301">
      <c r="B301" s="15" t="n"/>
      <c r="C301" s="16" t="n"/>
      <c r="D301" s="17" t="n"/>
      <c r="E301" s="17" t="n"/>
      <c r="F301" s="17" t="n"/>
      <c r="G301" s="17" t="n"/>
      <c r="H301" s="18">
        <f>IF(AND(B301="",C301="",D301="",E301=""),"",IF(B301="","⚠ Falta fecha",IF(C301="","⚠ Falta monto",IF(D301="","⚠ Falta categoría",IF(ISNA(MATCH(D301,catNom,0)),"⚠ Categoría no existe",IF(E301="","⚠ Falta cuenta",IF(ISNA(MATCH(E301,ctaNom,0)),"⚠ Cuenta no existe",IF(AND(OR(I301="Transferencia",I301="Pago tarjeta"),G301=""),"⚠ Indica la cuenta «Hacia»",IF(AND(G301&lt;&gt;"",G301=E301),"⚠ «Hacia» igual a la cuenta",IF(AND(G301&lt;&gt;"",ISNA(MATCH(G301,ctaNom,0))),"⚠ «Hacia» no existe",IF(AND(I301="Pago tarjeta",IFERROR(INDEX(ctaTipo,MATCH(G301,ctaNom,0)),"")&lt;&gt;"Tarjeta de crédito"),"⚠ «Hacia» debe ser la tarjeta",IF(AND(I301="Trading",IFERROR(INDEX(ctaTipo,MATCH(E301,ctaNom,0)),"")&lt;&gt;"Cuenta de trading"),"⚠ Usa la cuenta de trading","✓"))))))))))))</f>
        <v/>
      </c>
      <c r="I301" s="19">
        <f>IF(OR(B301="",C301="",D301=""),"",IFERROR(INDEX(catTipo,MATCH(D301,catNom,0))&amp;"",""))</f>
        <v/>
      </c>
      <c r="J301" s="19">
        <f>IF(I301="","",IFERROR(INDEX(catGrupo,MATCH(D301,catNom,0))&amp;"",""))</f>
        <v/>
      </c>
      <c r="K301" s="19">
        <f>IF(I301="Gasto",IF(IFERROR(INDEX(catClas,MATCH(D301,catNom,0))&amp;"","")="","Variable",IFERROR(INDEX(catClas,MATCH(D301,catNom,0))&amp;"","")),"")</f>
        <v/>
      </c>
      <c r="L301" s="19">
        <f>IF(I301="","",IFERROR(INDEX(catAlim,MATCH(D301,catNom,0))&amp;"",""))</f>
        <v/>
      </c>
      <c r="M301" s="19">
        <f>IF(I301="","",IFERROR(INDEX(catComida,MATCH(D301,catNom,0))&amp;"",""))</f>
        <v/>
      </c>
      <c r="N301" s="19">
        <f>IF(I301="","",IFERROR(INDEX(ctaMon,MATCH(E301,ctaNom,0))&amp;"","DOP"))</f>
        <v/>
      </c>
      <c r="O301" s="20">
        <f>IF(I301="","",C301*IF(N301="USD",TasaUSD,1))</f>
        <v/>
      </c>
      <c r="P301" s="20">
        <f>IF(I301="","",IF(I301="Gasto",O301,0))</f>
        <v/>
      </c>
      <c r="Q301" s="20">
        <f>IF(I301="","",IF(I301="Ingreso",O301,0))</f>
        <v/>
      </c>
      <c r="R301" s="20">
        <f>IF(I301="","",IF(I301="Trading",O301,0))</f>
        <v/>
      </c>
      <c r="S301" s="19">
        <f>IF(I301="","",IF(AND(I301="Gasto",K301="Variable",J301&lt;&gt;"Trading",O301&gt;0,O301&lt;=Umbral),1,0))</f>
        <v/>
      </c>
      <c r="T301" s="20">
        <f>IF(OR(I301="",E301=""),"",IF(OR(I301="Gasto",I301="Transferencia",I301="Pago tarjeta"),-1,1)*C301)</f>
        <v/>
      </c>
      <c r="U301" s="20">
        <f>IF(OR(G301="",AND(I301&lt;&gt;"Transferencia",I301&lt;&gt;"Pago tarjeta")),"",IF(IFERROR(INDEX(ctaMon,MATCH(G301,ctaNom,0))&amp;"","DOP")=N301,C301,IF(N301="USD",C301*TasaUSD,C301/TasaUSD)))</f>
        <v/>
      </c>
      <c r="V301" s="20">
        <f>IF(I301="","",IF(IFERROR(INDEX(ctaLiq,MATCH(E301,ctaNom,0))="Sí",FALSE),IF(OR(I301="Gasto",I301="Transferencia",I301="Pago tarjeta"),-1,1)*O301,0)+IF(AND(U301&lt;&gt;"",IFERROR(INDEX(ctaLiq,MATCH(G301,ctaNom,0))="Sí",FALSE)),O301,0))</f>
        <v/>
      </c>
      <c r="W301" s="19">
        <f>IF(OR(F301="",I301=""),"",IF(COUNTIFS(F$6:F301,F301,I$6:I301,"?*")=1,MAX(W$5:W300)+1,""))</f>
        <v/>
      </c>
    </row>
    <row r="302">
      <c r="B302" s="15" t="n"/>
      <c r="C302" s="16" t="n"/>
      <c r="D302" s="17" t="n"/>
      <c r="E302" s="17" t="n"/>
      <c r="F302" s="17" t="n"/>
      <c r="G302" s="17" t="n"/>
      <c r="H302" s="18">
        <f>IF(AND(B302="",C302="",D302="",E302=""),"",IF(B302="","⚠ Falta fecha",IF(C302="","⚠ Falta monto",IF(D302="","⚠ Falta categoría",IF(ISNA(MATCH(D302,catNom,0)),"⚠ Categoría no existe",IF(E302="","⚠ Falta cuenta",IF(ISNA(MATCH(E302,ctaNom,0)),"⚠ Cuenta no existe",IF(AND(OR(I302="Transferencia",I302="Pago tarjeta"),G302=""),"⚠ Indica la cuenta «Hacia»",IF(AND(G302&lt;&gt;"",G302=E302),"⚠ «Hacia» igual a la cuenta",IF(AND(G302&lt;&gt;"",ISNA(MATCH(G302,ctaNom,0))),"⚠ «Hacia» no existe",IF(AND(I302="Pago tarjeta",IFERROR(INDEX(ctaTipo,MATCH(G302,ctaNom,0)),"")&lt;&gt;"Tarjeta de crédito"),"⚠ «Hacia» debe ser la tarjeta",IF(AND(I302="Trading",IFERROR(INDEX(ctaTipo,MATCH(E302,ctaNom,0)),"")&lt;&gt;"Cuenta de trading"),"⚠ Usa la cuenta de trading","✓"))))))))))))</f>
        <v/>
      </c>
      <c r="I302" s="19">
        <f>IF(OR(B302="",C302="",D302=""),"",IFERROR(INDEX(catTipo,MATCH(D302,catNom,0))&amp;"",""))</f>
        <v/>
      </c>
      <c r="J302" s="19">
        <f>IF(I302="","",IFERROR(INDEX(catGrupo,MATCH(D302,catNom,0))&amp;"",""))</f>
        <v/>
      </c>
      <c r="K302" s="19">
        <f>IF(I302="Gasto",IF(IFERROR(INDEX(catClas,MATCH(D302,catNom,0))&amp;"","")="","Variable",IFERROR(INDEX(catClas,MATCH(D302,catNom,0))&amp;"","")),"")</f>
        <v/>
      </c>
      <c r="L302" s="19">
        <f>IF(I302="","",IFERROR(INDEX(catAlim,MATCH(D302,catNom,0))&amp;"",""))</f>
        <v/>
      </c>
      <c r="M302" s="19">
        <f>IF(I302="","",IFERROR(INDEX(catComida,MATCH(D302,catNom,0))&amp;"",""))</f>
        <v/>
      </c>
      <c r="N302" s="19">
        <f>IF(I302="","",IFERROR(INDEX(ctaMon,MATCH(E302,ctaNom,0))&amp;"","DOP"))</f>
        <v/>
      </c>
      <c r="O302" s="20">
        <f>IF(I302="","",C302*IF(N302="USD",TasaUSD,1))</f>
        <v/>
      </c>
      <c r="P302" s="20">
        <f>IF(I302="","",IF(I302="Gasto",O302,0))</f>
        <v/>
      </c>
      <c r="Q302" s="20">
        <f>IF(I302="","",IF(I302="Ingreso",O302,0))</f>
        <v/>
      </c>
      <c r="R302" s="20">
        <f>IF(I302="","",IF(I302="Trading",O302,0))</f>
        <v/>
      </c>
      <c r="S302" s="19">
        <f>IF(I302="","",IF(AND(I302="Gasto",K302="Variable",J302&lt;&gt;"Trading",O302&gt;0,O302&lt;=Umbral),1,0))</f>
        <v/>
      </c>
      <c r="T302" s="20">
        <f>IF(OR(I302="",E302=""),"",IF(OR(I302="Gasto",I302="Transferencia",I302="Pago tarjeta"),-1,1)*C302)</f>
        <v/>
      </c>
      <c r="U302" s="20">
        <f>IF(OR(G302="",AND(I302&lt;&gt;"Transferencia",I302&lt;&gt;"Pago tarjeta")),"",IF(IFERROR(INDEX(ctaMon,MATCH(G302,ctaNom,0))&amp;"","DOP")=N302,C302,IF(N302="USD",C302*TasaUSD,C302/TasaUSD)))</f>
        <v/>
      </c>
      <c r="V302" s="20">
        <f>IF(I302="","",IF(IFERROR(INDEX(ctaLiq,MATCH(E302,ctaNom,0))="Sí",FALSE),IF(OR(I302="Gasto",I302="Transferencia",I302="Pago tarjeta"),-1,1)*O302,0)+IF(AND(U302&lt;&gt;"",IFERROR(INDEX(ctaLiq,MATCH(G302,ctaNom,0))="Sí",FALSE)),O302,0))</f>
        <v/>
      </c>
      <c r="W302" s="19">
        <f>IF(OR(F302="",I302=""),"",IF(COUNTIFS(F$6:F302,F302,I$6:I302,"?*")=1,MAX(W$5:W301)+1,""))</f>
        <v/>
      </c>
    </row>
    <row r="303">
      <c r="B303" s="15" t="n"/>
      <c r="C303" s="16" t="n"/>
      <c r="D303" s="17" t="n"/>
      <c r="E303" s="17" t="n"/>
      <c r="F303" s="17" t="n"/>
      <c r="G303" s="17" t="n"/>
      <c r="H303" s="18">
        <f>IF(AND(B303="",C303="",D303="",E303=""),"",IF(B303="","⚠ Falta fecha",IF(C303="","⚠ Falta monto",IF(D303="","⚠ Falta categoría",IF(ISNA(MATCH(D303,catNom,0)),"⚠ Categoría no existe",IF(E303="","⚠ Falta cuenta",IF(ISNA(MATCH(E303,ctaNom,0)),"⚠ Cuenta no existe",IF(AND(OR(I303="Transferencia",I303="Pago tarjeta"),G303=""),"⚠ Indica la cuenta «Hacia»",IF(AND(G303&lt;&gt;"",G303=E303),"⚠ «Hacia» igual a la cuenta",IF(AND(G303&lt;&gt;"",ISNA(MATCH(G303,ctaNom,0))),"⚠ «Hacia» no existe",IF(AND(I303="Pago tarjeta",IFERROR(INDEX(ctaTipo,MATCH(G303,ctaNom,0)),"")&lt;&gt;"Tarjeta de crédito"),"⚠ «Hacia» debe ser la tarjeta",IF(AND(I303="Trading",IFERROR(INDEX(ctaTipo,MATCH(E303,ctaNom,0)),"")&lt;&gt;"Cuenta de trading"),"⚠ Usa la cuenta de trading","✓"))))))))))))</f>
        <v/>
      </c>
      <c r="I303" s="19">
        <f>IF(OR(B303="",C303="",D303=""),"",IFERROR(INDEX(catTipo,MATCH(D303,catNom,0))&amp;"",""))</f>
        <v/>
      </c>
      <c r="J303" s="19">
        <f>IF(I303="","",IFERROR(INDEX(catGrupo,MATCH(D303,catNom,0))&amp;"",""))</f>
        <v/>
      </c>
      <c r="K303" s="19">
        <f>IF(I303="Gasto",IF(IFERROR(INDEX(catClas,MATCH(D303,catNom,0))&amp;"","")="","Variable",IFERROR(INDEX(catClas,MATCH(D303,catNom,0))&amp;"","")),"")</f>
        <v/>
      </c>
      <c r="L303" s="19">
        <f>IF(I303="","",IFERROR(INDEX(catAlim,MATCH(D303,catNom,0))&amp;"",""))</f>
        <v/>
      </c>
      <c r="M303" s="19">
        <f>IF(I303="","",IFERROR(INDEX(catComida,MATCH(D303,catNom,0))&amp;"",""))</f>
        <v/>
      </c>
      <c r="N303" s="19">
        <f>IF(I303="","",IFERROR(INDEX(ctaMon,MATCH(E303,ctaNom,0))&amp;"","DOP"))</f>
        <v/>
      </c>
      <c r="O303" s="20">
        <f>IF(I303="","",C303*IF(N303="USD",TasaUSD,1))</f>
        <v/>
      </c>
      <c r="P303" s="20">
        <f>IF(I303="","",IF(I303="Gasto",O303,0))</f>
        <v/>
      </c>
      <c r="Q303" s="20">
        <f>IF(I303="","",IF(I303="Ingreso",O303,0))</f>
        <v/>
      </c>
      <c r="R303" s="20">
        <f>IF(I303="","",IF(I303="Trading",O303,0))</f>
        <v/>
      </c>
      <c r="S303" s="19">
        <f>IF(I303="","",IF(AND(I303="Gasto",K303="Variable",J303&lt;&gt;"Trading",O303&gt;0,O303&lt;=Umbral),1,0))</f>
        <v/>
      </c>
      <c r="T303" s="20">
        <f>IF(OR(I303="",E303=""),"",IF(OR(I303="Gasto",I303="Transferencia",I303="Pago tarjeta"),-1,1)*C303)</f>
        <v/>
      </c>
      <c r="U303" s="20">
        <f>IF(OR(G303="",AND(I303&lt;&gt;"Transferencia",I303&lt;&gt;"Pago tarjeta")),"",IF(IFERROR(INDEX(ctaMon,MATCH(G303,ctaNom,0))&amp;"","DOP")=N303,C303,IF(N303="USD",C303*TasaUSD,C303/TasaUSD)))</f>
        <v/>
      </c>
      <c r="V303" s="20">
        <f>IF(I303="","",IF(IFERROR(INDEX(ctaLiq,MATCH(E303,ctaNom,0))="Sí",FALSE),IF(OR(I303="Gasto",I303="Transferencia",I303="Pago tarjeta"),-1,1)*O303,0)+IF(AND(U303&lt;&gt;"",IFERROR(INDEX(ctaLiq,MATCH(G303,ctaNom,0))="Sí",FALSE)),O303,0))</f>
        <v/>
      </c>
      <c r="W303" s="19">
        <f>IF(OR(F303="",I303=""),"",IF(COUNTIFS(F$6:F303,F303,I$6:I303,"?*")=1,MAX(W$5:W302)+1,""))</f>
        <v/>
      </c>
    </row>
    <row r="304">
      <c r="B304" s="15" t="n"/>
      <c r="C304" s="16" t="n"/>
      <c r="D304" s="17" t="n"/>
      <c r="E304" s="17" t="n"/>
      <c r="F304" s="17" t="n"/>
      <c r="G304" s="17" t="n"/>
      <c r="H304" s="18">
        <f>IF(AND(B304="",C304="",D304="",E304=""),"",IF(B304="","⚠ Falta fecha",IF(C304="","⚠ Falta monto",IF(D304="","⚠ Falta categoría",IF(ISNA(MATCH(D304,catNom,0)),"⚠ Categoría no existe",IF(E304="","⚠ Falta cuenta",IF(ISNA(MATCH(E304,ctaNom,0)),"⚠ Cuenta no existe",IF(AND(OR(I304="Transferencia",I304="Pago tarjeta"),G304=""),"⚠ Indica la cuenta «Hacia»",IF(AND(G304&lt;&gt;"",G304=E304),"⚠ «Hacia» igual a la cuenta",IF(AND(G304&lt;&gt;"",ISNA(MATCH(G304,ctaNom,0))),"⚠ «Hacia» no existe",IF(AND(I304="Pago tarjeta",IFERROR(INDEX(ctaTipo,MATCH(G304,ctaNom,0)),"")&lt;&gt;"Tarjeta de crédito"),"⚠ «Hacia» debe ser la tarjeta",IF(AND(I304="Trading",IFERROR(INDEX(ctaTipo,MATCH(E304,ctaNom,0)),"")&lt;&gt;"Cuenta de trading"),"⚠ Usa la cuenta de trading","✓"))))))))))))</f>
        <v/>
      </c>
      <c r="I304" s="19">
        <f>IF(OR(B304="",C304="",D304=""),"",IFERROR(INDEX(catTipo,MATCH(D304,catNom,0))&amp;"",""))</f>
        <v/>
      </c>
      <c r="J304" s="19">
        <f>IF(I304="","",IFERROR(INDEX(catGrupo,MATCH(D304,catNom,0))&amp;"",""))</f>
        <v/>
      </c>
      <c r="K304" s="19">
        <f>IF(I304="Gasto",IF(IFERROR(INDEX(catClas,MATCH(D304,catNom,0))&amp;"","")="","Variable",IFERROR(INDEX(catClas,MATCH(D304,catNom,0))&amp;"","")),"")</f>
        <v/>
      </c>
      <c r="L304" s="19">
        <f>IF(I304="","",IFERROR(INDEX(catAlim,MATCH(D304,catNom,0))&amp;"",""))</f>
        <v/>
      </c>
      <c r="M304" s="19">
        <f>IF(I304="","",IFERROR(INDEX(catComida,MATCH(D304,catNom,0))&amp;"",""))</f>
        <v/>
      </c>
      <c r="N304" s="19">
        <f>IF(I304="","",IFERROR(INDEX(ctaMon,MATCH(E304,ctaNom,0))&amp;"","DOP"))</f>
        <v/>
      </c>
      <c r="O304" s="20">
        <f>IF(I304="","",C304*IF(N304="USD",TasaUSD,1))</f>
        <v/>
      </c>
      <c r="P304" s="20">
        <f>IF(I304="","",IF(I304="Gasto",O304,0))</f>
        <v/>
      </c>
      <c r="Q304" s="20">
        <f>IF(I304="","",IF(I304="Ingreso",O304,0))</f>
        <v/>
      </c>
      <c r="R304" s="20">
        <f>IF(I304="","",IF(I304="Trading",O304,0))</f>
        <v/>
      </c>
      <c r="S304" s="19">
        <f>IF(I304="","",IF(AND(I304="Gasto",K304="Variable",J304&lt;&gt;"Trading",O304&gt;0,O304&lt;=Umbral),1,0))</f>
        <v/>
      </c>
      <c r="T304" s="20">
        <f>IF(OR(I304="",E304=""),"",IF(OR(I304="Gasto",I304="Transferencia",I304="Pago tarjeta"),-1,1)*C304)</f>
        <v/>
      </c>
      <c r="U304" s="20">
        <f>IF(OR(G304="",AND(I304&lt;&gt;"Transferencia",I304&lt;&gt;"Pago tarjeta")),"",IF(IFERROR(INDEX(ctaMon,MATCH(G304,ctaNom,0))&amp;"","DOP")=N304,C304,IF(N304="USD",C304*TasaUSD,C304/TasaUSD)))</f>
        <v/>
      </c>
      <c r="V304" s="20">
        <f>IF(I304="","",IF(IFERROR(INDEX(ctaLiq,MATCH(E304,ctaNom,0))="Sí",FALSE),IF(OR(I304="Gasto",I304="Transferencia",I304="Pago tarjeta"),-1,1)*O304,0)+IF(AND(U304&lt;&gt;"",IFERROR(INDEX(ctaLiq,MATCH(G304,ctaNom,0))="Sí",FALSE)),O304,0))</f>
        <v/>
      </c>
      <c r="W304" s="19">
        <f>IF(OR(F304="",I304=""),"",IF(COUNTIFS(F$6:F304,F304,I$6:I304,"?*")=1,MAX(W$5:W303)+1,""))</f>
        <v/>
      </c>
    </row>
    <row r="305">
      <c r="B305" s="15" t="n"/>
      <c r="C305" s="16" t="n"/>
      <c r="D305" s="17" t="n"/>
      <c r="E305" s="17" t="n"/>
      <c r="F305" s="17" t="n"/>
      <c r="G305" s="17" t="n"/>
      <c r="H305" s="18">
        <f>IF(AND(B305="",C305="",D305="",E305=""),"",IF(B305="","⚠ Falta fecha",IF(C305="","⚠ Falta monto",IF(D305="","⚠ Falta categoría",IF(ISNA(MATCH(D305,catNom,0)),"⚠ Categoría no existe",IF(E305="","⚠ Falta cuenta",IF(ISNA(MATCH(E305,ctaNom,0)),"⚠ Cuenta no existe",IF(AND(OR(I305="Transferencia",I305="Pago tarjeta"),G305=""),"⚠ Indica la cuenta «Hacia»",IF(AND(G305&lt;&gt;"",G305=E305),"⚠ «Hacia» igual a la cuenta",IF(AND(G305&lt;&gt;"",ISNA(MATCH(G305,ctaNom,0))),"⚠ «Hacia» no existe",IF(AND(I305="Pago tarjeta",IFERROR(INDEX(ctaTipo,MATCH(G305,ctaNom,0)),"")&lt;&gt;"Tarjeta de crédito"),"⚠ «Hacia» debe ser la tarjeta",IF(AND(I305="Trading",IFERROR(INDEX(ctaTipo,MATCH(E305,ctaNom,0)),"")&lt;&gt;"Cuenta de trading"),"⚠ Usa la cuenta de trading","✓"))))))))))))</f>
        <v/>
      </c>
      <c r="I305" s="19">
        <f>IF(OR(B305="",C305="",D305=""),"",IFERROR(INDEX(catTipo,MATCH(D305,catNom,0))&amp;"",""))</f>
        <v/>
      </c>
      <c r="J305" s="19">
        <f>IF(I305="","",IFERROR(INDEX(catGrupo,MATCH(D305,catNom,0))&amp;"",""))</f>
        <v/>
      </c>
      <c r="K305" s="19">
        <f>IF(I305="Gasto",IF(IFERROR(INDEX(catClas,MATCH(D305,catNom,0))&amp;"","")="","Variable",IFERROR(INDEX(catClas,MATCH(D305,catNom,0))&amp;"","")),"")</f>
        <v/>
      </c>
      <c r="L305" s="19">
        <f>IF(I305="","",IFERROR(INDEX(catAlim,MATCH(D305,catNom,0))&amp;"",""))</f>
        <v/>
      </c>
      <c r="M305" s="19">
        <f>IF(I305="","",IFERROR(INDEX(catComida,MATCH(D305,catNom,0))&amp;"",""))</f>
        <v/>
      </c>
      <c r="N305" s="19">
        <f>IF(I305="","",IFERROR(INDEX(ctaMon,MATCH(E305,ctaNom,0))&amp;"","DOP"))</f>
        <v/>
      </c>
      <c r="O305" s="20">
        <f>IF(I305="","",C305*IF(N305="USD",TasaUSD,1))</f>
        <v/>
      </c>
      <c r="P305" s="20">
        <f>IF(I305="","",IF(I305="Gasto",O305,0))</f>
        <v/>
      </c>
      <c r="Q305" s="20">
        <f>IF(I305="","",IF(I305="Ingreso",O305,0))</f>
        <v/>
      </c>
      <c r="R305" s="20">
        <f>IF(I305="","",IF(I305="Trading",O305,0))</f>
        <v/>
      </c>
      <c r="S305" s="19">
        <f>IF(I305="","",IF(AND(I305="Gasto",K305="Variable",J305&lt;&gt;"Trading",O305&gt;0,O305&lt;=Umbral),1,0))</f>
        <v/>
      </c>
      <c r="T305" s="20">
        <f>IF(OR(I305="",E305=""),"",IF(OR(I305="Gasto",I305="Transferencia",I305="Pago tarjeta"),-1,1)*C305)</f>
        <v/>
      </c>
      <c r="U305" s="20">
        <f>IF(OR(G305="",AND(I305&lt;&gt;"Transferencia",I305&lt;&gt;"Pago tarjeta")),"",IF(IFERROR(INDEX(ctaMon,MATCH(G305,ctaNom,0))&amp;"","DOP")=N305,C305,IF(N305="USD",C305*TasaUSD,C305/TasaUSD)))</f>
        <v/>
      </c>
      <c r="V305" s="20">
        <f>IF(I305="","",IF(IFERROR(INDEX(ctaLiq,MATCH(E305,ctaNom,0))="Sí",FALSE),IF(OR(I305="Gasto",I305="Transferencia",I305="Pago tarjeta"),-1,1)*O305,0)+IF(AND(U305&lt;&gt;"",IFERROR(INDEX(ctaLiq,MATCH(G305,ctaNom,0))="Sí",FALSE)),O305,0))</f>
        <v/>
      </c>
      <c r="W305" s="19">
        <f>IF(OR(F305="",I305=""),"",IF(COUNTIFS(F$6:F305,F305,I$6:I305,"?*")=1,MAX(W$5:W304)+1,""))</f>
        <v/>
      </c>
    </row>
    <row r="306">
      <c r="B306" s="15" t="n"/>
      <c r="C306" s="16" t="n"/>
      <c r="D306" s="17" t="n"/>
      <c r="E306" s="17" t="n"/>
      <c r="F306" s="17" t="n"/>
      <c r="G306" s="17" t="n"/>
      <c r="H306" s="18">
        <f>IF(AND(B306="",C306="",D306="",E306=""),"",IF(B306="","⚠ Falta fecha",IF(C306="","⚠ Falta monto",IF(D306="","⚠ Falta categoría",IF(ISNA(MATCH(D306,catNom,0)),"⚠ Categoría no existe",IF(E306="","⚠ Falta cuenta",IF(ISNA(MATCH(E306,ctaNom,0)),"⚠ Cuenta no existe",IF(AND(OR(I306="Transferencia",I306="Pago tarjeta"),G306=""),"⚠ Indica la cuenta «Hacia»",IF(AND(G306&lt;&gt;"",G306=E306),"⚠ «Hacia» igual a la cuenta",IF(AND(G306&lt;&gt;"",ISNA(MATCH(G306,ctaNom,0))),"⚠ «Hacia» no existe",IF(AND(I306="Pago tarjeta",IFERROR(INDEX(ctaTipo,MATCH(G306,ctaNom,0)),"")&lt;&gt;"Tarjeta de crédito"),"⚠ «Hacia» debe ser la tarjeta",IF(AND(I306="Trading",IFERROR(INDEX(ctaTipo,MATCH(E306,ctaNom,0)),"")&lt;&gt;"Cuenta de trading"),"⚠ Usa la cuenta de trading","✓"))))))))))))</f>
        <v/>
      </c>
      <c r="I306" s="19">
        <f>IF(OR(B306="",C306="",D306=""),"",IFERROR(INDEX(catTipo,MATCH(D306,catNom,0))&amp;"",""))</f>
        <v/>
      </c>
      <c r="J306" s="19">
        <f>IF(I306="","",IFERROR(INDEX(catGrupo,MATCH(D306,catNom,0))&amp;"",""))</f>
        <v/>
      </c>
      <c r="K306" s="19">
        <f>IF(I306="Gasto",IF(IFERROR(INDEX(catClas,MATCH(D306,catNom,0))&amp;"","")="","Variable",IFERROR(INDEX(catClas,MATCH(D306,catNom,0))&amp;"","")),"")</f>
        <v/>
      </c>
      <c r="L306" s="19">
        <f>IF(I306="","",IFERROR(INDEX(catAlim,MATCH(D306,catNom,0))&amp;"",""))</f>
        <v/>
      </c>
      <c r="M306" s="19">
        <f>IF(I306="","",IFERROR(INDEX(catComida,MATCH(D306,catNom,0))&amp;"",""))</f>
        <v/>
      </c>
      <c r="N306" s="19">
        <f>IF(I306="","",IFERROR(INDEX(ctaMon,MATCH(E306,ctaNom,0))&amp;"","DOP"))</f>
        <v/>
      </c>
      <c r="O306" s="20">
        <f>IF(I306="","",C306*IF(N306="USD",TasaUSD,1))</f>
        <v/>
      </c>
      <c r="P306" s="20">
        <f>IF(I306="","",IF(I306="Gasto",O306,0))</f>
        <v/>
      </c>
      <c r="Q306" s="20">
        <f>IF(I306="","",IF(I306="Ingreso",O306,0))</f>
        <v/>
      </c>
      <c r="R306" s="20">
        <f>IF(I306="","",IF(I306="Trading",O306,0))</f>
        <v/>
      </c>
      <c r="S306" s="19">
        <f>IF(I306="","",IF(AND(I306="Gasto",K306="Variable",J306&lt;&gt;"Trading",O306&gt;0,O306&lt;=Umbral),1,0))</f>
        <v/>
      </c>
      <c r="T306" s="20">
        <f>IF(OR(I306="",E306=""),"",IF(OR(I306="Gasto",I306="Transferencia",I306="Pago tarjeta"),-1,1)*C306)</f>
        <v/>
      </c>
      <c r="U306" s="20">
        <f>IF(OR(G306="",AND(I306&lt;&gt;"Transferencia",I306&lt;&gt;"Pago tarjeta")),"",IF(IFERROR(INDEX(ctaMon,MATCH(G306,ctaNom,0))&amp;"","DOP")=N306,C306,IF(N306="USD",C306*TasaUSD,C306/TasaUSD)))</f>
        <v/>
      </c>
      <c r="V306" s="20">
        <f>IF(I306="","",IF(IFERROR(INDEX(ctaLiq,MATCH(E306,ctaNom,0))="Sí",FALSE),IF(OR(I306="Gasto",I306="Transferencia",I306="Pago tarjeta"),-1,1)*O306,0)+IF(AND(U306&lt;&gt;"",IFERROR(INDEX(ctaLiq,MATCH(G306,ctaNom,0))="Sí",FALSE)),O306,0))</f>
        <v/>
      </c>
      <c r="W306" s="19">
        <f>IF(OR(F306="",I306=""),"",IF(COUNTIFS(F$6:F306,F306,I$6:I306,"?*")=1,MAX(W$5:W305)+1,""))</f>
        <v/>
      </c>
    </row>
    <row r="307">
      <c r="B307" s="15" t="n"/>
      <c r="C307" s="16" t="n"/>
      <c r="D307" s="17" t="n"/>
      <c r="E307" s="17" t="n"/>
      <c r="F307" s="17" t="n"/>
      <c r="G307" s="17" t="n"/>
      <c r="H307" s="18">
        <f>IF(AND(B307="",C307="",D307="",E307=""),"",IF(B307="","⚠ Falta fecha",IF(C307="","⚠ Falta monto",IF(D307="","⚠ Falta categoría",IF(ISNA(MATCH(D307,catNom,0)),"⚠ Categoría no existe",IF(E307="","⚠ Falta cuenta",IF(ISNA(MATCH(E307,ctaNom,0)),"⚠ Cuenta no existe",IF(AND(OR(I307="Transferencia",I307="Pago tarjeta"),G307=""),"⚠ Indica la cuenta «Hacia»",IF(AND(G307&lt;&gt;"",G307=E307),"⚠ «Hacia» igual a la cuenta",IF(AND(G307&lt;&gt;"",ISNA(MATCH(G307,ctaNom,0))),"⚠ «Hacia» no existe",IF(AND(I307="Pago tarjeta",IFERROR(INDEX(ctaTipo,MATCH(G307,ctaNom,0)),"")&lt;&gt;"Tarjeta de crédito"),"⚠ «Hacia» debe ser la tarjeta",IF(AND(I307="Trading",IFERROR(INDEX(ctaTipo,MATCH(E307,ctaNom,0)),"")&lt;&gt;"Cuenta de trading"),"⚠ Usa la cuenta de trading","✓"))))))))))))</f>
        <v/>
      </c>
      <c r="I307" s="19">
        <f>IF(OR(B307="",C307="",D307=""),"",IFERROR(INDEX(catTipo,MATCH(D307,catNom,0))&amp;"",""))</f>
        <v/>
      </c>
      <c r="J307" s="19">
        <f>IF(I307="","",IFERROR(INDEX(catGrupo,MATCH(D307,catNom,0))&amp;"",""))</f>
        <v/>
      </c>
      <c r="K307" s="19">
        <f>IF(I307="Gasto",IF(IFERROR(INDEX(catClas,MATCH(D307,catNom,0))&amp;"","")="","Variable",IFERROR(INDEX(catClas,MATCH(D307,catNom,0))&amp;"","")),"")</f>
        <v/>
      </c>
      <c r="L307" s="19">
        <f>IF(I307="","",IFERROR(INDEX(catAlim,MATCH(D307,catNom,0))&amp;"",""))</f>
        <v/>
      </c>
      <c r="M307" s="19">
        <f>IF(I307="","",IFERROR(INDEX(catComida,MATCH(D307,catNom,0))&amp;"",""))</f>
        <v/>
      </c>
      <c r="N307" s="19">
        <f>IF(I307="","",IFERROR(INDEX(ctaMon,MATCH(E307,ctaNom,0))&amp;"","DOP"))</f>
        <v/>
      </c>
      <c r="O307" s="20">
        <f>IF(I307="","",C307*IF(N307="USD",TasaUSD,1))</f>
        <v/>
      </c>
      <c r="P307" s="20">
        <f>IF(I307="","",IF(I307="Gasto",O307,0))</f>
        <v/>
      </c>
      <c r="Q307" s="20">
        <f>IF(I307="","",IF(I307="Ingreso",O307,0))</f>
        <v/>
      </c>
      <c r="R307" s="20">
        <f>IF(I307="","",IF(I307="Trading",O307,0))</f>
        <v/>
      </c>
      <c r="S307" s="19">
        <f>IF(I307="","",IF(AND(I307="Gasto",K307="Variable",J307&lt;&gt;"Trading",O307&gt;0,O307&lt;=Umbral),1,0))</f>
        <v/>
      </c>
      <c r="T307" s="20">
        <f>IF(OR(I307="",E307=""),"",IF(OR(I307="Gasto",I307="Transferencia",I307="Pago tarjeta"),-1,1)*C307)</f>
        <v/>
      </c>
      <c r="U307" s="20">
        <f>IF(OR(G307="",AND(I307&lt;&gt;"Transferencia",I307&lt;&gt;"Pago tarjeta")),"",IF(IFERROR(INDEX(ctaMon,MATCH(G307,ctaNom,0))&amp;"","DOP")=N307,C307,IF(N307="USD",C307*TasaUSD,C307/TasaUSD)))</f>
        <v/>
      </c>
      <c r="V307" s="20">
        <f>IF(I307="","",IF(IFERROR(INDEX(ctaLiq,MATCH(E307,ctaNom,0))="Sí",FALSE),IF(OR(I307="Gasto",I307="Transferencia",I307="Pago tarjeta"),-1,1)*O307,0)+IF(AND(U307&lt;&gt;"",IFERROR(INDEX(ctaLiq,MATCH(G307,ctaNom,0))="Sí",FALSE)),O307,0))</f>
        <v/>
      </c>
      <c r="W307" s="19">
        <f>IF(OR(F307="",I307=""),"",IF(COUNTIFS(F$6:F307,F307,I$6:I307,"?*")=1,MAX(W$5:W306)+1,""))</f>
        <v/>
      </c>
    </row>
    <row r="308">
      <c r="B308" s="15" t="n"/>
      <c r="C308" s="16" t="n"/>
      <c r="D308" s="17" t="n"/>
      <c r="E308" s="17" t="n"/>
      <c r="F308" s="17" t="n"/>
      <c r="G308" s="17" t="n"/>
      <c r="H308" s="18">
        <f>IF(AND(B308="",C308="",D308="",E308=""),"",IF(B308="","⚠ Falta fecha",IF(C308="","⚠ Falta monto",IF(D308="","⚠ Falta categoría",IF(ISNA(MATCH(D308,catNom,0)),"⚠ Categoría no existe",IF(E308="","⚠ Falta cuenta",IF(ISNA(MATCH(E308,ctaNom,0)),"⚠ Cuenta no existe",IF(AND(OR(I308="Transferencia",I308="Pago tarjeta"),G308=""),"⚠ Indica la cuenta «Hacia»",IF(AND(G308&lt;&gt;"",G308=E308),"⚠ «Hacia» igual a la cuenta",IF(AND(G308&lt;&gt;"",ISNA(MATCH(G308,ctaNom,0))),"⚠ «Hacia» no existe",IF(AND(I308="Pago tarjeta",IFERROR(INDEX(ctaTipo,MATCH(G308,ctaNom,0)),"")&lt;&gt;"Tarjeta de crédito"),"⚠ «Hacia» debe ser la tarjeta",IF(AND(I308="Trading",IFERROR(INDEX(ctaTipo,MATCH(E308,ctaNom,0)),"")&lt;&gt;"Cuenta de trading"),"⚠ Usa la cuenta de trading","✓"))))))))))))</f>
        <v/>
      </c>
      <c r="I308" s="19">
        <f>IF(OR(B308="",C308="",D308=""),"",IFERROR(INDEX(catTipo,MATCH(D308,catNom,0))&amp;"",""))</f>
        <v/>
      </c>
      <c r="J308" s="19">
        <f>IF(I308="","",IFERROR(INDEX(catGrupo,MATCH(D308,catNom,0))&amp;"",""))</f>
        <v/>
      </c>
      <c r="K308" s="19">
        <f>IF(I308="Gasto",IF(IFERROR(INDEX(catClas,MATCH(D308,catNom,0))&amp;"","")="","Variable",IFERROR(INDEX(catClas,MATCH(D308,catNom,0))&amp;"","")),"")</f>
        <v/>
      </c>
      <c r="L308" s="19">
        <f>IF(I308="","",IFERROR(INDEX(catAlim,MATCH(D308,catNom,0))&amp;"",""))</f>
        <v/>
      </c>
      <c r="M308" s="19">
        <f>IF(I308="","",IFERROR(INDEX(catComida,MATCH(D308,catNom,0))&amp;"",""))</f>
        <v/>
      </c>
      <c r="N308" s="19">
        <f>IF(I308="","",IFERROR(INDEX(ctaMon,MATCH(E308,ctaNom,0))&amp;"","DOP"))</f>
        <v/>
      </c>
      <c r="O308" s="20">
        <f>IF(I308="","",C308*IF(N308="USD",TasaUSD,1))</f>
        <v/>
      </c>
      <c r="P308" s="20">
        <f>IF(I308="","",IF(I308="Gasto",O308,0))</f>
        <v/>
      </c>
      <c r="Q308" s="20">
        <f>IF(I308="","",IF(I308="Ingreso",O308,0))</f>
        <v/>
      </c>
      <c r="R308" s="20">
        <f>IF(I308="","",IF(I308="Trading",O308,0))</f>
        <v/>
      </c>
      <c r="S308" s="19">
        <f>IF(I308="","",IF(AND(I308="Gasto",K308="Variable",J308&lt;&gt;"Trading",O308&gt;0,O308&lt;=Umbral),1,0))</f>
        <v/>
      </c>
      <c r="T308" s="20">
        <f>IF(OR(I308="",E308=""),"",IF(OR(I308="Gasto",I308="Transferencia",I308="Pago tarjeta"),-1,1)*C308)</f>
        <v/>
      </c>
      <c r="U308" s="20">
        <f>IF(OR(G308="",AND(I308&lt;&gt;"Transferencia",I308&lt;&gt;"Pago tarjeta")),"",IF(IFERROR(INDEX(ctaMon,MATCH(G308,ctaNom,0))&amp;"","DOP")=N308,C308,IF(N308="USD",C308*TasaUSD,C308/TasaUSD)))</f>
        <v/>
      </c>
      <c r="V308" s="20">
        <f>IF(I308="","",IF(IFERROR(INDEX(ctaLiq,MATCH(E308,ctaNom,0))="Sí",FALSE),IF(OR(I308="Gasto",I308="Transferencia",I308="Pago tarjeta"),-1,1)*O308,0)+IF(AND(U308&lt;&gt;"",IFERROR(INDEX(ctaLiq,MATCH(G308,ctaNom,0))="Sí",FALSE)),O308,0))</f>
        <v/>
      </c>
      <c r="W308" s="19">
        <f>IF(OR(F308="",I308=""),"",IF(COUNTIFS(F$6:F308,F308,I$6:I308,"?*")=1,MAX(W$5:W307)+1,""))</f>
        <v/>
      </c>
    </row>
    <row r="309">
      <c r="B309" s="15" t="n"/>
      <c r="C309" s="16" t="n"/>
      <c r="D309" s="17" t="n"/>
      <c r="E309" s="17" t="n"/>
      <c r="F309" s="17" t="n"/>
      <c r="G309" s="17" t="n"/>
      <c r="H309" s="18">
        <f>IF(AND(B309="",C309="",D309="",E309=""),"",IF(B309="","⚠ Falta fecha",IF(C309="","⚠ Falta monto",IF(D309="","⚠ Falta categoría",IF(ISNA(MATCH(D309,catNom,0)),"⚠ Categoría no existe",IF(E309="","⚠ Falta cuenta",IF(ISNA(MATCH(E309,ctaNom,0)),"⚠ Cuenta no existe",IF(AND(OR(I309="Transferencia",I309="Pago tarjeta"),G309=""),"⚠ Indica la cuenta «Hacia»",IF(AND(G309&lt;&gt;"",G309=E309),"⚠ «Hacia» igual a la cuenta",IF(AND(G309&lt;&gt;"",ISNA(MATCH(G309,ctaNom,0))),"⚠ «Hacia» no existe",IF(AND(I309="Pago tarjeta",IFERROR(INDEX(ctaTipo,MATCH(G309,ctaNom,0)),"")&lt;&gt;"Tarjeta de crédito"),"⚠ «Hacia» debe ser la tarjeta",IF(AND(I309="Trading",IFERROR(INDEX(ctaTipo,MATCH(E309,ctaNom,0)),"")&lt;&gt;"Cuenta de trading"),"⚠ Usa la cuenta de trading","✓"))))))))))))</f>
        <v/>
      </c>
      <c r="I309" s="19">
        <f>IF(OR(B309="",C309="",D309=""),"",IFERROR(INDEX(catTipo,MATCH(D309,catNom,0))&amp;"",""))</f>
        <v/>
      </c>
      <c r="J309" s="19">
        <f>IF(I309="","",IFERROR(INDEX(catGrupo,MATCH(D309,catNom,0))&amp;"",""))</f>
        <v/>
      </c>
      <c r="K309" s="19">
        <f>IF(I309="Gasto",IF(IFERROR(INDEX(catClas,MATCH(D309,catNom,0))&amp;"","")="","Variable",IFERROR(INDEX(catClas,MATCH(D309,catNom,0))&amp;"","")),"")</f>
        <v/>
      </c>
      <c r="L309" s="19">
        <f>IF(I309="","",IFERROR(INDEX(catAlim,MATCH(D309,catNom,0))&amp;"",""))</f>
        <v/>
      </c>
      <c r="M309" s="19">
        <f>IF(I309="","",IFERROR(INDEX(catComida,MATCH(D309,catNom,0))&amp;"",""))</f>
        <v/>
      </c>
      <c r="N309" s="19">
        <f>IF(I309="","",IFERROR(INDEX(ctaMon,MATCH(E309,ctaNom,0))&amp;"","DOP"))</f>
        <v/>
      </c>
      <c r="O309" s="20">
        <f>IF(I309="","",C309*IF(N309="USD",TasaUSD,1))</f>
        <v/>
      </c>
      <c r="P309" s="20">
        <f>IF(I309="","",IF(I309="Gasto",O309,0))</f>
        <v/>
      </c>
      <c r="Q309" s="20">
        <f>IF(I309="","",IF(I309="Ingreso",O309,0))</f>
        <v/>
      </c>
      <c r="R309" s="20">
        <f>IF(I309="","",IF(I309="Trading",O309,0))</f>
        <v/>
      </c>
      <c r="S309" s="19">
        <f>IF(I309="","",IF(AND(I309="Gasto",K309="Variable",J309&lt;&gt;"Trading",O309&gt;0,O309&lt;=Umbral),1,0))</f>
        <v/>
      </c>
      <c r="T309" s="20">
        <f>IF(OR(I309="",E309=""),"",IF(OR(I309="Gasto",I309="Transferencia",I309="Pago tarjeta"),-1,1)*C309)</f>
        <v/>
      </c>
      <c r="U309" s="20">
        <f>IF(OR(G309="",AND(I309&lt;&gt;"Transferencia",I309&lt;&gt;"Pago tarjeta")),"",IF(IFERROR(INDEX(ctaMon,MATCH(G309,ctaNom,0))&amp;"","DOP")=N309,C309,IF(N309="USD",C309*TasaUSD,C309/TasaUSD)))</f>
        <v/>
      </c>
      <c r="V309" s="20">
        <f>IF(I309="","",IF(IFERROR(INDEX(ctaLiq,MATCH(E309,ctaNom,0))="Sí",FALSE),IF(OR(I309="Gasto",I309="Transferencia",I309="Pago tarjeta"),-1,1)*O309,0)+IF(AND(U309&lt;&gt;"",IFERROR(INDEX(ctaLiq,MATCH(G309,ctaNom,0))="Sí",FALSE)),O309,0))</f>
        <v/>
      </c>
      <c r="W309" s="19">
        <f>IF(OR(F309="",I309=""),"",IF(COUNTIFS(F$6:F309,F309,I$6:I309,"?*")=1,MAX(W$5:W308)+1,""))</f>
        <v/>
      </c>
    </row>
    <row r="310">
      <c r="B310" s="15" t="n"/>
      <c r="C310" s="16" t="n"/>
      <c r="D310" s="17" t="n"/>
      <c r="E310" s="17" t="n"/>
      <c r="F310" s="17" t="n"/>
      <c r="G310" s="17" t="n"/>
      <c r="H310" s="18">
        <f>IF(AND(B310="",C310="",D310="",E310=""),"",IF(B310="","⚠ Falta fecha",IF(C310="","⚠ Falta monto",IF(D310="","⚠ Falta categoría",IF(ISNA(MATCH(D310,catNom,0)),"⚠ Categoría no existe",IF(E310="","⚠ Falta cuenta",IF(ISNA(MATCH(E310,ctaNom,0)),"⚠ Cuenta no existe",IF(AND(OR(I310="Transferencia",I310="Pago tarjeta"),G310=""),"⚠ Indica la cuenta «Hacia»",IF(AND(G310&lt;&gt;"",G310=E310),"⚠ «Hacia» igual a la cuenta",IF(AND(G310&lt;&gt;"",ISNA(MATCH(G310,ctaNom,0))),"⚠ «Hacia» no existe",IF(AND(I310="Pago tarjeta",IFERROR(INDEX(ctaTipo,MATCH(G310,ctaNom,0)),"")&lt;&gt;"Tarjeta de crédito"),"⚠ «Hacia» debe ser la tarjeta",IF(AND(I310="Trading",IFERROR(INDEX(ctaTipo,MATCH(E310,ctaNom,0)),"")&lt;&gt;"Cuenta de trading"),"⚠ Usa la cuenta de trading","✓"))))))))))))</f>
        <v/>
      </c>
      <c r="I310" s="19">
        <f>IF(OR(B310="",C310="",D310=""),"",IFERROR(INDEX(catTipo,MATCH(D310,catNom,0))&amp;"",""))</f>
        <v/>
      </c>
      <c r="J310" s="19">
        <f>IF(I310="","",IFERROR(INDEX(catGrupo,MATCH(D310,catNom,0))&amp;"",""))</f>
        <v/>
      </c>
      <c r="K310" s="19">
        <f>IF(I310="Gasto",IF(IFERROR(INDEX(catClas,MATCH(D310,catNom,0))&amp;"","")="","Variable",IFERROR(INDEX(catClas,MATCH(D310,catNom,0))&amp;"","")),"")</f>
        <v/>
      </c>
      <c r="L310" s="19">
        <f>IF(I310="","",IFERROR(INDEX(catAlim,MATCH(D310,catNom,0))&amp;"",""))</f>
        <v/>
      </c>
      <c r="M310" s="19">
        <f>IF(I310="","",IFERROR(INDEX(catComida,MATCH(D310,catNom,0))&amp;"",""))</f>
        <v/>
      </c>
      <c r="N310" s="19">
        <f>IF(I310="","",IFERROR(INDEX(ctaMon,MATCH(E310,ctaNom,0))&amp;"","DOP"))</f>
        <v/>
      </c>
      <c r="O310" s="20">
        <f>IF(I310="","",C310*IF(N310="USD",TasaUSD,1))</f>
        <v/>
      </c>
      <c r="P310" s="20">
        <f>IF(I310="","",IF(I310="Gasto",O310,0))</f>
        <v/>
      </c>
      <c r="Q310" s="20">
        <f>IF(I310="","",IF(I310="Ingreso",O310,0))</f>
        <v/>
      </c>
      <c r="R310" s="20">
        <f>IF(I310="","",IF(I310="Trading",O310,0))</f>
        <v/>
      </c>
      <c r="S310" s="19">
        <f>IF(I310="","",IF(AND(I310="Gasto",K310="Variable",J310&lt;&gt;"Trading",O310&gt;0,O310&lt;=Umbral),1,0))</f>
        <v/>
      </c>
      <c r="T310" s="20">
        <f>IF(OR(I310="",E310=""),"",IF(OR(I310="Gasto",I310="Transferencia",I310="Pago tarjeta"),-1,1)*C310)</f>
        <v/>
      </c>
      <c r="U310" s="20">
        <f>IF(OR(G310="",AND(I310&lt;&gt;"Transferencia",I310&lt;&gt;"Pago tarjeta")),"",IF(IFERROR(INDEX(ctaMon,MATCH(G310,ctaNom,0))&amp;"","DOP")=N310,C310,IF(N310="USD",C310*TasaUSD,C310/TasaUSD)))</f>
        <v/>
      </c>
      <c r="V310" s="20">
        <f>IF(I310="","",IF(IFERROR(INDEX(ctaLiq,MATCH(E310,ctaNom,0))="Sí",FALSE),IF(OR(I310="Gasto",I310="Transferencia",I310="Pago tarjeta"),-1,1)*O310,0)+IF(AND(U310&lt;&gt;"",IFERROR(INDEX(ctaLiq,MATCH(G310,ctaNom,0))="Sí",FALSE)),O310,0))</f>
        <v/>
      </c>
      <c r="W310" s="19">
        <f>IF(OR(F310="",I310=""),"",IF(COUNTIFS(F$6:F310,F310,I$6:I310,"?*")=1,MAX(W$5:W309)+1,""))</f>
        <v/>
      </c>
    </row>
    <row r="311">
      <c r="B311" s="15" t="n"/>
      <c r="C311" s="16" t="n"/>
      <c r="D311" s="17" t="n"/>
      <c r="E311" s="17" t="n"/>
      <c r="F311" s="17" t="n"/>
      <c r="G311" s="17" t="n"/>
      <c r="H311" s="18">
        <f>IF(AND(B311="",C311="",D311="",E311=""),"",IF(B311="","⚠ Falta fecha",IF(C311="","⚠ Falta monto",IF(D311="","⚠ Falta categoría",IF(ISNA(MATCH(D311,catNom,0)),"⚠ Categoría no existe",IF(E311="","⚠ Falta cuenta",IF(ISNA(MATCH(E311,ctaNom,0)),"⚠ Cuenta no existe",IF(AND(OR(I311="Transferencia",I311="Pago tarjeta"),G311=""),"⚠ Indica la cuenta «Hacia»",IF(AND(G311&lt;&gt;"",G311=E311),"⚠ «Hacia» igual a la cuenta",IF(AND(G311&lt;&gt;"",ISNA(MATCH(G311,ctaNom,0))),"⚠ «Hacia» no existe",IF(AND(I311="Pago tarjeta",IFERROR(INDEX(ctaTipo,MATCH(G311,ctaNom,0)),"")&lt;&gt;"Tarjeta de crédito"),"⚠ «Hacia» debe ser la tarjeta",IF(AND(I311="Trading",IFERROR(INDEX(ctaTipo,MATCH(E311,ctaNom,0)),"")&lt;&gt;"Cuenta de trading"),"⚠ Usa la cuenta de trading","✓"))))))))))))</f>
        <v/>
      </c>
      <c r="I311" s="19">
        <f>IF(OR(B311="",C311="",D311=""),"",IFERROR(INDEX(catTipo,MATCH(D311,catNom,0))&amp;"",""))</f>
        <v/>
      </c>
      <c r="J311" s="19">
        <f>IF(I311="","",IFERROR(INDEX(catGrupo,MATCH(D311,catNom,0))&amp;"",""))</f>
        <v/>
      </c>
      <c r="K311" s="19">
        <f>IF(I311="Gasto",IF(IFERROR(INDEX(catClas,MATCH(D311,catNom,0))&amp;"","")="","Variable",IFERROR(INDEX(catClas,MATCH(D311,catNom,0))&amp;"","")),"")</f>
        <v/>
      </c>
      <c r="L311" s="19">
        <f>IF(I311="","",IFERROR(INDEX(catAlim,MATCH(D311,catNom,0))&amp;"",""))</f>
        <v/>
      </c>
      <c r="M311" s="19">
        <f>IF(I311="","",IFERROR(INDEX(catComida,MATCH(D311,catNom,0))&amp;"",""))</f>
        <v/>
      </c>
      <c r="N311" s="19">
        <f>IF(I311="","",IFERROR(INDEX(ctaMon,MATCH(E311,ctaNom,0))&amp;"","DOP"))</f>
        <v/>
      </c>
      <c r="O311" s="20">
        <f>IF(I311="","",C311*IF(N311="USD",TasaUSD,1))</f>
        <v/>
      </c>
      <c r="P311" s="20">
        <f>IF(I311="","",IF(I311="Gasto",O311,0))</f>
        <v/>
      </c>
      <c r="Q311" s="20">
        <f>IF(I311="","",IF(I311="Ingreso",O311,0))</f>
        <v/>
      </c>
      <c r="R311" s="20">
        <f>IF(I311="","",IF(I311="Trading",O311,0))</f>
        <v/>
      </c>
      <c r="S311" s="19">
        <f>IF(I311="","",IF(AND(I311="Gasto",K311="Variable",J311&lt;&gt;"Trading",O311&gt;0,O311&lt;=Umbral),1,0))</f>
        <v/>
      </c>
      <c r="T311" s="20">
        <f>IF(OR(I311="",E311=""),"",IF(OR(I311="Gasto",I311="Transferencia",I311="Pago tarjeta"),-1,1)*C311)</f>
        <v/>
      </c>
      <c r="U311" s="20">
        <f>IF(OR(G311="",AND(I311&lt;&gt;"Transferencia",I311&lt;&gt;"Pago tarjeta")),"",IF(IFERROR(INDEX(ctaMon,MATCH(G311,ctaNom,0))&amp;"","DOP")=N311,C311,IF(N311="USD",C311*TasaUSD,C311/TasaUSD)))</f>
        <v/>
      </c>
      <c r="V311" s="20">
        <f>IF(I311="","",IF(IFERROR(INDEX(ctaLiq,MATCH(E311,ctaNom,0))="Sí",FALSE),IF(OR(I311="Gasto",I311="Transferencia",I311="Pago tarjeta"),-1,1)*O311,0)+IF(AND(U311&lt;&gt;"",IFERROR(INDEX(ctaLiq,MATCH(G311,ctaNom,0))="Sí",FALSE)),O311,0))</f>
        <v/>
      </c>
      <c r="W311" s="19">
        <f>IF(OR(F311="",I311=""),"",IF(COUNTIFS(F$6:F311,F311,I$6:I311,"?*")=1,MAX(W$5:W310)+1,""))</f>
        <v/>
      </c>
    </row>
    <row r="312">
      <c r="B312" s="15" t="n"/>
      <c r="C312" s="16" t="n"/>
      <c r="D312" s="17" t="n"/>
      <c r="E312" s="17" t="n"/>
      <c r="F312" s="17" t="n"/>
      <c r="G312" s="17" t="n"/>
      <c r="H312" s="18">
        <f>IF(AND(B312="",C312="",D312="",E312=""),"",IF(B312="","⚠ Falta fecha",IF(C312="","⚠ Falta monto",IF(D312="","⚠ Falta categoría",IF(ISNA(MATCH(D312,catNom,0)),"⚠ Categoría no existe",IF(E312="","⚠ Falta cuenta",IF(ISNA(MATCH(E312,ctaNom,0)),"⚠ Cuenta no existe",IF(AND(OR(I312="Transferencia",I312="Pago tarjeta"),G312=""),"⚠ Indica la cuenta «Hacia»",IF(AND(G312&lt;&gt;"",G312=E312),"⚠ «Hacia» igual a la cuenta",IF(AND(G312&lt;&gt;"",ISNA(MATCH(G312,ctaNom,0))),"⚠ «Hacia» no existe",IF(AND(I312="Pago tarjeta",IFERROR(INDEX(ctaTipo,MATCH(G312,ctaNom,0)),"")&lt;&gt;"Tarjeta de crédito"),"⚠ «Hacia» debe ser la tarjeta",IF(AND(I312="Trading",IFERROR(INDEX(ctaTipo,MATCH(E312,ctaNom,0)),"")&lt;&gt;"Cuenta de trading"),"⚠ Usa la cuenta de trading","✓"))))))))))))</f>
        <v/>
      </c>
      <c r="I312" s="19">
        <f>IF(OR(B312="",C312="",D312=""),"",IFERROR(INDEX(catTipo,MATCH(D312,catNom,0))&amp;"",""))</f>
        <v/>
      </c>
      <c r="J312" s="19">
        <f>IF(I312="","",IFERROR(INDEX(catGrupo,MATCH(D312,catNom,0))&amp;"",""))</f>
        <v/>
      </c>
      <c r="K312" s="19">
        <f>IF(I312="Gasto",IF(IFERROR(INDEX(catClas,MATCH(D312,catNom,0))&amp;"","")="","Variable",IFERROR(INDEX(catClas,MATCH(D312,catNom,0))&amp;"","")),"")</f>
        <v/>
      </c>
      <c r="L312" s="19">
        <f>IF(I312="","",IFERROR(INDEX(catAlim,MATCH(D312,catNom,0))&amp;"",""))</f>
        <v/>
      </c>
      <c r="M312" s="19">
        <f>IF(I312="","",IFERROR(INDEX(catComida,MATCH(D312,catNom,0))&amp;"",""))</f>
        <v/>
      </c>
      <c r="N312" s="19">
        <f>IF(I312="","",IFERROR(INDEX(ctaMon,MATCH(E312,ctaNom,0))&amp;"","DOP"))</f>
        <v/>
      </c>
      <c r="O312" s="20">
        <f>IF(I312="","",C312*IF(N312="USD",TasaUSD,1))</f>
        <v/>
      </c>
      <c r="P312" s="20">
        <f>IF(I312="","",IF(I312="Gasto",O312,0))</f>
        <v/>
      </c>
      <c r="Q312" s="20">
        <f>IF(I312="","",IF(I312="Ingreso",O312,0))</f>
        <v/>
      </c>
      <c r="R312" s="20">
        <f>IF(I312="","",IF(I312="Trading",O312,0))</f>
        <v/>
      </c>
      <c r="S312" s="19">
        <f>IF(I312="","",IF(AND(I312="Gasto",K312="Variable",J312&lt;&gt;"Trading",O312&gt;0,O312&lt;=Umbral),1,0))</f>
        <v/>
      </c>
      <c r="T312" s="20">
        <f>IF(OR(I312="",E312=""),"",IF(OR(I312="Gasto",I312="Transferencia",I312="Pago tarjeta"),-1,1)*C312)</f>
        <v/>
      </c>
      <c r="U312" s="20">
        <f>IF(OR(G312="",AND(I312&lt;&gt;"Transferencia",I312&lt;&gt;"Pago tarjeta")),"",IF(IFERROR(INDEX(ctaMon,MATCH(G312,ctaNom,0))&amp;"","DOP")=N312,C312,IF(N312="USD",C312*TasaUSD,C312/TasaUSD)))</f>
        <v/>
      </c>
      <c r="V312" s="20">
        <f>IF(I312="","",IF(IFERROR(INDEX(ctaLiq,MATCH(E312,ctaNom,0))="Sí",FALSE),IF(OR(I312="Gasto",I312="Transferencia",I312="Pago tarjeta"),-1,1)*O312,0)+IF(AND(U312&lt;&gt;"",IFERROR(INDEX(ctaLiq,MATCH(G312,ctaNom,0))="Sí",FALSE)),O312,0))</f>
        <v/>
      </c>
      <c r="W312" s="19">
        <f>IF(OR(F312="",I312=""),"",IF(COUNTIFS(F$6:F312,F312,I$6:I312,"?*")=1,MAX(W$5:W311)+1,""))</f>
        <v/>
      </c>
    </row>
    <row r="313">
      <c r="B313" s="15" t="n"/>
      <c r="C313" s="16" t="n"/>
      <c r="D313" s="17" t="n"/>
      <c r="E313" s="17" t="n"/>
      <c r="F313" s="17" t="n"/>
      <c r="G313" s="17" t="n"/>
      <c r="H313" s="18">
        <f>IF(AND(B313="",C313="",D313="",E313=""),"",IF(B313="","⚠ Falta fecha",IF(C313="","⚠ Falta monto",IF(D313="","⚠ Falta categoría",IF(ISNA(MATCH(D313,catNom,0)),"⚠ Categoría no existe",IF(E313="","⚠ Falta cuenta",IF(ISNA(MATCH(E313,ctaNom,0)),"⚠ Cuenta no existe",IF(AND(OR(I313="Transferencia",I313="Pago tarjeta"),G313=""),"⚠ Indica la cuenta «Hacia»",IF(AND(G313&lt;&gt;"",G313=E313),"⚠ «Hacia» igual a la cuenta",IF(AND(G313&lt;&gt;"",ISNA(MATCH(G313,ctaNom,0))),"⚠ «Hacia» no existe",IF(AND(I313="Pago tarjeta",IFERROR(INDEX(ctaTipo,MATCH(G313,ctaNom,0)),"")&lt;&gt;"Tarjeta de crédito"),"⚠ «Hacia» debe ser la tarjeta",IF(AND(I313="Trading",IFERROR(INDEX(ctaTipo,MATCH(E313,ctaNom,0)),"")&lt;&gt;"Cuenta de trading"),"⚠ Usa la cuenta de trading","✓"))))))))))))</f>
        <v/>
      </c>
      <c r="I313" s="19">
        <f>IF(OR(B313="",C313="",D313=""),"",IFERROR(INDEX(catTipo,MATCH(D313,catNom,0))&amp;"",""))</f>
        <v/>
      </c>
      <c r="J313" s="19">
        <f>IF(I313="","",IFERROR(INDEX(catGrupo,MATCH(D313,catNom,0))&amp;"",""))</f>
        <v/>
      </c>
      <c r="K313" s="19">
        <f>IF(I313="Gasto",IF(IFERROR(INDEX(catClas,MATCH(D313,catNom,0))&amp;"","")="","Variable",IFERROR(INDEX(catClas,MATCH(D313,catNom,0))&amp;"","")),"")</f>
        <v/>
      </c>
      <c r="L313" s="19">
        <f>IF(I313="","",IFERROR(INDEX(catAlim,MATCH(D313,catNom,0))&amp;"",""))</f>
        <v/>
      </c>
      <c r="M313" s="19">
        <f>IF(I313="","",IFERROR(INDEX(catComida,MATCH(D313,catNom,0))&amp;"",""))</f>
        <v/>
      </c>
      <c r="N313" s="19">
        <f>IF(I313="","",IFERROR(INDEX(ctaMon,MATCH(E313,ctaNom,0))&amp;"","DOP"))</f>
        <v/>
      </c>
      <c r="O313" s="20">
        <f>IF(I313="","",C313*IF(N313="USD",TasaUSD,1))</f>
        <v/>
      </c>
      <c r="P313" s="20">
        <f>IF(I313="","",IF(I313="Gasto",O313,0))</f>
        <v/>
      </c>
      <c r="Q313" s="20">
        <f>IF(I313="","",IF(I313="Ingreso",O313,0))</f>
        <v/>
      </c>
      <c r="R313" s="20">
        <f>IF(I313="","",IF(I313="Trading",O313,0))</f>
        <v/>
      </c>
      <c r="S313" s="19">
        <f>IF(I313="","",IF(AND(I313="Gasto",K313="Variable",J313&lt;&gt;"Trading",O313&gt;0,O313&lt;=Umbral),1,0))</f>
        <v/>
      </c>
      <c r="T313" s="20">
        <f>IF(OR(I313="",E313=""),"",IF(OR(I313="Gasto",I313="Transferencia",I313="Pago tarjeta"),-1,1)*C313)</f>
        <v/>
      </c>
      <c r="U313" s="20">
        <f>IF(OR(G313="",AND(I313&lt;&gt;"Transferencia",I313&lt;&gt;"Pago tarjeta")),"",IF(IFERROR(INDEX(ctaMon,MATCH(G313,ctaNom,0))&amp;"","DOP")=N313,C313,IF(N313="USD",C313*TasaUSD,C313/TasaUSD)))</f>
        <v/>
      </c>
      <c r="V313" s="20">
        <f>IF(I313="","",IF(IFERROR(INDEX(ctaLiq,MATCH(E313,ctaNom,0))="Sí",FALSE),IF(OR(I313="Gasto",I313="Transferencia",I313="Pago tarjeta"),-1,1)*O313,0)+IF(AND(U313&lt;&gt;"",IFERROR(INDEX(ctaLiq,MATCH(G313,ctaNom,0))="Sí",FALSE)),O313,0))</f>
        <v/>
      </c>
      <c r="W313" s="19">
        <f>IF(OR(F313="",I313=""),"",IF(COUNTIFS(F$6:F313,F313,I$6:I313,"?*")=1,MAX(W$5:W312)+1,""))</f>
        <v/>
      </c>
    </row>
    <row r="314">
      <c r="B314" s="15" t="n"/>
      <c r="C314" s="16" t="n"/>
      <c r="D314" s="17" t="n"/>
      <c r="E314" s="17" t="n"/>
      <c r="F314" s="17" t="n"/>
      <c r="G314" s="17" t="n"/>
      <c r="H314" s="18">
        <f>IF(AND(B314="",C314="",D314="",E314=""),"",IF(B314="","⚠ Falta fecha",IF(C314="","⚠ Falta monto",IF(D314="","⚠ Falta categoría",IF(ISNA(MATCH(D314,catNom,0)),"⚠ Categoría no existe",IF(E314="","⚠ Falta cuenta",IF(ISNA(MATCH(E314,ctaNom,0)),"⚠ Cuenta no existe",IF(AND(OR(I314="Transferencia",I314="Pago tarjeta"),G314=""),"⚠ Indica la cuenta «Hacia»",IF(AND(G314&lt;&gt;"",G314=E314),"⚠ «Hacia» igual a la cuenta",IF(AND(G314&lt;&gt;"",ISNA(MATCH(G314,ctaNom,0))),"⚠ «Hacia» no existe",IF(AND(I314="Pago tarjeta",IFERROR(INDEX(ctaTipo,MATCH(G314,ctaNom,0)),"")&lt;&gt;"Tarjeta de crédito"),"⚠ «Hacia» debe ser la tarjeta",IF(AND(I314="Trading",IFERROR(INDEX(ctaTipo,MATCH(E314,ctaNom,0)),"")&lt;&gt;"Cuenta de trading"),"⚠ Usa la cuenta de trading","✓"))))))))))))</f>
        <v/>
      </c>
      <c r="I314" s="19">
        <f>IF(OR(B314="",C314="",D314=""),"",IFERROR(INDEX(catTipo,MATCH(D314,catNom,0))&amp;"",""))</f>
        <v/>
      </c>
      <c r="J314" s="19">
        <f>IF(I314="","",IFERROR(INDEX(catGrupo,MATCH(D314,catNom,0))&amp;"",""))</f>
        <v/>
      </c>
      <c r="K314" s="19">
        <f>IF(I314="Gasto",IF(IFERROR(INDEX(catClas,MATCH(D314,catNom,0))&amp;"","")="","Variable",IFERROR(INDEX(catClas,MATCH(D314,catNom,0))&amp;"","")),"")</f>
        <v/>
      </c>
      <c r="L314" s="19">
        <f>IF(I314="","",IFERROR(INDEX(catAlim,MATCH(D314,catNom,0))&amp;"",""))</f>
        <v/>
      </c>
      <c r="M314" s="19">
        <f>IF(I314="","",IFERROR(INDEX(catComida,MATCH(D314,catNom,0))&amp;"",""))</f>
        <v/>
      </c>
      <c r="N314" s="19">
        <f>IF(I314="","",IFERROR(INDEX(ctaMon,MATCH(E314,ctaNom,0))&amp;"","DOP"))</f>
        <v/>
      </c>
      <c r="O314" s="20">
        <f>IF(I314="","",C314*IF(N314="USD",TasaUSD,1))</f>
        <v/>
      </c>
      <c r="P314" s="20">
        <f>IF(I314="","",IF(I314="Gasto",O314,0))</f>
        <v/>
      </c>
      <c r="Q314" s="20">
        <f>IF(I314="","",IF(I314="Ingreso",O314,0))</f>
        <v/>
      </c>
      <c r="R314" s="20">
        <f>IF(I314="","",IF(I314="Trading",O314,0))</f>
        <v/>
      </c>
      <c r="S314" s="19">
        <f>IF(I314="","",IF(AND(I314="Gasto",K314="Variable",J314&lt;&gt;"Trading",O314&gt;0,O314&lt;=Umbral),1,0))</f>
        <v/>
      </c>
      <c r="T314" s="20">
        <f>IF(OR(I314="",E314=""),"",IF(OR(I314="Gasto",I314="Transferencia",I314="Pago tarjeta"),-1,1)*C314)</f>
        <v/>
      </c>
      <c r="U314" s="20">
        <f>IF(OR(G314="",AND(I314&lt;&gt;"Transferencia",I314&lt;&gt;"Pago tarjeta")),"",IF(IFERROR(INDEX(ctaMon,MATCH(G314,ctaNom,0))&amp;"","DOP")=N314,C314,IF(N314="USD",C314*TasaUSD,C314/TasaUSD)))</f>
        <v/>
      </c>
      <c r="V314" s="20">
        <f>IF(I314="","",IF(IFERROR(INDEX(ctaLiq,MATCH(E314,ctaNom,0))="Sí",FALSE),IF(OR(I314="Gasto",I314="Transferencia",I314="Pago tarjeta"),-1,1)*O314,0)+IF(AND(U314&lt;&gt;"",IFERROR(INDEX(ctaLiq,MATCH(G314,ctaNom,0))="Sí",FALSE)),O314,0))</f>
        <v/>
      </c>
      <c r="W314" s="19">
        <f>IF(OR(F314="",I314=""),"",IF(COUNTIFS(F$6:F314,F314,I$6:I314,"?*")=1,MAX(W$5:W313)+1,""))</f>
        <v/>
      </c>
    </row>
    <row r="315">
      <c r="B315" s="15" t="n"/>
      <c r="C315" s="16" t="n"/>
      <c r="D315" s="17" t="n"/>
      <c r="E315" s="17" t="n"/>
      <c r="F315" s="17" t="n"/>
      <c r="G315" s="17" t="n"/>
      <c r="H315" s="18">
        <f>IF(AND(B315="",C315="",D315="",E315=""),"",IF(B315="","⚠ Falta fecha",IF(C315="","⚠ Falta monto",IF(D315="","⚠ Falta categoría",IF(ISNA(MATCH(D315,catNom,0)),"⚠ Categoría no existe",IF(E315="","⚠ Falta cuenta",IF(ISNA(MATCH(E315,ctaNom,0)),"⚠ Cuenta no existe",IF(AND(OR(I315="Transferencia",I315="Pago tarjeta"),G315=""),"⚠ Indica la cuenta «Hacia»",IF(AND(G315&lt;&gt;"",G315=E315),"⚠ «Hacia» igual a la cuenta",IF(AND(G315&lt;&gt;"",ISNA(MATCH(G315,ctaNom,0))),"⚠ «Hacia» no existe",IF(AND(I315="Pago tarjeta",IFERROR(INDEX(ctaTipo,MATCH(G315,ctaNom,0)),"")&lt;&gt;"Tarjeta de crédito"),"⚠ «Hacia» debe ser la tarjeta",IF(AND(I315="Trading",IFERROR(INDEX(ctaTipo,MATCH(E315,ctaNom,0)),"")&lt;&gt;"Cuenta de trading"),"⚠ Usa la cuenta de trading","✓"))))))))))))</f>
        <v/>
      </c>
      <c r="I315" s="19">
        <f>IF(OR(B315="",C315="",D315=""),"",IFERROR(INDEX(catTipo,MATCH(D315,catNom,0))&amp;"",""))</f>
        <v/>
      </c>
      <c r="J315" s="19">
        <f>IF(I315="","",IFERROR(INDEX(catGrupo,MATCH(D315,catNom,0))&amp;"",""))</f>
        <v/>
      </c>
      <c r="K315" s="19">
        <f>IF(I315="Gasto",IF(IFERROR(INDEX(catClas,MATCH(D315,catNom,0))&amp;"","")="","Variable",IFERROR(INDEX(catClas,MATCH(D315,catNom,0))&amp;"","")),"")</f>
        <v/>
      </c>
      <c r="L315" s="19">
        <f>IF(I315="","",IFERROR(INDEX(catAlim,MATCH(D315,catNom,0))&amp;"",""))</f>
        <v/>
      </c>
      <c r="M315" s="19">
        <f>IF(I315="","",IFERROR(INDEX(catComida,MATCH(D315,catNom,0))&amp;"",""))</f>
        <v/>
      </c>
      <c r="N315" s="19">
        <f>IF(I315="","",IFERROR(INDEX(ctaMon,MATCH(E315,ctaNom,0))&amp;"","DOP"))</f>
        <v/>
      </c>
      <c r="O315" s="20">
        <f>IF(I315="","",C315*IF(N315="USD",TasaUSD,1))</f>
        <v/>
      </c>
      <c r="P315" s="20">
        <f>IF(I315="","",IF(I315="Gasto",O315,0))</f>
        <v/>
      </c>
      <c r="Q315" s="20">
        <f>IF(I315="","",IF(I315="Ingreso",O315,0))</f>
        <v/>
      </c>
      <c r="R315" s="20">
        <f>IF(I315="","",IF(I315="Trading",O315,0))</f>
        <v/>
      </c>
      <c r="S315" s="19">
        <f>IF(I315="","",IF(AND(I315="Gasto",K315="Variable",J315&lt;&gt;"Trading",O315&gt;0,O315&lt;=Umbral),1,0))</f>
        <v/>
      </c>
      <c r="T315" s="20">
        <f>IF(OR(I315="",E315=""),"",IF(OR(I315="Gasto",I315="Transferencia",I315="Pago tarjeta"),-1,1)*C315)</f>
        <v/>
      </c>
      <c r="U315" s="20">
        <f>IF(OR(G315="",AND(I315&lt;&gt;"Transferencia",I315&lt;&gt;"Pago tarjeta")),"",IF(IFERROR(INDEX(ctaMon,MATCH(G315,ctaNom,0))&amp;"","DOP")=N315,C315,IF(N315="USD",C315*TasaUSD,C315/TasaUSD)))</f>
        <v/>
      </c>
      <c r="V315" s="20">
        <f>IF(I315="","",IF(IFERROR(INDEX(ctaLiq,MATCH(E315,ctaNom,0))="Sí",FALSE),IF(OR(I315="Gasto",I315="Transferencia",I315="Pago tarjeta"),-1,1)*O315,0)+IF(AND(U315&lt;&gt;"",IFERROR(INDEX(ctaLiq,MATCH(G315,ctaNom,0))="Sí",FALSE)),O315,0))</f>
        <v/>
      </c>
      <c r="W315" s="19">
        <f>IF(OR(F315="",I315=""),"",IF(COUNTIFS(F$6:F315,F315,I$6:I315,"?*")=1,MAX(W$5:W314)+1,""))</f>
        <v/>
      </c>
    </row>
    <row r="316">
      <c r="B316" s="15" t="n"/>
      <c r="C316" s="16" t="n"/>
      <c r="D316" s="17" t="n"/>
      <c r="E316" s="17" t="n"/>
      <c r="F316" s="17" t="n"/>
      <c r="G316" s="17" t="n"/>
      <c r="H316" s="18">
        <f>IF(AND(B316="",C316="",D316="",E316=""),"",IF(B316="","⚠ Falta fecha",IF(C316="","⚠ Falta monto",IF(D316="","⚠ Falta categoría",IF(ISNA(MATCH(D316,catNom,0)),"⚠ Categoría no existe",IF(E316="","⚠ Falta cuenta",IF(ISNA(MATCH(E316,ctaNom,0)),"⚠ Cuenta no existe",IF(AND(OR(I316="Transferencia",I316="Pago tarjeta"),G316=""),"⚠ Indica la cuenta «Hacia»",IF(AND(G316&lt;&gt;"",G316=E316),"⚠ «Hacia» igual a la cuenta",IF(AND(G316&lt;&gt;"",ISNA(MATCH(G316,ctaNom,0))),"⚠ «Hacia» no existe",IF(AND(I316="Pago tarjeta",IFERROR(INDEX(ctaTipo,MATCH(G316,ctaNom,0)),"")&lt;&gt;"Tarjeta de crédito"),"⚠ «Hacia» debe ser la tarjeta",IF(AND(I316="Trading",IFERROR(INDEX(ctaTipo,MATCH(E316,ctaNom,0)),"")&lt;&gt;"Cuenta de trading"),"⚠ Usa la cuenta de trading","✓"))))))))))))</f>
        <v/>
      </c>
      <c r="I316" s="19">
        <f>IF(OR(B316="",C316="",D316=""),"",IFERROR(INDEX(catTipo,MATCH(D316,catNom,0))&amp;"",""))</f>
        <v/>
      </c>
      <c r="J316" s="19">
        <f>IF(I316="","",IFERROR(INDEX(catGrupo,MATCH(D316,catNom,0))&amp;"",""))</f>
        <v/>
      </c>
      <c r="K316" s="19">
        <f>IF(I316="Gasto",IF(IFERROR(INDEX(catClas,MATCH(D316,catNom,0))&amp;"","")="","Variable",IFERROR(INDEX(catClas,MATCH(D316,catNom,0))&amp;"","")),"")</f>
        <v/>
      </c>
      <c r="L316" s="19">
        <f>IF(I316="","",IFERROR(INDEX(catAlim,MATCH(D316,catNom,0))&amp;"",""))</f>
        <v/>
      </c>
      <c r="M316" s="19">
        <f>IF(I316="","",IFERROR(INDEX(catComida,MATCH(D316,catNom,0))&amp;"",""))</f>
        <v/>
      </c>
      <c r="N316" s="19">
        <f>IF(I316="","",IFERROR(INDEX(ctaMon,MATCH(E316,ctaNom,0))&amp;"","DOP"))</f>
        <v/>
      </c>
      <c r="O316" s="20">
        <f>IF(I316="","",C316*IF(N316="USD",TasaUSD,1))</f>
        <v/>
      </c>
      <c r="P316" s="20">
        <f>IF(I316="","",IF(I316="Gasto",O316,0))</f>
        <v/>
      </c>
      <c r="Q316" s="20">
        <f>IF(I316="","",IF(I316="Ingreso",O316,0))</f>
        <v/>
      </c>
      <c r="R316" s="20">
        <f>IF(I316="","",IF(I316="Trading",O316,0))</f>
        <v/>
      </c>
      <c r="S316" s="19">
        <f>IF(I316="","",IF(AND(I316="Gasto",K316="Variable",J316&lt;&gt;"Trading",O316&gt;0,O316&lt;=Umbral),1,0))</f>
        <v/>
      </c>
      <c r="T316" s="20">
        <f>IF(OR(I316="",E316=""),"",IF(OR(I316="Gasto",I316="Transferencia",I316="Pago tarjeta"),-1,1)*C316)</f>
        <v/>
      </c>
      <c r="U316" s="20">
        <f>IF(OR(G316="",AND(I316&lt;&gt;"Transferencia",I316&lt;&gt;"Pago tarjeta")),"",IF(IFERROR(INDEX(ctaMon,MATCH(G316,ctaNom,0))&amp;"","DOP")=N316,C316,IF(N316="USD",C316*TasaUSD,C316/TasaUSD)))</f>
        <v/>
      </c>
      <c r="V316" s="20">
        <f>IF(I316="","",IF(IFERROR(INDEX(ctaLiq,MATCH(E316,ctaNom,0))="Sí",FALSE),IF(OR(I316="Gasto",I316="Transferencia",I316="Pago tarjeta"),-1,1)*O316,0)+IF(AND(U316&lt;&gt;"",IFERROR(INDEX(ctaLiq,MATCH(G316,ctaNom,0))="Sí",FALSE)),O316,0))</f>
        <v/>
      </c>
      <c r="W316" s="19">
        <f>IF(OR(F316="",I316=""),"",IF(COUNTIFS(F$6:F316,F316,I$6:I316,"?*")=1,MAX(W$5:W315)+1,""))</f>
        <v/>
      </c>
    </row>
    <row r="317">
      <c r="B317" s="15" t="n"/>
      <c r="C317" s="16" t="n"/>
      <c r="D317" s="17" t="n"/>
      <c r="E317" s="17" t="n"/>
      <c r="F317" s="17" t="n"/>
      <c r="G317" s="17" t="n"/>
      <c r="H317" s="18">
        <f>IF(AND(B317="",C317="",D317="",E317=""),"",IF(B317="","⚠ Falta fecha",IF(C317="","⚠ Falta monto",IF(D317="","⚠ Falta categoría",IF(ISNA(MATCH(D317,catNom,0)),"⚠ Categoría no existe",IF(E317="","⚠ Falta cuenta",IF(ISNA(MATCH(E317,ctaNom,0)),"⚠ Cuenta no existe",IF(AND(OR(I317="Transferencia",I317="Pago tarjeta"),G317=""),"⚠ Indica la cuenta «Hacia»",IF(AND(G317&lt;&gt;"",G317=E317),"⚠ «Hacia» igual a la cuenta",IF(AND(G317&lt;&gt;"",ISNA(MATCH(G317,ctaNom,0))),"⚠ «Hacia» no existe",IF(AND(I317="Pago tarjeta",IFERROR(INDEX(ctaTipo,MATCH(G317,ctaNom,0)),"")&lt;&gt;"Tarjeta de crédito"),"⚠ «Hacia» debe ser la tarjeta",IF(AND(I317="Trading",IFERROR(INDEX(ctaTipo,MATCH(E317,ctaNom,0)),"")&lt;&gt;"Cuenta de trading"),"⚠ Usa la cuenta de trading","✓"))))))))))))</f>
        <v/>
      </c>
      <c r="I317" s="19">
        <f>IF(OR(B317="",C317="",D317=""),"",IFERROR(INDEX(catTipo,MATCH(D317,catNom,0))&amp;"",""))</f>
        <v/>
      </c>
      <c r="J317" s="19">
        <f>IF(I317="","",IFERROR(INDEX(catGrupo,MATCH(D317,catNom,0))&amp;"",""))</f>
        <v/>
      </c>
      <c r="K317" s="19">
        <f>IF(I317="Gasto",IF(IFERROR(INDEX(catClas,MATCH(D317,catNom,0))&amp;"","")="","Variable",IFERROR(INDEX(catClas,MATCH(D317,catNom,0))&amp;"","")),"")</f>
        <v/>
      </c>
      <c r="L317" s="19">
        <f>IF(I317="","",IFERROR(INDEX(catAlim,MATCH(D317,catNom,0))&amp;"",""))</f>
        <v/>
      </c>
      <c r="M317" s="19">
        <f>IF(I317="","",IFERROR(INDEX(catComida,MATCH(D317,catNom,0))&amp;"",""))</f>
        <v/>
      </c>
      <c r="N317" s="19">
        <f>IF(I317="","",IFERROR(INDEX(ctaMon,MATCH(E317,ctaNom,0))&amp;"","DOP"))</f>
        <v/>
      </c>
      <c r="O317" s="20">
        <f>IF(I317="","",C317*IF(N317="USD",TasaUSD,1))</f>
        <v/>
      </c>
      <c r="P317" s="20">
        <f>IF(I317="","",IF(I317="Gasto",O317,0))</f>
        <v/>
      </c>
      <c r="Q317" s="20">
        <f>IF(I317="","",IF(I317="Ingreso",O317,0))</f>
        <v/>
      </c>
      <c r="R317" s="20">
        <f>IF(I317="","",IF(I317="Trading",O317,0))</f>
        <v/>
      </c>
      <c r="S317" s="19">
        <f>IF(I317="","",IF(AND(I317="Gasto",K317="Variable",J317&lt;&gt;"Trading",O317&gt;0,O317&lt;=Umbral),1,0))</f>
        <v/>
      </c>
      <c r="T317" s="20">
        <f>IF(OR(I317="",E317=""),"",IF(OR(I317="Gasto",I317="Transferencia",I317="Pago tarjeta"),-1,1)*C317)</f>
        <v/>
      </c>
      <c r="U317" s="20">
        <f>IF(OR(G317="",AND(I317&lt;&gt;"Transferencia",I317&lt;&gt;"Pago tarjeta")),"",IF(IFERROR(INDEX(ctaMon,MATCH(G317,ctaNom,0))&amp;"","DOP")=N317,C317,IF(N317="USD",C317*TasaUSD,C317/TasaUSD)))</f>
        <v/>
      </c>
      <c r="V317" s="20">
        <f>IF(I317="","",IF(IFERROR(INDEX(ctaLiq,MATCH(E317,ctaNom,0))="Sí",FALSE),IF(OR(I317="Gasto",I317="Transferencia",I317="Pago tarjeta"),-1,1)*O317,0)+IF(AND(U317&lt;&gt;"",IFERROR(INDEX(ctaLiq,MATCH(G317,ctaNom,0))="Sí",FALSE)),O317,0))</f>
        <v/>
      </c>
      <c r="W317" s="19">
        <f>IF(OR(F317="",I317=""),"",IF(COUNTIFS(F$6:F317,F317,I$6:I317,"?*")=1,MAX(W$5:W316)+1,""))</f>
        <v/>
      </c>
    </row>
    <row r="318">
      <c r="B318" s="15" t="n"/>
      <c r="C318" s="16" t="n"/>
      <c r="D318" s="17" t="n"/>
      <c r="E318" s="17" t="n"/>
      <c r="F318" s="17" t="n"/>
      <c r="G318" s="17" t="n"/>
      <c r="H318" s="18">
        <f>IF(AND(B318="",C318="",D318="",E318=""),"",IF(B318="","⚠ Falta fecha",IF(C318="","⚠ Falta monto",IF(D318="","⚠ Falta categoría",IF(ISNA(MATCH(D318,catNom,0)),"⚠ Categoría no existe",IF(E318="","⚠ Falta cuenta",IF(ISNA(MATCH(E318,ctaNom,0)),"⚠ Cuenta no existe",IF(AND(OR(I318="Transferencia",I318="Pago tarjeta"),G318=""),"⚠ Indica la cuenta «Hacia»",IF(AND(G318&lt;&gt;"",G318=E318),"⚠ «Hacia» igual a la cuenta",IF(AND(G318&lt;&gt;"",ISNA(MATCH(G318,ctaNom,0))),"⚠ «Hacia» no existe",IF(AND(I318="Pago tarjeta",IFERROR(INDEX(ctaTipo,MATCH(G318,ctaNom,0)),"")&lt;&gt;"Tarjeta de crédito"),"⚠ «Hacia» debe ser la tarjeta",IF(AND(I318="Trading",IFERROR(INDEX(ctaTipo,MATCH(E318,ctaNom,0)),"")&lt;&gt;"Cuenta de trading"),"⚠ Usa la cuenta de trading","✓"))))))))))))</f>
        <v/>
      </c>
      <c r="I318" s="19">
        <f>IF(OR(B318="",C318="",D318=""),"",IFERROR(INDEX(catTipo,MATCH(D318,catNom,0))&amp;"",""))</f>
        <v/>
      </c>
      <c r="J318" s="19">
        <f>IF(I318="","",IFERROR(INDEX(catGrupo,MATCH(D318,catNom,0))&amp;"",""))</f>
        <v/>
      </c>
      <c r="K318" s="19">
        <f>IF(I318="Gasto",IF(IFERROR(INDEX(catClas,MATCH(D318,catNom,0))&amp;"","")="","Variable",IFERROR(INDEX(catClas,MATCH(D318,catNom,0))&amp;"","")),"")</f>
        <v/>
      </c>
      <c r="L318" s="19">
        <f>IF(I318="","",IFERROR(INDEX(catAlim,MATCH(D318,catNom,0))&amp;"",""))</f>
        <v/>
      </c>
      <c r="M318" s="19">
        <f>IF(I318="","",IFERROR(INDEX(catComida,MATCH(D318,catNom,0))&amp;"",""))</f>
        <v/>
      </c>
      <c r="N318" s="19">
        <f>IF(I318="","",IFERROR(INDEX(ctaMon,MATCH(E318,ctaNom,0))&amp;"","DOP"))</f>
        <v/>
      </c>
      <c r="O318" s="20">
        <f>IF(I318="","",C318*IF(N318="USD",TasaUSD,1))</f>
        <v/>
      </c>
      <c r="P318" s="20">
        <f>IF(I318="","",IF(I318="Gasto",O318,0))</f>
        <v/>
      </c>
      <c r="Q318" s="20">
        <f>IF(I318="","",IF(I318="Ingreso",O318,0))</f>
        <v/>
      </c>
      <c r="R318" s="20">
        <f>IF(I318="","",IF(I318="Trading",O318,0))</f>
        <v/>
      </c>
      <c r="S318" s="19">
        <f>IF(I318="","",IF(AND(I318="Gasto",K318="Variable",J318&lt;&gt;"Trading",O318&gt;0,O318&lt;=Umbral),1,0))</f>
        <v/>
      </c>
      <c r="T318" s="20">
        <f>IF(OR(I318="",E318=""),"",IF(OR(I318="Gasto",I318="Transferencia",I318="Pago tarjeta"),-1,1)*C318)</f>
        <v/>
      </c>
      <c r="U318" s="20">
        <f>IF(OR(G318="",AND(I318&lt;&gt;"Transferencia",I318&lt;&gt;"Pago tarjeta")),"",IF(IFERROR(INDEX(ctaMon,MATCH(G318,ctaNom,0))&amp;"","DOP")=N318,C318,IF(N318="USD",C318*TasaUSD,C318/TasaUSD)))</f>
        <v/>
      </c>
      <c r="V318" s="20">
        <f>IF(I318="","",IF(IFERROR(INDEX(ctaLiq,MATCH(E318,ctaNom,0))="Sí",FALSE),IF(OR(I318="Gasto",I318="Transferencia",I318="Pago tarjeta"),-1,1)*O318,0)+IF(AND(U318&lt;&gt;"",IFERROR(INDEX(ctaLiq,MATCH(G318,ctaNom,0))="Sí",FALSE)),O318,0))</f>
        <v/>
      </c>
      <c r="W318" s="19">
        <f>IF(OR(F318="",I318=""),"",IF(COUNTIFS(F$6:F318,F318,I$6:I318,"?*")=1,MAX(W$5:W317)+1,""))</f>
        <v/>
      </c>
    </row>
    <row r="319">
      <c r="B319" s="15" t="n"/>
      <c r="C319" s="16" t="n"/>
      <c r="D319" s="17" t="n"/>
      <c r="E319" s="17" t="n"/>
      <c r="F319" s="17" t="n"/>
      <c r="G319" s="17" t="n"/>
      <c r="H319" s="18">
        <f>IF(AND(B319="",C319="",D319="",E319=""),"",IF(B319="","⚠ Falta fecha",IF(C319="","⚠ Falta monto",IF(D319="","⚠ Falta categoría",IF(ISNA(MATCH(D319,catNom,0)),"⚠ Categoría no existe",IF(E319="","⚠ Falta cuenta",IF(ISNA(MATCH(E319,ctaNom,0)),"⚠ Cuenta no existe",IF(AND(OR(I319="Transferencia",I319="Pago tarjeta"),G319=""),"⚠ Indica la cuenta «Hacia»",IF(AND(G319&lt;&gt;"",G319=E319),"⚠ «Hacia» igual a la cuenta",IF(AND(G319&lt;&gt;"",ISNA(MATCH(G319,ctaNom,0))),"⚠ «Hacia» no existe",IF(AND(I319="Pago tarjeta",IFERROR(INDEX(ctaTipo,MATCH(G319,ctaNom,0)),"")&lt;&gt;"Tarjeta de crédito"),"⚠ «Hacia» debe ser la tarjeta",IF(AND(I319="Trading",IFERROR(INDEX(ctaTipo,MATCH(E319,ctaNom,0)),"")&lt;&gt;"Cuenta de trading"),"⚠ Usa la cuenta de trading","✓"))))))))))))</f>
        <v/>
      </c>
      <c r="I319" s="19">
        <f>IF(OR(B319="",C319="",D319=""),"",IFERROR(INDEX(catTipo,MATCH(D319,catNom,0))&amp;"",""))</f>
        <v/>
      </c>
      <c r="J319" s="19">
        <f>IF(I319="","",IFERROR(INDEX(catGrupo,MATCH(D319,catNom,0))&amp;"",""))</f>
        <v/>
      </c>
      <c r="K319" s="19">
        <f>IF(I319="Gasto",IF(IFERROR(INDEX(catClas,MATCH(D319,catNom,0))&amp;"","")="","Variable",IFERROR(INDEX(catClas,MATCH(D319,catNom,0))&amp;"","")),"")</f>
        <v/>
      </c>
      <c r="L319" s="19">
        <f>IF(I319="","",IFERROR(INDEX(catAlim,MATCH(D319,catNom,0))&amp;"",""))</f>
        <v/>
      </c>
      <c r="M319" s="19">
        <f>IF(I319="","",IFERROR(INDEX(catComida,MATCH(D319,catNom,0))&amp;"",""))</f>
        <v/>
      </c>
      <c r="N319" s="19">
        <f>IF(I319="","",IFERROR(INDEX(ctaMon,MATCH(E319,ctaNom,0))&amp;"","DOP"))</f>
        <v/>
      </c>
      <c r="O319" s="20">
        <f>IF(I319="","",C319*IF(N319="USD",TasaUSD,1))</f>
        <v/>
      </c>
      <c r="P319" s="20">
        <f>IF(I319="","",IF(I319="Gasto",O319,0))</f>
        <v/>
      </c>
      <c r="Q319" s="20">
        <f>IF(I319="","",IF(I319="Ingreso",O319,0))</f>
        <v/>
      </c>
      <c r="R319" s="20">
        <f>IF(I319="","",IF(I319="Trading",O319,0))</f>
        <v/>
      </c>
      <c r="S319" s="19">
        <f>IF(I319="","",IF(AND(I319="Gasto",K319="Variable",J319&lt;&gt;"Trading",O319&gt;0,O319&lt;=Umbral),1,0))</f>
        <v/>
      </c>
      <c r="T319" s="20">
        <f>IF(OR(I319="",E319=""),"",IF(OR(I319="Gasto",I319="Transferencia",I319="Pago tarjeta"),-1,1)*C319)</f>
        <v/>
      </c>
      <c r="U319" s="20">
        <f>IF(OR(G319="",AND(I319&lt;&gt;"Transferencia",I319&lt;&gt;"Pago tarjeta")),"",IF(IFERROR(INDEX(ctaMon,MATCH(G319,ctaNom,0))&amp;"","DOP")=N319,C319,IF(N319="USD",C319*TasaUSD,C319/TasaUSD)))</f>
        <v/>
      </c>
      <c r="V319" s="20">
        <f>IF(I319="","",IF(IFERROR(INDEX(ctaLiq,MATCH(E319,ctaNom,0))="Sí",FALSE),IF(OR(I319="Gasto",I319="Transferencia",I319="Pago tarjeta"),-1,1)*O319,0)+IF(AND(U319&lt;&gt;"",IFERROR(INDEX(ctaLiq,MATCH(G319,ctaNom,0))="Sí",FALSE)),O319,0))</f>
        <v/>
      </c>
      <c r="W319" s="19">
        <f>IF(OR(F319="",I319=""),"",IF(COUNTIFS(F$6:F319,F319,I$6:I319,"?*")=1,MAX(W$5:W318)+1,""))</f>
        <v/>
      </c>
    </row>
    <row r="320">
      <c r="B320" s="15" t="n"/>
      <c r="C320" s="16" t="n"/>
      <c r="D320" s="17" t="n"/>
      <c r="E320" s="17" t="n"/>
      <c r="F320" s="17" t="n"/>
      <c r="G320" s="17" t="n"/>
      <c r="H320" s="18">
        <f>IF(AND(B320="",C320="",D320="",E320=""),"",IF(B320="","⚠ Falta fecha",IF(C320="","⚠ Falta monto",IF(D320="","⚠ Falta categoría",IF(ISNA(MATCH(D320,catNom,0)),"⚠ Categoría no existe",IF(E320="","⚠ Falta cuenta",IF(ISNA(MATCH(E320,ctaNom,0)),"⚠ Cuenta no existe",IF(AND(OR(I320="Transferencia",I320="Pago tarjeta"),G320=""),"⚠ Indica la cuenta «Hacia»",IF(AND(G320&lt;&gt;"",G320=E320),"⚠ «Hacia» igual a la cuenta",IF(AND(G320&lt;&gt;"",ISNA(MATCH(G320,ctaNom,0))),"⚠ «Hacia» no existe",IF(AND(I320="Pago tarjeta",IFERROR(INDEX(ctaTipo,MATCH(G320,ctaNom,0)),"")&lt;&gt;"Tarjeta de crédito"),"⚠ «Hacia» debe ser la tarjeta",IF(AND(I320="Trading",IFERROR(INDEX(ctaTipo,MATCH(E320,ctaNom,0)),"")&lt;&gt;"Cuenta de trading"),"⚠ Usa la cuenta de trading","✓"))))))))))))</f>
        <v/>
      </c>
      <c r="I320" s="19">
        <f>IF(OR(B320="",C320="",D320=""),"",IFERROR(INDEX(catTipo,MATCH(D320,catNom,0))&amp;"",""))</f>
        <v/>
      </c>
      <c r="J320" s="19">
        <f>IF(I320="","",IFERROR(INDEX(catGrupo,MATCH(D320,catNom,0))&amp;"",""))</f>
        <v/>
      </c>
      <c r="K320" s="19">
        <f>IF(I320="Gasto",IF(IFERROR(INDEX(catClas,MATCH(D320,catNom,0))&amp;"","")="","Variable",IFERROR(INDEX(catClas,MATCH(D320,catNom,0))&amp;"","")),"")</f>
        <v/>
      </c>
      <c r="L320" s="19">
        <f>IF(I320="","",IFERROR(INDEX(catAlim,MATCH(D320,catNom,0))&amp;"",""))</f>
        <v/>
      </c>
      <c r="M320" s="19">
        <f>IF(I320="","",IFERROR(INDEX(catComida,MATCH(D320,catNom,0))&amp;"",""))</f>
        <v/>
      </c>
      <c r="N320" s="19">
        <f>IF(I320="","",IFERROR(INDEX(ctaMon,MATCH(E320,ctaNom,0))&amp;"","DOP"))</f>
        <v/>
      </c>
      <c r="O320" s="20">
        <f>IF(I320="","",C320*IF(N320="USD",TasaUSD,1))</f>
        <v/>
      </c>
      <c r="P320" s="20">
        <f>IF(I320="","",IF(I320="Gasto",O320,0))</f>
        <v/>
      </c>
      <c r="Q320" s="20">
        <f>IF(I320="","",IF(I320="Ingreso",O320,0))</f>
        <v/>
      </c>
      <c r="R320" s="20">
        <f>IF(I320="","",IF(I320="Trading",O320,0))</f>
        <v/>
      </c>
      <c r="S320" s="19">
        <f>IF(I320="","",IF(AND(I320="Gasto",K320="Variable",J320&lt;&gt;"Trading",O320&gt;0,O320&lt;=Umbral),1,0))</f>
        <v/>
      </c>
      <c r="T320" s="20">
        <f>IF(OR(I320="",E320=""),"",IF(OR(I320="Gasto",I320="Transferencia",I320="Pago tarjeta"),-1,1)*C320)</f>
        <v/>
      </c>
      <c r="U320" s="20">
        <f>IF(OR(G320="",AND(I320&lt;&gt;"Transferencia",I320&lt;&gt;"Pago tarjeta")),"",IF(IFERROR(INDEX(ctaMon,MATCH(G320,ctaNom,0))&amp;"","DOP")=N320,C320,IF(N320="USD",C320*TasaUSD,C320/TasaUSD)))</f>
        <v/>
      </c>
      <c r="V320" s="20">
        <f>IF(I320="","",IF(IFERROR(INDEX(ctaLiq,MATCH(E320,ctaNom,0))="Sí",FALSE),IF(OR(I320="Gasto",I320="Transferencia",I320="Pago tarjeta"),-1,1)*O320,0)+IF(AND(U320&lt;&gt;"",IFERROR(INDEX(ctaLiq,MATCH(G320,ctaNom,0))="Sí",FALSE)),O320,0))</f>
        <v/>
      </c>
      <c r="W320" s="19">
        <f>IF(OR(F320="",I320=""),"",IF(COUNTIFS(F$6:F320,F320,I$6:I320,"?*")=1,MAX(W$5:W319)+1,""))</f>
        <v/>
      </c>
    </row>
    <row r="321">
      <c r="B321" s="15" t="n"/>
      <c r="C321" s="16" t="n"/>
      <c r="D321" s="17" t="n"/>
      <c r="E321" s="17" t="n"/>
      <c r="F321" s="17" t="n"/>
      <c r="G321" s="17" t="n"/>
      <c r="H321" s="18">
        <f>IF(AND(B321="",C321="",D321="",E321=""),"",IF(B321="","⚠ Falta fecha",IF(C321="","⚠ Falta monto",IF(D321="","⚠ Falta categoría",IF(ISNA(MATCH(D321,catNom,0)),"⚠ Categoría no existe",IF(E321="","⚠ Falta cuenta",IF(ISNA(MATCH(E321,ctaNom,0)),"⚠ Cuenta no existe",IF(AND(OR(I321="Transferencia",I321="Pago tarjeta"),G321=""),"⚠ Indica la cuenta «Hacia»",IF(AND(G321&lt;&gt;"",G321=E321),"⚠ «Hacia» igual a la cuenta",IF(AND(G321&lt;&gt;"",ISNA(MATCH(G321,ctaNom,0))),"⚠ «Hacia» no existe",IF(AND(I321="Pago tarjeta",IFERROR(INDEX(ctaTipo,MATCH(G321,ctaNom,0)),"")&lt;&gt;"Tarjeta de crédito"),"⚠ «Hacia» debe ser la tarjeta",IF(AND(I321="Trading",IFERROR(INDEX(ctaTipo,MATCH(E321,ctaNom,0)),"")&lt;&gt;"Cuenta de trading"),"⚠ Usa la cuenta de trading","✓"))))))))))))</f>
        <v/>
      </c>
      <c r="I321" s="19">
        <f>IF(OR(B321="",C321="",D321=""),"",IFERROR(INDEX(catTipo,MATCH(D321,catNom,0))&amp;"",""))</f>
        <v/>
      </c>
      <c r="J321" s="19">
        <f>IF(I321="","",IFERROR(INDEX(catGrupo,MATCH(D321,catNom,0))&amp;"",""))</f>
        <v/>
      </c>
      <c r="K321" s="19">
        <f>IF(I321="Gasto",IF(IFERROR(INDEX(catClas,MATCH(D321,catNom,0))&amp;"","")="","Variable",IFERROR(INDEX(catClas,MATCH(D321,catNom,0))&amp;"","")),"")</f>
        <v/>
      </c>
      <c r="L321" s="19">
        <f>IF(I321="","",IFERROR(INDEX(catAlim,MATCH(D321,catNom,0))&amp;"",""))</f>
        <v/>
      </c>
      <c r="M321" s="19">
        <f>IF(I321="","",IFERROR(INDEX(catComida,MATCH(D321,catNom,0))&amp;"",""))</f>
        <v/>
      </c>
      <c r="N321" s="19">
        <f>IF(I321="","",IFERROR(INDEX(ctaMon,MATCH(E321,ctaNom,0))&amp;"","DOP"))</f>
        <v/>
      </c>
      <c r="O321" s="20">
        <f>IF(I321="","",C321*IF(N321="USD",TasaUSD,1))</f>
        <v/>
      </c>
      <c r="P321" s="20">
        <f>IF(I321="","",IF(I321="Gasto",O321,0))</f>
        <v/>
      </c>
      <c r="Q321" s="20">
        <f>IF(I321="","",IF(I321="Ingreso",O321,0))</f>
        <v/>
      </c>
      <c r="R321" s="20">
        <f>IF(I321="","",IF(I321="Trading",O321,0))</f>
        <v/>
      </c>
      <c r="S321" s="19">
        <f>IF(I321="","",IF(AND(I321="Gasto",K321="Variable",J321&lt;&gt;"Trading",O321&gt;0,O321&lt;=Umbral),1,0))</f>
        <v/>
      </c>
      <c r="T321" s="20">
        <f>IF(OR(I321="",E321=""),"",IF(OR(I321="Gasto",I321="Transferencia",I321="Pago tarjeta"),-1,1)*C321)</f>
        <v/>
      </c>
      <c r="U321" s="20">
        <f>IF(OR(G321="",AND(I321&lt;&gt;"Transferencia",I321&lt;&gt;"Pago tarjeta")),"",IF(IFERROR(INDEX(ctaMon,MATCH(G321,ctaNom,0))&amp;"","DOP")=N321,C321,IF(N321="USD",C321*TasaUSD,C321/TasaUSD)))</f>
        <v/>
      </c>
      <c r="V321" s="20">
        <f>IF(I321="","",IF(IFERROR(INDEX(ctaLiq,MATCH(E321,ctaNom,0))="Sí",FALSE),IF(OR(I321="Gasto",I321="Transferencia",I321="Pago tarjeta"),-1,1)*O321,0)+IF(AND(U321&lt;&gt;"",IFERROR(INDEX(ctaLiq,MATCH(G321,ctaNom,0))="Sí",FALSE)),O321,0))</f>
        <v/>
      </c>
      <c r="W321" s="19">
        <f>IF(OR(F321="",I321=""),"",IF(COUNTIFS(F$6:F321,F321,I$6:I321,"?*")=1,MAX(W$5:W320)+1,""))</f>
        <v/>
      </c>
    </row>
    <row r="322">
      <c r="B322" s="15" t="n"/>
      <c r="C322" s="16" t="n"/>
      <c r="D322" s="17" t="n"/>
      <c r="E322" s="17" t="n"/>
      <c r="F322" s="17" t="n"/>
      <c r="G322" s="17" t="n"/>
      <c r="H322" s="18">
        <f>IF(AND(B322="",C322="",D322="",E322=""),"",IF(B322="","⚠ Falta fecha",IF(C322="","⚠ Falta monto",IF(D322="","⚠ Falta categoría",IF(ISNA(MATCH(D322,catNom,0)),"⚠ Categoría no existe",IF(E322="","⚠ Falta cuenta",IF(ISNA(MATCH(E322,ctaNom,0)),"⚠ Cuenta no existe",IF(AND(OR(I322="Transferencia",I322="Pago tarjeta"),G322=""),"⚠ Indica la cuenta «Hacia»",IF(AND(G322&lt;&gt;"",G322=E322),"⚠ «Hacia» igual a la cuenta",IF(AND(G322&lt;&gt;"",ISNA(MATCH(G322,ctaNom,0))),"⚠ «Hacia» no existe",IF(AND(I322="Pago tarjeta",IFERROR(INDEX(ctaTipo,MATCH(G322,ctaNom,0)),"")&lt;&gt;"Tarjeta de crédito"),"⚠ «Hacia» debe ser la tarjeta",IF(AND(I322="Trading",IFERROR(INDEX(ctaTipo,MATCH(E322,ctaNom,0)),"")&lt;&gt;"Cuenta de trading"),"⚠ Usa la cuenta de trading","✓"))))))))))))</f>
        <v/>
      </c>
      <c r="I322" s="19">
        <f>IF(OR(B322="",C322="",D322=""),"",IFERROR(INDEX(catTipo,MATCH(D322,catNom,0))&amp;"",""))</f>
        <v/>
      </c>
      <c r="J322" s="19">
        <f>IF(I322="","",IFERROR(INDEX(catGrupo,MATCH(D322,catNom,0))&amp;"",""))</f>
        <v/>
      </c>
      <c r="K322" s="19">
        <f>IF(I322="Gasto",IF(IFERROR(INDEX(catClas,MATCH(D322,catNom,0))&amp;"","")="","Variable",IFERROR(INDEX(catClas,MATCH(D322,catNom,0))&amp;"","")),"")</f>
        <v/>
      </c>
      <c r="L322" s="19">
        <f>IF(I322="","",IFERROR(INDEX(catAlim,MATCH(D322,catNom,0))&amp;"",""))</f>
        <v/>
      </c>
      <c r="M322" s="19">
        <f>IF(I322="","",IFERROR(INDEX(catComida,MATCH(D322,catNom,0))&amp;"",""))</f>
        <v/>
      </c>
      <c r="N322" s="19">
        <f>IF(I322="","",IFERROR(INDEX(ctaMon,MATCH(E322,ctaNom,0))&amp;"","DOP"))</f>
        <v/>
      </c>
      <c r="O322" s="20">
        <f>IF(I322="","",C322*IF(N322="USD",TasaUSD,1))</f>
        <v/>
      </c>
      <c r="P322" s="20">
        <f>IF(I322="","",IF(I322="Gasto",O322,0))</f>
        <v/>
      </c>
      <c r="Q322" s="20">
        <f>IF(I322="","",IF(I322="Ingreso",O322,0))</f>
        <v/>
      </c>
      <c r="R322" s="20">
        <f>IF(I322="","",IF(I322="Trading",O322,0))</f>
        <v/>
      </c>
      <c r="S322" s="19">
        <f>IF(I322="","",IF(AND(I322="Gasto",K322="Variable",J322&lt;&gt;"Trading",O322&gt;0,O322&lt;=Umbral),1,0))</f>
        <v/>
      </c>
      <c r="T322" s="20">
        <f>IF(OR(I322="",E322=""),"",IF(OR(I322="Gasto",I322="Transferencia",I322="Pago tarjeta"),-1,1)*C322)</f>
        <v/>
      </c>
      <c r="U322" s="20">
        <f>IF(OR(G322="",AND(I322&lt;&gt;"Transferencia",I322&lt;&gt;"Pago tarjeta")),"",IF(IFERROR(INDEX(ctaMon,MATCH(G322,ctaNom,0))&amp;"","DOP")=N322,C322,IF(N322="USD",C322*TasaUSD,C322/TasaUSD)))</f>
        <v/>
      </c>
      <c r="V322" s="20">
        <f>IF(I322="","",IF(IFERROR(INDEX(ctaLiq,MATCH(E322,ctaNom,0))="Sí",FALSE),IF(OR(I322="Gasto",I322="Transferencia",I322="Pago tarjeta"),-1,1)*O322,0)+IF(AND(U322&lt;&gt;"",IFERROR(INDEX(ctaLiq,MATCH(G322,ctaNom,0))="Sí",FALSE)),O322,0))</f>
        <v/>
      </c>
      <c r="W322" s="19">
        <f>IF(OR(F322="",I322=""),"",IF(COUNTIFS(F$6:F322,F322,I$6:I322,"?*")=1,MAX(W$5:W321)+1,""))</f>
        <v/>
      </c>
    </row>
    <row r="323">
      <c r="B323" s="15" t="n"/>
      <c r="C323" s="16" t="n"/>
      <c r="D323" s="17" t="n"/>
      <c r="E323" s="17" t="n"/>
      <c r="F323" s="17" t="n"/>
      <c r="G323" s="17" t="n"/>
      <c r="H323" s="18">
        <f>IF(AND(B323="",C323="",D323="",E323=""),"",IF(B323="","⚠ Falta fecha",IF(C323="","⚠ Falta monto",IF(D323="","⚠ Falta categoría",IF(ISNA(MATCH(D323,catNom,0)),"⚠ Categoría no existe",IF(E323="","⚠ Falta cuenta",IF(ISNA(MATCH(E323,ctaNom,0)),"⚠ Cuenta no existe",IF(AND(OR(I323="Transferencia",I323="Pago tarjeta"),G323=""),"⚠ Indica la cuenta «Hacia»",IF(AND(G323&lt;&gt;"",G323=E323),"⚠ «Hacia» igual a la cuenta",IF(AND(G323&lt;&gt;"",ISNA(MATCH(G323,ctaNom,0))),"⚠ «Hacia» no existe",IF(AND(I323="Pago tarjeta",IFERROR(INDEX(ctaTipo,MATCH(G323,ctaNom,0)),"")&lt;&gt;"Tarjeta de crédito"),"⚠ «Hacia» debe ser la tarjeta",IF(AND(I323="Trading",IFERROR(INDEX(ctaTipo,MATCH(E323,ctaNom,0)),"")&lt;&gt;"Cuenta de trading"),"⚠ Usa la cuenta de trading","✓"))))))))))))</f>
        <v/>
      </c>
      <c r="I323" s="19">
        <f>IF(OR(B323="",C323="",D323=""),"",IFERROR(INDEX(catTipo,MATCH(D323,catNom,0))&amp;"",""))</f>
        <v/>
      </c>
      <c r="J323" s="19">
        <f>IF(I323="","",IFERROR(INDEX(catGrupo,MATCH(D323,catNom,0))&amp;"",""))</f>
        <v/>
      </c>
      <c r="K323" s="19">
        <f>IF(I323="Gasto",IF(IFERROR(INDEX(catClas,MATCH(D323,catNom,0))&amp;"","")="","Variable",IFERROR(INDEX(catClas,MATCH(D323,catNom,0))&amp;"","")),"")</f>
        <v/>
      </c>
      <c r="L323" s="19">
        <f>IF(I323="","",IFERROR(INDEX(catAlim,MATCH(D323,catNom,0))&amp;"",""))</f>
        <v/>
      </c>
      <c r="M323" s="19">
        <f>IF(I323="","",IFERROR(INDEX(catComida,MATCH(D323,catNom,0))&amp;"",""))</f>
        <v/>
      </c>
      <c r="N323" s="19">
        <f>IF(I323="","",IFERROR(INDEX(ctaMon,MATCH(E323,ctaNom,0))&amp;"","DOP"))</f>
        <v/>
      </c>
      <c r="O323" s="20">
        <f>IF(I323="","",C323*IF(N323="USD",TasaUSD,1))</f>
        <v/>
      </c>
      <c r="P323" s="20">
        <f>IF(I323="","",IF(I323="Gasto",O323,0))</f>
        <v/>
      </c>
      <c r="Q323" s="20">
        <f>IF(I323="","",IF(I323="Ingreso",O323,0))</f>
        <v/>
      </c>
      <c r="R323" s="20">
        <f>IF(I323="","",IF(I323="Trading",O323,0))</f>
        <v/>
      </c>
      <c r="S323" s="19">
        <f>IF(I323="","",IF(AND(I323="Gasto",K323="Variable",J323&lt;&gt;"Trading",O323&gt;0,O323&lt;=Umbral),1,0))</f>
        <v/>
      </c>
      <c r="T323" s="20">
        <f>IF(OR(I323="",E323=""),"",IF(OR(I323="Gasto",I323="Transferencia",I323="Pago tarjeta"),-1,1)*C323)</f>
        <v/>
      </c>
      <c r="U323" s="20">
        <f>IF(OR(G323="",AND(I323&lt;&gt;"Transferencia",I323&lt;&gt;"Pago tarjeta")),"",IF(IFERROR(INDEX(ctaMon,MATCH(G323,ctaNom,0))&amp;"","DOP")=N323,C323,IF(N323="USD",C323*TasaUSD,C323/TasaUSD)))</f>
        <v/>
      </c>
      <c r="V323" s="20">
        <f>IF(I323="","",IF(IFERROR(INDEX(ctaLiq,MATCH(E323,ctaNom,0))="Sí",FALSE),IF(OR(I323="Gasto",I323="Transferencia",I323="Pago tarjeta"),-1,1)*O323,0)+IF(AND(U323&lt;&gt;"",IFERROR(INDEX(ctaLiq,MATCH(G323,ctaNom,0))="Sí",FALSE)),O323,0))</f>
        <v/>
      </c>
      <c r="W323" s="19">
        <f>IF(OR(F323="",I323=""),"",IF(COUNTIFS(F$6:F323,F323,I$6:I323,"?*")=1,MAX(W$5:W322)+1,""))</f>
        <v/>
      </c>
    </row>
    <row r="324">
      <c r="B324" s="15" t="n"/>
      <c r="C324" s="16" t="n"/>
      <c r="D324" s="17" t="n"/>
      <c r="E324" s="17" t="n"/>
      <c r="F324" s="17" t="n"/>
      <c r="G324" s="17" t="n"/>
      <c r="H324" s="18">
        <f>IF(AND(B324="",C324="",D324="",E324=""),"",IF(B324="","⚠ Falta fecha",IF(C324="","⚠ Falta monto",IF(D324="","⚠ Falta categoría",IF(ISNA(MATCH(D324,catNom,0)),"⚠ Categoría no existe",IF(E324="","⚠ Falta cuenta",IF(ISNA(MATCH(E324,ctaNom,0)),"⚠ Cuenta no existe",IF(AND(OR(I324="Transferencia",I324="Pago tarjeta"),G324=""),"⚠ Indica la cuenta «Hacia»",IF(AND(G324&lt;&gt;"",G324=E324),"⚠ «Hacia» igual a la cuenta",IF(AND(G324&lt;&gt;"",ISNA(MATCH(G324,ctaNom,0))),"⚠ «Hacia» no existe",IF(AND(I324="Pago tarjeta",IFERROR(INDEX(ctaTipo,MATCH(G324,ctaNom,0)),"")&lt;&gt;"Tarjeta de crédito"),"⚠ «Hacia» debe ser la tarjeta",IF(AND(I324="Trading",IFERROR(INDEX(ctaTipo,MATCH(E324,ctaNom,0)),"")&lt;&gt;"Cuenta de trading"),"⚠ Usa la cuenta de trading","✓"))))))))))))</f>
        <v/>
      </c>
      <c r="I324" s="19">
        <f>IF(OR(B324="",C324="",D324=""),"",IFERROR(INDEX(catTipo,MATCH(D324,catNom,0))&amp;"",""))</f>
        <v/>
      </c>
      <c r="J324" s="19">
        <f>IF(I324="","",IFERROR(INDEX(catGrupo,MATCH(D324,catNom,0))&amp;"",""))</f>
        <v/>
      </c>
      <c r="K324" s="19">
        <f>IF(I324="Gasto",IF(IFERROR(INDEX(catClas,MATCH(D324,catNom,0))&amp;"","")="","Variable",IFERROR(INDEX(catClas,MATCH(D324,catNom,0))&amp;"","")),"")</f>
        <v/>
      </c>
      <c r="L324" s="19">
        <f>IF(I324="","",IFERROR(INDEX(catAlim,MATCH(D324,catNom,0))&amp;"",""))</f>
        <v/>
      </c>
      <c r="M324" s="19">
        <f>IF(I324="","",IFERROR(INDEX(catComida,MATCH(D324,catNom,0))&amp;"",""))</f>
        <v/>
      </c>
      <c r="N324" s="19">
        <f>IF(I324="","",IFERROR(INDEX(ctaMon,MATCH(E324,ctaNom,0))&amp;"","DOP"))</f>
        <v/>
      </c>
      <c r="O324" s="20">
        <f>IF(I324="","",C324*IF(N324="USD",TasaUSD,1))</f>
        <v/>
      </c>
      <c r="P324" s="20">
        <f>IF(I324="","",IF(I324="Gasto",O324,0))</f>
        <v/>
      </c>
      <c r="Q324" s="20">
        <f>IF(I324="","",IF(I324="Ingreso",O324,0))</f>
        <v/>
      </c>
      <c r="R324" s="20">
        <f>IF(I324="","",IF(I324="Trading",O324,0))</f>
        <v/>
      </c>
      <c r="S324" s="19">
        <f>IF(I324="","",IF(AND(I324="Gasto",K324="Variable",J324&lt;&gt;"Trading",O324&gt;0,O324&lt;=Umbral),1,0))</f>
        <v/>
      </c>
      <c r="T324" s="20">
        <f>IF(OR(I324="",E324=""),"",IF(OR(I324="Gasto",I324="Transferencia",I324="Pago tarjeta"),-1,1)*C324)</f>
        <v/>
      </c>
      <c r="U324" s="20">
        <f>IF(OR(G324="",AND(I324&lt;&gt;"Transferencia",I324&lt;&gt;"Pago tarjeta")),"",IF(IFERROR(INDEX(ctaMon,MATCH(G324,ctaNom,0))&amp;"","DOP")=N324,C324,IF(N324="USD",C324*TasaUSD,C324/TasaUSD)))</f>
        <v/>
      </c>
      <c r="V324" s="20">
        <f>IF(I324="","",IF(IFERROR(INDEX(ctaLiq,MATCH(E324,ctaNom,0))="Sí",FALSE),IF(OR(I324="Gasto",I324="Transferencia",I324="Pago tarjeta"),-1,1)*O324,0)+IF(AND(U324&lt;&gt;"",IFERROR(INDEX(ctaLiq,MATCH(G324,ctaNom,0))="Sí",FALSE)),O324,0))</f>
        <v/>
      </c>
      <c r="W324" s="19">
        <f>IF(OR(F324="",I324=""),"",IF(COUNTIFS(F$6:F324,F324,I$6:I324,"?*")=1,MAX(W$5:W323)+1,""))</f>
        <v/>
      </c>
    </row>
    <row r="325">
      <c r="B325" s="15" t="n"/>
      <c r="C325" s="16" t="n"/>
      <c r="D325" s="17" t="n"/>
      <c r="E325" s="17" t="n"/>
      <c r="F325" s="17" t="n"/>
      <c r="G325" s="17" t="n"/>
      <c r="H325" s="18">
        <f>IF(AND(B325="",C325="",D325="",E325=""),"",IF(B325="","⚠ Falta fecha",IF(C325="","⚠ Falta monto",IF(D325="","⚠ Falta categoría",IF(ISNA(MATCH(D325,catNom,0)),"⚠ Categoría no existe",IF(E325="","⚠ Falta cuenta",IF(ISNA(MATCH(E325,ctaNom,0)),"⚠ Cuenta no existe",IF(AND(OR(I325="Transferencia",I325="Pago tarjeta"),G325=""),"⚠ Indica la cuenta «Hacia»",IF(AND(G325&lt;&gt;"",G325=E325),"⚠ «Hacia» igual a la cuenta",IF(AND(G325&lt;&gt;"",ISNA(MATCH(G325,ctaNom,0))),"⚠ «Hacia» no existe",IF(AND(I325="Pago tarjeta",IFERROR(INDEX(ctaTipo,MATCH(G325,ctaNom,0)),"")&lt;&gt;"Tarjeta de crédito"),"⚠ «Hacia» debe ser la tarjeta",IF(AND(I325="Trading",IFERROR(INDEX(ctaTipo,MATCH(E325,ctaNom,0)),"")&lt;&gt;"Cuenta de trading"),"⚠ Usa la cuenta de trading","✓"))))))))))))</f>
        <v/>
      </c>
      <c r="I325" s="19">
        <f>IF(OR(B325="",C325="",D325=""),"",IFERROR(INDEX(catTipo,MATCH(D325,catNom,0))&amp;"",""))</f>
        <v/>
      </c>
      <c r="J325" s="19">
        <f>IF(I325="","",IFERROR(INDEX(catGrupo,MATCH(D325,catNom,0))&amp;"",""))</f>
        <v/>
      </c>
      <c r="K325" s="19">
        <f>IF(I325="Gasto",IF(IFERROR(INDEX(catClas,MATCH(D325,catNom,0))&amp;"","")="","Variable",IFERROR(INDEX(catClas,MATCH(D325,catNom,0))&amp;"","")),"")</f>
        <v/>
      </c>
      <c r="L325" s="19">
        <f>IF(I325="","",IFERROR(INDEX(catAlim,MATCH(D325,catNom,0))&amp;"",""))</f>
        <v/>
      </c>
      <c r="M325" s="19">
        <f>IF(I325="","",IFERROR(INDEX(catComida,MATCH(D325,catNom,0))&amp;"",""))</f>
        <v/>
      </c>
      <c r="N325" s="19">
        <f>IF(I325="","",IFERROR(INDEX(ctaMon,MATCH(E325,ctaNom,0))&amp;"","DOP"))</f>
        <v/>
      </c>
      <c r="O325" s="20">
        <f>IF(I325="","",C325*IF(N325="USD",TasaUSD,1))</f>
        <v/>
      </c>
      <c r="P325" s="20">
        <f>IF(I325="","",IF(I325="Gasto",O325,0))</f>
        <v/>
      </c>
      <c r="Q325" s="20">
        <f>IF(I325="","",IF(I325="Ingreso",O325,0))</f>
        <v/>
      </c>
      <c r="R325" s="20">
        <f>IF(I325="","",IF(I325="Trading",O325,0))</f>
        <v/>
      </c>
      <c r="S325" s="19">
        <f>IF(I325="","",IF(AND(I325="Gasto",K325="Variable",J325&lt;&gt;"Trading",O325&gt;0,O325&lt;=Umbral),1,0))</f>
        <v/>
      </c>
      <c r="T325" s="20">
        <f>IF(OR(I325="",E325=""),"",IF(OR(I325="Gasto",I325="Transferencia",I325="Pago tarjeta"),-1,1)*C325)</f>
        <v/>
      </c>
      <c r="U325" s="20">
        <f>IF(OR(G325="",AND(I325&lt;&gt;"Transferencia",I325&lt;&gt;"Pago tarjeta")),"",IF(IFERROR(INDEX(ctaMon,MATCH(G325,ctaNom,0))&amp;"","DOP")=N325,C325,IF(N325="USD",C325*TasaUSD,C325/TasaUSD)))</f>
        <v/>
      </c>
      <c r="V325" s="20">
        <f>IF(I325="","",IF(IFERROR(INDEX(ctaLiq,MATCH(E325,ctaNom,0))="Sí",FALSE),IF(OR(I325="Gasto",I325="Transferencia",I325="Pago tarjeta"),-1,1)*O325,0)+IF(AND(U325&lt;&gt;"",IFERROR(INDEX(ctaLiq,MATCH(G325,ctaNom,0))="Sí",FALSE)),O325,0))</f>
        <v/>
      </c>
      <c r="W325" s="19">
        <f>IF(OR(F325="",I325=""),"",IF(COUNTIFS(F$6:F325,F325,I$6:I325,"?*")=1,MAX(W$5:W324)+1,""))</f>
        <v/>
      </c>
    </row>
    <row r="326">
      <c r="B326" s="15" t="n"/>
      <c r="C326" s="16" t="n"/>
      <c r="D326" s="17" t="n"/>
      <c r="E326" s="17" t="n"/>
      <c r="F326" s="17" t="n"/>
      <c r="G326" s="17" t="n"/>
      <c r="H326" s="18">
        <f>IF(AND(B326="",C326="",D326="",E326=""),"",IF(B326="","⚠ Falta fecha",IF(C326="","⚠ Falta monto",IF(D326="","⚠ Falta categoría",IF(ISNA(MATCH(D326,catNom,0)),"⚠ Categoría no existe",IF(E326="","⚠ Falta cuenta",IF(ISNA(MATCH(E326,ctaNom,0)),"⚠ Cuenta no existe",IF(AND(OR(I326="Transferencia",I326="Pago tarjeta"),G326=""),"⚠ Indica la cuenta «Hacia»",IF(AND(G326&lt;&gt;"",G326=E326),"⚠ «Hacia» igual a la cuenta",IF(AND(G326&lt;&gt;"",ISNA(MATCH(G326,ctaNom,0))),"⚠ «Hacia» no existe",IF(AND(I326="Pago tarjeta",IFERROR(INDEX(ctaTipo,MATCH(G326,ctaNom,0)),"")&lt;&gt;"Tarjeta de crédito"),"⚠ «Hacia» debe ser la tarjeta",IF(AND(I326="Trading",IFERROR(INDEX(ctaTipo,MATCH(E326,ctaNom,0)),"")&lt;&gt;"Cuenta de trading"),"⚠ Usa la cuenta de trading","✓"))))))))))))</f>
        <v/>
      </c>
      <c r="I326" s="19">
        <f>IF(OR(B326="",C326="",D326=""),"",IFERROR(INDEX(catTipo,MATCH(D326,catNom,0))&amp;"",""))</f>
        <v/>
      </c>
      <c r="J326" s="19">
        <f>IF(I326="","",IFERROR(INDEX(catGrupo,MATCH(D326,catNom,0))&amp;"",""))</f>
        <v/>
      </c>
      <c r="K326" s="19">
        <f>IF(I326="Gasto",IF(IFERROR(INDEX(catClas,MATCH(D326,catNom,0))&amp;"","")="","Variable",IFERROR(INDEX(catClas,MATCH(D326,catNom,0))&amp;"","")),"")</f>
        <v/>
      </c>
      <c r="L326" s="19">
        <f>IF(I326="","",IFERROR(INDEX(catAlim,MATCH(D326,catNom,0))&amp;"",""))</f>
        <v/>
      </c>
      <c r="M326" s="19">
        <f>IF(I326="","",IFERROR(INDEX(catComida,MATCH(D326,catNom,0))&amp;"",""))</f>
        <v/>
      </c>
      <c r="N326" s="19">
        <f>IF(I326="","",IFERROR(INDEX(ctaMon,MATCH(E326,ctaNom,0))&amp;"","DOP"))</f>
        <v/>
      </c>
      <c r="O326" s="20">
        <f>IF(I326="","",C326*IF(N326="USD",TasaUSD,1))</f>
        <v/>
      </c>
      <c r="P326" s="20">
        <f>IF(I326="","",IF(I326="Gasto",O326,0))</f>
        <v/>
      </c>
      <c r="Q326" s="20">
        <f>IF(I326="","",IF(I326="Ingreso",O326,0))</f>
        <v/>
      </c>
      <c r="R326" s="20">
        <f>IF(I326="","",IF(I326="Trading",O326,0))</f>
        <v/>
      </c>
      <c r="S326" s="19">
        <f>IF(I326="","",IF(AND(I326="Gasto",K326="Variable",J326&lt;&gt;"Trading",O326&gt;0,O326&lt;=Umbral),1,0))</f>
        <v/>
      </c>
      <c r="T326" s="20">
        <f>IF(OR(I326="",E326=""),"",IF(OR(I326="Gasto",I326="Transferencia",I326="Pago tarjeta"),-1,1)*C326)</f>
        <v/>
      </c>
      <c r="U326" s="20">
        <f>IF(OR(G326="",AND(I326&lt;&gt;"Transferencia",I326&lt;&gt;"Pago tarjeta")),"",IF(IFERROR(INDEX(ctaMon,MATCH(G326,ctaNom,0))&amp;"","DOP")=N326,C326,IF(N326="USD",C326*TasaUSD,C326/TasaUSD)))</f>
        <v/>
      </c>
      <c r="V326" s="20">
        <f>IF(I326="","",IF(IFERROR(INDEX(ctaLiq,MATCH(E326,ctaNom,0))="Sí",FALSE),IF(OR(I326="Gasto",I326="Transferencia",I326="Pago tarjeta"),-1,1)*O326,0)+IF(AND(U326&lt;&gt;"",IFERROR(INDEX(ctaLiq,MATCH(G326,ctaNom,0))="Sí",FALSE)),O326,0))</f>
        <v/>
      </c>
      <c r="W326" s="19">
        <f>IF(OR(F326="",I326=""),"",IF(COUNTIFS(F$6:F326,F326,I$6:I326,"?*")=1,MAX(W$5:W325)+1,""))</f>
        <v/>
      </c>
    </row>
    <row r="327">
      <c r="B327" s="15" t="n"/>
      <c r="C327" s="16" t="n"/>
      <c r="D327" s="17" t="n"/>
      <c r="E327" s="17" t="n"/>
      <c r="F327" s="17" t="n"/>
      <c r="G327" s="17" t="n"/>
      <c r="H327" s="18">
        <f>IF(AND(B327="",C327="",D327="",E327=""),"",IF(B327="","⚠ Falta fecha",IF(C327="","⚠ Falta monto",IF(D327="","⚠ Falta categoría",IF(ISNA(MATCH(D327,catNom,0)),"⚠ Categoría no existe",IF(E327="","⚠ Falta cuenta",IF(ISNA(MATCH(E327,ctaNom,0)),"⚠ Cuenta no existe",IF(AND(OR(I327="Transferencia",I327="Pago tarjeta"),G327=""),"⚠ Indica la cuenta «Hacia»",IF(AND(G327&lt;&gt;"",G327=E327),"⚠ «Hacia» igual a la cuenta",IF(AND(G327&lt;&gt;"",ISNA(MATCH(G327,ctaNom,0))),"⚠ «Hacia» no existe",IF(AND(I327="Pago tarjeta",IFERROR(INDEX(ctaTipo,MATCH(G327,ctaNom,0)),"")&lt;&gt;"Tarjeta de crédito"),"⚠ «Hacia» debe ser la tarjeta",IF(AND(I327="Trading",IFERROR(INDEX(ctaTipo,MATCH(E327,ctaNom,0)),"")&lt;&gt;"Cuenta de trading"),"⚠ Usa la cuenta de trading","✓"))))))))))))</f>
        <v/>
      </c>
      <c r="I327" s="19">
        <f>IF(OR(B327="",C327="",D327=""),"",IFERROR(INDEX(catTipo,MATCH(D327,catNom,0))&amp;"",""))</f>
        <v/>
      </c>
      <c r="J327" s="19">
        <f>IF(I327="","",IFERROR(INDEX(catGrupo,MATCH(D327,catNom,0))&amp;"",""))</f>
        <v/>
      </c>
      <c r="K327" s="19">
        <f>IF(I327="Gasto",IF(IFERROR(INDEX(catClas,MATCH(D327,catNom,0))&amp;"","")="","Variable",IFERROR(INDEX(catClas,MATCH(D327,catNom,0))&amp;"","")),"")</f>
        <v/>
      </c>
      <c r="L327" s="19">
        <f>IF(I327="","",IFERROR(INDEX(catAlim,MATCH(D327,catNom,0))&amp;"",""))</f>
        <v/>
      </c>
      <c r="M327" s="19">
        <f>IF(I327="","",IFERROR(INDEX(catComida,MATCH(D327,catNom,0))&amp;"",""))</f>
        <v/>
      </c>
      <c r="N327" s="19">
        <f>IF(I327="","",IFERROR(INDEX(ctaMon,MATCH(E327,ctaNom,0))&amp;"","DOP"))</f>
        <v/>
      </c>
      <c r="O327" s="20">
        <f>IF(I327="","",C327*IF(N327="USD",TasaUSD,1))</f>
        <v/>
      </c>
      <c r="P327" s="20">
        <f>IF(I327="","",IF(I327="Gasto",O327,0))</f>
        <v/>
      </c>
      <c r="Q327" s="20">
        <f>IF(I327="","",IF(I327="Ingreso",O327,0))</f>
        <v/>
      </c>
      <c r="R327" s="20">
        <f>IF(I327="","",IF(I327="Trading",O327,0))</f>
        <v/>
      </c>
      <c r="S327" s="19">
        <f>IF(I327="","",IF(AND(I327="Gasto",K327="Variable",J327&lt;&gt;"Trading",O327&gt;0,O327&lt;=Umbral),1,0))</f>
        <v/>
      </c>
      <c r="T327" s="20">
        <f>IF(OR(I327="",E327=""),"",IF(OR(I327="Gasto",I327="Transferencia",I327="Pago tarjeta"),-1,1)*C327)</f>
        <v/>
      </c>
      <c r="U327" s="20">
        <f>IF(OR(G327="",AND(I327&lt;&gt;"Transferencia",I327&lt;&gt;"Pago tarjeta")),"",IF(IFERROR(INDEX(ctaMon,MATCH(G327,ctaNom,0))&amp;"","DOP")=N327,C327,IF(N327="USD",C327*TasaUSD,C327/TasaUSD)))</f>
        <v/>
      </c>
      <c r="V327" s="20">
        <f>IF(I327="","",IF(IFERROR(INDEX(ctaLiq,MATCH(E327,ctaNom,0))="Sí",FALSE),IF(OR(I327="Gasto",I327="Transferencia",I327="Pago tarjeta"),-1,1)*O327,0)+IF(AND(U327&lt;&gt;"",IFERROR(INDEX(ctaLiq,MATCH(G327,ctaNom,0))="Sí",FALSE)),O327,0))</f>
        <v/>
      </c>
      <c r="W327" s="19">
        <f>IF(OR(F327="",I327=""),"",IF(COUNTIFS(F$6:F327,F327,I$6:I327,"?*")=1,MAX(W$5:W326)+1,""))</f>
        <v/>
      </c>
    </row>
    <row r="328">
      <c r="B328" s="15" t="n"/>
      <c r="C328" s="16" t="n"/>
      <c r="D328" s="17" t="n"/>
      <c r="E328" s="17" t="n"/>
      <c r="F328" s="17" t="n"/>
      <c r="G328" s="17" t="n"/>
      <c r="H328" s="18">
        <f>IF(AND(B328="",C328="",D328="",E328=""),"",IF(B328="","⚠ Falta fecha",IF(C328="","⚠ Falta monto",IF(D328="","⚠ Falta categoría",IF(ISNA(MATCH(D328,catNom,0)),"⚠ Categoría no existe",IF(E328="","⚠ Falta cuenta",IF(ISNA(MATCH(E328,ctaNom,0)),"⚠ Cuenta no existe",IF(AND(OR(I328="Transferencia",I328="Pago tarjeta"),G328=""),"⚠ Indica la cuenta «Hacia»",IF(AND(G328&lt;&gt;"",G328=E328),"⚠ «Hacia» igual a la cuenta",IF(AND(G328&lt;&gt;"",ISNA(MATCH(G328,ctaNom,0))),"⚠ «Hacia» no existe",IF(AND(I328="Pago tarjeta",IFERROR(INDEX(ctaTipo,MATCH(G328,ctaNom,0)),"")&lt;&gt;"Tarjeta de crédito"),"⚠ «Hacia» debe ser la tarjeta",IF(AND(I328="Trading",IFERROR(INDEX(ctaTipo,MATCH(E328,ctaNom,0)),"")&lt;&gt;"Cuenta de trading"),"⚠ Usa la cuenta de trading","✓"))))))))))))</f>
        <v/>
      </c>
      <c r="I328" s="19">
        <f>IF(OR(B328="",C328="",D328=""),"",IFERROR(INDEX(catTipo,MATCH(D328,catNom,0))&amp;"",""))</f>
        <v/>
      </c>
      <c r="J328" s="19">
        <f>IF(I328="","",IFERROR(INDEX(catGrupo,MATCH(D328,catNom,0))&amp;"",""))</f>
        <v/>
      </c>
      <c r="K328" s="19">
        <f>IF(I328="Gasto",IF(IFERROR(INDEX(catClas,MATCH(D328,catNom,0))&amp;"","")="","Variable",IFERROR(INDEX(catClas,MATCH(D328,catNom,0))&amp;"","")),"")</f>
        <v/>
      </c>
      <c r="L328" s="19">
        <f>IF(I328="","",IFERROR(INDEX(catAlim,MATCH(D328,catNom,0))&amp;"",""))</f>
        <v/>
      </c>
      <c r="M328" s="19">
        <f>IF(I328="","",IFERROR(INDEX(catComida,MATCH(D328,catNom,0))&amp;"",""))</f>
        <v/>
      </c>
      <c r="N328" s="19">
        <f>IF(I328="","",IFERROR(INDEX(ctaMon,MATCH(E328,ctaNom,0))&amp;"","DOP"))</f>
        <v/>
      </c>
      <c r="O328" s="20">
        <f>IF(I328="","",C328*IF(N328="USD",TasaUSD,1))</f>
        <v/>
      </c>
      <c r="P328" s="20">
        <f>IF(I328="","",IF(I328="Gasto",O328,0))</f>
        <v/>
      </c>
      <c r="Q328" s="20">
        <f>IF(I328="","",IF(I328="Ingreso",O328,0))</f>
        <v/>
      </c>
      <c r="R328" s="20">
        <f>IF(I328="","",IF(I328="Trading",O328,0))</f>
        <v/>
      </c>
      <c r="S328" s="19">
        <f>IF(I328="","",IF(AND(I328="Gasto",K328="Variable",J328&lt;&gt;"Trading",O328&gt;0,O328&lt;=Umbral),1,0))</f>
        <v/>
      </c>
      <c r="T328" s="20">
        <f>IF(OR(I328="",E328=""),"",IF(OR(I328="Gasto",I328="Transferencia",I328="Pago tarjeta"),-1,1)*C328)</f>
        <v/>
      </c>
      <c r="U328" s="20">
        <f>IF(OR(G328="",AND(I328&lt;&gt;"Transferencia",I328&lt;&gt;"Pago tarjeta")),"",IF(IFERROR(INDEX(ctaMon,MATCH(G328,ctaNom,0))&amp;"","DOP")=N328,C328,IF(N328="USD",C328*TasaUSD,C328/TasaUSD)))</f>
        <v/>
      </c>
      <c r="V328" s="20">
        <f>IF(I328="","",IF(IFERROR(INDEX(ctaLiq,MATCH(E328,ctaNom,0))="Sí",FALSE),IF(OR(I328="Gasto",I328="Transferencia",I328="Pago tarjeta"),-1,1)*O328,0)+IF(AND(U328&lt;&gt;"",IFERROR(INDEX(ctaLiq,MATCH(G328,ctaNom,0))="Sí",FALSE)),O328,0))</f>
        <v/>
      </c>
      <c r="W328" s="19">
        <f>IF(OR(F328="",I328=""),"",IF(COUNTIFS(F$6:F328,F328,I$6:I328,"?*")=1,MAX(W$5:W327)+1,""))</f>
        <v/>
      </c>
    </row>
    <row r="329">
      <c r="B329" s="15" t="n"/>
      <c r="C329" s="16" t="n"/>
      <c r="D329" s="17" t="n"/>
      <c r="E329" s="17" t="n"/>
      <c r="F329" s="17" t="n"/>
      <c r="G329" s="17" t="n"/>
      <c r="H329" s="18">
        <f>IF(AND(B329="",C329="",D329="",E329=""),"",IF(B329="","⚠ Falta fecha",IF(C329="","⚠ Falta monto",IF(D329="","⚠ Falta categoría",IF(ISNA(MATCH(D329,catNom,0)),"⚠ Categoría no existe",IF(E329="","⚠ Falta cuenta",IF(ISNA(MATCH(E329,ctaNom,0)),"⚠ Cuenta no existe",IF(AND(OR(I329="Transferencia",I329="Pago tarjeta"),G329=""),"⚠ Indica la cuenta «Hacia»",IF(AND(G329&lt;&gt;"",G329=E329),"⚠ «Hacia» igual a la cuenta",IF(AND(G329&lt;&gt;"",ISNA(MATCH(G329,ctaNom,0))),"⚠ «Hacia» no existe",IF(AND(I329="Pago tarjeta",IFERROR(INDEX(ctaTipo,MATCH(G329,ctaNom,0)),"")&lt;&gt;"Tarjeta de crédito"),"⚠ «Hacia» debe ser la tarjeta",IF(AND(I329="Trading",IFERROR(INDEX(ctaTipo,MATCH(E329,ctaNom,0)),"")&lt;&gt;"Cuenta de trading"),"⚠ Usa la cuenta de trading","✓"))))))))))))</f>
        <v/>
      </c>
      <c r="I329" s="19">
        <f>IF(OR(B329="",C329="",D329=""),"",IFERROR(INDEX(catTipo,MATCH(D329,catNom,0))&amp;"",""))</f>
        <v/>
      </c>
      <c r="J329" s="19">
        <f>IF(I329="","",IFERROR(INDEX(catGrupo,MATCH(D329,catNom,0))&amp;"",""))</f>
        <v/>
      </c>
      <c r="K329" s="19">
        <f>IF(I329="Gasto",IF(IFERROR(INDEX(catClas,MATCH(D329,catNom,0))&amp;"","")="","Variable",IFERROR(INDEX(catClas,MATCH(D329,catNom,0))&amp;"","")),"")</f>
        <v/>
      </c>
      <c r="L329" s="19">
        <f>IF(I329="","",IFERROR(INDEX(catAlim,MATCH(D329,catNom,0))&amp;"",""))</f>
        <v/>
      </c>
      <c r="M329" s="19">
        <f>IF(I329="","",IFERROR(INDEX(catComida,MATCH(D329,catNom,0))&amp;"",""))</f>
        <v/>
      </c>
      <c r="N329" s="19">
        <f>IF(I329="","",IFERROR(INDEX(ctaMon,MATCH(E329,ctaNom,0))&amp;"","DOP"))</f>
        <v/>
      </c>
      <c r="O329" s="20">
        <f>IF(I329="","",C329*IF(N329="USD",TasaUSD,1))</f>
        <v/>
      </c>
      <c r="P329" s="20">
        <f>IF(I329="","",IF(I329="Gasto",O329,0))</f>
        <v/>
      </c>
      <c r="Q329" s="20">
        <f>IF(I329="","",IF(I329="Ingreso",O329,0))</f>
        <v/>
      </c>
      <c r="R329" s="20">
        <f>IF(I329="","",IF(I329="Trading",O329,0))</f>
        <v/>
      </c>
      <c r="S329" s="19">
        <f>IF(I329="","",IF(AND(I329="Gasto",K329="Variable",J329&lt;&gt;"Trading",O329&gt;0,O329&lt;=Umbral),1,0))</f>
        <v/>
      </c>
      <c r="T329" s="20">
        <f>IF(OR(I329="",E329=""),"",IF(OR(I329="Gasto",I329="Transferencia",I329="Pago tarjeta"),-1,1)*C329)</f>
        <v/>
      </c>
      <c r="U329" s="20">
        <f>IF(OR(G329="",AND(I329&lt;&gt;"Transferencia",I329&lt;&gt;"Pago tarjeta")),"",IF(IFERROR(INDEX(ctaMon,MATCH(G329,ctaNom,0))&amp;"","DOP")=N329,C329,IF(N329="USD",C329*TasaUSD,C329/TasaUSD)))</f>
        <v/>
      </c>
      <c r="V329" s="20">
        <f>IF(I329="","",IF(IFERROR(INDEX(ctaLiq,MATCH(E329,ctaNom,0))="Sí",FALSE),IF(OR(I329="Gasto",I329="Transferencia",I329="Pago tarjeta"),-1,1)*O329,0)+IF(AND(U329&lt;&gt;"",IFERROR(INDEX(ctaLiq,MATCH(G329,ctaNom,0))="Sí",FALSE)),O329,0))</f>
        <v/>
      </c>
      <c r="W329" s="19">
        <f>IF(OR(F329="",I329=""),"",IF(COUNTIFS(F$6:F329,F329,I$6:I329,"?*")=1,MAX(W$5:W328)+1,""))</f>
        <v/>
      </c>
    </row>
    <row r="330">
      <c r="B330" s="15" t="n"/>
      <c r="C330" s="16" t="n"/>
      <c r="D330" s="17" t="n"/>
      <c r="E330" s="17" t="n"/>
      <c r="F330" s="17" t="n"/>
      <c r="G330" s="17" t="n"/>
      <c r="H330" s="18">
        <f>IF(AND(B330="",C330="",D330="",E330=""),"",IF(B330="","⚠ Falta fecha",IF(C330="","⚠ Falta monto",IF(D330="","⚠ Falta categoría",IF(ISNA(MATCH(D330,catNom,0)),"⚠ Categoría no existe",IF(E330="","⚠ Falta cuenta",IF(ISNA(MATCH(E330,ctaNom,0)),"⚠ Cuenta no existe",IF(AND(OR(I330="Transferencia",I330="Pago tarjeta"),G330=""),"⚠ Indica la cuenta «Hacia»",IF(AND(G330&lt;&gt;"",G330=E330),"⚠ «Hacia» igual a la cuenta",IF(AND(G330&lt;&gt;"",ISNA(MATCH(G330,ctaNom,0))),"⚠ «Hacia» no existe",IF(AND(I330="Pago tarjeta",IFERROR(INDEX(ctaTipo,MATCH(G330,ctaNom,0)),"")&lt;&gt;"Tarjeta de crédito"),"⚠ «Hacia» debe ser la tarjeta",IF(AND(I330="Trading",IFERROR(INDEX(ctaTipo,MATCH(E330,ctaNom,0)),"")&lt;&gt;"Cuenta de trading"),"⚠ Usa la cuenta de trading","✓"))))))))))))</f>
        <v/>
      </c>
      <c r="I330" s="19">
        <f>IF(OR(B330="",C330="",D330=""),"",IFERROR(INDEX(catTipo,MATCH(D330,catNom,0))&amp;"",""))</f>
        <v/>
      </c>
      <c r="J330" s="19">
        <f>IF(I330="","",IFERROR(INDEX(catGrupo,MATCH(D330,catNom,0))&amp;"",""))</f>
        <v/>
      </c>
      <c r="K330" s="19">
        <f>IF(I330="Gasto",IF(IFERROR(INDEX(catClas,MATCH(D330,catNom,0))&amp;"","")="","Variable",IFERROR(INDEX(catClas,MATCH(D330,catNom,0))&amp;"","")),"")</f>
        <v/>
      </c>
      <c r="L330" s="19">
        <f>IF(I330="","",IFERROR(INDEX(catAlim,MATCH(D330,catNom,0))&amp;"",""))</f>
        <v/>
      </c>
      <c r="M330" s="19">
        <f>IF(I330="","",IFERROR(INDEX(catComida,MATCH(D330,catNom,0))&amp;"",""))</f>
        <v/>
      </c>
      <c r="N330" s="19">
        <f>IF(I330="","",IFERROR(INDEX(ctaMon,MATCH(E330,ctaNom,0))&amp;"","DOP"))</f>
        <v/>
      </c>
      <c r="O330" s="20">
        <f>IF(I330="","",C330*IF(N330="USD",TasaUSD,1))</f>
        <v/>
      </c>
      <c r="P330" s="20">
        <f>IF(I330="","",IF(I330="Gasto",O330,0))</f>
        <v/>
      </c>
      <c r="Q330" s="20">
        <f>IF(I330="","",IF(I330="Ingreso",O330,0))</f>
        <v/>
      </c>
      <c r="R330" s="20">
        <f>IF(I330="","",IF(I330="Trading",O330,0))</f>
        <v/>
      </c>
      <c r="S330" s="19">
        <f>IF(I330="","",IF(AND(I330="Gasto",K330="Variable",J330&lt;&gt;"Trading",O330&gt;0,O330&lt;=Umbral),1,0))</f>
        <v/>
      </c>
      <c r="T330" s="20">
        <f>IF(OR(I330="",E330=""),"",IF(OR(I330="Gasto",I330="Transferencia",I330="Pago tarjeta"),-1,1)*C330)</f>
        <v/>
      </c>
      <c r="U330" s="20">
        <f>IF(OR(G330="",AND(I330&lt;&gt;"Transferencia",I330&lt;&gt;"Pago tarjeta")),"",IF(IFERROR(INDEX(ctaMon,MATCH(G330,ctaNom,0))&amp;"","DOP")=N330,C330,IF(N330="USD",C330*TasaUSD,C330/TasaUSD)))</f>
        <v/>
      </c>
      <c r="V330" s="20">
        <f>IF(I330="","",IF(IFERROR(INDEX(ctaLiq,MATCH(E330,ctaNom,0))="Sí",FALSE),IF(OR(I330="Gasto",I330="Transferencia",I330="Pago tarjeta"),-1,1)*O330,0)+IF(AND(U330&lt;&gt;"",IFERROR(INDEX(ctaLiq,MATCH(G330,ctaNom,0))="Sí",FALSE)),O330,0))</f>
        <v/>
      </c>
      <c r="W330" s="19">
        <f>IF(OR(F330="",I330=""),"",IF(COUNTIFS(F$6:F330,F330,I$6:I330,"?*")=1,MAX(W$5:W329)+1,""))</f>
        <v/>
      </c>
    </row>
    <row r="331">
      <c r="B331" s="15" t="n"/>
      <c r="C331" s="16" t="n"/>
      <c r="D331" s="17" t="n"/>
      <c r="E331" s="17" t="n"/>
      <c r="F331" s="17" t="n"/>
      <c r="G331" s="17" t="n"/>
      <c r="H331" s="18">
        <f>IF(AND(B331="",C331="",D331="",E331=""),"",IF(B331="","⚠ Falta fecha",IF(C331="","⚠ Falta monto",IF(D331="","⚠ Falta categoría",IF(ISNA(MATCH(D331,catNom,0)),"⚠ Categoría no existe",IF(E331="","⚠ Falta cuenta",IF(ISNA(MATCH(E331,ctaNom,0)),"⚠ Cuenta no existe",IF(AND(OR(I331="Transferencia",I331="Pago tarjeta"),G331=""),"⚠ Indica la cuenta «Hacia»",IF(AND(G331&lt;&gt;"",G331=E331),"⚠ «Hacia» igual a la cuenta",IF(AND(G331&lt;&gt;"",ISNA(MATCH(G331,ctaNom,0))),"⚠ «Hacia» no existe",IF(AND(I331="Pago tarjeta",IFERROR(INDEX(ctaTipo,MATCH(G331,ctaNom,0)),"")&lt;&gt;"Tarjeta de crédito"),"⚠ «Hacia» debe ser la tarjeta",IF(AND(I331="Trading",IFERROR(INDEX(ctaTipo,MATCH(E331,ctaNom,0)),"")&lt;&gt;"Cuenta de trading"),"⚠ Usa la cuenta de trading","✓"))))))))))))</f>
        <v/>
      </c>
      <c r="I331" s="19">
        <f>IF(OR(B331="",C331="",D331=""),"",IFERROR(INDEX(catTipo,MATCH(D331,catNom,0))&amp;"",""))</f>
        <v/>
      </c>
      <c r="J331" s="19">
        <f>IF(I331="","",IFERROR(INDEX(catGrupo,MATCH(D331,catNom,0))&amp;"",""))</f>
        <v/>
      </c>
      <c r="K331" s="19">
        <f>IF(I331="Gasto",IF(IFERROR(INDEX(catClas,MATCH(D331,catNom,0))&amp;"","")="","Variable",IFERROR(INDEX(catClas,MATCH(D331,catNom,0))&amp;"","")),"")</f>
        <v/>
      </c>
      <c r="L331" s="19">
        <f>IF(I331="","",IFERROR(INDEX(catAlim,MATCH(D331,catNom,0))&amp;"",""))</f>
        <v/>
      </c>
      <c r="M331" s="19">
        <f>IF(I331="","",IFERROR(INDEX(catComida,MATCH(D331,catNom,0))&amp;"",""))</f>
        <v/>
      </c>
      <c r="N331" s="19">
        <f>IF(I331="","",IFERROR(INDEX(ctaMon,MATCH(E331,ctaNom,0))&amp;"","DOP"))</f>
        <v/>
      </c>
      <c r="O331" s="20">
        <f>IF(I331="","",C331*IF(N331="USD",TasaUSD,1))</f>
        <v/>
      </c>
      <c r="P331" s="20">
        <f>IF(I331="","",IF(I331="Gasto",O331,0))</f>
        <v/>
      </c>
      <c r="Q331" s="20">
        <f>IF(I331="","",IF(I331="Ingreso",O331,0))</f>
        <v/>
      </c>
      <c r="R331" s="20">
        <f>IF(I331="","",IF(I331="Trading",O331,0))</f>
        <v/>
      </c>
      <c r="S331" s="19">
        <f>IF(I331="","",IF(AND(I331="Gasto",K331="Variable",J331&lt;&gt;"Trading",O331&gt;0,O331&lt;=Umbral),1,0))</f>
        <v/>
      </c>
      <c r="T331" s="20">
        <f>IF(OR(I331="",E331=""),"",IF(OR(I331="Gasto",I331="Transferencia",I331="Pago tarjeta"),-1,1)*C331)</f>
        <v/>
      </c>
      <c r="U331" s="20">
        <f>IF(OR(G331="",AND(I331&lt;&gt;"Transferencia",I331&lt;&gt;"Pago tarjeta")),"",IF(IFERROR(INDEX(ctaMon,MATCH(G331,ctaNom,0))&amp;"","DOP")=N331,C331,IF(N331="USD",C331*TasaUSD,C331/TasaUSD)))</f>
        <v/>
      </c>
      <c r="V331" s="20">
        <f>IF(I331="","",IF(IFERROR(INDEX(ctaLiq,MATCH(E331,ctaNom,0))="Sí",FALSE),IF(OR(I331="Gasto",I331="Transferencia",I331="Pago tarjeta"),-1,1)*O331,0)+IF(AND(U331&lt;&gt;"",IFERROR(INDEX(ctaLiq,MATCH(G331,ctaNom,0))="Sí",FALSE)),O331,0))</f>
        <v/>
      </c>
      <c r="W331" s="19">
        <f>IF(OR(F331="",I331=""),"",IF(COUNTIFS(F$6:F331,F331,I$6:I331,"?*")=1,MAX(W$5:W330)+1,""))</f>
        <v/>
      </c>
    </row>
    <row r="332">
      <c r="B332" s="15" t="n"/>
      <c r="C332" s="16" t="n"/>
      <c r="D332" s="17" t="n"/>
      <c r="E332" s="17" t="n"/>
      <c r="F332" s="17" t="n"/>
      <c r="G332" s="17" t="n"/>
      <c r="H332" s="18">
        <f>IF(AND(B332="",C332="",D332="",E332=""),"",IF(B332="","⚠ Falta fecha",IF(C332="","⚠ Falta monto",IF(D332="","⚠ Falta categoría",IF(ISNA(MATCH(D332,catNom,0)),"⚠ Categoría no existe",IF(E332="","⚠ Falta cuenta",IF(ISNA(MATCH(E332,ctaNom,0)),"⚠ Cuenta no existe",IF(AND(OR(I332="Transferencia",I332="Pago tarjeta"),G332=""),"⚠ Indica la cuenta «Hacia»",IF(AND(G332&lt;&gt;"",G332=E332),"⚠ «Hacia» igual a la cuenta",IF(AND(G332&lt;&gt;"",ISNA(MATCH(G332,ctaNom,0))),"⚠ «Hacia» no existe",IF(AND(I332="Pago tarjeta",IFERROR(INDEX(ctaTipo,MATCH(G332,ctaNom,0)),"")&lt;&gt;"Tarjeta de crédito"),"⚠ «Hacia» debe ser la tarjeta",IF(AND(I332="Trading",IFERROR(INDEX(ctaTipo,MATCH(E332,ctaNom,0)),"")&lt;&gt;"Cuenta de trading"),"⚠ Usa la cuenta de trading","✓"))))))))))))</f>
        <v/>
      </c>
      <c r="I332" s="19">
        <f>IF(OR(B332="",C332="",D332=""),"",IFERROR(INDEX(catTipo,MATCH(D332,catNom,0))&amp;"",""))</f>
        <v/>
      </c>
      <c r="J332" s="19">
        <f>IF(I332="","",IFERROR(INDEX(catGrupo,MATCH(D332,catNom,0))&amp;"",""))</f>
        <v/>
      </c>
      <c r="K332" s="19">
        <f>IF(I332="Gasto",IF(IFERROR(INDEX(catClas,MATCH(D332,catNom,0))&amp;"","")="","Variable",IFERROR(INDEX(catClas,MATCH(D332,catNom,0))&amp;"","")),"")</f>
        <v/>
      </c>
      <c r="L332" s="19">
        <f>IF(I332="","",IFERROR(INDEX(catAlim,MATCH(D332,catNom,0))&amp;"",""))</f>
        <v/>
      </c>
      <c r="M332" s="19">
        <f>IF(I332="","",IFERROR(INDEX(catComida,MATCH(D332,catNom,0))&amp;"",""))</f>
        <v/>
      </c>
      <c r="N332" s="19">
        <f>IF(I332="","",IFERROR(INDEX(ctaMon,MATCH(E332,ctaNom,0))&amp;"","DOP"))</f>
        <v/>
      </c>
      <c r="O332" s="20">
        <f>IF(I332="","",C332*IF(N332="USD",TasaUSD,1))</f>
        <v/>
      </c>
      <c r="P332" s="20">
        <f>IF(I332="","",IF(I332="Gasto",O332,0))</f>
        <v/>
      </c>
      <c r="Q332" s="20">
        <f>IF(I332="","",IF(I332="Ingreso",O332,0))</f>
        <v/>
      </c>
      <c r="R332" s="20">
        <f>IF(I332="","",IF(I332="Trading",O332,0))</f>
        <v/>
      </c>
      <c r="S332" s="19">
        <f>IF(I332="","",IF(AND(I332="Gasto",K332="Variable",J332&lt;&gt;"Trading",O332&gt;0,O332&lt;=Umbral),1,0))</f>
        <v/>
      </c>
      <c r="T332" s="20">
        <f>IF(OR(I332="",E332=""),"",IF(OR(I332="Gasto",I332="Transferencia",I332="Pago tarjeta"),-1,1)*C332)</f>
        <v/>
      </c>
      <c r="U332" s="20">
        <f>IF(OR(G332="",AND(I332&lt;&gt;"Transferencia",I332&lt;&gt;"Pago tarjeta")),"",IF(IFERROR(INDEX(ctaMon,MATCH(G332,ctaNom,0))&amp;"","DOP")=N332,C332,IF(N332="USD",C332*TasaUSD,C332/TasaUSD)))</f>
        <v/>
      </c>
      <c r="V332" s="20">
        <f>IF(I332="","",IF(IFERROR(INDEX(ctaLiq,MATCH(E332,ctaNom,0))="Sí",FALSE),IF(OR(I332="Gasto",I332="Transferencia",I332="Pago tarjeta"),-1,1)*O332,0)+IF(AND(U332&lt;&gt;"",IFERROR(INDEX(ctaLiq,MATCH(G332,ctaNom,0))="Sí",FALSE)),O332,0))</f>
        <v/>
      </c>
      <c r="W332" s="19">
        <f>IF(OR(F332="",I332=""),"",IF(COUNTIFS(F$6:F332,F332,I$6:I332,"?*")=1,MAX(W$5:W331)+1,""))</f>
        <v/>
      </c>
    </row>
    <row r="333">
      <c r="B333" s="15" t="n"/>
      <c r="C333" s="16" t="n"/>
      <c r="D333" s="17" t="n"/>
      <c r="E333" s="17" t="n"/>
      <c r="F333" s="17" t="n"/>
      <c r="G333" s="17" t="n"/>
      <c r="H333" s="18">
        <f>IF(AND(B333="",C333="",D333="",E333=""),"",IF(B333="","⚠ Falta fecha",IF(C333="","⚠ Falta monto",IF(D333="","⚠ Falta categoría",IF(ISNA(MATCH(D333,catNom,0)),"⚠ Categoría no existe",IF(E333="","⚠ Falta cuenta",IF(ISNA(MATCH(E333,ctaNom,0)),"⚠ Cuenta no existe",IF(AND(OR(I333="Transferencia",I333="Pago tarjeta"),G333=""),"⚠ Indica la cuenta «Hacia»",IF(AND(G333&lt;&gt;"",G333=E333),"⚠ «Hacia» igual a la cuenta",IF(AND(G333&lt;&gt;"",ISNA(MATCH(G333,ctaNom,0))),"⚠ «Hacia» no existe",IF(AND(I333="Pago tarjeta",IFERROR(INDEX(ctaTipo,MATCH(G333,ctaNom,0)),"")&lt;&gt;"Tarjeta de crédito"),"⚠ «Hacia» debe ser la tarjeta",IF(AND(I333="Trading",IFERROR(INDEX(ctaTipo,MATCH(E333,ctaNom,0)),"")&lt;&gt;"Cuenta de trading"),"⚠ Usa la cuenta de trading","✓"))))))))))))</f>
        <v/>
      </c>
      <c r="I333" s="19">
        <f>IF(OR(B333="",C333="",D333=""),"",IFERROR(INDEX(catTipo,MATCH(D333,catNom,0))&amp;"",""))</f>
        <v/>
      </c>
      <c r="J333" s="19">
        <f>IF(I333="","",IFERROR(INDEX(catGrupo,MATCH(D333,catNom,0))&amp;"",""))</f>
        <v/>
      </c>
      <c r="K333" s="19">
        <f>IF(I333="Gasto",IF(IFERROR(INDEX(catClas,MATCH(D333,catNom,0))&amp;"","")="","Variable",IFERROR(INDEX(catClas,MATCH(D333,catNom,0))&amp;"","")),"")</f>
        <v/>
      </c>
      <c r="L333" s="19">
        <f>IF(I333="","",IFERROR(INDEX(catAlim,MATCH(D333,catNom,0))&amp;"",""))</f>
        <v/>
      </c>
      <c r="M333" s="19">
        <f>IF(I333="","",IFERROR(INDEX(catComida,MATCH(D333,catNom,0))&amp;"",""))</f>
        <v/>
      </c>
      <c r="N333" s="19">
        <f>IF(I333="","",IFERROR(INDEX(ctaMon,MATCH(E333,ctaNom,0))&amp;"","DOP"))</f>
        <v/>
      </c>
      <c r="O333" s="20">
        <f>IF(I333="","",C333*IF(N333="USD",TasaUSD,1))</f>
        <v/>
      </c>
      <c r="P333" s="20">
        <f>IF(I333="","",IF(I333="Gasto",O333,0))</f>
        <v/>
      </c>
      <c r="Q333" s="20">
        <f>IF(I333="","",IF(I333="Ingreso",O333,0))</f>
        <v/>
      </c>
      <c r="R333" s="20">
        <f>IF(I333="","",IF(I333="Trading",O333,0))</f>
        <v/>
      </c>
      <c r="S333" s="19">
        <f>IF(I333="","",IF(AND(I333="Gasto",K333="Variable",J333&lt;&gt;"Trading",O333&gt;0,O333&lt;=Umbral),1,0))</f>
        <v/>
      </c>
      <c r="T333" s="20">
        <f>IF(OR(I333="",E333=""),"",IF(OR(I333="Gasto",I333="Transferencia",I333="Pago tarjeta"),-1,1)*C333)</f>
        <v/>
      </c>
      <c r="U333" s="20">
        <f>IF(OR(G333="",AND(I333&lt;&gt;"Transferencia",I333&lt;&gt;"Pago tarjeta")),"",IF(IFERROR(INDEX(ctaMon,MATCH(G333,ctaNom,0))&amp;"","DOP")=N333,C333,IF(N333="USD",C333*TasaUSD,C333/TasaUSD)))</f>
        <v/>
      </c>
      <c r="V333" s="20">
        <f>IF(I333="","",IF(IFERROR(INDEX(ctaLiq,MATCH(E333,ctaNom,0))="Sí",FALSE),IF(OR(I333="Gasto",I333="Transferencia",I333="Pago tarjeta"),-1,1)*O333,0)+IF(AND(U333&lt;&gt;"",IFERROR(INDEX(ctaLiq,MATCH(G333,ctaNom,0))="Sí",FALSE)),O333,0))</f>
        <v/>
      </c>
      <c r="W333" s="19">
        <f>IF(OR(F333="",I333=""),"",IF(COUNTIFS(F$6:F333,F333,I$6:I333,"?*")=1,MAX(W$5:W332)+1,""))</f>
        <v/>
      </c>
    </row>
    <row r="334">
      <c r="B334" s="15" t="n"/>
      <c r="C334" s="16" t="n"/>
      <c r="D334" s="17" t="n"/>
      <c r="E334" s="17" t="n"/>
      <c r="F334" s="17" t="n"/>
      <c r="G334" s="17" t="n"/>
      <c r="H334" s="18">
        <f>IF(AND(B334="",C334="",D334="",E334=""),"",IF(B334="","⚠ Falta fecha",IF(C334="","⚠ Falta monto",IF(D334="","⚠ Falta categoría",IF(ISNA(MATCH(D334,catNom,0)),"⚠ Categoría no existe",IF(E334="","⚠ Falta cuenta",IF(ISNA(MATCH(E334,ctaNom,0)),"⚠ Cuenta no existe",IF(AND(OR(I334="Transferencia",I334="Pago tarjeta"),G334=""),"⚠ Indica la cuenta «Hacia»",IF(AND(G334&lt;&gt;"",G334=E334),"⚠ «Hacia» igual a la cuenta",IF(AND(G334&lt;&gt;"",ISNA(MATCH(G334,ctaNom,0))),"⚠ «Hacia» no existe",IF(AND(I334="Pago tarjeta",IFERROR(INDEX(ctaTipo,MATCH(G334,ctaNom,0)),"")&lt;&gt;"Tarjeta de crédito"),"⚠ «Hacia» debe ser la tarjeta",IF(AND(I334="Trading",IFERROR(INDEX(ctaTipo,MATCH(E334,ctaNom,0)),"")&lt;&gt;"Cuenta de trading"),"⚠ Usa la cuenta de trading","✓"))))))))))))</f>
        <v/>
      </c>
      <c r="I334" s="19">
        <f>IF(OR(B334="",C334="",D334=""),"",IFERROR(INDEX(catTipo,MATCH(D334,catNom,0))&amp;"",""))</f>
        <v/>
      </c>
      <c r="J334" s="19">
        <f>IF(I334="","",IFERROR(INDEX(catGrupo,MATCH(D334,catNom,0))&amp;"",""))</f>
        <v/>
      </c>
      <c r="K334" s="19">
        <f>IF(I334="Gasto",IF(IFERROR(INDEX(catClas,MATCH(D334,catNom,0))&amp;"","")="","Variable",IFERROR(INDEX(catClas,MATCH(D334,catNom,0))&amp;"","")),"")</f>
        <v/>
      </c>
      <c r="L334" s="19">
        <f>IF(I334="","",IFERROR(INDEX(catAlim,MATCH(D334,catNom,0))&amp;"",""))</f>
        <v/>
      </c>
      <c r="M334" s="19">
        <f>IF(I334="","",IFERROR(INDEX(catComida,MATCH(D334,catNom,0))&amp;"",""))</f>
        <v/>
      </c>
      <c r="N334" s="19">
        <f>IF(I334="","",IFERROR(INDEX(ctaMon,MATCH(E334,ctaNom,0))&amp;"","DOP"))</f>
        <v/>
      </c>
      <c r="O334" s="20">
        <f>IF(I334="","",C334*IF(N334="USD",TasaUSD,1))</f>
        <v/>
      </c>
      <c r="P334" s="20">
        <f>IF(I334="","",IF(I334="Gasto",O334,0))</f>
        <v/>
      </c>
      <c r="Q334" s="20">
        <f>IF(I334="","",IF(I334="Ingreso",O334,0))</f>
        <v/>
      </c>
      <c r="R334" s="20">
        <f>IF(I334="","",IF(I334="Trading",O334,0))</f>
        <v/>
      </c>
      <c r="S334" s="19">
        <f>IF(I334="","",IF(AND(I334="Gasto",K334="Variable",J334&lt;&gt;"Trading",O334&gt;0,O334&lt;=Umbral),1,0))</f>
        <v/>
      </c>
      <c r="T334" s="20">
        <f>IF(OR(I334="",E334=""),"",IF(OR(I334="Gasto",I334="Transferencia",I334="Pago tarjeta"),-1,1)*C334)</f>
        <v/>
      </c>
      <c r="U334" s="20">
        <f>IF(OR(G334="",AND(I334&lt;&gt;"Transferencia",I334&lt;&gt;"Pago tarjeta")),"",IF(IFERROR(INDEX(ctaMon,MATCH(G334,ctaNom,0))&amp;"","DOP")=N334,C334,IF(N334="USD",C334*TasaUSD,C334/TasaUSD)))</f>
        <v/>
      </c>
      <c r="V334" s="20">
        <f>IF(I334="","",IF(IFERROR(INDEX(ctaLiq,MATCH(E334,ctaNom,0))="Sí",FALSE),IF(OR(I334="Gasto",I334="Transferencia",I334="Pago tarjeta"),-1,1)*O334,0)+IF(AND(U334&lt;&gt;"",IFERROR(INDEX(ctaLiq,MATCH(G334,ctaNom,0))="Sí",FALSE)),O334,0))</f>
        <v/>
      </c>
      <c r="W334" s="19">
        <f>IF(OR(F334="",I334=""),"",IF(COUNTIFS(F$6:F334,F334,I$6:I334,"?*")=1,MAX(W$5:W333)+1,""))</f>
        <v/>
      </c>
    </row>
    <row r="335">
      <c r="B335" s="15" t="n"/>
      <c r="C335" s="16" t="n"/>
      <c r="D335" s="17" t="n"/>
      <c r="E335" s="17" t="n"/>
      <c r="F335" s="17" t="n"/>
      <c r="G335" s="17" t="n"/>
      <c r="H335" s="18">
        <f>IF(AND(B335="",C335="",D335="",E335=""),"",IF(B335="","⚠ Falta fecha",IF(C335="","⚠ Falta monto",IF(D335="","⚠ Falta categoría",IF(ISNA(MATCH(D335,catNom,0)),"⚠ Categoría no existe",IF(E335="","⚠ Falta cuenta",IF(ISNA(MATCH(E335,ctaNom,0)),"⚠ Cuenta no existe",IF(AND(OR(I335="Transferencia",I335="Pago tarjeta"),G335=""),"⚠ Indica la cuenta «Hacia»",IF(AND(G335&lt;&gt;"",G335=E335),"⚠ «Hacia» igual a la cuenta",IF(AND(G335&lt;&gt;"",ISNA(MATCH(G335,ctaNom,0))),"⚠ «Hacia» no existe",IF(AND(I335="Pago tarjeta",IFERROR(INDEX(ctaTipo,MATCH(G335,ctaNom,0)),"")&lt;&gt;"Tarjeta de crédito"),"⚠ «Hacia» debe ser la tarjeta",IF(AND(I335="Trading",IFERROR(INDEX(ctaTipo,MATCH(E335,ctaNom,0)),"")&lt;&gt;"Cuenta de trading"),"⚠ Usa la cuenta de trading","✓"))))))))))))</f>
        <v/>
      </c>
      <c r="I335" s="19">
        <f>IF(OR(B335="",C335="",D335=""),"",IFERROR(INDEX(catTipo,MATCH(D335,catNom,0))&amp;"",""))</f>
        <v/>
      </c>
      <c r="J335" s="19">
        <f>IF(I335="","",IFERROR(INDEX(catGrupo,MATCH(D335,catNom,0))&amp;"",""))</f>
        <v/>
      </c>
      <c r="K335" s="19">
        <f>IF(I335="Gasto",IF(IFERROR(INDEX(catClas,MATCH(D335,catNom,0))&amp;"","")="","Variable",IFERROR(INDEX(catClas,MATCH(D335,catNom,0))&amp;"","")),"")</f>
        <v/>
      </c>
      <c r="L335" s="19">
        <f>IF(I335="","",IFERROR(INDEX(catAlim,MATCH(D335,catNom,0))&amp;"",""))</f>
        <v/>
      </c>
      <c r="M335" s="19">
        <f>IF(I335="","",IFERROR(INDEX(catComida,MATCH(D335,catNom,0))&amp;"",""))</f>
        <v/>
      </c>
      <c r="N335" s="19">
        <f>IF(I335="","",IFERROR(INDEX(ctaMon,MATCH(E335,ctaNom,0))&amp;"","DOP"))</f>
        <v/>
      </c>
      <c r="O335" s="20">
        <f>IF(I335="","",C335*IF(N335="USD",TasaUSD,1))</f>
        <v/>
      </c>
      <c r="P335" s="20">
        <f>IF(I335="","",IF(I335="Gasto",O335,0))</f>
        <v/>
      </c>
      <c r="Q335" s="20">
        <f>IF(I335="","",IF(I335="Ingreso",O335,0))</f>
        <v/>
      </c>
      <c r="R335" s="20">
        <f>IF(I335="","",IF(I335="Trading",O335,0))</f>
        <v/>
      </c>
      <c r="S335" s="19">
        <f>IF(I335="","",IF(AND(I335="Gasto",K335="Variable",J335&lt;&gt;"Trading",O335&gt;0,O335&lt;=Umbral),1,0))</f>
        <v/>
      </c>
      <c r="T335" s="20">
        <f>IF(OR(I335="",E335=""),"",IF(OR(I335="Gasto",I335="Transferencia",I335="Pago tarjeta"),-1,1)*C335)</f>
        <v/>
      </c>
      <c r="U335" s="20">
        <f>IF(OR(G335="",AND(I335&lt;&gt;"Transferencia",I335&lt;&gt;"Pago tarjeta")),"",IF(IFERROR(INDEX(ctaMon,MATCH(G335,ctaNom,0))&amp;"","DOP")=N335,C335,IF(N335="USD",C335*TasaUSD,C335/TasaUSD)))</f>
        <v/>
      </c>
      <c r="V335" s="20">
        <f>IF(I335="","",IF(IFERROR(INDEX(ctaLiq,MATCH(E335,ctaNom,0))="Sí",FALSE),IF(OR(I335="Gasto",I335="Transferencia",I335="Pago tarjeta"),-1,1)*O335,0)+IF(AND(U335&lt;&gt;"",IFERROR(INDEX(ctaLiq,MATCH(G335,ctaNom,0))="Sí",FALSE)),O335,0))</f>
        <v/>
      </c>
      <c r="W335" s="19">
        <f>IF(OR(F335="",I335=""),"",IF(COUNTIFS(F$6:F335,F335,I$6:I335,"?*")=1,MAX(W$5:W334)+1,""))</f>
        <v/>
      </c>
    </row>
    <row r="336">
      <c r="B336" s="15" t="n"/>
      <c r="C336" s="16" t="n"/>
      <c r="D336" s="17" t="n"/>
      <c r="E336" s="17" t="n"/>
      <c r="F336" s="17" t="n"/>
      <c r="G336" s="17" t="n"/>
      <c r="H336" s="18">
        <f>IF(AND(B336="",C336="",D336="",E336=""),"",IF(B336="","⚠ Falta fecha",IF(C336="","⚠ Falta monto",IF(D336="","⚠ Falta categoría",IF(ISNA(MATCH(D336,catNom,0)),"⚠ Categoría no existe",IF(E336="","⚠ Falta cuenta",IF(ISNA(MATCH(E336,ctaNom,0)),"⚠ Cuenta no existe",IF(AND(OR(I336="Transferencia",I336="Pago tarjeta"),G336=""),"⚠ Indica la cuenta «Hacia»",IF(AND(G336&lt;&gt;"",G336=E336),"⚠ «Hacia» igual a la cuenta",IF(AND(G336&lt;&gt;"",ISNA(MATCH(G336,ctaNom,0))),"⚠ «Hacia» no existe",IF(AND(I336="Pago tarjeta",IFERROR(INDEX(ctaTipo,MATCH(G336,ctaNom,0)),"")&lt;&gt;"Tarjeta de crédito"),"⚠ «Hacia» debe ser la tarjeta",IF(AND(I336="Trading",IFERROR(INDEX(ctaTipo,MATCH(E336,ctaNom,0)),"")&lt;&gt;"Cuenta de trading"),"⚠ Usa la cuenta de trading","✓"))))))))))))</f>
        <v/>
      </c>
      <c r="I336" s="19">
        <f>IF(OR(B336="",C336="",D336=""),"",IFERROR(INDEX(catTipo,MATCH(D336,catNom,0))&amp;"",""))</f>
        <v/>
      </c>
      <c r="J336" s="19">
        <f>IF(I336="","",IFERROR(INDEX(catGrupo,MATCH(D336,catNom,0))&amp;"",""))</f>
        <v/>
      </c>
      <c r="K336" s="19">
        <f>IF(I336="Gasto",IF(IFERROR(INDEX(catClas,MATCH(D336,catNom,0))&amp;"","")="","Variable",IFERROR(INDEX(catClas,MATCH(D336,catNom,0))&amp;"","")),"")</f>
        <v/>
      </c>
      <c r="L336" s="19">
        <f>IF(I336="","",IFERROR(INDEX(catAlim,MATCH(D336,catNom,0))&amp;"",""))</f>
        <v/>
      </c>
      <c r="M336" s="19">
        <f>IF(I336="","",IFERROR(INDEX(catComida,MATCH(D336,catNom,0))&amp;"",""))</f>
        <v/>
      </c>
      <c r="N336" s="19">
        <f>IF(I336="","",IFERROR(INDEX(ctaMon,MATCH(E336,ctaNom,0))&amp;"","DOP"))</f>
        <v/>
      </c>
      <c r="O336" s="20">
        <f>IF(I336="","",C336*IF(N336="USD",TasaUSD,1))</f>
        <v/>
      </c>
      <c r="P336" s="20">
        <f>IF(I336="","",IF(I336="Gasto",O336,0))</f>
        <v/>
      </c>
      <c r="Q336" s="20">
        <f>IF(I336="","",IF(I336="Ingreso",O336,0))</f>
        <v/>
      </c>
      <c r="R336" s="20">
        <f>IF(I336="","",IF(I336="Trading",O336,0))</f>
        <v/>
      </c>
      <c r="S336" s="19">
        <f>IF(I336="","",IF(AND(I336="Gasto",K336="Variable",J336&lt;&gt;"Trading",O336&gt;0,O336&lt;=Umbral),1,0))</f>
        <v/>
      </c>
      <c r="T336" s="20">
        <f>IF(OR(I336="",E336=""),"",IF(OR(I336="Gasto",I336="Transferencia",I336="Pago tarjeta"),-1,1)*C336)</f>
        <v/>
      </c>
      <c r="U336" s="20">
        <f>IF(OR(G336="",AND(I336&lt;&gt;"Transferencia",I336&lt;&gt;"Pago tarjeta")),"",IF(IFERROR(INDEX(ctaMon,MATCH(G336,ctaNom,0))&amp;"","DOP")=N336,C336,IF(N336="USD",C336*TasaUSD,C336/TasaUSD)))</f>
        <v/>
      </c>
      <c r="V336" s="20">
        <f>IF(I336="","",IF(IFERROR(INDEX(ctaLiq,MATCH(E336,ctaNom,0))="Sí",FALSE),IF(OR(I336="Gasto",I336="Transferencia",I336="Pago tarjeta"),-1,1)*O336,0)+IF(AND(U336&lt;&gt;"",IFERROR(INDEX(ctaLiq,MATCH(G336,ctaNom,0))="Sí",FALSE)),O336,0))</f>
        <v/>
      </c>
      <c r="W336" s="19">
        <f>IF(OR(F336="",I336=""),"",IF(COUNTIFS(F$6:F336,F336,I$6:I336,"?*")=1,MAX(W$5:W335)+1,""))</f>
        <v/>
      </c>
    </row>
    <row r="337">
      <c r="B337" s="15" t="n"/>
      <c r="C337" s="16" t="n"/>
      <c r="D337" s="17" t="n"/>
      <c r="E337" s="17" t="n"/>
      <c r="F337" s="17" t="n"/>
      <c r="G337" s="17" t="n"/>
      <c r="H337" s="18">
        <f>IF(AND(B337="",C337="",D337="",E337=""),"",IF(B337="","⚠ Falta fecha",IF(C337="","⚠ Falta monto",IF(D337="","⚠ Falta categoría",IF(ISNA(MATCH(D337,catNom,0)),"⚠ Categoría no existe",IF(E337="","⚠ Falta cuenta",IF(ISNA(MATCH(E337,ctaNom,0)),"⚠ Cuenta no existe",IF(AND(OR(I337="Transferencia",I337="Pago tarjeta"),G337=""),"⚠ Indica la cuenta «Hacia»",IF(AND(G337&lt;&gt;"",G337=E337),"⚠ «Hacia» igual a la cuenta",IF(AND(G337&lt;&gt;"",ISNA(MATCH(G337,ctaNom,0))),"⚠ «Hacia» no existe",IF(AND(I337="Pago tarjeta",IFERROR(INDEX(ctaTipo,MATCH(G337,ctaNom,0)),"")&lt;&gt;"Tarjeta de crédito"),"⚠ «Hacia» debe ser la tarjeta",IF(AND(I337="Trading",IFERROR(INDEX(ctaTipo,MATCH(E337,ctaNom,0)),"")&lt;&gt;"Cuenta de trading"),"⚠ Usa la cuenta de trading","✓"))))))))))))</f>
        <v/>
      </c>
      <c r="I337" s="19">
        <f>IF(OR(B337="",C337="",D337=""),"",IFERROR(INDEX(catTipo,MATCH(D337,catNom,0))&amp;"",""))</f>
        <v/>
      </c>
      <c r="J337" s="19">
        <f>IF(I337="","",IFERROR(INDEX(catGrupo,MATCH(D337,catNom,0))&amp;"",""))</f>
        <v/>
      </c>
      <c r="K337" s="19">
        <f>IF(I337="Gasto",IF(IFERROR(INDEX(catClas,MATCH(D337,catNom,0))&amp;"","")="","Variable",IFERROR(INDEX(catClas,MATCH(D337,catNom,0))&amp;"","")),"")</f>
        <v/>
      </c>
      <c r="L337" s="19">
        <f>IF(I337="","",IFERROR(INDEX(catAlim,MATCH(D337,catNom,0))&amp;"",""))</f>
        <v/>
      </c>
      <c r="M337" s="19">
        <f>IF(I337="","",IFERROR(INDEX(catComida,MATCH(D337,catNom,0))&amp;"",""))</f>
        <v/>
      </c>
      <c r="N337" s="19">
        <f>IF(I337="","",IFERROR(INDEX(ctaMon,MATCH(E337,ctaNom,0))&amp;"","DOP"))</f>
        <v/>
      </c>
      <c r="O337" s="20">
        <f>IF(I337="","",C337*IF(N337="USD",TasaUSD,1))</f>
        <v/>
      </c>
      <c r="P337" s="20">
        <f>IF(I337="","",IF(I337="Gasto",O337,0))</f>
        <v/>
      </c>
      <c r="Q337" s="20">
        <f>IF(I337="","",IF(I337="Ingreso",O337,0))</f>
        <v/>
      </c>
      <c r="R337" s="20">
        <f>IF(I337="","",IF(I337="Trading",O337,0))</f>
        <v/>
      </c>
      <c r="S337" s="19">
        <f>IF(I337="","",IF(AND(I337="Gasto",K337="Variable",J337&lt;&gt;"Trading",O337&gt;0,O337&lt;=Umbral),1,0))</f>
        <v/>
      </c>
      <c r="T337" s="20">
        <f>IF(OR(I337="",E337=""),"",IF(OR(I337="Gasto",I337="Transferencia",I337="Pago tarjeta"),-1,1)*C337)</f>
        <v/>
      </c>
      <c r="U337" s="20">
        <f>IF(OR(G337="",AND(I337&lt;&gt;"Transferencia",I337&lt;&gt;"Pago tarjeta")),"",IF(IFERROR(INDEX(ctaMon,MATCH(G337,ctaNom,0))&amp;"","DOP")=N337,C337,IF(N337="USD",C337*TasaUSD,C337/TasaUSD)))</f>
        <v/>
      </c>
      <c r="V337" s="20">
        <f>IF(I337="","",IF(IFERROR(INDEX(ctaLiq,MATCH(E337,ctaNom,0))="Sí",FALSE),IF(OR(I337="Gasto",I337="Transferencia",I337="Pago tarjeta"),-1,1)*O337,0)+IF(AND(U337&lt;&gt;"",IFERROR(INDEX(ctaLiq,MATCH(G337,ctaNom,0))="Sí",FALSE)),O337,0))</f>
        <v/>
      </c>
      <c r="W337" s="19">
        <f>IF(OR(F337="",I337=""),"",IF(COUNTIFS(F$6:F337,F337,I$6:I337,"?*")=1,MAX(W$5:W336)+1,""))</f>
        <v/>
      </c>
    </row>
    <row r="338">
      <c r="B338" s="15" t="n"/>
      <c r="C338" s="16" t="n"/>
      <c r="D338" s="17" t="n"/>
      <c r="E338" s="17" t="n"/>
      <c r="F338" s="17" t="n"/>
      <c r="G338" s="17" t="n"/>
      <c r="H338" s="18">
        <f>IF(AND(B338="",C338="",D338="",E338=""),"",IF(B338="","⚠ Falta fecha",IF(C338="","⚠ Falta monto",IF(D338="","⚠ Falta categoría",IF(ISNA(MATCH(D338,catNom,0)),"⚠ Categoría no existe",IF(E338="","⚠ Falta cuenta",IF(ISNA(MATCH(E338,ctaNom,0)),"⚠ Cuenta no existe",IF(AND(OR(I338="Transferencia",I338="Pago tarjeta"),G338=""),"⚠ Indica la cuenta «Hacia»",IF(AND(G338&lt;&gt;"",G338=E338),"⚠ «Hacia» igual a la cuenta",IF(AND(G338&lt;&gt;"",ISNA(MATCH(G338,ctaNom,0))),"⚠ «Hacia» no existe",IF(AND(I338="Pago tarjeta",IFERROR(INDEX(ctaTipo,MATCH(G338,ctaNom,0)),"")&lt;&gt;"Tarjeta de crédito"),"⚠ «Hacia» debe ser la tarjeta",IF(AND(I338="Trading",IFERROR(INDEX(ctaTipo,MATCH(E338,ctaNom,0)),"")&lt;&gt;"Cuenta de trading"),"⚠ Usa la cuenta de trading","✓"))))))))))))</f>
        <v/>
      </c>
      <c r="I338" s="19">
        <f>IF(OR(B338="",C338="",D338=""),"",IFERROR(INDEX(catTipo,MATCH(D338,catNom,0))&amp;"",""))</f>
        <v/>
      </c>
      <c r="J338" s="19">
        <f>IF(I338="","",IFERROR(INDEX(catGrupo,MATCH(D338,catNom,0))&amp;"",""))</f>
        <v/>
      </c>
      <c r="K338" s="19">
        <f>IF(I338="Gasto",IF(IFERROR(INDEX(catClas,MATCH(D338,catNom,0))&amp;"","")="","Variable",IFERROR(INDEX(catClas,MATCH(D338,catNom,0))&amp;"","")),"")</f>
        <v/>
      </c>
      <c r="L338" s="19">
        <f>IF(I338="","",IFERROR(INDEX(catAlim,MATCH(D338,catNom,0))&amp;"",""))</f>
        <v/>
      </c>
      <c r="M338" s="19">
        <f>IF(I338="","",IFERROR(INDEX(catComida,MATCH(D338,catNom,0))&amp;"",""))</f>
        <v/>
      </c>
      <c r="N338" s="19">
        <f>IF(I338="","",IFERROR(INDEX(ctaMon,MATCH(E338,ctaNom,0))&amp;"","DOP"))</f>
        <v/>
      </c>
      <c r="O338" s="20">
        <f>IF(I338="","",C338*IF(N338="USD",TasaUSD,1))</f>
        <v/>
      </c>
      <c r="P338" s="20">
        <f>IF(I338="","",IF(I338="Gasto",O338,0))</f>
        <v/>
      </c>
      <c r="Q338" s="20">
        <f>IF(I338="","",IF(I338="Ingreso",O338,0))</f>
        <v/>
      </c>
      <c r="R338" s="20">
        <f>IF(I338="","",IF(I338="Trading",O338,0))</f>
        <v/>
      </c>
      <c r="S338" s="19">
        <f>IF(I338="","",IF(AND(I338="Gasto",K338="Variable",J338&lt;&gt;"Trading",O338&gt;0,O338&lt;=Umbral),1,0))</f>
        <v/>
      </c>
      <c r="T338" s="20">
        <f>IF(OR(I338="",E338=""),"",IF(OR(I338="Gasto",I338="Transferencia",I338="Pago tarjeta"),-1,1)*C338)</f>
        <v/>
      </c>
      <c r="U338" s="20">
        <f>IF(OR(G338="",AND(I338&lt;&gt;"Transferencia",I338&lt;&gt;"Pago tarjeta")),"",IF(IFERROR(INDEX(ctaMon,MATCH(G338,ctaNom,0))&amp;"","DOP")=N338,C338,IF(N338="USD",C338*TasaUSD,C338/TasaUSD)))</f>
        <v/>
      </c>
      <c r="V338" s="20">
        <f>IF(I338="","",IF(IFERROR(INDEX(ctaLiq,MATCH(E338,ctaNom,0))="Sí",FALSE),IF(OR(I338="Gasto",I338="Transferencia",I338="Pago tarjeta"),-1,1)*O338,0)+IF(AND(U338&lt;&gt;"",IFERROR(INDEX(ctaLiq,MATCH(G338,ctaNom,0))="Sí",FALSE)),O338,0))</f>
        <v/>
      </c>
      <c r="W338" s="19">
        <f>IF(OR(F338="",I338=""),"",IF(COUNTIFS(F$6:F338,F338,I$6:I338,"?*")=1,MAX(W$5:W337)+1,""))</f>
        <v/>
      </c>
    </row>
    <row r="339">
      <c r="B339" s="15" t="n"/>
      <c r="C339" s="16" t="n"/>
      <c r="D339" s="17" t="n"/>
      <c r="E339" s="17" t="n"/>
      <c r="F339" s="17" t="n"/>
      <c r="G339" s="17" t="n"/>
      <c r="H339" s="18">
        <f>IF(AND(B339="",C339="",D339="",E339=""),"",IF(B339="","⚠ Falta fecha",IF(C339="","⚠ Falta monto",IF(D339="","⚠ Falta categoría",IF(ISNA(MATCH(D339,catNom,0)),"⚠ Categoría no existe",IF(E339="","⚠ Falta cuenta",IF(ISNA(MATCH(E339,ctaNom,0)),"⚠ Cuenta no existe",IF(AND(OR(I339="Transferencia",I339="Pago tarjeta"),G339=""),"⚠ Indica la cuenta «Hacia»",IF(AND(G339&lt;&gt;"",G339=E339),"⚠ «Hacia» igual a la cuenta",IF(AND(G339&lt;&gt;"",ISNA(MATCH(G339,ctaNom,0))),"⚠ «Hacia» no existe",IF(AND(I339="Pago tarjeta",IFERROR(INDEX(ctaTipo,MATCH(G339,ctaNom,0)),"")&lt;&gt;"Tarjeta de crédito"),"⚠ «Hacia» debe ser la tarjeta",IF(AND(I339="Trading",IFERROR(INDEX(ctaTipo,MATCH(E339,ctaNom,0)),"")&lt;&gt;"Cuenta de trading"),"⚠ Usa la cuenta de trading","✓"))))))))))))</f>
        <v/>
      </c>
      <c r="I339" s="19">
        <f>IF(OR(B339="",C339="",D339=""),"",IFERROR(INDEX(catTipo,MATCH(D339,catNom,0))&amp;"",""))</f>
        <v/>
      </c>
      <c r="J339" s="19">
        <f>IF(I339="","",IFERROR(INDEX(catGrupo,MATCH(D339,catNom,0))&amp;"",""))</f>
        <v/>
      </c>
      <c r="K339" s="19">
        <f>IF(I339="Gasto",IF(IFERROR(INDEX(catClas,MATCH(D339,catNom,0))&amp;"","")="","Variable",IFERROR(INDEX(catClas,MATCH(D339,catNom,0))&amp;"","")),"")</f>
        <v/>
      </c>
      <c r="L339" s="19">
        <f>IF(I339="","",IFERROR(INDEX(catAlim,MATCH(D339,catNom,0))&amp;"",""))</f>
        <v/>
      </c>
      <c r="M339" s="19">
        <f>IF(I339="","",IFERROR(INDEX(catComida,MATCH(D339,catNom,0))&amp;"",""))</f>
        <v/>
      </c>
      <c r="N339" s="19">
        <f>IF(I339="","",IFERROR(INDEX(ctaMon,MATCH(E339,ctaNom,0))&amp;"","DOP"))</f>
        <v/>
      </c>
      <c r="O339" s="20">
        <f>IF(I339="","",C339*IF(N339="USD",TasaUSD,1))</f>
        <v/>
      </c>
      <c r="P339" s="20">
        <f>IF(I339="","",IF(I339="Gasto",O339,0))</f>
        <v/>
      </c>
      <c r="Q339" s="20">
        <f>IF(I339="","",IF(I339="Ingreso",O339,0))</f>
        <v/>
      </c>
      <c r="R339" s="20">
        <f>IF(I339="","",IF(I339="Trading",O339,0))</f>
        <v/>
      </c>
      <c r="S339" s="19">
        <f>IF(I339="","",IF(AND(I339="Gasto",K339="Variable",J339&lt;&gt;"Trading",O339&gt;0,O339&lt;=Umbral),1,0))</f>
        <v/>
      </c>
      <c r="T339" s="20">
        <f>IF(OR(I339="",E339=""),"",IF(OR(I339="Gasto",I339="Transferencia",I339="Pago tarjeta"),-1,1)*C339)</f>
        <v/>
      </c>
      <c r="U339" s="20">
        <f>IF(OR(G339="",AND(I339&lt;&gt;"Transferencia",I339&lt;&gt;"Pago tarjeta")),"",IF(IFERROR(INDEX(ctaMon,MATCH(G339,ctaNom,0))&amp;"","DOP")=N339,C339,IF(N339="USD",C339*TasaUSD,C339/TasaUSD)))</f>
        <v/>
      </c>
      <c r="V339" s="20">
        <f>IF(I339="","",IF(IFERROR(INDEX(ctaLiq,MATCH(E339,ctaNom,0))="Sí",FALSE),IF(OR(I339="Gasto",I339="Transferencia",I339="Pago tarjeta"),-1,1)*O339,0)+IF(AND(U339&lt;&gt;"",IFERROR(INDEX(ctaLiq,MATCH(G339,ctaNom,0))="Sí",FALSE)),O339,0))</f>
        <v/>
      </c>
      <c r="W339" s="19">
        <f>IF(OR(F339="",I339=""),"",IF(COUNTIFS(F$6:F339,F339,I$6:I339,"?*")=1,MAX(W$5:W338)+1,""))</f>
        <v/>
      </c>
    </row>
    <row r="340">
      <c r="B340" s="15" t="n"/>
      <c r="C340" s="16" t="n"/>
      <c r="D340" s="17" t="n"/>
      <c r="E340" s="17" t="n"/>
      <c r="F340" s="17" t="n"/>
      <c r="G340" s="17" t="n"/>
      <c r="H340" s="18">
        <f>IF(AND(B340="",C340="",D340="",E340=""),"",IF(B340="","⚠ Falta fecha",IF(C340="","⚠ Falta monto",IF(D340="","⚠ Falta categoría",IF(ISNA(MATCH(D340,catNom,0)),"⚠ Categoría no existe",IF(E340="","⚠ Falta cuenta",IF(ISNA(MATCH(E340,ctaNom,0)),"⚠ Cuenta no existe",IF(AND(OR(I340="Transferencia",I340="Pago tarjeta"),G340=""),"⚠ Indica la cuenta «Hacia»",IF(AND(G340&lt;&gt;"",G340=E340),"⚠ «Hacia» igual a la cuenta",IF(AND(G340&lt;&gt;"",ISNA(MATCH(G340,ctaNom,0))),"⚠ «Hacia» no existe",IF(AND(I340="Pago tarjeta",IFERROR(INDEX(ctaTipo,MATCH(G340,ctaNom,0)),"")&lt;&gt;"Tarjeta de crédito"),"⚠ «Hacia» debe ser la tarjeta",IF(AND(I340="Trading",IFERROR(INDEX(ctaTipo,MATCH(E340,ctaNom,0)),"")&lt;&gt;"Cuenta de trading"),"⚠ Usa la cuenta de trading","✓"))))))))))))</f>
        <v/>
      </c>
      <c r="I340" s="19">
        <f>IF(OR(B340="",C340="",D340=""),"",IFERROR(INDEX(catTipo,MATCH(D340,catNom,0))&amp;"",""))</f>
        <v/>
      </c>
      <c r="J340" s="19">
        <f>IF(I340="","",IFERROR(INDEX(catGrupo,MATCH(D340,catNom,0))&amp;"",""))</f>
        <v/>
      </c>
      <c r="K340" s="19">
        <f>IF(I340="Gasto",IF(IFERROR(INDEX(catClas,MATCH(D340,catNom,0))&amp;"","")="","Variable",IFERROR(INDEX(catClas,MATCH(D340,catNom,0))&amp;"","")),"")</f>
        <v/>
      </c>
      <c r="L340" s="19">
        <f>IF(I340="","",IFERROR(INDEX(catAlim,MATCH(D340,catNom,0))&amp;"",""))</f>
        <v/>
      </c>
      <c r="M340" s="19">
        <f>IF(I340="","",IFERROR(INDEX(catComida,MATCH(D340,catNom,0))&amp;"",""))</f>
        <v/>
      </c>
      <c r="N340" s="19">
        <f>IF(I340="","",IFERROR(INDEX(ctaMon,MATCH(E340,ctaNom,0))&amp;"","DOP"))</f>
        <v/>
      </c>
      <c r="O340" s="20">
        <f>IF(I340="","",C340*IF(N340="USD",TasaUSD,1))</f>
        <v/>
      </c>
      <c r="P340" s="20">
        <f>IF(I340="","",IF(I340="Gasto",O340,0))</f>
        <v/>
      </c>
      <c r="Q340" s="20">
        <f>IF(I340="","",IF(I340="Ingreso",O340,0))</f>
        <v/>
      </c>
      <c r="R340" s="20">
        <f>IF(I340="","",IF(I340="Trading",O340,0))</f>
        <v/>
      </c>
      <c r="S340" s="19">
        <f>IF(I340="","",IF(AND(I340="Gasto",K340="Variable",J340&lt;&gt;"Trading",O340&gt;0,O340&lt;=Umbral),1,0))</f>
        <v/>
      </c>
      <c r="T340" s="20">
        <f>IF(OR(I340="",E340=""),"",IF(OR(I340="Gasto",I340="Transferencia",I340="Pago tarjeta"),-1,1)*C340)</f>
        <v/>
      </c>
      <c r="U340" s="20">
        <f>IF(OR(G340="",AND(I340&lt;&gt;"Transferencia",I340&lt;&gt;"Pago tarjeta")),"",IF(IFERROR(INDEX(ctaMon,MATCH(G340,ctaNom,0))&amp;"","DOP")=N340,C340,IF(N340="USD",C340*TasaUSD,C340/TasaUSD)))</f>
        <v/>
      </c>
      <c r="V340" s="20">
        <f>IF(I340="","",IF(IFERROR(INDEX(ctaLiq,MATCH(E340,ctaNom,0))="Sí",FALSE),IF(OR(I340="Gasto",I340="Transferencia",I340="Pago tarjeta"),-1,1)*O340,0)+IF(AND(U340&lt;&gt;"",IFERROR(INDEX(ctaLiq,MATCH(G340,ctaNom,0))="Sí",FALSE)),O340,0))</f>
        <v/>
      </c>
      <c r="W340" s="19">
        <f>IF(OR(F340="",I340=""),"",IF(COUNTIFS(F$6:F340,F340,I$6:I340,"?*")=1,MAX(W$5:W339)+1,""))</f>
        <v/>
      </c>
    </row>
    <row r="341">
      <c r="B341" s="15" t="n"/>
      <c r="C341" s="16" t="n"/>
      <c r="D341" s="17" t="n"/>
      <c r="E341" s="17" t="n"/>
      <c r="F341" s="17" t="n"/>
      <c r="G341" s="17" t="n"/>
      <c r="H341" s="18">
        <f>IF(AND(B341="",C341="",D341="",E341=""),"",IF(B341="","⚠ Falta fecha",IF(C341="","⚠ Falta monto",IF(D341="","⚠ Falta categoría",IF(ISNA(MATCH(D341,catNom,0)),"⚠ Categoría no existe",IF(E341="","⚠ Falta cuenta",IF(ISNA(MATCH(E341,ctaNom,0)),"⚠ Cuenta no existe",IF(AND(OR(I341="Transferencia",I341="Pago tarjeta"),G341=""),"⚠ Indica la cuenta «Hacia»",IF(AND(G341&lt;&gt;"",G341=E341),"⚠ «Hacia» igual a la cuenta",IF(AND(G341&lt;&gt;"",ISNA(MATCH(G341,ctaNom,0))),"⚠ «Hacia» no existe",IF(AND(I341="Pago tarjeta",IFERROR(INDEX(ctaTipo,MATCH(G341,ctaNom,0)),"")&lt;&gt;"Tarjeta de crédito"),"⚠ «Hacia» debe ser la tarjeta",IF(AND(I341="Trading",IFERROR(INDEX(ctaTipo,MATCH(E341,ctaNom,0)),"")&lt;&gt;"Cuenta de trading"),"⚠ Usa la cuenta de trading","✓"))))))))))))</f>
        <v/>
      </c>
      <c r="I341" s="19">
        <f>IF(OR(B341="",C341="",D341=""),"",IFERROR(INDEX(catTipo,MATCH(D341,catNom,0))&amp;"",""))</f>
        <v/>
      </c>
      <c r="J341" s="19">
        <f>IF(I341="","",IFERROR(INDEX(catGrupo,MATCH(D341,catNom,0))&amp;"",""))</f>
        <v/>
      </c>
      <c r="K341" s="19">
        <f>IF(I341="Gasto",IF(IFERROR(INDEX(catClas,MATCH(D341,catNom,0))&amp;"","")="","Variable",IFERROR(INDEX(catClas,MATCH(D341,catNom,0))&amp;"","")),"")</f>
        <v/>
      </c>
      <c r="L341" s="19">
        <f>IF(I341="","",IFERROR(INDEX(catAlim,MATCH(D341,catNom,0))&amp;"",""))</f>
        <v/>
      </c>
      <c r="M341" s="19">
        <f>IF(I341="","",IFERROR(INDEX(catComida,MATCH(D341,catNom,0))&amp;"",""))</f>
        <v/>
      </c>
      <c r="N341" s="19">
        <f>IF(I341="","",IFERROR(INDEX(ctaMon,MATCH(E341,ctaNom,0))&amp;"","DOP"))</f>
        <v/>
      </c>
      <c r="O341" s="20">
        <f>IF(I341="","",C341*IF(N341="USD",TasaUSD,1))</f>
        <v/>
      </c>
      <c r="P341" s="20">
        <f>IF(I341="","",IF(I341="Gasto",O341,0))</f>
        <v/>
      </c>
      <c r="Q341" s="20">
        <f>IF(I341="","",IF(I341="Ingreso",O341,0))</f>
        <v/>
      </c>
      <c r="R341" s="20">
        <f>IF(I341="","",IF(I341="Trading",O341,0))</f>
        <v/>
      </c>
      <c r="S341" s="19">
        <f>IF(I341="","",IF(AND(I341="Gasto",K341="Variable",J341&lt;&gt;"Trading",O341&gt;0,O341&lt;=Umbral),1,0))</f>
        <v/>
      </c>
      <c r="T341" s="20">
        <f>IF(OR(I341="",E341=""),"",IF(OR(I341="Gasto",I341="Transferencia",I341="Pago tarjeta"),-1,1)*C341)</f>
        <v/>
      </c>
      <c r="U341" s="20">
        <f>IF(OR(G341="",AND(I341&lt;&gt;"Transferencia",I341&lt;&gt;"Pago tarjeta")),"",IF(IFERROR(INDEX(ctaMon,MATCH(G341,ctaNom,0))&amp;"","DOP")=N341,C341,IF(N341="USD",C341*TasaUSD,C341/TasaUSD)))</f>
        <v/>
      </c>
      <c r="V341" s="20">
        <f>IF(I341="","",IF(IFERROR(INDEX(ctaLiq,MATCH(E341,ctaNom,0))="Sí",FALSE),IF(OR(I341="Gasto",I341="Transferencia",I341="Pago tarjeta"),-1,1)*O341,0)+IF(AND(U341&lt;&gt;"",IFERROR(INDEX(ctaLiq,MATCH(G341,ctaNom,0))="Sí",FALSE)),O341,0))</f>
        <v/>
      </c>
      <c r="W341" s="19">
        <f>IF(OR(F341="",I341=""),"",IF(COUNTIFS(F$6:F341,F341,I$6:I341,"?*")=1,MAX(W$5:W340)+1,""))</f>
        <v/>
      </c>
    </row>
    <row r="342">
      <c r="B342" s="15" t="n"/>
      <c r="C342" s="16" t="n"/>
      <c r="D342" s="17" t="n"/>
      <c r="E342" s="17" t="n"/>
      <c r="F342" s="17" t="n"/>
      <c r="G342" s="17" t="n"/>
      <c r="H342" s="18">
        <f>IF(AND(B342="",C342="",D342="",E342=""),"",IF(B342="","⚠ Falta fecha",IF(C342="","⚠ Falta monto",IF(D342="","⚠ Falta categoría",IF(ISNA(MATCH(D342,catNom,0)),"⚠ Categoría no existe",IF(E342="","⚠ Falta cuenta",IF(ISNA(MATCH(E342,ctaNom,0)),"⚠ Cuenta no existe",IF(AND(OR(I342="Transferencia",I342="Pago tarjeta"),G342=""),"⚠ Indica la cuenta «Hacia»",IF(AND(G342&lt;&gt;"",G342=E342),"⚠ «Hacia» igual a la cuenta",IF(AND(G342&lt;&gt;"",ISNA(MATCH(G342,ctaNom,0))),"⚠ «Hacia» no existe",IF(AND(I342="Pago tarjeta",IFERROR(INDEX(ctaTipo,MATCH(G342,ctaNom,0)),"")&lt;&gt;"Tarjeta de crédito"),"⚠ «Hacia» debe ser la tarjeta",IF(AND(I342="Trading",IFERROR(INDEX(ctaTipo,MATCH(E342,ctaNom,0)),"")&lt;&gt;"Cuenta de trading"),"⚠ Usa la cuenta de trading","✓"))))))))))))</f>
        <v/>
      </c>
      <c r="I342" s="19">
        <f>IF(OR(B342="",C342="",D342=""),"",IFERROR(INDEX(catTipo,MATCH(D342,catNom,0))&amp;"",""))</f>
        <v/>
      </c>
      <c r="J342" s="19">
        <f>IF(I342="","",IFERROR(INDEX(catGrupo,MATCH(D342,catNom,0))&amp;"",""))</f>
        <v/>
      </c>
      <c r="K342" s="19">
        <f>IF(I342="Gasto",IF(IFERROR(INDEX(catClas,MATCH(D342,catNom,0))&amp;"","")="","Variable",IFERROR(INDEX(catClas,MATCH(D342,catNom,0))&amp;"","")),"")</f>
        <v/>
      </c>
      <c r="L342" s="19">
        <f>IF(I342="","",IFERROR(INDEX(catAlim,MATCH(D342,catNom,0))&amp;"",""))</f>
        <v/>
      </c>
      <c r="M342" s="19">
        <f>IF(I342="","",IFERROR(INDEX(catComida,MATCH(D342,catNom,0))&amp;"",""))</f>
        <v/>
      </c>
      <c r="N342" s="19">
        <f>IF(I342="","",IFERROR(INDEX(ctaMon,MATCH(E342,ctaNom,0))&amp;"","DOP"))</f>
        <v/>
      </c>
      <c r="O342" s="20">
        <f>IF(I342="","",C342*IF(N342="USD",TasaUSD,1))</f>
        <v/>
      </c>
      <c r="P342" s="20">
        <f>IF(I342="","",IF(I342="Gasto",O342,0))</f>
        <v/>
      </c>
      <c r="Q342" s="20">
        <f>IF(I342="","",IF(I342="Ingreso",O342,0))</f>
        <v/>
      </c>
      <c r="R342" s="20">
        <f>IF(I342="","",IF(I342="Trading",O342,0))</f>
        <v/>
      </c>
      <c r="S342" s="19">
        <f>IF(I342="","",IF(AND(I342="Gasto",K342="Variable",J342&lt;&gt;"Trading",O342&gt;0,O342&lt;=Umbral),1,0))</f>
        <v/>
      </c>
      <c r="T342" s="20">
        <f>IF(OR(I342="",E342=""),"",IF(OR(I342="Gasto",I342="Transferencia",I342="Pago tarjeta"),-1,1)*C342)</f>
        <v/>
      </c>
      <c r="U342" s="20">
        <f>IF(OR(G342="",AND(I342&lt;&gt;"Transferencia",I342&lt;&gt;"Pago tarjeta")),"",IF(IFERROR(INDEX(ctaMon,MATCH(G342,ctaNom,0))&amp;"","DOP")=N342,C342,IF(N342="USD",C342*TasaUSD,C342/TasaUSD)))</f>
        <v/>
      </c>
      <c r="V342" s="20">
        <f>IF(I342="","",IF(IFERROR(INDEX(ctaLiq,MATCH(E342,ctaNom,0))="Sí",FALSE),IF(OR(I342="Gasto",I342="Transferencia",I342="Pago tarjeta"),-1,1)*O342,0)+IF(AND(U342&lt;&gt;"",IFERROR(INDEX(ctaLiq,MATCH(G342,ctaNom,0))="Sí",FALSE)),O342,0))</f>
        <v/>
      </c>
      <c r="W342" s="19">
        <f>IF(OR(F342="",I342=""),"",IF(COUNTIFS(F$6:F342,F342,I$6:I342,"?*")=1,MAX(W$5:W341)+1,""))</f>
        <v/>
      </c>
    </row>
    <row r="343">
      <c r="B343" s="15" t="n"/>
      <c r="C343" s="16" t="n"/>
      <c r="D343" s="17" t="n"/>
      <c r="E343" s="17" t="n"/>
      <c r="F343" s="17" t="n"/>
      <c r="G343" s="17" t="n"/>
      <c r="H343" s="18">
        <f>IF(AND(B343="",C343="",D343="",E343=""),"",IF(B343="","⚠ Falta fecha",IF(C343="","⚠ Falta monto",IF(D343="","⚠ Falta categoría",IF(ISNA(MATCH(D343,catNom,0)),"⚠ Categoría no existe",IF(E343="","⚠ Falta cuenta",IF(ISNA(MATCH(E343,ctaNom,0)),"⚠ Cuenta no existe",IF(AND(OR(I343="Transferencia",I343="Pago tarjeta"),G343=""),"⚠ Indica la cuenta «Hacia»",IF(AND(G343&lt;&gt;"",G343=E343),"⚠ «Hacia» igual a la cuenta",IF(AND(G343&lt;&gt;"",ISNA(MATCH(G343,ctaNom,0))),"⚠ «Hacia» no existe",IF(AND(I343="Pago tarjeta",IFERROR(INDEX(ctaTipo,MATCH(G343,ctaNom,0)),"")&lt;&gt;"Tarjeta de crédito"),"⚠ «Hacia» debe ser la tarjeta",IF(AND(I343="Trading",IFERROR(INDEX(ctaTipo,MATCH(E343,ctaNom,0)),"")&lt;&gt;"Cuenta de trading"),"⚠ Usa la cuenta de trading","✓"))))))))))))</f>
        <v/>
      </c>
      <c r="I343" s="19">
        <f>IF(OR(B343="",C343="",D343=""),"",IFERROR(INDEX(catTipo,MATCH(D343,catNom,0))&amp;"",""))</f>
        <v/>
      </c>
      <c r="J343" s="19">
        <f>IF(I343="","",IFERROR(INDEX(catGrupo,MATCH(D343,catNom,0))&amp;"",""))</f>
        <v/>
      </c>
      <c r="K343" s="19">
        <f>IF(I343="Gasto",IF(IFERROR(INDEX(catClas,MATCH(D343,catNom,0))&amp;"","")="","Variable",IFERROR(INDEX(catClas,MATCH(D343,catNom,0))&amp;"","")),"")</f>
        <v/>
      </c>
      <c r="L343" s="19">
        <f>IF(I343="","",IFERROR(INDEX(catAlim,MATCH(D343,catNom,0))&amp;"",""))</f>
        <v/>
      </c>
      <c r="M343" s="19">
        <f>IF(I343="","",IFERROR(INDEX(catComida,MATCH(D343,catNom,0))&amp;"",""))</f>
        <v/>
      </c>
      <c r="N343" s="19">
        <f>IF(I343="","",IFERROR(INDEX(ctaMon,MATCH(E343,ctaNom,0))&amp;"","DOP"))</f>
        <v/>
      </c>
      <c r="O343" s="20">
        <f>IF(I343="","",C343*IF(N343="USD",TasaUSD,1))</f>
        <v/>
      </c>
      <c r="P343" s="20">
        <f>IF(I343="","",IF(I343="Gasto",O343,0))</f>
        <v/>
      </c>
      <c r="Q343" s="20">
        <f>IF(I343="","",IF(I343="Ingreso",O343,0))</f>
        <v/>
      </c>
      <c r="R343" s="20">
        <f>IF(I343="","",IF(I343="Trading",O343,0))</f>
        <v/>
      </c>
      <c r="S343" s="19">
        <f>IF(I343="","",IF(AND(I343="Gasto",K343="Variable",J343&lt;&gt;"Trading",O343&gt;0,O343&lt;=Umbral),1,0))</f>
        <v/>
      </c>
      <c r="T343" s="20">
        <f>IF(OR(I343="",E343=""),"",IF(OR(I343="Gasto",I343="Transferencia",I343="Pago tarjeta"),-1,1)*C343)</f>
        <v/>
      </c>
      <c r="U343" s="20">
        <f>IF(OR(G343="",AND(I343&lt;&gt;"Transferencia",I343&lt;&gt;"Pago tarjeta")),"",IF(IFERROR(INDEX(ctaMon,MATCH(G343,ctaNom,0))&amp;"","DOP")=N343,C343,IF(N343="USD",C343*TasaUSD,C343/TasaUSD)))</f>
        <v/>
      </c>
      <c r="V343" s="20">
        <f>IF(I343="","",IF(IFERROR(INDEX(ctaLiq,MATCH(E343,ctaNom,0))="Sí",FALSE),IF(OR(I343="Gasto",I343="Transferencia",I343="Pago tarjeta"),-1,1)*O343,0)+IF(AND(U343&lt;&gt;"",IFERROR(INDEX(ctaLiq,MATCH(G343,ctaNom,0))="Sí",FALSE)),O343,0))</f>
        <v/>
      </c>
      <c r="W343" s="19">
        <f>IF(OR(F343="",I343=""),"",IF(COUNTIFS(F$6:F343,F343,I$6:I343,"?*")=1,MAX(W$5:W342)+1,""))</f>
        <v/>
      </c>
    </row>
    <row r="344">
      <c r="B344" s="15" t="n"/>
      <c r="C344" s="16" t="n"/>
      <c r="D344" s="17" t="n"/>
      <c r="E344" s="17" t="n"/>
      <c r="F344" s="17" t="n"/>
      <c r="G344" s="17" t="n"/>
      <c r="H344" s="18">
        <f>IF(AND(B344="",C344="",D344="",E344=""),"",IF(B344="","⚠ Falta fecha",IF(C344="","⚠ Falta monto",IF(D344="","⚠ Falta categoría",IF(ISNA(MATCH(D344,catNom,0)),"⚠ Categoría no existe",IF(E344="","⚠ Falta cuenta",IF(ISNA(MATCH(E344,ctaNom,0)),"⚠ Cuenta no existe",IF(AND(OR(I344="Transferencia",I344="Pago tarjeta"),G344=""),"⚠ Indica la cuenta «Hacia»",IF(AND(G344&lt;&gt;"",G344=E344),"⚠ «Hacia» igual a la cuenta",IF(AND(G344&lt;&gt;"",ISNA(MATCH(G344,ctaNom,0))),"⚠ «Hacia» no existe",IF(AND(I344="Pago tarjeta",IFERROR(INDEX(ctaTipo,MATCH(G344,ctaNom,0)),"")&lt;&gt;"Tarjeta de crédito"),"⚠ «Hacia» debe ser la tarjeta",IF(AND(I344="Trading",IFERROR(INDEX(ctaTipo,MATCH(E344,ctaNom,0)),"")&lt;&gt;"Cuenta de trading"),"⚠ Usa la cuenta de trading","✓"))))))))))))</f>
        <v/>
      </c>
      <c r="I344" s="19">
        <f>IF(OR(B344="",C344="",D344=""),"",IFERROR(INDEX(catTipo,MATCH(D344,catNom,0))&amp;"",""))</f>
        <v/>
      </c>
      <c r="J344" s="19">
        <f>IF(I344="","",IFERROR(INDEX(catGrupo,MATCH(D344,catNom,0))&amp;"",""))</f>
        <v/>
      </c>
      <c r="K344" s="19">
        <f>IF(I344="Gasto",IF(IFERROR(INDEX(catClas,MATCH(D344,catNom,0))&amp;"","")="","Variable",IFERROR(INDEX(catClas,MATCH(D344,catNom,0))&amp;"","")),"")</f>
        <v/>
      </c>
      <c r="L344" s="19">
        <f>IF(I344="","",IFERROR(INDEX(catAlim,MATCH(D344,catNom,0))&amp;"",""))</f>
        <v/>
      </c>
      <c r="M344" s="19">
        <f>IF(I344="","",IFERROR(INDEX(catComida,MATCH(D344,catNom,0))&amp;"",""))</f>
        <v/>
      </c>
      <c r="N344" s="19">
        <f>IF(I344="","",IFERROR(INDEX(ctaMon,MATCH(E344,ctaNom,0))&amp;"","DOP"))</f>
        <v/>
      </c>
      <c r="O344" s="20">
        <f>IF(I344="","",C344*IF(N344="USD",TasaUSD,1))</f>
        <v/>
      </c>
      <c r="P344" s="20">
        <f>IF(I344="","",IF(I344="Gasto",O344,0))</f>
        <v/>
      </c>
      <c r="Q344" s="20">
        <f>IF(I344="","",IF(I344="Ingreso",O344,0))</f>
        <v/>
      </c>
      <c r="R344" s="20">
        <f>IF(I344="","",IF(I344="Trading",O344,0))</f>
        <v/>
      </c>
      <c r="S344" s="19">
        <f>IF(I344="","",IF(AND(I344="Gasto",K344="Variable",J344&lt;&gt;"Trading",O344&gt;0,O344&lt;=Umbral),1,0))</f>
        <v/>
      </c>
      <c r="T344" s="20">
        <f>IF(OR(I344="",E344=""),"",IF(OR(I344="Gasto",I344="Transferencia",I344="Pago tarjeta"),-1,1)*C344)</f>
        <v/>
      </c>
      <c r="U344" s="20">
        <f>IF(OR(G344="",AND(I344&lt;&gt;"Transferencia",I344&lt;&gt;"Pago tarjeta")),"",IF(IFERROR(INDEX(ctaMon,MATCH(G344,ctaNom,0))&amp;"","DOP")=N344,C344,IF(N344="USD",C344*TasaUSD,C344/TasaUSD)))</f>
        <v/>
      </c>
      <c r="V344" s="20">
        <f>IF(I344="","",IF(IFERROR(INDEX(ctaLiq,MATCH(E344,ctaNom,0))="Sí",FALSE),IF(OR(I344="Gasto",I344="Transferencia",I344="Pago tarjeta"),-1,1)*O344,0)+IF(AND(U344&lt;&gt;"",IFERROR(INDEX(ctaLiq,MATCH(G344,ctaNom,0))="Sí",FALSE)),O344,0))</f>
        <v/>
      </c>
      <c r="W344" s="19">
        <f>IF(OR(F344="",I344=""),"",IF(COUNTIFS(F$6:F344,F344,I$6:I344,"?*")=1,MAX(W$5:W343)+1,""))</f>
        <v/>
      </c>
    </row>
    <row r="345">
      <c r="B345" s="15" t="n"/>
      <c r="C345" s="16" t="n"/>
      <c r="D345" s="17" t="n"/>
      <c r="E345" s="17" t="n"/>
      <c r="F345" s="17" t="n"/>
      <c r="G345" s="17" t="n"/>
      <c r="H345" s="18">
        <f>IF(AND(B345="",C345="",D345="",E345=""),"",IF(B345="","⚠ Falta fecha",IF(C345="","⚠ Falta monto",IF(D345="","⚠ Falta categoría",IF(ISNA(MATCH(D345,catNom,0)),"⚠ Categoría no existe",IF(E345="","⚠ Falta cuenta",IF(ISNA(MATCH(E345,ctaNom,0)),"⚠ Cuenta no existe",IF(AND(OR(I345="Transferencia",I345="Pago tarjeta"),G345=""),"⚠ Indica la cuenta «Hacia»",IF(AND(G345&lt;&gt;"",G345=E345),"⚠ «Hacia» igual a la cuenta",IF(AND(G345&lt;&gt;"",ISNA(MATCH(G345,ctaNom,0))),"⚠ «Hacia» no existe",IF(AND(I345="Pago tarjeta",IFERROR(INDEX(ctaTipo,MATCH(G345,ctaNom,0)),"")&lt;&gt;"Tarjeta de crédito"),"⚠ «Hacia» debe ser la tarjeta",IF(AND(I345="Trading",IFERROR(INDEX(ctaTipo,MATCH(E345,ctaNom,0)),"")&lt;&gt;"Cuenta de trading"),"⚠ Usa la cuenta de trading","✓"))))))))))))</f>
        <v/>
      </c>
      <c r="I345" s="19">
        <f>IF(OR(B345="",C345="",D345=""),"",IFERROR(INDEX(catTipo,MATCH(D345,catNom,0))&amp;"",""))</f>
        <v/>
      </c>
      <c r="J345" s="19">
        <f>IF(I345="","",IFERROR(INDEX(catGrupo,MATCH(D345,catNom,0))&amp;"",""))</f>
        <v/>
      </c>
      <c r="K345" s="19">
        <f>IF(I345="Gasto",IF(IFERROR(INDEX(catClas,MATCH(D345,catNom,0))&amp;"","")="","Variable",IFERROR(INDEX(catClas,MATCH(D345,catNom,0))&amp;"","")),"")</f>
        <v/>
      </c>
      <c r="L345" s="19">
        <f>IF(I345="","",IFERROR(INDEX(catAlim,MATCH(D345,catNom,0))&amp;"",""))</f>
        <v/>
      </c>
      <c r="M345" s="19">
        <f>IF(I345="","",IFERROR(INDEX(catComida,MATCH(D345,catNom,0))&amp;"",""))</f>
        <v/>
      </c>
      <c r="N345" s="19">
        <f>IF(I345="","",IFERROR(INDEX(ctaMon,MATCH(E345,ctaNom,0))&amp;"","DOP"))</f>
        <v/>
      </c>
      <c r="O345" s="20">
        <f>IF(I345="","",C345*IF(N345="USD",TasaUSD,1))</f>
        <v/>
      </c>
      <c r="P345" s="20">
        <f>IF(I345="","",IF(I345="Gasto",O345,0))</f>
        <v/>
      </c>
      <c r="Q345" s="20">
        <f>IF(I345="","",IF(I345="Ingreso",O345,0))</f>
        <v/>
      </c>
      <c r="R345" s="20">
        <f>IF(I345="","",IF(I345="Trading",O345,0))</f>
        <v/>
      </c>
      <c r="S345" s="19">
        <f>IF(I345="","",IF(AND(I345="Gasto",K345="Variable",J345&lt;&gt;"Trading",O345&gt;0,O345&lt;=Umbral),1,0))</f>
        <v/>
      </c>
      <c r="T345" s="20">
        <f>IF(OR(I345="",E345=""),"",IF(OR(I345="Gasto",I345="Transferencia",I345="Pago tarjeta"),-1,1)*C345)</f>
        <v/>
      </c>
      <c r="U345" s="20">
        <f>IF(OR(G345="",AND(I345&lt;&gt;"Transferencia",I345&lt;&gt;"Pago tarjeta")),"",IF(IFERROR(INDEX(ctaMon,MATCH(G345,ctaNom,0))&amp;"","DOP")=N345,C345,IF(N345="USD",C345*TasaUSD,C345/TasaUSD)))</f>
        <v/>
      </c>
      <c r="V345" s="20">
        <f>IF(I345="","",IF(IFERROR(INDEX(ctaLiq,MATCH(E345,ctaNom,0))="Sí",FALSE),IF(OR(I345="Gasto",I345="Transferencia",I345="Pago tarjeta"),-1,1)*O345,0)+IF(AND(U345&lt;&gt;"",IFERROR(INDEX(ctaLiq,MATCH(G345,ctaNom,0))="Sí",FALSE)),O345,0))</f>
        <v/>
      </c>
      <c r="W345" s="19">
        <f>IF(OR(F345="",I345=""),"",IF(COUNTIFS(F$6:F345,F345,I$6:I345,"?*")=1,MAX(W$5:W344)+1,""))</f>
        <v/>
      </c>
    </row>
    <row r="346">
      <c r="B346" s="15" t="n"/>
      <c r="C346" s="16" t="n"/>
      <c r="D346" s="17" t="n"/>
      <c r="E346" s="17" t="n"/>
      <c r="F346" s="17" t="n"/>
      <c r="G346" s="17" t="n"/>
      <c r="H346" s="18">
        <f>IF(AND(B346="",C346="",D346="",E346=""),"",IF(B346="","⚠ Falta fecha",IF(C346="","⚠ Falta monto",IF(D346="","⚠ Falta categoría",IF(ISNA(MATCH(D346,catNom,0)),"⚠ Categoría no existe",IF(E346="","⚠ Falta cuenta",IF(ISNA(MATCH(E346,ctaNom,0)),"⚠ Cuenta no existe",IF(AND(OR(I346="Transferencia",I346="Pago tarjeta"),G346=""),"⚠ Indica la cuenta «Hacia»",IF(AND(G346&lt;&gt;"",G346=E346),"⚠ «Hacia» igual a la cuenta",IF(AND(G346&lt;&gt;"",ISNA(MATCH(G346,ctaNom,0))),"⚠ «Hacia» no existe",IF(AND(I346="Pago tarjeta",IFERROR(INDEX(ctaTipo,MATCH(G346,ctaNom,0)),"")&lt;&gt;"Tarjeta de crédito"),"⚠ «Hacia» debe ser la tarjeta",IF(AND(I346="Trading",IFERROR(INDEX(ctaTipo,MATCH(E346,ctaNom,0)),"")&lt;&gt;"Cuenta de trading"),"⚠ Usa la cuenta de trading","✓"))))))))))))</f>
        <v/>
      </c>
      <c r="I346" s="19">
        <f>IF(OR(B346="",C346="",D346=""),"",IFERROR(INDEX(catTipo,MATCH(D346,catNom,0))&amp;"",""))</f>
        <v/>
      </c>
      <c r="J346" s="19">
        <f>IF(I346="","",IFERROR(INDEX(catGrupo,MATCH(D346,catNom,0))&amp;"",""))</f>
        <v/>
      </c>
      <c r="K346" s="19">
        <f>IF(I346="Gasto",IF(IFERROR(INDEX(catClas,MATCH(D346,catNom,0))&amp;"","")="","Variable",IFERROR(INDEX(catClas,MATCH(D346,catNom,0))&amp;"","")),"")</f>
        <v/>
      </c>
      <c r="L346" s="19">
        <f>IF(I346="","",IFERROR(INDEX(catAlim,MATCH(D346,catNom,0))&amp;"",""))</f>
        <v/>
      </c>
      <c r="M346" s="19">
        <f>IF(I346="","",IFERROR(INDEX(catComida,MATCH(D346,catNom,0))&amp;"",""))</f>
        <v/>
      </c>
      <c r="N346" s="19">
        <f>IF(I346="","",IFERROR(INDEX(ctaMon,MATCH(E346,ctaNom,0))&amp;"","DOP"))</f>
        <v/>
      </c>
      <c r="O346" s="20">
        <f>IF(I346="","",C346*IF(N346="USD",TasaUSD,1))</f>
        <v/>
      </c>
      <c r="P346" s="20">
        <f>IF(I346="","",IF(I346="Gasto",O346,0))</f>
        <v/>
      </c>
      <c r="Q346" s="20">
        <f>IF(I346="","",IF(I346="Ingreso",O346,0))</f>
        <v/>
      </c>
      <c r="R346" s="20">
        <f>IF(I346="","",IF(I346="Trading",O346,0))</f>
        <v/>
      </c>
      <c r="S346" s="19">
        <f>IF(I346="","",IF(AND(I346="Gasto",K346="Variable",J346&lt;&gt;"Trading",O346&gt;0,O346&lt;=Umbral),1,0))</f>
        <v/>
      </c>
      <c r="T346" s="20">
        <f>IF(OR(I346="",E346=""),"",IF(OR(I346="Gasto",I346="Transferencia",I346="Pago tarjeta"),-1,1)*C346)</f>
        <v/>
      </c>
      <c r="U346" s="20">
        <f>IF(OR(G346="",AND(I346&lt;&gt;"Transferencia",I346&lt;&gt;"Pago tarjeta")),"",IF(IFERROR(INDEX(ctaMon,MATCH(G346,ctaNom,0))&amp;"","DOP")=N346,C346,IF(N346="USD",C346*TasaUSD,C346/TasaUSD)))</f>
        <v/>
      </c>
      <c r="V346" s="20">
        <f>IF(I346="","",IF(IFERROR(INDEX(ctaLiq,MATCH(E346,ctaNom,0))="Sí",FALSE),IF(OR(I346="Gasto",I346="Transferencia",I346="Pago tarjeta"),-1,1)*O346,0)+IF(AND(U346&lt;&gt;"",IFERROR(INDEX(ctaLiq,MATCH(G346,ctaNom,0))="Sí",FALSE)),O346,0))</f>
        <v/>
      </c>
      <c r="W346" s="19">
        <f>IF(OR(F346="",I346=""),"",IF(COUNTIFS(F$6:F346,F346,I$6:I346,"?*")=1,MAX(W$5:W345)+1,""))</f>
        <v/>
      </c>
    </row>
    <row r="347">
      <c r="B347" s="15" t="n"/>
      <c r="C347" s="16" t="n"/>
      <c r="D347" s="17" t="n"/>
      <c r="E347" s="17" t="n"/>
      <c r="F347" s="17" t="n"/>
      <c r="G347" s="17" t="n"/>
      <c r="H347" s="18">
        <f>IF(AND(B347="",C347="",D347="",E347=""),"",IF(B347="","⚠ Falta fecha",IF(C347="","⚠ Falta monto",IF(D347="","⚠ Falta categoría",IF(ISNA(MATCH(D347,catNom,0)),"⚠ Categoría no existe",IF(E347="","⚠ Falta cuenta",IF(ISNA(MATCH(E347,ctaNom,0)),"⚠ Cuenta no existe",IF(AND(OR(I347="Transferencia",I347="Pago tarjeta"),G347=""),"⚠ Indica la cuenta «Hacia»",IF(AND(G347&lt;&gt;"",G347=E347),"⚠ «Hacia» igual a la cuenta",IF(AND(G347&lt;&gt;"",ISNA(MATCH(G347,ctaNom,0))),"⚠ «Hacia» no existe",IF(AND(I347="Pago tarjeta",IFERROR(INDEX(ctaTipo,MATCH(G347,ctaNom,0)),"")&lt;&gt;"Tarjeta de crédito"),"⚠ «Hacia» debe ser la tarjeta",IF(AND(I347="Trading",IFERROR(INDEX(ctaTipo,MATCH(E347,ctaNom,0)),"")&lt;&gt;"Cuenta de trading"),"⚠ Usa la cuenta de trading","✓"))))))))))))</f>
        <v/>
      </c>
      <c r="I347" s="19">
        <f>IF(OR(B347="",C347="",D347=""),"",IFERROR(INDEX(catTipo,MATCH(D347,catNom,0))&amp;"",""))</f>
        <v/>
      </c>
      <c r="J347" s="19">
        <f>IF(I347="","",IFERROR(INDEX(catGrupo,MATCH(D347,catNom,0))&amp;"",""))</f>
        <v/>
      </c>
      <c r="K347" s="19">
        <f>IF(I347="Gasto",IF(IFERROR(INDEX(catClas,MATCH(D347,catNom,0))&amp;"","")="","Variable",IFERROR(INDEX(catClas,MATCH(D347,catNom,0))&amp;"","")),"")</f>
        <v/>
      </c>
      <c r="L347" s="19">
        <f>IF(I347="","",IFERROR(INDEX(catAlim,MATCH(D347,catNom,0))&amp;"",""))</f>
        <v/>
      </c>
      <c r="M347" s="19">
        <f>IF(I347="","",IFERROR(INDEX(catComida,MATCH(D347,catNom,0))&amp;"",""))</f>
        <v/>
      </c>
      <c r="N347" s="19">
        <f>IF(I347="","",IFERROR(INDEX(ctaMon,MATCH(E347,ctaNom,0))&amp;"","DOP"))</f>
        <v/>
      </c>
      <c r="O347" s="20">
        <f>IF(I347="","",C347*IF(N347="USD",TasaUSD,1))</f>
        <v/>
      </c>
      <c r="P347" s="20">
        <f>IF(I347="","",IF(I347="Gasto",O347,0))</f>
        <v/>
      </c>
      <c r="Q347" s="20">
        <f>IF(I347="","",IF(I347="Ingreso",O347,0))</f>
        <v/>
      </c>
      <c r="R347" s="20">
        <f>IF(I347="","",IF(I347="Trading",O347,0))</f>
        <v/>
      </c>
      <c r="S347" s="19">
        <f>IF(I347="","",IF(AND(I347="Gasto",K347="Variable",J347&lt;&gt;"Trading",O347&gt;0,O347&lt;=Umbral),1,0))</f>
        <v/>
      </c>
      <c r="T347" s="20">
        <f>IF(OR(I347="",E347=""),"",IF(OR(I347="Gasto",I347="Transferencia",I347="Pago tarjeta"),-1,1)*C347)</f>
        <v/>
      </c>
      <c r="U347" s="20">
        <f>IF(OR(G347="",AND(I347&lt;&gt;"Transferencia",I347&lt;&gt;"Pago tarjeta")),"",IF(IFERROR(INDEX(ctaMon,MATCH(G347,ctaNom,0))&amp;"","DOP")=N347,C347,IF(N347="USD",C347*TasaUSD,C347/TasaUSD)))</f>
        <v/>
      </c>
      <c r="V347" s="20">
        <f>IF(I347="","",IF(IFERROR(INDEX(ctaLiq,MATCH(E347,ctaNom,0))="Sí",FALSE),IF(OR(I347="Gasto",I347="Transferencia",I347="Pago tarjeta"),-1,1)*O347,0)+IF(AND(U347&lt;&gt;"",IFERROR(INDEX(ctaLiq,MATCH(G347,ctaNom,0))="Sí",FALSE)),O347,0))</f>
        <v/>
      </c>
      <c r="W347" s="19">
        <f>IF(OR(F347="",I347=""),"",IF(COUNTIFS(F$6:F347,F347,I$6:I347,"?*")=1,MAX(W$5:W346)+1,""))</f>
        <v/>
      </c>
    </row>
    <row r="348">
      <c r="B348" s="15" t="n"/>
      <c r="C348" s="16" t="n"/>
      <c r="D348" s="17" t="n"/>
      <c r="E348" s="17" t="n"/>
      <c r="F348" s="17" t="n"/>
      <c r="G348" s="17" t="n"/>
      <c r="H348" s="18">
        <f>IF(AND(B348="",C348="",D348="",E348=""),"",IF(B348="","⚠ Falta fecha",IF(C348="","⚠ Falta monto",IF(D348="","⚠ Falta categoría",IF(ISNA(MATCH(D348,catNom,0)),"⚠ Categoría no existe",IF(E348="","⚠ Falta cuenta",IF(ISNA(MATCH(E348,ctaNom,0)),"⚠ Cuenta no existe",IF(AND(OR(I348="Transferencia",I348="Pago tarjeta"),G348=""),"⚠ Indica la cuenta «Hacia»",IF(AND(G348&lt;&gt;"",G348=E348),"⚠ «Hacia» igual a la cuenta",IF(AND(G348&lt;&gt;"",ISNA(MATCH(G348,ctaNom,0))),"⚠ «Hacia» no existe",IF(AND(I348="Pago tarjeta",IFERROR(INDEX(ctaTipo,MATCH(G348,ctaNom,0)),"")&lt;&gt;"Tarjeta de crédito"),"⚠ «Hacia» debe ser la tarjeta",IF(AND(I348="Trading",IFERROR(INDEX(ctaTipo,MATCH(E348,ctaNom,0)),"")&lt;&gt;"Cuenta de trading"),"⚠ Usa la cuenta de trading","✓"))))))))))))</f>
        <v/>
      </c>
      <c r="I348" s="19">
        <f>IF(OR(B348="",C348="",D348=""),"",IFERROR(INDEX(catTipo,MATCH(D348,catNom,0))&amp;"",""))</f>
        <v/>
      </c>
      <c r="J348" s="19">
        <f>IF(I348="","",IFERROR(INDEX(catGrupo,MATCH(D348,catNom,0))&amp;"",""))</f>
        <v/>
      </c>
      <c r="K348" s="19">
        <f>IF(I348="Gasto",IF(IFERROR(INDEX(catClas,MATCH(D348,catNom,0))&amp;"","")="","Variable",IFERROR(INDEX(catClas,MATCH(D348,catNom,0))&amp;"","")),"")</f>
        <v/>
      </c>
      <c r="L348" s="19">
        <f>IF(I348="","",IFERROR(INDEX(catAlim,MATCH(D348,catNom,0))&amp;"",""))</f>
        <v/>
      </c>
      <c r="M348" s="19">
        <f>IF(I348="","",IFERROR(INDEX(catComida,MATCH(D348,catNom,0))&amp;"",""))</f>
        <v/>
      </c>
      <c r="N348" s="19">
        <f>IF(I348="","",IFERROR(INDEX(ctaMon,MATCH(E348,ctaNom,0))&amp;"","DOP"))</f>
        <v/>
      </c>
      <c r="O348" s="20">
        <f>IF(I348="","",C348*IF(N348="USD",TasaUSD,1))</f>
        <v/>
      </c>
      <c r="P348" s="20">
        <f>IF(I348="","",IF(I348="Gasto",O348,0))</f>
        <v/>
      </c>
      <c r="Q348" s="20">
        <f>IF(I348="","",IF(I348="Ingreso",O348,0))</f>
        <v/>
      </c>
      <c r="R348" s="20">
        <f>IF(I348="","",IF(I348="Trading",O348,0))</f>
        <v/>
      </c>
      <c r="S348" s="19">
        <f>IF(I348="","",IF(AND(I348="Gasto",K348="Variable",J348&lt;&gt;"Trading",O348&gt;0,O348&lt;=Umbral),1,0))</f>
        <v/>
      </c>
      <c r="T348" s="20">
        <f>IF(OR(I348="",E348=""),"",IF(OR(I348="Gasto",I348="Transferencia",I348="Pago tarjeta"),-1,1)*C348)</f>
        <v/>
      </c>
      <c r="U348" s="20">
        <f>IF(OR(G348="",AND(I348&lt;&gt;"Transferencia",I348&lt;&gt;"Pago tarjeta")),"",IF(IFERROR(INDEX(ctaMon,MATCH(G348,ctaNom,0))&amp;"","DOP")=N348,C348,IF(N348="USD",C348*TasaUSD,C348/TasaUSD)))</f>
        <v/>
      </c>
      <c r="V348" s="20">
        <f>IF(I348="","",IF(IFERROR(INDEX(ctaLiq,MATCH(E348,ctaNom,0))="Sí",FALSE),IF(OR(I348="Gasto",I348="Transferencia",I348="Pago tarjeta"),-1,1)*O348,0)+IF(AND(U348&lt;&gt;"",IFERROR(INDEX(ctaLiq,MATCH(G348,ctaNom,0))="Sí",FALSE)),O348,0))</f>
        <v/>
      </c>
      <c r="W348" s="19">
        <f>IF(OR(F348="",I348=""),"",IF(COUNTIFS(F$6:F348,F348,I$6:I348,"?*")=1,MAX(W$5:W347)+1,""))</f>
        <v/>
      </c>
    </row>
    <row r="349">
      <c r="B349" s="15" t="n"/>
      <c r="C349" s="16" t="n"/>
      <c r="D349" s="17" t="n"/>
      <c r="E349" s="17" t="n"/>
      <c r="F349" s="17" t="n"/>
      <c r="G349" s="17" t="n"/>
      <c r="H349" s="18">
        <f>IF(AND(B349="",C349="",D349="",E349=""),"",IF(B349="","⚠ Falta fecha",IF(C349="","⚠ Falta monto",IF(D349="","⚠ Falta categoría",IF(ISNA(MATCH(D349,catNom,0)),"⚠ Categoría no existe",IF(E349="","⚠ Falta cuenta",IF(ISNA(MATCH(E349,ctaNom,0)),"⚠ Cuenta no existe",IF(AND(OR(I349="Transferencia",I349="Pago tarjeta"),G349=""),"⚠ Indica la cuenta «Hacia»",IF(AND(G349&lt;&gt;"",G349=E349),"⚠ «Hacia» igual a la cuenta",IF(AND(G349&lt;&gt;"",ISNA(MATCH(G349,ctaNom,0))),"⚠ «Hacia» no existe",IF(AND(I349="Pago tarjeta",IFERROR(INDEX(ctaTipo,MATCH(G349,ctaNom,0)),"")&lt;&gt;"Tarjeta de crédito"),"⚠ «Hacia» debe ser la tarjeta",IF(AND(I349="Trading",IFERROR(INDEX(ctaTipo,MATCH(E349,ctaNom,0)),"")&lt;&gt;"Cuenta de trading"),"⚠ Usa la cuenta de trading","✓"))))))))))))</f>
        <v/>
      </c>
      <c r="I349" s="19">
        <f>IF(OR(B349="",C349="",D349=""),"",IFERROR(INDEX(catTipo,MATCH(D349,catNom,0))&amp;"",""))</f>
        <v/>
      </c>
      <c r="J349" s="19">
        <f>IF(I349="","",IFERROR(INDEX(catGrupo,MATCH(D349,catNom,0))&amp;"",""))</f>
        <v/>
      </c>
      <c r="K349" s="19">
        <f>IF(I349="Gasto",IF(IFERROR(INDEX(catClas,MATCH(D349,catNom,0))&amp;"","")="","Variable",IFERROR(INDEX(catClas,MATCH(D349,catNom,0))&amp;"","")),"")</f>
        <v/>
      </c>
      <c r="L349" s="19">
        <f>IF(I349="","",IFERROR(INDEX(catAlim,MATCH(D349,catNom,0))&amp;"",""))</f>
        <v/>
      </c>
      <c r="M349" s="19">
        <f>IF(I349="","",IFERROR(INDEX(catComida,MATCH(D349,catNom,0))&amp;"",""))</f>
        <v/>
      </c>
      <c r="N349" s="19">
        <f>IF(I349="","",IFERROR(INDEX(ctaMon,MATCH(E349,ctaNom,0))&amp;"","DOP"))</f>
        <v/>
      </c>
      <c r="O349" s="20">
        <f>IF(I349="","",C349*IF(N349="USD",TasaUSD,1))</f>
        <v/>
      </c>
      <c r="P349" s="20">
        <f>IF(I349="","",IF(I349="Gasto",O349,0))</f>
        <v/>
      </c>
      <c r="Q349" s="20">
        <f>IF(I349="","",IF(I349="Ingreso",O349,0))</f>
        <v/>
      </c>
      <c r="R349" s="20">
        <f>IF(I349="","",IF(I349="Trading",O349,0))</f>
        <v/>
      </c>
      <c r="S349" s="19">
        <f>IF(I349="","",IF(AND(I349="Gasto",K349="Variable",J349&lt;&gt;"Trading",O349&gt;0,O349&lt;=Umbral),1,0))</f>
        <v/>
      </c>
      <c r="T349" s="20">
        <f>IF(OR(I349="",E349=""),"",IF(OR(I349="Gasto",I349="Transferencia",I349="Pago tarjeta"),-1,1)*C349)</f>
        <v/>
      </c>
      <c r="U349" s="20">
        <f>IF(OR(G349="",AND(I349&lt;&gt;"Transferencia",I349&lt;&gt;"Pago tarjeta")),"",IF(IFERROR(INDEX(ctaMon,MATCH(G349,ctaNom,0))&amp;"","DOP")=N349,C349,IF(N349="USD",C349*TasaUSD,C349/TasaUSD)))</f>
        <v/>
      </c>
      <c r="V349" s="20">
        <f>IF(I349="","",IF(IFERROR(INDEX(ctaLiq,MATCH(E349,ctaNom,0))="Sí",FALSE),IF(OR(I349="Gasto",I349="Transferencia",I349="Pago tarjeta"),-1,1)*O349,0)+IF(AND(U349&lt;&gt;"",IFERROR(INDEX(ctaLiq,MATCH(G349,ctaNom,0))="Sí",FALSE)),O349,0))</f>
        <v/>
      </c>
      <c r="W349" s="19">
        <f>IF(OR(F349="",I349=""),"",IF(COUNTIFS(F$6:F349,F349,I$6:I349,"?*")=1,MAX(W$5:W348)+1,""))</f>
        <v/>
      </c>
    </row>
    <row r="350">
      <c r="B350" s="15" t="n"/>
      <c r="C350" s="16" t="n"/>
      <c r="D350" s="17" t="n"/>
      <c r="E350" s="17" t="n"/>
      <c r="F350" s="17" t="n"/>
      <c r="G350" s="17" t="n"/>
      <c r="H350" s="18">
        <f>IF(AND(B350="",C350="",D350="",E350=""),"",IF(B350="","⚠ Falta fecha",IF(C350="","⚠ Falta monto",IF(D350="","⚠ Falta categoría",IF(ISNA(MATCH(D350,catNom,0)),"⚠ Categoría no existe",IF(E350="","⚠ Falta cuenta",IF(ISNA(MATCH(E350,ctaNom,0)),"⚠ Cuenta no existe",IF(AND(OR(I350="Transferencia",I350="Pago tarjeta"),G350=""),"⚠ Indica la cuenta «Hacia»",IF(AND(G350&lt;&gt;"",G350=E350),"⚠ «Hacia» igual a la cuenta",IF(AND(G350&lt;&gt;"",ISNA(MATCH(G350,ctaNom,0))),"⚠ «Hacia» no existe",IF(AND(I350="Pago tarjeta",IFERROR(INDEX(ctaTipo,MATCH(G350,ctaNom,0)),"")&lt;&gt;"Tarjeta de crédito"),"⚠ «Hacia» debe ser la tarjeta",IF(AND(I350="Trading",IFERROR(INDEX(ctaTipo,MATCH(E350,ctaNom,0)),"")&lt;&gt;"Cuenta de trading"),"⚠ Usa la cuenta de trading","✓"))))))))))))</f>
        <v/>
      </c>
      <c r="I350" s="19">
        <f>IF(OR(B350="",C350="",D350=""),"",IFERROR(INDEX(catTipo,MATCH(D350,catNom,0))&amp;"",""))</f>
        <v/>
      </c>
      <c r="J350" s="19">
        <f>IF(I350="","",IFERROR(INDEX(catGrupo,MATCH(D350,catNom,0))&amp;"",""))</f>
        <v/>
      </c>
      <c r="K350" s="19">
        <f>IF(I350="Gasto",IF(IFERROR(INDEX(catClas,MATCH(D350,catNom,0))&amp;"","")="","Variable",IFERROR(INDEX(catClas,MATCH(D350,catNom,0))&amp;"","")),"")</f>
        <v/>
      </c>
      <c r="L350" s="19">
        <f>IF(I350="","",IFERROR(INDEX(catAlim,MATCH(D350,catNom,0))&amp;"",""))</f>
        <v/>
      </c>
      <c r="M350" s="19">
        <f>IF(I350="","",IFERROR(INDEX(catComida,MATCH(D350,catNom,0))&amp;"",""))</f>
        <v/>
      </c>
      <c r="N350" s="19">
        <f>IF(I350="","",IFERROR(INDEX(ctaMon,MATCH(E350,ctaNom,0))&amp;"","DOP"))</f>
        <v/>
      </c>
      <c r="O350" s="20">
        <f>IF(I350="","",C350*IF(N350="USD",TasaUSD,1))</f>
        <v/>
      </c>
      <c r="P350" s="20">
        <f>IF(I350="","",IF(I350="Gasto",O350,0))</f>
        <v/>
      </c>
      <c r="Q350" s="20">
        <f>IF(I350="","",IF(I350="Ingreso",O350,0))</f>
        <v/>
      </c>
      <c r="R350" s="20">
        <f>IF(I350="","",IF(I350="Trading",O350,0))</f>
        <v/>
      </c>
      <c r="S350" s="19">
        <f>IF(I350="","",IF(AND(I350="Gasto",K350="Variable",J350&lt;&gt;"Trading",O350&gt;0,O350&lt;=Umbral),1,0))</f>
        <v/>
      </c>
      <c r="T350" s="20">
        <f>IF(OR(I350="",E350=""),"",IF(OR(I350="Gasto",I350="Transferencia",I350="Pago tarjeta"),-1,1)*C350)</f>
        <v/>
      </c>
      <c r="U350" s="20">
        <f>IF(OR(G350="",AND(I350&lt;&gt;"Transferencia",I350&lt;&gt;"Pago tarjeta")),"",IF(IFERROR(INDEX(ctaMon,MATCH(G350,ctaNom,0))&amp;"","DOP")=N350,C350,IF(N350="USD",C350*TasaUSD,C350/TasaUSD)))</f>
        <v/>
      </c>
      <c r="V350" s="20">
        <f>IF(I350="","",IF(IFERROR(INDEX(ctaLiq,MATCH(E350,ctaNom,0))="Sí",FALSE),IF(OR(I350="Gasto",I350="Transferencia",I350="Pago tarjeta"),-1,1)*O350,0)+IF(AND(U350&lt;&gt;"",IFERROR(INDEX(ctaLiq,MATCH(G350,ctaNom,0))="Sí",FALSE)),O350,0))</f>
        <v/>
      </c>
      <c r="W350" s="19">
        <f>IF(OR(F350="",I350=""),"",IF(COUNTIFS(F$6:F350,F350,I$6:I350,"?*")=1,MAX(W$5:W349)+1,""))</f>
        <v/>
      </c>
    </row>
    <row r="351">
      <c r="B351" s="15" t="n"/>
      <c r="C351" s="16" t="n"/>
      <c r="D351" s="17" t="n"/>
      <c r="E351" s="17" t="n"/>
      <c r="F351" s="17" t="n"/>
      <c r="G351" s="17" t="n"/>
      <c r="H351" s="18">
        <f>IF(AND(B351="",C351="",D351="",E351=""),"",IF(B351="","⚠ Falta fecha",IF(C351="","⚠ Falta monto",IF(D351="","⚠ Falta categoría",IF(ISNA(MATCH(D351,catNom,0)),"⚠ Categoría no existe",IF(E351="","⚠ Falta cuenta",IF(ISNA(MATCH(E351,ctaNom,0)),"⚠ Cuenta no existe",IF(AND(OR(I351="Transferencia",I351="Pago tarjeta"),G351=""),"⚠ Indica la cuenta «Hacia»",IF(AND(G351&lt;&gt;"",G351=E351),"⚠ «Hacia» igual a la cuenta",IF(AND(G351&lt;&gt;"",ISNA(MATCH(G351,ctaNom,0))),"⚠ «Hacia» no existe",IF(AND(I351="Pago tarjeta",IFERROR(INDEX(ctaTipo,MATCH(G351,ctaNom,0)),"")&lt;&gt;"Tarjeta de crédito"),"⚠ «Hacia» debe ser la tarjeta",IF(AND(I351="Trading",IFERROR(INDEX(ctaTipo,MATCH(E351,ctaNom,0)),"")&lt;&gt;"Cuenta de trading"),"⚠ Usa la cuenta de trading","✓"))))))))))))</f>
        <v/>
      </c>
      <c r="I351" s="19">
        <f>IF(OR(B351="",C351="",D351=""),"",IFERROR(INDEX(catTipo,MATCH(D351,catNom,0))&amp;"",""))</f>
        <v/>
      </c>
      <c r="J351" s="19">
        <f>IF(I351="","",IFERROR(INDEX(catGrupo,MATCH(D351,catNom,0))&amp;"",""))</f>
        <v/>
      </c>
      <c r="K351" s="19">
        <f>IF(I351="Gasto",IF(IFERROR(INDEX(catClas,MATCH(D351,catNom,0))&amp;"","")="","Variable",IFERROR(INDEX(catClas,MATCH(D351,catNom,0))&amp;"","")),"")</f>
        <v/>
      </c>
      <c r="L351" s="19">
        <f>IF(I351="","",IFERROR(INDEX(catAlim,MATCH(D351,catNom,0))&amp;"",""))</f>
        <v/>
      </c>
      <c r="M351" s="19">
        <f>IF(I351="","",IFERROR(INDEX(catComida,MATCH(D351,catNom,0))&amp;"",""))</f>
        <v/>
      </c>
      <c r="N351" s="19">
        <f>IF(I351="","",IFERROR(INDEX(ctaMon,MATCH(E351,ctaNom,0))&amp;"","DOP"))</f>
        <v/>
      </c>
      <c r="O351" s="20">
        <f>IF(I351="","",C351*IF(N351="USD",TasaUSD,1))</f>
        <v/>
      </c>
      <c r="P351" s="20">
        <f>IF(I351="","",IF(I351="Gasto",O351,0))</f>
        <v/>
      </c>
      <c r="Q351" s="20">
        <f>IF(I351="","",IF(I351="Ingreso",O351,0))</f>
        <v/>
      </c>
      <c r="R351" s="20">
        <f>IF(I351="","",IF(I351="Trading",O351,0))</f>
        <v/>
      </c>
      <c r="S351" s="19">
        <f>IF(I351="","",IF(AND(I351="Gasto",K351="Variable",J351&lt;&gt;"Trading",O351&gt;0,O351&lt;=Umbral),1,0))</f>
        <v/>
      </c>
      <c r="T351" s="20">
        <f>IF(OR(I351="",E351=""),"",IF(OR(I351="Gasto",I351="Transferencia",I351="Pago tarjeta"),-1,1)*C351)</f>
        <v/>
      </c>
      <c r="U351" s="20">
        <f>IF(OR(G351="",AND(I351&lt;&gt;"Transferencia",I351&lt;&gt;"Pago tarjeta")),"",IF(IFERROR(INDEX(ctaMon,MATCH(G351,ctaNom,0))&amp;"","DOP")=N351,C351,IF(N351="USD",C351*TasaUSD,C351/TasaUSD)))</f>
        <v/>
      </c>
      <c r="V351" s="20">
        <f>IF(I351="","",IF(IFERROR(INDEX(ctaLiq,MATCH(E351,ctaNom,0))="Sí",FALSE),IF(OR(I351="Gasto",I351="Transferencia",I351="Pago tarjeta"),-1,1)*O351,0)+IF(AND(U351&lt;&gt;"",IFERROR(INDEX(ctaLiq,MATCH(G351,ctaNom,0))="Sí",FALSE)),O351,0))</f>
        <v/>
      </c>
      <c r="W351" s="19">
        <f>IF(OR(F351="",I351=""),"",IF(COUNTIFS(F$6:F351,F351,I$6:I351,"?*")=1,MAX(W$5:W350)+1,""))</f>
        <v/>
      </c>
    </row>
    <row r="352">
      <c r="B352" s="15" t="n"/>
      <c r="C352" s="16" t="n"/>
      <c r="D352" s="17" t="n"/>
      <c r="E352" s="17" t="n"/>
      <c r="F352" s="17" t="n"/>
      <c r="G352" s="17" t="n"/>
      <c r="H352" s="18">
        <f>IF(AND(B352="",C352="",D352="",E352=""),"",IF(B352="","⚠ Falta fecha",IF(C352="","⚠ Falta monto",IF(D352="","⚠ Falta categoría",IF(ISNA(MATCH(D352,catNom,0)),"⚠ Categoría no existe",IF(E352="","⚠ Falta cuenta",IF(ISNA(MATCH(E352,ctaNom,0)),"⚠ Cuenta no existe",IF(AND(OR(I352="Transferencia",I352="Pago tarjeta"),G352=""),"⚠ Indica la cuenta «Hacia»",IF(AND(G352&lt;&gt;"",G352=E352),"⚠ «Hacia» igual a la cuenta",IF(AND(G352&lt;&gt;"",ISNA(MATCH(G352,ctaNom,0))),"⚠ «Hacia» no existe",IF(AND(I352="Pago tarjeta",IFERROR(INDEX(ctaTipo,MATCH(G352,ctaNom,0)),"")&lt;&gt;"Tarjeta de crédito"),"⚠ «Hacia» debe ser la tarjeta",IF(AND(I352="Trading",IFERROR(INDEX(ctaTipo,MATCH(E352,ctaNom,0)),"")&lt;&gt;"Cuenta de trading"),"⚠ Usa la cuenta de trading","✓"))))))))))))</f>
        <v/>
      </c>
      <c r="I352" s="19">
        <f>IF(OR(B352="",C352="",D352=""),"",IFERROR(INDEX(catTipo,MATCH(D352,catNom,0))&amp;"",""))</f>
        <v/>
      </c>
      <c r="J352" s="19">
        <f>IF(I352="","",IFERROR(INDEX(catGrupo,MATCH(D352,catNom,0))&amp;"",""))</f>
        <v/>
      </c>
      <c r="K352" s="19">
        <f>IF(I352="Gasto",IF(IFERROR(INDEX(catClas,MATCH(D352,catNom,0))&amp;"","")="","Variable",IFERROR(INDEX(catClas,MATCH(D352,catNom,0))&amp;"","")),"")</f>
        <v/>
      </c>
      <c r="L352" s="19">
        <f>IF(I352="","",IFERROR(INDEX(catAlim,MATCH(D352,catNom,0))&amp;"",""))</f>
        <v/>
      </c>
      <c r="M352" s="19">
        <f>IF(I352="","",IFERROR(INDEX(catComida,MATCH(D352,catNom,0))&amp;"",""))</f>
        <v/>
      </c>
      <c r="N352" s="19">
        <f>IF(I352="","",IFERROR(INDEX(ctaMon,MATCH(E352,ctaNom,0))&amp;"","DOP"))</f>
        <v/>
      </c>
      <c r="O352" s="20">
        <f>IF(I352="","",C352*IF(N352="USD",TasaUSD,1))</f>
        <v/>
      </c>
      <c r="P352" s="20">
        <f>IF(I352="","",IF(I352="Gasto",O352,0))</f>
        <v/>
      </c>
      <c r="Q352" s="20">
        <f>IF(I352="","",IF(I352="Ingreso",O352,0))</f>
        <v/>
      </c>
      <c r="R352" s="20">
        <f>IF(I352="","",IF(I352="Trading",O352,0))</f>
        <v/>
      </c>
      <c r="S352" s="19">
        <f>IF(I352="","",IF(AND(I352="Gasto",K352="Variable",J352&lt;&gt;"Trading",O352&gt;0,O352&lt;=Umbral),1,0))</f>
        <v/>
      </c>
      <c r="T352" s="20">
        <f>IF(OR(I352="",E352=""),"",IF(OR(I352="Gasto",I352="Transferencia",I352="Pago tarjeta"),-1,1)*C352)</f>
        <v/>
      </c>
      <c r="U352" s="20">
        <f>IF(OR(G352="",AND(I352&lt;&gt;"Transferencia",I352&lt;&gt;"Pago tarjeta")),"",IF(IFERROR(INDEX(ctaMon,MATCH(G352,ctaNom,0))&amp;"","DOP")=N352,C352,IF(N352="USD",C352*TasaUSD,C352/TasaUSD)))</f>
        <v/>
      </c>
      <c r="V352" s="20">
        <f>IF(I352="","",IF(IFERROR(INDEX(ctaLiq,MATCH(E352,ctaNom,0))="Sí",FALSE),IF(OR(I352="Gasto",I352="Transferencia",I352="Pago tarjeta"),-1,1)*O352,0)+IF(AND(U352&lt;&gt;"",IFERROR(INDEX(ctaLiq,MATCH(G352,ctaNom,0))="Sí",FALSE)),O352,0))</f>
        <v/>
      </c>
      <c r="W352" s="19">
        <f>IF(OR(F352="",I352=""),"",IF(COUNTIFS(F$6:F352,F352,I$6:I352,"?*")=1,MAX(W$5:W351)+1,""))</f>
        <v/>
      </c>
    </row>
    <row r="353">
      <c r="B353" s="15" t="n"/>
      <c r="C353" s="16" t="n"/>
      <c r="D353" s="17" t="n"/>
      <c r="E353" s="17" t="n"/>
      <c r="F353" s="17" t="n"/>
      <c r="G353" s="17" t="n"/>
      <c r="H353" s="18">
        <f>IF(AND(B353="",C353="",D353="",E353=""),"",IF(B353="","⚠ Falta fecha",IF(C353="","⚠ Falta monto",IF(D353="","⚠ Falta categoría",IF(ISNA(MATCH(D353,catNom,0)),"⚠ Categoría no existe",IF(E353="","⚠ Falta cuenta",IF(ISNA(MATCH(E353,ctaNom,0)),"⚠ Cuenta no existe",IF(AND(OR(I353="Transferencia",I353="Pago tarjeta"),G353=""),"⚠ Indica la cuenta «Hacia»",IF(AND(G353&lt;&gt;"",G353=E353),"⚠ «Hacia» igual a la cuenta",IF(AND(G353&lt;&gt;"",ISNA(MATCH(G353,ctaNom,0))),"⚠ «Hacia» no existe",IF(AND(I353="Pago tarjeta",IFERROR(INDEX(ctaTipo,MATCH(G353,ctaNom,0)),"")&lt;&gt;"Tarjeta de crédito"),"⚠ «Hacia» debe ser la tarjeta",IF(AND(I353="Trading",IFERROR(INDEX(ctaTipo,MATCH(E353,ctaNom,0)),"")&lt;&gt;"Cuenta de trading"),"⚠ Usa la cuenta de trading","✓"))))))))))))</f>
        <v/>
      </c>
      <c r="I353" s="19">
        <f>IF(OR(B353="",C353="",D353=""),"",IFERROR(INDEX(catTipo,MATCH(D353,catNom,0))&amp;"",""))</f>
        <v/>
      </c>
      <c r="J353" s="19">
        <f>IF(I353="","",IFERROR(INDEX(catGrupo,MATCH(D353,catNom,0))&amp;"",""))</f>
        <v/>
      </c>
      <c r="K353" s="19">
        <f>IF(I353="Gasto",IF(IFERROR(INDEX(catClas,MATCH(D353,catNom,0))&amp;"","")="","Variable",IFERROR(INDEX(catClas,MATCH(D353,catNom,0))&amp;"","")),"")</f>
        <v/>
      </c>
      <c r="L353" s="19">
        <f>IF(I353="","",IFERROR(INDEX(catAlim,MATCH(D353,catNom,0))&amp;"",""))</f>
        <v/>
      </c>
      <c r="M353" s="19">
        <f>IF(I353="","",IFERROR(INDEX(catComida,MATCH(D353,catNom,0))&amp;"",""))</f>
        <v/>
      </c>
      <c r="N353" s="19">
        <f>IF(I353="","",IFERROR(INDEX(ctaMon,MATCH(E353,ctaNom,0))&amp;"","DOP"))</f>
        <v/>
      </c>
      <c r="O353" s="20">
        <f>IF(I353="","",C353*IF(N353="USD",TasaUSD,1))</f>
        <v/>
      </c>
      <c r="P353" s="20">
        <f>IF(I353="","",IF(I353="Gasto",O353,0))</f>
        <v/>
      </c>
      <c r="Q353" s="20">
        <f>IF(I353="","",IF(I353="Ingreso",O353,0))</f>
        <v/>
      </c>
      <c r="R353" s="20">
        <f>IF(I353="","",IF(I353="Trading",O353,0))</f>
        <v/>
      </c>
      <c r="S353" s="19">
        <f>IF(I353="","",IF(AND(I353="Gasto",K353="Variable",J353&lt;&gt;"Trading",O353&gt;0,O353&lt;=Umbral),1,0))</f>
        <v/>
      </c>
      <c r="T353" s="20">
        <f>IF(OR(I353="",E353=""),"",IF(OR(I353="Gasto",I353="Transferencia",I353="Pago tarjeta"),-1,1)*C353)</f>
        <v/>
      </c>
      <c r="U353" s="20">
        <f>IF(OR(G353="",AND(I353&lt;&gt;"Transferencia",I353&lt;&gt;"Pago tarjeta")),"",IF(IFERROR(INDEX(ctaMon,MATCH(G353,ctaNom,0))&amp;"","DOP")=N353,C353,IF(N353="USD",C353*TasaUSD,C353/TasaUSD)))</f>
        <v/>
      </c>
      <c r="V353" s="20">
        <f>IF(I353="","",IF(IFERROR(INDEX(ctaLiq,MATCH(E353,ctaNom,0))="Sí",FALSE),IF(OR(I353="Gasto",I353="Transferencia",I353="Pago tarjeta"),-1,1)*O353,0)+IF(AND(U353&lt;&gt;"",IFERROR(INDEX(ctaLiq,MATCH(G353,ctaNom,0))="Sí",FALSE)),O353,0))</f>
        <v/>
      </c>
      <c r="W353" s="19">
        <f>IF(OR(F353="",I353=""),"",IF(COUNTIFS(F$6:F353,F353,I$6:I353,"?*")=1,MAX(W$5:W352)+1,""))</f>
        <v/>
      </c>
    </row>
    <row r="354">
      <c r="B354" s="15" t="n"/>
      <c r="C354" s="16" t="n"/>
      <c r="D354" s="17" t="n"/>
      <c r="E354" s="17" t="n"/>
      <c r="F354" s="17" t="n"/>
      <c r="G354" s="17" t="n"/>
      <c r="H354" s="18">
        <f>IF(AND(B354="",C354="",D354="",E354=""),"",IF(B354="","⚠ Falta fecha",IF(C354="","⚠ Falta monto",IF(D354="","⚠ Falta categoría",IF(ISNA(MATCH(D354,catNom,0)),"⚠ Categoría no existe",IF(E354="","⚠ Falta cuenta",IF(ISNA(MATCH(E354,ctaNom,0)),"⚠ Cuenta no existe",IF(AND(OR(I354="Transferencia",I354="Pago tarjeta"),G354=""),"⚠ Indica la cuenta «Hacia»",IF(AND(G354&lt;&gt;"",G354=E354),"⚠ «Hacia» igual a la cuenta",IF(AND(G354&lt;&gt;"",ISNA(MATCH(G354,ctaNom,0))),"⚠ «Hacia» no existe",IF(AND(I354="Pago tarjeta",IFERROR(INDEX(ctaTipo,MATCH(G354,ctaNom,0)),"")&lt;&gt;"Tarjeta de crédito"),"⚠ «Hacia» debe ser la tarjeta",IF(AND(I354="Trading",IFERROR(INDEX(ctaTipo,MATCH(E354,ctaNom,0)),"")&lt;&gt;"Cuenta de trading"),"⚠ Usa la cuenta de trading","✓"))))))))))))</f>
        <v/>
      </c>
      <c r="I354" s="19">
        <f>IF(OR(B354="",C354="",D354=""),"",IFERROR(INDEX(catTipo,MATCH(D354,catNom,0))&amp;"",""))</f>
        <v/>
      </c>
      <c r="J354" s="19">
        <f>IF(I354="","",IFERROR(INDEX(catGrupo,MATCH(D354,catNom,0))&amp;"",""))</f>
        <v/>
      </c>
      <c r="K354" s="19">
        <f>IF(I354="Gasto",IF(IFERROR(INDEX(catClas,MATCH(D354,catNom,0))&amp;"","")="","Variable",IFERROR(INDEX(catClas,MATCH(D354,catNom,0))&amp;"","")),"")</f>
        <v/>
      </c>
      <c r="L354" s="19">
        <f>IF(I354="","",IFERROR(INDEX(catAlim,MATCH(D354,catNom,0))&amp;"",""))</f>
        <v/>
      </c>
      <c r="M354" s="19">
        <f>IF(I354="","",IFERROR(INDEX(catComida,MATCH(D354,catNom,0))&amp;"",""))</f>
        <v/>
      </c>
      <c r="N354" s="19">
        <f>IF(I354="","",IFERROR(INDEX(ctaMon,MATCH(E354,ctaNom,0))&amp;"","DOP"))</f>
        <v/>
      </c>
      <c r="O354" s="20">
        <f>IF(I354="","",C354*IF(N354="USD",TasaUSD,1))</f>
        <v/>
      </c>
      <c r="P354" s="20">
        <f>IF(I354="","",IF(I354="Gasto",O354,0))</f>
        <v/>
      </c>
      <c r="Q354" s="20">
        <f>IF(I354="","",IF(I354="Ingreso",O354,0))</f>
        <v/>
      </c>
      <c r="R354" s="20">
        <f>IF(I354="","",IF(I354="Trading",O354,0))</f>
        <v/>
      </c>
      <c r="S354" s="19">
        <f>IF(I354="","",IF(AND(I354="Gasto",K354="Variable",J354&lt;&gt;"Trading",O354&gt;0,O354&lt;=Umbral),1,0))</f>
        <v/>
      </c>
      <c r="T354" s="20">
        <f>IF(OR(I354="",E354=""),"",IF(OR(I354="Gasto",I354="Transferencia",I354="Pago tarjeta"),-1,1)*C354)</f>
        <v/>
      </c>
      <c r="U354" s="20">
        <f>IF(OR(G354="",AND(I354&lt;&gt;"Transferencia",I354&lt;&gt;"Pago tarjeta")),"",IF(IFERROR(INDEX(ctaMon,MATCH(G354,ctaNom,0))&amp;"","DOP")=N354,C354,IF(N354="USD",C354*TasaUSD,C354/TasaUSD)))</f>
        <v/>
      </c>
      <c r="V354" s="20">
        <f>IF(I354="","",IF(IFERROR(INDEX(ctaLiq,MATCH(E354,ctaNom,0))="Sí",FALSE),IF(OR(I354="Gasto",I354="Transferencia",I354="Pago tarjeta"),-1,1)*O354,0)+IF(AND(U354&lt;&gt;"",IFERROR(INDEX(ctaLiq,MATCH(G354,ctaNom,0))="Sí",FALSE)),O354,0))</f>
        <v/>
      </c>
      <c r="W354" s="19">
        <f>IF(OR(F354="",I354=""),"",IF(COUNTIFS(F$6:F354,F354,I$6:I354,"?*")=1,MAX(W$5:W353)+1,""))</f>
        <v/>
      </c>
    </row>
    <row r="355">
      <c r="B355" s="15" t="n"/>
      <c r="C355" s="16" t="n"/>
      <c r="D355" s="17" t="n"/>
      <c r="E355" s="17" t="n"/>
      <c r="F355" s="17" t="n"/>
      <c r="G355" s="17" t="n"/>
      <c r="H355" s="18">
        <f>IF(AND(B355="",C355="",D355="",E355=""),"",IF(B355="","⚠ Falta fecha",IF(C355="","⚠ Falta monto",IF(D355="","⚠ Falta categoría",IF(ISNA(MATCH(D355,catNom,0)),"⚠ Categoría no existe",IF(E355="","⚠ Falta cuenta",IF(ISNA(MATCH(E355,ctaNom,0)),"⚠ Cuenta no existe",IF(AND(OR(I355="Transferencia",I355="Pago tarjeta"),G355=""),"⚠ Indica la cuenta «Hacia»",IF(AND(G355&lt;&gt;"",G355=E355),"⚠ «Hacia» igual a la cuenta",IF(AND(G355&lt;&gt;"",ISNA(MATCH(G355,ctaNom,0))),"⚠ «Hacia» no existe",IF(AND(I355="Pago tarjeta",IFERROR(INDEX(ctaTipo,MATCH(G355,ctaNom,0)),"")&lt;&gt;"Tarjeta de crédito"),"⚠ «Hacia» debe ser la tarjeta",IF(AND(I355="Trading",IFERROR(INDEX(ctaTipo,MATCH(E355,ctaNom,0)),"")&lt;&gt;"Cuenta de trading"),"⚠ Usa la cuenta de trading","✓"))))))))))))</f>
        <v/>
      </c>
      <c r="I355" s="19">
        <f>IF(OR(B355="",C355="",D355=""),"",IFERROR(INDEX(catTipo,MATCH(D355,catNom,0))&amp;"",""))</f>
        <v/>
      </c>
      <c r="J355" s="19">
        <f>IF(I355="","",IFERROR(INDEX(catGrupo,MATCH(D355,catNom,0))&amp;"",""))</f>
        <v/>
      </c>
      <c r="K355" s="19">
        <f>IF(I355="Gasto",IF(IFERROR(INDEX(catClas,MATCH(D355,catNom,0))&amp;"","")="","Variable",IFERROR(INDEX(catClas,MATCH(D355,catNom,0))&amp;"","")),"")</f>
        <v/>
      </c>
      <c r="L355" s="19">
        <f>IF(I355="","",IFERROR(INDEX(catAlim,MATCH(D355,catNom,0))&amp;"",""))</f>
        <v/>
      </c>
      <c r="M355" s="19">
        <f>IF(I355="","",IFERROR(INDEX(catComida,MATCH(D355,catNom,0))&amp;"",""))</f>
        <v/>
      </c>
      <c r="N355" s="19">
        <f>IF(I355="","",IFERROR(INDEX(ctaMon,MATCH(E355,ctaNom,0))&amp;"","DOP"))</f>
        <v/>
      </c>
      <c r="O355" s="20">
        <f>IF(I355="","",C355*IF(N355="USD",TasaUSD,1))</f>
        <v/>
      </c>
      <c r="P355" s="20">
        <f>IF(I355="","",IF(I355="Gasto",O355,0))</f>
        <v/>
      </c>
      <c r="Q355" s="20">
        <f>IF(I355="","",IF(I355="Ingreso",O355,0))</f>
        <v/>
      </c>
      <c r="R355" s="20">
        <f>IF(I355="","",IF(I355="Trading",O355,0))</f>
        <v/>
      </c>
      <c r="S355" s="19">
        <f>IF(I355="","",IF(AND(I355="Gasto",K355="Variable",J355&lt;&gt;"Trading",O355&gt;0,O355&lt;=Umbral),1,0))</f>
        <v/>
      </c>
      <c r="T355" s="20">
        <f>IF(OR(I355="",E355=""),"",IF(OR(I355="Gasto",I355="Transferencia",I355="Pago tarjeta"),-1,1)*C355)</f>
        <v/>
      </c>
      <c r="U355" s="20">
        <f>IF(OR(G355="",AND(I355&lt;&gt;"Transferencia",I355&lt;&gt;"Pago tarjeta")),"",IF(IFERROR(INDEX(ctaMon,MATCH(G355,ctaNom,0))&amp;"","DOP")=N355,C355,IF(N355="USD",C355*TasaUSD,C355/TasaUSD)))</f>
        <v/>
      </c>
      <c r="V355" s="20">
        <f>IF(I355="","",IF(IFERROR(INDEX(ctaLiq,MATCH(E355,ctaNom,0))="Sí",FALSE),IF(OR(I355="Gasto",I355="Transferencia",I355="Pago tarjeta"),-1,1)*O355,0)+IF(AND(U355&lt;&gt;"",IFERROR(INDEX(ctaLiq,MATCH(G355,ctaNom,0))="Sí",FALSE)),O355,0))</f>
        <v/>
      </c>
      <c r="W355" s="19">
        <f>IF(OR(F355="",I355=""),"",IF(COUNTIFS(F$6:F355,F355,I$6:I355,"?*")=1,MAX(W$5:W354)+1,""))</f>
        <v/>
      </c>
    </row>
    <row r="356">
      <c r="B356" s="15" t="n"/>
      <c r="C356" s="16" t="n"/>
      <c r="D356" s="17" t="n"/>
      <c r="E356" s="17" t="n"/>
      <c r="F356" s="17" t="n"/>
      <c r="G356" s="17" t="n"/>
      <c r="H356" s="18">
        <f>IF(AND(B356="",C356="",D356="",E356=""),"",IF(B356="","⚠ Falta fecha",IF(C356="","⚠ Falta monto",IF(D356="","⚠ Falta categoría",IF(ISNA(MATCH(D356,catNom,0)),"⚠ Categoría no existe",IF(E356="","⚠ Falta cuenta",IF(ISNA(MATCH(E356,ctaNom,0)),"⚠ Cuenta no existe",IF(AND(OR(I356="Transferencia",I356="Pago tarjeta"),G356=""),"⚠ Indica la cuenta «Hacia»",IF(AND(G356&lt;&gt;"",G356=E356),"⚠ «Hacia» igual a la cuenta",IF(AND(G356&lt;&gt;"",ISNA(MATCH(G356,ctaNom,0))),"⚠ «Hacia» no existe",IF(AND(I356="Pago tarjeta",IFERROR(INDEX(ctaTipo,MATCH(G356,ctaNom,0)),"")&lt;&gt;"Tarjeta de crédito"),"⚠ «Hacia» debe ser la tarjeta",IF(AND(I356="Trading",IFERROR(INDEX(ctaTipo,MATCH(E356,ctaNom,0)),"")&lt;&gt;"Cuenta de trading"),"⚠ Usa la cuenta de trading","✓"))))))))))))</f>
        <v/>
      </c>
      <c r="I356" s="19">
        <f>IF(OR(B356="",C356="",D356=""),"",IFERROR(INDEX(catTipo,MATCH(D356,catNom,0))&amp;"",""))</f>
        <v/>
      </c>
      <c r="J356" s="19">
        <f>IF(I356="","",IFERROR(INDEX(catGrupo,MATCH(D356,catNom,0))&amp;"",""))</f>
        <v/>
      </c>
      <c r="K356" s="19">
        <f>IF(I356="Gasto",IF(IFERROR(INDEX(catClas,MATCH(D356,catNom,0))&amp;"","")="","Variable",IFERROR(INDEX(catClas,MATCH(D356,catNom,0))&amp;"","")),"")</f>
        <v/>
      </c>
      <c r="L356" s="19">
        <f>IF(I356="","",IFERROR(INDEX(catAlim,MATCH(D356,catNom,0))&amp;"",""))</f>
        <v/>
      </c>
      <c r="M356" s="19">
        <f>IF(I356="","",IFERROR(INDEX(catComida,MATCH(D356,catNom,0))&amp;"",""))</f>
        <v/>
      </c>
      <c r="N356" s="19">
        <f>IF(I356="","",IFERROR(INDEX(ctaMon,MATCH(E356,ctaNom,0))&amp;"","DOP"))</f>
        <v/>
      </c>
      <c r="O356" s="20">
        <f>IF(I356="","",C356*IF(N356="USD",TasaUSD,1))</f>
        <v/>
      </c>
      <c r="P356" s="20">
        <f>IF(I356="","",IF(I356="Gasto",O356,0))</f>
        <v/>
      </c>
      <c r="Q356" s="20">
        <f>IF(I356="","",IF(I356="Ingreso",O356,0))</f>
        <v/>
      </c>
      <c r="R356" s="20">
        <f>IF(I356="","",IF(I356="Trading",O356,0))</f>
        <v/>
      </c>
      <c r="S356" s="19">
        <f>IF(I356="","",IF(AND(I356="Gasto",K356="Variable",J356&lt;&gt;"Trading",O356&gt;0,O356&lt;=Umbral),1,0))</f>
        <v/>
      </c>
      <c r="T356" s="20">
        <f>IF(OR(I356="",E356=""),"",IF(OR(I356="Gasto",I356="Transferencia",I356="Pago tarjeta"),-1,1)*C356)</f>
        <v/>
      </c>
      <c r="U356" s="20">
        <f>IF(OR(G356="",AND(I356&lt;&gt;"Transferencia",I356&lt;&gt;"Pago tarjeta")),"",IF(IFERROR(INDEX(ctaMon,MATCH(G356,ctaNom,0))&amp;"","DOP")=N356,C356,IF(N356="USD",C356*TasaUSD,C356/TasaUSD)))</f>
        <v/>
      </c>
      <c r="V356" s="20">
        <f>IF(I356="","",IF(IFERROR(INDEX(ctaLiq,MATCH(E356,ctaNom,0))="Sí",FALSE),IF(OR(I356="Gasto",I356="Transferencia",I356="Pago tarjeta"),-1,1)*O356,0)+IF(AND(U356&lt;&gt;"",IFERROR(INDEX(ctaLiq,MATCH(G356,ctaNom,0))="Sí",FALSE)),O356,0))</f>
        <v/>
      </c>
      <c r="W356" s="19">
        <f>IF(OR(F356="",I356=""),"",IF(COUNTIFS(F$6:F356,F356,I$6:I356,"?*")=1,MAX(W$5:W355)+1,""))</f>
        <v/>
      </c>
    </row>
    <row r="357">
      <c r="B357" s="15" t="n"/>
      <c r="C357" s="16" t="n"/>
      <c r="D357" s="17" t="n"/>
      <c r="E357" s="17" t="n"/>
      <c r="F357" s="17" t="n"/>
      <c r="G357" s="17" t="n"/>
      <c r="H357" s="18">
        <f>IF(AND(B357="",C357="",D357="",E357=""),"",IF(B357="","⚠ Falta fecha",IF(C357="","⚠ Falta monto",IF(D357="","⚠ Falta categoría",IF(ISNA(MATCH(D357,catNom,0)),"⚠ Categoría no existe",IF(E357="","⚠ Falta cuenta",IF(ISNA(MATCH(E357,ctaNom,0)),"⚠ Cuenta no existe",IF(AND(OR(I357="Transferencia",I357="Pago tarjeta"),G357=""),"⚠ Indica la cuenta «Hacia»",IF(AND(G357&lt;&gt;"",G357=E357),"⚠ «Hacia» igual a la cuenta",IF(AND(G357&lt;&gt;"",ISNA(MATCH(G357,ctaNom,0))),"⚠ «Hacia» no existe",IF(AND(I357="Pago tarjeta",IFERROR(INDEX(ctaTipo,MATCH(G357,ctaNom,0)),"")&lt;&gt;"Tarjeta de crédito"),"⚠ «Hacia» debe ser la tarjeta",IF(AND(I357="Trading",IFERROR(INDEX(ctaTipo,MATCH(E357,ctaNom,0)),"")&lt;&gt;"Cuenta de trading"),"⚠ Usa la cuenta de trading","✓"))))))))))))</f>
        <v/>
      </c>
      <c r="I357" s="19">
        <f>IF(OR(B357="",C357="",D357=""),"",IFERROR(INDEX(catTipo,MATCH(D357,catNom,0))&amp;"",""))</f>
        <v/>
      </c>
      <c r="J357" s="19">
        <f>IF(I357="","",IFERROR(INDEX(catGrupo,MATCH(D357,catNom,0))&amp;"",""))</f>
        <v/>
      </c>
      <c r="K357" s="19">
        <f>IF(I357="Gasto",IF(IFERROR(INDEX(catClas,MATCH(D357,catNom,0))&amp;"","")="","Variable",IFERROR(INDEX(catClas,MATCH(D357,catNom,0))&amp;"","")),"")</f>
        <v/>
      </c>
      <c r="L357" s="19">
        <f>IF(I357="","",IFERROR(INDEX(catAlim,MATCH(D357,catNom,0))&amp;"",""))</f>
        <v/>
      </c>
      <c r="M357" s="19">
        <f>IF(I357="","",IFERROR(INDEX(catComida,MATCH(D357,catNom,0))&amp;"",""))</f>
        <v/>
      </c>
      <c r="N357" s="19">
        <f>IF(I357="","",IFERROR(INDEX(ctaMon,MATCH(E357,ctaNom,0))&amp;"","DOP"))</f>
        <v/>
      </c>
      <c r="O357" s="20">
        <f>IF(I357="","",C357*IF(N357="USD",TasaUSD,1))</f>
        <v/>
      </c>
      <c r="P357" s="20">
        <f>IF(I357="","",IF(I357="Gasto",O357,0))</f>
        <v/>
      </c>
      <c r="Q357" s="20">
        <f>IF(I357="","",IF(I357="Ingreso",O357,0))</f>
        <v/>
      </c>
      <c r="R357" s="20">
        <f>IF(I357="","",IF(I357="Trading",O357,0))</f>
        <v/>
      </c>
      <c r="S357" s="19">
        <f>IF(I357="","",IF(AND(I357="Gasto",K357="Variable",J357&lt;&gt;"Trading",O357&gt;0,O357&lt;=Umbral),1,0))</f>
        <v/>
      </c>
      <c r="T357" s="20">
        <f>IF(OR(I357="",E357=""),"",IF(OR(I357="Gasto",I357="Transferencia",I357="Pago tarjeta"),-1,1)*C357)</f>
        <v/>
      </c>
      <c r="U357" s="20">
        <f>IF(OR(G357="",AND(I357&lt;&gt;"Transferencia",I357&lt;&gt;"Pago tarjeta")),"",IF(IFERROR(INDEX(ctaMon,MATCH(G357,ctaNom,0))&amp;"","DOP")=N357,C357,IF(N357="USD",C357*TasaUSD,C357/TasaUSD)))</f>
        <v/>
      </c>
      <c r="V357" s="20">
        <f>IF(I357="","",IF(IFERROR(INDEX(ctaLiq,MATCH(E357,ctaNom,0))="Sí",FALSE),IF(OR(I357="Gasto",I357="Transferencia",I357="Pago tarjeta"),-1,1)*O357,0)+IF(AND(U357&lt;&gt;"",IFERROR(INDEX(ctaLiq,MATCH(G357,ctaNom,0))="Sí",FALSE)),O357,0))</f>
        <v/>
      </c>
      <c r="W357" s="19">
        <f>IF(OR(F357="",I357=""),"",IF(COUNTIFS(F$6:F357,F357,I$6:I357,"?*")=1,MAX(W$5:W356)+1,""))</f>
        <v/>
      </c>
    </row>
    <row r="358">
      <c r="B358" s="15" t="n"/>
      <c r="C358" s="16" t="n"/>
      <c r="D358" s="17" t="n"/>
      <c r="E358" s="17" t="n"/>
      <c r="F358" s="17" t="n"/>
      <c r="G358" s="17" t="n"/>
      <c r="H358" s="18">
        <f>IF(AND(B358="",C358="",D358="",E358=""),"",IF(B358="","⚠ Falta fecha",IF(C358="","⚠ Falta monto",IF(D358="","⚠ Falta categoría",IF(ISNA(MATCH(D358,catNom,0)),"⚠ Categoría no existe",IF(E358="","⚠ Falta cuenta",IF(ISNA(MATCH(E358,ctaNom,0)),"⚠ Cuenta no existe",IF(AND(OR(I358="Transferencia",I358="Pago tarjeta"),G358=""),"⚠ Indica la cuenta «Hacia»",IF(AND(G358&lt;&gt;"",G358=E358),"⚠ «Hacia» igual a la cuenta",IF(AND(G358&lt;&gt;"",ISNA(MATCH(G358,ctaNom,0))),"⚠ «Hacia» no existe",IF(AND(I358="Pago tarjeta",IFERROR(INDEX(ctaTipo,MATCH(G358,ctaNom,0)),"")&lt;&gt;"Tarjeta de crédito"),"⚠ «Hacia» debe ser la tarjeta",IF(AND(I358="Trading",IFERROR(INDEX(ctaTipo,MATCH(E358,ctaNom,0)),"")&lt;&gt;"Cuenta de trading"),"⚠ Usa la cuenta de trading","✓"))))))))))))</f>
        <v/>
      </c>
      <c r="I358" s="19">
        <f>IF(OR(B358="",C358="",D358=""),"",IFERROR(INDEX(catTipo,MATCH(D358,catNom,0))&amp;"",""))</f>
        <v/>
      </c>
      <c r="J358" s="19">
        <f>IF(I358="","",IFERROR(INDEX(catGrupo,MATCH(D358,catNom,0))&amp;"",""))</f>
        <v/>
      </c>
      <c r="K358" s="19">
        <f>IF(I358="Gasto",IF(IFERROR(INDEX(catClas,MATCH(D358,catNom,0))&amp;"","")="","Variable",IFERROR(INDEX(catClas,MATCH(D358,catNom,0))&amp;"","")),"")</f>
        <v/>
      </c>
      <c r="L358" s="19">
        <f>IF(I358="","",IFERROR(INDEX(catAlim,MATCH(D358,catNom,0))&amp;"",""))</f>
        <v/>
      </c>
      <c r="M358" s="19">
        <f>IF(I358="","",IFERROR(INDEX(catComida,MATCH(D358,catNom,0))&amp;"",""))</f>
        <v/>
      </c>
      <c r="N358" s="19">
        <f>IF(I358="","",IFERROR(INDEX(ctaMon,MATCH(E358,ctaNom,0))&amp;"","DOP"))</f>
        <v/>
      </c>
      <c r="O358" s="20">
        <f>IF(I358="","",C358*IF(N358="USD",TasaUSD,1))</f>
        <v/>
      </c>
      <c r="P358" s="20">
        <f>IF(I358="","",IF(I358="Gasto",O358,0))</f>
        <v/>
      </c>
      <c r="Q358" s="20">
        <f>IF(I358="","",IF(I358="Ingreso",O358,0))</f>
        <v/>
      </c>
      <c r="R358" s="20">
        <f>IF(I358="","",IF(I358="Trading",O358,0))</f>
        <v/>
      </c>
      <c r="S358" s="19">
        <f>IF(I358="","",IF(AND(I358="Gasto",K358="Variable",J358&lt;&gt;"Trading",O358&gt;0,O358&lt;=Umbral),1,0))</f>
        <v/>
      </c>
      <c r="T358" s="20">
        <f>IF(OR(I358="",E358=""),"",IF(OR(I358="Gasto",I358="Transferencia",I358="Pago tarjeta"),-1,1)*C358)</f>
        <v/>
      </c>
      <c r="U358" s="20">
        <f>IF(OR(G358="",AND(I358&lt;&gt;"Transferencia",I358&lt;&gt;"Pago tarjeta")),"",IF(IFERROR(INDEX(ctaMon,MATCH(G358,ctaNom,0))&amp;"","DOP")=N358,C358,IF(N358="USD",C358*TasaUSD,C358/TasaUSD)))</f>
        <v/>
      </c>
      <c r="V358" s="20">
        <f>IF(I358="","",IF(IFERROR(INDEX(ctaLiq,MATCH(E358,ctaNom,0))="Sí",FALSE),IF(OR(I358="Gasto",I358="Transferencia",I358="Pago tarjeta"),-1,1)*O358,0)+IF(AND(U358&lt;&gt;"",IFERROR(INDEX(ctaLiq,MATCH(G358,ctaNom,0))="Sí",FALSE)),O358,0))</f>
        <v/>
      </c>
      <c r="W358" s="19">
        <f>IF(OR(F358="",I358=""),"",IF(COUNTIFS(F$6:F358,F358,I$6:I358,"?*")=1,MAX(W$5:W357)+1,""))</f>
        <v/>
      </c>
    </row>
    <row r="359">
      <c r="B359" s="15" t="n"/>
      <c r="C359" s="16" t="n"/>
      <c r="D359" s="17" t="n"/>
      <c r="E359" s="17" t="n"/>
      <c r="F359" s="17" t="n"/>
      <c r="G359" s="17" t="n"/>
      <c r="H359" s="18">
        <f>IF(AND(B359="",C359="",D359="",E359=""),"",IF(B359="","⚠ Falta fecha",IF(C359="","⚠ Falta monto",IF(D359="","⚠ Falta categoría",IF(ISNA(MATCH(D359,catNom,0)),"⚠ Categoría no existe",IF(E359="","⚠ Falta cuenta",IF(ISNA(MATCH(E359,ctaNom,0)),"⚠ Cuenta no existe",IF(AND(OR(I359="Transferencia",I359="Pago tarjeta"),G359=""),"⚠ Indica la cuenta «Hacia»",IF(AND(G359&lt;&gt;"",G359=E359),"⚠ «Hacia» igual a la cuenta",IF(AND(G359&lt;&gt;"",ISNA(MATCH(G359,ctaNom,0))),"⚠ «Hacia» no existe",IF(AND(I359="Pago tarjeta",IFERROR(INDEX(ctaTipo,MATCH(G359,ctaNom,0)),"")&lt;&gt;"Tarjeta de crédito"),"⚠ «Hacia» debe ser la tarjeta",IF(AND(I359="Trading",IFERROR(INDEX(ctaTipo,MATCH(E359,ctaNom,0)),"")&lt;&gt;"Cuenta de trading"),"⚠ Usa la cuenta de trading","✓"))))))))))))</f>
        <v/>
      </c>
      <c r="I359" s="19">
        <f>IF(OR(B359="",C359="",D359=""),"",IFERROR(INDEX(catTipo,MATCH(D359,catNom,0))&amp;"",""))</f>
        <v/>
      </c>
      <c r="J359" s="19">
        <f>IF(I359="","",IFERROR(INDEX(catGrupo,MATCH(D359,catNom,0))&amp;"",""))</f>
        <v/>
      </c>
      <c r="K359" s="19">
        <f>IF(I359="Gasto",IF(IFERROR(INDEX(catClas,MATCH(D359,catNom,0))&amp;"","")="","Variable",IFERROR(INDEX(catClas,MATCH(D359,catNom,0))&amp;"","")),"")</f>
        <v/>
      </c>
      <c r="L359" s="19">
        <f>IF(I359="","",IFERROR(INDEX(catAlim,MATCH(D359,catNom,0))&amp;"",""))</f>
        <v/>
      </c>
      <c r="M359" s="19">
        <f>IF(I359="","",IFERROR(INDEX(catComida,MATCH(D359,catNom,0))&amp;"",""))</f>
        <v/>
      </c>
      <c r="N359" s="19">
        <f>IF(I359="","",IFERROR(INDEX(ctaMon,MATCH(E359,ctaNom,0))&amp;"","DOP"))</f>
        <v/>
      </c>
      <c r="O359" s="20">
        <f>IF(I359="","",C359*IF(N359="USD",TasaUSD,1))</f>
        <v/>
      </c>
      <c r="P359" s="20">
        <f>IF(I359="","",IF(I359="Gasto",O359,0))</f>
        <v/>
      </c>
      <c r="Q359" s="20">
        <f>IF(I359="","",IF(I359="Ingreso",O359,0))</f>
        <v/>
      </c>
      <c r="R359" s="20">
        <f>IF(I359="","",IF(I359="Trading",O359,0))</f>
        <v/>
      </c>
      <c r="S359" s="19">
        <f>IF(I359="","",IF(AND(I359="Gasto",K359="Variable",J359&lt;&gt;"Trading",O359&gt;0,O359&lt;=Umbral),1,0))</f>
        <v/>
      </c>
      <c r="T359" s="20">
        <f>IF(OR(I359="",E359=""),"",IF(OR(I359="Gasto",I359="Transferencia",I359="Pago tarjeta"),-1,1)*C359)</f>
        <v/>
      </c>
      <c r="U359" s="20">
        <f>IF(OR(G359="",AND(I359&lt;&gt;"Transferencia",I359&lt;&gt;"Pago tarjeta")),"",IF(IFERROR(INDEX(ctaMon,MATCH(G359,ctaNom,0))&amp;"","DOP")=N359,C359,IF(N359="USD",C359*TasaUSD,C359/TasaUSD)))</f>
        <v/>
      </c>
      <c r="V359" s="20">
        <f>IF(I359="","",IF(IFERROR(INDEX(ctaLiq,MATCH(E359,ctaNom,0))="Sí",FALSE),IF(OR(I359="Gasto",I359="Transferencia",I359="Pago tarjeta"),-1,1)*O359,0)+IF(AND(U359&lt;&gt;"",IFERROR(INDEX(ctaLiq,MATCH(G359,ctaNom,0))="Sí",FALSE)),O359,0))</f>
        <v/>
      </c>
      <c r="W359" s="19">
        <f>IF(OR(F359="",I359=""),"",IF(COUNTIFS(F$6:F359,F359,I$6:I359,"?*")=1,MAX(W$5:W358)+1,""))</f>
        <v/>
      </c>
    </row>
    <row r="360">
      <c r="B360" s="15" t="n"/>
      <c r="C360" s="16" t="n"/>
      <c r="D360" s="17" t="n"/>
      <c r="E360" s="17" t="n"/>
      <c r="F360" s="17" t="n"/>
      <c r="G360" s="17" t="n"/>
      <c r="H360" s="18">
        <f>IF(AND(B360="",C360="",D360="",E360=""),"",IF(B360="","⚠ Falta fecha",IF(C360="","⚠ Falta monto",IF(D360="","⚠ Falta categoría",IF(ISNA(MATCH(D360,catNom,0)),"⚠ Categoría no existe",IF(E360="","⚠ Falta cuenta",IF(ISNA(MATCH(E360,ctaNom,0)),"⚠ Cuenta no existe",IF(AND(OR(I360="Transferencia",I360="Pago tarjeta"),G360=""),"⚠ Indica la cuenta «Hacia»",IF(AND(G360&lt;&gt;"",G360=E360),"⚠ «Hacia» igual a la cuenta",IF(AND(G360&lt;&gt;"",ISNA(MATCH(G360,ctaNom,0))),"⚠ «Hacia» no existe",IF(AND(I360="Pago tarjeta",IFERROR(INDEX(ctaTipo,MATCH(G360,ctaNom,0)),"")&lt;&gt;"Tarjeta de crédito"),"⚠ «Hacia» debe ser la tarjeta",IF(AND(I360="Trading",IFERROR(INDEX(ctaTipo,MATCH(E360,ctaNom,0)),"")&lt;&gt;"Cuenta de trading"),"⚠ Usa la cuenta de trading","✓"))))))))))))</f>
        <v/>
      </c>
      <c r="I360" s="19">
        <f>IF(OR(B360="",C360="",D360=""),"",IFERROR(INDEX(catTipo,MATCH(D360,catNom,0))&amp;"",""))</f>
        <v/>
      </c>
      <c r="J360" s="19">
        <f>IF(I360="","",IFERROR(INDEX(catGrupo,MATCH(D360,catNom,0))&amp;"",""))</f>
        <v/>
      </c>
      <c r="K360" s="19">
        <f>IF(I360="Gasto",IF(IFERROR(INDEX(catClas,MATCH(D360,catNom,0))&amp;"","")="","Variable",IFERROR(INDEX(catClas,MATCH(D360,catNom,0))&amp;"","")),"")</f>
        <v/>
      </c>
      <c r="L360" s="19">
        <f>IF(I360="","",IFERROR(INDEX(catAlim,MATCH(D360,catNom,0))&amp;"",""))</f>
        <v/>
      </c>
      <c r="M360" s="19">
        <f>IF(I360="","",IFERROR(INDEX(catComida,MATCH(D360,catNom,0))&amp;"",""))</f>
        <v/>
      </c>
      <c r="N360" s="19">
        <f>IF(I360="","",IFERROR(INDEX(ctaMon,MATCH(E360,ctaNom,0))&amp;"","DOP"))</f>
        <v/>
      </c>
      <c r="O360" s="20">
        <f>IF(I360="","",C360*IF(N360="USD",TasaUSD,1))</f>
        <v/>
      </c>
      <c r="P360" s="20">
        <f>IF(I360="","",IF(I360="Gasto",O360,0))</f>
        <v/>
      </c>
      <c r="Q360" s="20">
        <f>IF(I360="","",IF(I360="Ingreso",O360,0))</f>
        <v/>
      </c>
      <c r="R360" s="20">
        <f>IF(I360="","",IF(I360="Trading",O360,0))</f>
        <v/>
      </c>
      <c r="S360" s="19">
        <f>IF(I360="","",IF(AND(I360="Gasto",K360="Variable",J360&lt;&gt;"Trading",O360&gt;0,O360&lt;=Umbral),1,0))</f>
        <v/>
      </c>
      <c r="T360" s="20">
        <f>IF(OR(I360="",E360=""),"",IF(OR(I360="Gasto",I360="Transferencia",I360="Pago tarjeta"),-1,1)*C360)</f>
        <v/>
      </c>
      <c r="U360" s="20">
        <f>IF(OR(G360="",AND(I360&lt;&gt;"Transferencia",I360&lt;&gt;"Pago tarjeta")),"",IF(IFERROR(INDEX(ctaMon,MATCH(G360,ctaNom,0))&amp;"","DOP")=N360,C360,IF(N360="USD",C360*TasaUSD,C360/TasaUSD)))</f>
        <v/>
      </c>
      <c r="V360" s="20">
        <f>IF(I360="","",IF(IFERROR(INDEX(ctaLiq,MATCH(E360,ctaNom,0))="Sí",FALSE),IF(OR(I360="Gasto",I360="Transferencia",I360="Pago tarjeta"),-1,1)*O360,0)+IF(AND(U360&lt;&gt;"",IFERROR(INDEX(ctaLiq,MATCH(G360,ctaNom,0))="Sí",FALSE)),O360,0))</f>
        <v/>
      </c>
      <c r="W360" s="19">
        <f>IF(OR(F360="",I360=""),"",IF(COUNTIFS(F$6:F360,F360,I$6:I360,"?*")=1,MAX(W$5:W359)+1,""))</f>
        <v/>
      </c>
    </row>
    <row r="361">
      <c r="B361" s="15" t="n"/>
      <c r="C361" s="16" t="n"/>
      <c r="D361" s="17" t="n"/>
      <c r="E361" s="17" t="n"/>
      <c r="F361" s="17" t="n"/>
      <c r="G361" s="17" t="n"/>
      <c r="H361" s="18">
        <f>IF(AND(B361="",C361="",D361="",E361=""),"",IF(B361="","⚠ Falta fecha",IF(C361="","⚠ Falta monto",IF(D361="","⚠ Falta categoría",IF(ISNA(MATCH(D361,catNom,0)),"⚠ Categoría no existe",IF(E361="","⚠ Falta cuenta",IF(ISNA(MATCH(E361,ctaNom,0)),"⚠ Cuenta no existe",IF(AND(OR(I361="Transferencia",I361="Pago tarjeta"),G361=""),"⚠ Indica la cuenta «Hacia»",IF(AND(G361&lt;&gt;"",G361=E361),"⚠ «Hacia» igual a la cuenta",IF(AND(G361&lt;&gt;"",ISNA(MATCH(G361,ctaNom,0))),"⚠ «Hacia» no existe",IF(AND(I361="Pago tarjeta",IFERROR(INDEX(ctaTipo,MATCH(G361,ctaNom,0)),"")&lt;&gt;"Tarjeta de crédito"),"⚠ «Hacia» debe ser la tarjeta",IF(AND(I361="Trading",IFERROR(INDEX(ctaTipo,MATCH(E361,ctaNom,0)),"")&lt;&gt;"Cuenta de trading"),"⚠ Usa la cuenta de trading","✓"))))))))))))</f>
        <v/>
      </c>
      <c r="I361" s="19">
        <f>IF(OR(B361="",C361="",D361=""),"",IFERROR(INDEX(catTipo,MATCH(D361,catNom,0))&amp;"",""))</f>
        <v/>
      </c>
      <c r="J361" s="19">
        <f>IF(I361="","",IFERROR(INDEX(catGrupo,MATCH(D361,catNom,0))&amp;"",""))</f>
        <v/>
      </c>
      <c r="K361" s="19">
        <f>IF(I361="Gasto",IF(IFERROR(INDEX(catClas,MATCH(D361,catNom,0))&amp;"","")="","Variable",IFERROR(INDEX(catClas,MATCH(D361,catNom,0))&amp;"","")),"")</f>
        <v/>
      </c>
      <c r="L361" s="19">
        <f>IF(I361="","",IFERROR(INDEX(catAlim,MATCH(D361,catNom,0))&amp;"",""))</f>
        <v/>
      </c>
      <c r="M361" s="19">
        <f>IF(I361="","",IFERROR(INDEX(catComida,MATCH(D361,catNom,0))&amp;"",""))</f>
        <v/>
      </c>
      <c r="N361" s="19">
        <f>IF(I361="","",IFERROR(INDEX(ctaMon,MATCH(E361,ctaNom,0))&amp;"","DOP"))</f>
        <v/>
      </c>
      <c r="O361" s="20">
        <f>IF(I361="","",C361*IF(N361="USD",TasaUSD,1))</f>
        <v/>
      </c>
      <c r="P361" s="20">
        <f>IF(I361="","",IF(I361="Gasto",O361,0))</f>
        <v/>
      </c>
      <c r="Q361" s="20">
        <f>IF(I361="","",IF(I361="Ingreso",O361,0))</f>
        <v/>
      </c>
      <c r="R361" s="20">
        <f>IF(I361="","",IF(I361="Trading",O361,0))</f>
        <v/>
      </c>
      <c r="S361" s="19">
        <f>IF(I361="","",IF(AND(I361="Gasto",K361="Variable",J361&lt;&gt;"Trading",O361&gt;0,O361&lt;=Umbral),1,0))</f>
        <v/>
      </c>
      <c r="T361" s="20">
        <f>IF(OR(I361="",E361=""),"",IF(OR(I361="Gasto",I361="Transferencia",I361="Pago tarjeta"),-1,1)*C361)</f>
        <v/>
      </c>
      <c r="U361" s="20">
        <f>IF(OR(G361="",AND(I361&lt;&gt;"Transferencia",I361&lt;&gt;"Pago tarjeta")),"",IF(IFERROR(INDEX(ctaMon,MATCH(G361,ctaNom,0))&amp;"","DOP")=N361,C361,IF(N361="USD",C361*TasaUSD,C361/TasaUSD)))</f>
        <v/>
      </c>
      <c r="V361" s="20">
        <f>IF(I361="","",IF(IFERROR(INDEX(ctaLiq,MATCH(E361,ctaNom,0))="Sí",FALSE),IF(OR(I361="Gasto",I361="Transferencia",I361="Pago tarjeta"),-1,1)*O361,0)+IF(AND(U361&lt;&gt;"",IFERROR(INDEX(ctaLiq,MATCH(G361,ctaNom,0))="Sí",FALSE)),O361,0))</f>
        <v/>
      </c>
      <c r="W361" s="19">
        <f>IF(OR(F361="",I361=""),"",IF(COUNTIFS(F$6:F361,F361,I$6:I361,"?*")=1,MAX(W$5:W360)+1,""))</f>
        <v/>
      </c>
    </row>
    <row r="362">
      <c r="B362" s="15" t="n"/>
      <c r="C362" s="16" t="n"/>
      <c r="D362" s="17" t="n"/>
      <c r="E362" s="17" t="n"/>
      <c r="F362" s="17" t="n"/>
      <c r="G362" s="17" t="n"/>
      <c r="H362" s="18">
        <f>IF(AND(B362="",C362="",D362="",E362=""),"",IF(B362="","⚠ Falta fecha",IF(C362="","⚠ Falta monto",IF(D362="","⚠ Falta categoría",IF(ISNA(MATCH(D362,catNom,0)),"⚠ Categoría no existe",IF(E362="","⚠ Falta cuenta",IF(ISNA(MATCH(E362,ctaNom,0)),"⚠ Cuenta no existe",IF(AND(OR(I362="Transferencia",I362="Pago tarjeta"),G362=""),"⚠ Indica la cuenta «Hacia»",IF(AND(G362&lt;&gt;"",G362=E362),"⚠ «Hacia» igual a la cuenta",IF(AND(G362&lt;&gt;"",ISNA(MATCH(G362,ctaNom,0))),"⚠ «Hacia» no existe",IF(AND(I362="Pago tarjeta",IFERROR(INDEX(ctaTipo,MATCH(G362,ctaNom,0)),"")&lt;&gt;"Tarjeta de crédito"),"⚠ «Hacia» debe ser la tarjeta",IF(AND(I362="Trading",IFERROR(INDEX(ctaTipo,MATCH(E362,ctaNom,0)),"")&lt;&gt;"Cuenta de trading"),"⚠ Usa la cuenta de trading","✓"))))))))))))</f>
        <v/>
      </c>
      <c r="I362" s="19">
        <f>IF(OR(B362="",C362="",D362=""),"",IFERROR(INDEX(catTipo,MATCH(D362,catNom,0))&amp;"",""))</f>
        <v/>
      </c>
      <c r="J362" s="19">
        <f>IF(I362="","",IFERROR(INDEX(catGrupo,MATCH(D362,catNom,0))&amp;"",""))</f>
        <v/>
      </c>
      <c r="K362" s="19">
        <f>IF(I362="Gasto",IF(IFERROR(INDEX(catClas,MATCH(D362,catNom,0))&amp;"","")="","Variable",IFERROR(INDEX(catClas,MATCH(D362,catNom,0))&amp;"","")),"")</f>
        <v/>
      </c>
      <c r="L362" s="19">
        <f>IF(I362="","",IFERROR(INDEX(catAlim,MATCH(D362,catNom,0))&amp;"",""))</f>
        <v/>
      </c>
      <c r="M362" s="19">
        <f>IF(I362="","",IFERROR(INDEX(catComida,MATCH(D362,catNom,0))&amp;"",""))</f>
        <v/>
      </c>
      <c r="N362" s="19">
        <f>IF(I362="","",IFERROR(INDEX(ctaMon,MATCH(E362,ctaNom,0))&amp;"","DOP"))</f>
        <v/>
      </c>
      <c r="O362" s="20">
        <f>IF(I362="","",C362*IF(N362="USD",TasaUSD,1))</f>
        <v/>
      </c>
      <c r="P362" s="20">
        <f>IF(I362="","",IF(I362="Gasto",O362,0))</f>
        <v/>
      </c>
      <c r="Q362" s="20">
        <f>IF(I362="","",IF(I362="Ingreso",O362,0))</f>
        <v/>
      </c>
      <c r="R362" s="20">
        <f>IF(I362="","",IF(I362="Trading",O362,0))</f>
        <v/>
      </c>
      <c r="S362" s="19">
        <f>IF(I362="","",IF(AND(I362="Gasto",K362="Variable",J362&lt;&gt;"Trading",O362&gt;0,O362&lt;=Umbral),1,0))</f>
        <v/>
      </c>
      <c r="T362" s="20">
        <f>IF(OR(I362="",E362=""),"",IF(OR(I362="Gasto",I362="Transferencia",I362="Pago tarjeta"),-1,1)*C362)</f>
        <v/>
      </c>
      <c r="U362" s="20">
        <f>IF(OR(G362="",AND(I362&lt;&gt;"Transferencia",I362&lt;&gt;"Pago tarjeta")),"",IF(IFERROR(INDEX(ctaMon,MATCH(G362,ctaNom,0))&amp;"","DOP")=N362,C362,IF(N362="USD",C362*TasaUSD,C362/TasaUSD)))</f>
        <v/>
      </c>
      <c r="V362" s="20">
        <f>IF(I362="","",IF(IFERROR(INDEX(ctaLiq,MATCH(E362,ctaNom,0))="Sí",FALSE),IF(OR(I362="Gasto",I362="Transferencia",I362="Pago tarjeta"),-1,1)*O362,0)+IF(AND(U362&lt;&gt;"",IFERROR(INDEX(ctaLiq,MATCH(G362,ctaNom,0))="Sí",FALSE)),O362,0))</f>
        <v/>
      </c>
      <c r="W362" s="19">
        <f>IF(OR(F362="",I362=""),"",IF(COUNTIFS(F$6:F362,F362,I$6:I362,"?*")=1,MAX(W$5:W361)+1,""))</f>
        <v/>
      </c>
    </row>
    <row r="363">
      <c r="B363" s="15" t="n"/>
      <c r="C363" s="16" t="n"/>
      <c r="D363" s="17" t="n"/>
      <c r="E363" s="17" t="n"/>
      <c r="F363" s="17" t="n"/>
      <c r="G363" s="17" t="n"/>
      <c r="H363" s="18">
        <f>IF(AND(B363="",C363="",D363="",E363=""),"",IF(B363="","⚠ Falta fecha",IF(C363="","⚠ Falta monto",IF(D363="","⚠ Falta categoría",IF(ISNA(MATCH(D363,catNom,0)),"⚠ Categoría no existe",IF(E363="","⚠ Falta cuenta",IF(ISNA(MATCH(E363,ctaNom,0)),"⚠ Cuenta no existe",IF(AND(OR(I363="Transferencia",I363="Pago tarjeta"),G363=""),"⚠ Indica la cuenta «Hacia»",IF(AND(G363&lt;&gt;"",G363=E363),"⚠ «Hacia» igual a la cuenta",IF(AND(G363&lt;&gt;"",ISNA(MATCH(G363,ctaNom,0))),"⚠ «Hacia» no existe",IF(AND(I363="Pago tarjeta",IFERROR(INDEX(ctaTipo,MATCH(G363,ctaNom,0)),"")&lt;&gt;"Tarjeta de crédito"),"⚠ «Hacia» debe ser la tarjeta",IF(AND(I363="Trading",IFERROR(INDEX(ctaTipo,MATCH(E363,ctaNom,0)),"")&lt;&gt;"Cuenta de trading"),"⚠ Usa la cuenta de trading","✓"))))))))))))</f>
        <v/>
      </c>
      <c r="I363" s="19">
        <f>IF(OR(B363="",C363="",D363=""),"",IFERROR(INDEX(catTipo,MATCH(D363,catNom,0))&amp;"",""))</f>
        <v/>
      </c>
      <c r="J363" s="19">
        <f>IF(I363="","",IFERROR(INDEX(catGrupo,MATCH(D363,catNom,0))&amp;"",""))</f>
        <v/>
      </c>
      <c r="K363" s="19">
        <f>IF(I363="Gasto",IF(IFERROR(INDEX(catClas,MATCH(D363,catNom,0))&amp;"","")="","Variable",IFERROR(INDEX(catClas,MATCH(D363,catNom,0))&amp;"","")),"")</f>
        <v/>
      </c>
      <c r="L363" s="19">
        <f>IF(I363="","",IFERROR(INDEX(catAlim,MATCH(D363,catNom,0))&amp;"",""))</f>
        <v/>
      </c>
      <c r="M363" s="19">
        <f>IF(I363="","",IFERROR(INDEX(catComida,MATCH(D363,catNom,0))&amp;"",""))</f>
        <v/>
      </c>
      <c r="N363" s="19">
        <f>IF(I363="","",IFERROR(INDEX(ctaMon,MATCH(E363,ctaNom,0))&amp;"","DOP"))</f>
        <v/>
      </c>
      <c r="O363" s="20">
        <f>IF(I363="","",C363*IF(N363="USD",TasaUSD,1))</f>
        <v/>
      </c>
      <c r="P363" s="20">
        <f>IF(I363="","",IF(I363="Gasto",O363,0))</f>
        <v/>
      </c>
      <c r="Q363" s="20">
        <f>IF(I363="","",IF(I363="Ingreso",O363,0))</f>
        <v/>
      </c>
      <c r="R363" s="20">
        <f>IF(I363="","",IF(I363="Trading",O363,0))</f>
        <v/>
      </c>
      <c r="S363" s="19">
        <f>IF(I363="","",IF(AND(I363="Gasto",K363="Variable",J363&lt;&gt;"Trading",O363&gt;0,O363&lt;=Umbral),1,0))</f>
        <v/>
      </c>
      <c r="T363" s="20">
        <f>IF(OR(I363="",E363=""),"",IF(OR(I363="Gasto",I363="Transferencia",I363="Pago tarjeta"),-1,1)*C363)</f>
        <v/>
      </c>
      <c r="U363" s="20">
        <f>IF(OR(G363="",AND(I363&lt;&gt;"Transferencia",I363&lt;&gt;"Pago tarjeta")),"",IF(IFERROR(INDEX(ctaMon,MATCH(G363,ctaNom,0))&amp;"","DOP")=N363,C363,IF(N363="USD",C363*TasaUSD,C363/TasaUSD)))</f>
        <v/>
      </c>
      <c r="V363" s="20">
        <f>IF(I363="","",IF(IFERROR(INDEX(ctaLiq,MATCH(E363,ctaNom,0))="Sí",FALSE),IF(OR(I363="Gasto",I363="Transferencia",I363="Pago tarjeta"),-1,1)*O363,0)+IF(AND(U363&lt;&gt;"",IFERROR(INDEX(ctaLiq,MATCH(G363,ctaNom,0))="Sí",FALSE)),O363,0))</f>
        <v/>
      </c>
      <c r="W363" s="19">
        <f>IF(OR(F363="",I363=""),"",IF(COUNTIFS(F$6:F363,F363,I$6:I363,"?*")=1,MAX(W$5:W362)+1,""))</f>
        <v/>
      </c>
    </row>
    <row r="364">
      <c r="B364" s="15" t="n"/>
      <c r="C364" s="16" t="n"/>
      <c r="D364" s="17" t="n"/>
      <c r="E364" s="17" t="n"/>
      <c r="F364" s="17" t="n"/>
      <c r="G364" s="17" t="n"/>
      <c r="H364" s="18">
        <f>IF(AND(B364="",C364="",D364="",E364=""),"",IF(B364="","⚠ Falta fecha",IF(C364="","⚠ Falta monto",IF(D364="","⚠ Falta categoría",IF(ISNA(MATCH(D364,catNom,0)),"⚠ Categoría no existe",IF(E364="","⚠ Falta cuenta",IF(ISNA(MATCH(E364,ctaNom,0)),"⚠ Cuenta no existe",IF(AND(OR(I364="Transferencia",I364="Pago tarjeta"),G364=""),"⚠ Indica la cuenta «Hacia»",IF(AND(G364&lt;&gt;"",G364=E364),"⚠ «Hacia» igual a la cuenta",IF(AND(G364&lt;&gt;"",ISNA(MATCH(G364,ctaNom,0))),"⚠ «Hacia» no existe",IF(AND(I364="Pago tarjeta",IFERROR(INDEX(ctaTipo,MATCH(G364,ctaNom,0)),"")&lt;&gt;"Tarjeta de crédito"),"⚠ «Hacia» debe ser la tarjeta",IF(AND(I364="Trading",IFERROR(INDEX(ctaTipo,MATCH(E364,ctaNom,0)),"")&lt;&gt;"Cuenta de trading"),"⚠ Usa la cuenta de trading","✓"))))))))))))</f>
        <v/>
      </c>
      <c r="I364" s="19">
        <f>IF(OR(B364="",C364="",D364=""),"",IFERROR(INDEX(catTipo,MATCH(D364,catNom,0))&amp;"",""))</f>
        <v/>
      </c>
      <c r="J364" s="19">
        <f>IF(I364="","",IFERROR(INDEX(catGrupo,MATCH(D364,catNom,0))&amp;"",""))</f>
        <v/>
      </c>
      <c r="K364" s="19">
        <f>IF(I364="Gasto",IF(IFERROR(INDEX(catClas,MATCH(D364,catNom,0))&amp;"","")="","Variable",IFERROR(INDEX(catClas,MATCH(D364,catNom,0))&amp;"","")),"")</f>
        <v/>
      </c>
      <c r="L364" s="19">
        <f>IF(I364="","",IFERROR(INDEX(catAlim,MATCH(D364,catNom,0))&amp;"",""))</f>
        <v/>
      </c>
      <c r="M364" s="19">
        <f>IF(I364="","",IFERROR(INDEX(catComida,MATCH(D364,catNom,0))&amp;"",""))</f>
        <v/>
      </c>
      <c r="N364" s="19">
        <f>IF(I364="","",IFERROR(INDEX(ctaMon,MATCH(E364,ctaNom,0))&amp;"","DOP"))</f>
        <v/>
      </c>
      <c r="O364" s="20">
        <f>IF(I364="","",C364*IF(N364="USD",TasaUSD,1))</f>
        <v/>
      </c>
      <c r="P364" s="20">
        <f>IF(I364="","",IF(I364="Gasto",O364,0))</f>
        <v/>
      </c>
      <c r="Q364" s="20">
        <f>IF(I364="","",IF(I364="Ingreso",O364,0))</f>
        <v/>
      </c>
      <c r="R364" s="20">
        <f>IF(I364="","",IF(I364="Trading",O364,0))</f>
        <v/>
      </c>
      <c r="S364" s="19">
        <f>IF(I364="","",IF(AND(I364="Gasto",K364="Variable",J364&lt;&gt;"Trading",O364&gt;0,O364&lt;=Umbral),1,0))</f>
        <v/>
      </c>
      <c r="T364" s="20">
        <f>IF(OR(I364="",E364=""),"",IF(OR(I364="Gasto",I364="Transferencia",I364="Pago tarjeta"),-1,1)*C364)</f>
        <v/>
      </c>
      <c r="U364" s="20">
        <f>IF(OR(G364="",AND(I364&lt;&gt;"Transferencia",I364&lt;&gt;"Pago tarjeta")),"",IF(IFERROR(INDEX(ctaMon,MATCH(G364,ctaNom,0))&amp;"","DOP")=N364,C364,IF(N364="USD",C364*TasaUSD,C364/TasaUSD)))</f>
        <v/>
      </c>
      <c r="V364" s="20">
        <f>IF(I364="","",IF(IFERROR(INDEX(ctaLiq,MATCH(E364,ctaNom,0))="Sí",FALSE),IF(OR(I364="Gasto",I364="Transferencia",I364="Pago tarjeta"),-1,1)*O364,0)+IF(AND(U364&lt;&gt;"",IFERROR(INDEX(ctaLiq,MATCH(G364,ctaNom,0))="Sí",FALSE)),O364,0))</f>
        <v/>
      </c>
      <c r="W364" s="19">
        <f>IF(OR(F364="",I364=""),"",IF(COUNTIFS(F$6:F364,F364,I$6:I364,"?*")=1,MAX(W$5:W363)+1,""))</f>
        <v/>
      </c>
    </row>
    <row r="365">
      <c r="B365" s="15" t="n"/>
      <c r="C365" s="16" t="n"/>
      <c r="D365" s="17" t="n"/>
      <c r="E365" s="17" t="n"/>
      <c r="F365" s="17" t="n"/>
      <c r="G365" s="17" t="n"/>
      <c r="H365" s="18">
        <f>IF(AND(B365="",C365="",D365="",E365=""),"",IF(B365="","⚠ Falta fecha",IF(C365="","⚠ Falta monto",IF(D365="","⚠ Falta categoría",IF(ISNA(MATCH(D365,catNom,0)),"⚠ Categoría no existe",IF(E365="","⚠ Falta cuenta",IF(ISNA(MATCH(E365,ctaNom,0)),"⚠ Cuenta no existe",IF(AND(OR(I365="Transferencia",I365="Pago tarjeta"),G365=""),"⚠ Indica la cuenta «Hacia»",IF(AND(G365&lt;&gt;"",G365=E365),"⚠ «Hacia» igual a la cuenta",IF(AND(G365&lt;&gt;"",ISNA(MATCH(G365,ctaNom,0))),"⚠ «Hacia» no existe",IF(AND(I365="Pago tarjeta",IFERROR(INDEX(ctaTipo,MATCH(G365,ctaNom,0)),"")&lt;&gt;"Tarjeta de crédito"),"⚠ «Hacia» debe ser la tarjeta",IF(AND(I365="Trading",IFERROR(INDEX(ctaTipo,MATCH(E365,ctaNom,0)),"")&lt;&gt;"Cuenta de trading"),"⚠ Usa la cuenta de trading","✓"))))))))))))</f>
        <v/>
      </c>
      <c r="I365" s="19">
        <f>IF(OR(B365="",C365="",D365=""),"",IFERROR(INDEX(catTipo,MATCH(D365,catNom,0))&amp;"",""))</f>
        <v/>
      </c>
      <c r="J365" s="19">
        <f>IF(I365="","",IFERROR(INDEX(catGrupo,MATCH(D365,catNom,0))&amp;"",""))</f>
        <v/>
      </c>
      <c r="K365" s="19">
        <f>IF(I365="Gasto",IF(IFERROR(INDEX(catClas,MATCH(D365,catNom,0))&amp;"","")="","Variable",IFERROR(INDEX(catClas,MATCH(D365,catNom,0))&amp;"","")),"")</f>
        <v/>
      </c>
      <c r="L365" s="19">
        <f>IF(I365="","",IFERROR(INDEX(catAlim,MATCH(D365,catNom,0))&amp;"",""))</f>
        <v/>
      </c>
      <c r="M365" s="19">
        <f>IF(I365="","",IFERROR(INDEX(catComida,MATCH(D365,catNom,0))&amp;"",""))</f>
        <v/>
      </c>
      <c r="N365" s="19">
        <f>IF(I365="","",IFERROR(INDEX(ctaMon,MATCH(E365,ctaNom,0))&amp;"","DOP"))</f>
        <v/>
      </c>
      <c r="O365" s="20">
        <f>IF(I365="","",C365*IF(N365="USD",TasaUSD,1))</f>
        <v/>
      </c>
      <c r="P365" s="20">
        <f>IF(I365="","",IF(I365="Gasto",O365,0))</f>
        <v/>
      </c>
      <c r="Q365" s="20">
        <f>IF(I365="","",IF(I365="Ingreso",O365,0))</f>
        <v/>
      </c>
      <c r="R365" s="20">
        <f>IF(I365="","",IF(I365="Trading",O365,0))</f>
        <v/>
      </c>
      <c r="S365" s="19">
        <f>IF(I365="","",IF(AND(I365="Gasto",K365="Variable",J365&lt;&gt;"Trading",O365&gt;0,O365&lt;=Umbral),1,0))</f>
        <v/>
      </c>
      <c r="T365" s="20">
        <f>IF(OR(I365="",E365=""),"",IF(OR(I365="Gasto",I365="Transferencia",I365="Pago tarjeta"),-1,1)*C365)</f>
        <v/>
      </c>
      <c r="U365" s="20">
        <f>IF(OR(G365="",AND(I365&lt;&gt;"Transferencia",I365&lt;&gt;"Pago tarjeta")),"",IF(IFERROR(INDEX(ctaMon,MATCH(G365,ctaNom,0))&amp;"","DOP")=N365,C365,IF(N365="USD",C365*TasaUSD,C365/TasaUSD)))</f>
        <v/>
      </c>
      <c r="V365" s="20">
        <f>IF(I365="","",IF(IFERROR(INDEX(ctaLiq,MATCH(E365,ctaNom,0))="Sí",FALSE),IF(OR(I365="Gasto",I365="Transferencia",I365="Pago tarjeta"),-1,1)*O365,0)+IF(AND(U365&lt;&gt;"",IFERROR(INDEX(ctaLiq,MATCH(G365,ctaNom,0))="Sí",FALSE)),O365,0))</f>
        <v/>
      </c>
      <c r="W365" s="19">
        <f>IF(OR(F365="",I365=""),"",IF(COUNTIFS(F$6:F365,F365,I$6:I365,"?*")=1,MAX(W$5:W364)+1,""))</f>
        <v/>
      </c>
    </row>
    <row r="366">
      <c r="B366" s="15" t="n"/>
      <c r="C366" s="16" t="n"/>
      <c r="D366" s="17" t="n"/>
      <c r="E366" s="17" t="n"/>
      <c r="F366" s="17" t="n"/>
      <c r="G366" s="17" t="n"/>
      <c r="H366" s="18">
        <f>IF(AND(B366="",C366="",D366="",E366=""),"",IF(B366="","⚠ Falta fecha",IF(C366="","⚠ Falta monto",IF(D366="","⚠ Falta categoría",IF(ISNA(MATCH(D366,catNom,0)),"⚠ Categoría no existe",IF(E366="","⚠ Falta cuenta",IF(ISNA(MATCH(E366,ctaNom,0)),"⚠ Cuenta no existe",IF(AND(OR(I366="Transferencia",I366="Pago tarjeta"),G366=""),"⚠ Indica la cuenta «Hacia»",IF(AND(G366&lt;&gt;"",G366=E366),"⚠ «Hacia» igual a la cuenta",IF(AND(G366&lt;&gt;"",ISNA(MATCH(G366,ctaNom,0))),"⚠ «Hacia» no existe",IF(AND(I366="Pago tarjeta",IFERROR(INDEX(ctaTipo,MATCH(G366,ctaNom,0)),"")&lt;&gt;"Tarjeta de crédito"),"⚠ «Hacia» debe ser la tarjeta",IF(AND(I366="Trading",IFERROR(INDEX(ctaTipo,MATCH(E366,ctaNom,0)),"")&lt;&gt;"Cuenta de trading"),"⚠ Usa la cuenta de trading","✓"))))))))))))</f>
        <v/>
      </c>
      <c r="I366" s="19">
        <f>IF(OR(B366="",C366="",D366=""),"",IFERROR(INDEX(catTipo,MATCH(D366,catNom,0))&amp;"",""))</f>
        <v/>
      </c>
      <c r="J366" s="19">
        <f>IF(I366="","",IFERROR(INDEX(catGrupo,MATCH(D366,catNom,0))&amp;"",""))</f>
        <v/>
      </c>
      <c r="K366" s="19">
        <f>IF(I366="Gasto",IF(IFERROR(INDEX(catClas,MATCH(D366,catNom,0))&amp;"","")="","Variable",IFERROR(INDEX(catClas,MATCH(D366,catNom,0))&amp;"","")),"")</f>
        <v/>
      </c>
      <c r="L366" s="19">
        <f>IF(I366="","",IFERROR(INDEX(catAlim,MATCH(D366,catNom,0))&amp;"",""))</f>
        <v/>
      </c>
      <c r="M366" s="19">
        <f>IF(I366="","",IFERROR(INDEX(catComida,MATCH(D366,catNom,0))&amp;"",""))</f>
        <v/>
      </c>
      <c r="N366" s="19">
        <f>IF(I366="","",IFERROR(INDEX(ctaMon,MATCH(E366,ctaNom,0))&amp;"","DOP"))</f>
        <v/>
      </c>
      <c r="O366" s="20">
        <f>IF(I366="","",C366*IF(N366="USD",TasaUSD,1))</f>
        <v/>
      </c>
      <c r="P366" s="20">
        <f>IF(I366="","",IF(I366="Gasto",O366,0))</f>
        <v/>
      </c>
      <c r="Q366" s="20">
        <f>IF(I366="","",IF(I366="Ingreso",O366,0))</f>
        <v/>
      </c>
      <c r="R366" s="20">
        <f>IF(I366="","",IF(I366="Trading",O366,0))</f>
        <v/>
      </c>
      <c r="S366" s="19">
        <f>IF(I366="","",IF(AND(I366="Gasto",K366="Variable",J366&lt;&gt;"Trading",O366&gt;0,O366&lt;=Umbral),1,0))</f>
        <v/>
      </c>
      <c r="T366" s="20">
        <f>IF(OR(I366="",E366=""),"",IF(OR(I366="Gasto",I366="Transferencia",I366="Pago tarjeta"),-1,1)*C366)</f>
        <v/>
      </c>
      <c r="U366" s="20">
        <f>IF(OR(G366="",AND(I366&lt;&gt;"Transferencia",I366&lt;&gt;"Pago tarjeta")),"",IF(IFERROR(INDEX(ctaMon,MATCH(G366,ctaNom,0))&amp;"","DOP")=N366,C366,IF(N366="USD",C366*TasaUSD,C366/TasaUSD)))</f>
        <v/>
      </c>
      <c r="V366" s="20">
        <f>IF(I366="","",IF(IFERROR(INDEX(ctaLiq,MATCH(E366,ctaNom,0))="Sí",FALSE),IF(OR(I366="Gasto",I366="Transferencia",I366="Pago tarjeta"),-1,1)*O366,0)+IF(AND(U366&lt;&gt;"",IFERROR(INDEX(ctaLiq,MATCH(G366,ctaNom,0))="Sí",FALSE)),O366,0))</f>
        <v/>
      </c>
      <c r="W366" s="19">
        <f>IF(OR(F366="",I366=""),"",IF(COUNTIFS(F$6:F366,F366,I$6:I366,"?*")=1,MAX(W$5:W365)+1,""))</f>
        <v/>
      </c>
    </row>
    <row r="367">
      <c r="B367" s="15" t="n"/>
      <c r="C367" s="16" t="n"/>
      <c r="D367" s="17" t="n"/>
      <c r="E367" s="17" t="n"/>
      <c r="F367" s="17" t="n"/>
      <c r="G367" s="17" t="n"/>
      <c r="H367" s="18">
        <f>IF(AND(B367="",C367="",D367="",E367=""),"",IF(B367="","⚠ Falta fecha",IF(C367="","⚠ Falta monto",IF(D367="","⚠ Falta categoría",IF(ISNA(MATCH(D367,catNom,0)),"⚠ Categoría no existe",IF(E367="","⚠ Falta cuenta",IF(ISNA(MATCH(E367,ctaNom,0)),"⚠ Cuenta no existe",IF(AND(OR(I367="Transferencia",I367="Pago tarjeta"),G367=""),"⚠ Indica la cuenta «Hacia»",IF(AND(G367&lt;&gt;"",G367=E367),"⚠ «Hacia» igual a la cuenta",IF(AND(G367&lt;&gt;"",ISNA(MATCH(G367,ctaNom,0))),"⚠ «Hacia» no existe",IF(AND(I367="Pago tarjeta",IFERROR(INDEX(ctaTipo,MATCH(G367,ctaNom,0)),"")&lt;&gt;"Tarjeta de crédito"),"⚠ «Hacia» debe ser la tarjeta",IF(AND(I367="Trading",IFERROR(INDEX(ctaTipo,MATCH(E367,ctaNom,0)),"")&lt;&gt;"Cuenta de trading"),"⚠ Usa la cuenta de trading","✓"))))))))))))</f>
        <v/>
      </c>
      <c r="I367" s="19">
        <f>IF(OR(B367="",C367="",D367=""),"",IFERROR(INDEX(catTipo,MATCH(D367,catNom,0))&amp;"",""))</f>
        <v/>
      </c>
      <c r="J367" s="19">
        <f>IF(I367="","",IFERROR(INDEX(catGrupo,MATCH(D367,catNom,0))&amp;"",""))</f>
        <v/>
      </c>
      <c r="K367" s="19">
        <f>IF(I367="Gasto",IF(IFERROR(INDEX(catClas,MATCH(D367,catNom,0))&amp;"","")="","Variable",IFERROR(INDEX(catClas,MATCH(D367,catNom,0))&amp;"","")),"")</f>
        <v/>
      </c>
      <c r="L367" s="19">
        <f>IF(I367="","",IFERROR(INDEX(catAlim,MATCH(D367,catNom,0))&amp;"",""))</f>
        <v/>
      </c>
      <c r="M367" s="19">
        <f>IF(I367="","",IFERROR(INDEX(catComida,MATCH(D367,catNom,0))&amp;"",""))</f>
        <v/>
      </c>
      <c r="N367" s="19">
        <f>IF(I367="","",IFERROR(INDEX(ctaMon,MATCH(E367,ctaNom,0))&amp;"","DOP"))</f>
        <v/>
      </c>
      <c r="O367" s="20">
        <f>IF(I367="","",C367*IF(N367="USD",TasaUSD,1))</f>
        <v/>
      </c>
      <c r="P367" s="20">
        <f>IF(I367="","",IF(I367="Gasto",O367,0))</f>
        <v/>
      </c>
      <c r="Q367" s="20">
        <f>IF(I367="","",IF(I367="Ingreso",O367,0))</f>
        <v/>
      </c>
      <c r="R367" s="20">
        <f>IF(I367="","",IF(I367="Trading",O367,0))</f>
        <v/>
      </c>
      <c r="S367" s="19">
        <f>IF(I367="","",IF(AND(I367="Gasto",K367="Variable",J367&lt;&gt;"Trading",O367&gt;0,O367&lt;=Umbral),1,0))</f>
        <v/>
      </c>
      <c r="T367" s="20">
        <f>IF(OR(I367="",E367=""),"",IF(OR(I367="Gasto",I367="Transferencia",I367="Pago tarjeta"),-1,1)*C367)</f>
        <v/>
      </c>
      <c r="U367" s="20">
        <f>IF(OR(G367="",AND(I367&lt;&gt;"Transferencia",I367&lt;&gt;"Pago tarjeta")),"",IF(IFERROR(INDEX(ctaMon,MATCH(G367,ctaNom,0))&amp;"","DOP")=N367,C367,IF(N367="USD",C367*TasaUSD,C367/TasaUSD)))</f>
        <v/>
      </c>
      <c r="V367" s="20">
        <f>IF(I367="","",IF(IFERROR(INDEX(ctaLiq,MATCH(E367,ctaNom,0))="Sí",FALSE),IF(OR(I367="Gasto",I367="Transferencia",I367="Pago tarjeta"),-1,1)*O367,0)+IF(AND(U367&lt;&gt;"",IFERROR(INDEX(ctaLiq,MATCH(G367,ctaNom,0))="Sí",FALSE)),O367,0))</f>
        <v/>
      </c>
      <c r="W367" s="19">
        <f>IF(OR(F367="",I367=""),"",IF(COUNTIFS(F$6:F367,F367,I$6:I367,"?*")=1,MAX(W$5:W366)+1,""))</f>
        <v/>
      </c>
    </row>
    <row r="368">
      <c r="B368" s="15" t="n"/>
      <c r="C368" s="16" t="n"/>
      <c r="D368" s="17" t="n"/>
      <c r="E368" s="17" t="n"/>
      <c r="F368" s="17" t="n"/>
      <c r="G368" s="17" t="n"/>
      <c r="H368" s="18">
        <f>IF(AND(B368="",C368="",D368="",E368=""),"",IF(B368="","⚠ Falta fecha",IF(C368="","⚠ Falta monto",IF(D368="","⚠ Falta categoría",IF(ISNA(MATCH(D368,catNom,0)),"⚠ Categoría no existe",IF(E368="","⚠ Falta cuenta",IF(ISNA(MATCH(E368,ctaNom,0)),"⚠ Cuenta no existe",IF(AND(OR(I368="Transferencia",I368="Pago tarjeta"),G368=""),"⚠ Indica la cuenta «Hacia»",IF(AND(G368&lt;&gt;"",G368=E368),"⚠ «Hacia» igual a la cuenta",IF(AND(G368&lt;&gt;"",ISNA(MATCH(G368,ctaNom,0))),"⚠ «Hacia» no existe",IF(AND(I368="Pago tarjeta",IFERROR(INDEX(ctaTipo,MATCH(G368,ctaNom,0)),"")&lt;&gt;"Tarjeta de crédito"),"⚠ «Hacia» debe ser la tarjeta",IF(AND(I368="Trading",IFERROR(INDEX(ctaTipo,MATCH(E368,ctaNom,0)),"")&lt;&gt;"Cuenta de trading"),"⚠ Usa la cuenta de trading","✓"))))))))))))</f>
        <v/>
      </c>
      <c r="I368" s="19">
        <f>IF(OR(B368="",C368="",D368=""),"",IFERROR(INDEX(catTipo,MATCH(D368,catNom,0))&amp;"",""))</f>
        <v/>
      </c>
      <c r="J368" s="19">
        <f>IF(I368="","",IFERROR(INDEX(catGrupo,MATCH(D368,catNom,0))&amp;"",""))</f>
        <v/>
      </c>
      <c r="K368" s="19">
        <f>IF(I368="Gasto",IF(IFERROR(INDEX(catClas,MATCH(D368,catNom,0))&amp;"","")="","Variable",IFERROR(INDEX(catClas,MATCH(D368,catNom,0))&amp;"","")),"")</f>
        <v/>
      </c>
      <c r="L368" s="19">
        <f>IF(I368="","",IFERROR(INDEX(catAlim,MATCH(D368,catNom,0))&amp;"",""))</f>
        <v/>
      </c>
      <c r="M368" s="19">
        <f>IF(I368="","",IFERROR(INDEX(catComida,MATCH(D368,catNom,0))&amp;"",""))</f>
        <v/>
      </c>
      <c r="N368" s="19">
        <f>IF(I368="","",IFERROR(INDEX(ctaMon,MATCH(E368,ctaNom,0))&amp;"","DOP"))</f>
        <v/>
      </c>
      <c r="O368" s="20">
        <f>IF(I368="","",C368*IF(N368="USD",TasaUSD,1))</f>
        <v/>
      </c>
      <c r="P368" s="20">
        <f>IF(I368="","",IF(I368="Gasto",O368,0))</f>
        <v/>
      </c>
      <c r="Q368" s="20">
        <f>IF(I368="","",IF(I368="Ingreso",O368,0))</f>
        <v/>
      </c>
      <c r="R368" s="20">
        <f>IF(I368="","",IF(I368="Trading",O368,0))</f>
        <v/>
      </c>
      <c r="S368" s="19">
        <f>IF(I368="","",IF(AND(I368="Gasto",K368="Variable",J368&lt;&gt;"Trading",O368&gt;0,O368&lt;=Umbral),1,0))</f>
        <v/>
      </c>
      <c r="T368" s="20">
        <f>IF(OR(I368="",E368=""),"",IF(OR(I368="Gasto",I368="Transferencia",I368="Pago tarjeta"),-1,1)*C368)</f>
        <v/>
      </c>
      <c r="U368" s="20">
        <f>IF(OR(G368="",AND(I368&lt;&gt;"Transferencia",I368&lt;&gt;"Pago tarjeta")),"",IF(IFERROR(INDEX(ctaMon,MATCH(G368,ctaNom,0))&amp;"","DOP")=N368,C368,IF(N368="USD",C368*TasaUSD,C368/TasaUSD)))</f>
        <v/>
      </c>
      <c r="V368" s="20">
        <f>IF(I368="","",IF(IFERROR(INDEX(ctaLiq,MATCH(E368,ctaNom,0))="Sí",FALSE),IF(OR(I368="Gasto",I368="Transferencia",I368="Pago tarjeta"),-1,1)*O368,0)+IF(AND(U368&lt;&gt;"",IFERROR(INDEX(ctaLiq,MATCH(G368,ctaNom,0))="Sí",FALSE)),O368,0))</f>
        <v/>
      </c>
      <c r="W368" s="19">
        <f>IF(OR(F368="",I368=""),"",IF(COUNTIFS(F$6:F368,F368,I$6:I368,"?*")=1,MAX(W$5:W367)+1,""))</f>
        <v/>
      </c>
    </row>
    <row r="369">
      <c r="B369" s="15" t="n"/>
      <c r="C369" s="16" t="n"/>
      <c r="D369" s="17" t="n"/>
      <c r="E369" s="17" t="n"/>
      <c r="F369" s="17" t="n"/>
      <c r="G369" s="17" t="n"/>
      <c r="H369" s="18">
        <f>IF(AND(B369="",C369="",D369="",E369=""),"",IF(B369="","⚠ Falta fecha",IF(C369="","⚠ Falta monto",IF(D369="","⚠ Falta categoría",IF(ISNA(MATCH(D369,catNom,0)),"⚠ Categoría no existe",IF(E369="","⚠ Falta cuenta",IF(ISNA(MATCH(E369,ctaNom,0)),"⚠ Cuenta no existe",IF(AND(OR(I369="Transferencia",I369="Pago tarjeta"),G369=""),"⚠ Indica la cuenta «Hacia»",IF(AND(G369&lt;&gt;"",G369=E369),"⚠ «Hacia» igual a la cuenta",IF(AND(G369&lt;&gt;"",ISNA(MATCH(G369,ctaNom,0))),"⚠ «Hacia» no existe",IF(AND(I369="Pago tarjeta",IFERROR(INDEX(ctaTipo,MATCH(G369,ctaNom,0)),"")&lt;&gt;"Tarjeta de crédito"),"⚠ «Hacia» debe ser la tarjeta",IF(AND(I369="Trading",IFERROR(INDEX(ctaTipo,MATCH(E369,ctaNom,0)),"")&lt;&gt;"Cuenta de trading"),"⚠ Usa la cuenta de trading","✓"))))))))))))</f>
        <v/>
      </c>
      <c r="I369" s="19">
        <f>IF(OR(B369="",C369="",D369=""),"",IFERROR(INDEX(catTipo,MATCH(D369,catNom,0))&amp;"",""))</f>
        <v/>
      </c>
      <c r="J369" s="19">
        <f>IF(I369="","",IFERROR(INDEX(catGrupo,MATCH(D369,catNom,0))&amp;"",""))</f>
        <v/>
      </c>
      <c r="K369" s="19">
        <f>IF(I369="Gasto",IF(IFERROR(INDEX(catClas,MATCH(D369,catNom,0))&amp;"","")="","Variable",IFERROR(INDEX(catClas,MATCH(D369,catNom,0))&amp;"","")),"")</f>
        <v/>
      </c>
      <c r="L369" s="19">
        <f>IF(I369="","",IFERROR(INDEX(catAlim,MATCH(D369,catNom,0))&amp;"",""))</f>
        <v/>
      </c>
      <c r="M369" s="19">
        <f>IF(I369="","",IFERROR(INDEX(catComida,MATCH(D369,catNom,0))&amp;"",""))</f>
        <v/>
      </c>
      <c r="N369" s="19">
        <f>IF(I369="","",IFERROR(INDEX(ctaMon,MATCH(E369,ctaNom,0))&amp;"","DOP"))</f>
        <v/>
      </c>
      <c r="O369" s="20">
        <f>IF(I369="","",C369*IF(N369="USD",TasaUSD,1))</f>
        <v/>
      </c>
      <c r="P369" s="20">
        <f>IF(I369="","",IF(I369="Gasto",O369,0))</f>
        <v/>
      </c>
      <c r="Q369" s="20">
        <f>IF(I369="","",IF(I369="Ingreso",O369,0))</f>
        <v/>
      </c>
      <c r="R369" s="20">
        <f>IF(I369="","",IF(I369="Trading",O369,0))</f>
        <v/>
      </c>
      <c r="S369" s="19">
        <f>IF(I369="","",IF(AND(I369="Gasto",K369="Variable",J369&lt;&gt;"Trading",O369&gt;0,O369&lt;=Umbral),1,0))</f>
        <v/>
      </c>
      <c r="T369" s="20">
        <f>IF(OR(I369="",E369=""),"",IF(OR(I369="Gasto",I369="Transferencia",I369="Pago tarjeta"),-1,1)*C369)</f>
        <v/>
      </c>
      <c r="U369" s="20">
        <f>IF(OR(G369="",AND(I369&lt;&gt;"Transferencia",I369&lt;&gt;"Pago tarjeta")),"",IF(IFERROR(INDEX(ctaMon,MATCH(G369,ctaNom,0))&amp;"","DOP")=N369,C369,IF(N369="USD",C369*TasaUSD,C369/TasaUSD)))</f>
        <v/>
      </c>
      <c r="V369" s="20">
        <f>IF(I369="","",IF(IFERROR(INDEX(ctaLiq,MATCH(E369,ctaNom,0))="Sí",FALSE),IF(OR(I369="Gasto",I369="Transferencia",I369="Pago tarjeta"),-1,1)*O369,0)+IF(AND(U369&lt;&gt;"",IFERROR(INDEX(ctaLiq,MATCH(G369,ctaNom,0))="Sí",FALSE)),O369,0))</f>
        <v/>
      </c>
      <c r="W369" s="19">
        <f>IF(OR(F369="",I369=""),"",IF(COUNTIFS(F$6:F369,F369,I$6:I369,"?*")=1,MAX(W$5:W368)+1,""))</f>
        <v/>
      </c>
    </row>
    <row r="370">
      <c r="B370" s="15" t="n"/>
      <c r="C370" s="16" t="n"/>
      <c r="D370" s="17" t="n"/>
      <c r="E370" s="17" t="n"/>
      <c r="F370" s="17" t="n"/>
      <c r="G370" s="17" t="n"/>
      <c r="H370" s="18">
        <f>IF(AND(B370="",C370="",D370="",E370=""),"",IF(B370="","⚠ Falta fecha",IF(C370="","⚠ Falta monto",IF(D370="","⚠ Falta categoría",IF(ISNA(MATCH(D370,catNom,0)),"⚠ Categoría no existe",IF(E370="","⚠ Falta cuenta",IF(ISNA(MATCH(E370,ctaNom,0)),"⚠ Cuenta no existe",IF(AND(OR(I370="Transferencia",I370="Pago tarjeta"),G370=""),"⚠ Indica la cuenta «Hacia»",IF(AND(G370&lt;&gt;"",G370=E370),"⚠ «Hacia» igual a la cuenta",IF(AND(G370&lt;&gt;"",ISNA(MATCH(G370,ctaNom,0))),"⚠ «Hacia» no existe",IF(AND(I370="Pago tarjeta",IFERROR(INDEX(ctaTipo,MATCH(G370,ctaNom,0)),"")&lt;&gt;"Tarjeta de crédito"),"⚠ «Hacia» debe ser la tarjeta",IF(AND(I370="Trading",IFERROR(INDEX(ctaTipo,MATCH(E370,ctaNom,0)),"")&lt;&gt;"Cuenta de trading"),"⚠ Usa la cuenta de trading","✓"))))))))))))</f>
        <v/>
      </c>
      <c r="I370" s="19">
        <f>IF(OR(B370="",C370="",D370=""),"",IFERROR(INDEX(catTipo,MATCH(D370,catNom,0))&amp;"",""))</f>
        <v/>
      </c>
      <c r="J370" s="19">
        <f>IF(I370="","",IFERROR(INDEX(catGrupo,MATCH(D370,catNom,0))&amp;"",""))</f>
        <v/>
      </c>
      <c r="K370" s="19">
        <f>IF(I370="Gasto",IF(IFERROR(INDEX(catClas,MATCH(D370,catNom,0))&amp;"","")="","Variable",IFERROR(INDEX(catClas,MATCH(D370,catNom,0))&amp;"","")),"")</f>
        <v/>
      </c>
      <c r="L370" s="19">
        <f>IF(I370="","",IFERROR(INDEX(catAlim,MATCH(D370,catNom,0))&amp;"",""))</f>
        <v/>
      </c>
      <c r="M370" s="19">
        <f>IF(I370="","",IFERROR(INDEX(catComida,MATCH(D370,catNom,0))&amp;"",""))</f>
        <v/>
      </c>
      <c r="N370" s="19">
        <f>IF(I370="","",IFERROR(INDEX(ctaMon,MATCH(E370,ctaNom,0))&amp;"","DOP"))</f>
        <v/>
      </c>
      <c r="O370" s="20">
        <f>IF(I370="","",C370*IF(N370="USD",TasaUSD,1))</f>
        <v/>
      </c>
      <c r="P370" s="20">
        <f>IF(I370="","",IF(I370="Gasto",O370,0))</f>
        <v/>
      </c>
      <c r="Q370" s="20">
        <f>IF(I370="","",IF(I370="Ingreso",O370,0))</f>
        <v/>
      </c>
      <c r="R370" s="20">
        <f>IF(I370="","",IF(I370="Trading",O370,0))</f>
        <v/>
      </c>
      <c r="S370" s="19">
        <f>IF(I370="","",IF(AND(I370="Gasto",K370="Variable",J370&lt;&gt;"Trading",O370&gt;0,O370&lt;=Umbral),1,0))</f>
        <v/>
      </c>
      <c r="T370" s="20">
        <f>IF(OR(I370="",E370=""),"",IF(OR(I370="Gasto",I370="Transferencia",I370="Pago tarjeta"),-1,1)*C370)</f>
        <v/>
      </c>
      <c r="U370" s="20">
        <f>IF(OR(G370="",AND(I370&lt;&gt;"Transferencia",I370&lt;&gt;"Pago tarjeta")),"",IF(IFERROR(INDEX(ctaMon,MATCH(G370,ctaNom,0))&amp;"","DOP")=N370,C370,IF(N370="USD",C370*TasaUSD,C370/TasaUSD)))</f>
        <v/>
      </c>
      <c r="V370" s="20">
        <f>IF(I370="","",IF(IFERROR(INDEX(ctaLiq,MATCH(E370,ctaNom,0))="Sí",FALSE),IF(OR(I370="Gasto",I370="Transferencia",I370="Pago tarjeta"),-1,1)*O370,0)+IF(AND(U370&lt;&gt;"",IFERROR(INDEX(ctaLiq,MATCH(G370,ctaNom,0))="Sí",FALSE)),O370,0))</f>
        <v/>
      </c>
      <c r="W370" s="19">
        <f>IF(OR(F370="",I370=""),"",IF(COUNTIFS(F$6:F370,F370,I$6:I370,"?*")=1,MAX(W$5:W369)+1,""))</f>
        <v/>
      </c>
    </row>
    <row r="371">
      <c r="B371" s="15" t="n"/>
      <c r="C371" s="16" t="n"/>
      <c r="D371" s="17" t="n"/>
      <c r="E371" s="17" t="n"/>
      <c r="F371" s="17" t="n"/>
      <c r="G371" s="17" t="n"/>
      <c r="H371" s="18">
        <f>IF(AND(B371="",C371="",D371="",E371=""),"",IF(B371="","⚠ Falta fecha",IF(C371="","⚠ Falta monto",IF(D371="","⚠ Falta categoría",IF(ISNA(MATCH(D371,catNom,0)),"⚠ Categoría no existe",IF(E371="","⚠ Falta cuenta",IF(ISNA(MATCH(E371,ctaNom,0)),"⚠ Cuenta no existe",IF(AND(OR(I371="Transferencia",I371="Pago tarjeta"),G371=""),"⚠ Indica la cuenta «Hacia»",IF(AND(G371&lt;&gt;"",G371=E371),"⚠ «Hacia» igual a la cuenta",IF(AND(G371&lt;&gt;"",ISNA(MATCH(G371,ctaNom,0))),"⚠ «Hacia» no existe",IF(AND(I371="Pago tarjeta",IFERROR(INDEX(ctaTipo,MATCH(G371,ctaNom,0)),"")&lt;&gt;"Tarjeta de crédito"),"⚠ «Hacia» debe ser la tarjeta",IF(AND(I371="Trading",IFERROR(INDEX(ctaTipo,MATCH(E371,ctaNom,0)),"")&lt;&gt;"Cuenta de trading"),"⚠ Usa la cuenta de trading","✓"))))))))))))</f>
        <v/>
      </c>
      <c r="I371" s="19">
        <f>IF(OR(B371="",C371="",D371=""),"",IFERROR(INDEX(catTipo,MATCH(D371,catNom,0))&amp;"",""))</f>
        <v/>
      </c>
      <c r="J371" s="19">
        <f>IF(I371="","",IFERROR(INDEX(catGrupo,MATCH(D371,catNom,0))&amp;"",""))</f>
        <v/>
      </c>
      <c r="K371" s="19">
        <f>IF(I371="Gasto",IF(IFERROR(INDEX(catClas,MATCH(D371,catNom,0))&amp;"","")="","Variable",IFERROR(INDEX(catClas,MATCH(D371,catNom,0))&amp;"","")),"")</f>
        <v/>
      </c>
      <c r="L371" s="19">
        <f>IF(I371="","",IFERROR(INDEX(catAlim,MATCH(D371,catNom,0))&amp;"",""))</f>
        <v/>
      </c>
      <c r="M371" s="19">
        <f>IF(I371="","",IFERROR(INDEX(catComida,MATCH(D371,catNom,0))&amp;"",""))</f>
        <v/>
      </c>
      <c r="N371" s="19">
        <f>IF(I371="","",IFERROR(INDEX(ctaMon,MATCH(E371,ctaNom,0))&amp;"","DOP"))</f>
        <v/>
      </c>
      <c r="O371" s="20">
        <f>IF(I371="","",C371*IF(N371="USD",TasaUSD,1))</f>
        <v/>
      </c>
      <c r="P371" s="20">
        <f>IF(I371="","",IF(I371="Gasto",O371,0))</f>
        <v/>
      </c>
      <c r="Q371" s="20">
        <f>IF(I371="","",IF(I371="Ingreso",O371,0))</f>
        <v/>
      </c>
      <c r="R371" s="20">
        <f>IF(I371="","",IF(I371="Trading",O371,0))</f>
        <v/>
      </c>
      <c r="S371" s="19">
        <f>IF(I371="","",IF(AND(I371="Gasto",K371="Variable",J371&lt;&gt;"Trading",O371&gt;0,O371&lt;=Umbral),1,0))</f>
        <v/>
      </c>
      <c r="T371" s="20">
        <f>IF(OR(I371="",E371=""),"",IF(OR(I371="Gasto",I371="Transferencia",I371="Pago tarjeta"),-1,1)*C371)</f>
        <v/>
      </c>
      <c r="U371" s="20">
        <f>IF(OR(G371="",AND(I371&lt;&gt;"Transferencia",I371&lt;&gt;"Pago tarjeta")),"",IF(IFERROR(INDEX(ctaMon,MATCH(G371,ctaNom,0))&amp;"","DOP")=N371,C371,IF(N371="USD",C371*TasaUSD,C371/TasaUSD)))</f>
        <v/>
      </c>
      <c r="V371" s="20">
        <f>IF(I371="","",IF(IFERROR(INDEX(ctaLiq,MATCH(E371,ctaNom,0))="Sí",FALSE),IF(OR(I371="Gasto",I371="Transferencia",I371="Pago tarjeta"),-1,1)*O371,0)+IF(AND(U371&lt;&gt;"",IFERROR(INDEX(ctaLiq,MATCH(G371,ctaNom,0))="Sí",FALSE)),O371,0))</f>
        <v/>
      </c>
      <c r="W371" s="19">
        <f>IF(OR(F371="",I371=""),"",IF(COUNTIFS(F$6:F371,F371,I$6:I371,"?*")=1,MAX(W$5:W370)+1,""))</f>
        <v/>
      </c>
    </row>
    <row r="372">
      <c r="B372" s="15" t="n"/>
      <c r="C372" s="16" t="n"/>
      <c r="D372" s="17" t="n"/>
      <c r="E372" s="17" t="n"/>
      <c r="F372" s="17" t="n"/>
      <c r="G372" s="17" t="n"/>
      <c r="H372" s="18">
        <f>IF(AND(B372="",C372="",D372="",E372=""),"",IF(B372="","⚠ Falta fecha",IF(C372="","⚠ Falta monto",IF(D372="","⚠ Falta categoría",IF(ISNA(MATCH(D372,catNom,0)),"⚠ Categoría no existe",IF(E372="","⚠ Falta cuenta",IF(ISNA(MATCH(E372,ctaNom,0)),"⚠ Cuenta no existe",IF(AND(OR(I372="Transferencia",I372="Pago tarjeta"),G372=""),"⚠ Indica la cuenta «Hacia»",IF(AND(G372&lt;&gt;"",G372=E372),"⚠ «Hacia» igual a la cuenta",IF(AND(G372&lt;&gt;"",ISNA(MATCH(G372,ctaNom,0))),"⚠ «Hacia» no existe",IF(AND(I372="Pago tarjeta",IFERROR(INDEX(ctaTipo,MATCH(G372,ctaNom,0)),"")&lt;&gt;"Tarjeta de crédito"),"⚠ «Hacia» debe ser la tarjeta",IF(AND(I372="Trading",IFERROR(INDEX(ctaTipo,MATCH(E372,ctaNom,0)),"")&lt;&gt;"Cuenta de trading"),"⚠ Usa la cuenta de trading","✓"))))))))))))</f>
        <v/>
      </c>
      <c r="I372" s="19">
        <f>IF(OR(B372="",C372="",D372=""),"",IFERROR(INDEX(catTipo,MATCH(D372,catNom,0))&amp;"",""))</f>
        <v/>
      </c>
      <c r="J372" s="19">
        <f>IF(I372="","",IFERROR(INDEX(catGrupo,MATCH(D372,catNom,0))&amp;"",""))</f>
        <v/>
      </c>
      <c r="K372" s="19">
        <f>IF(I372="Gasto",IF(IFERROR(INDEX(catClas,MATCH(D372,catNom,0))&amp;"","")="","Variable",IFERROR(INDEX(catClas,MATCH(D372,catNom,0))&amp;"","")),"")</f>
        <v/>
      </c>
      <c r="L372" s="19">
        <f>IF(I372="","",IFERROR(INDEX(catAlim,MATCH(D372,catNom,0))&amp;"",""))</f>
        <v/>
      </c>
      <c r="M372" s="19">
        <f>IF(I372="","",IFERROR(INDEX(catComida,MATCH(D372,catNom,0))&amp;"",""))</f>
        <v/>
      </c>
      <c r="N372" s="19">
        <f>IF(I372="","",IFERROR(INDEX(ctaMon,MATCH(E372,ctaNom,0))&amp;"","DOP"))</f>
        <v/>
      </c>
      <c r="O372" s="20">
        <f>IF(I372="","",C372*IF(N372="USD",TasaUSD,1))</f>
        <v/>
      </c>
      <c r="P372" s="20">
        <f>IF(I372="","",IF(I372="Gasto",O372,0))</f>
        <v/>
      </c>
      <c r="Q372" s="20">
        <f>IF(I372="","",IF(I372="Ingreso",O372,0))</f>
        <v/>
      </c>
      <c r="R372" s="20">
        <f>IF(I372="","",IF(I372="Trading",O372,0))</f>
        <v/>
      </c>
      <c r="S372" s="19">
        <f>IF(I372="","",IF(AND(I372="Gasto",K372="Variable",J372&lt;&gt;"Trading",O372&gt;0,O372&lt;=Umbral),1,0))</f>
        <v/>
      </c>
      <c r="T372" s="20">
        <f>IF(OR(I372="",E372=""),"",IF(OR(I372="Gasto",I372="Transferencia",I372="Pago tarjeta"),-1,1)*C372)</f>
        <v/>
      </c>
      <c r="U372" s="20">
        <f>IF(OR(G372="",AND(I372&lt;&gt;"Transferencia",I372&lt;&gt;"Pago tarjeta")),"",IF(IFERROR(INDEX(ctaMon,MATCH(G372,ctaNom,0))&amp;"","DOP")=N372,C372,IF(N372="USD",C372*TasaUSD,C372/TasaUSD)))</f>
        <v/>
      </c>
      <c r="V372" s="20">
        <f>IF(I372="","",IF(IFERROR(INDEX(ctaLiq,MATCH(E372,ctaNom,0))="Sí",FALSE),IF(OR(I372="Gasto",I372="Transferencia",I372="Pago tarjeta"),-1,1)*O372,0)+IF(AND(U372&lt;&gt;"",IFERROR(INDEX(ctaLiq,MATCH(G372,ctaNom,0))="Sí",FALSE)),O372,0))</f>
        <v/>
      </c>
      <c r="W372" s="19">
        <f>IF(OR(F372="",I372=""),"",IF(COUNTIFS(F$6:F372,F372,I$6:I372,"?*")=1,MAX(W$5:W371)+1,""))</f>
        <v/>
      </c>
    </row>
    <row r="373">
      <c r="B373" s="15" t="n"/>
      <c r="C373" s="16" t="n"/>
      <c r="D373" s="17" t="n"/>
      <c r="E373" s="17" t="n"/>
      <c r="F373" s="17" t="n"/>
      <c r="G373" s="17" t="n"/>
      <c r="H373" s="18">
        <f>IF(AND(B373="",C373="",D373="",E373=""),"",IF(B373="","⚠ Falta fecha",IF(C373="","⚠ Falta monto",IF(D373="","⚠ Falta categoría",IF(ISNA(MATCH(D373,catNom,0)),"⚠ Categoría no existe",IF(E373="","⚠ Falta cuenta",IF(ISNA(MATCH(E373,ctaNom,0)),"⚠ Cuenta no existe",IF(AND(OR(I373="Transferencia",I373="Pago tarjeta"),G373=""),"⚠ Indica la cuenta «Hacia»",IF(AND(G373&lt;&gt;"",G373=E373),"⚠ «Hacia» igual a la cuenta",IF(AND(G373&lt;&gt;"",ISNA(MATCH(G373,ctaNom,0))),"⚠ «Hacia» no existe",IF(AND(I373="Pago tarjeta",IFERROR(INDEX(ctaTipo,MATCH(G373,ctaNom,0)),"")&lt;&gt;"Tarjeta de crédito"),"⚠ «Hacia» debe ser la tarjeta",IF(AND(I373="Trading",IFERROR(INDEX(ctaTipo,MATCH(E373,ctaNom,0)),"")&lt;&gt;"Cuenta de trading"),"⚠ Usa la cuenta de trading","✓"))))))))))))</f>
        <v/>
      </c>
      <c r="I373" s="19">
        <f>IF(OR(B373="",C373="",D373=""),"",IFERROR(INDEX(catTipo,MATCH(D373,catNom,0))&amp;"",""))</f>
        <v/>
      </c>
      <c r="J373" s="19">
        <f>IF(I373="","",IFERROR(INDEX(catGrupo,MATCH(D373,catNom,0))&amp;"",""))</f>
        <v/>
      </c>
      <c r="K373" s="19">
        <f>IF(I373="Gasto",IF(IFERROR(INDEX(catClas,MATCH(D373,catNom,0))&amp;"","")="","Variable",IFERROR(INDEX(catClas,MATCH(D373,catNom,0))&amp;"","")),"")</f>
        <v/>
      </c>
      <c r="L373" s="19">
        <f>IF(I373="","",IFERROR(INDEX(catAlim,MATCH(D373,catNom,0))&amp;"",""))</f>
        <v/>
      </c>
      <c r="M373" s="19">
        <f>IF(I373="","",IFERROR(INDEX(catComida,MATCH(D373,catNom,0))&amp;"",""))</f>
        <v/>
      </c>
      <c r="N373" s="19">
        <f>IF(I373="","",IFERROR(INDEX(ctaMon,MATCH(E373,ctaNom,0))&amp;"","DOP"))</f>
        <v/>
      </c>
      <c r="O373" s="20">
        <f>IF(I373="","",C373*IF(N373="USD",TasaUSD,1))</f>
        <v/>
      </c>
      <c r="P373" s="20">
        <f>IF(I373="","",IF(I373="Gasto",O373,0))</f>
        <v/>
      </c>
      <c r="Q373" s="20">
        <f>IF(I373="","",IF(I373="Ingreso",O373,0))</f>
        <v/>
      </c>
      <c r="R373" s="20">
        <f>IF(I373="","",IF(I373="Trading",O373,0))</f>
        <v/>
      </c>
      <c r="S373" s="19">
        <f>IF(I373="","",IF(AND(I373="Gasto",K373="Variable",J373&lt;&gt;"Trading",O373&gt;0,O373&lt;=Umbral),1,0))</f>
        <v/>
      </c>
      <c r="T373" s="20">
        <f>IF(OR(I373="",E373=""),"",IF(OR(I373="Gasto",I373="Transferencia",I373="Pago tarjeta"),-1,1)*C373)</f>
        <v/>
      </c>
      <c r="U373" s="20">
        <f>IF(OR(G373="",AND(I373&lt;&gt;"Transferencia",I373&lt;&gt;"Pago tarjeta")),"",IF(IFERROR(INDEX(ctaMon,MATCH(G373,ctaNom,0))&amp;"","DOP")=N373,C373,IF(N373="USD",C373*TasaUSD,C373/TasaUSD)))</f>
        <v/>
      </c>
      <c r="V373" s="20">
        <f>IF(I373="","",IF(IFERROR(INDEX(ctaLiq,MATCH(E373,ctaNom,0))="Sí",FALSE),IF(OR(I373="Gasto",I373="Transferencia",I373="Pago tarjeta"),-1,1)*O373,0)+IF(AND(U373&lt;&gt;"",IFERROR(INDEX(ctaLiq,MATCH(G373,ctaNom,0))="Sí",FALSE)),O373,0))</f>
        <v/>
      </c>
      <c r="W373" s="19">
        <f>IF(OR(F373="",I373=""),"",IF(COUNTIFS(F$6:F373,F373,I$6:I373,"?*")=1,MAX(W$5:W372)+1,""))</f>
        <v/>
      </c>
    </row>
    <row r="374">
      <c r="B374" s="15" t="n"/>
      <c r="C374" s="16" t="n"/>
      <c r="D374" s="17" t="n"/>
      <c r="E374" s="17" t="n"/>
      <c r="F374" s="17" t="n"/>
      <c r="G374" s="17" t="n"/>
      <c r="H374" s="18">
        <f>IF(AND(B374="",C374="",D374="",E374=""),"",IF(B374="","⚠ Falta fecha",IF(C374="","⚠ Falta monto",IF(D374="","⚠ Falta categoría",IF(ISNA(MATCH(D374,catNom,0)),"⚠ Categoría no existe",IF(E374="","⚠ Falta cuenta",IF(ISNA(MATCH(E374,ctaNom,0)),"⚠ Cuenta no existe",IF(AND(OR(I374="Transferencia",I374="Pago tarjeta"),G374=""),"⚠ Indica la cuenta «Hacia»",IF(AND(G374&lt;&gt;"",G374=E374),"⚠ «Hacia» igual a la cuenta",IF(AND(G374&lt;&gt;"",ISNA(MATCH(G374,ctaNom,0))),"⚠ «Hacia» no existe",IF(AND(I374="Pago tarjeta",IFERROR(INDEX(ctaTipo,MATCH(G374,ctaNom,0)),"")&lt;&gt;"Tarjeta de crédito"),"⚠ «Hacia» debe ser la tarjeta",IF(AND(I374="Trading",IFERROR(INDEX(ctaTipo,MATCH(E374,ctaNom,0)),"")&lt;&gt;"Cuenta de trading"),"⚠ Usa la cuenta de trading","✓"))))))))))))</f>
        <v/>
      </c>
      <c r="I374" s="19">
        <f>IF(OR(B374="",C374="",D374=""),"",IFERROR(INDEX(catTipo,MATCH(D374,catNom,0))&amp;"",""))</f>
        <v/>
      </c>
      <c r="J374" s="19">
        <f>IF(I374="","",IFERROR(INDEX(catGrupo,MATCH(D374,catNom,0))&amp;"",""))</f>
        <v/>
      </c>
      <c r="K374" s="19">
        <f>IF(I374="Gasto",IF(IFERROR(INDEX(catClas,MATCH(D374,catNom,0))&amp;"","")="","Variable",IFERROR(INDEX(catClas,MATCH(D374,catNom,0))&amp;"","")),"")</f>
        <v/>
      </c>
      <c r="L374" s="19">
        <f>IF(I374="","",IFERROR(INDEX(catAlim,MATCH(D374,catNom,0))&amp;"",""))</f>
        <v/>
      </c>
      <c r="M374" s="19">
        <f>IF(I374="","",IFERROR(INDEX(catComida,MATCH(D374,catNom,0))&amp;"",""))</f>
        <v/>
      </c>
      <c r="N374" s="19">
        <f>IF(I374="","",IFERROR(INDEX(ctaMon,MATCH(E374,ctaNom,0))&amp;"","DOP"))</f>
        <v/>
      </c>
      <c r="O374" s="20">
        <f>IF(I374="","",C374*IF(N374="USD",TasaUSD,1))</f>
        <v/>
      </c>
      <c r="P374" s="20">
        <f>IF(I374="","",IF(I374="Gasto",O374,0))</f>
        <v/>
      </c>
      <c r="Q374" s="20">
        <f>IF(I374="","",IF(I374="Ingreso",O374,0))</f>
        <v/>
      </c>
      <c r="R374" s="20">
        <f>IF(I374="","",IF(I374="Trading",O374,0))</f>
        <v/>
      </c>
      <c r="S374" s="19">
        <f>IF(I374="","",IF(AND(I374="Gasto",K374="Variable",J374&lt;&gt;"Trading",O374&gt;0,O374&lt;=Umbral),1,0))</f>
        <v/>
      </c>
      <c r="T374" s="20">
        <f>IF(OR(I374="",E374=""),"",IF(OR(I374="Gasto",I374="Transferencia",I374="Pago tarjeta"),-1,1)*C374)</f>
        <v/>
      </c>
      <c r="U374" s="20">
        <f>IF(OR(G374="",AND(I374&lt;&gt;"Transferencia",I374&lt;&gt;"Pago tarjeta")),"",IF(IFERROR(INDEX(ctaMon,MATCH(G374,ctaNom,0))&amp;"","DOP")=N374,C374,IF(N374="USD",C374*TasaUSD,C374/TasaUSD)))</f>
        <v/>
      </c>
      <c r="V374" s="20">
        <f>IF(I374="","",IF(IFERROR(INDEX(ctaLiq,MATCH(E374,ctaNom,0))="Sí",FALSE),IF(OR(I374="Gasto",I374="Transferencia",I374="Pago tarjeta"),-1,1)*O374,0)+IF(AND(U374&lt;&gt;"",IFERROR(INDEX(ctaLiq,MATCH(G374,ctaNom,0))="Sí",FALSE)),O374,0))</f>
        <v/>
      </c>
      <c r="W374" s="19">
        <f>IF(OR(F374="",I374=""),"",IF(COUNTIFS(F$6:F374,F374,I$6:I374,"?*")=1,MAX(W$5:W373)+1,""))</f>
        <v/>
      </c>
    </row>
    <row r="375">
      <c r="B375" s="15" t="n"/>
      <c r="C375" s="16" t="n"/>
      <c r="D375" s="17" t="n"/>
      <c r="E375" s="17" t="n"/>
      <c r="F375" s="17" t="n"/>
      <c r="G375" s="17" t="n"/>
      <c r="H375" s="18">
        <f>IF(AND(B375="",C375="",D375="",E375=""),"",IF(B375="","⚠ Falta fecha",IF(C375="","⚠ Falta monto",IF(D375="","⚠ Falta categoría",IF(ISNA(MATCH(D375,catNom,0)),"⚠ Categoría no existe",IF(E375="","⚠ Falta cuenta",IF(ISNA(MATCH(E375,ctaNom,0)),"⚠ Cuenta no existe",IF(AND(OR(I375="Transferencia",I375="Pago tarjeta"),G375=""),"⚠ Indica la cuenta «Hacia»",IF(AND(G375&lt;&gt;"",G375=E375),"⚠ «Hacia» igual a la cuenta",IF(AND(G375&lt;&gt;"",ISNA(MATCH(G375,ctaNom,0))),"⚠ «Hacia» no existe",IF(AND(I375="Pago tarjeta",IFERROR(INDEX(ctaTipo,MATCH(G375,ctaNom,0)),"")&lt;&gt;"Tarjeta de crédito"),"⚠ «Hacia» debe ser la tarjeta",IF(AND(I375="Trading",IFERROR(INDEX(ctaTipo,MATCH(E375,ctaNom,0)),"")&lt;&gt;"Cuenta de trading"),"⚠ Usa la cuenta de trading","✓"))))))))))))</f>
        <v/>
      </c>
      <c r="I375" s="19">
        <f>IF(OR(B375="",C375="",D375=""),"",IFERROR(INDEX(catTipo,MATCH(D375,catNom,0))&amp;"",""))</f>
        <v/>
      </c>
      <c r="J375" s="19">
        <f>IF(I375="","",IFERROR(INDEX(catGrupo,MATCH(D375,catNom,0))&amp;"",""))</f>
        <v/>
      </c>
      <c r="K375" s="19">
        <f>IF(I375="Gasto",IF(IFERROR(INDEX(catClas,MATCH(D375,catNom,0))&amp;"","")="","Variable",IFERROR(INDEX(catClas,MATCH(D375,catNom,0))&amp;"","")),"")</f>
        <v/>
      </c>
      <c r="L375" s="19">
        <f>IF(I375="","",IFERROR(INDEX(catAlim,MATCH(D375,catNom,0))&amp;"",""))</f>
        <v/>
      </c>
      <c r="M375" s="19">
        <f>IF(I375="","",IFERROR(INDEX(catComida,MATCH(D375,catNom,0))&amp;"",""))</f>
        <v/>
      </c>
      <c r="N375" s="19">
        <f>IF(I375="","",IFERROR(INDEX(ctaMon,MATCH(E375,ctaNom,0))&amp;"","DOP"))</f>
        <v/>
      </c>
      <c r="O375" s="20">
        <f>IF(I375="","",C375*IF(N375="USD",TasaUSD,1))</f>
        <v/>
      </c>
      <c r="P375" s="20">
        <f>IF(I375="","",IF(I375="Gasto",O375,0))</f>
        <v/>
      </c>
      <c r="Q375" s="20">
        <f>IF(I375="","",IF(I375="Ingreso",O375,0))</f>
        <v/>
      </c>
      <c r="R375" s="20">
        <f>IF(I375="","",IF(I375="Trading",O375,0))</f>
        <v/>
      </c>
      <c r="S375" s="19">
        <f>IF(I375="","",IF(AND(I375="Gasto",K375="Variable",J375&lt;&gt;"Trading",O375&gt;0,O375&lt;=Umbral),1,0))</f>
        <v/>
      </c>
      <c r="T375" s="20">
        <f>IF(OR(I375="",E375=""),"",IF(OR(I375="Gasto",I375="Transferencia",I375="Pago tarjeta"),-1,1)*C375)</f>
        <v/>
      </c>
      <c r="U375" s="20">
        <f>IF(OR(G375="",AND(I375&lt;&gt;"Transferencia",I375&lt;&gt;"Pago tarjeta")),"",IF(IFERROR(INDEX(ctaMon,MATCH(G375,ctaNom,0))&amp;"","DOP")=N375,C375,IF(N375="USD",C375*TasaUSD,C375/TasaUSD)))</f>
        <v/>
      </c>
      <c r="V375" s="20">
        <f>IF(I375="","",IF(IFERROR(INDEX(ctaLiq,MATCH(E375,ctaNom,0))="Sí",FALSE),IF(OR(I375="Gasto",I375="Transferencia",I375="Pago tarjeta"),-1,1)*O375,0)+IF(AND(U375&lt;&gt;"",IFERROR(INDEX(ctaLiq,MATCH(G375,ctaNom,0))="Sí",FALSE)),O375,0))</f>
        <v/>
      </c>
      <c r="W375" s="19">
        <f>IF(OR(F375="",I375=""),"",IF(COUNTIFS(F$6:F375,F375,I$6:I375,"?*")=1,MAX(W$5:W374)+1,""))</f>
        <v/>
      </c>
    </row>
    <row r="376">
      <c r="B376" s="15" t="n"/>
      <c r="C376" s="16" t="n"/>
      <c r="D376" s="17" t="n"/>
      <c r="E376" s="17" t="n"/>
      <c r="F376" s="17" t="n"/>
      <c r="G376" s="17" t="n"/>
      <c r="H376" s="18">
        <f>IF(AND(B376="",C376="",D376="",E376=""),"",IF(B376="","⚠ Falta fecha",IF(C376="","⚠ Falta monto",IF(D376="","⚠ Falta categoría",IF(ISNA(MATCH(D376,catNom,0)),"⚠ Categoría no existe",IF(E376="","⚠ Falta cuenta",IF(ISNA(MATCH(E376,ctaNom,0)),"⚠ Cuenta no existe",IF(AND(OR(I376="Transferencia",I376="Pago tarjeta"),G376=""),"⚠ Indica la cuenta «Hacia»",IF(AND(G376&lt;&gt;"",G376=E376),"⚠ «Hacia» igual a la cuenta",IF(AND(G376&lt;&gt;"",ISNA(MATCH(G376,ctaNom,0))),"⚠ «Hacia» no existe",IF(AND(I376="Pago tarjeta",IFERROR(INDEX(ctaTipo,MATCH(G376,ctaNom,0)),"")&lt;&gt;"Tarjeta de crédito"),"⚠ «Hacia» debe ser la tarjeta",IF(AND(I376="Trading",IFERROR(INDEX(ctaTipo,MATCH(E376,ctaNom,0)),"")&lt;&gt;"Cuenta de trading"),"⚠ Usa la cuenta de trading","✓"))))))))))))</f>
        <v/>
      </c>
      <c r="I376" s="19">
        <f>IF(OR(B376="",C376="",D376=""),"",IFERROR(INDEX(catTipo,MATCH(D376,catNom,0))&amp;"",""))</f>
        <v/>
      </c>
      <c r="J376" s="19">
        <f>IF(I376="","",IFERROR(INDEX(catGrupo,MATCH(D376,catNom,0))&amp;"",""))</f>
        <v/>
      </c>
      <c r="K376" s="19">
        <f>IF(I376="Gasto",IF(IFERROR(INDEX(catClas,MATCH(D376,catNom,0))&amp;"","")="","Variable",IFERROR(INDEX(catClas,MATCH(D376,catNom,0))&amp;"","")),"")</f>
        <v/>
      </c>
      <c r="L376" s="19">
        <f>IF(I376="","",IFERROR(INDEX(catAlim,MATCH(D376,catNom,0))&amp;"",""))</f>
        <v/>
      </c>
      <c r="M376" s="19">
        <f>IF(I376="","",IFERROR(INDEX(catComida,MATCH(D376,catNom,0))&amp;"",""))</f>
        <v/>
      </c>
      <c r="N376" s="19">
        <f>IF(I376="","",IFERROR(INDEX(ctaMon,MATCH(E376,ctaNom,0))&amp;"","DOP"))</f>
        <v/>
      </c>
      <c r="O376" s="20">
        <f>IF(I376="","",C376*IF(N376="USD",TasaUSD,1))</f>
        <v/>
      </c>
      <c r="P376" s="20">
        <f>IF(I376="","",IF(I376="Gasto",O376,0))</f>
        <v/>
      </c>
      <c r="Q376" s="20">
        <f>IF(I376="","",IF(I376="Ingreso",O376,0))</f>
        <v/>
      </c>
      <c r="R376" s="20">
        <f>IF(I376="","",IF(I376="Trading",O376,0))</f>
        <v/>
      </c>
      <c r="S376" s="19">
        <f>IF(I376="","",IF(AND(I376="Gasto",K376="Variable",J376&lt;&gt;"Trading",O376&gt;0,O376&lt;=Umbral),1,0))</f>
        <v/>
      </c>
      <c r="T376" s="20">
        <f>IF(OR(I376="",E376=""),"",IF(OR(I376="Gasto",I376="Transferencia",I376="Pago tarjeta"),-1,1)*C376)</f>
        <v/>
      </c>
      <c r="U376" s="20">
        <f>IF(OR(G376="",AND(I376&lt;&gt;"Transferencia",I376&lt;&gt;"Pago tarjeta")),"",IF(IFERROR(INDEX(ctaMon,MATCH(G376,ctaNom,0))&amp;"","DOP")=N376,C376,IF(N376="USD",C376*TasaUSD,C376/TasaUSD)))</f>
        <v/>
      </c>
      <c r="V376" s="20">
        <f>IF(I376="","",IF(IFERROR(INDEX(ctaLiq,MATCH(E376,ctaNom,0))="Sí",FALSE),IF(OR(I376="Gasto",I376="Transferencia",I376="Pago tarjeta"),-1,1)*O376,0)+IF(AND(U376&lt;&gt;"",IFERROR(INDEX(ctaLiq,MATCH(G376,ctaNom,0))="Sí",FALSE)),O376,0))</f>
        <v/>
      </c>
      <c r="W376" s="19">
        <f>IF(OR(F376="",I376=""),"",IF(COUNTIFS(F$6:F376,F376,I$6:I376,"?*")=1,MAX(W$5:W375)+1,""))</f>
        <v/>
      </c>
    </row>
    <row r="377">
      <c r="B377" s="15" t="n"/>
      <c r="C377" s="16" t="n"/>
      <c r="D377" s="17" t="n"/>
      <c r="E377" s="17" t="n"/>
      <c r="F377" s="17" t="n"/>
      <c r="G377" s="17" t="n"/>
      <c r="H377" s="18">
        <f>IF(AND(B377="",C377="",D377="",E377=""),"",IF(B377="","⚠ Falta fecha",IF(C377="","⚠ Falta monto",IF(D377="","⚠ Falta categoría",IF(ISNA(MATCH(D377,catNom,0)),"⚠ Categoría no existe",IF(E377="","⚠ Falta cuenta",IF(ISNA(MATCH(E377,ctaNom,0)),"⚠ Cuenta no existe",IF(AND(OR(I377="Transferencia",I377="Pago tarjeta"),G377=""),"⚠ Indica la cuenta «Hacia»",IF(AND(G377&lt;&gt;"",G377=E377),"⚠ «Hacia» igual a la cuenta",IF(AND(G377&lt;&gt;"",ISNA(MATCH(G377,ctaNom,0))),"⚠ «Hacia» no existe",IF(AND(I377="Pago tarjeta",IFERROR(INDEX(ctaTipo,MATCH(G377,ctaNom,0)),"")&lt;&gt;"Tarjeta de crédito"),"⚠ «Hacia» debe ser la tarjeta",IF(AND(I377="Trading",IFERROR(INDEX(ctaTipo,MATCH(E377,ctaNom,0)),"")&lt;&gt;"Cuenta de trading"),"⚠ Usa la cuenta de trading","✓"))))))))))))</f>
        <v/>
      </c>
      <c r="I377" s="19">
        <f>IF(OR(B377="",C377="",D377=""),"",IFERROR(INDEX(catTipo,MATCH(D377,catNom,0))&amp;"",""))</f>
        <v/>
      </c>
      <c r="J377" s="19">
        <f>IF(I377="","",IFERROR(INDEX(catGrupo,MATCH(D377,catNom,0))&amp;"",""))</f>
        <v/>
      </c>
      <c r="K377" s="19">
        <f>IF(I377="Gasto",IF(IFERROR(INDEX(catClas,MATCH(D377,catNom,0))&amp;"","")="","Variable",IFERROR(INDEX(catClas,MATCH(D377,catNom,0))&amp;"","")),"")</f>
        <v/>
      </c>
      <c r="L377" s="19">
        <f>IF(I377="","",IFERROR(INDEX(catAlim,MATCH(D377,catNom,0))&amp;"",""))</f>
        <v/>
      </c>
      <c r="M377" s="19">
        <f>IF(I377="","",IFERROR(INDEX(catComida,MATCH(D377,catNom,0))&amp;"",""))</f>
        <v/>
      </c>
      <c r="N377" s="19">
        <f>IF(I377="","",IFERROR(INDEX(ctaMon,MATCH(E377,ctaNom,0))&amp;"","DOP"))</f>
        <v/>
      </c>
      <c r="O377" s="20">
        <f>IF(I377="","",C377*IF(N377="USD",TasaUSD,1))</f>
        <v/>
      </c>
      <c r="P377" s="20">
        <f>IF(I377="","",IF(I377="Gasto",O377,0))</f>
        <v/>
      </c>
      <c r="Q377" s="20">
        <f>IF(I377="","",IF(I377="Ingreso",O377,0))</f>
        <v/>
      </c>
      <c r="R377" s="20">
        <f>IF(I377="","",IF(I377="Trading",O377,0))</f>
        <v/>
      </c>
      <c r="S377" s="19">
        <f>IF(I377="","",IF(AND(I377="Gasto",K377="Variable",J377&lt;&gt;"Trading",O377&gt;0,O377&lt;=Umbral),1,0))</f>
        <v/>
      </c>
      <c r="T377" s="20">
        <f>IF(OR(I377="",E377=""),"",IF(OR(I377="Gasto",I377="Transferencia",I377="Pago tarjeta"),-1,1)*C377)</f>
        <v/>
      </c>
      <c r="U377" s="20">
        <f>IF(OR(G377="",AND(I377&lt;&gt;"Transferencia",I377&lt;&gt;"Pago tarjeta")),"",IF(IFERROR(INDEX(ctaMon,MATCH(G377,ctaNom,0))&amp;"","DOP")=N377,C377,IF(N377="USD",C377*TasaUSD,C377/TasaUSD)))</f>
        <v/>
      </c>
      <c r="V377" s="20">
        <f>IF(I377="","",IF(IFERROR(INDEX(ctaLiq,MATCH(E377,ctaNom,0))="Sí",FALSE),IF(OR(I377="Gasto",I377="Transferencia",I377="Pago tarjeta"),-1,1)*O377,0)+IF(AND(U377&lt;&gt;"",IFERROR(INDEX(ctaLiq,MATCH(G377,ctaNom,0))="Sí",FALSE)),O377,0))</f>
        <v/>
      </c>
      <c r="W377" s="19">
        <f>IF(OR(F377="",I377=""),"",IF(COUNTIFS(F$6:F377,F377,I$6:I377,"?*")=1,MAX(W$5:W376)+1,""))</f>
        <v/>
      </c>
    </row>
    <row r="378">
      <c r="B378" s="15" t="n"/>
      <c r="C378" s="16" t="n"/>
      <c r="D378" s="17" t="n"/>
      <c r="E378" s="17" t="n"/>
      <c r="F378" s="17" t="n"/>
      <c r="G378" s="17" t="n"/>
      <c r="H378" s="18">
        <f>IF(AND(B378="",C378="",D378="",E378=""),"",IF(B378="","⚠ Falta fecha",IF(C378="","⚠ Falta monto",IF(D378="","⚠ Falta categoría",IF(ISNA(MATCH(D378,catNom,0)),"⚠ Categoría no existe",IF(E378="","⚠ Falta cuenta",IF(ISNA(MATCH(E378,ctaNom,0)),"⚠ Cuenta no existe",IF(AND(OR(I378="Transferencia",I378="Pago tarjeta"),G378=""),"⚠ Indica la cuenta «Hacia»",IF(AND(G378&lt;&gt;"",G378=E378),"⚠ «Hacia» igual a la cuenta",IF(AND(G378&lt;&gt;"",ISNA(MATCH(G378,ctaNom,0))),"⚠ «Hacia» no existe",IF(AND(I378="Pago tarjeta",IFERROR(INDEX(ctaTipo,MATCH(G378,ctaNom,0)),"")&lt;&gt;"Tarjeta de crédito"),"⚠ «Hacia» debe ser la tarjeta",IF(AND(I378="Trading",IFERROR(INDEX(ctaTipo,MATCH(E378,ctaNom,0)),"")&lt;&gt;"Cuenta de trading"),"⚠ Usa la cuenta de trading","✓"))))))))))))</f>
        <v/>
      </c>
      <c r="I378" s="19">
        <f>IF(OR(B378="",C378="",D378=""),"",IFERROR(INDEX(catTipo,MATCH(D378,catNom,0))&amp;"",""))</f>
        <v/>
      </c>
      <c r="J378" s="19">
        <f>IF(I378="","",IFERROR(INDEX(catGrupo,MATCH(D378,catNom,0))&amp;"",""))</f>
        <v/>
      </c>
      <c r="K378" s="19">
        <f>IF(I378="Gasto",IF(IFERROR(INDEX(catClas,MATCH(D378,catNom,0))&amp;"","")="","Variable",IFERROR(INDEX(catClas,MATCH(D378,catNom,0))&amp;"","")),"")</f>
        <v/>
      </c>
      <c r="L378" s="19">
        <f>IF(I378="","",IFERROR(INDEX(catAlim,MATCH(D378,catNom,0))&amp;"",""))</f>
        <v/>
      </c>
      <c r="M378" s="19">
        <f>IF(I378="","",IFERROR(INDEX(catComida,MATCH(D378,catNom,0))&amp;"",""))</f>
        <v/>
      </c>
      <c r="N378" s="19">
        <f>IF(I378="","",IFERROR(INDEX(ctaMon,MATCH(E378,ctaNom,0))&amp;"","DOP"))</f>
        <v/>
      </c>
      <c r="O378" s="20">
        <f>IF(I378="","",C378*IF(N378="USD",TasaUSD,1))</f>
        <v/>
      </c>
      <c r="P378" s="20">
        <f>IF(I378="","",IF(I378="Gasto",O378,0))</f>
        <v/>
      </c>
      <c r="Q378" s="20">
        <f>IF(I378="","",IF(I378="Ingreso",O378,0))</f>
        <v/>
      </c>
      <c r="R378" s="20">
        <f>IF(I378="","",IF(I378="Trading",O378,0))</f>
        <v/>
      </c>
      <c r="S378" s="19">
        <f>IF(I378="","",IF(AND(I378="Gasto",K378="Variable",J378&lt;&gt;"Trading",O378&gt;0,O378&lt;=Umbral),1,0))</f>
        <v/>
      </c>
      <c r="T378" s="20">
        <f>IF(OR(I378="",E378=""),"",IF(OR(I378="Gasto",I378="Transferencia",I378="Pago tarjeta"),-1,1)*C378)</f>
        <v/>
      </c>
      <c r="U378" s="20">
        <f>IF(OR(G378="",AND(I378&lt;&gt;"Transferencia",I378&lt;&gt;"Pago tarjeta")),"",IF(IFERROR(INDEX(ctaMon,MATCH(G378,ctaNom,0))&amp;"","DOP")=N378,C378,IF(N378="USD",C378*TasaUSD,C378/TasaUSD)))</f>
        <v/>
      </c>
      <c r="V378" s="20">
        <f>IF(I378="","",IF(IFERROR(INDEX(ctaLiq,MATCH(E378,ctaNom,0))="Sí",FALSE),IF(OR(I378="Gasto",I378="Transferencia",I378="Pago tarjeta"),-1,1)*O378,0)+IF(AND(U378&lt;&gt;"",IFERROR(INDEX(ctaLiq,MATCH(G378,ctaNom,0))="Sí",FALSE)),O378,0))</f>
        <v/>
      </c>
      <c r="W378" s="19">
        <f>IF(OR(F378="",I378=""),"",IF(COUNTIFS(F$6:F378,F378,I$6:I378,"?*")=1,MAX(W$5:W377)+1,""))</f>
        <v/>
      </c>
    </row>
    <row r="379">
      <c r="B379" s="15" t="n"/>
      <c r="C379" s="16" t="n"/>
      <c r="D379" s="17" t="n"/>
      <c r="E379" s="17" t="n"/>
      <c r="F379" s="17" t="n"/>
      <c r="G379" s="17" t="n"/>
      <c r="H379" s="18">
        <f>IF(AND(B379="",C379="",D379="",E379=""),"",IF(B379="","⚠ Falta fecha",IF(C379="","⚠ Falta monto",IF(D379="","⚠ Falta categoría",IF(ISNA(MATCH(D379,catNom,0)),"⚠ Categoría no existe",IF(E379="","⚠ Falta cuenta",IF(ISNA(MATCH(E379,ctaNom,0)),"⚠ Cuenta no existe",IF(AND(OR(I379="Transferencia",I379="Pago tarjeta"),G379=""),"⚠ Indica la cuenta «Hacia»",IF(AND(G379&lt;&gt;"",G379=E379),"⚠ «Hacia» igual a la cuenta",IF(AND(G379&lt;&gt;"",ISNA(MATCH(G379,ctaNom,0))),"⚠ «Hacia» no existe",IF(AND(I379="Pago tarjeta",IFERROR(INDEX(ctaTipo,MATCH(G379,ctaNom,0)),"")&lt;&gt;"Tarjeta de crédito"),"⚠ «Hacia» debe ser la tarjeta",IF(AND(I379="Trading",IFERROR(INDEX(ctaTipo,MATCH(E379,ctaNom,0)),"")&lt;&gt;"Cuenta de trading"),"⚠ Usa la cuenta de trading","✓"))))))))))))</f>
        <v/>
      </c>
      <c r="I379" s="19">
        <f>IF(OR(B379="",C379="",D379=""),"",IFERROR(INDEX(catTipo,MATCH(D379,catNom,0))&amp;"",""))</f>
        <v/>
      </c>
      <c r="J379" s="19">
        <f>IF(I379="","",IFERROR(INDEX(catGrupo,MATCH(D379,catNom,0))&amp;"",""))</f>
        <v/>
      </c>
      <c r="K379" s="19">
        <f>IF(I379="Gasto",IF(IFERROR(INDEX(catClas,MATCH(D379,catNom,0))&amp;"","")="","Variable",IFERROR(INDEX(catClas,MATCH(D379,catNom,0))&amp;"","")),"")</f>
        <v/>
      </c>
      <c r="L379" s="19">
        <f>IF(I379="","",IFERROR(INDEX(catAlim,MATCH(D379,catNom,0))&amp;"",""))</f>
        <v/>
      </c>
      <c r="M379" s="19">
        <f>IF(I379="","",IFERROR(INDEX(catComida,MATCH(D379,catNom,0))&amp;"",""))</f>
        <v/>
      </c>
      <c r="N379" s="19">
        <f>IF(I379="","",IFERROR(INDEX(ctaMon,MATCH(E379,ctaNom,0))&amp;"","DOP"))</f>
        <v/>
      </c>
      <c r="O379" s="20">
        <f>IF(I379="","",C379*IF(N379="USD",TasaUSD,1))</f>
        <v/>
      </c>
      <c r="P379" s="20">
        <f>IF(I379="","",IF(I379="Gasto",O379,0))</f>
        <v/>
      </c>
      <c r="Q379" s="20">
        <f>IF(I379="","",IF(I379="Ingreso",O379,0))</f>
        <v/>
      </c>
      <c r="R379" s="20">
        <f>IF(I379="","",IF(I379="Trading",O379,0))</f>
        <v/>
      </c>
      <c r="S379" s="19">
        <f>IF(I379="","",IF(AND(I379="Gasto",K379="Variable",J379&lt;&gt;"Trading",O379&gt;0,O379&lt;=Umbral),1,0))</f>
        <v/>
      </c>
      <c r="T379" s="20">
        <f>IF(OR(I379="",E379=""),"",IF(OR(I379="Gasto",I379="Transferencia",I379="Pago tarjeta"),-1,1)*C379)</f>
        <v/>
      </c>
      <c r="U379" s="20">
        <f>IF(OR(G379="",AND(I379&lt;&gt;"Transferencia",I379&lt;&gt;"Pago tarjeta")),"",IF(IFERROR(INDEX(ctaMon,MATCH(G379,ctaNom,0))&amp;"","DOP")=N379,C379,IF(N379="USD",C379*TasaUSD,C379/TasaUSD)))</f>
        <v/>
      </c>
      <c r="V379" s="20">
        <f>IF(I379="","",IF(IFERROR(INDEX(ctaLiq,MATCH(E379,ctaNom,0))="Sí",FALSE),IF(OR(I379="Gasto",I379="Transferencia",I379="Pago tarjeta"),-1,1)*O379,0)+IF(AND(U379&lt;&gt;"",IFERROR(INDEX(ctaLiq,MATCH(G379,ctaNom,0))="Sí",FALSE)),O379,0))</f>
        <v/>
      </c>
      <c r="W379" s="19">
        <f>IF(OR(F379="",I379=""),"",IF(COUNTIFS(F$6:F379,F379,I$6:I379,"?*")=1,MAX(W$5:W378)+1,""))</f>
        <v/>
      </c>
    </row>
    <row r="380">
      <c r="B380" s="15" t="n"/>
      <c r="C380" s="16" t="n"/>
      <c r="D380" s="17" t="n"/>
      <c r="E380" s="17" t="n"/>
      <c r="F380" s="17" t="n"/>
      <c r="G380" s="17" t="n"/>
      <c r="H380" s="18">
        <f>IF(AND(B380="",C380="",D380="",E380=""),"",IF(B380="","⚠ Falta fecha",IF(C380="","⚠ Falta monto",IF(D380="","⚠ Falta categoría",IF(ISNA(MATCH(D380,catNom,0)),"⚠ Categoría no existe",IF(E380="","⚠ Falta cuenta",IF(ISNA(MATCH(E380,ctaNom,0)),"⚠ Cuenta no existe",IF(AND(OR(I380="Transferencia",I380="Pago tarjeta"),G380=""),"⚠ Indica la cuenta «Hacia»",IF(AND(G380&lt;&gt;"",G380=E380),"⚠ «Hacia» igual a la cuenta",IF(AND(G380&lt;&gt;"",ISNA(MATCH(G380,ctaNom,0))),"⚠ «Hacia» no existe",IF(AND(I380="Pago tarjeta",IFERROR(INDEX(ctaTipo,MATCH(G380,ctaNom,0)),"")&lt;&gt;"Tarjeta de crédito"),"⚠ «Hacia» debe ser la tarjeta",IF(AND(I380="Trading",IFERROR(INDEX(ctaTipo,MATCH(E380,ctaNom,0)),"")&lt;&gt;"Cuenta de trading"),"⚠ Usa la cuenta de trading","✓"))))))))))))</f>
        <v/>
      </c>
      <c r="I380" s="19">
        <f>IF(OR(B380="",C380="",D380=""),"",IFERROR(INDEX(catTipo,MATCH(D380,catNom,0))&amp;"",""))</f>
        <v/>
      </c>
      <c r="J380" s="19">
        <f>IF(I380="","",IFERROR(INDEX(catGrupo,MATCH(D380,catNom,0))&amp;"",""))</f>
        <v/>
      </c>
      <c r="K380" s="19">
        <f>IF(I380="Gasto",IF(IFERROR(INDEX(catClas,MATCH(D380,catNom,0))&amp;"","")="","Variable",IFERROR(INDEX(catClas,MATCH(D380,catNom,0))&amp;"","")),"")</f>
        <v/>
      </c>
      <c r="L380" s="19">
        <f>IF(I380="","",IFERROR(INDEX(catAlim,MATCH(D380,catNom,0))&amp;"",""))</f>
        <v/>
      </c>
      <c r="M380" s="19">
        <f>IF(I380="","",IFERROR(INDEX(catComida,MATCH(D380,catNom,0))&amp;"",""))</f>
        <v/>
      </c>
      <c r="N380" s="19">
        <f>IF(I380="","",IFERROR(INDEX(ctaMon,MATCH(E380,ctaNom,0))&amp;"","DOP"))</f>
        <v/>
      </c>
      <c r="O380" s="20">
        <f>IF(I380="","",C380*IF(N380="USD",TasaUSD,1))</f>
        <v/>
      </c>
      <c r="P380" s="20">
        <f>IF(I380="","",IF(I380="Gasto",O380,0))</f>
        <v/>
      </c>
      <c r="Q380" s="20">
        <f>IF(I380="","",IF(I380="Ingreso",O380,0))</f>
        <v/>
      </c>
      <c r="R380" s="20">
        <f>IF(I380="","",IF(I380="Trading",O380,0))</f>
        <v/>
      </c>
      <c r="S380" s="19">
        <f>IF(I380="","",IF(AND(I380="Gasto",K380="Variable",J380&lt;&gt;"Trading",O380&gt;0,O380&lt;=Umbral),1,0))</f>
        <v/>
      </c>
      <c r="T380" s="20">
        <f>IF(OR(I380="",E380=""),"",IF(OR(I380="Gasto",I380="Transferencia",I380="Pago tarjeta"),-1,1)*C380)</f>
        <v/>
      </c>
      <c r="U380" s="20">
        <f>IF(OR(G380="",AND(I380&lt;&gt;"Transferencia",I380&lt;&gt;"Pago tarjeta")),"",IF(IFERROR(INDEX(ctaMon,MATCH(G380,ctaNom,0))&amp;"","DOP")=N380,C380,IF(N380="USD",C380*TasaUSD,C380/TasaUSD)))</f>
        <v/>
      </c>
      <c r="V380" s="20">
        <f>IF(I380="","",IF(IFERROR(INDEX(ctaLiq,MATCH(E380,ctaNom,0))="Sí",FALSE),IF(OR(I380="Gasto",I380="Transferencia",I380="Pago tarjeta"),-1,1)*O380,0)+IF(AND(U380&lt;&gt;"",IFERROR(INDEX(ctaLiq,MATCH(G380,ctaNom,0))="Sí",FALSE)),O380,0))</f>
        <v/>
      </c>
      <c r="W380" s="19">
        <f>IF(OR(F380="",I380=""),"",IF(COUNTIFS(F$6:F380,F380,I$6:I380,"?*")=1,MAX(W$5:W379)+1,""))</f>
        <v/>
      </c>
    </row>
    <row r="381">
      <c r="B381" s="15" t="n"/>
      <c r="C381" s="16" t="n"/>
      <c r="D381" s="17" t="n"/>
      <c r="E381" s="17" t="n"/>
      <c r="F381" s="17" t="n"/>
      <c r="G381" s="17" t="n"/>
      <c r="H381" s="18">
        <f>IF(AND(B381="",C381="",D381="",E381=""),"",IF(B381="","⚠ Falta fecha",IF(C381="","⚠ Falta monto",IF(D381="","⚠ Falta categoría",IF(ISNA(MATCH(D381,catNom,0)),"⚠ Categoría no existe",IF(E381="","⚠ Falta cuenta",IF(ISNA(MATCH(E381,ctaNom,0)),"⚠ Cuenta no existe",IF(AND(OR(I381="Transferencia",I381="Pago tarjeta"),G381=""),"⚠ Indica la cuenta «Hacia»",IF(AND(G381&lt;&gt;"",G381=E381),"⚠ «Hacia» igual a la cuenta",IF(AND(G381&lt;&gt;"",ISNA(MATCH(G381,ctaNom,0))),"⚠ «Hacia» no existe",IF(AND(I381="Pago tarjeta",IFERROR(INDEX(ctaTipo,MATCH(G381,ctaNom,0)),"")&lt;&gt;"Tarjeta de crédito"),"⚠ «Hacia» debe ser la tarjeta",IF(AND(I381="Trading",IFERROR(INDEX(ctaTipo,MATCH(E381,ctaNom,0)),"")&lt;&gt;"Cuenta de trading"),"⚠ Usa la cuenta de trading","✓"))))))))))))</f>
        <v/>
      </c>
      <c r="I381" s="19">
        <f>IF(OR(B381="",C381="",D381=""),"",IFERROR(INDEX(catTipo,MATCH(D381,catNom,0))&amp;"",""))</f>
        <v/>
      </c>
      <c r="J381" s="19">
        <f>IF(I381="","",IFERROR(INDEX(catGrupo,MATCH(D381,catNom,0))&amp;"",""))</f>
        <v/>
      </c>
      <c r="K381" s="19">
        <f>IF(I381="Gasto",IF(IFERROR(INDEX(catClas,MATCH(D381,catNom,0))&amp;"","")="","Variable",IFERROR(INDEX(catClas,MATCH(D381,catNom,0))&amp;"","")),"")</f>
        <v/>
      </c>
      <c r="L381" s="19">
        <f>IF(I381="","",IFERROR(INDEX(catAlim,MATCH(D381,catNom,0))&amp;"",""))</f>
        <v/>
      </c>
      <c r="M381" s="19">
        <f>IF(I381="","",IFERROR(INDEX(catComida,MATCH(D381,catNom,0))&amp;"",""))</f>
        <v/>
      </c>
      <c r="N381" s="19">
        <f>IF(I381="","",IFERROR(INDEX(ctaMon,MATCH(E381,ctaNom,0))&amp;"","DOP"))</f>
        <v/>
      </c>
      <c r="O381" s="20">
        <f>IF(I381="","",C381*IF(N381="USD",TasaUSD,1))</f>
        <v/>
      </c>
      <c r="P381" s="20">
        <f>IF(I381="","",IF(I381="Gasto",O381,0))</f>
        <v/>
      </c>
      <c r="Q381" s="20">
        <f>IF(I381="","",IF(I381="Ingreso",O381,0))</f>
        <v/>
      </c>
      <c r="R381" s="20">
        <f>IF(I381="","",IF(I381="Trading",O381,0))</f>
        <v/>
      </c>
      <c r="S381" s="19">
        <f>IF(I381="","",IF(AND(I381="Gasto",K381="Variable",J381&lt;&gt;"Trading",O381&gt;0,O381&lt;=Umbral),1,0))</f>
        <v/>
      </c>
      <c r="T381" s="20">
        <f>IF(OR(I381="",E381=""),"",IF(OR(I381="Gasto",I381="Transferencia",I381="Pago tarjeta"),-1,1)*C381)</f>
        <v/>
      </c>
      <c r="U381" s="20">
        <f>IF(OR(G381="",AND(I381&lt;&gt;"Transferencia",I381&lt;&gt;"Pago tarjeta")),"",IF(IFERROR(INDEX(ctaMon,MATCH(G381,ctaNom,0))&amp;"","DOP")=N381,C381,IF(N381="USD",C381*TasaUSD,C381/TasaUSD)))</f>
        <v/>
      </c>
      <c r="V381" s="20">
        <f>IF(I381="","",IF(IFERROR(INDEX(ctaLiq,MATCH(E381,ctaNom,0))="Sí",FALSE),IF(OR(I381="Gasto",I381="Transferencia",I381="Pago tarjeta"),-1,1)*O381,0)+IF(AND(U381&lt;&gt;"",IFERROR(INDEX(ctaLiq,MATCH(G381,ctaNom,0))="Sí",FALSE)),O381,0))</f>
        <v/>
      </c>
      <c r="W381" s="19">
        <f>IF(OR(F381="",I381=""),"",IF(COUNTIFS(F$6:F381,F381,I$6:I381,"?*")=1,MAX(W$5:W380)+1,""))</f>
        <v/>
      </c>
    </row>
    <row r="382">
      <c r="B382" s="15" t="n"/>
      <c r="C382" s="16" t="n"/>
      <c r="D382" s="17" t="n"/>
      <c r="E382" s="17" t="n"/>
      <c r="F382" s="17" t="n"/>
      <c r="G382" s="17" t="n"/>
      <c r="H382" s="18">
        <f>IF(AND(B382="",C382="",D382="",E382=""),"",IF(B382="","⚠ Falta fecha",IF(C382="","⚠ Falta monto",IF(D382="","⚠ Falta categoría",IF(ISNA(MATCH(D382,catNom,0)),"⚠ Categoría no existe",IF(E382="","⚠ Falta cuenta",IF(ISNA(MATCH(E382,ctaNom,0)),"⚠ Cuenta no existe",IF(AND(OR(I382="Transferencia",I382="Pago tarjeta"),G382=""),"⚠ Indica la cuenta «Hacia»",IF(AND(G382&lt;&gt;"",G382=E382),"⚠ «Hacia» igual a la cuenta",IF(AND(G382&lt;&gt;"",ISNA(MATCH(G382,ctaNom,0))),"⚠ «Hacia» no existe",IF(AND(I382="Pago tarjeta",IFERROR(INDEX(ctaTipo,MATCH(G382,ctaNom,0)),"")&lt;&gt;"Tarjeta de crédito"),"⚠ «Hacia» debe ser la tarjeta",IF(AND(I382="Trading",IFERROR(INDEX(ctaTipo,MATCH(E382,ctaNom,0)),"")&lt;&gt;"Cuenta de trading"),"⚠ Usa la cuenta de trading","✓"))))))))))))</f>
        <v/>
      </c>
      <c r="I382" s="19">
        <f>IF(OR(B382="",C382="",D382=""),"",IFERROR(INDEX(catTipo,MATCH(D382,catNom,0))&amp;"",""))</f>
        <v/>
      </c>
      <c r="J382" s="19">
        <f>IF(I382="","",IFERROR(INDEX(catGrupo,MATCH(D382,catNom,0))&amp;"",""))</f>
        <v/>
      </c>
      <c r="K382" s="19">
        <f>IF(I382="Gasto",IF(IFERROR(INDEX(catClas,MATCH(D382,catNom,0))&amp;"","")="","Variable",IFERROR(INDEX(catClas,MATCH(D382,catNom,0))&amp;"","")),"")</f>
        <v/>
      </c>
      <c r="L382" s="19">
        <f>IF(I382="","",IFERROR(INDEX(catAlim,MATCH(D382,catNom,0))&amp;"",""))</f>
        <v/>
      </c>
      <c r="M382" s="19">
        <f>IF(I382="","",IFERROR(INDEX(catComida,MATCH(D382,catNom,0))&amp;"",""))</f>
        <v/>
      </c>
      <c r="N382" s="19">
        <f>IF(I382="","",IFERROR(INDEX(ctaMon,MATCH(E382,ctaNom,0))&amp;"","DOP"))</f>
        <v/>
      </c>
      <c r="O382" s="20">
        <f>IF(I382="","",C382*IF(N382="USD",TasaUSD,1))</f>
        <v/>
      </c>
      <c r="P382" s="20">
        <f>IF(I382="","",IF(I382="Gasto",O382,0))</f>
        <v/>
      </c>
      <c r="Q382" s="20">
        <f>IF(I382="","",IF(I382="Ingreso",O382,0))</f>
        <v/>
      </c>
      <c r="R382" s="20">
        <f>IF(I382="","",IF(I382="Trading",O382,0))</f>
        <v/>
      </c>
      <c r="S382" s="19">
        <f>IF(I382="","",IF(AND(I382="Gasto",K382="Variable",J382&lt;&gt;"Trading",O382&gt;0,O382&lt;=Umbral),1,0))</f>
        <v/>
      </c>
      <c r="T382" s="20">
        <f>IF(OR(I382="",E382=""),"",IF(OR(I382="Gasto",I382="Transferencia",I382="Pago tarjeta"),-1,1)*C382)</f>
        <v/>
      </c>
      <c r="U382" s="20">
        <f>IF(OR(G382="",AND(I382&lt;&gt;"Transferencia",I382&lt;&gt;"Pago tarjeta")),"",IF(IFERROR(INDEX(ctaMon,MATCH(G382,ctaNom,0))&amp;"","DOP")=N382,C382,IF(N382="USD",C382*TasaUSD,C382/TasaUSD)))</f>
        <v/>
      </c>
      <c r="V382" s="20">
        <f>IF(I382="","",IF(IFERROR(INDEX(ctaLiq,MATCH(E382,ctaNom,0))="Sí",FALSE),IF(OR(I382="Gasto",I382="Transferencia",I382="Pago tarjeta"),-1,1)*O382,0)+IF(AND(U382&lt;&gt;"",IFERROR(INDEX(ctaLiq,MATCH(G382,ctaNom,0))="Sí",FALSE)),O382,0))</f>
        <v/>
      </c>
      <c r="W382" s="19">
        <f>IF(OR(F382="",I382=""),"",IF(COUNTIFS(F$6:F382,F382,I$6:I382,"?*")=1,MAX(W$5:W381)+1,""))</f>
        <v/>
      </c>
    </row>
    <row r="383">
      <c r="B383" s="15" t="n"/>
      <c r="C383" s="16" t="n"/>
      <c r="D383" s="17" t="n"/>
      <c r="E383" s="17" t="n"/>
      <c r="F383" s="17" t="n"/>
      <c r="G383" s="17" t="n"/>
      <c r="H383" s="18">
        <f>IF(AND(B383="",C383="",D383="",E383=""),"",IF(B383="","⚠ Falta fecha",IF(C383="","⚠ Falta monto",IF(D383="","⚠ Falta categoría",IF(ISNA(MATCH(D383,catNom,0)),"⚠ Categoría no existe",IF(E383="","⚠ Falta cuenta",IF(ISNA(MATCH(E383,ctaNom,0)),"⚠ Cuenta no existe",IF(AND(OR(I383="Transferencia",I383="Pago tarjeta"),G383=""),"⚠ Indica la cuenta «Hacia»",IF(AND(G383&lt;&gt;"",G383=E383),"⚠ «Hacia» igual a la cuenta",IF(AND(G383&lt;&gt;"",ISNA(MATCH(G383,ctaNom,0))),"⚠ «Hacia» no existe",IF(AND(I383="Pago tarjeta",IFERROR(INDEX(ctaTipo,MATCH(G383,ctaNom,0)),"")&lt;&gt;"Tarjeta de crédito"),"⚠ «Hacia» debe ser la tarjeta",IF(AND(I383="Trading",IFERROR(INDEX(ctaTipo,MATCH(E383,ctaNom,0)),"")&lt;&gt;"Cuenta de trading"),"⚠ Usa la cuenta de trading","✓"))))))))))))</f>
        <v/>
      </c>
      <c r="I383" s="19">
        <f>IF(OR(B383="",C383="",D383=""),"",IFERROR(INDEX(catTipo,MATCH(D383,catNom,0))&amp;"",""))</f>
        <v/>
      </c>
      <c r="J383" s="19">
        <f>IF(I383="","",IFERROR(INDEX(catGrupo,MATCH(D383,catNom,0))&amp;"",""))</f>
        <v/>
      </c>
      <c r="K383" s="19">
        <f>IF(I383="Gasto",IF(IFERROR(INDEX(catClas,MATCH(D383,catNom,0))&amp;"","")="","Variable",IFERROR(INDEX(catClas,MATCH(D383,catNom,0))&amp;"","")),"")</f>
        <v/>
      </c>
      <c r="L383" s="19">
        <f>IF(I383="","",IFERROR(INDEX(catAlim,MATCH(D383,catNom,0))&amp;"",""))</f>
        <v/>
      </c>
      <c r="M383" s="19">
        <f>IF(I383="","",IFERROR(INDEX(catComida,MATCH(D383,catNom,0))&amp;"",""))</f>
        <v/>
      </c>
      <c r="N383" s="19">
        <f>IF(I383="","",IFERROR(INDEX(ctaMon,MATCH(E383,ctaNom,0))&amp;"","DOP"))</f>
        <v/>
      </c>
      <c r="O383" s="20">
        <f>IF(I383="","",C383*IF(N383="USD",TasaUSD,1))</f>
        <v/>
      </c>
      <c r="P383" s="20">
        <f>IF(I383="","",IF(I383="Gasto",O383,0))</f>
        <v/>
      </c>
      <c r="Q383" s="20">
        <f>IF(I383="","",IF(I383="Ingreso",O383,0))</f>
        <v/>
      </c>
      <c r="R383" s="20">
        <f>IF(I383="","",IF(I383="Trading",O383,0))</f>
        <v/>
      </c>
      <c r="S383" s="19">
        <f>IF(I383="","",IF(AND(I383="Gasto",K383="Variable",J383&lt;&gt;"Trading",O383&gt;0,O383&lt;=Umbral),1,0))</f>
        <v/>
      </c>
      <c r="T383" s="20">
        <f>IF(OR(I383="",E383=""),"",IF(OR(I383="Gasto",I383="Transferencia",I383="Pago tarjeta"),-1,1)*C383)</f>
        <v/>
      </c>
      <c r="U383" s="20">
        <f>IF(OR(G383="",AND(I383&lt;&gt;"Transferencia",I383&lt;&gt;"Pago tarjeta")),"",IF(IFERROR(INDEX(ctaMon,MATCH(G383,ctaNom,0))&amp;"","DOP")=N383,C383,IF(N383="USD",C383*TasaUSD,C383/TasaUSD)))</f>
        <v/>
      </c>
      <c r="V383" s="20">
        <f>IF(I383="","",IF(IFERROR(INDEX(ctaLiq,MATCH(E383,ctaNom,0))="Sí",FALSE),IF(OR(I383="Gasto",I383="Transferencia",I383="Pago tarjeta"),-1,1)*O383,0)+IF(AND(U383&lt;&gt;"",IFERROR(INDEX(ctaLiq,MATCH(G383,ctaNom,0))="Sí",FALSE)),O383,0))</f>
        <v/>
      </c>
      <c r="W383" s="19">
        <f>IF(OR(F383="",I383=""),"",IF(COUNTIFS(F$6:F383,F383,I$6:I383,"?*")=1,MAX(W$5:W382)+1,""))</f>
        <v/>
      </c>
    </row>
    <row r="384">
      <c r="B384" s="15" t="n"/>
      <c r="C384" s="16" t="n"/>
      <c r="D384" s="17" t="n"/>
      <c r="E384" s="17" t="n"/>
      <c r="F384" s="17" t="n"/>
      <c r="G384" s="17" t="n"/>
      <c r="H384" s="18">
        <f>IF(AND(B384="",C384="",D384="",E384=""),"",IF(B384="","⚠ Falta fecha",IF(C384="","⚠ Falta monto",IF(D384="","⚠ Falta categoría",IF(ISNA(MATCH(D384,catNom,0)),"⚠ Categoría no existe",IF(E384="","⚠ Falta cuenta",IF(ISNA(MATCH(E384,ctaNom,0)),"⚠ Cuenta no existe",IF(AND(OR(I384="Transferencia",I384="Pago tarjeta"),G384=""),"⚠ Indica la cuenta «Hacia»",IF(AND(G384&lt;&gt;"",G384=E384),"⚠ «Hacia» igual a la cuenta",IF(AND(G384&lt;&gt;"",ISNA(MATCH(G384,ctaNom,0))),"⚠ «Hacia» no existe",IF(AND(I384="Pago tarjeta",IFERROR(INDEX(ctaTipo,MATCH(G384,ctaNom,0)),"")&lt;&gt;"Tarjeta de crédito"),"⚠ «Hacia» debe ser la tarjeta",IF(AND(I384="Trading",IFERROR(INDEX(ctaTipo,MATCH(E384,ctaNom,0)),"")&lt;&gt;"Cuenta de trading"),"⚠ Usa la cuenta de trading","✓"))))))))))))</f>
        <v/>
      </c>
      <c r="I384" s="19">
        <f>IF(OR(B384="",C384="",D384=""),"",IFERROR(INDEX(catTipo,MATCH(D384,catNom,0))&amp;"",""))</f>
        <v/>
      </c>
      <c r="J384" s="19">
        <f>IF(I384="","",IFERROR(INDEX(catGrupo,MATCH(D384,catNom,0))&amp;"",""))</f>
        <v/>
      </c>
      <c r="K384" s="19">
        <f>IF(I384="Gasto",IF(IFERROR(INDEX(catClas,MATCH(D384,catNom,0))&amp;"","")="","Variable",IFERROR(INDEX(catClas,MATCH(D384,catNom,0))&amp;"","")),"")</f>
        <v/>
      </c>
      <c r="L384" s="19">
        <f>IF(I384="","",IFERROR(INDEX(catAlim,MATCH(D384,catNom,0))&amp;"",""))</f>
        <v/>
      </c>
      <c r="M384" s="19">
        <f>IF(I384="","",IFERROR(INDEX(catComida,MATCH(D384,catNom,0))&amp;"",""))</f>
        <v/>
      </c>
      <c r="N384" s="19">
        <f>IF(I384="","",IFERROR(INDEX(ctaMon,MATCH(E384,ctaNom,0))&amp;"","DOP"))</f>
        <v/>
      </c>
      <c r="O384" s="20">
        <f>IF(I384="","",C384*IF(N384="USD",TasaUSD,1))</f>
        <v/>
      </c>
      <c r="P384" s="20">
        <f>IF(I384="","",IF(I384="Gasto",O384,0))</f>
        <v/>
      </c>
      <c r="Q384" s="20">
        <f>IF(I384="","",IF(I384="Ingreso",O384,0))</f>
        <v/>
      </c>
      <c r="R384" s="20">
        <f>IF(I384="","",IF(I384="Trading",O384,0))</f>
        <v/>
      </c>
      <c r="S384" s="19">
        <f>IF(I384="","",IF(AND(I384="Gasto",K384="Variable",J384&lt;&gt;"Trading",O384&gt;0,O384&lt;=Umbral),1,0))</f>
        <v/>
      </c>
      <c r="T384" s="20">
        <f>IF(OR(I384="",E384=""),"",IF(OR(I384="Gasto",I384="Transferencia",I384="Pago tarjeta"),-1,1)*C384)</f>
        <v/>
      </c>
      <c r="U384" s="20">
        <f>IF(OR(G384="",AND(I384&lt;&gt;"Transferencia",I384&lt;&gt;"Pago tarjeta")),"",IF(IFERROR(INDEX(ctaMon,MATCH(G384,ctaNom,0))&amp;"","DOP")=N384,C384,IF(N384="USD",C384*TasaUSD,C384/TasaUSD)))</f>
        <v/>
      </c>
      <c r="V384" s="20">
        <f>IF(I384="","",IF(IFERROR(INDEX(ctaLiq,MATCH(E384,ctaNom,0))="Sí",FALSE),IF(OR(I384="Gasto",I384="Transferencia",I384="Pago tarjeta"),-1,1)*O384,0)+IF(AND(U384&lt;&gt;"",IFERROR(INDEX(ctaLiq,MATCH(G384,ctaNom,0))="Sí",FALSE)),O384,0))</f>
        <v/>
      </c>
      <c r="W384" s="19">
        <f>IF(OR(F384="",I384=""),"",IF(COUNTIFS(F$6:F384,F384,I$6:I384,"?*")=1,MAX(W$5:W383)+1,""))</f>
        <v/>
      </c>
    </row>
    <row r="385">
      <c r="B385" s="15" t="n"/>
      <c r="C385" s="16" t="n"/>
      <c r="D385" s="17" t="n"/>
      <c r="E385" s="17" t="n"/>
      <c r="F385" s="17" t="n"/>
      <c r="G385" s="17" t="n"/>
      <c r="H385" s="18">
        <f>IF(AND(B385="",C385="",D385="",E385=""),"",IF(B385="","⚠ Falta fecha",IF(C385="","⚠ Falta monto",IF(D385="","⚠ Falta categoría",IF(ISNA(MATCH(D385,catNom,0)),"⚠ Categoría no existe",IF(E385="","⚠ Falta cuenta",IF(ISNA(MATCH(E385,ctaNom,0)),"⚠ Cuenta no existe",IF(AND(OR(I385="Transferencia",I385="Pago tarjeta"),G385=""),"⚠ Indica la cuenta «Hacia»",IF(AND(G385&lt;&gt;"",G385=E385),"⚠ «Hacia» igual a la cuenta",IF(AND(G385&lt;&gt;"",ISNA(MATCH(G385,ctaNom,0))),"⚠ «Hacia» no existe",IF(AND(I385="Pago tarjeta",IFERROR(INDEX(ctaTipo,MATCH(G385,ctaNom,0)),"")&lt;&gt;"Tarjeta de crédito"),"⚠ «Hacia» debe ser la tarjeta",IF(AND(I385="Trading",IFERROR(INDEX(ctaTipo,MATCH(E385,ctaNom,0)),"")&lt;&gt;"Cuenta de trading"),"⚠ Usa la cuenta de trading","✓"))))))))))))</f>
        <v/>
      </c>
      <c r="I385" s="19">
        <f>IF(OR(B385="",C385="",D385=""),"",IFERROR(INDEX(catTipo,MATCH(D385,catNom,0))&amp;"",""))</f>
        <v/>
      </c>
      <c r="J385" s="19">
        <f>IF(I385="","",IFERROR(INDEX(catGrupo,MATCH(D385,catNom,0))&amp;"",""))</f>
        <v/>
      </c>
      <c r="K385" s="19">
        <f>IF(I385="Gasto",IF(IFERROR(INDEX(catClas,MATCH(D385,catNom,0))&amp;"","")="","Variable",IFERROR(INDEX(catClas,MATCH(D385,catNom,0))&amp;"","")),"")</f>
        <v/>
      </c>
      <c r="L385" s="19">
        <f>IF(I385="","",IFERROR(INDEX(catAlim,MATCH(D385,catNom,0))&amp;"",""))</f>
        <v/>
      </c>
      <c r="M385" s="19">
        <f>IF(I385="","",IFERROR(INDEX(catComida,MATCH(D385,catNom,0))&amp;"",""))</f>
        <v/>
      </c>
      <c r="N385" s="19">
        <f>IF(I385="","",IFERROR(INDEX(ctaMon,MATCH(E385,ctaNom,0))&amp;"","DOP"))</f>
        <v/>
      </c>
      <c r="O385" s="20">
        <f>IF(I385="","",C385*IF(N385="USD",TasaUSD,1))</f>
        <v/>
      </c>
      <c r="P385" s="20">
        <f>IF(I385="","",IF(I385="Gasto",O385,0))</f>
        <v/>
      </c>
      <c r="Q385" s="20">
        <f>IF(I385="","",IF(I385="Ingreso",O385,0))</f>
        <v/>
      </c>
      <c r="R385" s="20">
        <f>IF(I385="","",IF(I385="Trading",O385,0))</f>
        <v/>
      </c>
      <c r="S385" s="19">
        <f>IF(I385="","",IF(AND(I385="Gasto",K385="Variable",J385&lt;&gt;"Trading",O385&gt;0,O385&lt;=Umbral),1,0))</f>
        <v/>
      </c>
      <c r="T385" s="20">
        <f>IF(OR(I385="",E385=""),"",IF(OR(I385="Gasto",I385="Transferencia",I385="Pago tarjeta"),-1,1)*C385)</f>
        <v/>
      </c>
      <c r="U385" s="20">
        <f>IF(OR(G385="",AND(I385&lt;&gt;"Transferencia",I385&lt;&gt;"Pago tarjeta")),"",IF(IFERROR(INDEX(ctaMon,MATCH(G385,ctaNom,0))&amp;"","DOP")=N385,C385,IF(N385="USD",C385*TasaUSD,C385/TasaUSD)))</f>
        <v/>
      </c>
      <c r="V385" s="20">
        <f>IF(I385="","",IF(IFERROR(INDEX(ctaLiq,MATCH(E385,ctaNom,0))="Sí",FALSE),IF(OR(I385="Gasto",I385="Transferencia",I385="Pago tarjeta"),-1,1)*O385,0)+IF(AND(U385&lt;&gt;"",IFERROR(INDEX(ctaLiq,MATCH(G385,ctaNom,0))="Sí",FALSE)),O385,0))</f>
        <v/>
      </c>
      <c r="W385" s="19">
        <f>IF(OR(F385="",I385=""),"",IF(COUNTIFS(F$6:F385,F385,I$6:I385,"?*")=1,MAX(W$5:W384)+1,""))</f>
        <v/>
      </c>
    </row>
    <row r="386">
      <c r="B386" s="15" t="n"/>
      <c r="C386" s="16" t="n"/>
      <c r="D386" s="17" t="n"/>
      <c r="E386" s="17" t="n"/>
      <c r="F386" s="17" t="n"/>
      <c r="G386" s="17" t="n"/>
      <c r="H386" s="18">
        <f>IF(AND(B386="",C386="",D386="",E386=""),"",IF(B386="","⚠ Falta fecha",IF(C386="","⚠ Falta monto",IF(D386="","⚠ Falta categoría",IF(ISNA(MATCH(D386,catNom,0)),"⚠ Categoría no existe",IF(E386="","⚠ Falta cuenta",IF(ISNA(MATCH(E386,ctaNom,0)),"⚠ Cuenta no existe",IF(AND(OR(I386="Transferencia",I386="Pago tarjeta"),G386=""),"⚠ Indica la cuenta «Hacia»",IF(AND(G386&lt;&gt;"",G386=E386),"⚠ «Hacia» igual a la cuenta",IF(AND(G386&lt;&gt;"",ISNA(MATCH(G386,ctaNom,0))),"⚠ «Hacia» no existe",IF(AND(I386="Pago tarjeta",IFERROR(INDEX(ctaTipo,MATCH(G386,ctaNom,0)),"")&lt;&gt;"Tarjeta de crédito"),"⚠ «Hacia» debe ser la tarjeta",IF(AND(I386="Trading",IFERROR(INDEX(ctaTipo,MATCH(E386,ctaNom,0)),"")&lt;&gt;"Cuenta de trading"),"⚠ Usa la cuenta de trading","✓"))))))))))))</f>
        <v/>
      </c>
      <c r="I386" s="19">
        <f>IF(OR(B386="",C386="",D386=""),"",IFERROR(INDEX(catTipo,MATCH(D386,catNom,0))&amp;"",""))</f>
        <v/>
      </c>
      <c r="J386" s="19">
        <f>IF(I386="","",IFERROR(INDEX(catGrupo,MATCH(D386,catNom,0))&amp;"",""))</f>
        <v/>
      </c>
      <c r="K386" s="19">
        <f>IF(I386="Gasto",IF(IFERROR(INDEX(catClas,MATCH(D386,catNom,0))&amp;"","")="","Variable",IFERROR(INDEX(catClas,MATCH(D386,catNom,0))&amp;"","")),"")</f>
        <v/>
      </c>
      <c r="L386" s="19">
        <f>IF(I386="","",IFERROR(INDEX(catAlim,MATCH(D386,catNom,0))&amp;"",""))</f>
        <v/>
      </c>
      <c r="M386" s="19">
        <f>IF(I386="","",IFERROR(INDEX(catComida,MATCH(D386,catNom,0))&amp;"",""))</f>
        <v/>
      </c>
      <c r="N386" s="19">
        <f>IF(I386="","",IFERROR(INDEX(ctaMon,MATCH(E386,ctaNom,0))&amp;"","DOP"))</f>
        <v/>
      </c>
      <c r="O386" s="20">
        <f>IF(I386="","",C386*IF(N386="USD",TasaUSD,1))</f>
        <v/>
      </c>
      <c r="P386" s="20">
        <f>IF(I386="","",IF(I386="Gasto",O386,0))</f>
        <v/>
      </c>
      <c r="Q386" s="20">
        <f>IF(I386="","",IF(I386="Ingreso",O386,0))</f>
        <v/>
      </c>
      <c r="R386" s="20">
        <f>IF(I386="","",IF(I386="Trading",O386,0))</f>
        <v/>
      </c>
      <c r="S386" s="19">
        <f>IF(I386="","",IF(AND(I386="Gasto",K386="Variable",J386&lt;&gt;"Trading",O386&gt;0,O386&lt;=Umbral),1,0))</f>
        <v/>
      </c>
      <c r="T386" s="20">
        <f>IF(OR(I386="",E386=""),"",IF(OR(I386="Gasto",I386="Transferencia",I386="Pago tarjeta"),-1,1)*C386)</f>
        <v/>
      </c>
      <c r="U386" s="20">
        <f>IF(OR(G386="",AND(I386&lt;&gt;"Transferencia",I386&lt;&gt;"Pago tarjeta")),"",IF(IFERROR(INDEX(ctaMon,MATCH(G386,ctaNom,0))&amp;"","DOP")=N386,C386,IF(N386="USD",C386*TasaUSD,C386/TasaUSD)))</f>
        <v/>
      </c>
      <c r="V386" s="20">
        <f>IF(I386="","",IF(IFERROR(INDEX(ctaLiq,MATCH(E386,ctaNom,0))="Sí",FALSE),IF(OR(I386="Gasto",I386="Transferencia",I386="Pago tarjeta"),-1,1)*O386,0)+IF(AND(U386&lt;&gt;"",IFERROR(INDEX(ctaLiq,MATCH(G386,ctaNom,0))="Sí",FALSE)),O386,0))</f>
        <v/>
      </c>
      <c r="W386" s="19">
        <f>IF(OR(F386="",I386=""),"",IF(COUNTIFS(F$6:F386,F386,I$6:I386,"?*")=1,MAX(W$5:W385)+1,""))</f>
        <v/>
      </c>
    </row>
    <row r="387">
      <c r="B387" s="15" t="n"/>
      <c r="C387" s="16" t="n"/>
      <c r="D387" s="17" t="n"/>
      <c r="E387" s="17" t="n"/>
      <c r="F387" s="17" t="n"/>
      <c r="G387" s="17" t="n"/>
      <c r="H387" s="18">
        <f>IF(AND(B387="",C387="",D387="",E387=""),"",IF(B387="","⚠ Falta fecha",IF(C387="","⚠ Falta monto",IF(D387="","⚠ Falta categoría",IF(ISNA(MATCH(D387,catNom,0)),"⚠ Categoría no existe",IF(E387="","⚠ Falta cuenta",IF(ISNA(MATCH(E387,ctaNom,0)),"⚠ Cuenta no existe",IF(AND(OR(I387="Transferencia",I387="Pago tarjeta"),G387=""),"⚠ Indica la cuenta «Hacia»",IF(AND(G387&lt;&gt;"",G387=E387),"⚠ «Hacia» igual a la cuenta",IF(AND(G387&lt;&gt;"",ISNA(MATCH(G387,ctaNom,0))),"⚠ «Hacia» no existe",IF(AND(I387="Pago tarjeta",IFERROR(INDEX(ctaTipo,MATCH(G387,ctaNom,0)),"")&lt;&gt;"Tarjeta de crédito"),"⚠ «Hacia» debe ser la tarjeta",IF(AND(I387="Trading",IFERROR(INDEX(ctaTipo,MATCH(E387,ctaNom,0)),"")&lt;&gt;"Cuenta de trading"),"⚠ Usa la cuenta de trading","✓"))))))))))))</f>
        <v/>
      </c>
      <c r="I387" s="19">
        <f>IF(OR(B387="",C387="",D387=""),"",IFERROR(INDEX(catTipo,MATCH(D387,catNom,0))&amp;"",""))</f>
        <v/>
      </c>
      <c r="J387" s="19">
        <f>IF(I387="","",IFERROR(INDEX(catGrupo,MATCH(D387,catNom,0))&amp;"",""))</f>
        <v/>
      </c>
      <c r="K387" s="19">
        <f>IF(I387="Gasto",IF(IFERROR(INDEX(catClas,MATCH(D387,catNom,0))&amp;"","")="","Variable",IFERROR(INDEX(catClas,MATCH(D387,catNom,0))&amp;"","")),"")</f>
        <v/>
      </c>
      <c r="L387" s="19">
        <f>IF(I387="","",IFERROR(INDEX(catAlim,MATCH(D387,catNom,0))&amp;"",""))</f>
        <v/>
      </c>
      <c r="M387" s="19">
        <f>IF(I387="","",IFERROR(INDEX(catComida,MATCH(D387,catNom,0))&amp;"",""))</f>
        <v/>
      </c>
      <c r="N387" s="19">
        <f>IF(I387="","",IFERROR(INDEX(ctaMon,MATCH(E387,ctaNom,0))&amp;"","DOP"))</f>
        <v/>
      </c>
      <c r="O387" s="20">
        <f>IF(I387="","",C387*IF(N387="USD",TasaUSD,1))</f>
        <v/>
      </c>
      <c r="P387" s="20">
        <f>IF(I387="","",IF(I387="Gasto",O387,0))</f>
        <v/>
      </c>
      <c r="Q387" s="20">
        <f>IF(I387="","",IF(I387="Ingreso",O387,0))</f>
        <v/>
      </c>
      <c r="R387" s="20">
        <f>IF(I387="","",IF(I387="Trading",O387,0))</f>
        <v/>
      </c>
      <c r="S387" s="19">
        <f>IF(I387="","",IF(AND(I387="Gasto",K387="Variable",J387&lt;&gt;"Trading",O387&gt;0,O387&lt;=Umbral),1,0))</f>
        <v/>
      </c>
      <c r="T387" s="20">
        <f>IF(OR(I387="",E387=""),"",IF(OR(I387="Gasto",I387="Transferencia",I387="Pago tarjeta"),-1,1)*C387)</f>
        <v/>
      </c>
      <c r="U387" s="20">
        <f>IF(OR(G387="",AND(I387&lt;&gt;"Transferencia",I387&lt;&gt;"Pago tarjeta")),"",IF(IFERROR(INDEX(ctaMon,MATCH(G387,ctaNom,0))&amp;"","DOP")=N387,C387,IF(N387="USD",C387*TasaUSD,C387/TasaUSD)))</f>
        <v/>
      </c>
      <c r="V387" s="20">
        <f>IF(I387="","",IF(IFERROR(INDEX(ctaLiq,MATCH(E387,ctaNom,0))="Sí",FALSE),IF(OR(I387="Gasto",I387="Transferencia",I387="Pago tarjeta"),-1,1)*O387,0)+IF(AND(U387&lt;&gt;"",IFERROR(INDEX(ctaLiq,MATCH(G387,ctaNom,0))="Sí",FALSE)),O387,0))</f>
        <v/>
      </c>
      <c r="W387" s="19">
        <f>IF(OR(F387="",I387=""),"",IF(COUNTIFS(F$6:F387,F387,I$6:I387,"?*")=1,MAX(W$5:W386)+1,""))</f>
        <v/>
      </c>
    </row>
    <row r="388">
      <c r="B388" s="15" t="n"/>
      <c r="C388" s="16" t="n"/>
      <c r="D388" s="17" t="n"/>
      <c r="E388" s="17" t="n"/>
      <c r="F388" s="17" t="n"/>
      <c r="G388" s="17" t="n"/>
      <c r="H388" s="18">
        <f>IF(AND(B388="",C388="",D388="",E388=""),"",IF(B388="","⚠ Falta fecha",IF(C388="","⚠ Falta monto",IF(D388="","⚠ Falta categoría",IF(ISNA(MATCH(D388,catNom,0)),"⚠ Categoría no existe",IF(E388="","⚠ Falta cuenta",IF(ISNA(MATCH(E388,ctaNom,0)),"⚠ Cuenta no existe",IF(AND(OR(I388="Transferencia",I388="Pago tarjeta"),G388=""),"⚠ Indica la cuenta «Hacia»",IF(AND(G388&lt;&gt;"",G388=E388),"⚠ «Hacia» igual a la cuenta",IF(AND(G388&lt;&gt;"",ISNA(MATCH(G388,ctaNom,0))),"⚠ «Hacia» no existe",IF(AND(I388="Pago tarjeta",IFERROR(INDEX(ctaTipo,MATCH(G388,ctaNom,0)),"")&lt;&gt;"Tarjeta de crédito"),"⚠ «Hacia» debe ser la tarjeta",IF(AND(I388="Trading",IFERROR(INDEX(ctaTipo,MATCH(E388,ctaNom,0)),"")&lt;&gt;"Cuenta de trading"),"⚠ Usa la cuenta de trading","✓"))))))))))))</f>
        <v/>
      </c>
      <c r="I388" s="19">
        <f>IF(OR(B388="",C388="",D388=""),"",IFERROR(INDEX(catTipo,MATCH(D388,catNom,0))&amp;"",""))</f>
        <v/>
      </c>
      <c r="J388" s="19">
        <f>IF(I388="","",IFERROR(INDEX(catGrupo,MATCH(D388,catNom,0))&amp;"",""))</f>
        <v/>
      </c>
      <c r="K388" s="19">
        <f>IF(I388="Gasto",IF(IFERROR(INDEX(catClas,MATCH(D388,catNom,0))&amp;"","")="","Variable",IFERROR(INDEX(catClas,MATCH(D388,catNom,0))&amp;"","")),"")</f>
        <v/>
      </c>
      <c r="L388" s="19">
        <f>IF(I388="","",IFERROR(INDEX(catAlim,MATCH(D388,catNom,0))&amp;"",""))</f>
        <v/>
      </c>
      <c r="M388" s="19">
        <f>IF(I388="","",IFERROR(INDEX(catComida,MATCH(D388,catNom,0))&amp;"",""))</f>
        <v/>
      </c>
      <c r="N388" s="19">
        <f>IF(I388="","",IFERROR(INDEX(ctaMon,MATCH(E388,ctaNom,0))&amp;"","DOP"))</f>
        <v/>
      </c>
      <c r="O388" s="20">
        <f>IF(I388="","",C388*IF(N388="USD",TasaUSD,1))</f>
        <v/>
      </c>
      <c r="P388" s="20">
        <f>IF(I388="","",IF(I388="Gasto",O388,0))</f>
        <v/>
      </c>
      <c r="Q388" s="20">
        <f>IF(I388="","",IF(I388="Ingreso",O388,0))</f>
        <v/>
      </c>
      <c r="R388" s="20">
        <f>IF(I388="","",IF(I388="Trading",O388,0))</f>
        <v/>
      </c>
      <c r="S388" s="19">
        <f>IF(I388="","",IF(AND(I388="Gasto",K388="Variable",J388&lt;&gt;"Trading",O388&gt;0,O388&lt;=Umbral),1,0))</f>
        <v/>
      </c>
      <c r="T388" s="20">
        <f>IF(OR(I388="",E388=""),"",IF(OR(I388="Gasto",I388="Transferencia",I388="Pago tarjeta"),-1,1)*C388)</f>
        <v/>
      </c>
      <c r="U388" s="20">
        <f>IF(OR(G388="",AND(I388&lt;&gt;"Transferencia",I388&lt;&gt;"Pago tarjeta")),"",IF(IFERROR(INDEX(ctaMon,MATCH(G388,ctaNom,0))&amp;"","DOP")=N388,C388,IF(N388="USD",C388*TasaUSD,C388/TasaUSD)))</f>
        <v/>
      </c>
      <c r="V388" s="20">
        <f>IF(I388="","",IF(IFERROR(INDEX(ctaLiq,MATCH(E388,ctaNom,0))="Sí",FALSE),IF(OR(I388="Gasto",I388="Transferencia",I388="Pago tarjeta"),-1,1)*O388,0)+IF(AND(U388&lt;&gt;"",IFERROR(INDEX(ctaLiq,MATCH(G388,ctaNom,0))="Sí",FALSE)),O388,0))</f>
        <v/>
      </c>
      <c r="W388" s="19">
        <f>IF(OR(F388="",I388=""),"",IF(COUNTIFS(F$6:F388,F388,I$6:I388,"?*")=1,MAX(W$5:W387)+1,""))</f>
        <v/>
      </c>
    </row>
    <row r="389">
      <c r="B389" s="15" t="n"/>
      <c r="C389" s="16" t="n"/>
      <c r="D389" s="17" t="n"/>
      <c r="E389" s="17" t="n"/>
      <c r="F389" s="17" t="n"/>
      <c r="G389" s="17" t="n"/>
      <c r="H389" s="18">
        <f>IF(AND(B389="",C389="",D389="",E389=""),"",IF(B389="","⚠ Falta fecha",IF(C389="","⚠ Falta monto",IF(D389="","⚠ Falta categoría",IF(ISNA(MATCH(D389,catNom,0)),"⚠ Categoría no existe",IF(E389="","⚠ Falta cuenta",IF(ISNA(MATCH(E389,ctaNom,0)),"⚠ Cuenta no existe",IF(AND(OR(I389="Transferencia",I389="Pago tarjeta"),G389=""),"⚠ Indica la cuenta «Hacia»",IF(AND(G389&lt;&gt;"",G389=E389),"⚠ «Hacia» igual a la cuenta",IF(AND(G389&lt;&gt;"",ISNA(MATCH(G389,ctaNom,0))),"⚠ «Hacia» no existe",IF(AND(I389="Pago tarjeta",IFERROR(INDEX(ctaTipo,MATCH(G389,ctaNom,0)),"")&lt;&gt;"Tarjeta de crédito"),"⚠ «Hacia» debe ser la tarjeta",IF(AND(I389="Trading",IFERROR(INDEX(ctaTipo,MATCH(E389,ctaNom,0)),"")&lt;&gt;"Cuenta de trading"),"⚠ Usa la cuenta de trading","✓"))))))))))))</f>
        <v/>
      </c>
      <c r="I389" s="19">
        <f>IF(OR(B389="",C389="",D389=""),"",IFERROR(INDEX(catTipo,MATCH(D389,catNom,0))&amp;"",""))</f>
        <v/>
      </c>
      <c r="J389" s="19">
        <f>IF(I389="","",IFERROR(INDEX(catGrupo,MATCH(D389,catNom,0))&amp;"",""))</f>
        <v/>
      </c>
      <c r="K389" s="19">
        <f>IF(I389="Gasto",IF(IFERROR(INDEX(catClas,MATCH(D389,catNom,0))&amp;"","")="","Variable",IFERROR(INDEX(catClas,MATCH(D389,catNom,0))&amp;"","")),"")</f>
        <v/>
      </c>
      <c r="L389" s="19">
        <f>IF(I389="","",IFERROR(INDEX(catAlim,MATCH(D389,catNom,0))&amp;"",""))</f>
        <v/>
      </c>
      <c r="M389" s="19">
        <f>IF(I389="","",IFERROR(INDEX(catComida,MATCH(D389,catNom,0))&amp;"",""))</f>
        <v/>
      </c>
      <c r="N389" s="19">
        <f>IF(I389="","",IFERROR(INDEX(ctaMon,MATCH(E389,ctaNom,0))&amp;"","DOP"))</f>
        <v/>
      </c>
      <c r="O389" s="20">
        <f>IF(I389="","",C389*IF(N389="USD",TasaUSD,1))</f>
        <v/>
      </c>
      <c r="P389" s="20">
        <f>IF(I389="","",IF(I389="Gasto",O389,0))</f>
        <v/>
      </c>
      <c r="Q389" s="20">
        <f>IF(I389="","",IF(I389="Ingreso",O389,0))</f>
        <v/>
      </c>
      <c r="R389" s="20">
        <f>IF(I389="","",IF(I389="Trading",O389,0))</f>
        <v/>
      </c>
      <c r="S389" s="19">
        <f>IF(I389="","",IF(AND(I389="Gasto",K389="Variable",J389&lt;&gt;"Trading",O389&gt;0,O389&lt;=Umbral),1,0))</f>
        <v/>
      </c>
      <c r="T389" s="20">
        <f>IF(OR(I389="",E389=""),"",IF(OR(I389="Gasto",I389="Transferencia",I389="Pago tarjeta"),-1,1)*C389)</f>
        <v/>
      </c>
      <c r="U389" s="20">
        <f>IF(OR(G389="",AND(I389&lt;&gt;"Transferencia",I389&lt;&gt;"Pago tarjeta")),"",IF(IFERROR(INDEX(ctaMon,MATCH(G389,ctaNom,0))&amp;"","DOP")=N389,C389,IF(N389="USD",C389*TasaUSD,C389/TasaUSD)))</f>
        <v/>
      </c>
      <c r="V389" s="20">
        <f>IF(I389="","",IF(IFERROR(INDEX(ctaLiq,MATCH(E389,ctaNom,0))="Sí",FALSE),IF(OR(I389="Gasto",I389="Transferencia",I389="Pago tarjeta"),-1,1)*O389,0)+IF(AND(U389&lt;&gt;"",IFERROR(INDEX(ctaLiq,MATCH(G389,ctaNom,0))="Sí",FALSE)),O389,0))</f>
        <v/>
      </c>
      <c r="W389" s="19">
        <f>IF(OR(F389="",I389=""),"",IF(COUNTIFS(F$6:F389,F389,I$6:I389,"?*")=1,MAX(W$5:W388)+1,""))</f>
        <v/>
      </c>
    </row>
    <row r="390">
      <c r="B390" s="15" t="n"/>
      <c r="C390" s="16" t="n"/>
      <c r="D390" s="17" t="n"/>
      <c r="E390" s="17" t="n"/>
      <c r="F390" s="17" t="n"/>
      <c r="G390" s="17" t="n"/>
      <c r="H390" s="18">
        <f>IF(AND(B390="",C390="",D390="",E390=""),"",IF(B390="","⚠ Falta fecha",IF(C390="","⚠ Falta monto",IF(D390="","⚠ Falta categoría",IF(ISNA(MATCH(D390,catNom,0)),"⚠ Categoría no existe",IF(E390="","⚠ Falta cuenta",IF(ISNA(MATCH(E390,ctaNom,0)),"⚠ Cuenta no existe",IF(AND(OR(I390="Transferencia",I390="Pago tarjeta"),G390=""),"⚠ Indica la cuenta «Hacia»",IF(AND(G390&lt;&gt;"",G390=E390),"⚠ «Hacia» igual a la cuenta",IF(AND(G390&lt;&gt;"",ISNA(MATCH(G390,ctaNom,0))),"⚠ «Hacia» no existe",IF(AND(I390="Pago tarjeta",IFERROR(INDEX(ctaTipo,MATCH(G390,ctaNom,0)),"")&lt;&gt;"Tarjeta de crédito"),"⚠ «Hacia» debe ser la tarjeta",IF(AND(I390="Trading",IFERROR(INDEX(ctaTipo,MATCH(E390,ctaNom,0)),"")&lt;&gt;"Cuenta de trading"),"⚠ Usa la cuenta de trading","✓"))))))))))))</f>
        <v/>
      </c>
      <c r="I390" s="19">
        <f>IF(OR(B390="",C390="",D390=""),"",IFERROR(INDEX(catTipo,MATCH(D390,catNom,0))&amp;"",""))</f>
        <v/>
      </c>
      <c r="J390" s="19">
        <f>IF(I390="","",IFERROR(INDEX(catGrupo,MATCH(D390,catNom,0))&amp;"",""))</f>
        <v/>
      </c>
      <c r="K390" s="19">
        <f>IF(I390="Gasto",IF(IFERROR(INDEX(catClas,MATCH(D390,catNom,0))&amp;"","")="","Variable",IFERROR(INDEX(catClas,MATCH(D390,catNom,0))&amp;"","")),"")</f>
        <v/>
      </c>
      <c r="L390" s="19">
        <f>IF(I390="","",IFERROR(INDEX(catAlim,MATCH(D390,catNom,0))&amp;"",""))</f>
        <v/>
      </c>
      <c r="M390" s="19">
        <f>IF(I390="","",IFERROR(INDEX(catComida,MATCH(D390,catNom,0))&amp;"",""))</f>
        <v/>
      </c>
      <c r="N390" s="19">
        <f>IF(I390="","",IFERROR(INDEX(ctaMon,MATCH(E390,ctaNom,0))&amp;"","DOP"))</f>
        <v/>
      </c>
      <c r="O390" s="20">
        <f>IF(I390="","",C390*IF(N390="USD",TasaUSD,1))</f>
        <v/>
      </c>
      <c r="P390" s="20">
        <f>IF(I390="","",IF(I390="Gasto",O390,0))</f>
        <v/>
      </c>
      <c r="Q390" s="20">
        <f>IF(I390="","",IF(I390="Ingreso",O390,0))</f>
        <v/>
      </c>
      <c r="R390" s="20">
        <f>IF(I390="","",IF(I390="Trading",O390,0))</f>
        <v/>
      </c>
      <c r="S390" s="19">
        <f>IF(I390="","",IF(AND(I390="Gasto",K390="Variable",J390&lt;&gt;"Trading",O390&gt;0,O390&lt;=Umbral),1,0))</f>
        <v/>
      </c>
      <c r="T390" s="20">
        <f>IF(OR(I390="",E390=""),"",IF(OR(I390="Gasto",I390="Transferencia",I390="Pago tarjeta"),-1,1)*C390)</f>
        <v/>
      </c>
      <c r="U390" s="20">
        <f>IF(OR(G390="",AND(I390&lt;&gt;"Transferencia",I390&lt;&gt;"Pago tarjeta")),"",IF(IFERROR(INDEX(ctaMon,MATCH(G390,ctaNom,0))&amp;"","DOP")=N390,C390,IF(N390="USD",C390*TasaUSD,C390/TasaUSD)))</f>
        <v/>
      </c>
      <c r="V390" s="20">
        <f>IF(I390="","",IF(IFERROR(INDEX(ctaLiq,MATCH(E390,ctaNom,0))="Sí",FALSE),IF(OR(I390="Gasto",I390="Transferencia",I390="Pago tarjeta"),-1,1)*O390,0)+IF(AND(U390&lt;&gt;"",IFERROR(INDEX(ctaLiq,MATCH(G390,ctaNom,0))="Sí",FALSE)),O390,0))</f>
        <v/>
      </c>
      <c r="W390" s="19">
        <f>IF(OR(F390="",I390=""),"",IF(COUNTIFS(F$6:F390,F390,I$6:I390,"?*")=1,MAX(W$5:W389)+1,""))</f>
        <v/>
      </c>
    </row>
    <row r="391">
      <c r="B391" s="15" t="n"/>
      <c r="C391" s="16" t="n"/>
      <c r="D391" s="17" t="n"/>
      <c r="E391" s="17" t="n"/>
      <c r="F391" s="17" t="n"/>
      <c r="G391" s="17" t="n"/>
      <c r="H391" s="18">
        <f>IF(AND(B391="",C391="",D391="",E391=""),"",IF(B391="","⚠ Falta fecha",IF(C391="","⚠ Falta monto",IF(D391="","⚠ Falta categoría",IF(ISNA(MATCH(D391,catNom,0)),"⚠ Categoría no existe",IF(E391="","⚠ Falta cuenta",IF(ISNA(MATCH(E391,ctaNom,0)),"⚠ Cuenta no existe",IF(AND(OR(I391="Transferencia",I391="Pago tarjeta"),G391=""),"⚠ Indica la cuenta «Hacia»",IF(AND(G391&lt;&gt;"",G391=E391),"⚠ «Hacia» igual a la cuenta",IF(AND(G391&lt;&gt;"",ISNA(MATCH(G391,ctaNom,0))),"⚠ «Hacia» no existe",IF(AND(I391="Pago tarjeta",IFERROR(INDEX(ctaTipo,MATCH(G391,ctaNom,0)),"")&lt;&gt;"Tarjeta de crédito"),"⚠ «Hacia» debe ser la tarjeta",IF(AND(I391="Trading",IFERROR(INDEX(ctaTipo,MATCH(E391,ctaNom,0)),"")&lt;&gt;"Cuenta de trading"),"⚠ Usa la cuenta de trading","✓"))))))))))))</f>
        <v/>
      </c>
      <c r="I391" s="19">
        <f>IF(OR(B391="",C391="",D391=""),"",IFERROR(INDEX(catTipo,MATCH(D391,catNom,0))&amp;"",""))</f>
        <v/>
      </c>
      <c r="J391" s="19">
        <f>IF(I391="","",IFERROR(INDEX(catGrupo,MATCH(D391,catNom,0))&amp;"",""))</f>
        <v/>
      </c>
      <c r="K391" s="19">
        <f>IF(I391="Gasto",IF(IFERROR(INDEX(catClas,MATCH(D391,catNom,0))&amp;"","")="","Variable",IFERROR(INDEX(catClas,MATCH(D391,catNom,0))&amp;"","")),"")</f>
        <v/>
      </c>
      <c r="L391" s="19">
        <f>IF(I391="","",IFERROR(INDEX(catAlim,MATCH(D391,catNom,0))&amp;"",""))</f>
        <v/>
      </c>
      <c r="M391" s="19">
        <f>IF(I391="","",IFERROR(INDEX(catComida,MATCH(D391,catNom,0))&amp;"",""))</f>
        <v/>
      </c>
      <c r="N391" s="19">
        <f>IF(I391="","",IFERROR(INDEX(ctaMon,MATCH(E391,ctaNom,0))&amp;"","DOP"))</f>
        <v/>
      </c>
      <c r="O391" s="20">
        <f>IF(I391="","",C391*IF(N391="USD",TasaUSD,1))</f>
        <v/>
      </c>
      <c r="P391" s="20">
        <f>IF(I391="","",IF(I391="Gasto",O391,0))</f>
        <v/>
      </c>
      <c r="Q391" s="20">
        <f>IF(I391="","",IF(I391="Ingreso",O391,0))</f>
        <v/>
      </c>
      <c r="R391" s="20">
        <f>IF(I391="","",IF(I391="Trading",O391,0))</f>
        <v/>
      </c>
      <c r="S391" s="19">
        <f>IF(I391="","",IF(AND(I391="Gasto",K391="Variable",J391&lt;&gt;"Trading",O391&gt;0,O391&lt;=Umbral),1,0))</f>
        <v/>
      </c>
      <c r="T391" s="20">
        <f>IF(OR(I391="",E391=""),"",IF(OR(I391="Gasto",I391="Transferencia",I391="Pago tarjeta"),-1,1)*C391)</f>
        <v/>
      </c>
      <c r="U391" s="20">
        <f>IF(OR(G391="",AND(I391&lt;&gt;"Transferencia",I391&lt;&gt;"Pago tarjeta")),"",IF(IFERROR(INDEX(ctaMon,MATCH(G391,ctaNom,0))&amp;"","DOP")=N391,C391,IF(N391="USD",C391*TasaUSD,C391/TasaUSD)))</f>
        <v/>
      </c>
      <c r="V391" s="20">
        <f>IF(I391="","",IF(IFERROR(INDEX(ctaLiq,MATCH(E391,ctaNom,0))="Sí",FALSE),IF(OR(I391="Gasto",I391="Transferencia",I391="Pago tarjeta"),-1,1)*O391,0)+IF(AND(U391&lt;&gt;"",IFERROR(INDEX(ctaLiq,MATCH(G391,ctaNom,0))="Sí",FALSE)),O391,0))</f>
        <v/>
      </c>
      <c r="W391" s="19">
        <f>IF(OR(F391="",I391=""),"",IF(COUNTIFS(F$6:F391,F391,I$6:I391,"?*")=1,MAX(W$5:W390)+1,""))</f>
        <v/>
      </c>
    </row>
    <row r="392">
      <c r="B392" s="15" t="n"/>
      <c r="C392" s="16" t="n"/>
      <c r="D392" s="17" t="n"/>
      <c r="E392" s="17" t="n"/>
      <c r="F392" s="17" t="n"/>
      <c r="G392" s="17" t="n"/>
      <c r="H392" s="18">
        <f>IF(AND(B392="",C392="",D392="",E392=""),"",IF(B392="","⚠ Falta fecha",IF(C392="","⚠ Falta monto",IF(D392="","⚠ Falta categoría",IF(ISNA(MATCH(D392,catNom,0)),"⚠ Categoría no existe",IF(E392="","⚠ Falta cuenta",IF(ISNA(MATCH(E392,ctaNom,0)),"⚠ Cuenta no existe",IF(AND(OR(I392="Transferencia",I392="Pago tarjeta"),G392=""),"⚠ Indica la cuenta «Hacia»",IF(AND(G392&lt;&gt;"",G392=E392),"⚠ «Hacia» igual a la cuenta",IF(AND(G392&lt;&gt;"",ISNA(MATCH(G392,ctaNom,0))),"⚠ «Hacia» no existe",IF(AND(I392="Pago tarjeta",IFERROR(INDEX(ctaTipo,MATCH(G392,ctaNom,0)),"")&lt;&gt;"Tarjeta de crédito"),"⚠ «Hacia» debe ser la tarjeta",IF(AND(I392="Trading",IFERROR(INDEX(ctaTipo,MATCH(E392,ctaNom,0)),"")&lt;&gt;"Cuenta de trading"),"⚠ Usa la cuenta de trading","✓"))))))))))))</f>
        <v/>
      </c>
      <c r="I392" s="19">
        <f>IF(OR(B392="",C392="",D392=""),"",IFERROR(INDEX(catTipo,MATCH(D392,catNom,0))&amp;"",""))</f>
        <v/>
      </c>
      <c r="J392" s="19">
        <f>IF(I392="","",IFERROR(INDEX(catGrupo,MATCH(D392,catNom,0))&amp;"",""))</f>
        <v/>
      </c>
      <c r="K392" s="19">
        <f>IF(I392="Gasto",IF(IFERROR(INDEX(catClas,MATCH(D392,catNom,0))&amp;"","")="","Variable",IFERROR(INDEX(catClas,MATCH(D392,catNom,0))&amp;"","")),"")</f>
        <v/>
      </c>
      <c r="L392" s="19">
        <f>IF(I392="","",IFERROR(INDEX(catAlim,MATCH(D392,catNom,0))&amp;"",""))</f>
        <v/>
      </c>
      <c r="M392" s="19">
        <f>IF(I392="","",IFERROR(INDEX(catComida,MATCH(D392,catNom,0))&amp;"",""))</f>
        <v/>
      </c>
      <c r="N392" s="19">
        <f>IF(I392="","",IFERROR(INDEX(ctaMon,MATCH(E392,ctaNom,0))&amp;"","DOP"))</f>
        <v/>
      </c>
      <c r="O392" s="20">
        <f>IF(I392="","",C392*IF(N392="USD",TasaUSD,1))</f>
        <v/>
      </c>
      <c r="P392" s="20">
        <f>IF(I392="","",IF(I392="Gasto",O392,0))</f>
        <v/>
      </c>
      <c r="Q392" s="20">
        <f>IF(I392="","",IF(I392="Ingreso",O392,0))</f>
        <v/>
      </c>
      <c r="R392" s="20">
        <f>IF(I392="","",IF(I392="Trading",O392,0))</f>
        <v/>
      </c>
      <c r="S392" s="19">
        <f>IF(I392="","",IF(AND(I392="Gasto",K392="Variable",J392&lt;&gt;"Trading",O392&gt;0,O392&lt;=Umbral),1,0))</f>
        <v/>
      </c>
      <c r="T392" s="20">
        <f>IF(OR(I392="",E392=""),"",IF(OR(I392="Gasto",I392="Transferencia",I392="Pago tarjeta"),-1,1)*C392)</f>
        <v/>
      </c>
      <c r="U392" s="20">
        <f>IF(OR(G392="",AND(I392&lt;&gt;"Transferencia",I392&lt;&gt;"Pago tarjeta")),"",IF(IFERROR(INDEX(ctaMon,MATCH(G392,ctaNom,0))&amp;"","DOP")=N392,C392,IF(N392="USD",C392*TasaUSD,C392/TasaUSD)))</f>
        <v/>
      </c>
      <c r="V392" s="20">
        <f>IF(I392="","",IF(IFERROR(INDEX(ctaLiq,MATCH(E392,ctaNom,0))="Sí",FALSE),IF(OR(I392="Gasto",I392="Transferencia",I392="Pago tarjeta"),-1,1)*O392,0)+IF(AND(U392&lt;&gt;"",IFERROR(INDEX(ctaLiq,MATCH(G392,ctaNom,0))="Sí",FALSE)),O392,0))</f>
        <v/>
      </c>
      <c r="W392" s="19">
        <f>IF(OR(F392="",I392=""),"",IF(COUNTIFS(F$6:F392,F392,I$6:I392,"?*")=1,MAX(W$5:W391)+1,""))</f>
        <v/>
      </c>
    </row>
    <row r="393">
      <c r="B393" s="15" t="n"/>
      <c r="C393" s="16" t="n"/>
      <c r="D393" s="17" t="n"/>
      <c r="E393" s="17" t="n"/>
      <c r="F393" s="17" t="n"/>
      <c r="G393" s="17" t="n"/>
      <c r="H393" s="18">
        <f>IF(AND(B393="",C393="",D393="",E393=""),"",IF(B393="","⚠ Falta fecha",IF(C393="","⚠ Falta monto",IF(D393="","⚠ Falta categoría",IF(ISNA(MATCH(D393,catNom,0)),"⚠ Categoría no existe",IF(E393="","⚠ Falta cuenta",IF(ISNA(MATCH(E393,ctaNom,0)),"⚠ Cuenta no existe",IF(AND(OR(I393="Transferencia",I393="Pago tarjeta"),G393=""),"⚠ Indica la cuenta «Hacia»",IF(AND(G393&lt;&gt;"",G393=E393),"⚠ «Hacia» igual a la cuenta",IF(AND(G393&lt;&gt;"",ISNA(MATCH(G393,ctaNom,0))),"⚠ «Hacia» no existe",IF(AND(I393="Pago tarjeta",IFERROR(INDEX(ctaTipo,MATCH(G393,ctaNom,0)),"")&lt;&gt;"Tarjeta de crédito"),"⚠ «Hacia» debe ser la tarjeta",IF(AND(I393="Trading",IFERROR(INDEX(ctaTipo,MATCH(E393,ctaNom,0)),"")&lt;&gt;"Cuenta de trading"),"⚠ Usa la cuenta de trading","✓"))))))))))))</f>
        <v/>
      </c>
      <c r="I393" s="19">
        <f>IF(OR(B393="",C393="",D393=""),"",IFERROR(INDEX(catTipo,MATCH(D393,catNom,0))&amp;"",""))</f>
        <v/>
      </c>
      <c r="J393" s="19">
        <f>IF(I393="","",IFERROR(INDEX(catGrupo,MATCH(D393,catNom,0))&amp;"",""))</f>
        <v/>
      </c>
      <c r="K393" s="19">
        <f>IF(I393="Gasto",IF(IFERROR(INDEX(catClas,MATCH(D393,catNom,0))&amp;"","")="","Variable",IFERROR(INDEX(catClas,MATCH(D393,catNom,0))&amp;"","")),"")</f>
        <v/>
      </c>
      <c r="L393" s="19">
        <f>IF(I393="","",IFERROR(INDEX(catAlim,MATCH(D393,catNom,0))&amp;"",""))</f>
        <v/>
      </c>
      <c r="M393" s="19">
        <f>IF(I393="","",IFERROR(INDEX(catComida,MATCH(D393,catNom,0))&amp;"",""))</f>
        <v/>
      </c>
      <c r="N393" s="19">
        <f>IF(I393="","",IFERROR(INDEX(ctaMon,MATCH(E393,ctaNom,0))&amp;"","DOP"))</f>
        <v/>
      </c>
      <c r="O393" s="20">
        <f>IF(I393="","",C393*IF(N393="USD",TasaUSD,1))</f>
        <v/>
      </c>
      <c r="P393" s="20">
        <f>IF(I393="","",IF(I393="Gasto",O393,0))</f>
        <v/>
      </c>
      <c r="Q393" s="20">
        <f>IF(I393="","",IF(I393="Ingreso",O393,0))</f>
        <v/>
      </c>
      <c r="R393" s="20">
        <f>IF(I393="","",IF(I393="Trading",O393,0))</f>
        <v/>
      </c>
      <c r="S393" s="19">
        <f>IF(I393="","",IF(AND(I393="Gasto",K393="Variable",J393&lt;&gt;"Trading",O393&gt;0,O393&lt;=Umbral),1,0))</f>
        <v/>
      </c>
      <c r="T393" s="20">
        <f>IF(OR(I393="",E393=""),"",IF(OR(I393="Gasto",I393="Transferencia",I393="Pago tarjeta"),-1,1)*C393)</f>
        <v/>
      </c>
      <c r="U393" s="20">
        <f>IF(OR(G393="",AND(I393&lt;&gt;"Transferencia",I393&lt;&gt;"Pago tarjeta")),"",IF(IFERROR(INDEX(ctaMon,MATCH(G393,ctaNom,0))&amp;"","DOP")=N393,C393,IF(N393="USD",C393*TasaUSD,C393/TasaUSD)))</f>
        <v/>
      </c>
      <c r="V393" s="20">
        <f>IF(I393="","",IF(IFERROR(INDEX(ctaLiq,MATCH(E393,ctaNom,0))="Sí",FALSE),IF(OR(I393="Gasto",I393="Transferencia",I393="Pago tarjeta"),-1,1)*O393,0)+IF(AND(U393&lt;&gt;"",IFERROR(INDEX(ctaLiq,MATCH(G393,ctaNom,0))="Sí",FALSE)),O393,0))</f>
        <v/>
      </c>
      <c r="W393" s="19">
        <f>IF(OR(F393="",I393=""),"",IF(COUNTIFS(F$6:F393,F393,I$6:I393,"?*")=1,MAX(W$5:W392)+1,""))</f>
        <v/>
      </c>
    </row>
    <row r="394">
      <c r="B394" s="15" t="n"/>
      <c r="C394" s="16" t="n"/>
      <c r="D394" s="17" t="n"/>
      <c r="E394" s="17" t="n"/>
      <c r="F394" s="17" t="n"/>
      <c r="G394" s="17" t="n"/>
      <c r="H394" s="18">
        <f>IF(AND(B394="",C394="",D394="",E394=""),"",IF(B394="","⚠ Falta fecha",IF(C394="","⚠ Falta monto",IF(D394="","⚠ Falta categoría",IF(ISNA(MATCH(D394,catNom,0)),"⚠ Categoría no existe",IF(E394="","⚠ Falta cuenta",IF(ISNA(MATCH(E394,ctaNom,0)),"⚠ Cuenta no existe",IF(AND(OR(I394="Transferencia",I394="Pago tarjeta"),G394=""),"⚠ Indica la cuenta «Hacia»",IF(AND(G394&lt;&gt;"",G394=E394),"⚠ «Hacia» igual a la cuenta",IF(AND(G394&lt;&gt;"",ISNA(MATCH(G394,ctaNom,0))),"⚠ «Hacia» no existe",IF(AND(I394="Pago tarjeta",IFERROR(INDEX(ctaTipo,MATCH(G394,ctaNom,0)),"")&lt;&gt;"Tarjeta de crédito"),"⚠ «Hacia» debe ser la tarjeta",IF(AND(I394="Trading",IFERROR(INDEX(ctaTipo,MATCH(E394,ctaNom,0)),"")&lt;&gt;"Cuenta de trading"),"⚠ Usa la cuenta de trading","✓"))))))))))))</f>
        <v/>
      </c>
      <c r="I394" s="19">
        <f>IF(OR(B394="",C394="",D394=""),"",IFERROR(INDEX(catTipo,MATCH(D394,catNom,0))&amp;"",""))</f>
        <v/>
      </c>
      <c r="J394" s="19">
        <f>IF(I394="","",IFERROR(INDEX(catGrupo,MATCH(D394,catNom,0))&amp;"",""))</f>
        <v/>
      </c>
      <c r="K394" s="19">
        <f>IF(I394="Gasto",IF(IFERROR(INDEX(catClas,MATCH(D394,catNom,0))&amp;"","")="","Variable",IFERROR(INDEX(catClas,MATCH(D394,catNom,0))&amp;"","")),"")</f>
        <v/>
      </c>
      <c r="L394" s="19">
        <f>IF(I394="","",IFERROR(INDEX(catAlim,MATCH(D394,catNom,0))&amp;"",""))</f>
        <v/>
      </c>
      <c r="M394" s="19">
        <f>IF(I394="","",IFERROR(INDEX(catComida,MATCH(D394,catNom,0))&amp;"",""))</f>
        <v/>
      </c>
      <c r="N394" s="19">
        <f>IF(I394="","",IFERROR(INDEX(ctaMon,MATCH(E394,ctaNom,0))&amp;"","DOP"))</f>
        <v/>
      </c>
      <c r="O394" s="20">
        <f>IF(I394="","",C394*IF(N394="USD",TasaUSD,1))</f>
        <v/>
      </c>
      <c r="P394" s="20">
        <f>IF(I394="","",IF(I394="Gasto",O394,0))</f>
        <v/>
      </c>
      <c r="Q394" s="20">
        <f>IF(I394="","",IF(I394="Ingreso",O394,0))</f>
        <v/>
      </c>
      <c r="R394" s="20">
        <f>IF(I394="","",IF(I394="Trading",O394,0))</f>
        <v/>
      </c>
      <c r="S394" s="19">
        <f>IF(I394="","",IF(AND(I394="Gasto",K394="Variable",J394&lt;&gt;"Trading",O394&gt;0,O394&lt;=Umbral),1,0))</f>
        <v/>
      </c>
      <c r="T394" s="20">
        <f>IF(OR(I394="",E394=""),"",IF(OR(I394="Gasto",I394="Transferencia",I394="Pago tarjeta"),-1,1)*C394)</f>
        <v/>
      </c>
      <c r="U394" s="20">
        <f>IF(OR(G394="",AND(I394&lt;&gt;"Transferencia",I394&lt;&gt;"Pago tarjeta")),"",IF(IFERROR(INDEX(ctaMon,MATCH(G394,ctaNom,0))&amp;"","DOP")=N394,C394,IF(N394="USD",C394*TasaUSD,C394/TasaUSD)))</f>
        <v/>
      </c>
      <c r="V394" s="20">
        <f>IF(I394="","",IF(IFERROR(INDEX(ctaLiq,MATCH(E394,ctaNom,0))="Sí",FALSE),IF(OR(I394="Gasto",I394="Transferencia",I394="Pago tarjeta"),-1,1)*O394,0)+IF(AND(U394&lt;&gt;"",IFERROR(INDEX(ctaLiq,MATCH(G394,ctaNom,0))="Sí",FALSE)),O394,0))</f>
        <v/>
      </c>
      <c r="W394" s="19">
        <f>IF(OR(F394="",I394=""),"",IF(COUNTIFS(F$6:F394,F394,I$6:I394,"?*")=1,MAX(W$5:W393)+1,""))</f>
        <v/>
      </c>
    </row>
    <row r="395">
      <c r="B395" s="15" t="n"/>
      <c r="C395" s="16" t="n"/>
      <c r="D395" s="17" t="n"/>
      <c r="E395" s="17" t="n"/>
      <c r="F395" s="17" t="n"/>
      <c r="G395" s="17" t="n"/>
      <c r="H395" s="18">
        <f>IF(AND(B395="",C395="",D395="",E395=""),"",IF(B395="","⚠ Falta fecha",IF(C395="","⚠ Falta monto",IF(D395="","⚠ Falta categoría",IF(ISNA(MATCH(D395,catNom,0)),"⚠ Categoría no existe",IF(E395="","⚠ Falta cuenta",IF(ISNA(MATCH(E395,ctaNom,0)),"⚠ Cuenta no existe",IF(AND(OR(I395="Transferencia",I395="Pago tarjeta"),G395=""),"⚠ Indica la cuenta «Hacia»",IF(AND(G395&lt;&gt;"",G395=E395),"⚠ «Hacia» igual a la cuenta",IF(AND(G395&lt;&gt;"",ISNA(MATCH(G395,ctaNom,0))),"⚠ «Hacia» no existe",IF(AND(I395="Pago tarjeta",IFERROR(INDEX(ctaTipo,MATCH(G395,ctaNom,0)),"")&lt;&gt;"Tarjeta de crédito"),"⚠ «Hacia» debe ser la tarjeta",IF(AND(I395="Trading",IFERROR(INDEX(ctaTipo,MATCH(E395,ctaNom,0)),"")&lt;&gt;"Cuenta de trading"),"⚠ Usa la cuenta de trading","✓"))))))))))))</f>
        <v/>
      </c>
      <c r="I395" s="19">
        <f>IF(OR(B395="",C395="",D395=""),"",IFERROR(INDEX(catTipo,MATCH(D395,catNom,0))&amp;"",""))</f>
        <v/>
      </c>
      <c r="J395" s="19">
        <f>IF(I395="","",IFERROR(INDEX(catGrupo,MATCH(D395,catNom,0))&amp;"",""))</f>
        <v/>
      </c>
      <c r="K395" s="19">
        <f>IF(I395="Gasto",IF(IFERROR(INDEX(catClas,MATCH(D395,catNom,0))&amp;"","")="","Variable",IFERROR(INDEX(catClas,MATCH(D395,catNom,0))&amp;"","")),"")</f>
        <v/>
      </c>
      <c r="L395" s="19">
        <f>IF(I395="","",IFERROR(INDEX(catAlim,MATCH(D395,catNom,0))&amp;"",""))</f>
        <v/>
      </c>
      <c r="M395" s="19">
        <f>IF(I395="","",IFERROR(INDEX(catComida,MATCH(D395,catNom,0))&amp;"",""))</f>
        <v/>
      </c>
      <c r="N395" s="19">
        <f>IF(I395="","",IFERROR(INDEX(ctaMon,MATCH(E395,ctaNom,0))&amp;"","DOP"))</f>
        <v/>
      </c>
      <c r="O395" s="20">
        <f>IF(I395="","",C395*IF(N395="USD",TasaUSD,1))</f>
        <v/>
      </c>
      <c r="P395" s="20">
        <f>IF(I395="","",IF(I395="Gasto",O395,0))</f>
        <v/>
      </c>
      <c r="Q395" s="20">
        <f>IF(I395="","",IF(I395="Ingreso",O395,0))</f>
        <v/>
      </c>
      <c r="R395" s="20">
        <f>IF(I395="","",IF(I395="Trading",O395,0))</f>
        <v/>
      </c>
      <c r="S395" s="19">
        <f>IF(I395="","",IF(AND(I395="Gasto",K395="Variable",J395&lt;&gt;"Trading",O395&gt;0,O395&lt;=Umbral),1,0))</f>
        <v/>
      </c>
      <c r="T395" s="20">
        <f>IF(OR(I395="",E395=""),"",IF(OR(I395="Gasto",I395="Transferencia",I395="Pago tarjeta"),-1,1)*C395)</f>
        <v/>
      </c>
      <c r="U395" s="20">
        <f>IF(OR(G395="",AND(I395&lt;&gt;"Transferencia",I395&lt;&gt;"Pago tarjeta")),"",IF(IFERROR(INDEX(ctaMon,MATCH(G395,ctaNom,0))&amp;"","DOP")=N395,C395,IF(N395="USD",C395*TasaUSD,C395/TasaUSD)))</f>
        <v/>
      </c>
      <c r="V395" s="20">
        <f>IF(I395="","",IF(IFERROR(INDEX(ctaLiq,MATCH(E395,ctaNom,0))="Sí",FALSE),IF(OR(I395="Gasto",I395="Transferencia",I395="Pago tarjeta"),-1,1)*O395,0)+IF(AND(U395&lt;&gt;"",IFERROR(INDEX(ctaLiq,MATCH(G395,ctaNom,0))="Sí",FALSE)),O395,0))</f>
        <v/>
      </c>
      <c r="W395" s="19">
        <f>IF(OR(F395="",I395=""),"",IF(COUNTIFS(F$6:F395,F395,I$6:I395,"?*")=1,MAX(W$5:W394)+1,""))</f>
        <v/>
      </c>
    </row>
    <row r="396">
      <c r="B396" s="15" t="n"/>
      <c r="C396" s="16" t="n"/>
      <c r="D396" s="17" t="n"/>
      <c r="E396" s="17" t="n"/>
      <c r="F396" s="17" t="n"/>
      <c r="G396" s="17" t="n"/>
      <c r="H396" s="18">
        <f>IF(AND(B396="",C396="",D396="",E396=""),"",IF(B396="","⚠ Falta fecha",IF(C396="","⚠ Falta monto",IF(D396="","⚠ Falta categoría",IF(ISNA(MATCH(D396,catNom,0)),"⚠ Categoría no existe",IF(E396="","⚠ Falta cuenta",IF(ISNA(MATCH(E396,ctaNom,0)),"⚠ Cuenta no existe",IF(AND(OR(I396="Transferencia",I396="Pago tarjeta"),G396=""),"⚠ Indica la cuenta «Hacia»",IF(AND(G396&lt;&gt;"",G396=E396),"⚠ «Hacia» igual a la cuenta",IF(AND(G396&lt;&gt;"",ISNA(MATCH(G396,ctaNom,0))),"⚠ «Hacia» no existe",IF(AND(I396="Pago tarjeta",IFERROR(INDEX(ctaTipo,MATCH(G396,ctaNom,0)),"")&lt;&gt;"Tarjeta de crédito"),"⚠ «Hacia» debe ser la tarjeta",IF(AND(I396="Trading",IFERROR(INDEX(ctaTipo,MATCH(E396,ctaNom,0)),"")&lt;&gt;"Cuenta de trading"),"⚠ Usa la cuenta de trading","✓"))))))))))))</f>
        <v/>
      </c>
      <c r="I396" s="19">
        <f>IF(OR(B396="",C396="",D396=""),"",IFERROR(INDEX(catTipo,MATCH(D396,catNom,0))&amp;"",""))</f>
        <v/>
      </c>
      <c r="J396" s="19">
        <f>IF(I396="","",IFERROR(INDEX(catGrupo,MATCH(D396,catNom,0))&amp;"",""))</f>
        <v/>
      </c>
      <c r="K396" s="19">
        <f>IF(I396="Gasto",IF(IFERROR(INDEX(catClas,MATCH(D396,catNom,0))&amp;"","")="","Variable",IFERROR(INDEX(catClas,MATCH(D396,catNom,0))&amp;"","")),"")</f>
        <v/>
      </c>
      <c r="L396" s="19">
        <f>IF(I396="","",IFERROR(INDEX(catAlim,MATCH(D396,catNom,0))&amp;"",""))</f>
        <v/>
      </c>
      <c r="M396" s="19">
        <f>IF(I396="","",IFERROR(INDEX(catComida,MATCH(D396,catNom,0))&amp;"",""))</f>
        <v/>
      </c>
      <c r="N396" s="19">
        <f>IF(I396="","",IFERROR(INDEX(ctaMon,MATCH(E396,ctaNom,0))&amp;"","DOP"))</f>
        <v/>
      </c>
      <c r="O396" s="20">
        <f>IF(I396="","",C396*IF(N396="USD",TasaUSD,1))</f>
        <v/>
      </c>
      <c r="P396" s="20">
        <f>IF(I396="","",IF(I396="Gasto",O396,0))</f>
        <v/>
      </c>
      <c r="Q396" s="20">
        <f>IF(I396="","",IF(I396="Ingreso",O396,0))</f>
        <v/>
      </c>
      <c r="R396" s="20">
        <f>IF(I396="","",IF(I396="Trading",O396,0))</f>
        <v/>
      </c>
      <c r="S396" s="19">
        <f>IF(I396="","",IF(AND(I396="Gasto",K396="Variable",J396&lt;&gt;"Trading",O396&gt;0,O396&lt;=Umbral),1,0))</f>
        <v/>
      </c>
      <c r="T396" s="20">
        <f>IF(OR(I396="",E396=""),"",IF(OR(I396="Gasto",I396="Transferencia",I396="Pago tarjeta"),-1,1)*C396)</f>
        <v/>
      </c>
      <c r="U396" s="20">
        <f>IF(OR(G396="",AND(I396&lt;&gt;"Transferencia",I396&lt;&gt;"Pago tarjeta")),"",IF(IFERROR(INDEX(ctaMon,MATCH(G396,ctaNom,0))&amp;"","DOP")=N396,C396,IF(N396="USD",C396*TasaUSD,C396/TasaUSD)))</f>
        <v/>
      </c>
      <c r="V396" s="20">
        <f>IF(I396="","",IF(IFERROR(INDEX(ctaLiq,MATCH(E396,ctaNom,0))="Sí",FALSE),IF(OR(I396="Gasto",I396="Transferencia",I396="Pago tarjeta"),-1,1)*O396,0)+IF(AND(U396&lt;&gt;"",IFERROR(INDEX(ctaLiq,MATCH(G396,ctaNom,0))="Sí",FALSE)),O396,0))</f>
        <v/>
      </c>
      <c r="W396" s="19">
        <f>IF(OR(F396="",I396=""),"",IF(COUNTIFS(F$6:F396,F396,I$6:I396,"?*")=1,MAX(W$5:W395)+1,""))</f>
        <v/>
      </c>
    </row>
    <row r="397">
      <c r="B397" s="15" t="n"/>
      <c r="C397" s="16" t="n"/>
      <c r="D397" s="17" t="n"/>
      <c r="E397" s="17" t="n"/>
      <c r="F397" s="17" t="n"/>
      <c r="G397" s="17" t="n"/>
      <c r="H397" s="18">
        <f>IF(AND(B397="",C397="",D397="",E397=""),"",IF(B397="","⚠ Falta fecha",IF(C397="","⚠ Falta monto",IF(D397="","⚠ Falta categoría",IF(ISNA(MATCH(D397,catNom,0)),"⚠ Categoría no existe",IF(E397="","⚠ Falta cuenta",IF(ISNA(MATCH(E397,ctaNom,0)),"⚠ Cuenta no existe",IF(AND(OR(I397="Transferencia",I397="Pago tarjeta"),G397=""),"⚠ Indica la cuenta «Hacia»",IF(AND(G397&lt;&gt;"",G397=E397),"⚠ «Hacia» igual a la cuenta",IF(AND(G397&lt;&gt;"",ISNA(MATCH(G397,ctaNom,0))),"⚠ «Hacia» no existe",IF(AND(I397="Pago tarjeta",IFERROR(INDEX(ctaTipo,MATCH(G397,ctaNom,0)),"")&lt;&gt;"Tarjeta de crédito"),"⚠ «Hacia» debe ser la tarjeta",IF(AND(I397="Trading",IFERROR(INDEX(ctaTipo,MATCH(E397,ctaNom,0)),"")&lt;&gt;"Cuenta de trading"),"⚠ Usa la cuenta de trading","✓"))))))))))))</f>
        <v/>
      </c>
      <c r="I397" s="19">
        <f>IF(OR(B397="",C397="",D397=""),"",IFERROR(INDEX(catTipo,MATCH(D397,catNom,0))&amp;"",""))</f>
        <v/>
      </c>
      <c r="J397" s="19">
        <f>IF(I397="","",IFERROR(INDEX(catGrupo,MATCH(D397,catNom,0))&amp;"",""))</f>
        <v/>
      </c>
      <c r="K397" s="19">
        <f>IF(I397="Gasto",IF(IFERROR(INDEX(catClas,MATCH(D397,catNom,0))&amp;"","")="","Variable",IFERROR(INDEX(catClas,MATCH(D397,catNom,0))&amp;"","")),"")</f>
        <v/>
      </c>
      <c r="L397" s="19">
        <f>IF(I397="","",IFERROR(INDEX(catAlim,MATCH(D397,catNom,0))&amp;"",""))</f>
        <v/>
      </c>
      <c r="M397" s="19">
        <f>IF(I397="","",IFERROR(INDEX(catComida,MATCH(D397,catNom,0))&amp;"",""))</f>
        <v/>
      </c>
      <c r="N397" s="19">
        <f>IF(I397="","",IFERROR(INDEX(ctaMon,MATCH(E397,ctaNom,0))&amp;"","DOP"))</f>
        <v/>
      </c>
      <c r="O397" s="20">
        <f>IF(I397="","",C397*IF(N397="USD",TasaUSD,1))</f>
        <v/>
      </c>
      <c r="P397" s="20">
        <f>IF(I397="","",IF(I397="Gasto",O397,0))</f>
        <v/>
      </c>
      <c r="Q397" s="20">
        <f>IF(I397="","",IF(I397="Ingreso",O397,0))</f>
        <v/>
      </c>
      <c r="R397" s="20">
        <f>IF(I397="","",IF(I397="Trading",O397,0))</f>
        <v/>
      </c>
      <c r="S397" s="19">
        <f>IF(I397="","",IF(AND(I397="Gasto",K397="Variable",J397&lt;&gt;"Trading",O397&gt;0,O397&lt;=Umbral),1,0))</f>
        <v/>
      </c>
      <c r="T397" s="20">
        <f>IF(OR(I397="",E397=""),"",IF(OR(I397="Gasto",I397="Transferencia",I397="Pago tarjeta"),-1,1)*C397)</f>
        <v/>
      </c>
      <c r="U397" s="20">
        <f>IF(OR(G397="",AND(I397&lt;&gt;"Transferencia",I397&lt;&gt;"Pago tarjeta")),"",IF(IFERROR(INDEX(ctaMon,MATCH(G397,ctaNom,0))&amp;"","DOP")=N397,C397,IF(N397="USD",C397*TasaUSD,C397/TasaUSD)))</f>
        <v/>
      </c>
      <c r="V397" s="20">
        <f>IF(I397="","",IF(IFERROR(INDEX(ctaLiq,MATCH(E397,ctaNom,0))="Sí",FALSE),IF(OR(I397="Gasto",I397="Transferencia",I397="Pago tarjeta"),-1,1)*O397,0)+IF(AND(U397&lt;&gt;"",IFERROR(INDEX(ctaLiq,MATCH(G397,ctaNom,0))="Sí",FALSE)),O397,0))</f>
        <v/>
      </c>
      <c r="W397" s="19">
        <f>IF(OR(F397="",I397=""),"",IF(COUNTIFS(F$6:F397,F397,I$6:I397,"?*")=1,MAX(W$5:W396)+1,""))</f>
        <v/>
      </c>
    </row>
    <row r="398">
      <c r="B398" s="15" t="n"/>
      <c r="C398" s="16" t="n"/>
      <c r="D398" s="17" t="n"/>
      <c r="E398" s="17" t="n"/>
      <c r="F398" s="17" t="n"/>
      <c r="G398" s="17" t="n"/>
      <c r="H398" s="18">
        <f>IF(AND(B398="",C398="",D398="",E398=""),"",IF(B398="","⚠ Falta fecha",IF(C398="","⚠ Falta monto",IF(D398="","⚠ Falta categoría",IF(ISNA(MATCH(D398,catNom,0)),"⚠ Categoría no existe",IF(E398="","⚠ Falta cuenta",IF(ISNA(MATCH(E398,ctaNom,0)),"⚠ Cuenta no existe",IF(AND(OR(I398="Transferencia",I398="Pago tarjeta"),G398=""),"⚠ Indica la cuenta «Hacia»",IF(AND(G398&lt;&gt;"",G398=E398),"⚠ «Hacia» igual a la cuenta",IF(AND(G398&lt;&gt;"",ISNA(MATCH(G398,ctaNom,0))),"⚠ «Hacia» no existe",IF(AND(I398="Pago tarjeta",IFERROR(INDEX(ctaTipo,MATCH(G398,ctaNom,0)),"")&lt;&gt;"Tarjeta de crédito"),"⚠ «Hacia» debe ser la tarjeta",IF(AND(I398="Trading",IFERROR(INDEX(ctaTipo,MATCH(E398,ctaNom,0)),"")&lt;&gt;"Cuenta de trading"),"⚠ Usa la cuenta de trading","✓"))))))))))))</f>
        <v/>
      </c>
      <c r="I398" s="19">
        <f>IF(OR(B398="",C398="",D398=""),"",IFERROR(INDEX(catTipo,MATCH(D398,catNom,0))&amp;"",""))</f>
        <v/>
      </c>
      <c r="J398" s="19">
        <f>IF(I398="","",IFERROR(INDEX(catGrupo,MATCH(D398,catNom,0))&amp;"",""))</f>
        <v/>
      </c>
      <c r="K398" s="19">
        <f>IF(I398="Gasto",IF(IFERROR(INDEX(catClas,MATCH(D398,catNom,0))&amp;"","")="","Variable",IFERROR(INDEX(catClas,MATCH(D398,catNom,0))&amp;"","")),"")</f>
        <v/>
      </c>
      <c r="L398" s="19">
        <f>IF(I398="","",IFERROR(INDEX(catAlim,MATCH(D398,catNom,0))&amp;"",""))</f>
        <v/>
      </c>
      <c r="M398" s="19">
        <f>IF(I398="","",IFERROR(INDEX(catComida,MATCH(D398,catNom,0))&amp;"",""))</f>
        <v/>
      </c>
      <c r="N398" s="19">
        <f>IF(I398="","",IFERROR(INDEX(ctaMon,MATCH(E398,ctaNom,0))&amp;"","DOP"))</f>
        <v/>
      </c>
      <c r="O398" s="20">
        <f>IF(I398="","",C398*IF(N398="USD",TasaUSD,1))</f>
        <v/>
      </c>
      <c r="P398" s="20">
        <f>IF(I398="","",IF(I398="Gasto",O398,0))</f>
        <v/>
      </c>
      <c r="Q398" s="20">
        <f>IF(I398="","",IF(I398="Ingreso",O398,0))</f>
        <v/>
      </c>
      <c r="R398" s="20">
        <f>IF(I398="","",IF(I398="Trading",O398,0))</f>
        <v/>
      </c>
      <c r="S398" s="19">
        <f>IF(I398="","",IF(AND(I398="Gasto",K398="Variable",J398&lt;&gt;"Trading",O398&gt;0,O398&lt;=Umbral),1,0))</f>
        <v/>
      </c>
      <c r="T398" s="20">
        <f>IF(OR(I398="",E398=""),"",IF(OR(I398="Gasto",I398="Transferencia",I398="Pago tarjeta"),-1,1)*C398)</f>
        <v/>
      </c>
      <c r="U398" s="20">
        <f>IF(OR(G398="",AND(I398&lt;&gt;"Transferencia",I398&lt;&gt;"Pago tarjeta")),"",IF(IFERROR(INDEX(ctaMon,MATCH(G398,ctaNom,0))&amp;"","DOP")=N398,C398,IF(N398="USD",C398*TasaUSD,C398/TasaUSD)))</f>
        <v/>
      </c>
      <c r="V398" s="20">
        <f>IF(I398="","",IF(IFERROR(INDEX(ctaLiq,MATCH(E398,ctaNom,0))="Sí",FALSE),IF(OR(I398="Gasto",I398="Transferencia",I398="Pago tarjeta"),-1,1)*O398,0)+IF(AND(U398&lt;&gt;"",IFERROR(INDEX(ctaLiq,MATCH(G398,ctaNom,0))="Sí",FALSE)),O398,0))</f>
        <v/>
      </c>
      <c r="W398" s="19">
        <f>IF(OR(F398="",I398=""),"",IF(COUNTIFS(F$6:F398,F398,I$6:I398,"?*")=1,MAX(W$5:W397)+1,""))</f>
        <v/>
      </c>
    </row>
    <row r="399">
      <c r="B399" s="15" t="n"/>
      <c r="C399" s="16" t="n"/>
      <c r="D399" s="17" t="n"/>
      <c r="E399" s="17" t="n"/>
      <c r="F399" s="17" t="n"/>
      <c r="G399" s="17" t="n"/>
      <c r="H399" s="18">
        <f>IF(AND(B399="",C399="",D399="",E399=""),"",IF(B399="","⚠ Falta fecha",IF(C399="","⚠ Falta monto",IF(D399="","⚠ Falta categoría",IF(ISNA(MATCH(D399,catNom,0)),"⚠ Categoría no existe",IF(E399="","⚠ Falta cuenta",IF(ISNA(MATCH(E399,ctaNom,0)),"⚠ Cuenta no existe",IF(AND(OR(I399="Transferencia",I399="Pago tarjeta"),G399=""),"⚠ Indica la cuenta «Hacia»",IF(AND(G399&lt;&gt;"",G399=E399),"⚠ «Hacia» igual a la cuenta",IF(AND(G399&lt;&gt;"",ISNA(MATCH(G399,ctaNom,0))),"⚠ «Hacia» no existe",IF(AND(I399="Pago tarjeta",IFERROR(INDEX(ctaTipo,MATCH(G399,ctaNom,0)),"")&lt;&gt;"Tarjeta de crédito"),"⚠ «Hacia» debe ser la tarjeta",IF(AND(I399="Trading",IFERROR(INDEX(ctaTipo,MATCH(E399,ctaNom,0)),"")&lt;&gt;"Cuenta de trading"),"⚠ Usa la cuenta de trading","✓"))))))))))))</f>
        <v/>
      </c>
      <c r="I399" s="19">
        <f>IF(OR(B399="",C399="",D399=""),"",IFERROR(INDEX(catTipo,MATCH(D399,catNom,0))&amp;"",""))</f>
        <v/>
      </c>
      <c r="J399" s="19">
        <f>IF(I399="","",IFERROR(INDEX(catGrupo,MATCH(D399,catNom,0))&amp;"",""))</f>
        <v/>
      </c>
      <c r="K399" s="19">
        <f>IF(I399="Gasto",IF(IFERROR(INDEX(catClas,MATCH(D399,catNom,0))&amp;"","")="","Variable",IFERROR(INDEX(catClas,MATCH(D399,catNom,0))&amp;"","")),"")</f>
        <v/>
      </c>
      <c r="L399" s="19">
        <f>IF(I399="","",IFERROR(INDEX(catAlim,MATCH(D399,catNom,0))&amp;"",""))</f>
        <v/>
      </c>
      <c r="M399" s="19">
        <f>IF(I399="","",IFERROR(INDEX(catComida,MATCH(D399,catNom,0))&amp;"",""))</f>
        <v/>
      </c>
      <c r="N399" s="19">
        <f>IF(I399="","",IFERROR(INDEX(ctaMon,MATCH(E399,ctaNom,0))&amp;"","DOP"))</f>
        <v/>
      </c>
      <c r="O399" s="20">
        <f>IF(I399="","",C399*IF(N399="USD",TasaUSD,1))</f>
        <v/>
      </c>
      <c r="P399" s="20">
        <f>IF(I399="","",IF(I399="Gasto",O399,0))</f>
        <v/>
      </c>
      <c r="Q399" s="20">
        <f>IF(I399="","",IF(I399="Ingreso",O399,0))</f>
        <v/>
      </c>
      <c r="R399" s="20">
        <f>IF(I399="","",IF(I399="Trading",O399,0))</f>
        <v/>
      </c>
      <c r="S399" s="19">
        <f>IF(I399="","",IF(AND(I399="Gasto",K399="Variable",J399&lt;&gt;"Trading",O399&gt;0,O399&lt;=Umbral),1,0))</f>
        <v/>
      </c>
      <c r="T399" s="20">
        <f>IF(OR(I399="",E399=""),"",IF(OR(I399="Gasto",I399="Transferencia",I399="Pago tarjeta"),-1,1)*C399)</f>
        <v/>
      </c>
      <c r="U399" s="20">
        <f>IF(OR(G399="",AND(I399&lt;&gt;"Transferencia",I399&lt;&gt;"Pago tarjeta")),"",IF(IFERROR(INDEX(ctaMon,MATCH(G399,ctaNom,0))&amp;"","DOP")=N399,C399,IF(N399="USD",C399*TasaUSD,C399/TasaUSD)))</f>
        <v/>
      </c>
      <c r="V399" s="20">
        <f>IF(I399="","",IF(IFERROR(INDEX(ctaLiq,MATCH(E399,ctaNom,0))="Sí",FALSE),IF(OR(I399="Gasto",I399="Transferencia",I399="Pago tarjeta"),-1,1)*O399,0)+IF(AND(U399&lt;&gt;"",IFERROR(INDEX(ctaLiq,MATCH(G399,ctaNom,0))="Sí",FALSE)),O399,0))</f>
        <v/>
      </c>
      <c r="W399" s="19">
        <f>IF(OR(F399="",I399=""),"",IF(COUNTIFS(F$6:F399,F399,I$6:I399,"?*")=1,MAX(W$5:W398)+1,""))</f>
        <v/>
      </c>
    </row>
    <row r="400">
      <c r="B400" s="15" t="n"/>
      <c r="C400" s="16" t="n"/>
      <c r="D400" s="17" t="n"/>
      <c r="E400" s="17" t="n"/>
      <c r="F400" s="17" t="n"/>
      <c r="G400" s="17" t="n"/>
      <c r="H400" s="18">
        <f>IF(AND(B400="",C400="",D400="",E400=""),"",IF(B400="","⚠ Falta fecha",IF(C400="","⚠ Falta monto",IF(D400="","⚠ Falta categoría",IF(ISNA(MATCH(D400,catNom,0)),"⚠ Categoría no existe",IF(E400="","⚠ Falta cuenta",IF(ISNA(MATCH(E400,ctaNom,0)),"⚠ Cuenta no existe",IF(AND(OR(I400="Transferencia",I400="Pago tarjeta"),G400=""),"⚠ Indica la cuenta «Hacia»",IF(AND(G400&lt;&gt;"",G400=E400),"⚠ «Hacia» igual a la cuenta",IF(AND(G400&lt;&gt;"",ISNA(MATCH(G400,ctaNom,0))),"⚠ «Hacia» no existe",IF(AND(I400="Pago tarjeta",IFERROR(INDEX(ctaTipo,MATCH(G400,ctaNom,0)),"")&lt;&gt;"Tarjeta de crédito"),"⚠ «Hacia» debe ser la tarjeta",IF(AND(I400="Trading",IFERROR(INDEX(ctaTipo,MATCH(E400,ctaNom,0)),"")&lt;&gt;"Cuenta de trading"),"⚠ Usa la cuenta de trading","✓"))))))))))))</f>
        <v/>
      </c>
      <c r="I400" s="19">
        <f>IF(OR(B400="",C400="",D400=""),"",IFERROR(INDEX(catTipo,MATCH(D400,catNom,0))&amp;"",""))</f>
        <v/>
      </c>
      <c r="J400" s="19">
        <f>IF(I400="","",IFERROR(INDEX(catGrupo,MATCH(D400,catNom,0))&amp;"",""))</f>
        <v/>
      </c>
      <c r="K400" s="19">
        <f>IF(I400="Gasto",IF(IFERROR(INDEX(catClas,MATCH(D400,catNom,0))&amp;"","")="","Variable",IFERROR(INDEX(catClas,MATCH(D400,catNom,0))&amp;"","")),"")</f>
        <v/>
      </c>
      <c r="L400" s="19">
        <f>IF(I400="","",IFERROR(INDEX(catAlim,MATCH(D400,catNom,0))&amp;"",""))</f>
        <v/>
      </c>
      <c r="M400" s="19">
        <f>IF(I400="","",IFERROR(INDEX(catComida,MATCH(D400,catNom,0))&amp;"",""))</f>
        <v/>
      </c>
      <c r="N400" s="19">
        <f>IF(I400="","",IFERROR(INDEX(ctaMon,MATCH(E400,ctaNom,0))&amp;"","DOP"))</f>
        <v/>
      </c>
      <c r="O400" s="20">
        <f>IF(I400="","",C400*IF(N400="USD",TasaUSD,1))</f>
        <v/>
      </c>
      <c r="P400" s="20">
        <f>IF(I400="","",IF(I400="Gasto",O400,0))</f>
        <v/>
      </c>
      <c r="Q400" s="20">
        <f>IF(I400="","",IF(I400="Ingreso",O400,0))</f>
        <v/>
      </c>
      <c r="R400" s="20">
        <f>IF(I400="","",IF(I400="Trading",O400,0))</f>
        <v/>
      </c>
      <c r="S400" s="19">
        <f>IF(I400="","",IF(AND(I400="Gasto",K400="Variable",J400&lt;&gt;"Trading",O400&gt;0,O400&lt;=Umbral),1,0))</f>
        <v/>
      </c>
      <c r="T400" s="20">
        <f>IF(OR(I400="",E400=""),"",IF(OR(I400="Gasto",I400="Transferencia",I400="Pago tarjeta"),-1,1)*C400)</f>
        <v/>
      </c>
      <c r="U400" s="20">
        <f>IF(OR(G400="",AND(I400&lt;&gt;"Transferencia",I400&lt;&gt;"Pago tarjeta")),"",IF(IFERROR(INDEX(ctaMon,MATCH(G400,ctaNom,0))&amp;"","DOP")=N400,C400,IF(N400="USD",C400*TasaUSD,C400/TasaUSD)))</f>
        <v/>
      </c>
      <c r="V400" s="20">
        <f>IF(I400="","",IF(IFERROR(INDEX(ctaLiq,MATCH(E400,ctaNom,0))="Sí",FALSE),IF(OR(I400="Gasto",I400="Transferencia",I400="Pago tarjeta"),-1,1)*O400,0)+IF(AND(U400&lt;&gt;"",IFERROR(INDEX(ctaLiq,MATCH(G400,ctaNom,0))="Sí",FALSE)),O400,0))</f>
        <v/>
      </c>
      <c r="W400" s="19">
        <f>IF(OR(F400="",I400=""),"",IF(COUNTIFS(F$6:F400,F400,I$6:I400,"?*")=1,MAX(W$5:W399)+1,""))</f>
        <v/>
      </c>
    </row>
    <row r="401">
      <c r="B401" s="15" t="n"/>
      <c r="C401" s="16" t="n"/>
      <c r="D401" s="17" t="n"/>
      <c r="E401" s="17" t="n"/>
      <c r="F401" s="17" t="n"/>
      <c r="G401" s="17" t="n"/>
      <c r="H401" s="18">
        <f>IF(AND(B401="",C401="",D401="",E401=""),"",IF(B401="","⚠ Falta fecha",IF(C401="","⚠ Falta monto",IF(D401="","⚠ Falta categoría",IF(ISNA(MATCH(D401,catNom,0)),"⚠ Categoría no existe",IF(E401="","⚠ Falta cuenta",IF(ISNA(MATCH(E401,ctaNom,0)),"⚠ Cuenta no existe",IF(AND(OR(I401="Transferencia",I401="Pago tarjeta"),G401=""),"⚠ Indica la cuenta «Hacia»",IF(AND(G401&lt;&gt;"",G401=E401),"⚠ «Hacia» igual a la cuenta",IF(AND(G401&lt;&gt;"",ISNA(MATCH(G401,ctaNom,0))),"⚠ «Hacia» no existe",IF(AND(I401="Pago tarjeta",IFERROR(INDEX(ctaTipo,MATCH(G401,ctaNom,0)),"")&lt;&gt;"Tarjeta de crédito"),"⚠ «Hacia» debe ser la tarjeta",IF(AND(I401="Trading",IFERROR(INDEX(ctaTipo,MATCH(E401,ctaNom,0)),"")&lt;&gt;"Cuenta de trading"),"⚠ Usa la cuenta de trading","✓"))))))))))))</f>
        <v/>
      </c>
      <c r="I401" s="19">
        <f>IF(OR(B401="",C401="",D401=""),"",IFERROR(INDEX(catTipo,MATCH(D401,catNom,0))&amp;"",""))</f>
        <v/>
      </c>
      <c r="J401" s="19">
        <f>IF(I401="","",IFERROR(INDEX(catGrupo,MATCH(D401,catNom,0))&amp;"",""))</f>
        <v/>
      </c>
      <c r="K401" s="19">
        <f>IF(I401="Gasto",IF(IFERROR(INDEX(catClas,MATCH(D401,catNom,0))&amp;"","")="","Variable",IFERROR(INDEX(catClas,MATCH(D401,catNom,0))&amp;"","")),"")</f>
        <v/>
      </c>
      <c r="L401" s="19">
        <f>IF(I401="","",IFERROR(INDEX(catAlim,MATCH(D401,catNom,0))&amp;"",""))</f>
        <v/>
      </c>
      <c r="M401" s="19">
        <f>IF(I401="","",IFERROR(INDEX(catComida,MATCH(D401,catNom,0))&amp;"",""))</f>
        <v/>
      </c>
      <c r="N401" s="19">
        <f>IF(I401="","",IFERROR(INDEX(ctaMon,MATCH(E401,ctaNom,0))&amp;"","DOP"))</f>
        <v/>
      </c>
      <c r="O401" s="20">
        <f>IF(I401="","",C401*IF(N401="USD",TasaUSD,1))</f>
        <v/>
      </c>
      <c r="P401" s="20">
        <f>IF(I401="","",IF(I401="Gasto",O401,0))</f>
        <v/>
      </c>
      <c r="Q401" s="20">
        <f>IF(I401="","",IF(I401="Ingreso",O401,0))</f>
        <v/>
      </c>
      <c r="R401" s="20">
        <f>IF(I401="","",IF(I401="Trading",O401,0))</f>
        <v/>
      </c>
      <c r="S401" s="19">
        <f>IF(I401="","",IF(AND(I401="Gasto",K401="Variable",J401&lt;&gt;"Trading",O401&gt;0,O401&lt;=Umbral),1,0))</f>
        <v/>
      </c>
      <c r="T401" s="20">
        <f>IF(OR(I401="",E401=""),"",IF(OR(I401="Gasto",I401="Transferencia",I401="Pago tarjeta"),-1,1)*C401)</f>
        <v/>
      </c>
      <c r="U401" s="20">
        <f>IF(OR(G401="",AND(I401&lt;&gt;"Transferencia",I401&lt;&gt;"Pago tarjeta")),"",IF(IFERROR(INDEX(ctaMon,MATCH(G401,ctaNom,0))&amp;"","DOP")=N401,C401,IF(N401="USD",C401*TasaUSD,C401/TasaUSD)))</f>
        <v/>
      </c>
      <c r="V401" s="20">
        <f>IF(I401="","",IF(IFERROR(INDEX(ctaLiq,MATCH(E401,ctaNom,0))="Sí",FALSE),IF(OR(I401="Gasto",I401="Transferencia",I401="Pago tarjeta"),-1,1)*O401,0)+IF(AND(U401&lt;&gt;"",IFERROR(INDEX(ctaLiq,MATCH(G401,ctaNom,0))="Sí",FALSE)),O401,0))</f>
        <v/>
      </c>
      <c r="W401" s="19">
        <f>IF(OR(F401="",I401=""),"",IF(COUNTIFS(F$6:F401,F401,I$6:I401,"?*")=1,MAX(W$5:W400)+1,""))</f>
        <v/>
      </c>
    </row>
    <row r="402">
      <c r="B402" s="15" t="n"/>
      <c r="C402" s="16" t="n"/>
      <c r="D402" s="17" t="n"/>
      <c r="E402" s="17" t="n"/>
      <c r="F402" s="17" t="n"/>
      <c r="G402" s="17" t="n"/>
      <c r="H402" s="18">
        <f>IF(AND(B402="",C402="",D402="",E402=""),"",IF(B402="","⚠ Falta fecha",IF(C402="","⚠ Falta monto",IF(D402="","⚠ Falta categoría",IF(ISNA(MATCH(D402,catNom,0)),"⚠ Categoría no existe",IF(E402="","⚠ Falta cuenta",IF(ISNA(MATCH(E402,ctaNom,0)),"⚠ Cuenta no existe",IF(AND(OR(I402="Transferencia",I402="Pago tarjeta"),G402=""),"⚠ Indica la cuenta «Hacia»",IF(AND(G402&lt;&gt;"",G402=E402),"⚠ «Hacia» igual a la cuenta",IF(AND(G402&lt;&gt;"",ISNA(MATCH(G402,ctaNom,0))),"⚠ «Hacia» no existe",IF(AND(I402="Pago tarjeta",IFERROR(INDEX(ctaTipo,MATCH(G402,ctaNom,0)),"")&lt;&gt;"Tarjeta de crédito"),"⚠ «Hacia» debe ser la tarjeta",IF(AND(I402="Trading",IFERROR(INDEX(ctaTipo,MATCH(E402,ctaNom,0)),"")&lt;&gt;"Cuenta de trading"),"⚠ Usa la cuenta de trading","✓"))))))))))))</f>
        <v/>
      </c>
      <c r="I402" s="19">
        <f>IF(OR(B402="",C402="",D402=""),"",IFERROR(INDEX(catTipo,MATCH(D402,catNom,0))&amp;"",""))</f>
        <v/>
      </c>
      <c r="J402" s="19">
        <f>IF(I402="","",IFERROR(INDEX(catGrupo,MATCH(D402,catNom,0))&amp;"",""))</f>
        <v/>
      </c>
      <c r="K402" s="19">
        <f>IF(I402="Gasto",IF(IFERROR(INDEX(catClas,MATCH(D402,catNom,0))&amp;"","")="","Variable",IFERROR(INDEX(catClas,MATCH(D402,catNom,0))&amp;"","")),"")</f>
        <v/>
      </c>
      <c r="L402" s="19">
        <f>IF(I402="","",IFERROR(INDEX(catAlim,MATCH(D402,catNom,0))&amp;"",""))</f>
        <v/>
      </c>
      <c r="M402" s="19">
        <f>IF(I402="","",IFERROR(INDEX(catComida,MATCH(D402,catNom,0))&amp;"",""))</f>
        <v/>
      </c>
      <c r="N402" s="19">
        <f>IF(I402="","",IFERROR(INDEX(ctaMon,MATCH(E402,ctaNom,0))&amp;"","DOP"))</f>
        <v/>
      </c>
      <c r="O402" s="20">
        <f>IF(I402="","",C402*IF(N402="USD",TasaUSD,1))</f>
        <v/>
      </c>
      <c r="P402" s="20">
        <f>IF(I402="","",IF(I402="Gasto",O402,0))</f>
        <v/>
      </c>
      <c r="Q402" s="20">
        <f>IF(I402="","",IF(I402="Ingreso",O402,0))</f>
        <v/>
      </c>
      <c r="R402" s="20">
        <f>IF(I402="","",IF(I402="Trading",O402,0))</f>
        <v/>
      </c>
      <c r="S402" s="19">
        <f>IF(I402="","",IF(AND(I402="Gasto",K402="Variable",J402&lt;&gt;"Trading",O402&gt;0,O402&lt;=Umbral),1,0))</f>
        <v/>
      </c>
      <c r="T402" s="20">
        <f>IF(OR(I402="",E402=""),"",IF(OR(I402="Gasto",I402="Transferencia",I402="Pago tarjeta"),-1,1)*C402)</f>
        <v/>
      </c>
      <c r="U402" s="20">
        <f>IF(OR(G402="",AND(I402&lt;&gt;"Transferencia",I402&lt;&gt;"Pago tarjeta")),"",IF(IFERROR(INDEX(ctaMon,MATCH(G402,ctaNom,0))&amp;"","DOP")=N402,C402,IF(N402="USD",C402*TasaUSD,C402/TasaUSD)))</f>
        <v/>
      </c>
      <c r="V402" s="20">
        <f>IF(I402="","",IF(IFERROR(INDEX(ctaLiq,MATCH(E402,ctaNom,0))="Sí",FALSE),IF(OR(I402="Gasto",I402="Transferencia",I402="Pago tarjeta"),-1,1)*O402,0)+IF(AND(U402&lt;&gt;"",IFERROR(INDEX(ctaLiq,MATCH(G402,ctaNom,0))="Sí",FALSE)),O402,0))</f>
        <v/>
      </c>
      <c r="W402" s="19">
        <f>IF(OR(F402="",I402=""),"",IF(COUNTIFS(F$6:F402,F402,I$6:I402,"?*")=1,MAX(W$5:W401)+1,""))</f>
        <v/>
      </c>
    </row>
    <row r="403">
      <c r="B403" s="15" t="n"/>
      <c r="C403" s="16" t="n"/>
      <c r="D403" s="17" t="n"/>
      <c r="E403" s="17" t="n"/>
      <c r="F403" s="17" t="n"/>
      <c r="G403" s="17" t="n"/>
      <c r="H403" s="18">
        <f>IF(AND(B403="",C403="",D403="",E403=""),"",IF(B403="","⚠ Falta fecha",IF(C403="","⚠ Falta monto",IF(D403="","⚠ Falta categoría",IF(ISNA(MATCH(D403,catNom,0)),"⚠ Categoría no existe",IF(E403="","⚠ Falta cuenta",IF(ISNA(MATCH(E403,ctaNom,0)),"⚠ Cuenta no existe",IF(AND(OR(I403="Transferencia",I403="Pago tarjeta"),G403=""),"⚠ Indica la cuenta «Hacia»",IF(AND(G403&lt;&gt;"",G403=E403),"⚠ «Hacia» igual a la cuenta",IF(AND(G403&lt;&gt;"",ISNA(MATCH(G403,ctaNom,0))),"⚠ «Hacia» no existe",IF(AND(I403="Pago tarjeta",IFERROR(INDEX(ctaTipo,MATCH(G403,ctaNom,0)),"")&lt;&gt;"Tarjeta de crédito"),"⚠ «Hacia» debe ser la tarjeta",IF(AND(I403="Trading",IFERROR(INDEX(ctaTipo,MATCH(E403,ctaNom,0)),"")&lt;&gt;"Cuenta de trading"),"⚠ Usa la cuenta de trading","✓"))))))))))))</f>
        <v/>
      </c>
      <c r="I403" s="19">
        <f>IF(OR(B403="",C403="",D403=""),"",IFERROR(INDEX(catTipo,MATCH(D403,catNom,0))&amp;"",""))</f>
        <v/>
      </c>
      <c r="J403" s="19">
        <f>IF(I403="","",IFERROR(INDEX(catGrupo,MATCH(D403,catNom,0))&amp;"",""))</f>
        <v/>
      </c>
      <c r="K403" s="19">
        <f>IF(I403="Gasto",IF(IFERROR(INDEX(catClas,MATCH(D403,catNom,0))&amp;"","")="","Variable",IFERROR(INDEX(catClas,MATCH(D403,catNom,0))&amp;"","")),"")</f>
        <v/>
      </c>
      <c r="L403" s="19">
        <f>IF(I403="","",IFERROR(INDEX(catAlim,MATCH(D403,catNom,0))&amp;"",""))</f>
        <v/>
      </c>
      <c r="M403" s="19">
        <f>IF(I403="","",IFERROR(INDEX(catComida,MATCH(D403,catNom,0))&amp;"",""))</f>
        <v/>
      </c>
      <c r="N403" s="19">
        <f>IF(I403="","",IFERROR(INDEX(ctaMon,MATCH(E403,ctaNom,0))&amp;"","DOP"))</f>
        <v/>
      </c>
      <c r="O403" s="20">
        <f>IF(I403="","",C403*IF(N403="USD",TasaUSD,1))</f>
        <v/>
      </c>
      <c r="P403" s="20">
        <f>IF(I403="","",IF(I403="Gasto",O403,0))</f>
        <v/>
      </c>
      <c r="Q403" s="20">
        <f>IF(I403="","",IF(I403="Ingreso",O403,0))</f>
        <v/>
      </c>
      <c r="R403" s="20">
        <f>IF(I403="","",IF(I403="Trading",O403,0))</f>
        <v/>
      </c>
      <c r="S403" s="19">
        <f>IF(I403="","",IF(AND(I403="Gasto",K403="Variable",J403&lt;&gt;"Trading",O403&gt;0,O403&lt;=Umbral),1,0))</f>
        <v/>
      </c>
      <c r="T403" s="20">
        <f>IF(OR(I403="",E403=""),"",IF(OR(I403="Gasto",I403="Transferencia",I403="Pago tarjeta"),-1,1)*C403)</f>
        <v/>
      </c>
      <c r="U403" s="20">
        <f>IF(OR(G403="",AND(I403&lt;&gt;"Transferencia",I403&lt;&gt;"Pago tarjeta")),"",IF(IFERROR(INDEX(ctaMon,MATCH(G403,ctaNom,0))&amp;"","DOP")=N403,C403,IF(N403="USD",C403*TasaUSD,C403/TasaUSD)))</f>
        <v/>
      </c>
      <c r="V403" s="20">
        <f>IF(I403="","",IF(IFERROR(INDEX(ctaLiq,MATCH(E403,ctaNom,0))="Sí",FALSE),IF(OR(I403="Gasto",I403="Transferencia",I403="Pago tarjeta"),-1,1)*O403,0)+IF(AND(U403&lt;&gt;"",IFERROR(INDEX(ctaLiq,MATCH(G403,ctaNom,0))="Sí",FALSE)),O403,0))</f>
        <v/>
      </c>
      <c r="W403" s="19">
        <f>IF(OR(F403="",I403=""),"",IF(COUNTIFS(F$6:F403,F403,I$6:I403,"?*")=1,MAX(W$5:W402)+1,""))</f>
        <v/>
      </c>
    </row>
    <row r="404">
      <c r="B404" s="15" t="n"/>
      <c r="C404" s="16" t="n"/>
      <c r="D404" s="17" t="n"/>
      <c r="E404" s="17" t="n"/>
      <c r="F404" s="17" t="n"/>
      <c r="G404" s="17" t="n"/>
      <c r="H404" s="18">
        <f>IF(AND(B404="",C404="",D404="",E404=""),"",IF(B404="","⚠ Falta fecha",IF(C404="","⚠ Falta monto",IF(D404="","⚠ Falta categoría",IF(ISNA(MATCH(D404,catNom,0)),"⚠ Categoría no existe",IF(E404="","⚠ Falta cuenta",IF(ISNA(MATCH(E404,ctaNom,0)),"⚠ Cuenta no existe",IF(AND(OR(I404="Transferencia",I404="Pago tarjeta"),G404=""),"⚠ Indica la cuenta «Hacia»",IF(AND(G404&lt;&gt;"",G404=E404),"⚠ «Hacia» igual a la cuenta",IF(AND(G404&lt;&gt;"",ISNA(MATCH(G404,ctaNom,0))),"⚠ «Hacia» no existe",IF(AND(I404="Pago tarjeta",IFERROR(INDEX(ctaTipo,MATCH(G404,ctaNom,0)),"")&lt;&gt;"Tarjeta de crédito"),"⚠ «Hacia» debe ser la tarjeta",IF(AND(I404="Trading",IFERROR(INDEX(ctaTipo,MATCH(E404,ctaNom,0)),"")&lt;&gt;"Cuenta de trading"),"⚠ Usa la cuenta de trading","✓"))))))))))))</f>
        <v/>
      </c>
      <c r="I404" s="19">
        <f>IF(OR(B404="",C404="",D404=""),"",IFERROR(INDEX(catTipo,MATCH(D404,catNom,0))&amp;"",""))</f>
        <v/>
      </c>
      <c r="J404" s="19">
        <f>IF(I404="","",IFERROR(INDEX(catGrupo,MATCH(D404,catNom,0))&amp;"",""))</f>
        <v/>
      </c>
      <c r="K404" s="19">
        <f>IF(I404="Gasto",IF(IFERROR(INDEX(catClas,MATCH(D404,catNom,0))&amp;"","")="","Variable",IFERROR(INDEX(catClas,MATCH(D404,catNom,0))&amp;"","")),"")</f>
        <v/>
      </c>
      <c r="L404" s="19">
        <f>IF(I404="","",IFERROR(INDEX(catAlim,MATCH(D404,catNom,0))&amp;"",""))</f>
        <v/>
      </c>
      <c r="M404" s="19">
        <f>IF(I404="","",IFERROR(INDEX(catComida,MATCH(D404,catNom,0))&amp;"",""))</f>
        <v/>
      </c>
      <c r="N404" s="19">
        <f>IF(I404="","",IFERROR(INDEX(ctaMon,MATCH(E404,ctaNom,0))&amp;"","DOP"))</f>
        <v/>
      </c>
      <c r="O404" s="20">
        <f>IF(I404="","",C404*IF(N404="USD",TasaUSD,1))</f>
        <v/>
      </c>
      <c r="P404" s="20">
        <f>IF(I404="","",IF(I404="Gasto",O404,0))</f>
        <v/>
      </c>
      <c r="Q404" s="20">
        <f>IF(I404="","",IF(I404="Ingreso",O404,0))</f>
        <v/>
      </c>
      <c r="R404" s="20">
        <f>IF(I404="","",IF(I404="Trading",O404,0))</f>
        <v/>
      </c>
      <c r="S404" s="19">
        <f>IF(I404="","",IF(AND(I404="Gasto",K404="Variable",J404&lt;&gt;"Trading",O404&gt;0,O404&lt;=Umbral),1,0))</f>
        <v/>
      </c>
      <c r="T404" s="20">
        <f>IF(OR(I404="",E404=""),"",IF(OR(I404="Gasto",I404="Transferencia",I404="Pago tarjeta"),-1,1)*C404)</f>
        <v/>
      </c>
      <c r="U404" s="20">
        <f>IF(OR(G404="",AND(I404&lt;&gt;"Transferencia",I404&lt;&gt;"Pago tarjeta")),"",IF(IFERROR(INDEX(ctaMon,MATCH(G404,ctaNom,0))&amp;"","DOP")=N404,C404,IF(N404="USD",C404*TasaUSD,C404/TasaUSD)))</f>
        <v/>
      </c>
      <c r="V404" s="20">
        <f>IF(I404="","",IF(IFERROR(INDEX(ctaLiq,MATCH(E404,ctaNom,0))="Sí",FALSE),IF(OR(I404="Gasto",I404="Transferencia",I404="Pago tarjeta"),-1,1)*O404,0)+IF(AND(U404&lt;&gt;"",IFERROR(INDEX(ctaLiq,MATCH(G404,ctaNom,0))="Sí",FALSE)),O404,0))</f>
        <v/>
      </c>
      <c r="W404" s="19">
        <f>IF(OR(F404="",I404=""),"",IF(COUNTIFS(F$6:F404,F404,I$6:I404,"?*")=1,MAX(W$5:W403)+1,""))</f>
        <v/>
      </c>
    </row>
    <row r="405">
      <c r="B405" s="15" t="n"/>
      <c r="C405" s="16" t="n"/>
      <c r="D405" s="17" t="n"/>
      <c r="E405" s="17" t="n"/>
      <c r="F405" s="17" t="n"/>
      <c r="G405" s="17" t="n"/>
      <c r="H405" s="18">
        <f>IF(AND(B405="",C405="",D405="",E405=""),"",IF(B405="","⚠ Falta fecha",IF(C405="","⚠ Falta monto",IF(D405="","⚠ Falta categoría",IF(ISNA(MATCH(D405,catNom,0)),"⚠ Categoría no existe",IF(E405="","⚠ Falta cuenta",IF(ISNA(MATCH(E405,ctaNom,0)),"⚠ Cuenta no existe",IF(AND(OR(I405="Transferencia",I405="Pago tarjeta"),G405=""),"⚠ Indica la cuenta «Hacia»",IF(AND(G405&lt;&gt;"",G405=E405),"⚠ «Hacia» igual a la cuenta",IF(AND(G405&lt;&gt;"",ISNA(MATCH(G405,ctaNom,0))),"⚠ «Hacia» no existe",IF(AND(I405="Pago tarjeta",IFERROR(INDEX(ctaTipo,MATCH(G405,ctaNom,0)),"")&lt;&gt;"Tarjeta de crédito"),"⚠ «Hacia» debe ser la tarjeta",IF(AND(I405="Trading",IFERROR(INDEX(ctaTipo,MATCH(E405,ctaNom,0)),"")&lt;&gt;"Cuenta de trading"),"⚠ Usa la cuenta de trading","✓"))))))))))))</f>
        <v/>
      </c>
      <c r="I405" s="19">
        <f>IF(OR(B405="",C405="",D405=""),"",IFERROR(INDEX(catTipo,MATCH(D405,catNom,0))&amp;"",""))</f>
        <v/>
      </c>
      <c r="J405" s="19">
        <f>IF(I405="","",IFERROR(INDEX(catGrupo,MATCH(D405,catNom,0))&amp;"",""))</f>
        <v/>
      </c>
      <c r="K405" s="19">
        <f>IF(I405="Gasto",IF(IFERROR(INDEX(catClas,MATCH(D405,catNom,0))&amp;"","")="","Variable",IFERROR(INDEX(catClas,MATCH(D405,catNom,0))&amp;"","")),"")</f>
        <v/>
      </c>
      <c r="L405" s="19">
        <f>IF(I405="","",IFERROR(INDEX(catAlim,MATCH(D405,catNom,0))&amp;"",""))</f>
        <v/>
      </c>
      <c r="M405" s="19">
        <f>IF(I405="","",IFERROR(INDEX(catComida,MATCH(D405,catNom,0))&amp;"",""))</f>
        <v/>
      </c>
      <c r="N405" s="19">
        <f>IF(I405="","",IFERROR(INDEX(ctaMon,MATCH(E405,ctaNom,0))&amp;"","DOP"))</f>
        <v/>
      </c>
      <c r="O405" s="20">
        <f>IF(I405="","",C405*IF(N405="USD",TasaUSD,1))</f>
        <v/>
      </c>
      <c r="P405" s="20">
        <f>IF(I405="","",IF(I405="Gasto",O405,0))</f>
        <v/>
      </c>
      <c r="Q405" s="20">
        <f>IF(I405="","",IF(I405="Ingreso",O405,0))</f>
        <v/>
      </c>
      <c r="R405" s="20">
        <f>IF(I405="","",IF(I405="Trading",O405,0))</f>
        <v/>
      </c>
      <c r="S405" s="19">
        <f>IF(I405="","",IF(AND(I405="Gasto",K405="Variable",J405&lt;&gt;"Trading",O405&gt;0,O405&lt;=Umbral),1,0))</f>
        <v/>
      </c>
      <c r="T405" s="20">
        <f>IF(OR(I405="",E405=""),"",IF(OR(I405="Gasto",I405="Transferencia",I405="Pago tarjeta"),-1,1)*C405)</f>
        <v/>
      </c>
      <c r="U405" s="20">
        <f>IF(OR(G405="",AND(I405&lt;&gt;"Transferencia",I405&lt;&gt;"Pago tarjeta")),"",IF(IFERROR(INDEX(ctaMon,MATCH(G405,ctaNom,0))&amp;"","DOP")=N405,C405,IF(N405="USD",C405*TasaUSD,C405/TasaUSD)))</f>
        <v/>
      </c>
      <c r="V405" s="20">
        <f>IF(I405="","",IF(IFERROR(INDEX(ctaLiq,MATCH(E405,ctaNom,0))="Sí",FALSE),IF(OR(I405="Gasto",I405="Transferencia",I405="Pago tarjeta"),-1,1)*O405,0)+IF(AND(U405&lt;&gt;"",IFERROR(INDEX(ctaLiq,MATCH(G405,ctaNom,0))="Sí",FALSE)),O405,0))</f>
        <v/>
      </c>
      <c r="W405" s="19">
        <f>IF(OR(F405="",I405=""),"",IF(COUNTIFS(F$6:F405,F405,I$6:I405,"?*")=1,MAX(W$5:W404)+1,""))</f>
        <v/>
      </c>
    </row>
    <row r="406">
      <c r="B406" s="15" t="n"/>
      <c r="C406" s="16" t="n"/>
      <c r="D406" s="17" t="n"/>
      <c r="E406" s="17" t="n"/>
      <c r="F406" s="17" t="n"/>
      <c r="G406" s="17" t="n"/>
      <c r="H406" s="18">
        <f>IF(AND(B406="",C406="",D406="",E406=""),"",IF(B406="","⚠ Falta fecha",IF(C406="","⚠ Falta monto",IF(D406="","⚠ Falta categoría",IF(ISNA(MATCH(D406,catNom,0)),"⚠ Categoría no existe",IF(E406="","⚠ Falta cuenta",IF(ISNA(MATCH(E406,ctaNom,0)),"⚠ Cuenta no existe",IF(AND(OR(I406="Transferencia",I406="Pago tarjeta"),G406=""),"⚠ Indica la cuenta «Hacia»",IF(AND(G406&lt;&gt;"",G406=E406),"⚠ «Hacia» igual a la cuenta",IF(AND(G406&lt;&gt;"",ISNA(MATCH(G406,ctaNom,0))),"⚠ «Hacia» no existe",IF(AND(I406="Pago tarjeta",IFERROR(INDEX(ctaTipo,MATCH(G406,ctaNom,0)),"")&lt;&gt;"Tarjeta de crédito"),"⚠ «Hacia» debe ser la tarjeta",IF(AND(I406="Trading",IFERROR(INDEX(ctaTipo,MATCH(E406,ctaNom,0)),"")&lt;&gt;"Cuenta de trading"),"⚠ Usa la cuenta de trading","✓"))))))))))))</f>
        <v/>
      </c>
      <c r="I406" s="19">
        <f>IF(OR(B406="",C406="",D406=""),"",IFERROR(INDEX(catTipo,MATCH(D406,catNom,0))&amp;"",""))</f>
        <v/>
      </c>
      <c r="J406" s="19">
        <f>IF(I406="","",IFERROR(INDEX(catGrupo,MATCH(D406,catNom,0))&amp;"",""))</f>
        <v/>
      </c>
      <c r="K406" s="19">
        <f>IF(I406="Gasto",IF(IFERROR(INDEX(catClas,MATCH(D406,catNom,0))&amp;"","")="","Variable",IFERROR(INDEX(catClas,MATCH(D406,catNom,0))&amp;"","")),"")</f>
        <v/>
      </c>
      <c r="L406" s="19">
        <f>IF(I406="","",IFERROR(INDEX(catAlim,MATCH(D406,catNom,0))&amp;"",""))</f>
        <v/>
      </c>
      <c r="M406" s="19">
        <f>IF(I406="","",IFERROR(INDEX(catComida,MATCH(D406,catNom,0))&amp;"",""))</f>
        <v/>
      </c>
      <c r="N406" s="19">
        <f>IF(I406="","",IFERROR(INDEX(ctaMon,MATCH(E406,ctaNom,0))&amp;"","DOP"))</f>
        <v/>
      </c>
      <c r="O406" s="20">
        <f>IF(I406="","",C406*IF(N406="USD",TasaUSD,1))</f>
        <v/>
      </c>
      <c r="P406" s="20">
        <f>IF(I406="","",IF(I406="Gasto",O406,0))</f>
        <v/>
      </c>
      <c r="Q406" s="20">
        <f>IF(I406="","",IF(I406="Ingreso",O406,0))</f>
        <v/>
      </c>
      <c r="R406" s="20">
        <f>IF(I406="","",IF(I406="Trading",O406,0))</f>
        <v/>
      </c>
      <c r="S406" s="19">
        <f>IF(I406="","",IF(AND(I406="Gasto",K406="Variable",J406&lt;&gt;"Trading",O406&gt;0,O406&lt;=Umbral),1,0))</f>
        <v/>
      </c>
      <c r="T406" s="20">
        <f>IF(OR(I406="",E406=""),"",IF(OR(I406="Gasto",I406="Transferencia",I406="Pago tarjeta"),-1,1)*C406)</f>
        <v/>
      </c>
      <c r="U406" s="20">
        <f>IF(OR(G406="",AND(I406&lt;&gt;"Transferencia",I406&lt;&gt;"Pago tarjeta")),"",IF(IFERROR(INDEX(ctaMon,MATCH(G406,ctaNom,0))&amp;"","DOP")=N406,C406,IF(N406="USD",C406*TasaUSD,C406/TasaUSD)))</f>
        <v/>
      </c>
      <c r="V406" s="20">
        <f>IF(I406="","",IF(IFERROR(INDEX(ctaLiq,MATCH(E406,ctaNom,0))="Sí",FALSE),IF(OR(I406="Gasto",I406="Transferencia",I406="Pago tarjeta"),-1,1)*O406,0)+IF(AND(U406&lt;&gt;"",IFERROR(INDEX(ctaLiq,MATCH(G406,ctaNom,0))="Sí",FALSE)),O406,0))</f>
        <v/>
      </c>
      <c r="W406" s="19">
        <f>IF(OR(F406="",I406=""),"",IF(COUNTIFS(F$6:F406,F406,I$6:I406,"?*")=1,MAX(W$5:W405)+1,""))</f>
        <v/>
      </c>
    </row>
    <row r="407">
      <c r="B407" s="15" t="n"/>
      <c r="C407" s="16" t="n"/>
      <c r="D407" s="17" t="n"/>
      <c r="E407" s="17" t="n"/>
      <c r="F407" s="17" t="n"/>
      <c r="G407" s="17" t="n"/>
      <c r="H407" s="18">
        <f>IF(AND(B407="",C407="",D407="",E407=""),"",IF(B407="","⚠ Falta fecha",IF(C407="","⚠ Falta monto",IF(D407="","⚠ Falta categoría",IF(ISNA(MATCH(D407,catNom,0)),"⚠ Categoría no existe",IF(E407="","⚠ Falta cuenta",IF(ISNA(MATCH(E407,ctaNom,0)),"⚠ Cuenta no existe",IF(AND(OR(I407="Transferencia",I407="Pago tarjeta"),G407=""),"⚠ Indica la cuenta «Hacia»",IF(AND(G407&lt;&gt;"",G407=E407),"⚠ «Hacia» igual a la cuenta",IF(AND(G407&lt;&gt;"",ISNA(MATCH(G407,ctaNom,0))),"⚠ «Hacia» no existe",IF(AND(I407="Pago tarjeta",IFERROR(INDEX(ctaTipo,MATCH(G407,ctaNom,0)),"")&lt;&gt;"Tarjeta de crédito"),"⚠ «Hacia» debe ser la tarjeta",IF(AND(I407="Trading",IFERROR(INDEX(ctaTipo,MATCH(E407,ctaNom,0)),"")&lt;&gt;"Cuenta de trading"),"⚠ Usa la cuenta de trading","✓"))))))))))))</f>
        <v/>
      </c>
      <c r="I407" s="19">
        <f>IF(OR(B407="",C407="",D407=""),"",IFERROR(INDEX(catTipo,MATCH(D407,catNom,0))&amp;"",""))</f>
        <v/>
      </c>
      <c r="J407" s="19">
        <f>IF(I407="","",IFERROR(INDEX(catGrupo,MATCH(D407,catNom,0))&amp;"",""))</f>
        <v/>
      </c>
      <c r="K407" s="19">
        <f>IF(I407="Gasto",IF(IFERROR(INDEX(catClas,MATCH(D407,catNom,0))&amp;"","")="","Variable",IFERROR(INDEX(catClas,MATCH(D407,catNom,0))&amp;"","")),"")</f>
        <v/>
      </c>
      <c r="L407" s="19">
        <f>IF(I407="","",IFERROR(INDEX(catAlim,MATCH(D407,catNom,0))&amp;"",""))</f>
        <v/>
      </c>
      <c r="M407" s="19">
        <f>IF(I407="","",IFERROR(INDEX(catComida,MATCH(D407,catNom,0))&amp;"",""))</f>
        <v/>
      </c>
      <c r="N407" s="19">
        <f>IF(I407="","",IFERROR(INDEX(ctaMon,MATCH(E407,ctaNom,0))&amp;"","DOP"))</f>
        <v/>
      </c>
      <c r="O407" s="20">
        <f>IF(I407="","",C407*IF(N407="USD",TasaUSD,1))</f>
        <v/>
      </c>
      <c r="P407" s="20">
        <f>IF(I407="","",IF(I407="Gasto",O407,0))</f>
        <v/>
      </c>
      <c r="Q407" s="20">
        <f>IF(I407="","",IF(I407="Ingreso",O407,0))</f>
        <v/>
      </c>
      <c r="R407" s="20">
        <f>IF(I407="","",IF(I407="Trading",O407,0))</f>
        <v/>
      </c>
      <c r="S407" s="19">
        <f>IF(I407="","",IF(AND(I407="Gasto",K407="Variable",J407&lt;&gt;"Trading",O407&gt;0,O407&lt;=Umbral),1,0))</f>
        <v/>
      </c>
      <c r="T407" s="20">
        <f>IF(OR(I407="",E407=""),"",IF(OR(I407="Gasto",I407="Transferencia",I407="Pago tarjeta"),-1,1)*C407)</f>
        <v/>
      </c>
      <c r="U407" s="20">
        <f>IF(OR(G407="",AND(I407&lt;&gt;"Transferencia",I407&lt;&gt;"Pago tarjeta")),"",IF(IFERROR(INDEX(ctaMon,MATCH(G407,ctaNom,0))&amp;"","DOP")=N407,C407,IF(N407="USD",C407*TasaUSD,C407/TasaUSD)))</f>
        <v/>
      </c>
      <c r="V407" s="20">
        <f>IF(I407="","",IF(IFERROR(INDEX(ctaLiq,MATCH(E407,ctaNom,0))="Sí",FALSE),IF(OR(I407="Gasto",I407="Transferencia",I407="Pago tarjeta"),-1,1)*O407,0)+IF(AND(U407&lt;&gt;"",IFERROR(INDEX(ctaLiq,MATCH(G407,ctaNom,0))="Sí",FALSE)),O407,0))</f>
        <v/>
      </c>
      <c r="W407" s="19">
        <f>IF(OR(F407="",I407=""),"",IF(COUNTIFS(F$6:F407,F407,I$6:I407,"?*")=1,MAX(W$5:W406)+1,""))</f>
        <v/>
      </c>
    </row>
    <row r="408">
      <c r="B408" s="15" t="n"/>
      <c r="C408" s="16" t="n"/>
      <c r="D408" s="17" t="n"/>
      <c r="E408" s="17" t="n"/>
      <c r="F408" s="17" t="n"/>
      <c r="G408" s="17" t="n"/>
      <c r="H408" s="18">
        <f>IF(AND(B408="",C408="",D408="",E408=""),"",IF(B408="","⚠ Falta fecha",IF(C408="","⚠ Falta monto",IF(D408="","⚠ Falta categoría",IF(ISNA(MATCH(D408,catNom,0)),"⚠ Categoría no existe",IF(E408="","⚠ Falta cuenta",IF(ISNA(MATCH(E408,ctaNom,0)),"⚠ Cuenta no existe",IF(AND(OR(I408="Transferencia",I408="Pago tarjeta"),G408=""),"⚠ Indica la cuenta «Hacia»",IF(AND(G408&lt;&gt;"",G408=E408),"⚠ «Hacia» igual a la cuenta",IF(AND(G408&lt;&gt;"",ISNA(MATCH(G408,ctaNom,0))),"⚠ «Hacia» no existe",IF(AND(I408="Pago tarjeta",IFERROR(INDEX(ctaTipo,MATCH(G408,ctaNom,0)),"")&lt;&gt;"Tarjeta de crédito"),"⚠ «Hacia» debe ser la tarjeta",IF(AND(I408="Trading",IFERROR(INDEX(ctaTipo,MATCH(E408,ctaNom,0)),"")&lt;&gt;"Cuenta de trading"),"⚠ Usa la cuenta de trading","✓"))))))))))))</f>
        <v/>
      </c>
      <c r="I408" s="19">
        <f>IF(OR(B408="",C408="",D408=""),"",IFERROR(INDEX(catTipo,MATCH(D408,catNom,0))&amp;"",""))</f>
        <v/>
      </c>
      <c r="J408" s="19">
        <f>IF(I408="","",IFERROR(INDEX(catGrupo,MATCH(D408,catNom,0))&amp;"",""))</f>
        <v/>
      </c>
      <c r="K408" s="19">
        <f>IF(I408="Gasto",IF(IFERROR(INDEX(catClas,MATCH(D408,catNom,0))&amp;"","")="","Variable",IFERROR(INDEX(catClas,MATCH(D408,catNom,0))&amp;"","")),"")</f>
        <v/>
      </c>
      <c r="L408" s="19">
        <f>IF(I408="","",IFERROR(INDEX(catAlim,MATCH(D408,catNom,0))&amp;"",""))</f>
        <v/>
      </c>
      <c r="M408" s="19">
        <f>IF(I408="","",IFERROR(INDEX(catComida,MATCH(D408,catNom,0))&amp;"",""))</f>
        <v/>
      </c>
      <c r="N408" s="19">
        <f>IF(I408="","",IFERROR(INDEX(ctaMon,MATCH(E408,ctaNom,0))&amp;"","DOP"))</f>
        <v/>
      </c>
      <c r="O408" s="20">
        <f>IF(I408="","",C408*IF(N408="USD",TasaUSD,1))</f>
        <v/>
      </c>
      <c r="P408" s="20">
        <f>IF(I408="","",IF(I408="Gasto",O408,0))</f>
        <v/>
      </c>
      <c r="Q408" s="20">
        <f>IF(I408="","",IF(I408="Ingreso",O408,0))</f>
        <v/>
      </c>
      <c r="R408" s="20">
        <f>IF(I408="","",IF(I408="Trading",O408,0))</f>
        <v/>
      </c>
      <c r="S408" s="19">
        <f>IF(I408="","",IF(AND(I408="Gasto",K408="Variable",J408&lt;&gt;"Trading",O408&gt;0,O408&lt;=Umbral),1,0))</f>
        <v/>
      </c>
      <c r="T408" s="20">
        <f>IF(OR(I408="",E408=""),"",IF(OR(I408="Gasto",I408="Transferencia",I408="Pago tarjeta"),-1,1)*C408)</f>
        <v/>
      </c>
      <c r="U408" s="20">
        <f>IF(OR(G408="",AND(I408&lt;&gt;"Transferencia",I408&lt;&gt;"Pago tarjeta")),"",IF(IFERROR(INDEX(ctaMon,MATCH(G408,ctaNom,0))&amp;"","DOP")=N408,C408,IF(N408="USD",C408*TasaUSD,C408/TasaUSD)))</f>
        <v/>
      </c>
      <c r="V408" s="20">
        <f>IF(I408="","",IF(IFERROR(INDEX(ctaLiq,MATCH(E408,ctaNom,0))="Sí",FALSE),IF(OR(I408="Gasto",I408="Transferencia",I408="Pago tarjeta"),-1,1)*O408,0)+IF(AND(U408&lt;&gt;"",IFERROR(INDEX(ctaLiq,MATCH(G408,ctaNom,0))="Sí",FALSE)),O408,0))</f>
        <v/>
      </c>
      <c r="W408" s="19">
        <f>IF(OR(F408="",I408=""),"",IF(COUNTIFS(F$6:F408,F408,I$6:I408,"?*")=1,MAX(W$5:W407)+1,""))</f>
        <v/>
      </c>
    </row>
    <row r="409">
      <c r="B409" s="15" t="n"/>
      <c r="C409" s="16" t="n"/>
      <c r="D409" s="17" t="n"/>
      <c r="E409" s="17" t="n"/>
      <c r="F409" s="17" t="n"/>
      <c r="G409" s="17" t="n"/>
      <c r="H409" s="18">
        <f>IF(AND(B409="",C409="",D409="",E409=""),"",IF(B409="","⚠ Falta fecha",IF(C409="","⚠ Falta monto",IF(D409="","⚠ Falta categoría",IF(ISNA(MATCH(D409,catNom,0)),"⚠ Categoría no existe",IF(E409="","⚠ Falta cuenta",IF(ISNA(MATCH(E409,ctaNom,0)),"⚠ Cuenta no existe",IF(AND(OR(I409="Transferencia",I409="Pago tarjeta"),G409=""),"⚠ Indica la cuenta «Hacia»",IF(AND(G409&lt;&gt;"",G409=E409),"⚠ «Hacia» igual a la cuenta",IF(AND(G409&lt;&gt;"",ISNA(MATCH(G409,ctaNom,0))),"⚠ «Hacia» no existe",IF(AND(I409="Pago tarjeta",IFERROR(INDEX(ctaTipo,MATCH(G409,ctaNom,0)),"")&lt;&gt;"Tarjeta de crédito"),"⚠ «Hacia» debe ser la tarjeta",IF(AND(I409="Trading",IFERROR(INDEX(ctaTipo,MATCH(E409,ctaNom,0)),"")&lt;&gt;"Cuenta de trading"),"⚠ Usa la cuenta de trading","✓"))))))))))))</f>
        <v/>
      </c>
      <c r="I409" s="19">
        <f>IF(OR(B409="",C409="",D409=""),"",IFERROR(INDEX(catTipo,MATCH(D409,catNom,0))&amp;"",""))</f>
        <v/>
      </c>
      <c r="J409" s="19">
        <f>IF(I409="","",IFERROR(INDEX(catGrupo,MATCH(D409,catNom,0))&amp;"",""))</f>
        <v/>
      </c>
      <c r="K409" s="19">
        <f>IF(I409="Gasto",IF(IFERROR(INDEX(catClas,MATCH(D409,catNom,0))&amp;"","")="","Variable",IFERROR(INDEX(catClas,MATCH(D409,catNom,0))&amp;"","")),"")</f>
        <v/>
      </c>
      <c r="L409" s="19">
        <f>IF(I409="","",IFERROR(INDEX(catAlim,MATCH(D409,catNom,0))&amp;"",""))</f>
        <v/>
      </c>
      <c r="M409" s="19">
        <f>IF(I409="","",IFERROR(INDEX(catComida,MATCH(D409,catNom,0))&amp;"",""))</f>
        <v/>
      </c>
      <c r="N409" s="19">
        <f>IF(I409="","",IFERROR(INDEX(ctaMon,MATCH(E409,ctaNom,0))&amp;"","DOP"))</f>
        <v/>
      </c>
      <c r="O409" s="20">
        <f>IF(I409="","",C409*IF(N409="USD",TasaUSD,1))</f>
        <v/>
      </c>
      <c r="P409" s="20">
        <f>IF(I409="","",IF(I409="Gasto",O409,0))</f>
        <v/>
      </c>
      <c r="Q409" s="20">
        <f>IF(I409="","",IF(I409="Ingreso",O409,0))</f>
        <v/>
      </c>
      <c r="R409" s="20">
        <f>IF(I409="","",IF(I409="Trading",O409,0))</f>
        <v/>
      </c>
      <c r="S409" s="19">
        <f>IF(I409="","",IF(AND(I409="Gasto",K409="Variable",J409&lt;&gt;"Trading",O409&gt;0,O409&lt;=Umbral),1,0))</f>
        <v/>
      </c>
      <c r="T409" s="20">
        <f>IF(OR(I409="",E409=""),"",IF(OR(I409="Gasto",I409="Transferencia",I409="Pago tarjeta"),-1,1)*C409)</f>
        <v/>
      </c>
      <c r="U409" s="20">
        <f>IF(OR(G409="",AND(I409&lt;&gt;"Transferencia",I409&lt;&gt;"Pago tarjeta")),"",IF(IFERROR(INDEX(ctaMon,MATCH(G409,ctaNom,0))&amp;"","DOP")=N409,C409,IF(N409="USD",C409*TasaUSD,C409/TasaUSD)))</f>
        <v/>
      </c>
      <c r="V409" s="20">
        <f>IF(I409="","",IF(IFERROR(INDEX(ctaLiq,MATCH(E409,ctaNom,0))="Sí",FALSE),IF(OR(I409="Gasto",I409="Transferencia",I409="Pago tarjeta"),-1,1)*O409,0)+IF(AND(U409&lt;&gt;"",IFERROR(INDEX(ctaLiq,MATCH(G409,ctaNom,0))="Sí",FALSE)),O409,0))</f>
        <v/>
      </c>
      <c r="W409" s="19">
        <f>IF(OR(F409="",I409=""),"",IF(COUNTIFS(F$6:F409,F409,I$6:I409,"?*")=1,MAX(W$5:W408)+1,""))</f>
        <v/>
      </c>
    </row>
    <row r="410">
      <c r="B410" s="15" t="n"/>
      <c r="C410" s="16" t="n"/>
      <c r="D410" s="17" t="n"/>
      <c r="E410" s="17" t="n"/>
      <c r="F410" s="17" t="n"/>
      <c r="G410" s="17" t="n"/>
      <c r="H410" s="18">
        <f>IF(AND(B410="",C410="",D410="",E410=""),"",IF(B410="","⚠ Falta fecha",IF(C410="","⚠ Falta monto",IF(D410="","⚠ Falta categoría",IF(ISNA(MATCH(D410,catNom,0)),"⚠ Categoría no existe",IF(E410="","⚠ Falta cuenta",IF(ISNA(MATCH(E410,ctaNom,0)),"⚠ Cuenta no existe",IF(AND(OR(I410="Transferencia",I410="Pago tarjeta"),G410=""),"⚠ Indica la cuenta «Hacia»",IF(AND(G410&lt;&gt;"",G410=E410),"⚠ «Hacia» igual a la cuenta",IF(AND(G410&lt;&gt;"",ISNA(MATCH(G410,ctaNom,0))),"⚠ «Hacia» no existe",IF(AND(I410="Pago tarjeta",IFERROR(INDEX(ctaTipo,MATCH(G410,ctaNom,0)),"")&lt;&gt;"Tarjeta de crédito"),"⚠ «Hacia» debe ser la tarjeta",IF(AND(I410="Trading",IFERROR(INDEX(ctaTipo,MATCH(E410,ctaNom,0)),"")&lt;&gt;"Cuenta de trading"),"⚠ Usa la cuenta de trading","✓"))))))))))))</f>
        <v/>
      </c>
      <c r="I410" s="19">
        <f>IF(OR(B410="",C410="",D410=""),"",IFERROR(INDEX(catTipo,MATCH(D410,catNom,0))&amp;"",""))</f>
        <v/>
      </c>
      <c r="J410" s="19">
        <f>IF(I410="","",IFERROR(INDEX(catGrupo,MATCH(D410,catNom,0))&amp;"",""))</f>
        <v/>
      </c>
      <c r="K410" s="19">
        <f>IF(I410="Gasto",IF(IFERROR(INDEX(catClas,MATCH(D410,catNom,0))&amp;"","")="","Variable",IFERROR(INDEX(catClas,MATCH(D410,catNom,0))&amp;"","")),"")</f>
        <v/>
      </c>
      <c r="L410" s="19">
        <f>IF(I410="","",IFERROR(INDEX(catAlim,MATCH(D410,catNom,0))&amp;"",""))</f>
        <v/>
      </c>
      <c r="M410" s="19">
        <f>IF(I410="","",IFERROR(INDEX(catComida,MATCH(D410,catNom,0))&amp;"",""))</f>
        <v/>
      </c>
      <c r="N410" s="19">
        <f>IF(I410="","",IFERROR(INDEX(ctaMon,MATCH(E410,ctaNom,0))&amp;"","DOP"))</f>
        <v/>
      </c>
      <c r="O410" s="20">
        <f>IF(I410="","",C410*IF(N410="USD",TasaUSD,1))</f>
        <v/>
      </c>
      <c r="P410" s="20">
        <f>IF(I410="","",IF(I410="Gasto",O410,0))</f>
        <v/>
      </c>
      <c r="Q410" s="20">
        <f>IF(I410="","",IF(I410="Ingreso",O410,0))</f>
        <v/>
      </c>
      <c r="R410" s="20">
        <f>IF(I410="","",IF(I410="Trading",O410,0))</f>
        <v/>
      </c>
      <c r="S410" s="19">
        <f>IF(I410="","",IF(AND(I410="Gasto",K410="Variable",J410&lt;&gt;"Trading",O410&gt;0,O410&lt;=Umbral),1,0))</f>
        <v/>
      </c>
      <c r="T410" s="20">
        <f>IF(OR(I410="",E410=""),"",IF(OR(I410="Gasto",I410="Transferencia",I410="Pago tarjeta"),-1,1)*C410)</f>
        <v/>
      </c>
      <c r="U410" s="20">
        <f>IF(OR(G410="",AND(I410&lt;&gt;"Transferencia",I410&lt;&gt;"Pago tarjeta")),"",IF(IFERROR(INDEX(ctaMon,MATCH(G410,ctaNom,0))&amp;"","DOP")=N410,C410,IF(N410="USD",C410*TasaUSD,C410/TasaUSD)))</f>
        <v/>
      </c>
      <c r="V410" s="20">
        <f>IF(I410="","",IF(IFERROR(INDEX(ctaLiq,MATCH(E410,ctaNom,0))="Sí",FALSE),IF(OR(I410="Gasto",I410="Transferencia",I410="Pago tarjeta"),-1,1)*O410,0)+IF(AND(U410&lt;&gt;"",IFERROR(INDEX(ctaLiq,MATCH(G410,ctaNom,0))="Sí",FALSE)),O410,0))</f>
        <v/>
      </c>
      <c r="W410" s="19">
        <f>IF(OR(F410="",I410=""),"",IF(COUNTIFS(F$6:F410,F410,I$6:I410,"?*")=1,MAX(W$5:W409)+1,""))</f>
        <v/>
      </c>
    </row>
    <row r="411">
      <c r="B411" s="15" t="n"/>
      <c r="C411" s="16" t="n"/>
      <c r="D411" s="17" t="n"/>
      <c r="E411" s="17" t="n"/>
      <c r="F411" s="17" t="n"/>
      <c r="G411" s="17" t="n"/>
      <c r="H411" s="18">
        <f>IF(AND(B411="",C411="",D411="",E411=""),"",IF(B411="","⚠ Falta fecha",IF(C411="","⚠ Falta monto",IF(D411="","⚠ Falta categoría",IF(ISNA(MATCH(D411,catNom,0)),"⚠ Categoría no existe",IF(E411="","⚠ Falta cuenta",IF(ISNA(MATCH(E411,ctaNom,0)),"⚠ Cuenta no existe",IF(AND(OR(I411="Transferencia",I411="Pago tarjeta"),G411=""),"⚠ Indica la cuenta «Hacia»",IF(AND(G411&lt;&gt;"",G411=E411),"⚠ «Hacia» igual a la cuenta",IF(AND(G411&lt;&gt;"",ISNA(MATCH(G411,ctaNom,0))),"⚠ «Hacia» no existe",IF(AND(I411="Pago tarjeta",IFERROR(INDEX(ctaTipo,MATCH(G411,ctaNom,0)),"")&lt;&gt;"Tarjeta de crédito"),"⚠ «Hacia» debe ser la tarjeta",IF(AND(I411="Trading",IFERROR(INDEX(ctaTipo,MATCH(E411,ctaNom,0)),"")&lt;&gt;"Cuenta de trading"),"⚠ Usa la cuenta de trading","✓"))))))))))))</f>
        <v/>
      </c>
      <c r="I411" s="19">
        <f>IF(OR(B411="",C411="",D411=""),"",IFERROR(INDEX(catTipo,MATCH(D411,catNom,0))&amp;"",""))</f>
        <v/>
      </c>
      <c r="J411" s="19">
        <f>IF(I411="","",IFERROR(INDEX(catGrupo,MATCH(D411,catNom,0))&amp;"",""))</f>
        <v/>
      </c>
      <c r="K411" s="19">
        <f>IF(I411="Gasto",IF(IFERROR(INDEX(catClas,MATCH(D411,catNom,0))&amp;"","")="","Variable",IFERROR(INDEX(catClas,MATCH(D411,catNom,0))&amp;"","")),"")</f>
        <v/>
      </c>
      <c r="L411" s="19">
        <f>IF(I411="","",IFERROR(INDEX(catAlim,MATCH(D411,catNom,0))&amp;"",""))</f>
        <v/>
      </c>
      <c r="M411" s="19">
        <f>IF(I411="","",IFERROR(INDEX(catComida,MATCH(D411,catNom,0))&amp;"",""))</f>
        <v/>
      </c>
      <c r="N411" s="19">
        <f>IF(I411="","",IFERROR(INDEX(ctaMon,MATCH(E411,ctaNom,0))&amp;"","DOP"))</f>
        <v/>
      </c>
      <c r="O411" s="20">
        <f>IF(I411="","",C411*IF(N411="USD",TasaUSD,1))</f>
        <v/>
      </c>
      <c r="P411" s="20">
        <f>IF(I411="","",IF(I411="Gasto",O411,0))</f>
        <v/>
      </c>
      <c r="Q411" s="20">
        <f>IF(I411="","",IF(I411="Ingreso",O411,0))</f>
        <v/>
      </c>
      <c r="R411" s="20">
        <f>IF(I411="","",IF(I411="Trading",O411,0))</f>
        <v/>
      </c>
      <c r="S411" s="19">
        <f>IF(I411="","",IF(AND(I411="Gasto",K411="Variable",J411&lt;&gt;"Trading",O411&gt;0,O411&lt;=Umbral),1,0))</f>
        <v/>
      </c>
      <c r="T411" s="20">
        <f>IF(OR(I411="",E411=""),"",IF(OR(I411="Gasto",I411="Transferencia",I411="Pago tarjeta"),-1,1)*C411)</f>
        <v/>
      </c>
      <c r="U411" s="20">
        <f>IF(OR(G411="",AND(I411&lt;&gt;"Transferencia",I411&lt;&gt;"Pago tarjeta")),"",IF(IFERROR(INDEX(ctaMon,MATCH(G411,ctaNom,0))&amp;"","DOP")=N411,C411,IF(N411="USD",C411*TasaUSD,C411/TasaUSD)))</f>
        <v/>
      </c>
      <c r="V411" s="20">
        <f>IF(I411="","",IF(IFERROR(INDEX(ctaLiq,MATCH(E411,ctaNom,0))="Sí",FALSE),IF(OR(I411="Gasto",I411="Transferencia",I411="Pago tarjeta"),-1,1)*O411,0)+IF(AND(U411&lt;&gt;"",IFERROR(INDEX(ctaLiq,MATCH(G411,ctaNom,0))="Sí",FALSE)),O411,0))</f>
        <v/>
      </c>
      <c r="W411" s="19">
        <f>IF(OR(F411="",I411=""),"",IF(COUNTIFS(F$6:F411,F411,I$6:I411,"?*")=1,MAX(W$5:W410)+1,""))</f>
        <v/>
      </c>
    </row>
    <row r="412">
      <c r="B412" s="15" t="n"/>
      <c r="C412" s="16" t="n"/>
      <c r="D412" s="17" t="n"/>
      <c r="E412" s="17" t="n"/>
      <c r="F412" s="17" t="n"/>
      <c r="G412" s="17" t="n"/>
      <c r="H412" s="18">
        <f>IF(AND(B412="",C412="",D412="",E412=""),"",IF(B412="","⚠ Falta fecha",IF(C412="","⚠ Falta monto",IF(D412="","⚠ Falta categoría",IF(ISNA(MATCH(D412,catNom,0)),"⚠ Categoría no existe",IF(E412="","⚠ Falta cuenta",IF(ISNA(MATCH(E412,ctaNom,0)),"⚠ Cuenta no existe",IF(AND(OR(I412="Transferencia",I412="Pago tarjeta"),G412=""),"⚠ Indica la cuenta «Hacia»",IF(AND(G412&lt;&gt;"",G412=E412),"⚠ «Hacia» igual a la cuenta",IF(AND(G412&lt;&gt;"",ISNA(MATCH(G412,ctaNom,0))),"⚠ «Hacia» no existe",IF(AND(I412="Pago tarjeta",IFERROR(INDEX(ctaTipo,MATCH(G412,ctaNom,0)),"")&lt;&gt;"Tarjeta de crédito"),"⚠ «Hacia» debe ser la tarjeta",IF(AND(I412="Trading",IFERROR(INDEX(ctaTipo,MATCH(E412,ctaNom,0)),"")&lt;&gt;"Cuenta de trading"),"⚠ Usa la cuenta de trading","✓"))))))))))))</f>
        <v/>
      </c>
      <c r="I412" s="19">
        <f>IF(OR(B412="",C412="",D412=""),"",IFERROR(INDEX(catTipo,MATCH(D412,catNom,0))&amp;"",""))</f>
        <v/>
      </c>
      <c r="J412" s="19">
        <f>IF(I412="","",IFERROR(INDEX(catGrupo,MATCH(D412,catNom,0))&amp;"",""))</f>
        <v/>
      </c>
      <c r="K412" s="19">
        <f>IF(I412="Gasto",IF(IFERROR(INDEX(catClas,MATCH(D412,catNom,0))&amp;"","")="","Variable",IFERROR(INDEX(catClas,MATCH(D412,catNom,0))&amp;"","")),"")</f>
        <v/>
      </c>
      <c r="L412" s="19">
        <f>IF(I412="","",IFERROR(INDEX(catAlim,MATCH(D412,catNom,0))&amp;"",""))</f>
        <v/>
      </c>
      <c r="M412" s="19">
        <f>IF(I412="","",IFERROR(INDEX(catComida,MATCH(D412,catNom,0))&amp;"",""))</f>
        <v/>
      </c>
      <c r="N412" s="19">
        <f>IF(I412="","",IFERROR(INDEX(ctaMon,MATCH(E412,ctaNom,0))&amp;"","DOP"))</f>
        <v/>
      </c>
      <c r="O412" s="20">
        <f>IF(I412="","",C412*IF(N412="USD",TasaUSD,1))</f>
        <v/>
      </c>
      <c r="P412" s="20">
        <f>IF(I412="","",IF(I412="Gasto",O412,0))</f>
        <v/>
      </c>
      <c r="Q412" s="20">
        <f>IF(I412="","",IF(I412="Ingreso",O412,0))</f>
        <v/>
      </c>
      <c r="R412" s="20">
        <f>IF(I412="","",IF(I412="Trading",O412,0))</f>
        <v/>
      </c>
      <c r="S412" s="19">
        <f>IF(I412="","",IF(AND(I412="Gasto",K412="Variable",J412&lt;&gt;"Trading",O412&gt;0,O412&lt;=Umbral),1,0))</f>
        <v/>
      </c>
      <c r="T412" s="20">
        <f>IF(OR(I412="",E412=""),"",IF(OR(I412="Gasto",I412="Transferencia",I412="Pago tarjeta"),-1,1)*C412)</f>
        <v/>
      </c>
      <c r="U412" s="20">
        <f>IF(OR(G412="",AND(I412&lt;&gt;"Transferencia",I412&lt;&gt;"Pago tarjeta")),"",IF(IFERROR(INDEX(ctaMon,MATCH(G412,ctaNom,0))&amp;"","DOP")=N412,C412,IF(N412="USD",C412*TasaUSD,C412/TasaUSD)))</f>
        <v/>
      </c>
      <c r="V412" s="20">
        <f>IF(I412="","",IF(IFERROR(INDEX(ctaLiq,MATCH(E412,ctaNom,0))="Sí",FALSE),IF(OR(I412="Gasto",I412="Transferencia",I412="Pago tarjeta"),-1,1)*O412,0)+IF(AND(U412&lt;&gt;"",IFERROR(INDEX(ctaLiq,MATCH(G412,ctaNom,0))="Sí",FALSE)),O412,0))</f>
        <v/>
      </c>
      <c r="W412" s="19">
        <f>IF(OR(F412="",I412=""),"",IF(COUNTIFS(F$6:F412,F412,I$6:I412,"?*")=1,MAX(W$5:W411)+1,""))</f>
        <v/>
      </c>
    </row>
    <row r="413">
      <c r="B413" s="15" t="n"/>
      <c r="C413" s="16" t="n"/>
      <c r="D413" s="17" t="n"/>
      <c r="E413" s="17" t="n"/>
      <c r="F413" s="17" t="n"/>
      <c r="G413" s="17" t="n"/>
      <c r="H413" s="18">
        <f>IF(AND(B413="",C413="",D413="",E413=""),"",IF(B413="","⚠ Falta fecha",IF(C413="","⚠ Falta monto",IF(D413="","⚠ Falta categoría",IF(ISNA(MATCH(D413,catNom,0)),"⚠ Categoría no existe",IF(E413="","⚠ Falta cuenta",IF(ISNA(MATCH(E413,ctaNom,0)),"⚠ Cuenta no existe",IF(AND(OR(I413="Transferencia",I413="Pago tarjeta"),G413=""),"⚠ Indica la cuenta «Hacia»",IF(AND(G413&lt;&gt;"",G413=E413),"⚠ «Hacia» igual a la cuenta",IF(AND(G413&lt;&gt;"",ISNA(MATCH(G413,ctaNom,0))),"⚠ «Hacia» no existe",IF(AND(I413="Pago tarjeta",IFERROR(INDEX(ctaTipo,MATCH(G413,ctaNom,0)),"")&lt;&gt;"Tarjeta de crédito"),"⚠ «Hacia» debe ser la tarjeta",IF(AND(I413="Trading",IFERROR(INDEX(ctaTipo,MATCH(E413,ctaNom,0)),"")&lt;&gt;"Cuenta de trading"),"⚠ Usa la cuenta de trading","✓"))))))))))))</f>
        <v/>
      </c>
      <c r="I413" s="19">
        <f>IF(OR(B413="",C413="",D413=""),"",IFERROR(INDEX(catTipo,MATCH(D413,catNom,0))&amp;"",""))</f>
        <v/>
      </c>
      <c r="J413" s="19">
        <f>IF(I413="","",IFERROR(INDEX(catGrupo,MATCH(D413,catNom,0))&amp;"",""))</f>
        <v/>
      </c>
      <c r="K413" s="19">
        <f>IF(I413="Gasto",IF(IFERROR(INDEX(catClas,MATCH(D413,catNom,0))&amp;"","")="","Variable",IFERROR(INDEX(catClas,MATCH(D413,catNom,0))&amp;"","")),"")</f>
        <v/>
      </c>
      <c r="L413" s="19">
        <f>IF(I413="","",IFERROR(INDEX(catAlim,MATCH(D413,catNom,0))&amp;"",""))</f>
        <v/>
      </c>
      <c r="M413" s="19">
        <f>IF(I413="","",IFERROR(INDEX(catComida,MATCH(D413,catNom,0))&amp;"",""))</f>
        <v/>
      </c>
      <c r="N413" s="19">
        <f>IF(I413="","",IFERROR(INDEX(ctaMon,MATCH(E413,ctaNom,0))&amp;"","DOP"))</f>
        <v/>
      </c>
      <c r="O413" s="20">
        <f>IF(I413="","",C413*IF(N413="USD",TasaUSD,1))</f>
        <v/>
      </c>
      <c r="P413" s="20">
        <f>IF(I413="","",IF(I413="Gasto",O413,0))</f>
        <v/>
      </c>
      <c r="Q413" s="20">
        <f>IF(I413="","",IF(I413="Ingreso",O413,0))</f>
        <v/>
      </c>
      <c r="R413" s="20">
        <f>IF(I413="","",IF(I413="Trading",O413,0))</f>
        <v/>
      </c>
      <c r="S413" s="19">
        <f>IF(I413="","",IF(AND(I413="Gasto",K413="Variable",J413&lt;&gt;"Trading",O413&gt;0,O413&lt;=Umbral),1,0))</f>
        <v/>
      </c>
      <c r="T413" s="20">
        <f>IF(OR(I413="",E413=""),"",IF(OR(I413="Gasto",I413="Transferencia",I413="Pago tarjeta"),-1,1)*C413)</f>
        <v/>
      </c>
      <c r="U413" s="20">
        <f>IF(OR(G413="",AND(I413&lt;&gt;"Transferencia",I413&lt;&gt;"Pago tarjeta")),"",IF(IFERROR(INDEX(ctaMon,MATCH(G413,ctaNom,0))&amp;"","DOP")=N413,C413,IF(N413="USD",C413*TasaUSD,C413/TasaUSD)))</f>
        <v/>
      </c>
      <c r="V413" s="20">
        <f>IF(I413="","",IF(IFERROR(INDEX(ctaLiq,MATCH(E413,ctaNom,0))="Sí",FALSE),IF(OR(I413="Gasto",I413="Transferencia",I413="Pago tarjeta"),-1,1)*O413,0)+IF(AND(U413&lt;&gt;"",IFERROR(INDEX(ctaLiq,MATCH(G413,ctaNom,0))="Sí",FALSE)),O413,0))</f>
        <v/>
      </c>
      <c r="W413" s="19">
        <f>IF(OR(F413="",I413=""),"",IF(COUNTIFS(F$6:F413,F413,I$6:I413,"?*")=1,MAX(W$5:W412)+1,""))</f>
        <v/>
      </c>
    </row>
    <row r="414">
      <c r="B414" s="15" t="n"/>
      <c r="C414" s="16" t="n"/>
      <c r="D414" s="17" t="n"/>
      <c r="E414" s="17" t="n"/>
      <c r="F414" s="17" t="n"/>
      <c r="G414" s="17" t="n"/>
      <c r="H414" s="18">
        <f>IF(AND(B414="",C414="",D414="",E414=""),"",IF(B414="","⚠ Falta fecha",IF(C414="","⚠ Falta monto",IF(D414="","⚠ Falta categoría",IF(ISNA(MATCH(D414,catNom,0)),"⚠ Categoría no existe",IF(E414="","⚠ Falta cuenta",IF(ISNA(MATCH(E414,ctaNom,0)),"⚠ Cuenta no existe",IF(AND(OR(I414="Transferencia",I414="Pago tarjeta"),G414=""),"⚠ Indica la cuenta «Hacia»",IF(AND(G414&lt;&gt;"",G414=E414),"⚠ «Hacia» igual a la cuenta",IF(AND(G414&lt;&gt;"",ISNA(MATCH(G414,ctaNom,0))),"⚠ «Hacia» no existe",IF(AND(I414="Pago tarjeta",IFERROR(INDEX(ctaTipo,MATCH(G414,ctaNom,0)),"")&lt;&gt;"Tarjeta de crédito"),"⚠ «Hacia» debe ser la tarjeta",IF(AND(I414="Trading",IFERROR(INDEX(ctaTipo,MATCH(E414,ctaNom,0)),"")&lt;&gt;"Cuenta de trading"),"⚠ Usa la cuenta de trading","✓"))))))))))))</f>
        <v/>
      </c>
      <c r="I414" s="19">
        <f>IF(OR(B414="",C414="",D414=""),"",IFERROR(INDEX(catTipo,MATCH(D414,catNom,0))&amp;"",""))</f>
        <v/>
      </c>
      <c r="J414" s="19">
        <f>IF(I414="","",IFERROR(INDEX(catGrupo,MATCH(D414,catNom,0))&amp;"",""))</f>
        <v/>
      </c>
      <c r="K414" s="19">
        <f>IF(I414="Gasto",IF(IFERROR(INDEX(catClas,MATCH(D414,catNom,0))&amp;"","")="","Variable",IFERROR(INDEX(catClas,MATCH(D414,catNom,0))&amp;"","")),"")</f>
        <v/>
      </c>
      <c r="L414" s="19">
        <f>IF(I414="","",IFERROR(INDEX(catAlim,MATCH(D414,catNom,0))&amp;"",""))</f>
        <v/>
      </c>
      <c r="M414" s="19">
        <f>IF(I414="","",IFERROR(INDEX(catComida,MATCH(D414,catNom,0))&amp;"",""))</f>
        <v/>
      </c>
      <c r="N414" s="19">
        <f>IF(I414="","",IFERROR(INDEX(ctaMon,MATCH(E414,ctaNom,0))&amp;"","DOP"))</f>
        <v/>
      </c>
      <c r="O414" s="20">
        <f>IF(I414="","",C414*IF(N414="USD",TasaUSD,1))</f>
        <v/>
      </c>
      <c r="P414" s="20">
        <f>IF(I414="","",IF(I414="Gasto",O414,0))</f>
        <v/>
      </c>
      <c r="Q414" s="20">
        <f>IF(I414="","",IF(I414="Ingreso",O414,0))</f>
        <v/>
      </c>
      <c r="R414" s="20">
        <f>IF(I414="","",IF(I414="Trading",O414,0))</f>
        <v/>
      </c>
      <c r="S414" s="19">
        <f>IF(I414="","",IF(AND(I414="Gasto",K414="Variable",J414&lt;&gt;"Trading",O414&gt;0,O414&lt;=Umbral),1,0))</f>
        <v/>
      </c>
      <c r="T414" s="20">
        <f>IF(OR(I414="",E414=""),"",IF(OR(I414="Gasto",I414="Transferencia",I414="Pago tarjeta"),-1,1)*C414)</f>
        <v/>
      </c>
      <c r="U414" s="20">
        <f>IF(OR(G414="",AND(I414&lt;&gt;"Transferencia",I414&lt;&gt;"Pago tarjeta")),"",IF(IFERROR(INDEX(ctaMon,MATCH(G414,ctaNom,0))&amp;"","DOP")=N414,C414,IF(N414="USD",C414*TasaUSD,C414/TasaUSD)))</f>
        <v/>
      </c>
      <c r="V414" s="20">
        <f>IF(I414="","",IF(IFERROR(INDEX(ctaLiq,MATCH(E414,ctaNom,0))="Sí",FALSE),IF(OR(I414="Gasto",I414="Transferencia",I414="Pago tarjeta"),-1,1)*O414,0)+IF(AND(U414&lt;&gt;"",IFERROR(INDEX(ctaLiq,MATCH(G414,ctaNom,0))="Sí",FALSE)),O414,0))</f>
        <v/>
      </c>
      <c r="W414" s="19">
        <f>IF(OR(F414="",I414=""),"",IF(COUNTIFS(F$6:F414,F414,I$6:I414,"?*")=1,MAX(W$5:W413)+1,""))</f>
        <v/>
      </c>
    </row>
    <row r="415">
      <c r="B415" s="15" t="n"/>
      <c r="C415" s="16" t="n"/>
      <c r="D415" s="17" t="n"/>
      <c r="E415" s="17" t="n"/>
      <c r="F415" s="17" t="n"/>
      <c r="G415" s="17" t="n"/>
      <c r="H415" s="18">
        <f>IF(AND(B415="",C415="",D415="",E415=""),"",IF(B415="","⚠ Falta fecha",IF(C415="","⚠ Falta monto",IF(D415="","⚠ Falta categoría",IF(ISNA(MATCH(D415,catNom,0)),"⚠ Categoría no existe",IF(E415="","⚠ Falta cuenta",IF(ISNA(MATCH(E415,ctaNom,0)),"⚠ Cuenta no existe",IF(AND(OR(I415="Transferencia",I415="Pago tarjeta"),G415=""),"⚠ Indica la cuenta «Hacia»",IF(AND(G415&lt;&gt;"",G415=E415),"⚠ «Hacia» igual a la cuenta",IF(AND(G415&lt;&gt;"",ISNA(MATCH(G415,ctaNom,0))),"⚠ «Hacia» no existe",IF(AND(I415="Pago tarjeta",IFERROR(INDEX(ctaTipo,MATCH(G415,ctaNom,0)),"")&lt;&gt;"Tarjeta de crédito"),"⚠ «Hacia» debe ser la tarjeta",IF(AND(I415="Trading",IFERROR(INDEX(ctaTipo,MATCH(E415,ctaNom,0)),"")&lt;&gt;"Cuenta de trading"),"⚠ Usa la cuenta de trading","✓"))))))))))))</f>
        <v/>
      </c>
      <c r="I415" s="19">
        <f>IF(OR(B415="",C415="",D415=""),"",IFERROR(INDEX(catTipo,MATCH(D415,catNom,0))&amp;"",""))</f>
        <v/>
      </c>
      <c r="J415" s="19">
        <f>IF(I415="","",IFERROR(INDEX(catGrupo,MATCH(D415,catNom,0))&amp;"",""))</f>
        <v/>
      </c>
      <c r="K415" s="19">
        <f>IF(I415="Gasto",IF(IFERROR(INDEX(catClas,MATCH(D415,catNom,0))&amp;"","")="","Variable",IFERROR(INDEX(catClas,MATCH(D415,catNom,0))&amp;"","")),"")</f>
        <v/>
      </c>
      <c r="L415" s="19">
        <f>IF(I415="","",IFERROR(INDEX(catAlim,MATCH(D415,catNom,0))&amp;"",""))</f>
        <v/>
      </c>
      <c r="M415" s="19">
        <f>IF(I415="","",IFERROR(INDEX(catComida,MATCH(D415,catNom,0))&amp;"",""))</f>
        <v/>
      </c>
      <c r="N415" s="19">
        <f>IF(I415="","",IFERROR(INDEX(ctaMon,MATCH(E415,ctaNom,0))&amp;"","DOP"))</f>
        <v/>
      </c>
      <c r="O415" s="20">
        <f>IF(I415="","",C415*IF(N415="USD",TasaUSD,1))</f>
        <v/>
      </c>
      <c r="P415" s="20">
        <f>IF(I415="","",IF(I415="Gasto",O415,0))</f>
        <v/>
      </c>
      <c r="Q415" s="20">
        <f>IF(I415="","",IF(I415="Ingreso",O415,0))</f>
        <v/>
      </c>
      <c r="R415" s="20">
        <f>IF(I415="","",IF(I415="Trading",O415,0))</f>
        <v/>
      </c>
      <c r="S415" s="19">
        <f>IF(I415="","",IF(AND(I415="Gasto",K415="Variable",J415&lt;&gt;"Trading",O415&gt;0,O415&lt;=Umbral),1,0))</f>
        <v/>
      </c>
      <c r="T415" s="20">
        <f>IF(OR(I415="",E415=""),"",IF(OR(I415="Gasto",I415="Transferencia",I415="Pago tarjeta"),-1,1)*C415)</f>
        <v/>
      </c>
      <c r="U415" s="20">
        <f>IF(OR(G415="",AND(I415&lt;&gt;"Transferencia",I415&lt;&gt;"Pago tarjeta")),"",IF(IFERROR(INDEX(ctaMon,MATCH(G415,ctaNom,0))&amp;"","DOP")=N415,C415,IF(N415="USD",C415*TasaUSD,C415/TasaUSD)))</f>
        <v/>
      </c>
      <c r="V415" s="20">
        <f>IF(I415="","",IF(IFERROR(INDEX(ctaLiq,MATCH(E415,ctaNom,0))="Sí",FALSE),IF(OR(I415="Gasto",I415="Transferencia",I415="Pago tarjeta"),-1,1)*O415,0)+IF(AND(U415&lt;&gt;"",IFERROR(INDEX(ctaLiq,MATCH(G415,ctaNom,0))="Sí",FALSE)),O415,0))</f>
        <v/>
      </c>
      <c r="W415" s="19">
        <f>IF(OR(F415="",I415=""),"",IF(COUNTIFS(F$6:F415,F415,I$6:I415,"?*")=1,MAX(W$5:W414)+1,""))</f>
        <v/>
      </c>
    </row>
    <row r="416">
      <c r="B416" s="15" t="n"/>
      <c r="C416" s="16" t="n"/>
      <c r="D416" s="17" t="n"/>
      <c r="E416" s="17" t="n"/>
      <c r="F416" s="17" t="n"/>
      <c r="G416" s="17" t="n"/>
      <c r="H416" s="18">
        <f>IF(AND(B416="",C416="",D416="",E416=""),"",IF(B416="","⚠ Falta fecha",IF(C416="","⚠ Falta monto",IF(D416="","⚠ Falta categoría",IF(ISNA(MATCH(D416,catNom,0)),"⚠ Categoría no existe",IF(E416="","⚠ Falta cuenta",IF(ISNA(MATCH(E416,ctaNom,0)),"⚠ Cuenta no existe",IF(AND(OR(I416="Transferencia",I416="Pago tarjeta"),G416=""),"⚠ Indica la cuenta «Hacia»",IF(AND(G416&lt;&gt;"",G416=E416),"⚠ «Hacia» igual a la cuenta",IF(AND(G416&lt;&gt;"",ISNA(MATCH(G416,ctaNom,0))),"⚠ «Hacia» no existe",IF(AND(I416="Pago tarjeta",IFERROR(INDEX(ctaTipo,MATCH(G416,ctaNom,0)),"")&lt;&gt;"Tarjeta de crédito"),"⚠ «Hacia» debe ser la tarjeta",IF(AND(I416="Trading",IFERROR(INDEX(ctaTipo,MATCH(E416,ctaNom,0)),"")&lt;&gt;"Cuenta de trading"),"⚠ Usa la cuenta de trading","✓"))))))))))))</f>
        <v/>
      </c>
      <c r="I416" s="19">
        <f>IF(OR(B416="",C416="",D416=""),"",IFERROR(INDEX(catTipo,MATCH(D416,catNom,0))&amp;"",""))</f>
        <v/>
      </c>
      <c r="J416" s="19">
        <f>IF(I416="","",IFERROR(INDEX(catGrupo,MATCH(D416,catNom,0))&amp;"",""))</f>
        <v/>
      </c>
      <c r="K416" s="19">
        <f>IF(I416="Gasto",IF(IFERROR(INDEX(catClas,MATCH(D416,catNom,0))&amp;"","")="","Variable",IFERROR(INDEX(catClas,MATCH(D416,catNom,0))&amp;"","")),"")</f>
        <v/>
      </c>
      <c r="L416" s="19">
        <f>IF(I416="","",IFERROR(INDEX(catAlim,MATCH(D416,catNom,0))&amp;"",""))</f>
        <v/>
      </c>
      <c r="M416" s="19">
        <f>IF(I416="","",IFERROR(INDEX(catComida,MATCH(D416,catNom,0))&amp;"",""))</f>
        <v/>
      </c>
      <c r="N416" s="19">
        <f>IF(I416="","",IFERROR(INDEX(ctaMon,MATCH(E416,ctaNom,0))&amp;"","DOP"))</f>
        <v/>
      </c>
      <c r="O416" s="20">
        <f>IF(I416="","",C416*IF(N416="USD",TasaUSD,1))</f>
        <v/>
      </c>
      <c r="P416" s="20">
        <f>IF(I416="","",IF(I416="Gasto",O416,0))</f>
        <v/>
      </c>
      <c r="Q416" s="20">
        <f>IF(I416="","",IF(I416="Ingreso",O416,0))</f>
        <v/>
      </c>
      <c r="R416" s="20">
        <f>IF(I416="","",IF(I416="Trading",O416,0))</f>
        <v/>
      </c>
      <c r="S416" s="19">
        <f>IF(I416="","",IF(AND(I416="Gasto",K416="Variable",J416&lt;&gt;"Trading",O416&gt;0,O416&lt;=Umbral),1,0))</f>
        <v/>
      </c>
      <c r="T416" s="20">
        <f>IF(OR(I416="",E416=""),"",IF(OR(I416="Gasto",I416="Transferencia",I416="Pago tarjeta"),-1,1)*C416)</f>
        <v/>
      </c>
      <c r="U416" s="20">
        <f>IF(OR(G416="",AND(I416&lt;&gt;"Transferencia",I416&lt;&gt;"Pago tarjeta")),"",IF(IFERROR(INDEX(ctaMon,MATCH(G416,ctaNom,0))&amp;"","DOP")=N416,C416,IF(N416="USD",C416*TasaUSD,C416/TasaUSD)))</f>
        <v/>
      </c>
      <c r="V416" s="20">
        <f>IF(I416="","",IF(IFERROR(INDEX(ctaLiq,MATCH(E416,ctaNom,0))="Sí",FALSE),IF(OR(I416="Gasto",I416="Transferencia",I416="Pago tarjeta"),-1,1)*O416,0)+IF(AND(U416&lt;&gt;"",IFERROR(INDEX(ctaLiq,MATCH(G416,ctaNom,0))="Sí",FALSE)),O416,0))</f>
        <v/>
      </c>
      <c r="W416" s="19">
        <f>IF(OR(F416="",I416=""),"",IF(COUNTIFS(F$6:F416,F416,I$6:I416,"?*")=1,MAX(W$5:W415)+1,""))</f>
        <v/>
      </c>
    </row>
    <row r="417">
      <c r="B417" s="15" t="n"/>
      <c r="C417" s="16" t="n"/>
      <c r="D417" s="17" t="n"/>
      <c r="E417" s="17" t="n"/>
      <c r="F417" s="17" t="n"/>
      <c r="G417" s="17" t="n"/>
      <c r="H417" s="18">
        <f>IF(AND(B417="",C417="",D417="",E417=""),"",IF(B417="","⚠ Falta fecha",IF(C417="","⚠ Falta monto",IF(D417="","⚠ Falta categoría",IF(ISNA(MATCH(D417,catNom,0)),"⚠ Categoría no existe",IF(E417="","⚠ Falta cuenta",IF(ISNA(MATCH(E417,ctaNom,0)),"⚠ Cuenta no existe",IF(AND(OR(I417="Transferencia",I417="Pago tarjeta"),G417=""),"⚠ Indica la cuenta «Hacia»",IF(AND(G417&lt;&gt;"",G417=E417),"⚠ «Hacia» igual a la cuenta",IF(AND(G417&lt;&gt;"",ISNA(MATCH(G417,ctaNom,0))),"⚠ «Hacia» no existe",IF(AND(I417="Pago tarjeta",IFERROR(INDEX(ctaTipo,MATCH(G417,ctaNom,0)),"")&lt;&gt;"Tarjeta de crédito"),"⚠ «Hacia» debe ser la tarjeta",IF(AND(I417="Trading",IFERROR(INDEX(ctaTipo,MATCH(E417,ctaNom,0)),"")&lt;&gt;"Cuenta de trading"),"⚠ Usa la cuenta de trading","✓"))))))))))))</f>
        <v/>
      </c>
      <c r="I417" s="19">
        <f>IF(OR(B417="",C417="",D417=""),"",IFERROR(INDEX(catTipo,MATCH(D417,catNom,0))&amp;"",""))</f>
        <v/>
      </c>
      <c r="J417" s="19">
        <f>IF(I417="","",IFERROR(INDEX(catGrupo,MATCH(D417,catNom,0))&amp;"",""))</f>
        <v/>
      </c>
      <c r="K417" s="19">
        <f>IF(I417="Gasto",IF(IFERROR(INDEX(catClas,MATCH(D417,catNom,0))&amp;"","")="","Variable",IFERROR(INDEX(catClas,MATCH(D417,catNom,0))&amp;"","")),"")</f>
        <v/>
      </c>
      <c r="L417" s="19">
        <f>IF(I417="","",IFERROR(INDEX(catAlim,MATCH(D417,catNom,0))&amp;"",""))</f>
        <v/>
      </c>
      <c r="M417" s="19">
        <f>IF(I417="","",IFERROR(INDEX(catComida,MATCH(D417,catNom,0))&amp;"",""))</f>
        <v/>
      </c>
      <c r="N417" s="19">
        <f>IF(I417="","",IFERROR(INDEX(ctaMon,MATCH(E417,ctaNom,0))&amp;"","DOP"))</f>
        <v/>
      </c>
      <c r="O417" s="20">
        <f>IF(I417="","",C417*IF(N417="USD",TasaUSD,1))</f>
        <v/>
      </c>
      <c r="P417" s="20">
        <f>IF(I417="","",IF(I417="Gasto",O417,0))</f>
        <v/>
      </c>
      <c r="Q417" s="20">
        <f>IF(I417="","",IF(I417="Ingreso",O417,0))</f>
        <v/>
      </c>
      <c r="R417" s="20">
        <f>IF(I417="","",IF(I417="Trading",O417,0))</f>
        <v/>
      </c>
      <c r="S417" s="19">
        <f>IF(I417="","",IF(AND(I417="Gasto",K417="Variable",J417&lt;&gt;"Trading",O417&gt;0,O417&lt;=Umbral),1,0))</f>
        <v/>
      </c>
      <c r="T417" s="20">
        <f>IF(OR(I417="",E417=""),"",IF(OR(I417="Gasto",I417="Transferencia",I417="Pago tarjeta"),-1,1)*C417)</f>
        <v/>
      </c>
      <c r="U417" s="20">
        <f>IF(OR(G417="",AND(I417&lt;&gt;"Transferencia",I417&lt;&gt;"Pago tarjeta")),"",IF(IFERROR(INDEX(ctaMon,MATCH(G417,ctaNom,0))&amp;"","DOP")=N417,C417,IF(N417="USD",C417*TasaUSD,C417/TasaUSD)))</f>
        <v/>
      </c>
      <c r="V417" s="20">
        <f>IF(I417="","",IF(IFERROR(INDEX(ctaLiq,MATCH(E417,ctaNom,0))="Sí",FALSE),IF(OR(I417="Gasto",I417="Transferencia",I417="Pago tarjeta"),-1,1)*O417,0)+IF(AND(U417&lt;&gt;"",IFERROR(INDEX(ctaLiq,MATCH(G417,ctaNom,0))="Sí",FALSE)),O417,0))</f>
        <v/>
      </c>
      <c r="W417" s="19">
        <f>IF(OR(F417="",I417=""),"",IF(COUNTIFS(F$6:F417,F417,I$6:I417,"?*")=1,MAX(W$5:W416)+1,""))</f>
        <v/>
      </c>
    </row>
    <row r="418">
      <c r="B418" s="15" t="n"/>
      <c r="C418" s="16" t="n"/>
      <c r="D418" s="17" t="n"/>
      <c r="E418" s="17" t="n"/>
      <c r="F418" s="17" t="n"/>
      <c r="G418" s="17" t="n"/>
      <c r="H418" s="18">
        <f>IF(AND(B418="",C418="",D418="",E418=""),"",IF(B418="","⚠ Falta fecha",IF(C418="","⚠ Falta monto",IF(D418="","⚠ Falta categoría",IF(ISNA(MATCH(D418,catNom,0)),"⚠ Categoría no existe",IF(E418="","⚠ Falta cuenta",IF(ISNA(MATCH(E418,ctaNom,0)),"⚠ Cuenta no existe",IF(AND(OR(I418="Transferencia",I418="Pago tarjeta"),G418=""),"⚠ Indica la cuenta «Hacia»",IF(AND(G418&lt;&gt;"",G418=E418),"⚠ «Hacia» igual a la cuenta",IF(AND(G418&lt;&gt;"",ISNA(MATCH(G418,ctaNom,0))),"⚠ «Hacia» no existe",IF(AND(I418="Pago tarjeta",IFERROR(INDEX(ctaTipo,MATCH(G418,ctaNom,0)),"")&lt;&gt;"Tarjeta de crédito"),"⚠ «Hacia» debe ser la tarjeta",IF(AND(I418="Trading",IFERROR(INDEX(ctaTipo,MATCH(E418,ctaNom,0)),"")&lt;&gt;"Cuenta de trading"),"⚠ Usa la cuenta de trading","✓"))))))))))))</f>
        <v/>
      </c>
      <c r="I418" s="19">
        <f>IF(OR(B418="",C418="",D418=""),"",IFERROR(INDEX(catTipo,MATCH(D418,catNom,0))&amp;"",""))</f>
        <v/>
      </c>
      <c r="J418" s="19">
        <f>IF(I418="","",IFERROR(INDEX(catGrupo,MATCH(D418,catNom,0))&amp;"",""))</f>
        <v/>
      </c>
      <c r="K418" s="19">
        <f>IF(I418="Gasto",IF(IFERROR(INDEX(catClas,MATCH(D418,catNom,0))&amp;"","")="","Variable",IFERROR(INDEX(catClas,MATCH(D418,catNom,0))&amp;"","")),"")</f>
        <v/>
      </c>
      <c r="L418" s="19">
        <f>IF(I418="","",IFERROR(INDEX(catAlim,MATCH(D418,catNom,0))&amp;"",""))</f>
        <v/>
      </c>
      <c r="M418" s="19">
        <f>IF(I418="","",IFERROR(INDEX(catComida,MATCH(D418,catNom,0))&amp;"",""))</f>
        <v/>
      </c>
      <c r="N418" s="19">
        <f>IF(I418="","",IFERROR(INDEX(ctaMon,MATCH(E418,ctaNom,0))&amp;"","DOP"))</f>
        <v/>
      </c>
      <c r="O418" s="20">
        <f>IF(I418="","",C418*IF(N418="USD",TasaUSD,1))</f>
        <v/>
      </c>
      <c r="P418" s="20">
        <f>IF(I418="","",IF(I418="Gasto",O418,0))</f>
        <v/>
      </c>
      <c r="Q418" s="20">
        <f>IF(I418="","",IF(I418="Ingreso",O418,0))</f>
        <v/>
      </c>
      <c r="R418" s="20">
        <f>IF(I418="","",IF(I418="Trading",O418,0))</f>
        <v/>
      </c>
      <c r="S418" s="19">
        <f>IF(I418="","",IF(AND(I418="Gasto",K418="Variable",J418&lt;&gt;"Trading",O418&gt;0,O418&lt;=Umbral),1,0))</f>
        <v/>
      </c>
      <c r="T418" s="20">
        <f>IF(OR(I418="",E418=""),"",IF(OR(I418="Gasto",I418="Transferencia",I418="Pago tarjeta"),-1,1)*C418)</f>
        <v/>
      </c>
      <c r="U418" s="20">
        <f>IF(OR(G418="",AND(I418&lt;&gt;"Transferencia",I418&lt;&gt;"Pago tarjeta")),"",IF(IFERROR(INDEX(ctaMon,MATCH(G418,ctaNom,0))&amp;"","DOP")=N418,C418,IF(N418="USD",C418*TasaUSD,C418/TasaUSD)))</f>
        <v/>
      </c>
      <c r="V418" s="20">
        <f>IF(I418="","",IF(IFERROR(INDEX(ctaLiq,MATCH(E418,ctaNom,0))="Sí",FALSE),IF(OR(I418="Gasto",I418="Transferencia",I418="Pago tarjeta"),-1,1)*O418,0)+IF(AND(U418&lt;&gt;"",IFERROR(INDEX(ctaLiq,MATCH(G418,ctaNom,0))="Sí",FALSE)),O418,0))</f>
        <v/>
      </c>
      <c r="W418" s="19">
        <f>IF(OR(F418="",I418=""),"",IF(COUNTIFS(F$6:F418,F418,I$6:I418,"?*")=1,MAX(W$5:W417)+1,""))</f>
        <v/>
      </c>
    </row>
    <row r="419">
      <c r="B419" s="15" t="n"/>
      <c r="C419" s="16" t="n"/>
      <c r="D419" s="17" t="n"/>
      <c r="E419" s="17" t="n"/>
      <c r="F419" s="17" t="n"/>
      <c r="G419" s="17" t="n"/>
      <c r="H419" s="18">
        <f>IF(AND(B419="",C419="",D419="",E419=""),"",IF(B419="","⚠ Falta fecha",IF(C419="","⚠ Falta monto",IF(D419="","⚠ Falta categoría",IF(ISNA(MATCH(D419,catNom,0)),"⚠ Categoría no existe",IF(E419="","⚠ Falta cuenta",IF(ISNA(MATCH(E419,ctaNom,0)),"⚠ Cuenta no existe",IF(AND(OR(I419="Transferencia",I419="Pago tarjeta"),G419=""),"⚠ Indica la cuenta «Hacia»",IF(AND(G419&lt;&gt;"",G419=E419),"⚠ «Hacia» igual a la cuenta",IF(AND(G419&lt;&gt;"",ISNA(MATCH(G419,ctaNom,0))),"⚠ «Hacia» no existe",IF(AND(I419="Pago tarjeta",IFERROR(INDEX(ctaTipo,MATCH(G419,ctaNom,0)),"")&lt;&gt;"Tarjeta de crédito"),"⚠ «Hacia» debe ser la tarjeta",IF(AND(I419="Trading",IFERROR(INDEX(ctaTipo,MATCH(E419,ctaNom,0)),"")&lt;&gt;"Cuenta de trading"),"⚠ Usa la cuenta de trading","✓"))))))))))))</f>
        <v/>
      </c>
      <c r="I419" s="19">
        <f>IF(OR(B419="",C419="",D419=""),"",IFERROR(INDEX(catTipo,MATCH(D419,catNom,0))&amp;"",""))</f>
        <v/>
      </c>
      <c r="J419" s="19">
        <f>IF(I419="","",IFERROR(INDEX(catGrupo,MATCH(D419,catNom,0))&amp;"",""))</f>
        <v/>
      </c>
      <c r="K419" s="19">
        <f>IF(I419="Gasto",IF(IFERROR(INDEX(catClas,MATCH(D419,catNom,0))&amp;"","")="","Variable",IFERROR(INDEX(catClas,MATCH(D419,catNom,0))&amp;"","")),"")</f>
        <v/>
      </c>
      <c r="L419" s="19">
        <f>IF(I419="","",IFERROR(INDEX(catAlim,MATCH(D419,catNom,0))&amp;"",""))</f>
        <v/>
      </c>
      <c r="M419" s="19">
        <f>IF(I419="","",IFERROR(INDEX(catComida,MATCH(D419,catNom,0))&amp;"",""))</f>
        <v/>
      </c>
      <c r="N419" s="19">
        <f>IF(I419="","",IFERROR(INDEX(ctaMon,MATCH(E419,ctaNom,0))&amp;"","DOP"))</f>
        <v/>
      </c>
      <c r="O419" s="20">
        <f>IF(I419="","",C419*IF(N419="USD",TasaUSD,1))</f>
        <v/>
      </c>
      <c r="P419" s="20">
        <f>IF(I419="","",IF(I419="Gasto",O419,0))</f>
        <v/>
      </c>
      <c r="Q419" s="20">
        <f>IF(I419="","",IF(I419="Ingreso",O419,0))</f>
        <v/>
      </c>
      <c r="R419" s="20">
        <f>IF(I419="","",IF(I419="Trading",O419,0))</f>
        <v/>
      </c>
      <c r="S419" s="19">
        <f>IF(I419="","",IF(AND(I419="Gasto",K419="Variable",J419&lt;&gt;"Trading",O419&gt;0,O419&lt;=Umbral),1,0))</f>
        <v/>
      </c>
      <c r="T419" s="20">
        <f>IF(OR(I419="",E419=""),"",IF(OR(I419="Gasto",I419="Transferencia",I419="Pago tarjeta"),-1,1)*C419)</f>
        <v/>
      </c>
      <c r="U419" s="20">
        <f>IF(OR(G419="",AND(I419&lt;&gt;"Transferencia",I419&lt;&gt;"Pago tarjeta")),"",IF(IFERROR(INDEX(ctaMon,MATCH(G419,ctaNom,0))&amp;"","DOP")=N419,C419,IF(N419="USD",C419*TasaUSD,C419/TasaUSD)))</f>
        <v/>
      </c>
      <c r="V419" s="20">
        <f>IF(I419="","",IF(IFERROR(INDEX(ctaLiq,MATCH(E419,ctaNom,0))="Sí",FALSE),IF(OR(I419="Gasto",I419="Transferencia",I419="Pago tarjeta"),-1,1)*O419,0)+IF(AND(U419&lt;&gt;"",IFERROR(INDEX(ctaLiq,MATCH(G419,ctaNom,0))="Sí",FALSE)),O419,0))</f>
        <v/>
      </c>
      <c r="W419" s="19">
        <f>IF(OR(F419="",I419=""),"",IF(COUNTIFS(F$6:F419,F419,I$6:I419,"?*")=1,MAX(W$5:W418)+1,""))</f>
        <v/>
      </c>
    </row>
    <row r="420">
      <c r="B420" s="15" t="n"/>
      <c r="C420" s="16" t="n"/>
      <c r="D420" s="17" t="n"/>
      <c r="E420" s="17" t="n"/>
      <c r="F420" s="17" t="n"/>
      <c r="G420" s="17" t="n"/>
      <c r="H420" s="18">
        <f>IF(AND(B420="",C420="",D420="",E420=""),"",IF(B420="","⚠ Falta fecha",IF(C420="","⚠ Falta monto",IF(D420="","⚠ Falta categoría",IF(ISNA(MATCH(D420,catNom,0)),"⚠ Categoría no existe",IF(E420="","⚠ Falta cuenta",IF(ISNA(MATCH(E420,ctaNom,0)),"⚠ Cuenta no existe",IF(AND(OR(I420="Transferencia",I420="Pago tarjeta"),G420=""),"⚠ Indica la cuenta «Hacia»",IF(AND(G420&lt;&gt;"",G420=E420),"⚠ «Hacia» igual a la cuenta",IF(AND(G420&lt;&gt;"",ISNA(MATCH(G420,ctaNom,0))),"⚠ «Hacia» no existe",IF(AND(I420="Pago tarjeta",IFERROR(INDEX(ctaTipo,MATCH(G420,ctaNom,0)),"")&lt;&gt;"Tarjeta de crédito"),"⚠ «Hacia» debe ser la tarjeta",IF(AND(I420="Trading",IFERROR(INDEX(ctaTipo,MATCH(E420,ctaNom,0)),"")&lt;&gt;"Cuenta de trading"),"⚠ Usa la cuenta de trading","✓"))))))))))))</f>
        <v/>
      </c>
      <c r="I420" s="19">
        <f>IF(OR(B420="",C420="",D420=""),"",IFERROR(INDEX(catTipo,MATCH(D420,catNom,0))&amp;"",""))</f>
        <v/>
      </c>
      <c r="J420" s="19">
        <f>IF(I420="","",IFERROR(INDEX(catGrupo,MATCH(D420,catNom,0))&amp;"",""))</f>
        <v/>
      </c>
      <c r="K420" s="19">
        <f>IF(I420="Gasto",IF(IFERROR(INDEX(catClas,MATCH(D420,catNom,0))&amp;"","")="","Variable",IFERROR(INDEX(catClas,MATCH(D420,catNom,0))&amp;"","")),"")</f>
        <v/>
      </c>
      <c r="L420" s="19">
        <f>IF(I420="","",IFERROR(INDEX(catAlim,MATCH(D420,catNom,0))&amp;"",""))</f>
        <v/>
      </c>
      <c r="M420" s="19">
        <f>IF(I420="","",IFERROR(INDEX(catComida,MATCH(D420,catNom,0))&amp;"",""))</f>
        <v/>
      </c>
      <c r="N420" s="19">
        <f>IF(I420="","",IFERROR(INDEX(ctaMon,MATCH(E420,ctaNom,0))&amp;"","DOP"))</f>
        <v/>
      </c>
      <c r="O420" s="20">
        <f>IF(I420="","",C420*IF(N420="USD",TasaUSD,1))</f>
        <v/>
      </c>
      <c r="P420" s="20">
        <f>IF(I420="","",IF(I420="Gasto",O420,0))</f>
        <v/>
      </c>
      <c r="Q420" s="20">
        <f>IF(I420="","",IF(I420="Ingreso",O420,0))</f>
        <v/>
      </c>
      <c r="R420" s="20">
        <f>IF(I420="","",IF(I420="Trading",O420,0))</f>
        <v/>
      </c>
      <c r="S420" s="19">
        <f>IF(I420="","",IF(AND(I420="Gasto",K420="Variable",J420&lt;&gt;"Trading",O420&gt;0,O420&lt;=Umbral),1,0))</f>
        <v/>
      </c>
      <c r="T420" s="20">
        <f>IF(OR(I420="",E420=""),"",IF(OR(I420="Gasto",I420="Transferencia",I420="Pago tarjeta"),-1,1)*C420)</f>
        <v/>
      </c>
      <c r="U420" s="20">
        <f>IF(OR(G420="",AND(I420&lt;&gt;"Transferencia",I420&lt;&gt;"Pago tarjeta")),"",IF(IFERROR(INDEX(ctaMon,MATCH(G420,ctaNom,0))&amp;"","DOP")=N420,C420,IF(N420="USD",C420*TasaUSD,C420/TasaUSD)))</f>
        <v/>
      </c>
      <c r="V420" s="20">
        <f>IF(I420="","",IF(IFERROR(INDEX(ctaLiq,MATCH(E420,ctaNom,0))="Sí",FALSE),IF(OR(I420="Gasto",I420="Transferencia",I420="Pago tarjeta"),-1,1)*O420,0)+IF(AND(U420&lt;&gt;"",IFERROR(INDEX(ctaLiq,MATCH(G420,ctaNom,0))="Sí",FALSE)),O420,0))</f>
        <v/>
      </c>
      <c r="W420" s="19">
        <f>IF(OR(F420="",I420=""),"",IF(COUNTIFS(F$6:F420,F420,I$6:I420,"?*")=1,MAX(W$5:W419)+1,""))</f>
        <v/>
      </c>
    </row>
    <row r="421">
      <c r="B421" s="15" t="n"/>
      <c r="C421" s="16" t="n"/>
      <c r="D421" s="17" t="n"/>
      <c r="E421" s="17" t="n"/>
      <c r="F421" s="17" t="n"/>
      <c r="G421" s="17" t="n"/>
      <c r="H421" s="18">
        <f>IF(AND(B421="",C421="",D421="",E421=""),"",IF(B421="","⚠ Falta fecha",IF(C421="","⚠ Falta monto",IF(D421="","⚠ Falta categoría",IF(ISNA(MATCH(D421,catNom,0)),"⚠ Categoría no existe",IF(E421="","⚠ Falta cuenta",IF(ISNA(MATCH(E421,ctaNom,0)),"⚠ Cuenta no existe",IF(AND(OR(I421="Transferencia",I421="Pago tarjeta"),G421=""),"⚠ Indica la cuenta «Hacia»",IF(AND(G421&lt;&gt;"",G421=E421),"⚠ «Hacia» igual a la cuenta",IF(AND(G421&lt;&gt;"",ISNA(MATCH(G421,ctaNom,0))),"⚠ «Hacia» no existe",IF(AND(I421="Pago tarjeta",IFERROR(INDEX(ctaTipo,MATCH(G421,ctaNom,0)),"")&lt;&gt;"Tarjeta de crédito"),"⚠ «Hacia» debe ser la tarjeta",IF(AND(I421="Trading",IFERROR(INDEX(ctaTipo,MATCH(E421,ctaNom,0)),"")&lt;&gt;"Cuenta de trading"),"⚠ Usa la cuenta de trading","✓"))))))))))))</f>
        <v/>
      </c>
      <c r="I421" s="19">
        <f>IF(OR(B421="",C421="",D421=""),"",IFERROR(INDEX(catTipo,MATCH(D421,catNom,0))&amp;"",""))</f>
        <v/>
      </c>
      <c r="J421" s="19">
        <f>IF(I421="","",IFERROR(INDEX(catGrupo,MATCH(D421,catNom,0))&amp;"",""))</f>
        <v/>
      </c>
      <c r="K421" s="19">
        <f>IF(I421="Gasto",IF(IFERROR(INDEX(catClas,MATCH(D421,catNom,0))&amp;"","")="","Variable",IFERROR(INDEX(catClas,MATCH(D421,catNom,0))&amp;"","")),"")</f>
        <v/>
      </c>
      <c r="L421" s="19">
        <f>IF(I421="","",IFERROR(INDEX(catAlim,MATCH(D421,catNom,0))&amp;"",""))</f>
        <v/>
      </c>
      <c r="M421" s="19">
        <f>IF(I421="","",IFERROR(INDEX(catComida,MATCH(D421,catNom,0))&amp;"",""))</f>
        <v/>
      </c>
      <c r="N421" s="19">
        <f>IF(I421="","",IFERROR(INDEX(ctaMon,MATCH(E421,ctaNom,0))&amp;"","DOP"))</f>
        <v/>
      </c>
      <c r="O421" s="20">
        <f>IF(I421="","",C421*IF(N421="USD",TasaUSD,1))</f>
        <v/>
      </c>
      <c r="P421" s="20">
        <f>IF(I421="","",IF(I421="Gasto",O421,0))</f>
        <v/>
      </c>
      <c r="Q421" s="20">
        <f>IF(I421="","",IF(I421="Ingreso",O421,0))</f>
        <v/>
      </c>
      <c r="R421" s="20">
        <f>IF(I421="","",IF(I421="Trading",O421,0))</f>
        <v/>
      </c>
      <c r="S421" s="19">
        <f>IF(I421="","",IF(AND(I421="Gasto",K421="Variable",J421&lt;&gt;"Trading",O421&gt;0,O421&lt;=Umbral),1,0))</f>
        <v/>
      </c>
      <c r="T421" s="20">
        <f>IF(OR(I421="",E421=""),"",IF(OR(I421="Gasto",I421="Transferencia",I421="Pago tarjeta"),-1,1)*C421)</f>
        <v/>
      </c>
      <c r="U421" s="20">
        <f>IF(OR(G421="",AND(I421&lt;&gt;"Transferencia",I421&lt;&gt;"Pago tarjeta")),"",IF(IFERROR(INDEX(ctaMon,MATCH(G421,ctaNom,0))&amp;"","DOP")=N421,C421,IF(N421="USD",C421*TasaUSD,C421/TasaUSD)))</f>
        <v/>
      </c>
      <c r="V421" s="20">
        <f>IF(I421="","",IF(IFERROR(INDEX(ctaLiq,MATCH(E421,ctaNom,0))="Sí",FALSE),IF(OR(I421="Gasto",I421="Transferencia",I421="Pago tarjeta"),-1,1)*O421,0)+IF(AND(U421&lt;&gt;"",IFERROR(INDEX(ctaLiq,MATCH(G421,ctaNom,0))="Sí",FALSE)),O421,0))</f>
        <v/>
      </c>
      <c r="W421" s="19">
        <f>IF(OR(F421="",I421=""),"",IF(COUNTIFS(F$6:F421,F421,I$6:I421,"?*")=1,MAX(W$5:W420)+1,""))</f>
        <v/>
      </c>
    </row>
    <row r="422">
      <c r="B422" s="15" t="n"/>
      <c r="C422" s="16" t="n"/>
      <c r="D422" s="17" t="n"/>
      <c r="E422" s="17" t="n"/>
      <c r="F422" s="17" t="n"/>
      <c r="G422" s="17" t="n"/>
      <c r="H422" s="18">
        <f>IF(AND(B422="",C422="",D422="",E422=""),"",IF(B422="","⚠ Falta fecha",IF(C422="","⚠ Falta monto",IF(D422="","⚠ Falta categoría",IF(ISNA(MATCH(D422,catNom,0)),"⚠ Categoría no existe",IF(E422="","⚠ Falta cuenta",IF(ISNA(MATCH(E422,ctaNom,0)),"⚠ Cuenta no existe",IF(AND(OR(I422="Transferencia",I422="Pago tarjeta"),G422=""),"⚠ Indica la cuenta «Hacia»",IF(AND(G422&lt;&gt;"",G422=E422),"⚠ «Hacia» igual a la cuenta",IF(AND(G422&lt;&gt;"",ISNA(MATCH(G422,ctaNom,0))),"⚠ «Hacia» no existe",IF(AND(I422="Pago tarjeta",IFERROR(INDEX(ctaTipo,MATCH(G422,ctaNom,0)),"")&lt;&gt;"Tarjeta de crédito"),"⚠ «Hacia» debe ser la tarjeta",IF(AND(I422="Trading",IFERROR(INDEX(ctaTipo,MATCH(E422,ctaNom,0)),"")&lt;&gt;"Cuenta de trading"),"⚠ Usa la cuenta de trading","✓"))))))))))))</f>
        <v/>
      </c>
      <c r="I422" s="19">
        <f>IF(OR(B422="",C422="",D422=""),"",IFERROR(INDEX(catTipo,MATCH(D422,catNom,0))&amp;"",""))</f>
        <v/>
      </c>
      <c r="J422" s="19">
        <f>IF(I422="","",IFERROR(INDEX(catGrupo,MATCH(D422,catNom,0))&amp;"",""))</f>
        <v/>
      </c>
      <c r="K422" s="19">
        <f>IF(I422="Gasto",IF(IFERROR(INDEX(catClas,MATCH(D422,catNom,0))&amp;"","")="","Variable",IFERROR(INDEX(catClas,MATCH(D422,catNom,0))&amp;"","")),"")</f>
        <v/>
      </c>
      <c r="L422" s="19">
        <f>IF(I422="","",IFERROR(INDEX(catAlim,MATCH(D422,catNom,0))&amp;"",""))</f>
        <v/>
      </c>
      <c r="M422" s="19">
        <f>IF(I422="","",IFERROR(INDEX(catComida,MATCH(D422,catNom,0))&amp;"",""))</f>
        <v/>
      </c>
      <c r="N422" s="19">
        <f>IF(I422="","",IFERROR(INDEX(ctaMon,MATCH(E422,ctaNom,0))&amp;"","DOP"))</f>
        <v/>
      </c>
      <c r="O422" s="20">
        <f>IF(I422="","",C422*IF(N422="USD",TasaUSD,1))</f>
        <v/>
      </c>
      <c r="P422" s="20">
        <f>IF(I422="","",IF(I422="Gasto",O422,0))</f>
        <v/>
      </c>
      <c r="Q422" s="20">
        <f>IF(I422="","",IF(I422="Ingreso",O422,0))</f>
        <v/>
      </c>
      <c r="R422" s="20">
        <f>IF(I422="","",IF(I422="Trading",O422,0))</f>
        <v/>
      </c>
      <c r="S422" s="19">
        <f>IF(I422="","",IF(AND(I422="Gasto",K422="Variable",J422&lt;&gt;"Trading",O422&gt;0,O422&lt;=Umbral),1,0))</f>
        <v/>
      </c>
      <c r="T422" s="20">
        <f>IF(OR(I422="",E422=""),"",IF(OR(I422="Gasto",I422="Transferencia",I422="Pago tarjeta"),-1,1)*C422)</f>
        <v/>
      </c>
      <c r="U422" s="20">
        <f>IF(OR(G422="",AND(I422&lt;&gt;"Transferencia",I422&lt;&gt;"Pago tarjeta")),"",IF(IFERROR(INDEX(ctaMon,MATCH(G422,ctaNom,0))&amp;"","DOP")=N422,C422,IF(N422="USD",C422*TasaUSD,C422/TasaUSD)))</f>
        <v/>
      </c>
      <c r="V422" s="20">
        <f>IF(I422="","",IF(IFERROR(INDEX(ctaLiq,MATCH(E422,ctaNom,0))="Sí",FALSE),IF(OR(I422="Gasto",I422="Transferencia",I422="Pago tarjeta"),-1,1)*O422,0)+IF(AND(U422&lt;&gt;"",IFERROR(INDEX(ctaLiq,MATCH(G422,ctaNom,0))="Sí",FALSE)),O422,0))</f>
        <v/>
      </c>
      <c r="W422" s="19">
        <f>IF(OR(F422="",I422=""),"",IF(COUNTIFS(F$6:F422,F422,I$6:I422,"?*")=1,MAX(W$5:W421)+1,""))</f>
        <v/>
      </c>
    </row>
    <row r="423">
      <c r="B423" s="15" t="n"/>
      <c r="C423" s="16" t="n"/>
      <c r="D423" s="17" t="n"/>
      <c r="E423" s="17" t="n"/>
      <c r="F423" s="17" t="n"/>
      <c r="G423" s="17" t="n"/>
      <c r="H423" s="18">
        <f>IF(AND(B423="",C423="",D423="",E423=""),"",IF(B423="","⚠ Falta fecha",IF(C423="","⚠ Falta monto",IF(D423="","⚠ Falta categoría",IF(ISNA(MATCH(D423,catNom,0)),"⚠ Categoría no existe",IF(E423="","⚠ Falta cuenta",IF(ISNA(MATCH(E423,ctaNom,0)),"⚠ Cuenta no existe",IF(AND(OR(I423="Transferencia",I423="Pago tarjeta"),G423=""),"⚠ Indica la cuenta «Hacia»",IF(AND(G423&lt;&gt;"",G423=E423),"⚠ «Hacia» igual a la cuenta",IF(AND(G423&lt;&gt;"",ISNA(MATCH(G423,ctaNom,0))),"⚠ «Hacia» no existe",IF(AND(I423="Pago tarjeta",IFERROR(INDEX(ctaTipo,MATCH(G423,ctaNom,0)),"")&lt;&gt;"Tarjeta de crédito"),"⚠ «Hacia» debe ser la tarjeta",IF(AND(I423="Trading",IFERROR(INDEX(ctaTipo,MATCH(E423,ctaNom,0)),"")&lt;&gt;"Cuenta de trading"),"⚠ Usa la cuenta de trading","✓"))))))))))))</f>
        <v/>
      </c>
      <c r="I423" s="19">
        <f>IF(OR(B423="",C423="",D423=""),"",IFERROR(INDEX(catTipo,MATCH(D423,catNom,0))&amp;"",""))</f>
        <v/>
      </c>
      <c r="J423" s="19">
        <f>IF(I423="","",IFERROR(INDEX(catGrupo,MATCH(D423,catNom,0))&amp;"",""))</f>
        <v/>
      </c>
      <c r="K423" s="19">
        <f>IF(I423="Gasto",IF(IFERROR(INDEX(catClas,MATCH(D423,catNom,0))&amp;"","")="","Variable",IFERROR(INDEX(catClas,MATCH(D423,catNom,0))&amp;"","")),"")</f>
        <v/>
      </c>
      <c r="L423" s="19">
        <f>IF(I423="","",IFERROR(INDEX(catAlim,MATCH(D423,catNom,0))&amp;"",""))</f>
        <v/>
      </c>
      <c r="M423" s="19">
        <f>IF(I423="","",IFERROR(INDEX(catComida,MATCH(D423,catNom,0))&amp;"",""))</f>
        <v/>
      </c>
      <c r="N423" s="19">
        <f>IF(I423="","",IFERROR(INDEX(ctaMon,MATCH(E423,ctaNom,0))&amp;"","DOP"))</f>
        <v/>
      </c>
      <c r="O423" s="20">
        <f>IF(I423="","",C423*IF(N423="USD",TasaUSD,1))</f>
        <v/>
      </c>
      <c r="P423" s="20">
        <f>IF(I423="","",IF(I423="Gasto",O423,0))</f>
        <v/>
      </c>
      <c r="Q423" s="20">
        <f>IF(I423="","",IF(I423="Ingreso",O423,0))</f>
        <v/>
      </c>
      <c r="R423" s="20">
        <f>IF(I423="","",IF(I423="Trading",O423,0))</f>
        <v/>
      </c>
      <c r="S423" s="19">
        <f>IF(I423="","",IF(AND(I423="Gasto",K423="Variable",J423&lt;&gt;"Trading",O423&gt;0,O423&lt;=Umbral),1,0))</f>
        <v/>
      </c>
      <c r="T423" s="20">
        <f>IF(OR(I423="",E423=""),"",IF(OR(I423="Gasto",I423="Transferencia",I423="Pago tarjeta"),-1,1)*C423)</f>
        <v/>
      </c>
      <c r="U423" s="20">
        <f>IF(OR(G423="",AND(I423&lt;&gt;"Transferencia",I423&lt;&gt;"Pago tarjeta")),"",IF(IFERROR(INDEX(ctaMon,MATCH(G423,ctaNom,0))&amp;"","DOP")=N423,C423,IF(N423="USD",C423*TasaUSD,C423/TasaUSD)))</f>
        <v/>
      </c>
      <c r="V423" s="20">
        <f>IF(I423="","",IF(IFERROR(INDEX(ctaLiq,MATCH(E423,ctaNom,0))="Sí",FALSE),IF(OR(I423="Gasto",I423="Transferencia",I423="Pago tarjeta"),-1,1)*O423,0)+IF(AND(U423&lt;&gt;"",IFERROR(INDEX(ctaLiq,MATCH(G423,ctaNom,0))="Sí",FALSE)),O423,0))</f>
        <v/>
      </c>
      <c r="W423" s="19">
        <f>IF(OR(F423="",I423=""),"",IF(COUNTIFS(F$6:F423,F423,I$6:I423,"?*")=1,MAX(W$5:W422)+1,""))</f>
        <v/>
      </c>
    </row>
    <row r="424">
      <c r="B424" s="15" t="n"/>
      <c r="C424" s="16" t="n"/>
      <c r="D424" s="17" t="n"/>
      <c r="E424" s="17" t="n"/>
      <c r="F424" s="17" t="n"/>
      <c r="G424" s="17" t="n"/>
      <c r="H424" s="18">
        <f>IF(AND(B424="",C424="",D424="",E424=""),"",IF(B424="","⚠ Falta fecha",IF(C424="","⚠ Falta monto",IF(D424="","⚠ Falta categoría",IF(ISNA(MATCH(D424,catNom,0)),"⚠ Categoría no existe",IF(E424="","⚠ Falta cuenta",IF(ISNA(MATCH(E424,ctaNom,0)),"⚠ Cuenta no existe",IF(AND(OR(I424="Transferencia",I424="Pago tarjeta"),G424=""),"⚠ Indica la cuenta «Hacia»",IF(AND(G424&lt;&gt;"",G424=E424),"⚠ «Hacia» igual a la cuenta",IF(AND(G424&lt;&gt;"",ISNA(MATCH(G424,ctaNom,0))),"⚠ «Hacia» no existe",IF(AND(I424="Pago tarjeta",IFERROR(INDEX(ctaTipo,MATCH(G424,ctaNom,0)),"")&lt;&gt;"Tarjeta de crédito"),"⚠ «Hacia» debe ser la tarjeta",IF(AND(I424="Trading",IFERROR(INDEX(ctaTipo,MATCH(E424,ctaNom,0)),"")&lt;&gt;"Cuenta de trading"),"⚠ Usa la cuenta de trading","✓"))))))))))))</f>
        <v/>
      </c>
      <c r="I424" s="19">
        <f>IF(OR(B424="",C424="",D424=""),"",IFERROR(INDEX(catTipo,MATCH(D424,catNom,0))&amp;"",""))</f>
        <v/>
      </c>
      <c r="J424" s="19">
        <f>IF(I424="","",IFERROR(INDEX(catGrupo,MATCH(D424,catNom,0))&amp;"",""))</f>
        <v/>
      </c>
      <c r="K424" s="19">
        <f>IF(I424="Gasto",IF(IFERROR(INDEX(catClas,MATCH(D424,catNom,0))&amp;"","")="","Variable",IFERROR(INDEX(catClas,MATCH(D424,catNom,0))&amp;"","")),"")</f>
        <v/>
      </c>
      <c r="L424" s="19">
        <f>IF(I424="","",IFERROR(INDEX(catAlim,MATCH(D424,catNom,0))&amp;"",""))</f>
        <v/>
      </c>
      <c r="M424" s="19">
        <f>IF(I424="","",IFERROR(INDEX(catComida,MATCH(D424,catNom,0))&amp;"",""))</f>
        <v/>
      </c>
      <c r="N424" s="19">
        <f>IF(I424="","",IFERROR(INDEX(ctaMon,MATCH(E424,ctaNom,0))&amp;"","DOP"))</f>
        <v/>
      </c>
      <c r="O424" s="20">
        <f>IF(I424="","",C424*IF(N424="USD",TasaUSD,1))</f>
        <v/>
      </c>
      <c r="P424" s="20">
        <f>IF(I424="","",IF(I424="Gasto",O424,0))</f>
        <v/>
      </c>
      <c r="Q424" s="20">
        <f>IF(I424="","",IF(I424="Ingreso",O424,0))</f>
        <v/>
      </c>
      <c r="R424" s="20">
        <f>IF(I424="","",IF(I424="Trading",O424,0))</f>
        <v/>
      </c>
      <c r="S424" s="19">
        <f>IF(I424="","",IF(AND(I424="Gasto",K424="Variable",J424&lt;&gt;"Trading",O424&gt;0,O424&lt;=Umbral),1,0))</f>
        <v/>
      </c>
      <c r="T424" s="20">
        <f>IF(OR(I424="",E424=""),"",IF(OR(I424="Gasto",I424="Transferencia",I424="Pago tarjeta"),-1,1)*C424)</f>
        <v/>
      </c>
      <c r="U424" s="20">
        <f>IF(OR(G424="",AND(I424&lt;&gt;"Transferencia",I424&lt;&gt;"Pago tarjeta")),"",IF(IFERROR(INDEX(ctaMon,MATCH(G424,ctaNom,0))&amp;"","DOP")=N424,C424,IF(N424="USD",C424*TasaUSD,C424/TasaUSD)))</f>
        <v/>
      </c>
      <c r="V424" s="20">
        <f>IF(I424="","",IF(IFERROR(INDEX(ctaLiq,MATCH(E424,ctaNom,0))="Sí",FALSE),IF(OR(I424="Gasto",I424="Transferencia",I424="Pago tarjeta"),-1,1)*O424,0)+IF(AND(U424&lt;&gt;"",IFERROR(INDEX(ctaLiq,MATCH(G424,ctaNom,0))="Sí",FALSE)),O424,0))</f>
        <v/>
      </c>
      <c r="W424" s="19">
        <f>IF(OR(F424="",I424=""),"",IF(COUNTIFS(F$6:F424,F424,I$6:I424,"?*")=1,MAX(W$5:W423)+1,""))</f>
        <v/>
      </c>
    </row>
    <row r="425">
      <c r="B425" s="15" t="n"/>
      <c r="C425" s="16" t="n"/>
      <c r="D425" s="17" t="n"/>
      <c r="E425" s="17" t="n"/>
      <c r="F425" s="17" t="n"/>
      <c r="G425" s="17" t="n"/>
      <c r="H425" s="18">
        <f>IF(AND(B425="",C425="",D425="",E425=""),"",IF(B425="","⚠ Falta fecha",IF(C425="","⚠ Falta monto",IF(D425="","⚠ Falta categoría",IF(ISNA(MATCH(D425,catNom,0)),"⚠ Categoría no existe",IF(E425="","⚠ Falta cuenta",IF(ISNA(MATCH(E425,ctaNom,0)),"⚠ Cuenta no existe",IF(AND(OR(I425="Transferencia",I425="Pago tarjeta"),G425=""),"⚠ Indica la cuenta «Hacia»",IF(AND(G425&lt;&gt;"",G425=E425),"⚠ «Hacia» igual a la cuenta",IF(AND(G425&lt;&gt;"",ISNA(MATCH(G425,ctaNom,0))),"⚠ «Hacia» no existe",IF(AND(I425="Pago tarjeta",IFERROR(INDEX(ctaTipo,MATCH(G425,ctaNom,0)),"")&lt;&gt;"Tarjeta de crédito"),"⚠ «Hacia» debe ser la tarjeta",IF(AND(I425="Trading",IFERROR(INDEX(ctaTipo,MATCH(E425,ctaNom,0)),"")&lt;&gt;"Cuenta de trading"),"⚠ Usa la cuenta de trading","✓"))))))))))))</f>
        <v/>
      </c>
      <c r="I425" s="19">
        <f>IF(OR(B425="",C425="",D425=""),"",IFERROR(INDEX(catTipo,MATCH(D425,catNom,0))&amp;"",""))</f>
        <v/>
      </c>
      <c r="J425" s="19">
        <f>IF(I425="","",IFERROR(INDEX(catGrupo,MATCH(D425,catNom,0))&amp;"",""))</f>
        <v/>
      </c>
      <c r="K425" s="19">
        <f>IF(I425="Gasto",IF(IFERROR(INDEX(catClas,MATCH(D425,catNom,0))&amp;"","")="","Variable",IFERROR(INDEX(catClas,MATCH(D425,catNom,0))&amp;"","")),"")</f>
        <v/>
      </c>
      <c r="L425" s="19">
        <f>IF(I425="","",IFERROR(INDEX(catAlim,MATCH(D425,catNom,0))&amp;"",""))</f>
        <v/>
      </c>
      <c r="M425" s="19">
        <f>IF(I425="","",IFERROR(INDEX(catComida,MATCH(D425,catNom,0))&amp;"",""))</f>
        <v/>
      </c>
      <c r="N425" s="19">
        <f>IF(I425="","",IFERROR(INDEX(ctaMon,MATCH(E425,ctaNom,0))&amp;"","DOP"))</f>
        <v/>
      </c>
      <c r="O425" s="20">
        <f>IF(I425="","",C425*IF(N425="USD",TasaUSD,1))</f>
        <v/>
      </c>
      <c r="P425" s="20">
        <f>IF(I425="","",IF(I425="Gasto",O425,0))</f>
        <v/>
      </c>
      <c r="Q425" s="20">
        <f>IF(I425="","",IF(I425="Ingreso",O425,0))</f>
        <v/>
      </c>
      <c r="R425" s="20">
        <f>IF(I425="","",IF(I425="Trading",O425,0))</f>
        <v/>
      </c>
      <c r="S425" s="19">
        <f>IF(I425="","",IF(AND(I425="Gasto",K425="Variable",J425&lt;&gt;"Trading",O425&gt;0,O425&lt;=Umbral),1,0))</f>
        <v/>
      </c>
      <c r="T425" s="20">
        <f>IF(OR(I425="",E425=""),"",IF(OR(I425="Gasto",I425="Transferencia",I425="Pago tarjeta"),-1,1)*C425)</f>
        <v/>
      </c>
      <c r="U425" s="20">
        <f>IF(OR(G425="",AND(I425&lt;&gt;"Transferencia",I425&lt;&gt;"Pago tarjeta")),"",IF(IFERROR(INDEX(ctaMon,MATCH(G425,ctaNom,0))&amp;"","DOP")=N425,C425,IF(N425="USD",C425*TasaUSD,C425/TasaUSD)))</f>
        <v/>
      </c>
      <c r="V425" s="20">
        <f>IF(I425="","",IF(IFERROR(INDEX(ctaLiq,MATCH(E425,ctaNom,0))="Sí",FALSE),IF(OR(I425="Gasto",I425="Transferencia",I425="Pago tarjeta"),-1,1)*O425,0)+IF(AND(U425&lt;&gt;"",IFERROR(INDEX(ctaLiq,MATCH(G425,ctaNom,0))="Sí",FALSE)),O425,0))</f>
        <v/>
      </c>
      <c r="W425" s="19">
        <f>IF(OR(F425="",I425=""),"",IF(COUNTIFS(F$6:F425,F425,I$6:I425,"?*")=1,MAX(W$5:W424)+1,""))</f>
        <v/>
      </c>
    </row>
    <row r="426">
      <c r="B426" s="15" t="n"/>
      <c r="C426" s="16" t="n"/>
      <c r="D426" s="17" t="n"/>
      <c r="E426" s="17" t="n"/>
      <c r="F426" s="17" t="n"/>
      <c r="G426" s="17" t="n"/>
      <c r="H426" s="18">
        <f>IF(AND(B426="",C426="",D426="",E426=""),"",IF(B426="","⚠ Falta fecha",IF(C426="","⚠ Falta monto",IF(D426="","⚠ Falta categoría",IF(ISNA(MATCH(D426,catNom,0)),"⚠ Categoría no existe",IF(E426="","⚠ Falta cuenta",IF(ISNA(MATCH(E426,ctaNom,0)),"⚠ Cuenta no existe",IF(AND(OR(I426="Transferencia",I426="Pago tarjeta"),G426=""),"⚠ Indica la cuenta «Hacia»",IF(AND(G426&lt;&gt;"",G426=E426),"⚠ «Hacia» igual a la cuenta",IF(AND(G426&lt;&gt;"",ISNA(MATCH(G426,ctaNom,0))),"⚠ «Hacia» no existe",IF(AND(I426="Pago tarjeta",IFERROR(INDEX(ctaTipo,MATCH(G426,ctaNom,0)),"")&lt;&gt;"Tarjeta de crédito"),"⚠ «Hacia» debe ser la tarjeta",IF(AND(I426="Trading",IFERROR(INDEX(ctaTipo,MATCH(E426,ctaNom,0)),"")&lt;&gt;"Cuenta de trading"),"⚠ Usa la cuenta de trading","✓"))))))))))))</f>
        <v/>
      </c>
      <c r="I426" s="19">
        <f>IF(OR(B426="",C426="",D426=""),"",IFERROR(INDEX(catTipo,MATCH(D426,catNom,0))&amp;"",""))</f>
        <v/>
      </c>
      <c r="J426" s="19">
        <f>IF(I426="","",IFERROR(INDEX(catGrupo,MATCH(D426,catNom,0))&amp;"",""))</f>
        <v/>
      </c>
      <c r="K426" s="19">
        <f>IF(I426="Gasto",IF(IFERROR(INDEX(catClas,MATCH(D426,catNom,0))&amp;"","")="","Variable",IFERROR(INDEX(catClas,MATCH(D426,catNom,0))&amp;"","")),"")</f>
        <v/>
      </c>
      <c r="L426" s="19">
        <f>IF(I426="","",IFERROR(INDEX(catAlim,MATCH(D426,catNom,0))&amp;"",""))</f>
        <v/>
      </c>
      <c r="M426" s="19">
        <f>IF(I426="","",IFERROR(INDEX(catComida,MATCH(D426,catNom,0))&amp;"",""))</f>
        <v/>
      </c>
      <c r="N426" s="19">
        <f>IF(I426="","",IFERROR(INDEX(ctaMon,MATCH(E426,ctaNom,0))&amp;"","DOP"))</f>
        <v/>
      </c>
      <c r="O426" s="20">
        <f>IF(I426="","",C426*IF(N426="USD",TasaUSD,1))</f>
        <v/>
      </c>
      <c r="P426" s="20">
        <f>IF(I426="","",IF(I426="Gasto",O426,0))</f>
        <v/>
      </c>
      <c r="Q426" s="20">
        <f>IF(I426="","",IF(I426="Ingreso",O426,0))</f>
        <v/>
      </c>
      <c r="R426" s="20">
        <f>IF(I426="","",IF(I426="Trading",O426,0))</f>
        <v/>
      </c>
      <c r="S426" s="19">
        <f>IF(I426="","",IF(AND(I426="Gasto",K426="Variable",J426&lt;&gt;"Trading",O426&gt;0,O426&lt;=Umbral),1,0))</f>
        <v/>
      </c>
      <c r="T426" s="20">
        <f>IF(OR(I426="",E426=""),"",IF(OR(I426="Gasto",I426="Transferencia",I426="Pago tarjeta"),-1,1)*C426)</f>
        <v/>
      </c>
      <c r="U426" s="20">
        <f>IF(OR(G426="",AND(I426&lt;&gt;"Transferencia",I426&lt;&gt;"Pago tarjeta")),"",IF(IFERROR(INDEX(ctaMon,MATCH(G426,ctaNom,0))&amp;"","DOP")=N426,C426,IF(N426="USD",C426*TasaUSD,C426/TasaUSD)))</f>
        <v/>
      </c>
      <c r="V426" s="20">
        <f>IF(I426="","",IF(IFERROR(INDEX(ctaLiq,MATCH(E426,ctaNom,0))="Sí",FALSE),IF(OR(I426="Gasto",I426="Transferencia",I426="Pago tarjeta"),-1,1)*O426,0)+IF(AND(U426&lt;&gt;"",IFERROR(INDEX(ctaLiq,MATCH(G426,ctaNom,0))="Sí",FALSE)),O426,0))</f>
        <v/>
      </c>
      <c r="W426" s="19">
        <f>IF(OR(F426="",I426=""),"",IF(COUNTIFS(F$6:F426,F426,I$6:I426,"?*")=1,MAX(W$5:W425)+1,""))</f>
        <v/>
      </c>
    </row>
    <row r="427">
      <c r="B427" s="15" t="n"/>
      <c r="C427" s="16" t="n"/>
      <c r="D427" s="17" t="n"/>
      <c r="E427" s="17" t="n"/>
      <c r="F427" s="17" t="n"/>
      <c r="G427" s="17" t="n"/>
      <c r="H427" s="18">
        <f>IF(AND(B427="",C427="",D427="",E427=""),"",IF(B427="","⚠ Falta fecha",IF(C427="","⚠ Falta monto",IF(D427="","⚠ Falta categoría",IF(ISNA(MATCH(D427,catNom,0)),"⚠ Categoría no existe",IF(E427="","⚠ Falta cuenta",IF(ISNA(MATCH(E427,ctaNom,0)),"⚠ Cuenta no existe",IF(AND(OR(I427="Transferencia",I427="Pago tarjeta"),G427=""),"⚠ Indica la cuenta «Hacia»",IF(AND(G427&lt;&gt;"",G427=E427),"⚠ «Hacia» igual a la cuenta",IF(AND(G427&lt;&gt;"",ISNA(MATCH(G427,ctaNom,0))),"⚠ «Hacia» no existe",IF(AND(I427="Pago tarjeta",IFERROR(INDEX(ctaTipo,MATCH(G427,ctaNom,0)),"")&lt;&gt;"Tarjeta de crédito"),"⚠ «Hacia» debe ser la tarjeta",IF(AND(I427="Trading",IFERROR(INDEX(ctaTipo,MATCH(E427,ctaNom,0)),"")&lt;&gt;"Cuenta de trading"),"⚠ Usa la cuenta de trading","✓"))))))))))))</f>
        <v/>
      </c>
      <c r="I427" s="19">
        <f>IF(OR(B427="",C427="",D427=""),"",IFERROR(INDEX(catTipo,MATCH(D427,catNom,0))&amp;"",""))</f>
        <v/>
      </c>
      <c r="J427" s="19">
        <f>IF(I427="","",IFERROR(INDEX(catGrupo,MATCH(D427,catNom,0))&amp;"",""))</f>
        <v/>
      </c>
      <c r="K427" s="19">
        <f>IF(I427="Gasto",IF(IFERROR(INDEX(catClas,MATCH(D427,catNom,0))&amp;"","")="","Variable",IFERROR(INDEX(catClas,MATCH(D427,catNom,0))&amp;"","")),"")</f>
        <v/>
      </c>
      <c r="L427" s="19">
        <f>IF(I427="","",IFERROR(INDEX(catAlim,MATCH(D427,catNom,0))&amp;"",""))</f>
        <v/>
      </c>
      <c r="M427" s="19">
        <f>IF(I427="","",IFERROR(INDEX(catComida,MATCH(D427,catNom,0))&amp;"",""))</f>
        <v/>
      </c>
      <c r="N427" s="19">
        <f>IF(I427="","",IFERROR(INDEX(ctaMon,MATCH(E427,ctaNom,0))&amp;"","DOP"))</f>
        <v/>
      </c>
      <c r="O427" s="20">
        <f>IF(I427="","",C427*IF(N427="USD",TasaUSD,1))</f>
        <v/>
      </c>
      <c r="P427" s="20">
        <f>IF(I427="","",IF(I427="Gasto",O427,0))</f>
        <v/>
      </c>
      <c r="Q427" s="20">
        <f>IF(I427="","",IF(I427="Ingreso",O427,0))</f>
        <v/>
      </c>
      <c r="R427" s="20">
        <f>IF(I427="","",IF(I427="Trading",O427,0))</f>
        <v/>
      </c>
      <c r="S427" s="19">
        <f>IF(I427="","",IF(AND(I427="Gasto",K427="Variable",J427&lt;&gt;"Trading",O427&gt;0,O427&lt;=Umbral),1,0))</f>
        <v/>
      </c>
      <c r="T427" s="20">
        <f>IF(OR(I427="",E427=""),"",IF(OR(I427="Gasto",I427="Transferencia",I427="Pago tarjeta"),-1,1)*C427)</f>
        <v/>
      </c>
      <c r="U427" s="20">
        <f>IF(OR(G427="",AND(I427&lt;&gt;"Transferencia",I427&lt;&gt;"Pago tarjeta")),"",IF(IFERROR(INDEX(ctaMon,MATCH(G427,ctaNom,0))&amp;"","DOP")=N427,C427,IF(N427="USD",C427*TasaUSD,C427/TasaUSD)))</f>
        <v/>
      </c>
      <c r="V427" s="20">
        <f>IF(I427="","",IF(IFERROR(INDEX(ctaLiq,MATCH(E427,ctaNom,0))="Sí",FALSE),IF(OR(I427="Gasto",I427="Transferencia",I427="Pago tarjeta"),-1,1)*O427,0)+IF(AND(U427&lt;&gt;"",IFERROR(INDEX(ctaLiq,MATCH(G427,ctaNom,0))="Sí",FALSE)),O427,0))</f>
        <v/>
      </c>
      <c r="W427" s="19">
        <f>IF(OR(F427="",I427=""),"",IF(COUNTIFS(F$6:F427,F427,I$6:I427,"?*")=1,MAX(W$5:W426)+1,""))</f>
        <v/>
      </c>
    </row>
    <row r="428">
      <c r="B428" s="15" t="n"/>
      <c r="C428" s="16" t="n"/>
      <c r="D428" s="17" t="n"/>
      <c r="E428" s="17" t="n"/>
      <c r="F428" s="17" t="n"/>
      <c r="G428" s="17" t="n"/>
      <c r="H428" s="18">
        <f>IF(AND(B428="",C428="",D428="",E428=""),"",IF(B428="","⚠ Falta fecha",IF(C428="","⚠ Falta monto",IF(D428="","⚠ Falta categoría",IF(ISNA(MATCH(D428,catNom,0)),"⚠ Categoría no existe",IF(E428="","⚠ Falta cuenta",IF(ISNA(MATCH(E428,ctaNom,0)),"⚠ Cuenta no existe",IF(AND(OR(I428="Transferencia",I428="Pago tarjeta"),G428=""),"⚠ Indica la cuenta «Hacia»",IF(AND(G428&lt;&gt;"",G428=E428),"⚠ «Hacia» igual a la cuenta",IF(AND(G428&lt;&gt;"",ISNA(MATCH(G428,ctaNom,0))),"⚠ «Hacia» no existe",IF(AND(I428="Pago tarjeta",IFERROR(INDEX(ctaTipo,MATCH(G428,ctaNom,0)),"")&lt;&gt;"Tarjeta de crédito"),"⚠ «Hacia» debe ser la tarjeta",IF(AND(I428="Trading",IFERROR(INDEX(ctaTipo,MATCH(E428,ctaNom,0)),"")&lt;&gt;"Cuenta de trading"),"⚠ Usa la cuenta de trading","✓"))))))))))))</f>
        <v/>
      </c>
      <c r="I428" s="19">
        <f>IF(OR(B428="",C428="",D428=""),"",IFERROR(INDEX(catTipo,MATCH(D428,catNom,0))&amp;"",""))</f>
        <v/>
      </c>
      <c r="J428" s="19">
        <f>IF(I428="","",IFERROR(INDEX(catGrupo,MATCH(D428,catNom,0))&amp;"",""))</f>
        <v/>
      </c>
      <c r="K428" s="19">
        <f>IF(I428="Gasto",IF(IFERROR(INDEX(catClas,MATCH(D428,catNom,0))&amp;"","")="","Variable",IFERROR(INDEX(catClas,MATCH(D428,catNom,0))&amp;"","")),"")</f>
        <v/>
      </c>
      <c r="L428" s="19">
        <f>IF(I428="","",IFERROR(INDEX(catAlim,MATCH(D428,catNom,0))&amp;"",""))</f>
        <v/>
      </c>
      <c r="M428" s="19">
        <f>IF(I428="","",IFERROR(INDEX(catComida,MATCH(D428,catNom,0))&amp;"",""))</f>
        <v/>
      </c>
      <c r="N428" s="19">
        <f>IF(I428="","",IFERROR(INDEX(ctaMon,MATCH(E428,ctaNom,0))&amp;"","DOP"))</f>
        <v/>
      </c>
      <c r="O428" s="20">
        <f>IF(I428="","",C428*IF(N428="USD",TasaUSD,1))</f>
        <v/>
      </c>
      <c r="P428" s="20">
        <f>IF(I428="","",IF(I428="Gasto",O428,0))</f>
        <v/>
      </c>
      <c r="Q428" s="20">
        <f>IF(I428="","",IF(I428="Ingreso",O428,0))</f>
        <v/>
      </c>
      <c r="R428" s="20">
        <f>IF(I428="","",IF(I428="Trading",O428,0))</f>
        <v/>
      </c>
      <c r="S428" s="19">
        <f>IF(I428="","",IF(AND(I428="Gasto",K428="Variable",J428&lt;&gt;"Trading",O428&gt;0,O428&lt;=Umbral),1,0))</f>
        <v/>
      </c>
      <c r="T428" s="20">
        <f>IF(OR(I428="",E428=""),"",IF(OR(I428="Gasto",I428="Transferencia",I428="Pago tarjeta"),-1,1)*C428)</f>
        <v/>
      </c>
      <c r="U428" s="20">
        <f>IF(OR(G428="",AND(I428&lt;&gt;"Transferencia",I428&lt;&gt;"Pago tarjeta")),"",IF(IFERROR(INDEX(ctaMon,MATCH(G428,ctaNom,0))&amp;"","DOP")=N428,C428,IF(N428="USD",C428*TasaUSD,C428/TasaUSD)))</f>
        <v/>
      </c>
      <c r="V428" s="20">
        <f>IF(I428="","",IF(IFERROR(INDEX(ctaLiq,MATCH(E428,ctaNom,0))="Sí",FALSE),IF(OR(I428="Gasto",I428="Transferencia",I428="Pago tarjeta"),-1,1)*O428,0)+IF(AND(U428&lt;&gt;"",IFERROR(INDEX(ctaLiq,MATCH(G428,ctaNom,0))="Sí",FALSE)),O428,0))</f>
        <v/>
      </c>
      <c r="W428" s="19">
        <f>IF(OR(F428="",I428=""),"",IF(COUNTIFS(F$6:F428,F428,I$6:I428,"?*")=1,MAX(W$5:W427)+1,""))</f>
        <v/>
      </c>
    </row>
    <row r="429">
      <c r="B429" s="15" t="n"/>
      <c r="C429" s="16" t="n"/>
      <c r="D429" s="17" t="n"/>
      <c r="E429" s="17" t="n"/>
      <c r="F429" s="17" t="n"/>
      <c r="G429" s="17" t="n"/>
      <c r="H429" s="18">
        <f>IF(AND(B429="",C429="",D429="",E429=""),"",IF(B429="","⚠ Falta fecha",IF(C429="","⚠ Falta monto",IF(D429="","⚠ Falta categoría",IF(ISNA(MATCH(D429,catNom,0)),"⚠ Categoría no existe",IF(E429="","⚠ Falta cuenta",IF(ISNA(MATCH(E429,ctaNom,0)),"⚠ Cuenta no existe",IF(AND(OR(I429="Transferencia",I429="Pago tarjeta"),G429=""),"⚠ Indica la cuenta «Hacia»",IF(AND(G429&lt;&gt;"",G429=E429),"⚠ «Hacia» igual a la cuenta",IF(AND(G429&lt;&gt;"",ISNA(MATCH(G429,ctaNom,0))),"⚠ «Hacia» no existe",IF(AND(I429="Pago tarjeta",IFERROR(INDEX(ctaTipo,MATCH(G429,ctaNom,0)),"")&lt;&gt;"Tarjeta de crédito"),"⚠ «Hacia» debe ser la tarjeta",IF(AND(I429="Trading",IFERROR(INDEX(ctaTipo,MATCH(E429,ctaNom,0)),"")&lt;&gt;"Cuenta de trading"),"⚠ Usa la cuenta de trading","✓"))))))))))))</f>
        <v/>
      </c>
      <c r="I429" s="19">
        <f>IF(OR(B429="",C429="",D429=""),"",IFERROR(INDEX(catTipo,MATCH(D429,catNom,0))&amp;"",""))</f>
        <v/>
      </c>
      <c r="J429" s="19">
        <f>IF(I429="","",IFERROR(INDEX(catGrupo,MATCH(D429,catNom,0))&amp;"",""))</f>
        <v/>
      </c>
      <c r="K429" s="19">
        <f>IF(I429="Gasto",IF(IFERROR(INDEX(catClas,MATCH(D429,catNom,0))&amp;"","")="","Variable",IFERROR(INDEX(catClas,MATCH(D429,catNom,0))&amp;"","")),"")</f>
        <v/>
      </c>
      <c r="L429" s="19">
        <f>IF(I429="","",IFERROR(INDEX(catAlim,MATCH(D429,catNom,0))&amp;"",""))</f>
        <v/>
      </c>
      <c r="M429" s="19">
        <f>IF(I429="","",IFERROR(INDEX(catComida,MATCH(D429,catNom,0))&amp;"",""))</f>
        <v/>
      </c>
      <c r="N429" s="19">
        <f>IF(I429="","",IFERROR(INDEX(ctaMon,MATCH(E429,ctaNom,0))&amp;"","DOP"))</f>
        <v/>
      </c>
      <c r="O429" s="20">
        <f>IF(I429="","",C429*IF(N429="USD",TasaUSD,1))</f>
        <v/>
      </c>
      <c r="P429" s="20">
        <f>IF(I429="","",IF(I429="Gasto",O429,0))</f>
        <v/>
      </c>
      <c r="Q429" s="20">
        <f>IF(I429="","",IF(I429="Ingreso",O429,0))</f>
        <v/>
      </c>
      <c r="R429" s="20">
        <f>IF(I429="","",IF(I429="Trading",O429,0))</f>
        <v/>
      </c>
      <c r="S429" s="19">
        <f>IF(I429="","",IF(AND(I429="Gasto",K429="Variable",J429&lt;&gt;"Trading",O429&gt;0,O429&lt;=Umbral),1,0))</f>
        <v/>
      </c>
      <c r="T429" s="20">
        <f>IF(OR(I429="",E429=""),"",IF(OR(I429="Gasto",I429="Transferencia",I429="Pago tarjeta"),-1,1)*C429)</f>
        <v/>
      </c>
      <c r="U429" s="20">
        <f>IF(OR(G429="",AND(I429&lt;&gt;"Transferencia",I429&lt;&gt;"Pago tarjeta")),"",IF(IFERROR(INDEX(ctaMon,MATCH(G429,ctaNom,0))&amp;"","DOP")=N429,C429,IF(N429="USD",C429*TasaUSD,C429/TasaUSD)))</f>
        <v/>
      </c>
      <c r="V429" s="20">
        <f>IF(I429="","",IF(IFERROR(INDEX(ctaLiq,MATCH(E429,ctaNom,0))="Sí",FALSE),IF(OR(I429="Gasto",I429="Transferencia",I429="Pago tarjeta"),-1,1)*O429,0)+IF(AND(U429&lt;&gt;"",IFERROR(INDEX(ctaLiq,MATCH(G429,ctaNom,0))="Sí",FALSE)),O429,0))</f>
        <v/>
      </c>
      <c r="W429" s="19">
        <f>IF(OR(F429="",I429=""),"",IF(COUNTIFS(F$6:F429,F429,I$6:I429,"?*")=1,MAX(W$5:W428)+1,""))</f>
        <v/>
      </c>
    </row>
    <row r="430">
      <c r="B430" s="15" t="n"/>
      <c r="C430" s="16" t="n"/>
      <c r="D430" s="17" t="n"/>
      <c r="E430" s="17" t="n"/>
      <c r="F430" s="17" t="n"/>
      <c r="G430" s="17" t="n"/>
      <c r="H430" s="18">
        <f>IF(AND(B430="",C430="",D430="",E430=""),"",IF(B430="","⚠ Falta fecha",IF(C430="","⚠ Falta monto",IF(D430="","⚠ Falta categoría",IF(ISNA(MATCH(D430,catNom,0)),"⚠ Categoría no existe",IF(E430="","⚠ Falta cuenta",IF(ISNA(MATCH(E430,ctaNom,0)),"⚠ Cuenta no existe",IF(AND(OR(I430="Transferencia",I430="Pago tarjeta"),G430=""),"⚠ Indica la cuenta «Hacia»",IF(AND(G430&lt;&gt;"",G430=E430),"⚠ «Hacia» igual a la cuenta",IF(AND(G430&lt;&gt;"",ISNA(MATCH(G430,ctaNom,0))),"⚠ «Hacia» no existe",IF(AND(I430="Pago tarjeta",IFERROR(INDEX(ctaTipo,MATCH(G430,ctaNom,0)),"")&lt;&gt;"Tarjeta de crédito"),"⚠ «Hacia» debe ser la tarjeta",IF(AND(I430="Trading",IFERROR(INDEX(ctaTipo,MATCH(E430,ctaNom,0)),"")&lt;&gt;"Cuenta de trading"),"⚠ Usa la cuenta de trading","✓"))))))))))))</f>
        <v/>
      </c>
      <c r="I430" s="19">
        <f>IF(OR(B430="",C430="",D430=""),"",IFERROR(INDEX(catTipo,MATCH(D430,catNom,0))&amp;"",""))</f>
        <v/>
      </c>
      <c r="J430" s="19">
        <f>IF(I430="","",IFERROR(INDEX(catGrupo,MATCH(D430,catNom,0))&amp;"",""))</f>
        <v/>
      </c>
      <c r="K430" s="19">
        <f>IF(I430="Gasto",IF(IFERROR(INDEX(catClas,MATCH(D430,catNom,0))&amp;"","")="","Variable",IFERROR(INDEX(catClas,MATCH(D430,catNom,0))&amp;"","")),"")</f>
        <v/>
      </c>
      <c r="L430" s="19">
        <f>IF(I430="","",IFERROR(INDEX(catAlim,MATCH(D430,catNom,0))&amp;"",""))</f>
        <v/>
      </c>
      <c r="M430" s="19">
        <f>IF(I430="","",IFERROR(INDEX(catComida,MATCH(D430,catNom,0))&amp;"",""))</f>
        <v/>
      </c>
      <c r="N430" s="19">
        <f>IF(I430="","",IFERROR(INDEX(ctaMon,MATCH(E430,ctaNom,0))&amp;"","DOP"))</f>
        <v/>
      </c>
      <c r="O430" s="20">
        <f>IF(I430="","",C430*IF(N430="USD",TasaUSD,1))</f>
        <v/>
      </c>
      <c r="P430" s="20">
        <f>IF(I430="","",IF(I430="Gasto",O430,0))</f>
        <v/>
      </c>
      <c r="Q430" s="20">
        <f>IF(I430="","",IF(I430="Ingreso",O430,0))</f>
        <v/>
      </c>
      <c r="R430" s="20">
        <f>IF(I430="","",IF(I430="Trading",O430,0))</f>
        <v/>
      </c>
      <c r="S430" s="19">
        <f>IF(I430="","",IF(AND(I430="Gasto",K430="Variable",J430&lt;&gt;"Trading",O430&gt;0,O430&lt;=Umbral),1,0))</f>
        <v/>
      </c>
      <c r="T430" s="20">
        <f>IF(OR(I430="",E430=""),"",IF(OR(I430="Gasto",I430="Transferencia",I430="Pago tarjeta"),-1,1)*C430)</f>
        <v/>
      </c>
      <c r="U430" s="20">
        <f>IF(OR(G430="",AND(I430&lt;&gt;"Transferencia",I430&lt;&gt;"Pago tarjeta")),"",IF(IFERROR(INDEX(ctaMon,MATCH(G430,ctaNom,0))&amp;"","DOP")=N430,C430,IF(N430="USD",C430*TasaUSD,C430/TasaUSD)))</f>
        <v/>
      </c>
      <c r="V430" s="20">
        <f>IF(I430="","",IF(IFERROR(INDEX(ctaLiq,MATCH(E430,ctaNom,0))="Sí",FALSE),IF(OR(I430="Gasto",I430="Transferencia",I430="Pago tarjeta"),-1,1)*O430,0)+IF(AND(U430&lt;&gt;"",IFERROR(INDEX(ctaLiq,MATCH(G430,ctaNom,0))="Sí",FALSE)),O430,0))</f>
        <v/>
      </c>
      <c r="W430" s="19">
        <f>IF(OR(F430="",I430=""),"",IF(COUNTIFS(F$6:F430,F430,I$6:I430,"?*")=1,MAX(W$5:W429)+1,""))</f>
        <v/>
      </c>
    </row>
    <row r="431">
      <c r="B431" s="15" t="n"/>
      <c r="C431" s="16" t="n"/>
      <c r="D431" s="17" t="n"/>
      <c r="E431" s="17" t="n"/>
      <c r="F431" s="17" t="n"/>
      <c r="G431" s="17" t="n"/>
      <c r="H431" s="18">
        <f>IF(AND(B431="",C431="",D431="",E431=""),"",IF(B431="","⚠ Falta fecha",IF(C431="","⚠ Falta monto",IF(D431="","⚠ Falta categoría",IF(ISNA(MATCH(D431,catNom,0)),"⚠ Categoría no existe",IF(E431="","⚠ Falta cuenta",IF(ISNA(MATCH(E431,ctaNom,0)),"⚠ Cuenta no existe",IF(AND(OR(I431="Transferencia",I431="Pago tarjeta"),G431=""),"⚠ Indica la cuenta «Hacia»",IF(AND(G431&lt;&gt;"",G431=E431),"⚠ «Hacia» igual a la cuenta",IF(AND(G431&lt;&gt;"",ISNA(MATCH(G431,ctaNom,0))),"⚠ «Hacia» no existe",IF(AND(I431="Pago tarjeta",IFERROR(INDEX(ctaTipo,MATCH(G431,ctaNom,0)),"")&lt;&gt;"Tarjeta de crédito"),"⚠ «Hacia» debe ser la tarjeta",IF(AND(I431="Trading",IFERROR(INDEX(ctaTipo,MATCH(E431,ctaNom,0)),"")&lt;&gt;"Cuenta de trading"),"⚠ Usa la cuenta de trading","✓"))))))))))))</f>
        <v/>
      </c>
      <c r="I431" s="19">
        <f>IF(OR(B431="",C431="",D431=""),"",IFERROR(INDEX(catTipo,MATCH(D431,catNom,0))&amp;"",""))</f>
        <v/>
      </c>
      <c r="J431" s="19">
        <f>IF(I431="","",IFERROR(INDEX(catGrupo,MATCH(D431,catNom,0))&amp;"",""))</f>
        <v/>
      </c>
      <c r="K431" s="19">
        <f>IF(I431="Gasto",IF(IFERROR(INDEX(catClas,MATCH(D431,catNom,0))&amp;"","")="","Variable",IFERROR(INDEX(catClas,MATCH(D431,catNom,0))&amp;"","")),"")</f>
        <v/>
      </c>
      <c r="L431" s="19">
        <f>IF(I431="","",IFERROR(INDEX(catAlim,MATCH(D431,catNom,0))&amp;"",""))</f>
        <v/>
      </c>
      <c r="M431" s="19">
        <f>IF(I431="","",IFERROR(INDEX(catComida,MATCH(D431,catNom,0))&amp;"",""))</f>
        <v/>
      </c>
      <c r="N431" s="19">
        <f>IF(I431="","",IFERROR(INDEX(ctaMon,MATCH(E431,ctaNom,0))&amp;"","DOP"))</f>
        <v/>
      </c>
      <c r="O431" s="20">
        <f>IF(I431="","",C431*IF(N431="USD",TasaUSD,1))</f>
        <v/>
      </c>
      <c r="P431" s="20">
        <f>IF(I431="","",IF(I431="Gasto",O431,0))</f>
        <v/>
      </c>
      <c r="Q431" s="20">
        <f>IF(I431="","",IF(I431="Ingreso",O431,0))</f>
        <v/>
      </c>
      <c r="R431" s="20">
        <f>IF(I431="","",IF(I431="Trading",O431,0))</f>
        <v/>
      </c>
      <c r="S431" s="19">
        <f>IF(I431="","",IF(AND(I431="Gasto",K431="Variable",J431&lt;&gt;"Trading",O431&gt;0,O431&lt;=Umbral),1,0))</f>
        <v/>
      </c>
      <c r="T431" s="20">
        <f>IF(OR(I431="",E431=""),"",IF(OR(I431="Gasto",I431="Transferencia",I431="Pago tarjeta"),-1,1)*C431)</f>
        <v/>
      </c>
      <c r="U431" s="20">
        <f>IF(OR(G431="",AND(I431&lt;&gt;"Transferencia",I431&lt;&gt;"Pago tarjeta")),"",IF(IFERROR(INDEX(ctaMon,MATCH(G431,ctaNom,0))&amp;"","DOP")=N431,C431,IF(N431="USD",C431*TasaUSD,C431/TasaUSD)))</f>
        <v/>
      </c>
      <c r="V431" s="20">
        <f>IF(I431="","",IF(IFERROR(INDEX(ctaLiq,MATCH(E431,ctaNom,0))="Sí",FALSE),IF(OR(I431="Gasto",I431="Transferencia",I431="Pago tarjeta"),-1,1)*O431,0)+IF(AND(U431&lt;&gt;"",IFERROR(INDEX(ctaLiq,MATCH(G431,ctaNom,0))="Sí",FALSE)),O431,0))</f>
        <v/>
      </c>
      <c r="W431" s="19">
        <f>IF(OR(F431="",I431=""),"",IF(COUNTIFS(F$6:F431,F431,I$6:I431,"?*")=1,MAX(W$5:W430)+1,""))</f>
        <v/>
      </c>
    </row>
    <row r="432">
      <c r="B432" s="15" t="n"/>
      <c r="C432" s="16" t="n"/>
      <c r="D432" s="17" t="n"/>
      <c r="E432" s="17" t="n"/>
      <c r="F432" s="17" t="n"/>
      <c r="G432" s="17" t="n"/>
      <c r="H432" s="18">
        <f>IF(AND(B432="",C432="",D432="",E432=""),"",IF(B432="","⚠ Falta fecha",IF(C432="","⚠ Falta monto",IF(D432="","⚠ Falta categoría",IF(ISNA(MATCH(D432,catNom,0)),"⚠ Categoría no existe",IF(E432="","⚠ Falta cuenta",IF(ISNA(MATCH(E432,ctaNom,0)),"⚠ Cuenta no existe",IF(AND(OR(I432="Transferencia",I432="Pago tarjeta"),G432=""),"⚠ Indica la cuenta «Hacia»",IF(AND(G432&lt;&gt;"",G432=E432),"⚠ «Hacia» igual a la cuenta",IF(AND(G432&lt;&gt;"",ISNA(MATCH(G432,ctaNom,0))),"⚠ «Hacia» no existe",IF(AND(I432="Pago tarjeta",IFERROR(INDEX(ctaTipo,MATCH(G432,ctaNom,0)),"")&lt;&gt;"Tarjeta de crédito"),"⚠ «Hacia» debe ser la tarjeta",IF(AND(I432="Trading",IFERROR(INDEX(ctaTipo,MATCH(E432,ctaNom,0)),"")&lt;&gt;"Cuenta de trading"),"⚠ Usa la cuenta de trading","✓"))))))))))))</f>
        <v/>
      </c>
      <c r="I432" s="19">
        <f>IF(OR(B432="",C432="",D432=""),"",IFERROR(INDEX(catTipo,MATCH(D432,catNom,0))&amp;"",""))</f>
        <v/>
      </c>
      <c r="J432" s="19">
        <f>IF(I432="","",IFERROR(INDEX(catGrupo,MATCH(D432,catNom,0))&amp;"",""))</f>
        <v/>
      </c>
      <c r="K432" s="19">
        <f>IF(I432="Gasto",IF(IFERROR(INDEX(catClas,MATCH(D432,catNom,0))&amp;"","")="","Variable",IFERROR(INDEX(catClas,MATCH(D432,catNom,0))&amp;"","")),"")</f>
        <v/>
      </c>
      <c r="L432" s="19">
        <f>IF(I432="","",IFERROR(INDEX(catAlim,MATCH(D432,catNom,0))&amp;"",""))</f>
        <v/>
      </c>
      <c r="M432" s="19">
        <f>IF(I432="","",IFERROR(INDEX(catComida,MATCH(D432,catNom,0))&amp;"",""))</f>
        <v/>
      </c>
      <c r="N432" s="19">
        <f>IF(I432="","",IFERROR(INDEX(ctaMon,MATCH(E432,ctaNom,0))&amp;"","DOP"))</f>
        <v/>
      </c>
      <c r="O432" s="20">
        <f>IF(I432="","",C432*IF(N432="USD",TasaUSD,1))</f>
        <v/>
      </c>
      <c r="P432" s="20">
        <f>IF(I432="","",IF(I432="Gasto",O432,0))</f>
        <v/>
      </c>
      <c r="Q432" s="20">
        <f>IF(I432="","",IF(I432="Ingreso",O432,0))</f>
        <v/>
      </c>
      <c r="R432" s="20">
        <f>IF(I432="","",IF(I432="Trading",O432,0))</f>
        <v/>
      </c>
      <c r="S432" s="19">
        <f>IF(I432="","",IF(AND(I432="Gasto",K432="Variable",J432&lt;&gt;"Trading",O432&gt;0,O432&lt;=Umbral),1,0))</f>
        <v/>
      </c>
      <c r="T432" s="20">
        <f>IF(OR(I432="",E432=""),"",IF(OR(I432="Gasto",I432="Transferencia",I432="Pago tarjeta"),-1,1)*C432)</f>
        <v/>
      </c>
      <c r="U432" s="20">
        <f>IF(OR(G432="",AND(I432&lt;&gt;"Transferencia",I432&lt;&gt;"Pago tarjeta")),"",IF(IFERROR(INDEX(ctaMon,MATCH(G432,ctaNom,0))&amp;"","DOP")=N432,C432,IF(N432="USD",C432*TasaUSD,C432/TasaUSD)))</f>
        <v/>
      </c>
      <c r="V432" s="20">
        <f>IF(I432="","",IF(IFERROR(INDEX(ctaLiq,MATCH(E432,ctaNom,0))="Sí",FALSE),IF(OR(I432="Gasto",I432="Transferencia",I432="Pago tarjeta"),-1,1)*O432,0)+IF(AND(U432&lt;&gt;"",IFERROR(INDEX(ctaLiq,MATCH(G432,ctaNom,0))="Sí",FALSE)),O432,0))</f>
        <v/>
      </c>
      <c r="W432" s="19">
        <f>IF(OR(F432="",I432=""),"",IF(COUNTIFS(F$6:F432,F432,I$6:I432,"?*")=1,MAX(W$5:W431)+1,""))</f>
        <v/>
      </c>
    </row>
    <row r="433">
      <c r="B433" s="15" t="n"/>
      <c r="C433" s="16" t="n"/>
      <c r="D433" s="17" t="n"/>
      <c r="E433" s="17" t="n"/>
      <c r="F433" s="17" t="n"/>
      <c r="G433" s="17" t="n"/>
      <c r="H433" s="18">
        <f>IF(AND(B433="",C433="",D433="",E433=""),"",IF(B433="","⚠ Falta fecha",IF(C433="","⚠ Falta monto",IF(D433="","⚠ Falta categoría",IF(ISNA(MATCH(D433,catNom,0)),"⚠ Categoría no existe",IF(E433="","⚠ Falta cuenta",IF(ISNA(MATCH(E433,ctaNom,0)),"⚠ Cuenta no existe",IF(AND(OR(I433="Transferencia",I433="Pago tarjeta"),G433=""),"⚠ Indica la cuenta «Hacia»",IF(AND(G433&lt;&gt;"",G433=E433),"⚠ «Hacia» igual a la cuenta",IF(AND(G433&lt;&gt;"",ISNA(MATCH(G433,ctaNom,0))),"⚠ «Hacia» no existe",IF(AND(I433="Pago tarjeta",IFERROR(INDEX(ctaTipo,MATCH(G433,ctaNom,0)),"")&lt;&gt;"Tarjeta de crédito"),"⚠ «Hacia» debe ser la tarjeta",IF(AND(I433="Trading",IFERROR(INDEX(ctaTipo,MATCH(E433,ctaNom,0)),"")&lt;&gt;"Cuenta de trading"),"⚠ Usa la cuenta de trading","✓"))))))))))))</f>
        <v/>
      </c>
      <c r="I433" s="19">
        <f>IF(OR(B433="",C433="",D433=""),"",IFERROR(INDEX(catTipo,MATCH(D433,catNom,0))&amp;"",""))</f>
        <v/>
      </c>
      <c r="J433" s="19">
        <f>IF(I433="","",IFERROR(INDEX(catGrupo,MATCH(D433,catNom,0))&amp;"",""))</f>
        <v/>
      </c>
      <c r="K433" s="19">
        <f>IF(I433="Gasto",IF(IFERROR(INDEX(catClas,MATCH(D433,catNom,0))&amp;"","")="","Variable",IFERROR(INDEX(catClas,MATCH(D433,catNom,0))&amp;"","")),"")</f>
        <v/>
      </c>
      <c r="L433" s="19">
        <f>IF(I433="","",IFERROR(INDEX(catAlim,MATCH(D433,catNom,0))&amp;"",""))</f>
        <v/>
      </c>
      <c r="M433" s="19">
        <f>IF(I433="","",IFERROR(INDEX(catComida,MATCH(D433,catNom,0))&amp;"",""))</f>
        <v/>
      </c>
      <c r="N433" s="19">
        <f>IF(I433="","",IFERROR(INDEX(ctaMon,MATCH(E433,ctaNom,0))&amp;"","DOP"))</f>
        <v/>
      </c>
      <c r="O433" s="20">
        <f>IF(I433="","",C433*IF(N433="USD",TasaUSD,1))</f>
        <v/>
      </c>
      <c r="P433" s="20">
        <f>IF(I433="","",IF(I433="Gasto",O433,0))</f>
        <v/>
      </c>
      <c r="Q433" s="20">
        <f>IF(I433="","",IF(I433="Ingreso",O433,0))</f>
        <v/>
      </c>
      <c r="R433" s="20">
        <f>IF(I433="","",IF(I433="Trading",O433,0))</f>
        <v/>
      </c>
      <c r="S433" s="19">
        <f>IF(I433="","",IF(AND(I433="Gasto",K433="Variable",J433&lt;&gt;"Trading",O433&gt;0,O433&lt;=Umbral),1,0))</f>
        <v/>
      </c>
      <c r="T433" s="20">
        <f>IF(OR(I433="",E433=""),"",IF(OR(I433="Gasto",I433="Transferencia",I433="Pago tarjeta"),-1,1)*C433)</f>
        <v/>
      </c>
      <c r="U433" s="20">
        <f>IF(OR(G433="",AND(I433&lt;&gt;"Transferencia",I433&lt;&gt;"Pago tarjeta")),"",IF(IFERROR(INDEX(ctaMon,MATCH(G433,ctaNom,0))&amp;"","DOP")=N433,C433,IF(N433="USD",C433*TasaUSD,C433/TasaUSD)))</f>
        <v/>
      </c>
      <c r="V433" s="20">
        <f>IF(I433="","",IF(IFERROR(INDEX(ctaLiq,MATCH(E433,ctaNom,0))="Sí",FALSE),IF(OR(I433="Gasto",I433="Transferencia",I433="Pago tarjeta"),-1,1)*O433,0)+IF(AND(U433&lt;&gt;"",IFERROR(INDEX(ctaLiq,MATCH(G433,ctaNom,0))="Sí",FALSE)),O433,0))</f>
        <v/>
      </c>
      <c r="W433" s="19">
        <f>IF(OR(F433="",I433=""),"",IF(COUNTIFS(F$6:F433,F433,I$6:I433,"?*")=1,MAX(W$5:W432)+1,""))</f>
        <v/>
      </c>
    </row>
    <row r="434">
      <c r="B434" s="15" t="n"/>
      <c r="C434" s="16" t="n"/>
      <c r="D434" s="17" t="n"/>
      <c r="E434" s="17" t="n"/>
      <c r="F434" s="17" t="n"/>
      <c r="G434" s="17" t="n"/>
      <c r="H434" s="18">
        <f>IF(AND(B434="",C434="",D434="",E434=""),"",IF(B434="","⚠ Falta fecha",IF(C434="","⚠ Falta monto",IF(D434="","⚠ Falta categoría",IF(ISNA(MATCH(D434,catNom,0)),"⚠ Categoría no existe",IF(E434="","⚠ Falta cuenta",IF(ISNA(MATCH(E434,ctaNom,0)),"⚠ Cuenta no existe",IF(AND(OR(I434="Transferencia",I434="Pago tarjeta"),G434=""),"⚠ Indica la cuenta «Hacia»",IF(AND(G434&lt;&gt;"",G434=E434),"⚠ «Hacia» igual a la cuenta",IF(AND(G434&lt;&gt;"",ISNA(MATCH(G434,ctaNom,0))),"⚠ «Hacia» no existe",IF(AND(I434="Pago tarjeta",IFERROR(INDEX(ctaTipo,MATCH(G434,ctaNom,0)),"")&lt;&gt;"Tarjeta de crédito"),"⚠ «Hacia» debe ser la tarjeta",IF(AND(I434="Trading",IFERROR(INDEX(ctaTipo,MATCH(E434,ctaNom,0)),"")&lt;&gt;"Cuenta de trading"),"⚠ Usa la cuenta de trading","✓"))))))))))))</f>
        <v/>
      </c>
      <c r="I434" s="19">
        <f>IF(OR(B434="",C434="",D434=""),"",IFERROR(INDEX(catTipo,MATCH(D434,catNom,0))&amp;"",""))</f>
        <v/>
      </c>
      <c r="J434" s="19">
        <f>IF(I434="","",IFERROR(INDEX(catGrupo,MATCH(D434,catNom,0))&amp;"",""))</f>
        <v/>
      </c>
      <c r="K434" s="19">
        <f>IF(I434="Gasto",IF(IFERROR(INDEX(catClas,MATCH(D434,catNom,0))&amp;"","")="","Variable",IFERROR(INDEX(catClas,MATCH(D434,catNom,0))&amp;"","")),"")</f>
        <v/>
      </c>
      <c r="L434" s="19">
        <f>IF(I434="","",IFERROR(INDEX(catAlim,MATCH(D434,catNom,0))&amp;"",""))</f>
        <v/>
      </c>
      <c r="M434" s="19">
        <f>IF(I434="","",IFERROR(INDEX(catComida,MATCH(D434,catNom,0))&amp;"",""))</f>
        <v/>
      </c>
      <c r="N434" s="19">
        <f>IF(I434="","",IFERROR(INDEX(ctaMon,MATCH(E434,ctaNom,0))&amp;"","DOP"))</f>
        <v/>
      </c>
      <c r="O434" s="20">
        <f>IF(I434="","",C434*IF(N434="USD",TasaUSD,1))</f>
        <v/>
      </c>
      <c r="P434" s="20">
        <f>IF(I434="","",IF(I434="Gasto",O434,0))</f>
        <v/>
      </c>
      <c r="Q434" s="20">
        <f>IF(I434="","",IF(I434="Ingreso",O434,0))</f>
        <v/>
      </c>
      <c r="R434" s="20">
        <f>IF(I434="","",IF(I434="Trading",O434,0))</f>
        <v/>
      </c>
      <c r="S434" s="19">
        <f>IF(I434="","",IF(AND(I434="Gasto",K434="Variable",J434&lt;&gt;"Trading",O434&gt;0,O434&lt;=Umbral),1,0))</f>
        <v/>
      </c>
      <c r="T434" s="20">
        <f>IF(OR(I434="",E434=""),"",IF(OR(I434="Gasto",I434="Transferencia",I434="Pago tarjeta"),-1,1)*C434)</f>
        <v/>
      </c>
      <c r="U434" s="20">
        <f>IF(OR(G434="",AND(I434&lt;&gt;"Transferencia",I434&lt;&gt;"Pago tarjeta")),"",IF(IFERROR(INDEX(ctaMon,MATCH(G434,ctaNom,0))&amp;"","DOP")=N434,C434,IF(N434="USD",C434*TasaUSD,C434/TasaUSD)))</f>
        <v/>
      </c>
      <c r="V434" s="20">
        <f>IF(I434="","",IF(IFERROR(INDEX(ctaLiq,MATCH(E434,ctaNom,0))="Sí",FALSE),IF(OR(I434="Gasto",I434="Transferencia",I434="Pago tarjeta"),-1,1)*O434,0)+IF(AND(U434&lt;&gt;"",IFERROR(INDEX(ctaLiq,MATCH(G434,ctaNom,0))="Sí",FALSE)),O434,0))</f>
        <v/>
      </c>
      <c r="W434" s="19">
        <f>IF(OR(F434="",I434=""),"",IF(COUNTIFS(F$6:F434,F434,I$6:I434,"?*")=1,MAX(W$5:W433)+1,""))</f>
        <v/>
      </c>
    </row>
    <row r="435">
      <c r="B435" s="15" t="n"/>
      <c r="C435" s="16" t="n"/>
      <c r="D435" s="17" t="n"/>
      <c r="E435" s="17" t="n"/>
      <c r="F435" s="17" t="n"/>
      <c r="G435" s="17" t="n"/>
      <c r="H435" s="18">
        <f>IF(AND(B435="",C435="",D435="",E435=""),"",IF(B435="","⚠ Falta fecha",IF(C435="","⚠ Falta monto",IF(D435="","⚠ Falta categoría",IF(ISNA(MATCH(D435,catNom,0)),"⚠ Categoría no existe",IF(E435="","⚠ Falta cuenta",IF(ISNA(MATCH(E435,ctaNom,0)),"⚠ Cuenta no existe",IF(AND(OR(I435="Transferencia",I435="Pago tarjeta"),G435=""),"⚠ Indica la cuenta «Hacia»",IF(AND(G435&lt;&gt;"",G435=E435),"⚠ «Hacia» igual a la cuenta",IF(AND(G435&lt;&gt;"",ISNA(MATCH(G435,ctaNom,0))),"⚠ «Hacia» no existe",IF(AND(I435="Pago tarjeta",IFERROR(INDEX(ctaTipo,MATCH(G435,ctaNom,0)),"")&lt;&gt;"Tarjeta de crédito"),"⚠ «Hacia» debe ser la tarjeta",IF(AND(I435="Trading",IFERROR(INDEX(ctaTipo,MATCH(E435,ctaNom,0)),"")&lt;&gt;"Cuenta de trading"),"⚠ Usa la cuenta de trading","✓"))))))))))))</f>
        <v/>
      </c>
      <c r="I435" s="19">
        <f>IF(OR(B435="",C435="",D435=""),"",IFERROR(INDEX(catTipo,MATCH(D435,catNom,0))&amp;"",""))</f>
        <v/>
      </c>
      <c r="J435" s="19">
        <f>IF(I435="","",IFERROR(INDEX(catGrupo,MATCH(D435,catNom,0))&amp;"",""))</f>
        <v/>
      </c>
      <c r="K435" s="19">
        <f>IF(I435="Gasto",IF(IFERROR(INDEX(catClas,MATCH(D435,catNom,0))&amp;"","")="","Variable",IFERROR(INDEX(catClas,MATCH(D435,catNom,0))&amp;"","")),"")</f>
        <v/>
      </c>
      <c r="L435" s="19">
        <f>IF(I435="","",IFERROR(INDEX(catAlim,MATCH(D435,catNom,0))&amp;"",""))</f>
        <v/>
      </c>
      <c r="M435" s="19">
        <f>IF(I435="","",IFERROR(INDEX(catComida,MATCH(D435,catNom,0))&amp;"",""))</f>
        <v/>
      </c>
      <c r="N435" s="19">
        <f>IF(I435="","",IFERROR(INDEX(ctaMon,MATCH(E435,ctaNom,0))&amp;"","DOP"))</f>
        <v/>
      </c>
      <c r="O435" s="20">
        <f>IF(I435="","",C435*IF(N435="USD",TasaUSD,1))</f>
        <v/>
      </c>
      <c r="P435" s="20">
        <f>IF(I435="","",IF(I435="Gasto",O435,0))</f>
        <v/>
      </c>
      <c r="Q435" s="20">
        <f>IF(I435="","",IF(I435="Ingreso",O435,0))</f>
        <v/>
      </c>
      <c r="R435" s="20">
        <f>IF(I435="","",IF(I435="Trading",O435,0))</f>
        <v/>
      </c>
      <c r="S435" s="19">
        <f>IF(I435="","",IF(AND(I435="Gasto",K435="Variable",J435&lt;&gt;"Trading",O435&gt;0,O435&lt;=Umbral),1,0))</f>
        <v/>
      </c>
      <c r="T435" s="20">
        <f>IF(OR(I435="",E435=""),"",IF(OR(I435="Gasto",I435="Transferencia",I435="Pago tarjeta"),-1,1)*C435)</f>
        <v/>
      </c>
      <c r="U435" s="20">
        <f>IF(OR(G435="",AND(I435&lt;&gt;"Transferencia",I435&lt;&gt;"Pago tarjeta")),"",IF(IFERROR(INDEX(ctaMon,MATCH(G435,ctaNom,0))&amp;"","DOP")=N435,C435,IF(N435="USD",C435*TasaUSD,C435/TasaUSD)))</f>
        <v/>
      </c>
      <c r="V435" s="20">
        <f>IF(I435="","",IF(IFERROR(INDEX(ctaLiq,MATCH(E435,ctaNom,0))="Sí",FALSE),IF(OR(I435="Gasto",I435="Transferencia",I435="Pago tarjeta"),-1,1)*O435,0)+IF(AND(U435&lt;&gt;"",IFERROR(INDEX(ctaLiq,MATCH(G435,ctaNom,0))="Sí",FALSE)),O435,0))</f>
        <v/>
      </c>
      <c r="W435" s="19">
        <f>IF(OR(F435="",I435=""),"",IF(COUNTIFS(F$6:F435,F435,I$6:I435,"?*")=1,MAX(W$5:W434)+1,""))</f>
        <v/>
      </c>
    </row>
    <row r="436">
      <c r="B436" s="15" t="n"/>
      <c r="C436" s="16" t="n"/>
      <c r="D436" s="17" t="n"/>
      <c r="E436" s="17" t="n"/>
      <c r="F436" s="17" t="n"/>
      <c r="G436" s="17" t="n"/>
      <c r="H436" s="18">
        <f>IF(AND(B436="",C436="",D436="",E436=""),"",IF(B436="","⚠ Falta fecha",IF(C436="","⚠ Falta monto",IF(D436="","⚠ Falta categoría",IF(ISNA(MATCH(D436,catNom,0)),"⚠ Categoría no existe",IF(E436="","⚠ Falta cuenta",IF(ISNA(MATCH(E436,ctaNom,0)),"⚠ Cuenta no existe",IF(AND(OR(I436="Transferencia",I436="Pago tarjeta"),G436=""),"⚠ Indica la cuenta «Hacia»",IF(AND(G436&lt;&gt;"",G436=E436),"⚠ «Hacia» igual a la cuenta",IF(AND(G436&lt;&gt;"",ISNA(MATCH(G436,ctaNom,0))),"⚠ «Hacia» no existe",IF(AND(I436="Pago tarjeta",IFERROR(INDEX(ctaTipo,MATCH(G436,ctaNom,0)),"")&lt;&gt;"Tarjeta de crédito"),"⚠ «Hacia» debe ser la tarjeta",IF(AND(I436="Trading",IFERROR(INDEX(ctaTipo,MATCH(E436,ctaNom,0)),"")&lt;&gt;"Cuenta de trading"),"⚠ Usa la cuenta de trading","✓"))))))))))))</f>
        <v/>
      </c>
      <c r="I436" s="19">
        <f>IF(OR(B436="",C436="",D436=""),"",IFERROR(INDEX(catTipo,MATCH(D436,catNom,0))&amp;"",""))</f>
        <v/>
      </c>
      <c r="J436" s="19">
        <f>IF(I436="","",IFERROR(INDEX(catGrupo,MATCH(D436,catNom,0))&amp;"",""))</f>
        <v/>
      </c>
      <c r="K436" s="19">
        <f>IF(I436="Gasto",IF(IFERROR(INDEX(catClas,MATCH(D436,catNom,0))&amp;"","")="","Variable",IFERROR(INDEX(catClas,MATCH(D436,catNom,0))&amp;"","")),"")</f>
        <v/>
      </c>
      <c r="L436" s="19">
        <f>IF(I436="","",IFERROR(INDEX(catAlim,MATCH(D436,catNom,0))&amp;"",""))</f>
        <v/>
      </c>
      <c r="M436" s="19">
        <f>IF(I436="","",IFERROR(INDEX(catComida,MATCH(D436,catNom,0))&amp;"",""))</f>
        <v/>
      </c>
      <c r="N436" s="19">
        <f>IF(I436="","",IFERROR(INDEX(ctaMon,MATCH(E436,ctaNom,0))&amp;"","DOP"))</f>
        <v/>
      </c>
      <c r="O436" s="20">
        <f>IF(I436="","",C436*IF(N436="USD",TasaUSD,1))</f>
        <v/>
      </c>
      <c r="P436" s="20">
        <f>IF(I436="","",IF(I436="Gasto",O436,0))</f>
        <v/>
      </c>
      <c r="Q436" s="20">
        <f>IF(I436="","",IF(I436="Ingreso",O436,0))</f>
        <v/>
      </c>
      <c r="R436" s="20">
        <f>IF(I436="","",IF(I436="Trading",O436,0))</f>
        <v/>
      </c>
      <c r="S436" s="19">
        <f>IF(I436="","",IF(AND(I436="Gasto",K436="Variable",J436&lt;&gt;"Trading",O436&gt;0,O436&lt;=Umbral),1,0))</f>
        <v/>
      </c>
      <c r="T436" s="20">
        <f>IF(OR(I436="",E436=""),"",IF(OR(I436="Gasto",I436="Transferencia",I436="Pago tarjeta"),-1,1)*C436)</f>
        <v/>
      </c>
      <c r="U436" s="20">
        <f>IF(OR(G436="",AND(I436&lt;&gt;"Transferencia",I436&lt;&gt;"Pago tarjeta")),"",IF(IFERROR(INDEX(ctaMon,MATCH(G436,ctaNom,0))&amp;"","DOP")=N436,C436,IF(N436="USD",C436*TasaUSD,C436/TasaUSD)))</f>
        <v/>
      </c>
      <c r="V436" s="20">
        <f>IF(I436="","",IF(IFERROR(INDEX(ctaLiq,MATCH(E436,ctaNom,0))="Sí",FALSE),IF(OR(I436="Gasto",I436="Transferencia",I436="Pago tarjeta"),-1,1)*O436,0)+IF(AND(U436&lt;&gt;"",IFERROR(INDEX(ctaLiq,MATCH(G436,ctaNom,0))="Sí",FALSE)),O436,0))</f>
        <v/>
      </c>
      <c r="W436" s="19">
        <f>IF(OR(F436="",I436=""),"",IF(COUNTIFS(F$6:F436,F436,I$6:I436,"?*")=1,MAX(W$5:W435)+1,""))</f>
        <v/>
      </c>
    </row>
    <row r="437">
      <c r="B437" s="15" t="n"/>
      <c r="C437" s="16" t="n"/>
      <c r="D437" s="17" t="n"/>
      <c r="E437" s="17" t="n"/>
      <c r="F437" s="17" t="n"/>
      <c r="G437" s="17" t="n"/>
      <c r="H437" s="18">
        <f>IF(AND(B437="",C437="",D437="",E437=""),"",IF(B437="","⚠ Falta fecha",IF(C437="","⚠ Falta monto",IF(D437="","⚠ Falta categoría",IF(ISNA(MATCH(D437,catNom,0)),"⚠ Categoría no existe",IF(E437="","⚠ Falta cuenta",IF(ISNA(MATCH(E437,ctaNom,0)),"⚠ Cuenta no existe",IF(AND(OR(I437="Transferencia",I437="Pago tarjeta"),G437=""),"⚠ Indica la cuenta «Hacia»",IF(AND(G437&lt;&gt;"",G437=E437),"⚠ «Hacia» igual a la cuenta",IF(AND(G437&lt;&gt;"",ISNA(MATCH(G437,ctaNom,0))),"⚠ «Hacia» no existe",IF(AND(I437="Pago tarjeta",IFERROR(INDEX(ctaTipo,MATCH(G437,ctaNom,0)),"")&lt;&gt;"Tarjeta de crédito"),"⚠ «Hacia» debe ser la tarjeta",IF(AND(I437="Trading",IFERROR(INDEX(ctaTipo,MATCH(E437,ctaNom,0)),"")&lt;&gt;"Cuenta de trading"),"⚠ Usa la cuenta de trading","✓"))))))))))))</f>
        <v/>
      </c>
      <c r="I437" s="19">
        <f>IF(OR(B437="",C437="",D437=""),"",IFERROR(INDEX(catTipo,MATCH(D437,catNom,0))&amp;"",""))</f>
        <v/>
      </c>
      <c r="J437" s="19">
        <f>IF(I437="","",IFERROR(INDEX(catGrupo,MATCH(D437,catNom,0))&amp;"",""))</f>
        <v/>
      </c>
      <c r="K437" s="19">
        <f>IF(I437="Gasto",IF(IFERROR(INDEX(catClas,MATCH(D437,catNom,0))&amp;"","")="","Variable",IFERROR(INDEX(catClas,MATCH(D437,catNom,0))&amp;"","")),"")</f>
        <v/>
      </c>
      <c r="L437" s="19">
        <f>IF(I437="","",IFERROR(INDEX(catAlim,MATCH(D437,catNom,0))&amp;"",""))</f>
        <v/>
      </c>
      <c r="M437" s="19">
        <f>IF(I437="","",IFERROR(INDEX(catComida,MATCH(D437,catNom,0))&amp;"",""))</f>
        <v/>
      </c>
      <c r="N437" s="19">
        <f>IF(I437="","",IFERROR(INDEX(ctaMon,MATCH(E437,ctaNom,0))&amp;"","DOP"))</f>
        <v/>
      </c>
      <c r="O437" s="20">
        <f>IF(I437="","",C437*IF(N437="USD",TasaUSD,1))</f>
        <v/>
      </c>
      <c r="P437" s="20">
        <f>IF(I437="","",IF(I437="Gasto",O437,0))</f>
        <v/>
      </c>
      <c r="Q437" s="20">
        <f>IF(I437="","",IF(I437="Ingreso",O437,0))</f>
        <v/>
      </c>
      <c r="R437" s="20">
        <f>IF(I437="","",IF(I437="Trading",O437,0))</f>
        <v/>
      </c>
      <c r="S437" s="19">
        <f>IF(I437="","",IF(AND(I437="Gasto",K437="Variable",J437&lt;&gt;"Trading",O437&gt;0,O437&lt;=Umbral),1,0))</f>
        <v/>
      </c>
      <c r="T437" s="20">
        <f>IF(OR(I437="",E437=""),"",IF(OR(I437="Gasto",I437="Transferencia",I437="Pago tarjeta"),-1,1)*C437)</f>
        <v/>
      </c>
      <c r="U437" s="20">
        <f>IF(OR(G437="",AND(I437&lt;&gt;"Transferencia",I437&lt;&gt;"Pago tarjeta")),"",IF(IFERROR(INDEX(ctaMon,MATCH(G437,ctaNom,0))&amp;"","DOP")=N437,C437,IF(N437="USD",C437*TasaUSD,C437/TasaUSD)))</f>
        <v/>
      </c>
      <c r="V437" s="20">
        <f>IF(I437="","",IF(IFERROR(INDEX(ctaLiq,MATCH(E437,ctaNom,0))="Sí",FALSE),IF(OR(I437="Gasto",I437="Transferencia",I437="Pago tarjeta"),-1,1)*O437,0)+IF(AND(U437&lt;&gt;"",IFERROR(INDEX(ctaLiq,MATCH(G437,ctaNom,0))="Sí",FALSE)),O437,0))</f>
        <v/>
      </c>
      <c r="W437" s="19">
        <f>IF(OR(F437="",I437=""),"",IF(COUNTIFS(F$6:F437,F437,I$6:I437,"?*")=1,MAX(W$5:W436)+1,""))</f>
        <v/>
      </c>
    </row>
    <row r="438">
      <c r="B438" s="15" t="n"/>
      <c r="C438" s="16" t="n"/>
      <c r="D438" s="17" t="n"/>
      <c r="E438" s="17" t="n"/>
      <c r="F438" s="17" t="n"/>
      <c r="G438" s="17" t="n"/>
      <c r="H438" s="18">
        <f>IF(AND(B438="",C438="",D438="",E438=""),"",IF(B438="","⚠ Falta fecha",IF(C438="","⚠ Falta monto",IF(D438="","⚠ Falta categoría",IF(ISNA(MATCH(D438,catNom,0)),"⚠ Categoría no existe",IF(E438="","⚠ Falta cuenta",IF(ISNA(MATCH(E438,ctaNom,0)),"⚠ Cuenta no existe",IF(AND(OR(I438="Transferencia",I438="Pago tarjeta"),G438=""),"⚠ Indica la cuenta «Hacia»",IF(AND(G438&lt;&gt;"",G438=E438),"⚠ «Hacia» igual a la cuenta",IF(AND(G438&lt;&gt;"",ISNA(MATCH(G438,ctaNom,0))),"⚠ «Hacia» no existe",IF(AND(I438="Pago tarjeta",IFERROR(INDEX(ctaTipo,MATCH(G438,ctaNom,0)),"")&lt;&gt;"Tarjeta de crédito"),"⚠ «Hacia» debe ser la tarjeta",IF(AND(I438="Trading",IFERROR(INDEX(ctaTipo,MATCH(E438,ctaNom,0)),"")&lt;&gt;"Cuenta de trading"),"⚠ Usa la cuenta de trading","✓"))))))))))))</f>
        <v/>
      </c>
      <c r="I438" s="19">
        <f>IF(OR(B438="",C438="",D438=""),"",IFERROR(INDEX(catTipo,MATCH(D438,catNom,0))&amp;"",""))</f>
        <v/>
      </c>
      <c r="J438" s="19">
        <f>IF(I438="","",IFERROR(INDEX(catGrupo,MATCH(D438,catNom,0))&amp;"",""))</f>
        <v/>
      </c>
      <c r="K438" s="19">
        <f>IF(I438="Gasto",IF(IFERROR(INDEX(catClas,MATCH(D438,catNom,0))&amp;"","")="","Variable",IFERROR(INDEX(catClas,MATCH(D438,catNom,0))&amp;"","")),"")</f>
        <v/>
      </c>
      <c r="L438" s="19">
        <f>IF(I438="","",IFERROR(INDEX(catAlim,MATCH(D438,catNom,0))&amp;"",""))</f>
        <v/>
      </c>
      <c r="M438" s="19">
        <f>IF(I438="","",IFERROR(INDEX(catComida,MATCH(D438,catNom,0))&amp;"",""))</f>
        <v/>
      </c>
      <c r="N438" s="19">
        <f>IF(I438="","",IFERROR(INDEX(ctaMon,MATCH(E438,ctaNom,0))&amp;"","DOP"))</f>
        <v/>
      </c>
      <c r="O438" s="20">
        <f>IF(I438="","",C438*IF(N438="USD",TasaUSD,1))</f>
        <v/>
      </c>
      <c r="P438" s="20">
        <f>IF(I438="","",IF(I438="Gasto",O438,0))</f>
        <v/>
      </c>
      <c r="Q438" s="20">
        <f>IF(I438="","",IF(I438="Ingreso",O438,0))</f>
        <v/>
      </c>
      <c r="R438" s="20">
        <f>IF(I438="","",IF(I438="Trading",O438,0))</f>
        <v/>
      </c>
      <c r="S438" s="19">
        <f>IF(I438="","",IF(AND(I438="Gasto",K438="Variable",J438&lt;&gt;"Trading",O438&gt;0,O438&lt;=Umbral),1,0))</f>
        <v/>
      </c>
      <c r="T438" s="20">
        <f>IF(OR(I438="",E438=""),"",IF(OR(I438="Gasto",I438="Transferencia",I438="Pago tarjeta"),-1,1)*C438)</f>
        <v/>
      </c>
      <c r="U438" s="20">
        <f>IF(OR(G438="",AND(I438&lt;&gt;"Transferencia",I438&lt;&gt;"Pago tarjeta")),"",IF(IFERROR(INDEX(ctaMon,MATCH(G438,ctaNom,0))&amp;"","DOP")=N438,C438,IF(N438="USD",C438*TasaUSD,C438/TasaUSD)))</f>
        <v/>
      </c>
      <c r="V438" s="20">
        <f>IF(I438="","",IF(IFERROR(INDEX(ctaLiq,MATCH(E438,ctaNom,0))="Sí",FALSE),IF(OR(I438="Gasto",I438="Transferencia",I438="Pago tarjeta"),-1,1)*O438,0)+IF(AND(U438&lt;&gt;"",IFERROR(INDEX(ctaLiq,MATCH(G438,ctaNom,0))="Sí",FALSE)),O438,0))</f>
        <v/>
      </c>
      <c r="W438" s="19">
        <f>IF(OR(F438="",I438=""),"",IF(COUNTIFS(F$6:F438,F438,I$6:I438,"?*")=1,MAX(W$5:W437)+1,""))</f>
        <v/>
      </c>
    </row>
    <row r="439">
      <c r="B439" s="15" t="n"/>
      <c r="C439" s="16" t="n"/>
      <c r="D439" s="17" t="n"/>
      <c r="E439" s="17" t="n"/>
      <c r="F439" s="17" t="n"/>
      <c r="G439" s="17" t="n"/>
      <c r="H439" s="18">
        <f>IF(AND(B439="",C439="",D439="",E439=""),"",IF(B439="","⚠ Falta fecha",IF(C439="","⚠ Falta monto",IF(D439="","⚠ Falta categoría",IF(ISNA(MATCH(D439,catNom,0)),"⚠ Categoría no existe",IF(E439="","⚠ Falta cuenta",IF(ISNA(MATCH(E439,ctaNom,0)),"⚠ Cuenta no existe",IF(AND(OR(I439="Transferencia",I439="Pago tarjeta"),G439=""),"⚠ Indica la cuenta «Hacia»",IF(AND(G439&lt;&gt;"",G439=E439),"⚠ «Hacia» igual a la cuenta",IF(AND(G439&lt;&gt;"",ISNA(MATCH(G439,ctaNom,0))),"⚠ «Hacia» no existe",IF(AND(I439="Pago tarjeta",IFERROR(INDEX(ctaTipo,MATCH(G439,ctaNom,0)),"")&lt;&gt;"Tarjeta de crédito"),"⚠ «Hacia» debe ser la tarjeta",IF(AND(I439="Trading",IFERROR(INDEX(ctaTipo,MATCH(E439,ctaNom,0)),"")&lt;&gt;"Cuenta de trading"),"⚠ Usa la cuenta de trading","✓"))))))))))))</f>
        <v/>
      </c>
      <c r="I439" s="19">
        <f>IF(OR(B439="",C439="",D439=""),"",IFERROR(INDEX(catTipo,MATCH(D439,catNom,0))&amp;"",""))</f>
        <v/>
      </c>
      <c r="J439" s="19">
        <f>IF(I439="","",IFERROR(INDEX(catGrupo,MATCH(D439,catNom,0))&amp;"",""))</f>
        <v/>
      </c>
      <c r="K439" s="19">
        <f>IF(I439="Gasto",IF(IFERROR(INDEX(catClas,MATCH(D439,catNom,0))&amp;"","")="","Variable",IFERROR(INDEX(catClas,MATCH(D439,catNom,0))&amp;"","")),"")</f>
        <v/>
      </c>
      <c r="L439" s="19">
        <f>IF(I439="","",IFERROR(INDEX(catAlim,MATCH(D439,catNom,0))&amp;"",""))</f>
        <v/>
      </c>
      <c r="M439" s="19">
        <f>IF(I439="","",IFERROR(INDEX(catComida,MATCH(D439,catNom,0))&amp;"",""))</f>
        <v/>
      </c>
      <c r="N439" s="19">
        <f>IF(I439="","",IFERROR(INDEX(ctaMon,MATCH(E439,ctaNom,0))&amp;"","DOP"))</f>
        <v/>
      </c>
      <c r="O439" s="20">
        <f>IF(I439="","",C439*IF(N439="USD",TasaUSD,1))</f>
        <v/>
      </c>
      <c r="P439" s="20">
        <f>IF(I439="","",IF(I439="Gasto",O439,0))</f>
        <v/>
      </c>
      <c r="Q439" s="20">
        <f>IF(I439="","",IF(I439="Ingreso",O439,0))</f>
        <v/>
      </c>
      <c r="R439" s="20">
        <f>IF(I439="","",IF(I439="Trading",O439,0))</f>
        <v/>
      </c>
      <c r="S439" s="19">
        <f>IF(I439="","",IF(AND(I439="Gasto",K439="Variable",J439&lt;&gt;"Trading",O439&gt;0,O439&lt;=Umbral),1,0))</f>
        <v/>
      </c>
      <c r="T439" s="20">
        <f>IF(OR(I439="",E439=""),"",IF(OR(I439="Gasto",I439="Transferencia",I439="Pago tarjeta"),-1,1)*C439)</f>
        <v/>
      </c>
      <c r="U439" s="20">
        <f>IF(OR(G439="",AND(I439&lt;&gt;"Transferencia",I439&lt;&gt;"Pago tarjeta")),"",IF(IFERROR(INDEX(ctaMon,MATCH(G439,ctaNom,0))&amp;"","DOP")=N439,C439,IF(N439="USD",C439*TasaUSD,C439/TasaUSD)))</f>
        <v/>
      </c>
      <c r="V439" s="20">
        <f>IF(I439="","",IF(IFERROR(INDEX(ctaLiq,MATCH(E439,ctaNom,0))="Sí",FALSE),IF(OR(I439="Gasto",I439="Transferencia",I439="Pago tarjeta"),-1,1)*O439,0)+IF(AND(U439&lt;&gt;"",IFERROR(INDEX(ctaLiq,MATCH(G439,ctaNom,0))="Sí",FALSE)),O439,0))</f>
        <v/>
      </c>
      <c r="W439" s="19">
        <f>IF(OR(F439="",I439=""),"",IF(COUNTIFS(F$6:F439,F439,I$6:I439,"?*")=1,MAX(W$5:W438)+1,""))</f>
        <v/>
      </c>
    </row>
    <row r="440">
      <c r="B440" s="15" t="n"/>
      <c r="C440" s="16" t="n"/>
      <c r="D440" s="17" t="n"/>
      <c r="E440" s="17" t="n"/>
      <c r="F440" s="17" t="n"/>
      <c r="G440" s="17" t="n"/>
      <c r="H440" s="18">
        <f>IF(AND(B440="",C440="",D440="",E440=""),"",IF(B440="","⚠ Falta fecha",IF(C440="","⚠ Falta monto",IF(D440="","⚠ Falta categoría",IF(ISNA(MATCH(D440,catNom,0)),"⚠ Categoría no existe",IF(E440="","⚠ Falta cuenta",IF(ISNA(MATCH(E440,ctaNom,0)),"⚠ Cuenta no existe",IF(AND(OR(I440="Transferencia",I440="Pago tarjeta"),G440=""),"⚠ Indica la cuenta «Hacia»",IF(AND(G440&lt;&gt;"",G440=E440),"⚠ «Hacia» igual a la cuenta",IF(AND(G440&lt;&gt;"",ISNA(MATCH(G440,ctaNom,0))),"⚠ «Hacia» no existe",IF(AND(I440="Pago tarjeta",IFERROR(INDEX(ctaTipo,MATCH(G440,ctaNom,0)),"")&lt;&gt;"Tarjeta de crédito"),"⚠ «Hacia» debe ser la tarjeta",IF(AND(I440="Trading",IFERROR(INDEX(ctaTipo,MATCH(E440,ctaNom,0)),"")&lt;&gt;"Cuenta de trading"),"⚠ Usa la cuenta de trading","✓"))))))))))))</f>
        <v/>
      </c>
      <c r="I440" s="19">
        <f>IF(OR(B440="",C440="",D440=""),"",IFERROR(INDEX(catTipo,MATCH(D440,catNom,0))&amp;"",""))</f>
        <v/>
      </c>
      <c r="J440" s="19">
        <f>IF(I440="","",IFERROR(INDEX(catGrupo,MATCH(D440,catNom,0))&amp;"",""))</f>
        <v/>
      </c>
      <c r="K440" s="19">
        <f>IF(I440="Gasto",IF(IFERROR(INDEX(catClas,MATCH(D440,catNom,0))&amp;"","")="","Variable",IFERROR(INDEX(catClas,MATCH(D440,catNom,0))&amp;"","")),"")</f>
        <v/>
      </c>
      <c r="L440" s="19">
        <f>IF(I440="","",IFERROR(INDEX(catAlim,MATCH(D440,catNom,0))&amp;"",""))</f>
        <v/>
      </c>
      <c r="M440" s="19">
        <f>IF(I440="","",IFERROR(INDEX(catComida,MATCH(D440,catNom,0))&amp;"",""))</f>
        <v/>
      </c>
      <c r="N440" s="19">
        <f>IF(I440="","",IFERROR(INDEX(ctaMon,MATCH(E440,ctaNom,0))&amp;"","DOP"))</f>
        <v/>
      </c>
      <c r="O440" s="20">
        <f>IF(I440="","",C440*IF(N440="USD",TasaUSD,1))</f>
        <v/>
      </c>
      <c r="P440" s="20">
        <f>IF(I440="","",IF(I440="Gasto",O440,0))</f>
        <v/>
      </c>
      <c r="Q440" s="20">
        <f>IF(I440="","",IF(I440="Ingreso",O440,0))</f>
        <v/>
      </c>
      <c r="R440" s="20">
        <f>IF(I440="","",IF(I440="Trading",O440,0))</f>
        <v/>
      </c>
      <c r="S440" s="19">
        <f>IF(I440="","",IF(AND(I440="Gasto",K440="Variable",J440&lt;&gt;"Trading",O440&gt;0,O440&lt;=Umbral),1,0))</f>
        <v/>
      </c>
      <c r="T440" s="20">
        <f>IF(OR(I440="",E440=""),"",IF(OR(I440="Gasto",I440="Transferencia",I440="Pago tarjeta"),-1,1)*C440)</f>
        <v/>
      </c>
      <c r="U440" s="20">
        <f>IF(OR(G440="",AND(I440&lt;&gt;"Transferencia",I440&lt;&gt;"Pago tarjeta")),"",IF(IFERROR(INDEX(ctaMon,MATCH(G440,ctaNom,0))&amp;"","DOP")=N440,C440,IF(N440="USD",C440*TasaUSD,C440/TasaUSD)))</f>
        <v/>
      </c>
      <c r="V440" s="20">
        <f>IF(I440="","",IF(IFERROR(INDEX(ctaLiq,MATCH(E440,ctaNom,0))="Sí",FALSE),IF(OR(I440="Gasto",I440="Transferencia",I440="Pago tarjeta"),-1,1)*O440,0)+IF(AND(U440&lt;&gt;"",IFERROR(INDEX(ctaLiq,MATCH(G440,ctaNom,0))="Sí",FALSE)),O440,0))</f>
        <v/>
      </c>
      <c r="W440" s="19">
        <f>IF(OR(F440="",I440=""),"",IF(COUNTIFS(F$6:F440,F440,I$6:I440,"?*")=1,MAX(W$5:W439)+1,""))</f>
        <v/>
      </c>
    </row>
    <row r="441">
      <c r="B441" s="15" t="n"/>
      <c r="C441" s="16" t="n"/>
      <c r="D441" s="17" t="n"/>
      <c r="E441" s="17" t="n"/>
      <c r="F441" s="17" t="n"/>
      <c r="G441" s="17" t="n"/>
      <c r="H441" s="18">
        <f>IF(AND(B441="",C441="",D441="",E441=""),"",IF(B441="","⚠ Falta fecha",IF(C441="","⚠ Falta monto",IF(D441="","⚠ Falta categoría",IF(ISNA(MATCH(D441,catNom,0)),"⚠ Categoría no existe",IF(E441="","⚠ Falta cuenta",IF(ISNA(MATCH(E441,ctaNom,0)),"⚠ Cuenta no existe",IF(AND(OR(I441="Transferencia",I441="Pago tarjeta"),G441=""),"⚠ Indica la cuenta «Hacia»",IF(AND(G441&lt;&gt;"",G441=E441),"⚠ «Hacia» igual a la cuenta",IF(AND(G441&lt;&gt;"",ISNA(MATCH(G441,ctaNom,0))),"⚠ «Hacia» no existe",IF(AND(I441="Pago tarjeta",IFERROR(INDEX(ctaTipo,MATCH(G441,ctaNom,0)),"")&lt;&gt;"Tarjeta de crédito"),"⚠ «Hacia» debe ser la tarjeta",IF(AND(I441="Trading",IFERROR(INDEX(ctaTipo,MATCH(E441,ctaNom,0)),"")&lt;&gt;"Cuenta de trading"),"⚠ Usa la cuenta de trading","✓"))))))))))))</f>
        <v/>
      </c>
      <c r="I441" s="19">
        <f>IF(OR(B441="",C441="",D441=""),"",IFERROR(INDEX(catTipo,MATCH(D441,catNom,0))&amp;"",""))</f>
        <v/>
      </c>
      <c r="J441" s="19">
        <f>IF(I441="","",IFERROR(INDEX(catGrupo,MATCH(D441,catNom,0))&amp;"",""))</f>
        <v/>
      </c>
      <c r="K441" s="19">
        <f>IF(I441="Gasto",IF(IFERROR(INDEX(catClas,MATCH(D441,catNom,0))&amp;"","")="","Variable",IFERROR(INDEX(catClas,MATCH(D441,catNom,0))&amp;"","")),"")</f>
        <v/>
      </c>
      <c r="L441" s="19">
        <f>IF(I441="","",IFERROR(INDEX(catAlim,MATCH(D441,catNom,0))&amp;"",""))</f>
        <v/>
      </c>
      <c r="M441" s="19">
        <f>IF(I441="","",IFERROR(INDEX(catComida,MATCH(D441,catNom,0))&amp;"",""))</f>
        <v/>
      </c>
      <c r="N441" s="19">
        <f>IF(I441="","",IFERROR(INDEX(ctaMon,MATCH(E441,ctaNom,0))&amp;"","DOP"))</f>
        <v/>
      </c>
      <c r="O441" s="20">
        <f>IF(I441="","",C441*IF(N441="USD",TasaUSD,1))</f>
        <v/>
      </c>
      <c r="P441" s="20">
        <f>IF(I441="","",IF(I441="Gasto",O441,0))</f>
        <v/>
      </c>
      <c r="Q441" s="20">
        <f>IF(I441="","",IF(I441="Ingreso",O441,0))</f>
        <v/>
      </c>
      <c r="R441" s="20">
        <f>IF(I441="","",IF(I441="Trading",O441,0))</f>
        <v/>
      </c>
      <c r="S441" s="19">
        <f>IF(I441="","",IF(AND(I441="Gasto",K441="Variable",J441&lt;&gt;"Trading",O441&gt;0,O441&lt;=Umbral),1,0))</f>
        <v/>
      </c>
      <c r="T441" s="20">
        <f>IF(OR(I441="",E441=""),"",IF(OR(I441="Gasto",I441="Transferencia",I441="Pago tarjeta"),-1,1)*C441)</f>
        <v/>
      </c>
      <c r="U441" s="20">
        <f>IF(OR(G441="",AND(I441&lt;&gt;"Transferencia",I441&lt;&gt;"Pago tarjeta")),"",IF(IFERROR(INDEX(ctaMon,MATCH(G441,ctaNom,0))&amp;"","DOP")=N441,C441,IF(N441="USD",C441*TasaUSD,C441/TasaUSD)))</f>
        <v/>
      </c>
      <c r="V441" s="20">
        <f>IF(I441="","",IF(IFERROR(INDEX(ctaLiq,MATCH(E441,ctaNom,0))="Sí",FALSE),IF(OR(I441="Gasto",I441="Transferencia",I441="Pago tarjeta"),-1,1)*O441,0)+IF(AND(U441&lt;&gt;"",IFERROR(INDEX(ctaLiq,MATCH(G441,ctaNom,0))="Sí",FALSE)),O441,0))</f>
        <v/>
      </c>
      <c r="W441" s="19">
        <f>IF(OR(F441="",I441=""),"",IF(COUNTIFS(F$6:F441,F441,I$6:I441,"?*")=1,MAX(W$5:W440)+1,""))</f>
        <v/>
      </c>
    </row>
    <row r="442">
      <c r="B442" s="15" t="n"/>
      <c r="C442" s="16" t="n"/>
      <c r="D442" s="17" t="n"/>
      <c r="E442" s="17" t="n"/>
      <c r="F442" s="17" t="n"/>
      <c r="G442" s="17" t="n"/>
      <c r="H442" s="18">
        <f>IF(AND(B442="",C442="",D442="",E442=""),"",IF(B442="","⚠ Falta fecha",IF(C442="","⚠ Falta monto",IF(D442="","⚠ Falta categoría",IF(ISNA(MATCH(D442,catNom,0)),"⚠ Categoría no existe",IF(E442="","⚠ Falta cuenta",IF(ISNA(MATCH(E442,ctaNom,0)),"⚠ Cuenta no existe",IF(AND(OR(I442="Transferencia",I442="Pago tarjeta"),G442=""),"⚠ Indica la cuenta «Hacia»",IF(AND(G442&lt;&gt;"",G442=E442),"⚠ «Hacia» igual a la cuenta",IF(AND(G442&lt;&gt;"",ISNA(MATCH(G442,ctaNom,0))),"⚠ «Hacia» no existe",IF(AND(I442="Pago tarjeta",IFERROR(INDEX(ctaTipo,MATCH(G442,ctaNom,0)),"")&lt;&gt;"Tarjeta de crédito"),"⚠ «Hacia» debe ser la tarjeta",IF(AND(I442="Trading",IFERROR(INDEX(ctaTipo,MATCH(E442,ctaNom,0)),"")&lt;&gt;"Cuenta de trading"),"⚠ Usa la cuenta de trading","✓"))))))))))))</f>
        <v/>
      </c>
      <c r="I442" s="19">
        <f>IF(OR(B442="",C442="",D442=""),"",IFERROR(INDEX(catTipo,MATCH(D442,catNom,0))&amp;"",""))</f>
        <v/>
      </c>
      <c r="J442" s="19">
        <f>IF(I442="","",IFERROR(INDEX(catGrupo,MATCH(D442,catNom,0))&amp;"",""))</f>
        <v/>
      </c>
      <c r="K442" s="19">
        <f>IF(I442="Gasto",IF(IFERROR(INDEX(catClas,MATCH(D442,catNom,0))&amp;"","")="","Variable",IFERROR(INDEX(catClas,MATCH(D442,catNom,0))&amp;"","")),"")</f>
        <v/>
      </c>
      <c r="L442" s="19">
        <f>IF(I442="","",IFERROR(INDEX(catAlim,MATCH(D442,catNom,0))&amp;"",""))</f>
        <v/>
      </c>
      <c r="M442" s="19">
        <f>IF(I442="","",IFERROR(INDEX(catComida,MATCH(D442,catNom,0))&amp;"",""))</f>
        <v/>
      </c>
      <c r="N442" s="19">
        <f>IF(I442="","",IFERROR(INDEX(ctaMon,MATCH(E442,ctaNom,0))&amp;"","DOP"))</f>
        <v/>
      </c>
      <c r="O442" s="20">
        <f>IF(I442="","",C442*IF(N442="USD",TasaUSD,1))</f>
        <v/>
      </c>
      <c r="P442" s="20">
        <f>IF(I442="","",IF(I442="Gasto",O442,0))</f>
        <v/>
      </c>
      <c r="Q442" s="20">
        <f>IF(I442="","",IF(I442="Ingreso",O442,0))</f>
        <v/>
      </c>
      <c r="R442" s="20">
        <f>IF(I442="","",IF(I442="Trading",O442,0))</f>
        <v/>
      </c>
      <c r="S442" s="19">
        <f>IF(I442="","",IF(AND(I442="Gasto",K442="Variable",J442&lt;&gt;"Trading",O442&gt;0,O442&lt;=Umbral),1,0))</f>
        <v/>
      </c>
      <c r="T442" s="20">
        <f>IF(OR(I442="",E442=""),"",IF(OR(I442="Gasto",I442="Transferencia",I442="Pago tarjeta"),-1,1)*C442)</f>
        <v/>
      </c>
      <c r="U442" s="20">
        <f>IF(OR(G442="",AND(I442&lt;&gt;"Transferencia",I442&lt;&gt;"Pago tarjeta")),"",IF(IFERROR(INDEX(ctaMon,MATCH(G442,ctaNom,0))&amp;"","DOP")=N442,C442,IF(N442="USD",C442*TasaUSD,C442/TasaUSD)))</f>
        <v/>
      </c>
      <c r="V442" s="20">
        <f>IF(I442="","",IF(IFERROR(INDEX(ctaLiq,MATCH(E442,ctaNom,0))="Sí",FALSE),IF(OR(I442="Gasto",I442="Transferencia",I442="Pago tarjeta"),-1,1)*O442,0)+IF(AND(U442&lt;&gt;"",IFERROR(INDEX(ctaLiq,MATCH(G442,ctaNom,0))="Sí",FALSE)),O442,0))</f>
        <v/>
      </c>
      <c r="W442" s="19">
        <f>IF(OR(F442="",I442=""),"",IF(COUNTIFS(F$6:F442,F442,I$6:I442,"?*")=1,MAX(W$5:W441)+1,""))</f>
        <v/>
      </c>
    </row>
    <row r="443">
      <c r="B443" s="15" t="n"/>
      <c r="C443" s="16" t="n"/>
      <c r="D443" s="17" t="n"/>
      <c r="E443" s="17" t="n"/>
      <c r="F443" s="17" t="n"/>
      <c r="G443" s="17" t="n"/>
      <c r="H443" s="18">
        <f>IF(AND(B443="",C443="",D443="",E443=""),"",IF(B443="","⚠ Falta fecha",IF(C443="","⚠ Falta monto",IF(D443="","⚠ Falta categoría",IF(ISNA(MATCH(D443,catNom,0)),"⚠ Categoría no existe",IF(E443="","⚠ Falta cuenta",IF(ISNA(MATCH(E443,ctaNom,0)),"⚠ Cuenta no existe",IF(AND(OR(I443="Transferencia",I443="Pago tarjeta"),G443=""),"⚠ Indica la cuenta «Hacia»",IF(AND(G443&lt;&gt;"",G443=E443),"⚠ «Hacia» igual a la cuenta",IF(AND(G443&lt;&gt;"",ISNA(MATCH(G443,ctaNom,0))),"⚠ «Hacia» no existe",IF(AND(I443="Pago tarjeta",IFERROR(INDEX(ctaTipo,MATCH(G443,ctaNom,0)),"")&lt;&gt;"Tarjeta de crédito"),"⚠ «Hacia» debe ser la tarjeta",IF(AND(I443="Trading",IFERROR(INDEX(ctaTipo,MATCH(E443,ctaNom,0)),"")&lt;&gt;"Cuenta de trading"),"⚠ Usa la cuenta de trading","✓"))))))))))))</f>
        <v/>
      </c>
      <c r="I443" s="19">
        <f>IF(OR(B443="",C443="",D443=""),"",IFERROR(INDEX(catTipo,MATCH(D443,catNom,0))&amp;"",""))</f>
        <v/>
      </c>
      <c r="J443" s="19">
        <f>IF(I443="","",IFERROR(INDEX(catGrupo,MATCH(D443,catNom,0))&amp;"",""))</f>
        <v/>
      </c>
      <c r="K443" s="19">
        <f>IF(I443="Gasto",IF(IFERROR(INDEX(catClas,MATCH(D443,catNom,0))&amp;"","")="","Variable",IFERROR(INDEX(catClas,MATCH(D443,catNom,0))&amp;"","")),"")</f>
        <v/>
      </c>
      <c r="L443" s="19">
        <f>IF(I443="","",IFERROR(INDEX(catAlim,MATCH(D443,catNom,0))&amp;"",""))</f>
        <v/>
      </c>
      <c r="M443" s="19">
        <f>IF(I443="","",IFERROR(INDEX(catComida,MATCH(D443,catNom,0))&amp;"",""))</f>
        <v/>
      </c>
      <c r="N443" s="19">
        <f>IF(I443="","",IFERROR(INDEX(ctaMon,MATCH(E443,ctaNom,0))&amp;"","DOP"))</f>
        <v/>
      </c>
      <c r="O443" s="20">
        <f>IF(I443="","",C443*IF(N443="USD",TasaUSD,1))</f>
        <v/>
      </c>
      <c r="P443" s="20">
        <f>IF(I443="","",IF(I443="Gasto",O443,0))</f>
        <v/>
      </c>
      <c r="Q443" s="20">
        <f>IF(I443="","",IF(I443="Ingreso",O443,0))</f>
        <v/>
      </c>
      <c r="R443" s="20">
        <f>IF(I443="","",IF(I443="Trading",O443,0))</f>
        <v/>
      </c>
      <c r="S443" s="19">
        <f>IF(I443="","",IF(AND(I443="Gasto",K443="Variable",J443&lt;&gt;"Trading",O443&gt;0,O443&lt;=Umbral),1,0))</f>
        <v/>
      </c>
      <c r="T443" s="20">
        <f>IF(OR(I443="",E443=""),"",IF(OR(I443="Gasto",I443="Transferencia",I443="Pago tarjeta"),-1,1)*C443)</f>
        <v/>
      </c>
      <c r="U443" s="20">
        <f>IF(OR(G443="",AND(I443&lt;&gt;"Transferencia",I443&lt;&gt;"Pago tarjeta")),"",IF(IFERROR(INDEX(ctaMon,MATCH(G443,ctaNom,0))&amp;"","DOP")=N443,C443,IF(N443="USD",C443*TasaUSD,C443/TasaUSD)))</f>
        <v/>
      </c>
      <c r="V443" s="20">
        <f>IF(I443="","",IF(IFERROR(INDEX(ctaLiq,MATCH(E443,ctaNom,0))="Sí",FALSE),IF(OR(I443="Gasto",I443="Transferencia",I443="Pago tarjeta"),-1,1)*O443,0)+IF(AND(U443&lt;&gt;"",IFERROR(INDEX(ctaLiq,MATCH(G443,ctaNom,0))="Sí",FALSE)),O443,0))</f>
        <v/>
      </c>
      <c r="W443" s="19">
        <f>IF(OR(F443="",I443=""),"",IF(COUNTIFS(F$6:F443,F443,I$6:I443,"?*")=1,MAX(W$5:W442)+1,""))</f>
        <v/>
      </c>
    </row>
    <row r="444">
      <c r="B444" s="15" t="n"/>
      <c r="C444" s="16" t="n"/>
      <c r="D444" s="17" t="n"/>
      <c r="E444" s="17" t="n"/>
      <c r="F444" s="17" t="n"/>
      <c r="G444" s="17" t="n"/>
      <c r="H444" s="18">
        <f>IF(AND(B444="",C444="",D444="",E444=""),"",IF(B444="","⚠ Falta fecha",IF(C444="","⚠ Falta monto",IF(D444="","⚠ Falta categoría",IF(ISNA(MATCH(D444,catNom,0)),"⚠ Categoría no existe",IF(E444="","⚠ Falta cuenta",IF(ISNA(MATCH(E444,ctaNom,0)),"⚠ Cuenta no existe",IF(AND(OR(I444="Transferencia",I444="Pago tarjeta"),G444=""),"⚠ Indica la cuenta «Hacia»",IF(AND(G444&lt;&gt;"",G444=E444),"⚠ «Hacia» igual a la cuenta",IF(AND(G444&lt;&gt;"",ISNA(MATCH(G444,ctaNom,0))),"⚠ «Hacia» no existe",IF(AND(I444="Pago tarjeta",IFERROR(INDEX(ctaTipo,MATCH(G444,ctaNom,0)),"")&lt;&gt;"Tarjeta de crédito"),"⚠ «Hacia» debe ser la tarjeta",IF(AND(I444="Trading",IFERROR(INDEX(ctaTipo,MATCH(E444,ctaNom,0)),"")&lt;&gt;"Cuenta de trading"),"⚠ Usa la cuenta de trading","✓"))))))))))))</f>
        <v/>
      </c>
      <c r="I444" s="19">
        <f>IF(OR(B444="",C444="",D444=""),"",IFERROR(INDEX(catTipo,MATCH(D444,catNom,0))&amp;"",""))</f>
        <v/>
      </c>
      <c r="J444" s="19">
        <f>IF(I444="","",IFERROR(INDEX(catGrupo,MATCH(D444,catNom,0))&amp;"",""))</f>
        <v/>
      </c>
      <c r="K444" s="19">
        <f>IF(I444="Gasto",IF(IFERROR(INDEX(catClas,MATCH(D444,catNom,0))&amp;"","")="","Variable",IFERROR(INDEX(catClas,MATCH(D444,catNom,0))&amp;"","")),"")</f>
        <v/>
      </c>
      <c r="L444" s="19">
        <f>IF(I444="","",IFERROR(INDEX(catAlim,MATCH(D444,catNom,0))&amp;"",""))</f>
        <v/>
      </c>
      <c r="M444" s="19">
        <f>IF(I444="","",IFERROR(INDEX(catComida,MATCH(D444,catNom,0))&amp;"",""))</f>
        <v/>
      </c>
      <c r="N444" s="19">
        <f>IF(I444="","",IFERROR(INDEX(ctaMon,MATCH(E444,ctaNom,0))&amp;"","DOP"))</f>
        <v/>
      </c>
      <c r="O444" s="20">
        <f>IF(I444="","",C444*IF(N444="USD",TasaUSD,1))</f>
        <v/>
      </c>
      <c r="P444" s="20">
        <f>IF(I444="","",IF(I444="Gasto",O444,0))</f>
        <v/>
      </c>
      <c r="Q444" s="20">
        <f>IF(I444="","",IF(I444="Ingreso",O444,0))</f>
        <v/>
      </c>
      <c r="R444" s="20">
        <f>IF(I444="","",IF(I444="Trading",O444,0))</f>
        <v/>
      </c>
      <c r="S444" s="19">
        <f>IF(I444="","",IF(AND(I444="Gasto",K444="Variable",J444&lt;&gt;"Trading",O444&gt;0,O444&lt;=Umbral),1,0))</f>
        <v/>
      </c>
      <c r="T444" s="20">
        <f>IF(OR(I444="",E444=""),"",IF(OR(I444="Gasto",I444="Transferencia",I444="Pago tarjeta"),-1,1)*C444)</f>
        <v/>
      </c>
      <c r="U444" s="20">
        <f>IF(OR(G444="",AND(I444&lt;&gt;"Transferencia",I444&lt;&gt;"Pago tarjeta")),"",IF(IFERROR(INDEX(ctaMon,MATCH(G444,ctaNom,0))&amp;"","DOP")=N444,C444,IF(N444="USD",C444*TasaUSD,C444/TasaUSD)))</f>
        <v/>
      </c>
      <c r="V444" s="20">
        <f>IF(I444="","",IF(IFERROR(INDEX(ctaLiq,MATCH(E444,ctaNom,0))="Sí",FALSE),IF(OR(I444="Gasto",I444="Transferencia",I444="Pago tarjeta"),-1,1)*O444,0)+IF(AND(U444&lt;&gt;"",IFERROR(INDEX(ctaLiq,MATCH(G444,ctaNom,0))="Sí",FALSE)),O444,0))</f>
        <v/>
      </c>
      <c r="W444" s="19">
        <f>IF(OR(F444="",I444=""),"",IF(COUNTIFS(F$6:F444,F444,I$6:I444,"?*")=1,MAX(W$5:W443)+1,""))</f>
        <v/>
      </c>
    </row>
    <row r="445">
      <c r="B445" s="15" t="n"/>
      <c r="C445" s="16" t="n"/>
      <c r="D445" s="17" t="n"/>
      <c r="E445" s="17" t="n"/>
      <c r="F445" s="17" t="n"/>
      <c r="G445" s="17" t="n"/>
      <c r="H445" s="18">
        <f>IF(AND(B445="",C445="",D445="",E445=""),"",IF(B445="","⚠ Falta fecha",IF(C445="","⚠ Falta monto",IF(D445="","⚠ Falta categoría",IF(ISNA(MATCH(D445,catNom,0)),"⚠ Categoría no existe",IF(E445="","⚠ Falta cuenta",IF(ISNA(MATCH(E445,ctaNom,0)),"⚠ Cuenta no existe",IF(AND(OR(I445="Transferencia",I445="Pago tarjeta"),G445=""),"⚠ Indica la cuenta «Hacia»",IF(AND(G445&lt;&gt;"",G445=E445),"⚠ «Hacia» igual a la cuenta",IF(AND(G445&lt;&gt;"",ISNA(MATCH(G445,ctaNom,0))),"⚠ «Hacia» no existe",IF(AND(I445="Pago tarjeta",IFERROR(INDEX(ctaTipo,MATCH(G445,ctaNom,0)),"")&lt;&gt;"Tarjeta de crédito"),"⚠ «Hacia» debe ser la tarjeta",IF(AND(I445="Trading",IFERROR(INDEX(ctaTipo,MATCH(E445,ctaNom,0)),"")&lt;&gt;"Cuenta de trading"),"⚠ Usa la cuenta de trading","✓"))))))))))))</f>
        <v/>
      </c>
      <c r="I445" s="19">
        <f>IF(OR(B445="",C445="",D445=""),"",IFERROR(INDEX(catTipo,MATCH(D445,catNom,0))&amp;"",""))</f>
        <v/>
      </c>
      <c r="J445" s="19">
        <f>IF(I445="","",IFERROR(INDEX(catGrupo,MATCH(D445,catNom,0))&amp;"",""))</f>
        <v/>
      </c>
      <c r="K445" s="19">
        <f>IF(I445="Gasto",IF(IFERROR(INDEX(catClas,MATCH(D445,catNom,0))&amp;"","")="","Variable",IFERROR(INDEX(catClas,MATCH(D445,catNom,0))&amp;"","")),"")</f>
        <v/>
      </c>
      <c r="L445" s="19">
        <f>IF(I445="","",IFERROR(INDEX(catAlim,MATCH(D445,catNom,0))&amp;"",""))</f>
        <v/>
      </c>
      <c r="M445" s="19">
        <f>IF(I445="","",IFERROR(INDEX(catComida,MATCH(D445,catNom,0))&amp;"",""))</f>
        <v/>
      </c>
      <c r="N445" s="19">
        <f>IF(I445="","",IFERROR(INDEX(ctaMon,MATCH(E445,ctaNom,0))&amp;"","DOP"))</f>
        <v/>
      </c>
      <c r="O445" s="20">
        <f>IF(I445="","",C445*IF(N445="USD",TasaUSD,1))</f>
        <v/>
      </c>
      <c r="P445" s="20">
        <f>IF(I445="","",IF(I445="Gasto",O445,0))</f>
        <v/>
      </c>
      <c r="Q445" s="20">
        <f>IF(I445="","",IF(I445="Ingreso",O445,0))</f>
        <v/>
      </c>
      <c r="R445" s="20">
        <f>IF(I445="","",IF(I445="Trading",O445,0))</f>
        <v/>
      </c>
      <c r="S445" s="19">
        <f>IF(I445="","",IF(AND(I445="Gasto",K445="Variable",J445&lt;&gt;"Trading",O445&gt;0,O445&lt;=Umbral),1,0))</f>
        <v/>
      </c>
      <c r="T445" s="20">
        <f>IF(OR(I445="",E445=""),"",IF(OR(I445="Gasto",I445="Transferencia",I445="Pago tarjeta"),-1,1)*C445)</f>
        <v/>
      </c>
      <c r="U445" s="20">
        <f>IF(OR(G445="",AND(I445&lt;&gt;"Transferencia",I445&lt;&gt;"Pago tarjeta")),"",IF(IFERROR(INDEX(ctaMon,MATCH(G445,ctaNom,0))&amp;"","DOP")=N445,C445,IF(N445="USD",C445*TasaUSD,C445/TasaUSD)))</f>
        <v/>
      </c>
      <c r="V445" s="20">
        <f>IF(I445="","",IF(IFERROR(INDEX(ctaLiq,MATCH(E445,ctaNom,0))="Sí",FALSE),IF(OR(I445="Gasto",I445="Transferencia",I445="Pago tarjeta"),-1,1)*O445,0)+IF(AND(U445&lt;&gt;"",IFERROR(INDEX(ctaLiq,MATCH(G445,ctaNom,0))="Sí",FALSE)),O445,0))</f>
        <v/>
      </c>
      <c r="W445" s="19">
        <f>IF(OR(F445="",I445=""),"",IF(COUNTIFS(F$6:F445,F445,I$6:I445,"?*")=1,MAX(W$5:W444)+1,""))</f>
        <v/>
      </c>
    </row>
    <row r="446">
      <c r="B446" s="15" t="n"/>
      <c r="C446" s="16" t="n"/>
      <c r="D446" s="17" t="n"/>
      <c r="E446" s="17" t="n"/>
      <c r="F446" s="17" t="n"/>
      <c r="G446" s="17" t="n"/>
      <c r="H446" s="18">
        <f>IF(AND(B446="",C446="",D446="",E446=""),"",IF(B446="","⚠ Falta fecha",IF(C446="","⚠ Falta monto",IF(D446="","⚠ Falta categoría",IF(ISNA(MATCH(D446,catNom,0)),"⚠ Categoría no existe",IF(E446="","⚠ Falta cuenta",IF(ISNA(MATCH(E446,ctaNom,0)),"⚠ Cuenta no existe",IF(AND(OR(I446="Transferencia",I446="Pago tarjeta"),G446=""),"⚠ Indica la cuenta «Hacia»",IF(AND(G446&lt;&gt;"",G446=E446),"⚠ «Hacia» igual a la cuenta",IF(AND(G446&lt;&gt;"",ISNA(MATCH(G446,ctaNom,0))),"⚠ «Hacia» no existe",IF(AND(I446="Pago tarjeta",IFERROR(INDEX(ctaTipo,MATCH(G446,ctaNom,0)),"")&lt;&gt;"Tarjeta de crédito"),"⚠ «Hacia» debe ser la tarjeta",IF(AND(I446="Trading",IFERROR(INDEX(ctaTipo,MATCH(E446,ctaNom,0)),"")&lt;&gt;"Cuenta de trading"),"⚠ Usa la cuenta de trading","✓"))))))))))))</f>
        <v/>
      </c>
      <c r="I446" s="19">
        <f>IF(OR(B446="",C446="",D446=""),"",IFERROR(INDEX(catTipo,MATCH(D446,catNom,0))&amp;"",""))</f>
        <v/>
      </c>
      <c r="J446" s="19">
        <f>IF(I446="","",IFERROR(INDEX(catGrupo,MATCH(D446,catNom,0))&amp;"",""))</f>
        <v/>
      </c>
      <c r="K446" s="19">
        <f>IF(I446="Gasto",IF(IFERROR(INDEX(catClas,MATCH(D446,catNom,0))&amp;"","")="","Variable",IFERROR(INDEX(catClas,MATCH(D446,catNom,0))&amp;"","")),"")</f>
        <v/>
      </c>
      <c r="L446" s="19">
        <f>IF(I446="","",IFERROR(INDEX(catAlim,MATCH(D446,catNom,0))&amp;"",""))</f>
        <v/>
      </c>
      <c r="M446" s="19">
        <f>IF(I446="","",IFERROR(INDEX(catComida,MATCH(D446,catNom,0))&amp;"",""))</f>
        <v/>
      </c>
      <c r="N446" s="19">
        <f>IF(I446="","",IFERROR(INDEX(ctaMon,MATCH(E446,ctaNom,0))&amp;"","DOP"))</f>
        <v/>
      </c>
      <c r="O446" s="20">
        <f>IF(I446="","",C446*IF(N446="USD",TasaUSD,1))</f>
        <v/>
      </c>
      <c r="P446" s="20">
        <f>IF(I446="","",IF(I446="Gasto",O446,0))</f>
        <v/>
      </c>
      <c r="Q446" s="20">
        <f>IF(I446="","",IF(I446="Ingreso",O446,0))</f>
        <v/>
      </c>
      <c r="R446" s="20">
        <f>IF(I446="","",IF(I446="Trading",O446,0))</f>
        <v/>
      </c>
      <c r="S446" s="19">
        <f>IF(I446="","",IF(AND(I446="Gasto",K446="Variable",J446&lt;&gt;"Trading",O446&gt;0,O446&lt;=Umbral),1,0))</f>
        <v/>
      </c>
      <c r="T446" s="20">
        <f>IF(OR(I446="",E446=""),"",IF(OR(I446="Gasto",I446="Transferencia",I446="Pago tarjeta"),-1,1)*C446)</f>
        <v/>
      </c>
      <c r="U446" s="20">
        <f>IF(OR(G446="",AND(I446&lt;&gt;"Transferencia",I446&lt;&gt;"Pago tarjeta")),"",IF(IFERROR(INDEX(ctaMon,MATCH(G446,ctaNom,0))&amp;"","DOP")=N446,C446,IF(N446="USD",C446*TasaUSD,C446/TasaUSD)))</f>
        <v/>
      </c>
      <c r="V446" s="20">
        <f>IF(I446="","",IF(IFERROR(INDEX(ctaLiq,MATCH(E446,ctaNom,0))="Sí",FALSE),IF(OR(I446="Gasto",I446="Transferencia",I446="Pago tarjeta"),-1,1)*O446,0)+IF(AND(U446&lt;&gt;"",IFERROR(INDEX(ctaLiq,MATCH(G446,ctaNom,0))="Sí",FALSE)),O446,0))</f>
        <v/>
      </c>
      <c r="W446" s="19">
        <f>IF(OR(F446="",I446=""),"",IF(COUNTIFS(F$6:F446,F446,I$6:I446,"?*")=1,MAX(W$5:W445)+1,""))</f>
        <v/>
      </c>
    </row>
    <row r="447">
      <c r="B447" s="15" t="n"/>
      <c r="C447" s="16" t="n"/>
      <c r="D447" s="17" t="n"/>
      <c r="E447" s="17" t="n"/>
      <c r="F447" s="17" t="n"/>
      <c r="G447" s="17" t="n"/>
      <c r="H447" s="18">
        <f>IF(AND(B447="",C447="",D447="",E447=""),"",IF(B447="","⚠ Falta fecha",IF(C447="","⚠ Falta monto",IF(D447="","⚠ Falta categoría",IF(ISNA(MATCH(D447,catNom,0)),"⚠ Categoría no existe",IF(E447="","⚠ Falta cuenta",IF(ISNA(MATCH(E447,ctaNom,0)),"⚠ Cuenta no existe",IF(AND(OR(I447="Transferencia",I447="Pago tarjeta"),G447=""),"⚠ Indica la cuenta «Hacia»",IF(AND(G447&lt;&gt;"",G447=E447),"⚠ «Hacia» igual a la cuenta",IF(AND(G447&lt;&gt;"",ISNA(MATCH(G447,ctaNom,0))),"⚠ «Hacia» no existe",IF(AND(I447="Pago tarjeta",IFERROR(INDEX(ctaTipo,MATCH(G447,ctaNom,0)),"")&lt;&gt;"Tarjeta de crédito"),"⚠ «Hacia» debe ser la tarjeta",IF(AND(I447="Trading",IFERROR(INDEX(ctaTipo,MATCH(E447,ctaNom,0)),"")&lt;&gt;"Cuenta de trading"),"⚠ Usa la cuenta de trading","✓"))))))))))))</f>
        <v/>
      </c>
      <c r="I447" s="19">
        <f>IF(OR(B447="",C447="",D447=""),"",IFERROR(INDEX(catTipo,MATCH(D447,catNom,0))&amp;"",""))</f>
        <v/>
      </c>
      <c r="J447" s="19">
        <f>IF(I447="","",IFERROR(INDEX(catGrupo,MATCH(D447,catNom,0))&amp;"",""))</f>
        <v/>
      </c>
      <c r="K447" s="19">
        <f>IF(I447="Gasto",IF(IFERROR(INDEX(catClas,MATCH(D447,catNom,0))&amp;"","")="","Variable",IFERROR(INDEX(catClas,MATCH(D447,catNom,0))&amp;"","")),"")</f>
        <v/>
      </c>
      <c r="L447" s="19">
        <f>IF(I447="","",IFERROR(INDEX(catAlim,MATCH(D447,catNom,0))&amp;"",""))</f>
        <v/>
      </c>
      <c r="M447" s="19">
        <f>IF(I447="","",IFERROR(INDEX(catComida,MATCH(D447,catNom,0))&amp;"",""))</f>
        <v/>
      </c>
      <c r="N447" s="19">
        <f>IF(I447="","",IFERROR(INDEX(ctaMon,MATCH(E447,ctaNom,0))&amp;"","DOP"))</f>
        <v/>
      </c>
      <c r="O447" s="20">
        <f>IF(I447="","",C447*IF(N447="USD",TasaUSD,1))</f>
        <v/>
      </c>
      <c r="P447" s="20">
        <f>IF(I447="","",IF(I447="Gasto",O447,0))</f>
        <v/>
      </c>
      <c r="Q447" s="20">
        <f>IF(I447="","",IF(I447="Ingreso",O447,0))</f>
        <v/>
      </c>
      <c r="R447" s="20">
        <f>IF(I447="","",IF(I447="Trading",O447,0))</f>
        <v/>
      </c>
      <c r="S447" s="19">
        <f>IF(I447="","",IF(AND(I447="Gasto",K447="Variable",J447&lt;&gt;"Trading",O447&gt;0,O447&lt;=Umbral),1,0))</f>
        <v/>
      </c>
      <c r="T447" s="20">
        <f>IF(OR(I447="",E447=""),"",IF(OR(I447="Gasto",I447="Transferencia",I447="Pago tarjeta"),-1,1)*C447)</f>
        <v/>
      </c>
      <c r="U447" s="20">
        <f>IF(OR(G447="",AND(I447&lt;&gt;"Transferencia",I447&lt;&gt;"Pago tarjeta")),"",IF(IFERROR(INDEX(ctaMon,MATCH(G447,ctaNom,0))&amp;"","DOP")=N447,C447,IF(N447="USD",C447*TasaUSD,C447/TasaUSD)))</f>
        <v/>
      </c>
      <c r="V447" s="20">
        <f>IF(I447="","",IF(IFERROR(INDEX(ctaLiq,MATCH(E447,ctaNom,0))="Sí",FALSE),IF(OR(I447="Gasto",I447="Transferencia",I447="Pago tarjeta"),-1,1)*O447,0)+IF(AND(U447&lt;&gt;"",IFERROR(INDEX(ctaLiq,MATCH(G447,ctaNom,0))="Sí",FALSE)),O447,0))</f>
        <v/>
      </c>
      <c r="W447" s="19">
        <f>IF(OR(F447="",I447=""),"",IF(COUNTIFS(F$6:F447,F447,I$6:I447,"?*")=1,MAX(W$5:W446)+1,""))</f>
        <v/>
      </c>
    </row>
    <row r="448">
      <c r="B448" s="15" t="n"/>
      <c r="C448" s="16" t="n"/>
      <c r="D448" s="17" t="n"/>
      <c r="E448" s="17" t="n"/>
      <c r="F448" s="17" t="n"/>
      <c r="G448" s="17" t="n"/>
      <c r="H448" s="18">
        <f>IF(AND(B448="",C448="",D448="",E448=""),"",IF(B448="","⚠ Falta fecha",IF(C448="","⚠ Falta monto",IF(D448="","⚠ Falta categoría",IF(ISNA(MATCH(D448,catNom,0)),"⚠ Categoría no existe",IF(E448="","⚠ Falta cuenta",IF(ISNA(MATCH(E448,ctaNom,0)),"⚠ Cuenta no existe",IF(AND(OR(I448="Transferencia",I448="Pago tarjeta"),G448=""),"⚠ Indica la cuenta «Hacia»",IF(AND(G448&lt;&gt;"",G448=E448),"⚠ «Hacia» igual a la cuenta",IF(AND(G448&lt;&gt;"",ISNA(MATCH(G448,ctaNom,0))),"⚠ «Hacia» no existe",IF(AND(I448="Pago tarjeta",IFERROR(INDEX(ctaTipo,MATCH(G448,ctaNom,0)),"")&lt;&gt;"Tarjeta de crédito"),"⚠ «Hacia» debe ser la tarjeta",IF(AND(I448="Trading",IFERROR(INDEX(ctaTipo,MATCH(E448,ctaNom,0)),"")&lt;&gt;"Cuenta de trading"),"⚠ Usa la cuenta de trading","✓"))))))))))))</f>
        <v/>
      </c>
      <c r="I448" s="19">
        <f>IF(OR(B448="",C448="",D448=""),"",IFERROR(INDEX(catTipo,MATCH(D448,catNom,0))&amp;"",""))</f>
        <v/>
      </c>
      <c r="J448" s="19">
        <f>IF(I448="","",IFERROR(INDEX(catGrupo,MATCH(D448,catNom,0))&amp;"",""))</f>
        <v/>
      </c>
      <c r="K448" s="19">
        <f>IF(I448="Gasto",IF(IFERROR(INDEX(catClas,MATCH(D448,catNom,0))&amp;"","")="","Variable",IFERROR(INDEX(catClas,MATCH(D448,catNom,0))&amp;"","")),"")</f>
        <v/>
      </c>
      <c r="L448" s="19">
        <f>IF(I448="","",IFERROR(INDEX(catAlim,MATCH(D448,catNom,0))&amp;"",""))</f>
        <v/>
      </c>
      <c r="M448" s="19">
        <f>IF(I448="","",IFERROR(INDEX(catComida,MATCH(D448,catNom,0))&amp;"",""))</f>
        <v/>
      </c>
      <c r="N448" s="19">
        <f>IF(I448="","",IFERROR(INDEX(ctaMon,MATCH(E448,ctaNom,0))&amp;"","DOP"))</f>
        <v/>
      </c>
      <c r="O448" s="20">
        <f>IF(I448="","",C448*IF(N448="USD",TasaUSD,1))</f>
        <v/>
      </c>
      <c r="P448" s="20">
        <f>IF(I448="","",IF(I448="Gasto",O448,0))</f>
        <v/>
      </c>
      <c r="Q448" s="20">
        <f>IF(I448="","",IF(I448="Ingreso",O448,0))</f>
        <v/>
      </c>
      <c r="R448" s="20">
        <f>IF(I448="","",IF(I448="Trading",O448,0))</f>
        <v/>
      </c>
      <c r="S448" s="19">
        <f>IF(I448="","",IF(AND(I448="Gasto",K448="Variable",J448&lt;&gt;"Trading",O448&gt;0,O448&lt;=Umbral),1,0))</f>
        <v/>
      </c>
      <c r="T448" s="20">
        <f>IF(OR(I448="",E448=""),"",IF(OR(I448="Gasto",I448="Transferencia",I448="Pago tarjeta"),-1,1)*C448)</f>
        <v/>
      </c>
      <c r="U448" s="20">
        <f>IF(OR(G448="",AND(I448&lt;&gt;"Transferencia",I448&lt;&gt;"Pago tarjeta")),"",IF(IFERROR(INDEX(ctaMon,MATCH(G448,ctaNom,0))&amp;"","DOP")=N448,C448,IF(N448="USD",C448*TasaUSD,C448/TasaUSD)))</f>
        <v/>
      </c>
      <c r="V448" s="20">
        <f>IF(I448="","",IF(IFERROR(INDEX(ctaLiq,MATCH(E448,ctaNom,0))="Sí",FALSE),IF(OR(I448="Gasto",I448="Transferencia",I448="Pago tarjeta"),-1,1)*O448,0)+IF(AND(U448&lt;&gt;"",IFERROR(INDEX(ctaLiq,MATCH(G448,ctaNom,0))="Sí",FALSE)),O448,0))</f>
        <v/>
      </c>
      <c r="W448" s="19">
        <f>IF(OR(F448="",I448=""),"",IF(COUNTIFS(F$6:F448,F448,I$6:I448,"?*")=1,MAX(W$5:W447)+1,""))</f>
        <v/>
      </c>
    </row>
    <row r="449">
      <c r="B449" s="15" t="n"/>
      <c r="C449" s="16" t="n"/>
      <c r="D449" s="17" t="n"/>
      <c r="E449" s="17" t="n"/>
      <c r="F449" s="17" t="n"/>
      <c r="G449" s="17" t="n"/>
      <c r="H449" s="18">
        <f>IF(AND(B449="",C449="",D449="",E449=""),"",IF(B449="","⚠ Falta fecha",IF(C449="","⚠ Falta monto",IF(D449="","⚠ Falta categoría",IF(ISNA(MATCH(D449,catNom,0)),"⚠ Categoría no existe",IF(E449="","⚠ Falta cuenta",IF(ISNA(MATCH(E449,ctaNom,0)),"⚠ Cuenta no existe",IF(AND(OR(I449="Transferencia",I449="Pago tarjeta"),G449=""),"⚠ Indica la cuenta «Hacia»",IF(AND(G449&lt;&gt;"",G449=E449),"⚠ «Hacia» igual a la cuenta",IF(AND(G449&lt;&gt;"",ISNA(MATCH(G449,ctaNom,0))),"⚠ «Hacia» no existe",IF(AND(I449="Pago tarjeta",IFERROR(INDEX(ctaTipo,MATCH(G449,ctaNom,0)),"")&lt;&gt;"Tarjeta de crédito"),"⚠ «Hacia» debe ser la tarjeta",IF(AND(I449="Trading",IFERROR(INDEX(ctaTipo,MATCH(E449,ctaNom,0)),"")&lt;&gt;"Cuenta de trading"),"⚠ Usa la cuenta de trading","✓"))))))))))))</f>
        <v/>
      </c>
      <c r="I449" s="19">
        <f>IF(OR(B449="",C449="",D449=""),"",IFERROR(INDEX(catTipo,MATCH(D449,catNom,0))&amp;"",""))</f>
        <v/>
      </c>
      <c r="J449" s="19">
        <f>IF(I449="","",IFERROR(INDEX(catGrupo,MATCH(D449,catNom,0))&amp;"",""))</f>
        <v/>
      </c>
      <c r="K449" s="19">
        <f>IF(I449="Gasto",IF(IFERROR(INDEX(catClas,MATCH(D449,catNom,0))&amp;"","")="","Variable",IFERROR(INDEX(catClas,MATCH(D449,catNom,0))&amp;"","")),"")</f>
        <v/>
      </c>
      <c r="L449" s="19">
        <f>IF(I449="","",IFERROR(INDEX(catAlim,MATCH(D449,catNom,0))&amp;"",""))</f>
        <v/>
      </c>
      <c r="M449" s="19">
        <f>IF(I449="","",IFERROR(INDEX(catComida,MATCH(D449,catNom,0))&amp;"",""))</f>
        <v/>
      </c>
      <c r="N449" s="19">
        <f>IF(I449="","",IFERROR(INDEX(ctaMon,MATCH(E449,ctaNom,0))&amp;"","DOP"))</f>
        <v/>
      </c>
      <c r="O449" s="20">
        <f>IF(I449="","",C449*IF(N449="USD",TasaUSD,1))</f>
        <v/>
      </c>
      <c r="P449" s="20">
        <f>IF(I449="","",IF(I449="Gasto",O449,0))</f>
        <v/>
      </c>
      <c r="Q449" s="20">
        <f>IF(I449="","",IF(I449="Ingreso",O449,0))</f>
        <v/>
      </c>
      <c r="R449" s="20">
        <f>IF(I449="","",IF(I449="Trading",O449,0))</f>
        <v/>
      </c>
      <c r="S449" s="19">
        <f>IF(I449="","",IF(AND(I449="Gasto",K449="Variable",J449&lt;&gt;"Trading",O449&gt;0,O449&lt;=Umbral),1,0))</f>
        <v/>
      </c>
      <c r="T449" s="20">
        <f>IF(OR(I449="",E449=""),"",IF(OR(I449="Gasto",I449="Transferencia",I449="Pago tarjeta"),-1,1)*C449)</f>
        <v/>
      </c>
      <c r="U449" s="20">
        <f>IF(OR(G449="",AND(I449&lt;&gt;"Transferencia",I449&lt;&gt;"Pago tarjeta")),"",IF(IFERROR(INDEX(ctaMon,MATCH(G449,ctaNom,0))&amp;"","DOP")=N449,C449,IF(N449="USD",C449*TasaUSD,C449/TasaUSD)))</f>
        <v/>
      </c>
      <c r="V449" s="20">
        <f>IF(I449="","",IF(IFERROR(INDEX(ctaLiq,MATCH(E449,ctaNom,0))="Sí",FALSE),IF(OR(I449="Gasto",I449="Transferencia",I449="Pago tarjeta"),-1,1)*O449,0)+IF(AND(U449&lt;&gt;"",IFERROR(INDEX(ctaLiq,MATCH(G449,ctaNom,0))="Sí",FALSE)),O449,0))</f>
        <v/>
      </c>
      <c r="W449" s="19">
        <f>IF(OR(F449="",I449=""),"",IF(COUNTIFS(F$6:F449,F449,I$6:I449,"?*")=1,MAX(W$5:W448)+1,""))</f>
        <v/>
      </c>
    </row>
    <row r="450">
      <c r="B450" s="15" t="n"/>
      <c r="C450" s="16" t="n"/>
      <c r="D450" s="17" t="n"/>
      <c r="E450" s="17" t="n"/>
      <c r="F450" s="17" t="n"/>
      <c r="G450" s="17" t="n"/>
      <c r="H450" s="18">
        <f>IF(AND(B450="",C450="",D450="",E450=""),"",IF(B450="","⚠ Falta fecha",IF(C450="","⚠ Falta monto",IF(D450="","⚠ Falta categoría",IF(ISNA(MATCH(D450,catNom,0)),"⚠ Categoría no existe",IF(E450="","⚠ Falta cuenta",IF(ISNA(MATCH(E450,ctaNom,0)),"⚠ Cuenta no existe",IF(AND(OR(I450="Transferencia",I450="Pago tarjeta"),G450=""),"⚠ Indica la cuenta «Hacia»",IF(AND(G450&lt;&gt;"",G450=E450),"⚠ «Hacia» igual a la cuenta",IF(AND(G450&lt;&gt;"",ISNA(MATCH(G450,ctaNom,0))),"⚠ «Hacia» no existe",IF(AND(I450="Pago tarjeta",IFERROR(INDEX(ctaTipo,MATCH(G450,ctaNom,0)),"")&lt;&gt;"Tarjeta de crédito"),"⚠ «Hacia» debe ser la tarjeta",IF(AND(I450="Trading",IFERROR(INDEX(ctaTipo,MATCH(E450,ctaNom,0)),"")&lt;&gt;"Cuenta de trading"),"⚠ Usa la cuenta de trading","✓"))))))))))))</f>
        <v/>
      </c>
      <c r="I450" s="19">
        <f>IF(OR(B450="",C450="",D450=""),"",IFERROR(INDEX(catTipo,MATCH(D450,catNom,0))&amp;"",""))</f>
        <v/>
      </c>
      <c r="J450" s="19">
        <f>IF(I450="","",IFERROR(INDEX(catGrupo,MATCH(D450,catNom,0))&amp;"",""))</f>
        <v/>
      </c>
      <c r="K450" s="19">
        <f>IF(I450="Gasto",IF(IFERROR(INDEX(catClas,MATCH(D450,catNom,0))&amp;"","")="","Variable",IFERROR(INDEX(catClas,MATCH(D450,catNom,0))&amp;"","")),"")</f>
        <v/>
      </c>
      <c r="L450" s="19">
        <f>IF(I450="","",IFERROR(INDEX(catAlim,MATCH(D450,catNom,0))&amp;"",""))</f>
        <v/>
      </c>
      <c r="M450" s="19">
        <f>IF(I450="","",IFERROR(INDEX(catComida,MATCH(D450,catNom,0))&amp;"",""))</f>
        <v/>
      </c>
      <c r="N450" s="19">
        <f>IF(I450="","",IFERROR(INDEX(ctaMon,MATCH(E450,ctaNom,0))&amp;"","DOP"))</f>
        <v/>
      </c>
      <c r="O450" s="20">
        <f>IF(I450="","",C450*IF(N450="USD",TasaUSD,1))</f>
        <v/>
      </c>
      <c r="P450" s="20">
        <f>IF(I450="","",IF(I450="Gasto",O450,0))</f>
        <v/>
      </c>
      <c r="Q450" s="20">
        <f>IF(I450="","",IF(I450="Ingreso",O450,0))</f>
        <v/>
      </c>
      <c r="R450" s="20">
        <f>IF(I450="","",IF(I450="Trading",O450,0))</f>
        <v/>
      </c>
      <c r="S450" s="19">
        <f>IF(I450="","",IF(AND(I450="Gasto",K450="Variable",J450&lt;&gt;"Trading",O450&gt;0,O450&lt;=Umbral),1,0))</f>
        <v/>
      </c>
      <c r="T450" s="20">
        <f>IF(OR(I450="",E450=""),"",IF(OR(I450="Gasto",I450="Transferencia",I450="Pago tarjeta"),-1,1)*C450)</f>
        <v/>
      </c>
      <c r="U450" s="20">
        <f>IF(OR(G450="",AND(I450&lt;&gt;"Transferencia",I450&lt;&gt;"Pago tarjeta")),"",IF(IFERROR(INDEX(ctaMon,MATCH(G450,ctaNom,0))&amp;"","DOP")=N450,C450,IF(N450="USD",C450*TasaUSD,C450/TasaUSD)))</f>
        <v/>
      </c>
      <c r="V450" s="20">
        <f>IF(I450="","",IF(IFERROR(INDEX(ctaLiq,MATCH(E450,ctaNom,0))="Sí",FALSE),IF(OR(I450="Gasto",I450="Transferencia",I450="Pago tarjeta"),-1,1)*O450,0)+IF(AND(U450&lt;&gt;"",IFERROR(INDEX(ctaLiq,MATCH(G450,ctaNom,0))="Sí",FALSE)),O450,0))</f>
        <v/>
      </c>
      <c r="W450" s="19">
        <f>IF(OR(F450="",I450=""),"",IF(COUNTIFS(F$6:F450,F450,I$6:I450,"?*")=1,MAX(W$5:W449)+1,""))</f>
        <v/>
      </c>
    </row>
    <row r="451">
      <c r="B451" s="15" t="n"/>
      <c r="C451" s="16" t="n"/>
      <c r="D451" s="17" t="n"/>
      <c r="E451" s="17" t="n"/>
      <c r="F451" s="17" t="n"/>
      <c r="G451" s="17" t="n"/>
      <c r="H451" s="18">
        <f>IF(AND(B451="",C451="",D451="",E451=""),"",IF(B451="","⚠ Falta fecha",IF(C451="","⚠ Falta monto",IF(D451="","⚠ Falta categoría",IF(ISNA(MATCH(D451,catNom,0)),"⚠ Categoría no existe",IF(E451="","⚠ Falta cuenta",IF(ISNA(MATCH(E451,ctaNom,0)),"⚠ Cuenta no existe",IF(AND(OR(I451="Transferencia",I451="Pago tarjeta"),G451=""),"⚠ Indica la cuenta «Hacia»",IF(AND(G451&lt;&gt;"",G451=E451),"⚠ «Hacia» igual a la cuenta",IF(AND(G451&lt;&gt;"",ISNA(MATCH(G451,ctaNom,0))),"⚠ «Hacia» no existe",IF(AND(I451="Pago tarjeta",IFERROR(INDEX(ctaTipo,MATCH(G451,ctaNom,0)),"")&lt;&gt;"Tarjeta de crédito"),"⚠ «Hacia» debe ser la tarjeta",IF(AND(I451="Trading",IFERROR(INDEX(ctaTipo,MATCH(E451,ctaNom,0)),"")&lt;&gt;"Cuenta de trading"),"⚠ Usa la cuenta de trading","✓"))))))))))))</f>
        <v/>
      </c>
      <c r="I451" s="19">
        <f>IF(OR(B451="",C451="",D451=""),"",IFERROR(INDEX(catTipo,MATCH(D451,catNom,0))&amp;"",""))</f>
        <v/>
      </c>
      <c r="J451" s="19">
        <f>IF(I451="","",IFERROR(INDEX(catGrupo,MATCH(D451,catNom,0))&amp;"",""))</f>
        <v/>
      </c>
      <c r="K451" s="19">
        <f>IF(I451="Gasto",IF(IFERROR(INDEX(catClas,MATCH(D451,catNom,0))&amp;"","")="","Variable",IFERROR(INDEX(catClas,MATCH(D451,catNom,0))&amp;"","")),"")</f>
        <v/>
      </c>
      <c r="L451" s="19">
        <f>IF(I451="","",IFERROR(INDEX(catAlim,MATCH(D451,catNom,0))&amp;"",""))</f>
        <v/>
      </c>
      <c r="M451" s="19">
        <f>IF(I451="","",IFERROR(INDEX(catComida,MATCH(D451,catNom,0))&amp;"",""))</f>
        <v/>
      </c>
      <c r="N451" s="19">
        <f>IF(I451="","",IFERROR(INDEX(ctaMon,MATCH(E451,ctaNom,0))&amp;"","DOP"))</f>
        <v/>
      </c>
      <c r="O451" s="20">
        <f>IF(I451="","",C451*IF(N451="USD",TasaUSD,1))</f>
        <v/>
      </c>
      <c r="P451" s="20">
        <f>IF(I451="","",IF(I451="Gasto",O451,0))</f>
        <v/>
      </c>
      <c r="Q451" s="20">
        <f>IF(I451="","",IF(I451="Ingreso",O451,0))</f>
        <v/>
      </c>
      <c r="R451" s="20">
        <f>IF(I451="","",IF(I451="Trading",O451,0))</f>
        <v/>
      </c>
      <c r="S451" s="19">
        <f>IF(I451="","",IF(AND(I451="Gasto",K451="Variable",J451&lt;&gt;"Trading",O451&gt;0,O451&lt;=Umbral),1,0))</f>
        <v/>
      </c>
      <c r="T451" s="20">
        <f>IF(OR(I451="",E451=""),"",IF(OR(I451="Gasto",I451="Transferencia",I451="Pago tarjeta"),-1,1)*C451)</f>
        <v/>
      </c>
      <c r="U451" s="20">
        <f>IF(OR(G451="",AND(I451&lt;&gt;"Transferencia",I451&lt;&gt;"Pago tarjeta")),"",IF(IFERROR(INDEX(ctaMon,MATCH(G451,ctaNom,0))&amp;"","DOP")=N451,C451,IF(N451="USD",C451*TasaUSD,C451/TasaUSD)))</f>
        <v/>
      </c>
      <c r="V451" s="20">
        <f>IF(I451="","",IF(IFERROR(INDEX(ctaLiq,MATCH(E451,ctaNom,0))="Sí",FALSE),IF(OR(I451="Gasto",I451="Transferencia",I451="Pago tarjeta"),-1,1)*O451,0)+IF(AND(U451&lt;&gt;"",IFERROR(INDEX(ctaLiq,MATCH(G451,ctaNom,0))="Sí",FALSE)),O451,0))</f>
        <v/>
      </c>
      <c r="W451" s="19">
        <f>IF(OR(F451="",I451=""),"",IF(COUNTIFS(F$6:F451,F451,I$6:I451,"?*")=1,MAX(W$5:W450)+1,""))</f>
        <v/>
      </c>
    </row>
    <row r="452">
      <c r="B452" s="15" t="n"/>
      <c r="C452" s="16" t="n"/>
      <c r="D452" s="17" t="n"/>
      <c r="E452" s="17" t="n"/>
      <c r="F452" s="17" t="n"/>
      <c r="G452" s="17" t="n"/>
      <c r="H452" s="18">
        <f>IF(AND(B452="",C452="",D452="",E452=""),"",IF(B452="","⚠ Falta fecha",IF(C452="","⚠ Falta monto",IF(D452="","⚠ Falta categoría",IF(ISNA(MATCH(D452,catNom,0)),"⚠ Categoría no existe",IF(E452="","⚠ Falta cuenta",IF(ISNA(MATCH(E452,ctaNom,0)),"⚠ Cuenta no existe",IF(AND(OR(I452="Transferencia",I452="Pago tarjeta"),G452=""),"⚠ Indica la cuenta «Hacia»",IF(AND(G452&lt;&gt;"",G452=E452),"⚠ «Hacia» igual a la cuenta",IF(AND(G452&lt;&gt;"",ISNA(MATCH(G452,ctaNom,0))),"⚠ «Hacia» no existe",IF(AND(I452="Pago tarjeta",IFERROR(INDEX(ctaTipo,MATCH(G452,ctaNom,0)),"")&lt;&gt;"Tarjeta de crédito"),"⚠ «Hacia» debe ser la tarjeta",IF(AND(I452="Trading",IFERROR(INDEX(ctaTipo,MATCH(E452,ctaNom,0)),"")&lt;&gt;"Cuenta de trading"),"⚠ Usa la cuenta de trading","✓"))))))))))))</f>
        <v/>
      </c>
      <c r="I452" s="19">
        <f>IF(OR(B452="",C452="",D452=""),"",IFERROR(INDEX(catTipo,MATCH(D452,catNom,0))&amp;"",""))</f>
        <v/>
      </c>
      <c r="J452" s="19">
        <f>IF(I452="","",IFERROR(INDEX(catGrupo,MATCH(D452,catNom,0))&amp;"",""))</f>
        <v/>
      </c>
      <c r="K452" s="19">
        <f>IF(I452="Gasto",IF(IFERROR(INDEX(catClas,MATCH(D452,catNom,0))&amp;"","")="","Variable",IFERROR(INDEX(catClas,MATCH(D452,catNom,0))&amp;"","")),"")</f>
        <v/>
      </c>
      <c r="L452" s="19">
        <f>IF(I452="","",IFERROR(INDEX(catAlim,MATCH(D452,catNom,0))&amp;"",""))</f>
        <v/>
      </c>
      <c r="M452" s="19">
        <f>IF(I452="","",IFERROR(INDEX(catComida,MATCH(D452,catNom,0))&amp;"",""))</f>
        <v/>
      </c>
      <c r="N452" s="19">
        <f>IF(I452="","",IFERROR(INDEX(ctaMon,MATCH(E452,ctaNom,0))&amp;"","DOP"))</f>
        <v/>
      </c>
      <c r="O452" s="20">
        <f>IF(I452="","",C452*IF(N452="USD",TasaUSD,1))</f>
        <v/>
      </c>
      <c r="P452" s="20">
        <f>IF(I452="","",IF(I452="Gasto",O452,0))</f>
        <v/>
      </c>
      <c r="Q452" s="20">
        <f>IF(I452="","",IF(I452="Ingreso",O452,0))</f>
        <v/>
      </c>
      <c r="R452" s="20">
        <f>IF(I452="","",IF(I452="Trading",O452,0))</f>
        <v/>
      </c>
      <c r="S452" s="19">
        <f>IF(I452="","",IF(AND(I452="Gasto",K452="Variable",J452&lt;&gt;"Trading",O452&gt;0,O452&lt;=Umbral),1,0))</f>
        <v/>
      </c>
      <c r="T452" s="20">
        <f>IF(OR(I452="",E452=""),"",IF(OR(I452="Gasto",I452="Transferencia",I452="Pago tarjeta"),-1,1)*C452)</f>
        <v/>
      </c>
      <c r="U452" s="20">
        <f>IF(OR(G452="",AND(I452&lt;&gt;"Transferencia",I452&lt;&gt;"Pago tarjeta")),"",IF(IFERROR(INDEX(ctaMon,MATCH(G452,ctaNom,0))&amp;"","DOP")=N452,C452,IF(N452="USD",C452*TasaUSD,C452/TasaUSD)))</f>
        <v/>
      </c>
      <c r="V452" s="20">
        <f>IF(I452="","",IF(IFERROR(INDEX(ctaLiq,MATCH(E452,ctaNom,0))="Sí",FALSE),IF(OR(I452="Gasto",I452="Transferencia",I452="Pago tarjeta"),-1,1)*O452,0)+IF(AND(U452&lt;&gt;"",IFERROR(INDEX(ctaLiq,MATCH(G452,ctaNom,0))="Sí",FALSE)),O452,0))</f>
        <v/>
      </c>
      <c r="W452" s="19">
        <f>IF(OR(F452="",I452=""),"",IF(COUNTIFS(F$6:F452,F452,I$6:I452,"?*")=1,MAX(W$5:W451)+1,""))</f>
        <v/>
      </c>
    </row>
    <row r="453">
      <c r="B453" s="15" t="n"/>
      <c r="C453" s="16" t="n"/>
      <c r="D453" s="17" t="n"/>
      <c r="E453" s="17" t="n"/>
      <c r="F453" s="17" t="n"/>
      <c r="G453" s="17" t="n"/>
      <c r="H453" s="18">
        <f>IF(AND(B453="",C453="",D453="",E453=""),"",IF(B453="","⚠ Falta fecha",IF(C453="","⚠ Falta monto",IF(D453="","⚠ Falta categoría",IF(ISNA(MATCH(D453,catNom,0)),"⚠ Categoría no existe",IF(E453="","⚠ Falta cuenta",IF(ISNA(MATCH(E453,ctaNom,0)),"⚠ Cuenta no existe",IF(AND(OR(I453="Transferencia",I453="Pago tarjeta"),G453=""),"⚠ Indica la cuenta «Hacia»",IF(AND(G453&lt;&gt;"",G453=E453),"⚠ «Hacia» igual a la cuenta",IF(AND(G453&lt;&gt;"",ISNA(MATCH(G453,ctaNom,0))),"⚠ «Hacia» no existe",IF(AND(I453="Pago tarjeta",IFERROR(INDEX(ctaTipo,MATCH(G453,ctaNom,0)),"")&lt;&gt;"Tarjeta de crédito"),"⚠ «Hacia» debe ser la tarjeta",IF(AND(I453="Trading",IFERROR(INDEX(ctaTipo,MATCH(E453,ctaNom,0)),"")&lt;&gt;"Cuenta de trading"),"⚠ Usa la cuenta de trading","✓"))))))))))))</f>
        <v/>
      </c>
      <c r="I453" s="19">
        <f>IF(OR(B453="",C453="",D453=""),"",IFERROR(INDEX(catTipo,MATCH(D453,catNom,0))&amp;"",""))</f>
        <v/>
      </c>
      <c r="J453" s="19">
        <f>IF(I453="","",IFERROR(INDEX(catGrupo,MATCH(D453,catNom,0))&amp;"",""))</f>
        <v/>
      </c>
      <c r="K453" s="19">
        <f>IF(I453="Gasto",IF(IFERROR(INDEX(catClas,MATCH(D453,catNom,0))&amp;"","")="","Variable",IFERROR(INDEX(catClas,MATCH(D453,catNom,0))&amp;"","")),"")</f>
        <v/>
      </c>
      <c r="L453" s="19">
        <f>IF(I453="","",IFERROR(INDEX(catAlim,MATCH(D453,catNom,0))&amp;"",""))</f>
        <v/>
      </c>
      <c r="M453" s="19">
        <f>IF(I453="","",IFERROR(INDEX(catComida,MATCH(D453,catNom,0))&amp;"",""))</f>
        <v/>
      </c>
      <c r="N453" s="19">
        <f>IF(I453="","",IFERROR(INDEX(ctaMon,MATCH(E453,ctaNom,0))&amp;"","DOP"))</f>
        <v/>
      </c>
      <c r="O453" s="20">
        <f>IF(I453="","",C453*IF(N453="USD",TasaUSD,1))</f>
        <v/>
      </c>
      <c r="P453" s="20">
        <f>IF(I453="","",IF(I453="Gasto",O453,0))</f>
        <v/>
      </c>
      <c r="Q453" s="20">
        <f>IF(I453="","",IF(I453="Ingreso",O453,0))</f>
        <v/>
      </c>
      <c r="R453" s="20">
        <f>IF(I453="","",IF(I453="Trading",O453,0))</f>
        <v/>
      </c>
      <c r="S453" s="19">
        <f>IF(I453="","",IF(AND(I453="Gasto",K453="Variable",J453&lt;&gt;"Trading",O453&gt;0,O453&lt;=Umbral),1,0))</f>
        <v/>
      </c>
      <c r="T453" s="20">
        <f>IF(OR(I453="",E453=""),"",IF(OR(I453="Gasto",I453="Transferencia",I453="Pago tarjeta"),-1,1)*C453)</f>
        <v/>
      </c>
      <c r="U453" s="20">
        <f>IF(OR(G453="",AND(I453&lt;&gt;"Transferencia",I453&lt;&gt;"Pago tarjeta")),"",IF(IFERROR(INDEX(ctaMon,MATCH(G453,ctaNom,0))&amp;"","DOP")=N453,C453,IF(N453="USD",C453*TasaUSD,C453/TasaUSD)))</f>
        <v/>
      </c>
      <c r="V453" s="20">
        <f>IF(I453="","",IF(IFERROR(INDEX(ctaLiq,MATCH(E453,ctaNom,0))="Sí",FALSE),IF(OR(I453="Gasto",I453="Transferencia",I453="Pago tarjeta"),-1,1)*O453,0)+IF(AND(U453&lt;&gt;"",IFERROR(INDEX(ctaLiq,MATCH(G453,ctaNom,0))="Sí",FALSE)),O453,0))</f>
        <v/>
      </c>
      <c r="W453" s="19">
        <f>IF(OR(F453="",I453=""),"",IF(COUNTIFS(F$6:F453,F453,I$6:I453,"?*")=1,MAX(W$5:W452)+1,""))</f>
        <v/>
      </c>
    </row>
    <row r="454">
      <c r="B454" s="15" t="n"/>
      <c r="C454" s="16" t="n"/>
      <c r="D454" s="17" t="n"/>
      <c r="E454" s="17" t="n"/>
      <c r="F454" s="17" t="n"/>
      <c r="G454" s="17" t="n"/>
      <c r="H454" s="18">
        <f>IF(AND(B454="",C454="",D454="",E454=""),"",IF(B454="","⚠ Falta fecha",IF(C454="","⚠ Falta monto",IF(D454="","⚠ Falta categoría",IF(ISNA(MATCH(D454,catNom,0)),"⚠ Categoría no existe",IF(E454="","⚠ Falta cuenta",IF(ISNA(MATCH(E454,ctaNom,0)),"⚠ Cuenta no existe",IF(AND(OR(I454="Transferencia",I454="Pago tarjeta"),G454=""),"⚠ Indica la cuenta «Hacia»",IF(AND(G454&lt;&gt;"",G454=E454),"⚠ «Hacia» igual a la cuenta",IF(AND(G454&lt;&gt;"",ISNA(MATCH(G454,ctaNom,0))),"⚠ «Hacia» no existe",IF(AND(I454="Pago tarjeta",IFERROR(INDEX(ctaTipo,MATCH(G454,ctaNom,0)),"")&lt;&gt;"Tarjeta de crédito"),"⚠ «Hacia» debe ser la tarjeta",IF(AND(I454="Trading",IFERROR(INDEX(ctaTipo,MATCH(E454,ctaNom,0)),"")&lt;&gt;"Cuenta de trading"),"⚠ Usa la cuenta de trading","✓"))))))))))))</f>
        <v/>
      </c>
      <c r="I454" s="19">
        <f>IF(OR(B454="",C454="",D454=""),"",IFERROR(INDEX(catTipo,MATCH(D454,catNom,0))&amp;"",""))</f>
        <v/>
      </c>
      <c r="J454" s="19">
        <f>IF(I454="","",IFERROR(INDEX(catGrupo,MATCH(D454,catNom,0))&amp;"",""))</f>
        <v/>
      </c>
      <c r="K454" s="19">
        <f>IF(I454="Gasto",IF(IFERROR(INDEX(catClas,MATCH(D454,catNom,0))&amp;"","")="","Variable",IFERROR(INDEX(catClas,MATCH(D454,catNom,0))&amp;"","")),"")</f>
        <v/>
      </c>
      <c r="L454" s="19">
        <f>IF(I454="","",IFERROR(INDEX(catAlim,MATCH(D454,catNom,0))&amp;"",""))</f>
        <v/>
      </c>
      <c r="M454" s="19">
        <f>IF(I454="","",IFERROR(INDEX(catComida,MATCH(D454,catNom,0))&amp;"",""))</f>
        <v/>
      </c>
      <c r="N454" s="19">
        <f>IF(I454="","",IFERROR(INDEX(ctaMon,MATCH(E454,ctaNom,0))&amp;"","DOP"))</f>
        <v/>
      </c>
      <c r="O454" s="20">
        <f>IF(I454="","",C454*IF(N454="USD",TasaUSD,1))</f>
        <v/>
      </c>
      <c r="P454" s="20">
        <f>IF(I454="","",IF(I454="Gasto",O454,0))</f>
        <v/>
      </c>
      <c r="Q454" s="20">
        <f>IF(I454="","",IF(I454="Ingreso",O454,0))</f>
        <v/>
      </c>
      <c r="R454" s="20">
        <f>IF(I454="","",IF(I454="Trading",O454,0))</f>
        <v/>
      </c>
      <c r="S454" s="19">
        <f>IF(I454="","",IF(AND(I454="Gasto",K454="Variable",J454&lt;&gt;"Trading",O454&gt;0,O454&lt;=Umbral),1,0))</f>
        <v/>
      </c>
      <c r="T454" s="20">
        <f>IF(OR(I454="",E454=""),"",IF(OR(I454="Gasto",I454="Transferencia",I454="Pago tarjeta"),-1,1)*C454)</f>
        <v/>
      </c>
      <c r="U454" s="20">
        <f>IF(OR(G454="",AND(I454&lt;&gt;"Transferencia",I454&lt;&gt;"Pago tarjeta")),"",IF(IFERROR(INDEX(ctaMon,MATCH(G454,ctaNom,0))&amp;"","DOP")=N454,C454,IF(N454="USD",C454*TasaUSD,C454/TasaUSD)))</f>
        <v/>
      </c>
      <c r="V454" s="20">
        <f>IF(I454="","",IF(IFERROR(INDEX(ctaLiq,MATCH(E454,ctaNom,0))="Sí",FALSE),IF(OR(I454="Gasto",I454="Transferencia",I454="Pago tarjeta"),-1,1)*O454,0)+IF(AND(U454&lt;&gt;"",IFERROR(INDEX(ctaLiq,MATCH(G454,ctaNom,0))="Sí",FALSE)),O454,0))</f>
        <v/>
      </c>
      <c r="W454" s="19">
        <f>IF(OR(F454="",I454=""),"",IF(COUNTIFS(F$6:F454,F454,I$6:I454,"?*")=1,MAX(W$5:W453)+1,""))</f>
        <v/>
      </c>
    </row>
    <row r="455">
      <c r="B455" s="15" t="n"/>
      <c r="C455" s="16" t="n"/>
      <c r="D455" s="17" t="n"/>
      <c r="E455" s="17" t="n"/>
      <c r="F455" s="17" t="n"/>
      <c r="G455" s="17" t="n"/>
      <c r="H455" s="18">
        <f>IF(AND(B455="",C455="",D455="",E455=""),"",IF(B455="","⚠ Falta fecha",IF(C455="","⚠ Falta monto",IF(D455="","⚠ Falta categoría",IF(ISNA(MATCH(D455,catNom,0)),"⚠ Categoría no existe",IF(E455="","⚠ Falta cuenta",IF(ISNA(MATCH(E455,ctaNom,0)),"⚠ Cuenta no existe",IF(AND(OR(I455="Transferencia",I455="Pago tarjeta"),G455=""),"⚠ Indica la cuenta «Hacia»",IF(AND(G455&lt;&gt;"",G455=E455),"⚠ «Hacia» igual a la cuenta",IF(AND(G455&lt;&gt;"",ISNA(MATCH(G455,ctaNom,0))),"⚠ «Hacia» no existe",IF(AND(I455="Pago tarjeta",IFERROR(INDEX(ctaTipo,MATCH(G455,ctaNom,0)),"")&lt;&gt;"Tarjeta de crédito"),"⚠ «Hacia» debe ser la tarjeta",IF(AND(I455="Trading",IFERROR(INDEX(ctaTipo,MATCH(E455,ctaNom,0)),"")&lt;&gt;"Cuenta de trading"),"⚠ Usa la cuenta de trading","✓"))))))))))))</f>
        <v/>
      </c>
      <c r="I455" s="19">
        <f>IF(OR(B455="",C455="",D455=""),"",IFERROR(INDEX(catTipo,MATCH(D455,catNom,0))&amp;"",""))</f>
        <v/>
      </c>
      <c r="J455" s="19">
        <f>IF(I455="","",IFERROR(INDEX(catGrupo,MATCH(D455,catNom,0))&amp;"",""))</f>
        <v/>
      </c>
      <c r="K455" s="19">
        <f>IF(I455="Gasto",IF(IFERROR(INDEX(catClas,MATCH(D455,catNom,0))&amp;"","")="","Variable",IFERROR(INDEX(catClas,MATCH(D455,catNom,0))&amp;"","")),"")</f>
        <v/>
      </c>
      <c r="L455" s="19">
        <f>IF(I455="","",IFERROR(INDEX(catAlim,MATCH(D455,catNom,0))&amp;"",""))</f>
        <v/>
      </c>
      <c r="M455" s="19">
        <f>IF(I455="","",IFERROR(INDEX(catComida,MATCH(D455,catNom,0))&amp;"",""))</f>
        <v/>
      </c>
      <c r="N455" s="19">
        <f>IF(I455="","",IFERROR(INDEX(ctaMon,MATCH(E455,ctaNom,0))&amp;"","DOP"))</f>
        <v/>
      </c>
      <c r="O455" s="20">
        <f>IF(I455="","",C455*IF(N455="USD",TasaUSD,1))</f>
        <v/>
      </c>
      <c r="P455" s="20">
        <f>IF(I455="","",IF(I455="Gasto",O455,0))</f>
        <v/>
      </c>
      <c r="Q455" s="20">
        <f>IF(I455="","",IF(I455="Ingreso",O455,0))</f>
        <v/>
      </c>
      <c r="R455" s="20">
        <f>IF(I455="","",IF(I455="Trading",O455,0))</f>
        <v/>
      </c>
      <c r="S455" s="19">
        <f>IF(I455="","",IF(AND(I455="Gasto",K455="Variable",J455&lt;&gt;"Trading",O455&gt;0,O455&lt;=Umbral),1,0))</f>
        <v/>
      </c>
      <c r="T455" s="20">
        <f>IF(OR(I455="",E455=""),"",IF(OR(I455="Gasto",I455="Transferencia",I455="Pago tarjeta"),-1,1)*C455)</f>
        <v/>
      </c>
      <c r="U455" s="20">
        <f>IF(OR(G455="",AND(I455&lt;&gt;"Transferencia",I455&lt;&gt;"Pago tarjeta")),"",IF(IFERROR(INDEX(ctaMon,MATCH(G455,ctaNom,0))&amp;"","DOP")=N455,C455,IF(N455="USD",C455*TasaUSD,C455/TasaUSD)))</f>
        <v/>
      </c>
      <c r="V455" s="20">
        <f>IF(I455="","",IF(IFERROR(INDEX(ctaLiq,MATCH(E455,ctaNom,0))="Sí",FALSE),IF(OR(I455="Gasto",I455="Transferencia",I455="Pago tarjeta"),-1,1)*O455,0)+IF(AND(U455&lt;&gt;"",IFERROR(INDEX(ctaLiq,MATCH(G455,ctaNom,0))="Sí",FALSE)),O455,0))</f>
        <v/>
      </c>
      <c r="W455" s="19">
        <f>IF(OR(F455="",I455=""),"",IF(COUNTIFS(F$6:F455,F455,I$6:I455,"?*")=1,MAX(W$5:W454)+1,""))</f>
        <v/>
      </c>
    </row>
    <row r="456">
      <c r="B456" s="15" t="n"/>
      <c r="C456" s="16" t="n"/>
      <c r="D456" s="17" t="n"/>
      <c r="E456" s="17" t="n"/>
      <c r="F456" s="17" t="n"/>
      <c r="G456" s="17" t="n"/>
      <c r="H456" s="18">
        <f>IF(AND(B456="",C456="",D456="",E456=""),"",IF(B456="","⚠ Falta fecha",IF(C456="","⚠ Falta monto",IF(D456="","⚠ Falta categoría",IF(ISNA(MATCH(D456,catNom,0)),"⚠ Categoría no existe",IF(E456="","⚠ Falta cuenta",IF(ISNA(MATCH(E456,ctaNom,0)),"⚠ Cuenta no existe",IF(AND(OR(I456="Transferencia",I456="Pago tarjeta"),G456=""),"⚠ Indica la cuenta «Hacia»",IF(AND(G456&lt;&gt;"",G456=E456),"⚠ «Hacia» igual a la cuenta",IF(AND(G456&lt;&gt;"",ISNA(MATCH(G456,ctaNom,0))),"⚠ «Hacia» no existe",IF(AND(I456="Pago tarjeta",IFERROR(INDEX(ctaTipo,MATCH(G456,ctaNom,0)),"")&lt;&gt;"Tarjeta de crédito"),"⚠ «Hacia» debe ser la tarjeta",IF(AND(I456="Trading",IFERROR(INDEX(ctaTipo,MATCH(E456,ctaNom,0)),"")&lt;&gt;"Cuenta de trading"),"⚠ Usa la cuenta de trading","✓"))))))))))))</f>
        <v/>
      </c>
      <c r="I456" s="19">
        <f>IF(OR(B456="",C456="",D456=""),"",IFERROR(INDEX(catTipo,MATCH(D456,catNom,0))&amp;"",""))</f>
        <v/>
      </c>
      <c r="J456" s="19">
        <f>IF(I456="","",IFERROR(INDEX(catGrupo,MATCH(D456,catNom,0))&amp;"",""))</f>
        <v/>
      </c>
      <c r="K456" s="19">
        <f>IF(I456="Gasto",IF(IFERROR(INDEX(catClas,MATCH(D456,catNom,0))&amp;"","")="","Variable",IFERROR(INDEX(catClas,MATCH(D456,catNom,0))&amp;"","")),"")</f>
        <v/>
      </c>
      <c r="L456" s="19">
        <f>IF(I456="","",IFERROR(INDEX(catAlim,MATCH(D456,catNom,0))&amp;"",""))</f>
        <v/>
      </c>
      <c r="M456" s="19">
        <f>IF(I456="","",IFERROR(INDEX(catComida,MATCH(D456,catNom,0))&amp;"",""))</f>
        <v/>
      </c>
      <c r="N456" s="19">
        <f>IF(I456="","",IFERROR(INDEX(ctaMon,MATCH(E456,ctaNom,0))&amp;"","DOP"))</f>
        <v/>
      </c>
      <c r="O456" s="20">
        <f>IF(I456="","",C456*IF(N456="USD",TasaUSD,1))</f>
        <v/>
      </c>
      <c r="P456" s="20">
        <f>IF(I456="","",IF(I456="Gasto",O456,0))</f>
        <v/>
      </c>
      <c r="Q456" s="20">
        <f>IF(I456="","",IF(I456="Ingreso",O456,0))</f>
        <v/>
      </c>
      <c r="R456" s="20">
        <f>IF(I456="","",IF(I456="Trading",O456,0))</f>
        <v/>
      </c>
      <c r="S456" s="19">
        <f>IF(I456="","",IF(AND(I456="Gasto",K456="Variable",J456&lt;&gt;"Trading",O456&gt;0,O456&lt;=Umbral),1,0))</f>
        <v/>
      </c>
      <c r="T456" s="20">
        <f>IF(OR(I456="",E456=""),"",IF(OR(I456="Gasto",I456="Transferencia",I456="Pago tarjeta"),-1,1)*C456)</f>
        <v/>
      </c>
      <c r="U456" s="20">
        <f>IF(OR(G456="",AND(I456&lt;&gt;"Transferencia",I456&lt;&gt;"Pago tarjeta")),"",IF(IFERROR(INDEX(ctaMon,MATCH(G456,ctaNom,0))&amp;"","DOP")=N456,C456,IF(N456="USD",C456*TasaUSD,C456/TasaUSD)))</f>
        <v/>
      </c>
      <c r="V456" s="20">
        <f>IF(I456="","",IF(IFERROR(INDEX(ctaLiq,MATCH(E456,ctaNom,0))="Sí",FALSE),IF(OR(I456="Gasto",I456="Transferencia",I456="Pago tarjeta"),-1,1)*O456,0)+IF(AND(U456&lt;&gt;"",IFERROR(INDEX(ctaLiq,MATCH(G456,ctaNom,0))="Sí",FALSE)),O456,0))</f>
        <v/>
      </c>
      <c r="W456" s="19">
        <f>IF(OR(F456="",I456=""),"",IF(COUNTIFS(F$6:F456,F456,I$6:I456,"?*")=1,MAX(W$5:W455)+1,""))</f>
        <v/>
      </c>
    </row>
    <row r="457">
      <c r="B457" s="15" t="n"/>
      <c r="C457" s="16" t="n"/>
      <c r="D457" s="17" t="n"/>
      <c r="E457" s="17" t="n"/>
      <c r="F457" s="17" t="n"/>
      <c r="G457" s="17" t="n"/>
      <c r="H457" s="18">
        <f>IF(AND(B457="",C457="",D457="",E457=""),"",IF(B457="","⚠ Falta fecha",IF(C457="","⚠ Falta monto",IF(D457="","⚠ Falta categoría",IF(ISNA(MATCH(D457,catNom,0)),"⚠ Categoría no existe",IF(E457="","⚠ Falta cuenta",IF(ISNA(MATCH(E457,ctaNom,0)),"⚠ Cuenta no existe",IF(AND(OR(I457="Transferencia",I457="Pago tarjeta"),G457=""),"⚠ Indica la cuenta «Hacia»",IF(AND(G457&lt;&gt;"",G457=E457),"⚠ «Hacia» igual a la cuenta",IF(AND(G457&lt;&gt;"",ISNA(MATCH(G457,ctaNom,0))),"⚠ «Hacia» no existe",IF(AND(I457="Pago tarjeta",IFERROR(INDEX(ctaTipo,MATCH(G457,ctaNom,0)),"")&lt;&gt;"Tarjeta de crédito"),"⚠ «Hacia» debe ser la tarjeta",IF(AND(I457="Trading",IFERROR(INDEX(ctaTipo,MATCH(E457,ctaNom,0)),"")&lt;&gt;"Cuenta de trading"),"⚠ Usa la cuenta de trading","✓"))))))))))))</f>
        <v/>
      </c>
      <c r="I457" s="19">
        <f>IF(OR(B457="",C457="",D457=""),"",IFERROR(INDEX(catTipo,MATCH(D457,catNom,0))&amp;"",""))</f>
        <v/>
      </c>
      <c r="J457" s="19">
        <f>IF(I457="","",IFERROR(INDEX(catGrupo,MATCH(D457,catNom,0))&amp;"",""))</f>
        <v/>
      </c>
      <c r="K457" s="19">
        <f>IF(I457="Gasto",IF(IFERROR(INDEX(catClas,MATCH(D457,catNom,0))&amp;"","")="","Variable",IFERROR(INDEX(catClas,MATCH(D457,catNom,0))&amp;"","")),"")</f>
        <v/>
      </c>
      <c r="L457" s="19">
        <f>IF(I457="","",IFERROR(INDEX(catAlim,MATCH(D457,catNom,0))&amp;"",""))</f>
        <v/>
      </c>
      <c r="M457" s="19">
        <f>IF(I457="","",IFERROR(INDEX(catComida,MATCH(D457,catNom,0))&amp;"",""))</f>
        <v/>
      </c>
      <c r="N457" s="19">
        <f>IF(I457="","",IFERROR(INDEX(ctaMon,MATCH(E457,ctaNom,0))&amp;"","DOP"))</f>
        <v/>
      </c>
      <c r="O457" s="20">
        <f>IF(I457="","",C457*IF(N457="USD",TasaUSD,1))</f>
        <v/>
      </c>
      <c r="P457" s="20">
        <f>IF(I457="","",IF(I457="Gasto",O457,0))</f>
        <v/>
      </c>
      <c r="Q457" s="20">
        <f>IF(I457="","",IF(I457="Ingreso",O457,0))</f>
        <v/>
      </c>
      <c r="R457" s="20">
        <f>IF(I457="","",IF(I457="Trading",O457,0))</f>
        <v/>
      </c>
      <c r="S457" s="19">
        <f>IF(I457="","",IF(AND(I457="Gasto",K457="Variable",J457&lt;&gt;"Trading",O457&gt;0,O457&lt;=Umbral),1,0))</f>
        <v/>
      </c>
      <c r="T457" s="20">
        <f>IF(OR(I457="",E457=""),"",IF(OR(I457="Gasto",I457="Transferencia",I457="Pago tarjeta"),-1,1)*C457)</f>
        <v/>
      </c>
      <c r="U457" s="20">
        <f>IF(OR(G457="",AND(I457&lt;&gt;"Transferencia",I457&lt;&gt;"Pago tarjeta")),"",IF(IFERROR(INDEX(ctaMon,MATCH(G457,ctaNom,0))&amp;"","DOP")=N457,C457,IF(N457="USD",C457*TasaUSD,C457/TasaUSD)))</f>
        <v/>
      </c>
      <c r="V457" s="20">
        <f>IF(I457="","",IF(IFERROR(INDEX(ctaLiq,MATCH(E457,ctaNom,0))="Sí",FALSE),IF(OR(I457="Gasto",I457="Transferencia",I457="Pago tarjeta"),-1,1)*O457,0)+IF(AND(U457&lt;&gt;"",IFERROR(INDEX(ctaLiq,MATCH(G457,ctaNom,0))="Sí",FALSE)),O457,0))</f>
        <v/>
      </c>
      <c r="W457" s="19">
        <f>IF(OR(F457="",I457=""),"",IF(COUNTIFS(F$6:F457,F457,I$6:I457,"?*")=1,MAX(W$5:W456)+1,""))</f>
        <v/>
      </c>
    </row>
    <row r="458">
      <c r="B458" s="15" t="n"/>
      <c r="C458" s="16" t="n"/>
      <c r="D458" s="17" t="n"/>
      <c r="E458" s="17" t="n"/>
      <c r="F458" s="17" t="n"/>
      <c r="G458" s="17" t="n"/>
      <c r="H458" s="18">
        <f>IF(AND(B458="",C458="",D458="",E458=""),"",IF(B458="","⚠ Falta fecha",IF(C458="","⚠ Falta monto",IF(D458="","⚠ Falta categoría",IF(ISNA(MATCH(D458,catNom,0)),"⚠ Categoría no existe",IF(E458="","⚠ Falta cuenta",IF(ISNA(MATCH(E458,ctaNom,0)),"⚠ Cuenta no existe",IF(AND(OR(I458="Transferencia",I458="Pago tarjeta"),G458=""),"⚠ Indica la cuenta «Hacia»",IF(AND(G458&lt;&gt;"",G458=E458),"⚠ «Hacia» igual a la cuenta",IF(AND(G458&lt;&gt;"",ISNA(MATCH(G458,ctaNom,0))),"⚠ «Hacia» no existe",IF(AND(I458="Pago tarjeta",IFERROR(INDEX(ctaTipo,MATCH(G458,ctaNom,0)),"")&lt;&gt;"Tarjeta de crédito"),"⚠ «Hacia» debe ser la tarjeta",IF(AND(I458="Trading",IFERROR(INDEX(ctaTipo,MATCH(E458,ctaNom,0)),"")&lt;&gt;"Cuenta de trading"),"⚠ Usa la cuenta de trading","✓"))))))))))))</f>
        <v/>
      </c>
      <c r="I458" s="19">
        <f>IF(OR(B458="",C458="",D458=""),"",IFERROR(INDEX(catTipo,MATCH(D458,catNom,0))&amp;"",""))</f>
        <v/>
      </c>
      <c r="J458" s="19">
        <f>IF(I458="","",IFERROR(INDEX(catGrupo,MATCH(D458,catNom,0))&amp;"",""))</f>
        <v/>
      </c>
      <c r="K458" s="19">
        <f>IF(I458="Gasto",IF(IFERROR(INDEX(catClas,MATCH(D458,catNom,0))&amp;"","")="","Variable",IFERROR(INDEX(catClas,MATCH(D458,catNom,0))&amp;"","")),"")</f>
        <v/>
      </c>
      <c r="L458" s="19">
        <f>IF(I458="","",IFERROR(INDEX(catAlim,MATCH(D458,catNom,0))&amp;"",""))</f>
        <v/>
      </c>
      <c r="M458" s="19">
        <f>IF(I458="","",IFERROR(INDEX(catComida,MATCH(D458,catNom,0))&amp;"",""))</f>
        <v/>
      </c>
      <c r="N458" s="19">
        <f>IF(I458="","",IFERROR(INDEX(ctaMon,MATCH(E458,ctaNom,0))&amp;"","DOP"))</f>
        <v/>
      </c>
      <c r="O458" s="20">
        <f>IF(I458="","",C458*IF(N458="USD",TasaUSD,1))</f>
        <v/>
      </c>
      <c r="P458" s="20">
        <f>IF(I458="","",IF(I458="Gasto",O458,0))</f>
        <v/>
      </c>
      <c r="Q458" s="20">
        <f>IF(I458="","",IF(I458="Ingreso",O458,0))</f>
        <v/>
      </c>
      <c r="R458" s="20">
        <f>IF(I458="","",IF(I458="Trading",O458,0))</f>
        <v/>
      </c>
      <c r="S458" s="19">
        <f>IF(I458="","",IF(AND(I458="Gasto",K458="Variable",J458&lt;&gt;"Trading",O458&gt;0,O458&lt;=Umbral),1,0))</f>
        <v/>
      </c>
      <c r="T458" s="20">
        <f>IF(OR(I458="",E458=""),"",IF(OR(I458="Gasto",I458="Transferencia",I458="Pago tarjeta"),-1,1)*C458)</f>
        <v/>
      </c>
      <c r="U458" s="20">
        <f>IF(OR(G458="",AND(I458&lt;&gt;"Transferencia",I458&lt;&gt;"Pago tarjeta")),"",IF(IFERROR(INDEX(ctaMon,MATCH(G458,ctaNom,0))&amp;"","DOP")=N458,C458,IF(N458="USD",C458*TasaUSD,C458/TasaUSD)))</f>
        <v/>
      </c>
      <c r="V458" s="20">
        <f>IF(I458="","",IF(IFERROR(INDEX(ctaLiq,MATCH(E458,ctaNom,0))="Sí",FALSE),IF(OR(I458="Gasto",I458="Transferencia",I458="Pago tarjeta"),-1,1)*O458,0)+IF(AND(U458&lt;&gt;"",IFERROR(INDEX(ctaLiq,MATCH(G458,ctaNom,0))="Sí",FALSE)),O458,0))</f>
        <v/>
      </c>
      <c r="W458" s="19">
        <f>IF(OR(F458="",I458=""),"",IF(COUNTIFS(F$6:F458,F458,I$6:I458,"?*")=1,MAX(W$5:W457)+1,""))</f>
        <v/>
      </c>
    </row>
    <row r="459">
      <c r="B459" s="15" t="n"/>
      <c r="C459" s="16" t="n"/>
      <c r="D459" s="17" t="n"/>
      <c r="E459" s="17" t="n"/>
      <c r="F459" s="17" t="n"/>
      <c r="G459" s="17" t="n"/>
      <c r="H459" s="18">
        <f>IF(AND(B459="",C459="",D459="",E459=""),"",IF(B459="","⚠ Falta fecha",IF(C459="","⚠ Falta monto",IF(D459="","⚠ Falta categoría",IF(ISNA(MATCH(D459,catNom,0)),"⚠ Categoría no existe",IF(E459="","⚠ Falta cuenta",IF(ISNA(MATCH(E459,ctaNom,0)),"⚠ Cuenta no existe",IF(AND(OR(I459="Transferencia",I459="Pago tarjeta"),G459=""),"⚠ Indica la cuenta «Hacia»",IF(AND(G459&lt;&gt;"",G459=E459),"⚠ «Hacia» igual a la cuenta",IF(AND(G459&lt;&gt;"",ISNA(MATCH(G459,ctaNom,0))),"⚠ «Hacia» no existe",IF(AND(I459="Pago tarjeta",IFERROR(INDEX(ctaTipo,MATCH(G459,ctaNom,0)),"")&lt;&gt;"Tarjeta de crédito"),"⚠ «Hacia» debe ser la tarjeta",IF(AND(I459="Trading",IFERROR(INDEX(ctaTipo,MATCH(E459,ctaNom,0)),"")&lt;&gt;"Cuenta de trading"),"⚠ Usa la cuenta de trading","✓"))))))))))))</f>
        <v/>
      </c>
      <c r="I459" s="19">
        <f>IF(OR(B459="",C459="",D459=""),"",IFERROR(INDEX(catTipo,MATCH(D459,catNom,0))&amp;"",""))</f>
        <v/>
      </c>
      <c r="J459" s="19">
        <f>IF(I459="","",IFERROR(INDEX(catGrupo,MATCH(D459,catNom,0))&amp;"",""))</f>
        <v/>
      </c>
      <c r="K459" s="19">
        <f>IF(I459="Gasto",IF(IFERROR(INDEX(catClas,MATCH(D459,catNom,0))&amp;"","")="","Variable",IFERROR(INDEX(catClas,MATCH(D459,catNom,0))&amp;"","")),"")</f>
        <v/>
      </c>
      <c r="L459" s="19">
        <f>IF(I459="","",IFERROR(INDEX(catAlim,MATCH(D459,catNom,0))&amp;"",""))</f>
        <v/>
      </c>
      <c r="M459" s="19">
        <f>IF(I459="","",IFERROR(INDEX(catComida,MATCH(D459,catNom,0))&amp;"",""))</f>
        <v/>
      </c>
      <c r="N459" s="19">
        <f>IF(I459="","",IFERROR(INDEX(ctaMon,MATCH(E459,ctaNom,0))&amp;"","DOP"))</f>
        <v/>
      </c>
      <c r="O459" s="20">
        <f>IF(I459="","",C459*IF(N459="USD",TasaUSD,1))</f>
        <v/>
      </c>
      <c r="P459" s="20">
        <f>IF(I459="","",IF(I459="Gasto",O459,0))</f>
        <v/>
      </c>
      <c r="Q459" s="20">
        <f>IF(I459="","",IF(I459="Ingreso",O459,0))</f>
        <v/>
      </c>
      <c r="R459" s="20">
        <f>IF(I459="","",IF(I459="Trading",O459,0))</f>
        <v/>
      </c>
      <c r="S459" s="19">
        <f>IF(I459="","",IF(AND(I459="Gasto",K459="Variable",J459&lt;&gt;"Trading",O459&gt;0,O459&lt;=Umbral),1,0))</f>
        <v/>
      </c>
      <c r="T459" s="20">
        <f>IF(OR(I459="",E459=""),"",IF(OR(I459="Gasto",I459="Transferencia",I459="Pago tarjeta"),-1,1)*C459)</f>
        <v/>
      </c>
      <c r="U459" s="20">
        <f>IF(OR(G459="",AND(I459&lt;&gt;"Transferencia",I459&lt;&gt;"Pago tarjeta")),"",IF(IFERROR(INDEX(ctaMon,MATCH(G459,ctaNom,0))&amp;"","DOP")=N459,C459,IF(N459="USD",C459*TasaUSD,C459/TasaUSD)))</f>
        <v/>
      </c>
      <c r="V459" s="20">
        <f>IF(I459="","",IF(IFERROR(INDEX(ctaLiq,MATCH(E459,ctaNom,0))="Sí",FALSE),IF(OR(I459="Gasto",I459="Transferencia",I459="Pago tarjeta"),-1,1)*O459,0)+IF(AND(U459&lt;&gt;"",IFERROR(INDEX(ctaLiq,MATCH(G459,ctaNom,0))="Sí",FALSE)),O459,0))</f>
        <v/>
      </c>
      <c r="W459" s="19">
        <f>IF(OR(F459="",I459=""),"",IF(COUNTIFS(F$6:F459,F459,I$6:I459,"?*")=1,MAX(W$5:W458)+1,""))</f>
        <v/>
      </c>
    </row>
    <row r="460">
      <c r="B460" s="15" t="n"/>
      <c r="C460" s="16" t="n"/>
      <c r="D460" s="17" t="n"/>
      <c r="E460" s="17" t="n"/>
      <c r="F460" s="17" t="n"/>
      <c r="G460" s="17" t="n"/>
      <c r="H460" s="18">
        <f>IF(AND(B460="",C460="",D460="",E460=""),"",IF(B460="","⚠ Falta fecha",IF(C460="","⚠ Falta monto",IF(D460="","⚠ Falta categoría",IF(ISNA(MATCH(D460,catNom,0)),"⚠ Categoría no existe",IF(E460="","⚠ Falta cuenta",IF(ISNA(MATCH(E460,ctaNom,0)),"⚠ Cuenta no existe",IF(AND(OR(I460="Transferencia",I460="Pago tarjeta"),G460=""),"⚠ Indica la cuenta «Hacia»",IF(AND(G460&lt;&gt;"",G460=E460),"⚠ «Hacia» igual a la cuenta",IF(AND(G460&lt;&gt;"",ISNA(MATCH(G460,ctaNom,0))),"⚠ «Hacia» no existe",IF(AND(I460="Pago tarjeta",IFERROR(INDEX(ctaTipo,MATCH(G460,ctaNom,0)),"")&lt;&gt;"Tarjeta de crédito"),"⚠ «Hacia» debe ser la tarjeta",IF(AND(I460="Trading",IFERROR(INDEX(ctaTipo,MATCH(E460,ctaNom,0)),"")&lt;&gt;"Cuenta de trading"),"⚠ Usa la cuenta de trading","✓"))))))))))))</f>
        <v/>
      </c>
      <c r="I460" s="19">
        <f>IF(OR(B460="",C460="",D460=""),"",IFERROR(INDEX(catTipo,MATCH(D460,catNom,0))&amp;"",""))</f>
        <v/>
      </c>
      <c r="J460" s="19">
        <f>IF(I460="","",IFERROR(INDEX(catGrupo,MATCH(D460,catNom,0))&amp;"",""))</f>
        <v/>
      </c>
      <c r="K460" s="19">
        <f>IF(I460="Gasto",IF(IFERROR(INDEX(catClas,MATCH(D460,catNom,0))&amp;"","")="","Variable",IFERROR(INDEX(catClas,MATCH(D460,catNom,0))&amp;"","")),"")</f>
        <v/>
      </c>
      <c r="L460" s="19">
        <f>IF(I460="","",IFERROR(INDEX(catAlim,MATCH(D460,catNom,0))&amp;"",""))</f>
        <v/>
      </c>
      <c r="M460" s="19">
        <f>IF(I460="","",IFERROR(INDEX(catComida,MATCH(D460,catNom,0))&amp;"",""))</f>
        <v/>
      </c>
      <c r="N460" s="19">
        <f>IF(I460="","",IFERROR(INDEX(ctaMon,MATCH(E460,ctaNom,0))&amp;"","DOP"))</f>
        <v/>
      </c>
      <c r="O460" s="20">
        <f>IF(I460="","",C460*IF(N460="USD",TasaUSD,1))</f>
        <v/>
      </c>
      <c r="P460" s="20">
        <f>IF(I460="","",IF(I460="Gasto",O460,0))</f>
        <v/>
      </c>
      <c r="Q460" s="20">
        <f>IF(I460="","",IF(I460="Ingreso",O460,0))</f>
        <v/>
      </c>
      <c r="R460" s="20">
        <f>IF(I460="","",IF(I460="Trading",O460,0))</f>
        <v/>
      </c>
      <c r="S460" s="19">
        <f>IF(I460="","",IF(AND(I460="Gasto",K460="Variable",J460&lt;&gt;"Trading",O460&gt;0,O460&lt;=Umbral),1,0))</f>
        <v/>
      </c>
      <c r="T460" s="20">
        <f>IF(OR(I460="",E460=""),"",IF(OR(I460="Gasto",I460="Transferencia",I460="Pago tarjeta"),-1,1)*C460)</f>
        <v/>
      </c>
      <c r="U460" s="20">
        <f>IF(OR(G460="",AND(I460&lt;&gt;"Transferencia",I460&lt;&gt;"Pago tarjeta")),"",IF(IFERROR(INDEX(ctaMon,MATCH(G460,ctaNom,0))&amp;"","DOP")=N460,C460,IF(N460="USD",C460*TasaUSD,C460/TasaUSD)))</f>
        <v/>
      </c>
      <c r="V460" s="20">
        <f>IF(I460="","",IF(IFERROR(INDEX(ctaLiq,MATCH(E460,ctaNom,0))="Sí",FALSE),IF(OR(I460="Gasto",I460="Transferencia",I460="Pago tarjeta"),-1,1)*O460,0)+IF(AND(U460&lt;&gt;"",IFERROR(INDEX(ctaLiq,MATCH(G460,ctaNom,0))="Sí",FALSE)),O460,0))</f>
        <v/>
      </c>
      <c r="W460" s="19">
        <f>IF(OR(F460="",I460=""),"",IF(COUNTIFS(F$6:F460,F460,I$6:I460,"?*")=1,MAX(W$5:W459)+1,""))</f>
        <v/>
      </c>
    </row>
    <row r="461">
      <c r="B461" s="15" t="n"/>
      <c r="C461" s="16" t="n"/>
      <c r="D461" s="17" t="n"/>
      <c r="E461" s="17" t="n"/>
      <c r="F461" s="17" t="n"/>
      <c r="G461" s="17" t="n"/>
      <c r="H461" s="18">
        <f>IF(AND(B461="",C461="",D461="",E461=""),"",IF(B461="","⚠ Falta fecha",IF(C461="","⚠ Falta monto",IF(D461="","⚠ Falta categoría",IF(ISNA(MATCH(D461,catNom,0)),"⚠ Categoría no existe",IF(E461="","⚠ Falta cuenta",IF(ISNA(MATCH(E461,ctaNom,0)),"⚠ Cuenta no existe",IF(AND(OR(I461="Transferencia",I461="Pago tarjeta"),G461=""),"⚠ Indica la cuenta «Hacia»",IF(AND(G461&lt;&gt;"",G461=E461),"⚠ «Hacia» igual a la cuenta",IF(AND(G461&lt;&gt;"",ISNA(MATCH(G461,ctaNom,0))),"⚠ «Hacia» no existe",IF(AND(I461="Pago tarjeta",IFERROR(INDEX(ctaTipo,MATCH(G461,ctaNom,0)),"")&lt;&gt;"Tarjeta de crédito"),"⚠ «Hacia» debe ser la tarjeta",IF(AND(I461="Trading",IFERROR(INDEX(ctaTipo,MATCH(E461,ctaNom,0)),"")&lt;&gt;"Cuenta de trading"),"⚠ Usa la cuenta de trading","✓"))))))))))))</f>
        <v/>
      </c>
      <c r="I461" s="19">
        <f>IF(OR(B461="",C461="",D461=""),"",IFERROR(INDEX(catTipo,MATCH(D461,catNom,0))&amp;"",""))</f>
        <v/>
      </c>
      <c r="J461" s="19">
        <f>IF(I461="","",IFERROR(INDEX(catGrupo,MATCH(D461,catNom,0))&amp;"",""))</f>
        <v/>
      </c>
      <c r="K461" s="19">
        <f>IF(I461="Gasto",IF(IFERROR(INDEX(catClas,MATCH(D461,catNom,0))&amp;"","")="","Variable",IFERROR(INDEX(catClas,MATCH(D461,catNom,0))&amp;"","")),"")</f>
        <v/>
      </c>
      <c r="L461" s="19">
        <f>IF(I461="","",IFERROR(INDEX(catAlim,MATCH(D461,catNom,0))&amp;"",""))</f>
        <v/>
      </c>
      <c r="M461" s="19">
        <f>IF(I461="","",IFERROR(INDEX(catComida,MATCH(D461,catNom,0))&amp;"",""))</f>
        <v/>
      </c>
      <c r="N461" s="19">
        <f>IF(I461="","",IFERROR(INDEX(ctaMon,MATCH(E461,ctaNom,0))&amp;"","DOP"))</f>
        <v/>
      </c>
      <c r="O461" s="20">
        <f>IF(I461="","",C461*IF(N461="USD",TasaUSD,1))</f>
        <v/>
      </c>
      <c r="P461" s="20">
        <f>IF(I461="","",IF(I461="Gasto",O461,0))</f>
        <v/>
      </c>
      <c r="Q461" s="20">
        <f>IF(I461="","",IF(I461="Ingreso",O461,0))</f>
        <v/>
      </c>
      <c r="R461" s="20">
        <f>IF(I461="","",IF(I461="Trading",O461,0))</f>
        <v/>
      </c>
      <c r="S461" s="19">
        <f>IF(I461="","",IF(AND(I461="Gasto",K461="Variable",J461&lt;&gt;"Trading",O461&gt;0,O461&lt;=Umbral),1,0))</f>
        <v/>
      </c>
      <c r="T461" s="20">
        <f>IF(OR(I461="",E461=""),"",IF(OR(I461="Gasto",I461="Transferencia",I461="Pago tarjeta"),-1,1)*C461)</f>
        <v/>
      </c>
      <c r="U461" s="20">
        <f>IF(OR(G461="",AND(I461&lt;&gt;"Transferencia",I461&lt;&gt;"Pago tarjeta")),"",IF(IFERROR(INDEX(ctaMon,MATCH(G461,ctaNom,0))&amp;"","DOP")=N461,C461,IF(N461="USD",C461*TasaUSD,C461/TasaUSD)))</f>
        <v/>
      </c>
      <c r="V461" s="20">
        <f>IF(I461="","",IF(IFERROR(INDEX(ctaLiq,MATCH(E461,ctaNom,0))="Sí",FALSE),IF(OR(I461="Gasto",I461="Transferencia",I461="Pago tarjeta"),-1,1)*O461,0)+IF(AND(U461&lt;&gt;"",IFERROR(INDEX(ctaLiq,MATCH(G461,ctaNom,0))="Sí",FALSE)),O461,0))</f>
        <v/>
      </c>
      <c r="W461" s="19">
        <f>IF(OR(F461="",I461=""),"",IF(COUNTIFS(F$6:F461,F461,I$6:I461,"?*")=1,MAX(W$5:W460)+1,""))</f>
        <v/>
      </c>
    </row>
    <row r="462">
      <c r="B462" s="15" t="n"/>
      <c r="C462" s="16" t="n"/>
      <c r="D462" s="17" t="n"/>
      <c r="E462" s="17" t="n"/>
      <c r="F462" s="17" t="n"/>
      <c r="G462" s="17" t="n"/>
      <c r="H462" s="18">
        <f>IF(AND(B462="",C462="",D462="",E462=""),"",IF(B462="","⚠ Falta fecha",IF(C462="","⚠ Falta monto",IF(D462="","⚠ Falta categoría",IF(ISNA(MATCH(D462,catNom,0)),"⚠ Categoría no existe",IF(E462="","⚠ Falta cuenta",IF(ISNA(MATCH(E462,ctaNom,0)),"⚠ Cuenta no existe",IF(AND(OR(I462="Transferencia",I462="Pago tarjeta"),G462=""),"⚠ Indica la cuenta «Hacia»",IF(AND(G462&lt;&gt;"",G462=E462),"⚠ «Hacia» igual a la cuenta",IF(AND(G462&lt;&gt;"",ISNA(MATCH(G462,ctaNom,0))),"⚠ «Hacia» no existe",IF(AND(I462="Pago tarjeta",IFERROR(INDEX(ctaTipo,MATCH(G462,ctaNom,0)),"")&lt;&gt;"Tarjeta de crédito"),"⚠ «Hacia» debe ser la tarjeta",IF(AND(I462="Trading",IFERROR(INDEX(ctaTipo,MATCH(E462,ctaNom,0)),"")&lt;&gt;"Cuenta de trading"),"⚠ Usa la cuenta de trading","✓"))))))))))))</f>
        <v/>
      </c>
      <c r="I462" s="19">
        <f>IF(OR(B462="",C462="",D462=""),"",IFERROR(INDEX(catTipo,MATCH(D462,catNom,0))&amp;"",""))</f>
        <v/>
      </c>
      <c r="J462" s="19">
        <f>IF(I462="","",IFERROR(INDEX(catGrupo,MATCH(D462,catNom,0))&amp;"",""))</f>
        <v/>
      </c>
      <c r="K462" s="19">
        <f>IF(I462="Gasto",IF(IFERROR(INDEX(catClas,MATCH(D462,catNom,0))&amp;"","")="","Variable",IFERROR(INDEX(catClas,MATCH(D462,catNom,0))&amp;"","")),"")</f>
        <v/>
      </c>
      <c r="L462" s="19">
        <f>IF(I462="","",IFERROR(INDEX(catAlim,MATCH(D462,catNom,0))&amp;"",""))</f>
        <v/>
      </c>
      <c r="M462" s="19">
        <f>IF(I462="","",IFERROR(INDEX(catComida,MATCH(D462,catNom,0))&amp;"",""))</f>
        <v/>
      </c>
      <c r="N462" s="19">
        <f>IF(I462="","",IFERROR(INDEX(ctaMon,MATCH(E462,ctaNom,0))&amp;"","DOP"))</f>
        <v/>
      </c>
      <c r="O462" s="20">
        <f>IF(I462="","",C462*IF(N462="USD",TasaUSD,1))</f>
        <v/>
      </c>
      <c r="P462" s="20">
        <f>IF(I462="","",IF(I462="Gasto",O462,0))</f>
        <v/>
      </c>
      <c r="Q462" s="20">
        <f>IF(I462="","",IF(I462="Ingreso",O462,0))</f>
        <v/>
      </c>
      <c r="R462" s="20">
        <f>IF(I462="","",IF(I462="Trading",O462,0))</f>
        <v/>
      </c>
      <c r="S462" s="19">
        <f>IF(I462="","",IF(AND(I462="Gasto",K462="Variable",J462&lt;&gt;"Trading",O462&gt;0,O462&lt;=Umbral),1,0))</f>
        <v/>
      </c>
      <c r="T462" s="20">
        <f>IF(OR(I462="",E462=""),"",IF(OR(I462="Gasto",I462="Transferencia",I462="Pago tarjeta"),-1,1)*C462)</f>
        <v/>
      </c>
      <c r="U462" s="20">
        <f>IF(OR(G462="",AND(I462&lt;&gt;"Transferencia",I462&lt;&gt;"Pago tarjeta")),"",IF(IFERROR(INDEX(ctaMon,MATCH(G462,ctaNom,0))&amp;"","DOP")=N462,C462,IF(N462="USD",C462*TasaUSD,C462/TasaUSD)))</f>
        <v/>
      </c>
      <c r="V462" s="20">
        <f>IF(I462="","",IF(IFERROR(INDEX(ctaLiq,MATCH(E462,ctaNom,0))="Sí",FALSE),IF(OR(I462="Gasto",I462="Transferencia",I462="Pago tarjeta"),-1,1)*O462,0)+IF(AND(U462&lt;&gt;"",IFERROR(INDEX(ctaLiq,MATCH(G462,ctaNom,0))="Sí",FALSE)),O462,0))</f>
        <v/>
      </c>
      <c r="W462" s="19">
        <f>IF(OR(F462="",I462=""),"",IF(COUNTIFS(F$6:F462,F462,I$6:I462,"?*")=1,MAX(W$5:W461)+1,""))</f>
        <v/>
      </c>
    </row>
    <row r="463">
      <c r="B463" s="15" t="n"/>
      <c r="C463" s="16" t="n"/>
      <c r="D463" s="17" t="n"/>
      <c r="E463" s="17" t="n"/>
      <c r="F463" s="17" t="n"/>
      <c r="G463" s="17" t="n"/>
      <c r="H463" s="18">
        <f>IF(AND(B463="",C463="",D463="",E463=""),"",IF(B463="","⚠ Falta fecha",IF(C463="","⚠ Falta monto",IF(D463="","⚠ Falta categoría",IF(ISNA(MATCH(D463,catNom,0)),"⚠ Categoría no existe",IF(E463="","⚠ Falta cuenta",IF(ISNA(MATCH(E463,ctaNom,0)),"⚠ Cuenta no existe",IF(AND(OR(I463="Transferencia",I463="Pago tarjeta"),G463=""),"⚠ Indica la cuenta «Hacia»",IF(AND(G463&lt;&gt;"",G463=E463),"⚠ «Hacia» igual a la cuenta",IF(AND(G463&lt;&gt;"",ISNA(MATCH(G463,ctaNom,0))),"⚠ «Hacia» no existe",IF(AND(I463="Pago tarjeta",IFERROR(INDEX(ctaTipo,MATCH(G463,ctaNom,0)),"")&lt;&gt;"Tarjeta de crédito"),"⚠ «Hacia» debe ser la tarjeta",IF(AND(I463="Trading",IFERROR(INDEX(ctaTipo,MATCH(E463,ctaNom,0)),"")&lt;&gt;"Cuenta de trading"),"⚠ Usa la cuenta de trading","✓"))))))))))))</f>
        <v/>
      </c>
      <c r="I463" s="19">
        <f>IF(OR(B463="",C463="",D463=""),"",IFERROR(INDEX(catTipo,MATCH(D463,catNom,0))&amp;"",""))</f>
        <v/>
      </c>
      <c r="J463" s="19">
        <f>IF(I463="","",IFERROR(INDEX(catGrupo,MATCH(D463,catNom,0))&amp;"",""))</f>
        <v/>
      </c>
      <c r="K463" s="19">
        <f>IF(I463="Gasto",IF(IFERROR(INDEX(catClas,MATCH(D463,catNom,0))&amp;"","")="","Variable",IFERROR(INDEX(catClas,MATCH(D463,catNom,0))&amp;"","")),"")</f>
        <v/>
      </c>
      <c r="L463" s="19">
        <f>IF(I463="","",IFERROR(INDEX(catAlim,MATCH(D463,catNom,0))&amp;"",""))</f>
        <v/>
      </c>
      <c r="M463" s="19">
        <f>IF(I463="","",IFERROR(INDEX(catComida,MATCH(D463,catNom,0))&amp;"",""))</f>
        <v/>
      </c>
      <c r="N463" s="19">
        <f>IF(I463="","",IFERROR(INDEX(ctaMon,MATCH(E463,ctaNom,0))&amp;"","DOP"))</f>
        <v/>
      </c>
      <c r="O463" s="20">
        <f>IF(I463="","",C463*IF(N463="USD",TasaUSD,1))</f>
        <v/>
      </c>
      <c r="P463" s="20">
        <f>IF(I463="","",IF(I463="Gasto",O463,0))</f>
        <v/>
      </c>
      <c r="Q463" s="20">
        <f>IF(I463="","",IF(I463="Ingreso",O463,0))</f>
        <v/>
      </c>
      <c r="R463" s="20">
        <f>IF(I463="","",IF(I463="Trading",O463,0))</f>
        <v/>
      </c>
      <c r="S463" s="19">
        <f>IF(I463="","",IF(AND(I463="Gasto",K463="Variable",J463&lt;&gt;"Trading",O463&gt;0,O463&lt;=Umbral),1,0))</f>
        <v/>
      </c>
      <c r="T463" s="20">
        <f>IF(OR(I463="",E463=""),"",IF(OR(I463="Gasto",I463="Transferencia",I463="Pago tarjeta"),-1,1)*C463)</f>
        <v/>
      </c>
      <c r="U463" s="20">
        <f>IF(OR(G463="",AND(I463&lt;&gt;"Transferencia",I463&lt;&gt;"Pago tarjeta")),"",IF(IFERROR(INDEX(ctaMon,MATCH(G463,ctaNom,0))&amp;"","DOP")=N463,C463,IF(N463="USD",C463*TasaUSD,C463/TasaUSD)))</f>
        <v/>
      </c>
      <c r="V463" s="20">
        <f>IF(I463="","",IF(IFERROR(INDEX(ctaLiq,MATCH(E463,ctaNom,0))="Sí",FALSE),IF(OR(I463="Gasto",I463="Transferencia",I463="Pago tarjeta"),-1,1)*O463,0)+IF(AND(U463&lt;&gt;"",IFERROR(INDEX(ctaLiq,MATCH(G463,ctaNom,0))="Sí",FALSE)),O463,0))</f>
        <v/>
      </c>
      <c r="W463" s="19">
        <f>IF(OR(F463="",I463=""),"",IF(COUNTIFS(F$6:F463,F463,I$6:I463,"?*")=1,MAX(W$5:W462)+1,""))</f>
        <v/>
      </c>
    </row>
    <row r="464">
      <c r="B464" s="15" t="n"/>
      <c r="C464" s="16" t="n"/>
      <c r="D464" s="17" t="n"/>
      <c r="E464" s="17" t="n"/>
      <c r="F464" s="17" t="n"/>
      <c r="G464" s="17" t="n"/>
      <c r="H464" s="18">
        <f>IF(AND(B464="",C464="",D464="",E464=""),"",IF(B464="","⚠ Falta fecha",IF(C464="","⚠ Falta monto",IF(D464="","⚠ Falta categoría",IF(ISNA(MATCH(D464,catNom,0)),"⚠ Categoría no existe",IF(E464="","⚠ Falta cuenta",IF(ISNA(MATCH(E464,ctaNom,0)),"⚠ Cuenta no existe",IF(AND(OR(I464="Transferencia",I464="Pago tarjeta"),G464=""),"⚠ Indica la cuenta «Hacia»",IF(AND(G464&lt;&gt;"",G464=E464),"⚠ «Hacia» igual a la cuenta",IF(AND(G464&lt;&gt;"",ISNA(MATCH(G464,ctaNom,0))),"⚠ «Hacia» no existe",IF(AND(I464="Pago tarjeta",IFERROR(INDEX(ctaTipo,MATCH(G464,ctaNom,0)),"")&lt;&gt;"Tarjeta de crédito"),"⚠ «Hacia» debe ser la tarjeta",IF(AND(I464="Trading",IFERROR(INDEX(ctaTipo,MATCH(E464,ctaNom,0)),"")&lt;&gt;"Cuenta de trading"),"⚠ Usa la cuenta de trading","✓"))))))))))))</f>
        <v/>
      </c>
      <c r="I464" s="19">
        <f>IF(OR(B464="",C464="",D464=""),"",IFERROR(INDEX(catTipo,MATCH(D464,catNom,0))&amp;"",""))</f>
        <v/>
      </c>
      <c r="J464" s="19">
        <f>IF(I464="","",IFERROR(INDEX(catGrupo,MATCH(D464,catNom,0))&amp;"",""))</f>
        <v/>
      </c>
      <c r="K464" s="19">
        <f>IF(I464="Gasto",IF(IFERROR(INDEX(catClas,MATCH(D464,catNom,0))&amp;"","")="","Variable",IFERROR(INDEX(catClas,MATCH(D464,catNom,0))&amp;"","")),"")</f>
        <v/>
      </c>
      <c r="L464" s="19">
        <f>IF(I464="","",IFERROR(INDEX(catAlim,MATCH(D464,catNom,0))&amp;"",""))</f>
        <v/>
      </c>
      <c r="M464" s="19">
        <f>IF(I464="","",IFERROR(INDEX(catComida,MATCH(D464,catNom,0))&amp;"",""))</f>
        <v/>
      </c>
      <c r="N464" s="19">
        <f>IF(I464="","",IFERROR(INDEX(ctaMon,MATCH(E464,ctaNom,0))&amp;"","DOP"))</f>
        <v/>
      </c>
      <c r="O464" s="20">
        <f>IF(I464="","",C464*IF(N464="USD",TasaUSD,1))</f>
        <v/>
      </c>
      <c r="P464" s="20">
        <f>IF(I464="","",IF(I464="Gasto",O464,0))</f>
        <v/>
      </c>
      <c r="Q464" s="20">
        <f>IF(I464="","",IF(I464="Ingreso",O464,0))</f>
        <v/>
      </c>
      <c r="R464" s="20">
        <f>IF(I464="","",IF(I464="Trading",O464,0))</f>
        <v/>
      </c>
      <c r="S464" s="19">
        <f>IF(I464="","",IF(AND(I464="Gasto",K464="Variable",J464&lt;&gt;"Trading",O464&gt;0,O464&lt;=Umbral),1,0))</f>
        <v/>
      </c>
      <c r="T464" s="20">
        <f>IF(OR(I464="",E464=""),"",IF(OR(I464="Gasto",I464="Transferencia",I464="Pago tarjeta"),-1,1)*C464)</f>
        <v/>
      </c>
      <c r="U464" s="20">
        <f>IF(OR(G464="",AND(I464&lt;&gt;"Transferencia",I464&lt;&gt;"Pago tarjeta")),"",IF(IFERROR(INDEX(ctaMon,MATCH(G464,ctaNom,0))&amp;"","DOP")=N464,C464,IF(N464="USD",C464*TasaUSD,C464/TasaUSD)))</f>
        <v/>
      </c>
      <c r="V464" s="20">
        <f>IF(I464="","",IF(IFERROR(INDEX(ctaLiq,MATCH(E464,ctaNom,0))="Sí",FALSE),IF(OR(I464="Gasto",I464="Transferencia",I464="Pago tarjeta"),-1,1)*O464,0)+IF(AND(U464&lt;&gt;"",IFERROR(INDEX(ctaLiq,MATCH(G464,ctaNom,0))="Sí",FALSE)),O464,0))</f>
        <v/>
      </c>
      <c r="W464" s="19">
        <f>IF(OR(F464="",I464=""),"",IF(COUNTIFS(F$6:F464,F464,I$6:I464,"?*")=1,MAX(W$5:W463)+1,""))</f>
        <v/>
      </c>
    </row>
    <row r="465">
      <c r="B465" s="15" t="n"/>
      <c r="C465" s="16" t="n"/>
      <c r="D465" s="17" t="n"/>
      <c r="E465" s="17" t="n"/>
      <c r="F465" s="17" t="n"/>
      <c r="G465" s="17" t="n"/>
      <c r="H465" s="18">
        <f>IF(AND(B465="",C465="",D465="",E465=""),"",IF(B465="","⚠ Falta fecha",IF(C465="","⚠ Falta monto",IF(D465="","⚠ Falta categoría",IF(ISNA(MATCH(D465,catNom,0)),"⚠ Categoría no existe",IF(E465="","⚠ Falta cuenta",IF(ISNA(MATCH(E465,ctaNom,0)),"⚠ Cuenta no existe",IF(AND(OR(I465="Transferencia",I465="Pago tarjeta"),G465=""),"⚠ Indica la cuenta «Hacia»",IF(AND(G465&lt;&gt;"",G465=E465),"⚠ «Hacia» igual a la cuenta",IF(AND(G465&lt;&gt;"",ISNA(MATCH(G465,ctaNom,0))),"⚠ «Hacia» no existe",IF(AND(I465="Pago tarjeta",IFERROR(INDEX(ctaTipo,MATCH(G465,ctaNom,0)),"")&lt;&gt;"Tarjeta de crédito"),"⚠ «Hacia» debe ser la tarjeta",IF(AND(I465="Trading",IFERROR(INDEX(ctaTipo,MATCH(E465,ctaNom,0)),"")&lt;&gt;"Cuenta de trading"),"⚠ Usa la cuenta de trading","✓"))))))))))))</f>
        <v/>
      </c>
      <c r="I465" s="19">
        <f>IF(OR(B465="",C465="",D465=""),"",IFERROR(INDEX(catTipo,MATCH(D465,catNom,0))&amp;"",""))</f>
        <v/>
      </c>
      <c r="J465" s="19">
        <f>IF(I465="","",IFERROR(INDEX(catGrupo,MATCH(D465,catNom,0))&amp;"",""))</f>
        <v/>
      </c>
      <c r="K465" s="19">
        <f>IF(I465="Gasto",IF(IFERROR(INDEX(catClas,MATCH(D465,catNom,0))&amp;"","")="","Variable",IFERROR(INDEX(catClas,MATCH(D465,catNom,0))&amp;"","")),"")</f>
        <v/>
      </c>
      <c r="L465" s="19">
        <f>IF(I465="","",IFERROR(INDEX(catAlim,MATCH(D465,catNom,0))&amp;"",""))</f>
        <v/>
      </c>
      <c r="M465" s="19">
        <f>IF(I465="","",IFERROR(INDEX(catComida,MATCH(D465,catNom,0))&amp;"",""))</f>
        <v/>
      </c>
      <c r="N465" s="19">
        <f>IF(I465="","",IFERROR(INDEX(ctaMon,MATCH(E465,ctaNom,0))&amp;"","DOP"))</f>
        <v/>
      </c>
      <c r="O465" s="20">
        <f>IF(I465="","",C465*IF(N465="USD",TasaUSD,1))</f>
        <v/>
      </c>
      <c r="P465" s="20">
        <f>IF(I465="","",IF(I465="Gasto",O465,0))</f>
        <v/>
      </c>
      <c r="Q465" s="20">
        <f>IF(I465="","",IF(I465="Ingreso",O465,0))</f>
        <v/>
      </c>
      <c r="R465" s="20">
        <f>IF(I465="","",IF(I465="Trading",O465,0))</f>
        <v/>
      </c>
      <c r="S465" s="19">
        <f>IF(I465="","",IF(AND(I465="Gasto",K465="Variable",J465&lt;&gt;"Trading",O465&gt;0,O465&lt;=Umbral),1,0))</f>
        <v/>
      </c>
      <c r="T465" s="20">
        <f>IF(OR(I465="",E465=""),"",IF(OR(I465="Gasto",I465="Transferencia",I465="Pago tarjeta"),-1,1)*C465)</f>
        <v/>
      </c>
      <c r="U465" s="20">
        <f>IF(OR(G465="",AND(I465&lt;&gt;"Transferencia",I465&lt;&gt;"Pago tarjeta")),"",IF(IFERROR(INDEX(ctaMon,MATCH(G465,ctaNom,0))&amp;"","DOP")=N465,C465,IF(N465="USD",C465*TasaUSD,C465/TasaUSD)))</f>
        <v/>
      </c>
      <c r="V465" s="20">
        <f>IF(I465="","",IF(IFERROR(INDEX(ctaLiq,MATCH(E465,ctaNom,0))="Sí",FALSE),IF(OR(I465="Gasto",I465="Transferencia",I465="Pago tarjeta"),-1,1)*O465,0)+IF(AND(U465&lt;&gt;"",IFERROR(INDEX(ctaLiq,MATCH(G465,ctaNom,0))="Sí",FALSE)),O465,0))</f>
        <v/>
      </c>
      <c r="W465" s="19">
        <f>IF(OR(F465="",I465=""),"",IF(COUNTIFS(F$6:F465,F465,I$6:I465,"?*")=1,MAX(W$5:W464)+1,""))</f>
        <v/>
      </c>
    </row>
    <row r="466">
      <c r="B466" s="15" t="n"/>
      <c r="C466" s="16" t="n"/>
      <c r="D466" s="17" t="n"/>
      <c r="E466" s="17" t="n"/>
      <c r="F466" s="17" t="n"/>
      <c r="G466" s="17" t="n"/>
      <c r="H466" s="18">
        <f>IF(AND(B466="",C466="",D466="",E466=""),"",IF(B466="","⚠ Falta fecha",IF(C466="","⚠ Falta monto",IF(D466="","⚠ Falta categoría",IF(ISNA(MATCH(D466,catNom,0)),"⚠ Categoría no existe",IF(E466="","⚠ Falta cuenta",IF(ISNA(MATCH(E466,ctaNom,0)),"⚠ Cuenta no existe",IF(AND(OR(I466="Transferencia",I466="Pago tarjeta"),G466=""),"⚠ Indica la cuenta «Hacia»",IF(AND(G466&lt;&gt;"",G466=E466),"⚠ «Hacia» igual a la cuenta",IF(AND(G466&lt;&gt;"",ISNA(MATCH(G466,ctaNom,0))),"⚠ «Hacia» no existe",IF(AND(I466="Pago tarjeta",IFERROR(INDEX(ctaTipo,MATCH(G466,ctaNom,0)),"")&lt;&gt;"Tarjeta de crédito"),"⚠ «Hacia» debe ser la tarjeta",IF(AND(I466="Trading",IFERROR(INDEX(ctaTipo,MATCH(E466,ctaNom,0)),"")&lt;&gt;"Cuenta de trading"),"⚠ Usa la cuenta de trading","✓"))))))))))))</f>
        <v/>
      </c>
      <c r="I466" s="19">
        <f>IF(OR(B466="",C466="",D466=""),"",IFERROR(INDEX(catTipo,MATCH(D466,catNom,0))&amp;"",""))</f>
        <v/>
      </c>
      <c r="J466" s="19">
        <f>IF(I466="","",IFERROR(INDEX(catGrupo,MATCH(D466,catNom,0))&amp;"",""))</f>
        <v/>
      </c>
      <c r="K466" s="19">
        <f>IF(I466="Gasto",IF(IFERROR(INDEX(catClas,MATCH(D466,catNom,0))&amp;"","")="","Variable",IFERROR(INDEX(catClas,MATCH(D466,catNom,0))&amp;"","")),"")</f>
        <v/>
      </c>
      <c r="L466" s="19">
        <f>IF(I466="","",IFERROR(INDEX(catAlim,MATCH(D466,catNom,0))&amp;"",""))</f>
        <v/>
      </c>
      <c r="M466" s="19">
        <f>IF(I466="","",IFERROR(INDEX(catComida,MATCH(D466,catNom,0))&amp;"",""))</f>
        <v/>
      </c>
      <c r="N466" s="19">
        <f>IF(I466="","",IFERROR(INDEX(ctaMon,MATCH(E466,ctaNom,0))&amp;"","DOP"))</f>
        <v/>
      </c>
      <c r="O466" s="20">
        <f>IF(I466="","",C466*IF(N466="USD",TasaUSD,1))</f>
        <v/>
      </c>
      <c r="P466" s="20">
        <f>IF(I466="","",IF(I466="Gasto",O466,0))</f>
        <v/>
      </c>
      <c r="Q466" s="20">
        <f>IF(I466="","",IF(I466="Ingreso",O466,0))</f>
        <v/>
      </c>
      <c r="R466" s="20">
        <f>IF(I466="","",IF(I466="Trading",O466,0))</f>
        <v/>
      </c>
      <c r="S466" s="19">
        <f>IF(I466="","",IF(AND(I466="Gasto",K466="Variable",J466&lt;&gt;"Trading",O466&gt;0,O466&lt;=Umbral),1,0))</f>
        <v/>
      </c>
      <c r="T466" s="20">
        <f>IF(OR(I466="",E466=""),"",IF(OR(I466="Gasto",I466="Transferencia",I466="Pago tarjeta"),-1,1)*C466)</f>
        <v/>
      </c>
      <c r="U466" s="20">
        <f>IF(OR(G466="",AND(I466&lt;&gt;"Transferencia",I466&lt;&gt;"Pago tarjeta")),"",IF(IFERROR(INDEX(ctaMon,MATCH(G466,ctaNom,0))&amp;"","DOP")=N466,C466,IF(N466="USD",C466*TasaUSD,C466/TasaUSD)))</f>
        <v/>
      </c>
      <c r="V466" s="20">
        <f>IF(I466="","",IF(IFERROR(INDEX(ctaLiq,MATCH(E466,ctaNom,0))="Sí",FALSE),IF(OR(I466="Gasto",I466="Transferencia",I466="Pago tarjeta"),-1,1)*O466,0)+IF(AND(U466&lt;&gt;"",IFERROR(INDEX(ctaLiq,MATCH(G466,ctaNom,0))="Sí",FALSE)),O466,0))</f>
        <v/>
      </c>
      <c r="W466" s="19">
        <f>IF(OR(F466="",I466=""),"",IF(COUNTIFS(F$6:F466,F466,I$6:I466,"?*")=1,MAX(W$5:W465)+1,""))</f>
        <v/>
      </c>
    </row>
    <row r="467">
      <c r="B467" s="15" t="n"/>
      <c r="C467" s="16" t="n"/>
      <c r="D467" s="17" t="n"/>
      <c r="E467" s="17" t="n"/>
      <c r="F467" s="17" t="n"/>
      <c r="G467" s="17" t="n"/>
      <c r="H467" s="18">
        <f>IF(AND(B467="",C467="",D467="",E467=""),"",IF(B467="","⚠ Falta fecha",IF(C467="","⚠ Falta monto",IF(D467="","⚠ Falta categoría",IF(ISNA(MATCH(D467,catNom,0)),"⚠ Categoría no existe",IF(E467="","⚠ Falta cuenta",IF(ISNA(MATCH(E467,ctaNom,0)),"⚠ Cuenta no existe",IF(AND(OR(I467="Transferencia",I467="Pago tarjeta"),G467=""),"⚠ Indica la cuenta «Hacia»",IF(AND(G467&lt;&gt;"",G467=E467),"⚠ «Hacia» igual a la cuenta",IF(AND(G467&lt;&gt;"",ISNA(MATCH(G467,ctaNom,0))),"⚠ «Hacia» no existe",IF(AND(I467="Pago tarjeta",IFERROR(INDEX(ctaTipo,MATCH(G467,ctaNom,0)),"")&lt;&gt;"Tarjeta de crédito"),"⚠ «Hacia» debe ser la tarjeta",IF(AND(I467="Trading",IFERROR(INDEX(ctaTipo,MATCH(E467,ctaNom,0)),"")&lt;&gt;"Cuenta de trading"),"⚠ Usa la cuenta de trading","✓"))))))))))))</f>
        <v/>
      </c>
      <c r="I467" s="19">
        <f>IF(OR(B467="",C467="",D467=""),"",IFERROR(INDEX(catTipo,MATCH(D467,catNom,0))&amp;"",""))</f>
        <v/>
      </c>
      <c r="J467" s="19">
        <f>IF(I467="","",IFERROR(INDEX(catGrupo,MATCH(D467,catNom,0))&amp;"",""))</f>
        <v/>
      </c>
      <c r="K467" s="19">
        <f>IF(I467="Gasto",IF(IFERROR(INDEX(catClas,MATCH(D467,catNom,0))&amp;"","")="","Variable",IFERROR(INDEX(catClas,MATCH(D467,catNom,0))&amp;"","")),"")</f>
        <v/>
      </c>
      <c r="L467" s="19">
        <f>IF(I467="","",IFERROR(INDEX(catAlim,MATCH(D467,catNom,0))&amp;"",""))</f>
        <v/>
      </c>
      <c r="M467" s="19">
        <f>IF(I467="","",IFERROR(INDEX(catComida,MATCH(D467,catNom,0))&amp;"",""))</f>
        <v/>
      </c>
      <c r="N467" s="19">
        <f>IF(I467="","",IFERROR(INDEX(ctaMon,MATCH(E467,ctaNom,0))&amp;"","DOP"))</f>
        <v/>
      </c>
      <c r="O467" s="20">
        <f>IF(I467="","",C467*IF(N467="USD",TasaUSD,1))</f>
        <v/>
      </c>
      <c r="P467" s="20">
        <f>IF(I467="","",IF(I467="Gasto",O467,0))</f>
        <v/>
      </c>
      <c r="Q467" s="20">
        <f>IF(I467="","",IF(I467="Ingreso",O467,0))</f>
        <v/>
      </c>
      <c r="R467" s="20">
        <f>IF(I467="","",IF(I467="Trading",O467,0))</f>
        <v/>
      </c>
      <c r="S467" s="19">
        <f>IF(I467="","",IF(AND(I467="Gasto",K467="Variable",J467&lt;&gt;"Trading",O467&gt;0,O467&lt;=Umbral),1,0))</f>
        <v/>
      </c>
      <c r="T467" s="20">
        <f>IF(OR(I467="",E467=""),"",IF(OR(I467="Gasto",I467="Transferencia",I467="Pago tarjeta"),-1,1)*C467)</f>
        <v/>
      </c>
      <c r="U467" s="20">
        <f>IF(OR(G467="",AND(I467&lt;&gt;"Transferencia",I467&lt;&gt;"Pago tarjeta")),"",IF(IFERROR(INDEX(ctaMon,MATCH(G467,ctaNom,0))&amp;"","DOP")=N467,C467,IF(N467="USD",C467*TasaUSD,C467/TasaUSD)))</f>
        <v/>
      </c>
      <c r="V467" s="20">
        <f>IF(I467="","",IF(IFERROR(INDEX(ctaLiq,MATCH(E467,ctaNom,0))="Sí",FALSE),IF(OR(I467="Gasto",I467="Transferencia",I467="Pago tarjeta"),-1,1)*O467,0)+IF(AND(U467&lt;&gt;"",IFERROR(INDEX(ctaLiq,MATCH(G467,ctaNom,0))="Sí",FALSE)),O467,0))</f>
        <v/>
      </c>
      <c r="W467" s="19">
        <f>IF(OR(F467="",I467=""),"",IF(COUNTIFS(F$6:F467,F467,I$6:I467,"?*")=1,MAX(W$5:W466)+1,""))</f>
        <v/>
      </c>
    </row>
    <row r="468">
      <c r="B468" s="15" t="n"/>
      <c r="C468" s="16" t="n"/>
      <c r="D468" s="17" t="n"/>
      <c r="E468" s="17" t="n"/>
      <c r="F468" s="17" t="n"/>
      <c r="G468" s="17" t="n"/>
      <c r="H468" s="18">
        <f>IF(AND(B468="",C468="",D468="",E468=""),"",IF(B468="","⚠ Falta fecha",IF(C468="","⚠ Falta monto",IF(D468="","⚠ Falta categoría",IF(ISNA(MATCH(D468,catNom,0)),"⚠ Categoría no existe",IF(E468="","⚠ Falta cuenta",IF(ISNA(MATCH(E468,ctaNom,0)),"⚠ Cuenta no existe",IF(AND(OR(I468="Transferencia",I468="Pago tarjeta"),G468=""),"⚠ Indica la cuenta «Hacia»",IF(AND(G468&lt;&gt;"",G468=E468),"⚠ «Hacia» igual a la cuenta",IF(AND(G468&lt;&gt;"",ISNA(MATCH(G468,ctaNom,0))),"⚠ «Hacia» no existe",IF(AND(I468="Pago tarjeta",IFERROR(INDEX(ctaTipo,MATCH(G468,ctaNom,0)),"")&lt;&gt;"Tarjeta de crédito"),"⚠ «Hacia» debe ser la tarjeta",IF(AND(I468="Trading",IFERROR(INDEX(ctaTipo,MATCH(E468,ctaNom,0)),"")&lt;&gt;"Cuenta de trading"),"⚠ Usa la cuenta de trading","✓"))))))))))))</f>
        <v/>
      </c>
      <c r="I468" s="19">
        <f>IF(OR(B468="",C468="",D468=""),"",IFERROR(INDEX(catTipo,MATCH(D468,catNom,0))&amp;"",""))</f>
        <v/>
      </c>
      <c r="J468" s="19">
        <f>IF(I468="","",IFERROR(INDEX(catGrupo,MATCH(D468,catNom,0))&amp;"",""))</f>
        <v/>
      </c>
      <c r="K468" s="19">
        <f>IF(I468="Gasto",IF(IFERROR(INDEX(catClas,MATCH(D468,catNom,0))&amp;"","")="","Variable",IFERROR(INDEX(catClas,MATCH(D468,catNom,0))&amp;"","")),"")</f>
        <v/>
      </c>
      <c r="L468" s="19">
        <f>IF(I468="","",IFERROR(INDEX(catAlim,MATCH(D468,catNom,0))&amp;"",""))</f>
        <v/>
      </c>
      <c r="M468" s="19">
        <f>IF(I468="","",IFERROR(INDEX(catComida,MATCH(D468,catNom,0))&amp;"",""))</f>
        <v/>
      </c>
      <c r="N468" s="19">
        <f>IF(I468="","",IFERROR(INDEX(ctaMon,MATCH(E468,ctaNom,0))&amp;"","DOP"))</f>
        <v/>
      </c>
      <c r="O468" s="20">
        <f>IF(I468="","",C468*IF(N468="USD",TasaUSD,1))</f>
        <v/>
      </c>
      <c r="P468" s="20">
        <f>IF(I468="","",IF(I468="Gasto",O468,0))</f>
        <v/>
      </c>
      <c r="Q468" s="20">
        <f>IF(I468="","",IF(I468="Ingreso",O468,0))</f>
        <v/>
      </c>
      <c r="R468" s="20">
        <f>IF(I468="","",IF(I468="Trading",O468,0))</f>
        <v/>
      </c>
      <c r="S468" s="19">
        <f>IF(I468="","",IF(AND(I468="Gasto",K468="Variable",J468&lt;&gt;"Trading",O468&gt;0,O468&lt;=Umbral),1,0))</f>
        <v/>
      </c>
      <c r="T468" s="20">
        <f>IF(OR(I468="",E468=""),"",IF(OR(I468="Gasto",I468="Transferencia",I468="Pago tarjeta"),-1,1)*C468)</f>
        <v/>
      </c>
      <c r="U468" s="20">
        <f>IF(OR(G468="",AND(I468&lt;&gt;"Transferencia",I468&lt;&gt;"Pago tarjeta")),"",IF(IFERROR(INDEX(ctaMon,MATCH(G468,ctaNom,0))&amp;"","DOP")=N468,C468,IF(N468="USD",C468*TasaUSD,C468/TasaUSD)))</f>
        <v/>
      </c>
      <c r="V468" s="20">
        <f>IF(I468="","",IF(IFERROR(INDEX(ctaLiq,MATCH(E468,ctaNom,0))="Sí",FALSE),IF(OR(I468="Gasto",I468="Transferencia",I468="Pago tarjeta"),-1,1)*O468,0)+IF(AND(U468&lt;&gt;"",IFERROR(INDEX(ctaLiq,MATCH(G468,ctaNom,0))="Sí",FALSE)),O468,0))</f>
        <v/>
      </c>
      <c r="W468" s="19">
        <f>IF(OR(F468="",I468=""),"",IF(COUNTIFS(F$6:F468,F468,I$6:I468,"?*")=1,MAX(W$5:W467)+1,""))</f>
        <v/>
      </c>
    </row>
    <row r="469">
      <c r="B469" s="15" t="n"/>
      <c r="C469" s="16" t="n"/>
      <c r="D469" s="17" t="n"/>
      <c r="E469" s="17" t="n"/>
      <c r="F469" s="17" t="n"/>
      <c r="G469" s="17" t="n"/>
      <c r="H469" s="18">
        <f>IF(AND(B469="",C469="",D469="",E469=""),"",IF(B469="","⚠ Falta fecha",IF(C469="","⚠ Falta monto",IF(D469="","⚠ Falta categoría",IF(ISNA(MATCH(D469,catNom,0)),"⚠ Categoría no existe",IF(E469="","⚠ Falta cuenta",IF(ISNA(MATCH(E469,ctaNom,0)),"⚠ Cuenta no existe",IF(AND(OR(I469="Transferencia",I469="Pago tarjeta"),G469=""),"⚠ Indica la cuenta «Hacia»",IF(AND(G469&lt;&gt;"",G469=E469),"⚠ «Hacia» igual a la cuenta",IF(AND(G469&lt;&gt;"",ISNA(MATCH(G469,ctaNom,0))),"⚠ «Hacia» no existe",IF(AND(I469="Pago tarjeta",IFERROR(INDEX(ctaTipo,MATCH(G469,ctaNom,0)),"")&lt;&gt;"Tarjeta de crédito"),"⚠ «Hacia» debe ser la tarjeta",IF(AND(I469="Trading",IFERROR(INDEX(ctaTipo,MATCH(E469,ctaNom,0)),"")&lt;&gt;"Cuenta de trading"),"⚠ Usa la cuenta de trading","✓"))))))))))))</f>
        <v/>
      </c>
      <c r="I469" s="19">
        <f>IF(OR(B469="",C469="",D469=""),"",IFERROR(INDEX(catTipo,MATCH(D469,catNom,0))&amp;"",""))</f>
        <v/>
      </c>
      <c r="J469" s="19">
        <f>IF(I469="","",IFERROR(INDEX(catGrupo,MATCH(D469,catNom,0))&amp;"",""))</f>
        <v/>
      </c>
      <c r="K469" s="19">
        <f>IF(I469="Gasto",IF(IFERROR(INDEX(catClas,MATCH(D469,catNom,0))&amp;"","")="","Variable",IFERROR(INDEX(catClas,MATCH(D469,catNom,0))&amp;"","")),"")</f>
        <v/>
      </c>
      <c r="L469" s="19">
        <f>IF(I469="","",IFERROR(INDEX(catAlim,MATCH(D469,catNom,0))&amp;"",""))</f>
        <v/>
      </c>
      <c r="M469" s="19">
        <f>IF(I469="","",IFERROR(INDEX(catComida,MATCH(D469,catNom,0))&amp;"",""))</f>
        <v/>
      </c>
      <c r="N469" s="19">
        <f>IF(I469="","",IFERROR(INDEX(ctaMon,MATCH(E469,ctaNom,0))&amp;"","DOP"))</f>
        <v/>
      </c>
      <c r="O469" s="20">
        <f>IF(I469="","",C469*IF(N469="USD",TasaUSD,1))</f>
        <v/>
      </c>
      <c r="P469" s="20">
        <f>IF(I469="","",IF(I469="Gasto",O469,0))</f>
        <v/>
      </c>
      <c r="Q469" s="20">
        <f>IF(I469="","",IF(I469="Ingreso",O469,0))</f>
        <v/>
      </c>
      <c r="R469" s="20">
        <f>IF(I469="","",IF(I469="Trading",O469,0))</f>
        <v/>
      </c>
      <c r="S469" s="19">
        <f>IF(I469="","",IF(AND(I469="Gasto",K469="Variable",J469&lt;&gt;"Trading",O469&gt;0,O469&lt;=Umbral),1,0))</f>
        <v/>
      </c>
      <c r="T469" s="20">
        <f>IF(OR(I469="",E469=""),"",IF(OR(I469="Gasto",I469="Transferencia",I469="Pago tarjeta"),-1,1)*C469)</f>
        <v/>
      </c>
      <c r="U469" s="20">
        <f>IF(OR(G469="",AND(I469&lt;&gt;"Transferencia",I469&lt;&gt;"Pago tarjeta")),"",IF(IFERROR(INDEX(ctaMon,MATCH(G469,ctaNom,0))&amp;"","DOP")=N469,C469,IF(N469="USD",C469*TasaUSD,C469/TasaUSD)))</f>
        <v/>
      </c>
      <c r="V469" s="20">
        <f>IF(I469="","",IF(IFERROR(INDEX(ctaLiq,MATCH(E469,ctaNom,0))="Sí",FALSE),IF(OR(I469="Gasto",I469="Transferencia",I469="Pago tarjeta"),-1,1)*O469,0)+IF(AND(U469&lt;&gt;"",IFERROR(INDEX(ctaLiq,MATCH(G469,ctaNom,0))="Sí",FALSE)),O469,0))</f>
        <v/>
      </c>
      <c r="W469" s="19">
        <f>IF(OR(F469="",I469=""),"",IF(COUNTIFS(F$6:F469,F469,I$6:I469,"?*")=1,MAX(W$5:W468)+1,""))</f>
        <v/>
      </c>
    </row>
    <row r="470">
      <c r="B470" s="15" t="n"/>
      <c r="C470" s="16" t="n"/>
      <c r="D470" s="17" t="n"/>
      <c r="E470" s="17" t="n"/>
      <c r="F470" s="17" t="n"/>
      <c r="G470" s="17" t="n"/>
      <c r="H470" s="18">
        <f>IF(AND(B470="",C470="",D470="",E470=""),"",IF(B470="","⚠ Falta fecha",IF(C470="","⚠ Falta monto",IF(D470="","⚠ Falta categoría",IF(ISNA(MATCH(D470,catNom,0)),"⚠ Categoría no existe",IF(E470="","⚠ Falta cuenta",IF(ISNA(MATCH(E470,ctaNom,0)),"⚠ Cuenta no existe",IF(AND(OR(I470="Transferencia",I470="Pago tarjeta"),G470=""),"⚠ Indica la cuenta «Hacia»",IF(AND(G470&lt;&gt;"",G470=E470),"⚠ «Hacia» igual a la cuenta",IF(AND(G470&lt;&gt;"",ISNA(MATCH(G470,ctaNom,0))),"⚠ «Hacia» no existe",IF(AND(I470="Pago tarjeta",IFERROR(INDEX(ctaTipo,MATCH(G470,ctaNom,0)),"")&lt;&gt;"Tarjeta de crédito"),"⚠ «Hacia» debe ser la tarjeta",IF(AND(I470="Trading",IFERROR(INDEX(ctaTipo,MATCH(E470,ctaNom,0)),"")&lt;&gt;"Cuenta de trading"),"⚠ Usa la cuenta de trading","✓"))))))))))))</f>
        <v/>
      </c>
      <c r="I470" s="19">
        <f>IF(OR(B470="",C470="",D470=""),"",IFERROR(INDEX(catTipo,MATCH(D470,catNom,0))&amp;"",""))</f>
        <v/>
      </c>
      <c r="J470" s="19">
        <f>IF(I470="","",IFERROR(INDEX(catGrupo,MATCH(D470,catNom,0))&amp;"",""))</f>
        <v/>
      </c>
      <c r="K470" s="19">
        <f>IF(I470="Gasto",IF(IFERROR(INDEX(catClas,MATCH(D470,catNom,0))&amp;"","")="","Variable",IFERROR(INDEX(catClas,MATCH(D470,catNom,0))&amp;"","")),"")</f>
        <v/>
      </c>
      <c r="L470" s="19">
        <f>IF(I470="","",IFERROR(INDEX(catAlim,MATCH(D470,catNom,0))&amp;"",""))</f>
        <v/>
      </c>
      <c r="M470" s="19">
        <f>IF(I470="","",IFERROR(INDEX(catComida,MATCH(D470,catNom,0))&amp;"",""))</f>
        <v/>
      </c>
      <c r="N470" s="19">
        <f>IF(I470="","",IFERROR(INDEX(ctaMon,MATCH(E470,ctaNom,0))&amp;"","DOP"))</f>
        <v/>
      </c>
      <c r="O470" s="20">
        <f>IF(I470="","",C470*IF(N470="USD",TasaUSD,1))</f>
        <v/>
      </c>
      <c r="P470" s="20">
        <f>IF(I470="","",IF(I470="Gasto",O470,0))</f>
        <v/>
      </c>
      <c r="Q470" s="20">
        <f>IF(I470="","",IF(I470="Ingreso",O470,0))</f>
        <v/>
      </c>
      <c r="R470" s="20">
        <f>IF(I470="","",IF(I470="Trading",O470,0))</f>
        <v/>
      </c>
      <c r="S470" s="19">
        <f>IF(I470="","",IF(AND(I470="Gasto",K470="Variable",J470&lt;&gt;"Trading",O470&gt;0,O470&lt;=Umbral),1,0))</f>
        <v/>
      </c>
      <c r="T470" s="20">
        <f>IF(OR(I470="",E470=""),"",IF(OR(I470="Gasto",I470="Transferencia",I470="Pago tarjeta"),-1,1)*C470)</f>
        <v/>
      </c>
      <c r="U470" s="20">
        <f>IF(OR(G470="",AND(I470&lt;&gt;"Transferencia",I470&lt;&gt;"Pago tarjeta")),"",IF(IFERROR(INDEX(ctaMon,MATCH(G470,ctaNom,0))&amp;"","DOP")=N470,C470,IF(N470="USD",C470*TasaUSD,C470/TasaUSD)))</f>
        <v/>
      </c>
      <c r="V470" s="20">
        <f>IF(I470="","",IF(IFERROR(INDEX(ctaLiq,MATCH(E470,ctaNom,0))="Sí",FALSE),IF(OR(I470="Gasto",I470="Transferencia",I470="Pago tarjeta"),-1,1)*O470,0)+IF(AND(U470&lt;&gt;"",IFERROR(INDEX(ctaLiq,MATCH(G470,ctaNom,0))="Sí",FALSE)),O470,0))</f>
        <v/>
      </c>
      <c r="W470" s="19">
        <f>IF(OR(F470="",I470=""),"",IF(COUNTIFS(F$6:F470,F470,I$6:I470,"?*")=1,MAX(W$5:W469)+1,""))</f>
        <v/>
      </c>
    </row>
    <row r="471">
      <c r="B471" s="15" t="n"/>
      <c r="C471" s="16" t="n"/>
      <c r="D471" s="17" t="n"/>
      <c r="E471" s="17" t="n"/>
      <c r="F471" s="17" t="n"/>
      <c r="G471" s="17" t="n"/>
      <c r="H471" s="18">
        <f>IF(AND(B471="",C471="",D471="",E471=""),"",IF(B471="","⚠ Falta fecha",IF(C471="","⚠ Falta monto",IF(D471="","⚠ Falta categoría",IF(ISNA(MATCH(D471,catNom,0)),"⚠ Categoría no existe",IF(E471="","⚠ Falta cuenta",IF(ISNA(MATCH(E471,ctaNom,0)),"⚠ Cuenta no existe",IF(AND(OR(I471="Transferencia",I471="Pago tarjeta"),G471=""),"⚠ Indica la cuenta «Hacia»",IF(AND(G471&lt;&gt;"",G471=E471),"⚠ «Hacia» igual a la cuenta",IF(AND(G471&lt;&gt;"",ISNA(MATCH(G471,ctaNom,0))),"⚠ «Hacia» no existe",IF(AND(I471="Pago tarjeta",IFERROR(INDEX(ctaTipo,MATCH(G471,ctaNom,0)),"")&lt;&gt;"Tarjeta de crédito"),"⚠ «Hacia» debe ser la tarjeta",IF(AND(I471="Trading",IFERROR(INDEX(ctaTipo,MATCH(E471,ctaNom,0)),"")&lt;&gt;"Cuenta de trading"),"⚠ Usa la cuenta de trading","✓"))))))))))))</f>
        <v/>
      </c>
      <c r="I471" s="19">
        <f>IF(OR(B471="",C471="",D471=""),"",IFERROR(INDEX(catTipo,MATCH(D471,catNom,0))&amp;"",""))</f>
        <v/>
      </c>
      <c r="J471" s="19">
        <f>IF(I471="","",IFERROR(INDEX(catGrupo,MATCH(D471,catNom,0))&amp;"",""))</f>
        <v/>
      </c>
      <c r="K471" s="19">
        <f>IF(I471="Gasto",IF(IFERROR(INDEX(catClas,MATCH(D471,catNom,0))&amp;"","")="","Variable",IFERROR(INDEX(catClas,MATCH(D471,catNom,0))&amp;"","")),"")</f>
        <v/>
      </c>
      <c r="L471" s="19">
        <f>IF(I471="","",IFERROR(INDEX(catAlim,MATCH(D471,catNom,0))&amp;"",""))</f>
        <v/>
      </c>
      <c r="M471" s="19">
        <f>IF(I471="","",IFERROR(INDEX(catComida,MATCH(D471,catNom,0))&amp;"",""))</f>
        <v/>
      </c>
      <c r="N471" s="19">
        <f>IF(I471="","",IFERROR(INDEX(ctaMon,MATCH(E471,ctaNom,0))&amp;"","DOP"))</f>
        <v/>
      </c>
      <c r="O471" s="20">
        <f>IF(I471="","",C471*IF(N471="USD",TasaUSD,1))</f>
        <v/>
      </c>
      <c r="P471" s="20">
        <f>IF(I471="","",IF(I471="Gasto",O471,0))</f>
        <v/>
      </c>
      <c r="Q471" s="20">
        <f>IF(I471="","",IF(I471="Ingreso",O471,0))</f>
        <v/>
      </c>
      <c r="R471" s="20">
        <f>IF(I471="","",IF(I471="Trading",O471,0))</f>
        <v/>
      </c>
      <c r="S471" s="19">
        <f>IF(I471="","",IF(AND(I471="Gasto",K471="Variable",J471&lt;&gt;"Trading",O471&gt;0,O471&lt;=Umbral),1,0))</f>
        <v/>
      </c>
      <c r="T471" s="20">
        <f>IF(OR(I471="",E471=""),"",IF(OR(I471="Gasto",I471="Transferencia",I471="Pago tarjeta"),-1,1)*C471)</f>
        <v/>
      </c>
      <c r="U471" s="20">
        <f>IF(OR(G471="",AND(I471&lt;&gt;"Transferencia",I471&lt;&gt;"Pago tarjeta")),"",IF(IFERROR(INDEX(ctaMon,MATCH(G471,ctaNom,0))&amp;"","DOP")=N471,C471,IF(N471="USD",C471*TasaUSD,C471/TasaUSD)))</f>
        <v/>
      </c>
      <c r="V471" s="20">
        <f>IF(I471="","",IF(IFERROR(INDEX(ctaLiq,MATCH(E471,ctaNom,0))="Sí",FALSE),IF(OR(I471="Gasto",I471="Transferencia",I471="Pago tarjeta"),-1,1)*O471,0)+IF(AND(U471&lt;&gt;"",IFERROR(INDEX(ctaLiq,MATCH(G471,ctaNom,0))="Sí",FALSE)),O471,0))</f>
        <v/>
      </c>
      <c r="W471" s="19">
        <f>IF(OR(F471="",I471=""),"",IF(COUNTIFS(F$6:F471,F471,I$6:I471,"?*")=1,MAX(W$5:W470)+1,""))</f>
        <v/>
      </c>
    </row>
    <row r="472">
      <c r="B472" s="15" t="n"/>
      <c r="C472" s="16" t="n"/>
      <c r="D472" s="17" t="n"/>
      <c r="E472" s="17" t="n"/>
      <c r="F472" s="17" t="n"/>
      <c r="G472" s="17" t="n"/>
      <c r="H472" s="18">
        <f>IF(AND(B472="",C472="",D472="",E472=""),"",IF(B472="","⚠ Falta fecha",IF(C472="","⚠ Falta monto",IF(D472="","⚠ Falta categoría",IF(ISNA(MATCH(D472,catNom,0)),"⚠ Categoría no existe",IF(E472="","⚠ Falta cuenta",IF(ISNA(MATCH(E472,ctaNom,0)),"⚠ Cuenta no existe",IF(AND(OR(I472="Transferencia",I472="Pago tarjeta"),G472=""),"⚠ Indica la cuenta «Hacia»",IF(AND(G472&lt;&gt;"",G472=E472),"⚠ «Hacia» igual a la cuenta",IF(AND(G472&lt;&gt;"",ISNA(MATCH(G472,ctaNom,0))),"⚠ «Hacia» no existe",IF(AND(I472="Pago tarjeta",IFERROR(INDEX(ctaTipo,MATCH(G472,ctaNom,0)),"")&lt;&gt;"Tarjeta de crédito"),"⚠ «Hacia» debe ser la tarjeta",IF(AND(I472="Trading",IFERROR(INDEX(ctaTipo,MATCH(E472,ctaNom,0)),"")&lt;&gt;"Cuenta de trading"),"⚠ Usa la cuenta de trading","✓"))))))))))))</f>
        <v/>
      </c>
      <c r="I472" s="19">
        <f>IF(OR(B472="",C472="",D472=""),"",IFERROR(INDEX(catTipo,MATCH(D472,catNom,0))&amp;"",""))</f>
        <v/>
      </c>
      <c r="J472" s="19">
        <f>IF(I472="","",IFERROR(INDEX(catGrupo,MATCH(D472,catNom,0))&amp;"",""))</f>
        <v/>
      </c>
      <c r="K472" s="19">
        <f>IF(I472="Gasto",IF(IFERROR(INDEX(catClas,MATCH(D472,catNom,0))&amp;"","")="","Variable",IFERROR(INDEX(catClas,MATCH(D472,catNom,0))&amp;"","")),"")</f>
        <v/>
      </c>
      <c r="L472" s="19">
        <f>IF(I472="","",IFERROR(INDEX(catAlim,MATCH(D472,catNom,0))&amp;"",""))</f>
        <v/>
      </c>
      <c r="M472" s="19">
        <f>IF(I472="","",IFERROR(INDEX(catComida,MATCH(D472,catNom,0))&amp;"",""))</f>
        <v/>
      </c>
      <c r="N472" s="19">
        <f>IF(I472="","",IFERROR(INDEX(ctaMon,MATCH(E472,ctaNom,0))&amp;"","DOP"))</f>
        <v/>
      </c>
      <c r="O472" s="20">
        <f>IF(I472="","",C472*IF(N472="USD",TasaUSD,1))</f>
        <v/>
      </c>
      <c r="P472" s="20">
        <f>IF(I472="","",IF(I472="Gasto",O472,0))</f>
        <v/>
      </c>
      <c r="Q472" s="20">
        <f>IF(I472="","",IF(I472="Ingreso",O472,0))</f>
        <v/>
      </c>
      <c r="R472" s="20">
        <f>IF(I472="","",IF(I472="Trading",O472,0))</f>
        <v/>
      </c>
      <c r="S472" s="19">
        <f>IF(I472="","",IF(AND(I472="Gasto",K472="Variable",J472&lt;&gt;"Trading",O472&gt;0,O472&lt;=Umbral),1,0))</f>
        <v/>
      </c>
      <c r="T472" s="20">
        <f>IF(OR(I472="",E472=""),"",IF(OR(I472="Gasto",I472="Transferencia",I472="Pago tarjeta"),-1,1)*C472)</f>
        <v/>
      </c>
      <c r="U472" s="20">
        <f>IF(OR(G472="",AND(I472&lt;&gt;"Transferencia",I472&lt;&gt;"Pago tarjeta")),"",IF(IFERROR(INDEX(ctaMon,MATCH(G472,ctaNom,0))&amp;"","DOP")=N472,C472,IF(N472="USD",C472*TasaUSD,C472/TasaUSD)))</f>
        <v/>
      </c>
      <c r="V472" s="20">
        <f>IF(I472="","",IF(IFERROR(INDEX(ctaLiq,MATCH(E472,ctaNom,0))="Sí",FALSE),IF(OR(I472="Gasto",I472="Transferencia",I472="Pago tarjeta"),-1,1)*O472,0)+IF(AND(U472&lt;&gt;"",IFERROR(INDEX(ctaLiq,MATCH(G472,ctaNom,0))="Sí",FALSE)),O472,0))</f>
        <v/>
      </c>
      <c r="W472" s="19">
        <f>IF(OR(F472="",I472=""),"",IF(COUNTIFS(F$6:F472,F472,I$6:I472,"?*")=1,MAX(W$5:W471)+1,""))</f>
        <v/>
      </c>
    </row>
    <row r="473">
      <c r="B473" s="15" t="n"/>
      <c r="C473" s="16" t="n"/>
      <c r="D473" s="17" t="n"/>
      <c r="E473" s="17" t="n"/>
      <c r="F473" s="17" t="n"/>
      <c r="G473" s="17" t="n"/>
      <c r="H473" s="18">
        <f>IF(AND(B473="",C473="",D473="",E473=""),"",IF(B473="","⚠ Falta fecha",IF(C473="","⚠ Falta monto",IF(D473="","⚠ Falta categoría",IF(ISNA(MATCH(D473,catNom,0)),"⚠ Categoría no existe",IF(E473="","⚠ Falta cuenta",IF(ISNA(MATCH(E473,ctaNom,0)),"⚠ Cuenta no existe",IF(AND(OR(I473="Transferencia",I473="Pago tarjeta"),G473=""),"⚠ Indica la cuenta «Hacia»",IF(AND(G473&lt;&gt;"",G473=E473),"⚠ «Hacia» igual a la cuenta",IF(AND(G473&lt;&gt;"",ISNA(MATCH(G473,ctaNom,0))),"⚠ «Hacia» no existe",IF(AND(I473="Pago tarjeta",IFERROR(INDEX(ctaTipo,MATCH(G473,ctaNom,0)),"")&lt;&gt;"Tarjeta de crédito"),"⚠ «Hacia» debe ser la tarjeta",IF(AND(I473="Trading",IFERROR(INDEX(ctaTipo,MATCH(E473,ctaNom,0)),"")&lt;&gt;"Cuenta de trading"),"⚠ Usa la cuenta de trading","✓"))))))))))))</f>
        <v/>
      </c>
      <c r="I473" s="19">
        <f>IF(OR(B473="",C473="",D473=""),"",IFERROR(INDEX(catTipo,MATCH(D473,catNom,0))&amp;"",""))</f>
        <v/>
      </c>
      <c r="J473" s="19">
        <f>IF(I473="","",IFERROR(INDEX(catGrupo,MATCH(D473,catNom,0))&amp;"",""))</f>
        <v/>
      </c>
      <c r="K473" s="19">
        <f>IF(I473="Gasto",IF(IFERROR(INDEX(catClas,MATCH(D473,catNom,0))&amp;"","")="","Variable",IFERROR(INDEX(catClas,MATCH(D473,catNom,0))&amp;"","")),"")</f>
        <v/>
      </c>
      <c r="L473" s="19">
        <f>IF(I473="","",IFERROR(INDEX(catAlim,MATCH(D473,catNom,0))&amp;"",""))</f>
        <v/>
      </c>
      <c r="M473" s="19">
        <f>IF(I473="","",IFERROR(INDEX(catComida,MATCH(D473,catNom,0))&amp;"",""))</f>
        <v/>
      </c>
      <c r="N473" s="19">
        <f>IF(I473="","",IFERROR(INDEX(ctaMon,MATCH(E473,ctaNom,0))&amp;"","DOP"))</f>
        <v/>
      </c>
      <c r="O473" s="20">
        <f>IF(I473="","",C473*IF(N473="USD",TasaUSD,1))</f>
        <v/>
      </c>
      <c r="P473" s="20">
        <f>IF(I473="","",IF(I473="Gasto",O473,0))</f>
        <v/>
      </c>
      <c r="Q473" s="20">
        <f>IF(I473="","",IF(I473="Ingreso",O473,0))</f>
        <v/>
      </c>
      <c r="R473" s="20">
        <f>IF(I473="","",IF(I473="Trading",O473,0))</f>
        <v/>
      </c>
      <c r="S473" s="19">
        <f>IF(I473="","",IF(AND(I473="Gasto",K473="Variable",J473&lt;&gt;"Trading",O473&gt;0,O473&lt;=Umbral),1,0))</f>
        <v/>
      </c>
      <c r="T473" s="20">
        <f>IF(OR(I473="",E473=""),"",IF(OR(I473="Gasto",I473="Transferencia",I473="Pago tarjeta"),-1,1)*C473)</f>
        <v/>
      </c>
      <c r="U473" s="20">
        <f>IF(OR(G473="",AND(I473&lt;&gt;"Transferencia",I473&lt;&gt;"Pago tarjeta")),"",IF(IFERROR(INDEX(ctaMon,MATCH(G473,ctaNom,0))&amp;"","DOP")=N473,C473,IF(N473="USD",C473*TasaUSD,C473/TasaUSD)))</f>
        <v/>
      </c>
      <c r="V473" s="20">
        <f>IF(I473="","",IF(IFERROR(INDEX(ctaLiq,MATCH(E473,ctaNom,0))="Sí",FALSE),IF(OR(I473="Gasto",I473="Transferencia",I473="Pago tarjeta"),-1,1)*O473,0)+IF(AND(U473&lt;&gt;"",IFERROR(INDEX(ctaLiq,MATCH(G473,ctaNom,0))="Sí",FALSE)),O473,0))</f>
        <v/>
      </c>
      <c r="W473" s="19">
        <f>IF(OR(F473="",I473=""),"",IF(COUNTIFS(F$6:F473,F473,I$6:I473,"?*")=1,MAX(W$5:W472)+1,""))</f>
        <v/>
      </c>
    </row>
    <row r="474">
      <c r="B474" s="15" t="n"/>
      <c r="C474" s="16" t="n"/>
      <c r="D474" s="17" t="n"/>
      <c r="E474" s="17" t="n"/>
      <c r="F474" s="17" t="n"/>
      <c r="G474" s="17" t="n"/>
      <c r="H474" s="18">
        <f>IF(AND(B474="",C474="",D474="",E474=""),"",IF(B474="","⚠ Falta fecha",IF(C474="","⚠ Falta monto",IF(D474="","⚠ Falta categoría",IF(ISNA(MATCH(D474,catNom,0)),"⚠ Categoría no existe",IF(E474="","⚠ Falta cuenta",IF(ISNA(MATCH(E474,ctaNom,0)),"⚠ Cuenta no existe",IF(AND(OR(I474="Transferencia",I474="Pago tarjeta"),G474=""),"⚠ Indica la cuenta «Hacia»",IF(AND(G474&lt;&gt;"",G474=E474),"⚠ «Hacia» igual a la cuenta",IF(AND(G474&lt;&gt;"",ISNA(MATCH(G474,ctaNom,0))),"⚠ «Hacia» no existe",IF(AND(I474="Pago tarjeta",IFERROR(INDEX(ctaTipo,MATCH(G474,ctaNom,0)),"")&lt;&gt;"Tarjeta de crédito"),"⚠ «Hacia» debe ser la tarjeta",IF(AND(I474="Trading",IFERROR(INDEX(ctaTipo,MATCH(E474,ctaNom,0)),"")&lt;&gt;"Cuenta de trading"),"⚠ Usa la cuenta de trading","✓"))))))))))))</f>
        <v/>
      </c>
      <c r="I474" s="19">
        <f>IF(OR(B474="",C474="",D474=""),"",IFERROR(INDEX(catTipo,MATCH(D474,catNom,0))&amp;"",""))</f>
        <v/>
      </c>
      <c r="J474" s="19">
        <f>IF(I474="","",IFERROR(INDEX(catGrupo,MATCH(D474,catNom,0))&amp;"",""))</f>
        <v/>
      </c>
      <c r="K474" s="19">
        <f>IF(I474="Gasto",IF(IFERROR(INDEX(catClas,MATCH(D474,catNom,0))&amp;"","")="","Variable",IFERROR(INDEX(catClas,MATCH(D474,catNom,0))&amp;"","")),"")</f>
        <v/>
      </c>
      <c r="L474" s="19">
        <f>IF(I474="","",IFERROR(INDEX(catAlim,MATCH(D474,catNom,0))&amp;"",""))</f>
        <v/>
      </c>
      <c r="M474" s="19">
        <f>IF(I474="","",IFERROR(INDEX(catComida,MATCH(D474,catNom,0))&amp;"",""))</f>
        <v/>
      </c>
      <c r="N474" s="19">
        <f>IF(I474="","",IFERROR(INDEX(ctaMon,MATCH(E474,ctaNom,0))&amp;"","DOP"))</f>
        <v/>
      </c>
      <c r="O474" s="20">
        <f>IF(I474="","",C474*IF(N474="USD",TasaUSD,1))</f>
        <v/>
      </c>
      <c r="P474" s="20">
        <f>IF(I474="","",IF(I474="Gasto",O474,0))</f>
        <v/>
      </c>
      <c r="Q474" s="20">
        <f>IF(I474="","",IF(I474="Ingreso",O474,0))</f>
        <v/>
      </c>
      <c r="R474" s="20">
        <f>IF(I474="","",IF(I474="Trading",O474,0))</f>
        <v/>
      </c>
      <c r="S474" s="19">
        <f>IF(I474="","",IF(AND(I474="Gasto",K474="Variable",J474&lt;&gt;"Trading",O474&gt;0,O474&lt;=Umbral),1,0))</f>
        <v/>
      </c>
      <c r="T474" s="20">
        <f>IF(OR(I474="",E474=""),"",IF(OR(I474="Gasto",I474="Transferencia",I474="Pago tarjeta"),-1,1)*C474)</f>
        <v/>
      </c>
      <c r="U474" s="20">
        <f>IF(OR(G474="",AND(I474&lt;&gt;"Transferencia",I474&lt;&gt;"Pago tarjeta")),"",IF(IFERROR(INDEX(ctaMon,MATCH(G474,ctaNom,0))&amp;"","DOP")=N474,C474,IF(N474="USD",C474*TasaUSD,C474/TasaUSD)))</f>
        <v/>
      </c>
      <c r="V474" s="20">
        <f>IF(I474="","",IF(IFERROR(INDEX(ctaLiq,MATCH(E474,ctaNom,0))="Sí",FALSE),IF(OR(I474="Gasto",I474="Transferencia",I474="Pago tarjeta"),-1,1)*O474,0)+IF(AND(U474&lt;&gt;"",IFERROR(INDEX(ctaLiq,MATCH(G474,ctaNom,0))="Sí",FALSE)),O474,0))</f>
        <v/>
      </c>
      <c r="W474" s="19">
        <f>IF(OR(F474="",I474=""),"",IF(COUNTIFS(F$6:F474,F474,I$6:I474,"?*")=1,MAX(W$5:W473)+1,""))</f>
        <v/>
      </c>
    </row>
    <row r="475">
      <c r="B475" s="15" t="n"/>
      <c r="C475" s="16" t="n"/>
      <c r="D475" s="17" t="n"/>
      <c r="E475" s="17" t="n"/>
      <c r="F475" s="17" t="n"/>
      <c r="G475" s="17" t="n"/>
      <c r="H475" s="18">
        <f>IF(AND(B475="",C475="",D475="",E475=""),"",IF(B475="","⚠ Falta fecha",IF(C475="","⚠ Falta monto",IF(D475="","⚠ Falta categoría",IF(ISNA(MATCH(D475,catNom,0)),"⚠ Categoría no existe",IF(E475="","⚠ Falta cuenta",IF(ISNA(MATCH(E475,ctaNom,0)),"⚠ Cuenta no existe",IF(AND(OR(I475="Transferencia",I475="Pago tarjeta"),G475=""),"⚠ Indica la cuenta «Hacia»",IF(AND(G475&lt;&gt;"",G475=E475),"⚠ «Hacia» igual a la cuenta",IF(AND(G475&lt;&gt;"",ISNA(MATCH(G475,ctaNom,0))),"⚠ «Hacia» no existe",IF(AND(I475="Pago tarjeta",IFERROR(INDEX(ctaTipo,MATCH(G475,ctaNom,0)),"")&lt;&gt;"Tarjeta de crédito"),"⚠ «Hacia» debe ser la tarjeta",IF(AND(I475="Trading",IFERROR(INDEX(ctaTipo,MATCH(E475,ctaNom,0)),"")&lt;&gt;"Cuenta de trading"),"⚠ Usa la cuenta de trading","✓"))))))))))))</f>
        <v/>
      </c>
      <c r="I475" s="19">
        <f>IF(OR(B475="",C475="",D475=""),"",IFERROR(INDEX(catTipo,MATCH(D475,catNom,0))&amp;"",""))</f>
        <v/>
      </c>
      <c r="J475" s="19">
        <f>IF(I475="","",IFERROR(INDEX(catGrupo,MATCH(D475,catNom,0))&amp;"",""))</f>
        <v/>
      </c>
      <c r="K475" s="19">
        <f>IF(I475="Gasto",IF(IFERROR(INDEX(catClas,MATCH(D475,catNom,0))&amp;"","")="","Variable",IFERROR(INDEX(catClas,MATCH(D475,catNom,0))&amp;"","")),"")</f>
        <v/>
      </c>
      <c r="L475" s="19">
        <f>IF(I475="","",IFERROR(INDEX(catAlim,MATCH(D475,catNom,0))&amp;"",""))</f>
        <v/>
      </c>
      <c r="M475" s="19">
        <f>IF(I475="","",IFERROR(INDEX(catComida,MATCH(D475,catNom,0))&amp;"",""))</f>
        <v/>
      </c>
      <c r="N475" s="19">
        <f>IF(I475="","",IFERROR(INDEX(ctaMon,MATCH(E475,ctaNom,0))&amp;"","DOP"))</f>
        <v/>
      </c>
      <c r="O475" s="20">
        <f>IF(I475="","",C475*IF(N475="USD",TasaUSD,1))</f>
        <v/>
      </c>
      <c r="P475" s="20">
        <f>IF(I475="","",IF(I475="Gasto",O475,0))</f>
        <v/>
      </c>
      <c r="Q475" s="20">
        <f>IF(I475="","",IF(I475="Ingreso",O475,0))</f>
        <v/>
      </c>
      <c r="R475" s="20">
        <f>IF(I475="","",IF(I475="Trading",O475,0))</f>
        <v/>
      </c>
      <c r="S475" s="19">
        <f>IF(I475="","",IF(AND(I475="Gasto",K475="Variable",J475&lt;&gt;"Trading",O475&gt;0,O475&lt;=Umbral),1,0))</f>
        <v/>
      </c>
      <c r="T475" s="20">
        <f>IF(OR(I475="",E475=""),"",IF(OR(I475="Gasto",I475="Transferencia",I475="Pago tarjeta"),-1,1)*C475)</f>
        <v/>
      </c>
      <c r="U475" s="20">
        <f>IF(OR(G475="",AND(I475&lt;&gt;"Transferencia",I475&lt;&gt;"Pago tarjeta")),"",IF(IFERROR(INDEX(ctaMon,MATCH(G475,ctaNom,0))&amp;"","DOP")=N475,C475,IF(N475="USD",C475*TasaUSD,C475/TasaUSD)))</f>
        <v/>
      </c>
      <c r="V475" s="20">
        <f>IF(I475="","",IF(IFERROR(INDEX(ctaLiq,MATCH(E475,ctaNom,0))="Sí",FALSE),IF(OR(I475="Gasto",I475="Transferencia",I475="Pago tarjeta"),-1,1)*O475,0)+IF(AND(U475&lt;&gt;"",IFERROR(INDEX(ctaLiq,MATCH(G475,ctaNom,0))="Sí",FALSE)),O475,0))</f>
        <v/>
      </c>
      <c r="W475" s="19">
        <f>IF(OR(F475="",I475=""),"",IF(COUNTIFS(F$6:F475,F475,I$6:I475,"?*")=1,MAX(W$5:W474)+1,""))</f>
        <v/>
      </c>
    </row>
    <row r="476">
      <c r="B476" s="15" t="n"/>
      <c r="C476" s="16" t="n"/>
      <c r="D476" s="17" t="n"/>
      <c r="E476" s="17" t="n"/>
      <c r="F476" s="17" t="n"/>
      <c r="G476" s="17" t="n"/>
      <c r="H476" s="18">
        <f>IF(AND(B476="",C476="",D476="",E476=""),"",IF(B476="","⚠ Falta fecha",IF(C476="","⚠ Falta monto",IF(D476="","⚠ Falta categoría",IF(ISNA(MATCH(D476,catNom,0)),"⚠ Categoría no existe",IF(E476="","⚠ Falta cuenta",IF(ISNA(MATCH(E476,ctaNom,0)),"⚠ Cuenta no existe",IF(AND(OR(I476="Transferencia",I476="Pago tarjeta"),G476=""),"⚠ Indica la cuenta «Hacia»",IF(AND(G476&lt;&gt;"",G476=E476),"⚠ «Hacia» igual a la cuenta",IF(AND(G476&lt;&gt;"",ISNA(MATCH(G476,ctaNom,0))),"⚠ «Hacia» no existe",IF(AND(I476="Pago tarjeta",IFERROR(INDEX(ctaTipo,MATCH(G476,ctaNom,0)),"")&lt;&gt;"Tarjeta de crédito"),"⚠ «Hacia» debe ser la tarjeta",IF(AND(I476="Trading",IFERROR(INDEX(ctaTipo,MATCH(E476,ctaNom,0)),"")&lt;&gt;"Cuenta de trading"),"⚠ Usa la cuenta de trading","✓"))))))))))))</f>
        <v/>
      </c>
      <c r="I476" s="19">
        <f>IF(OR(B476="",C476="",D476=""),"",IFERROR(INDEX(catTipo,MATCH(D476,catNom,0))&amp;"",""))</f>
        <v/>
      </c>
      <c r="J476" s="19">
        <f>IF(I476="","",IFERROR(INDEX(catGrupo,MATCH(D476,catNom,0))&amp;"",""))</f>
        <v/>
      </c>
      <c r="K476" s="19">
        <f>IF(I476="Gasto",IF(IFERROR(INDEX(catClas,MATCH(D476,catNom,0))&amp;"","")="","Variable",IFERROR(INDEX(catClas,MATCH(D476,catNom,0))&amp;"","")),"")</f>
        <v/>
      </c>
      <c r="L476" s="19">
        <f>IF(I476="","",IFERROR(INDEX(catAlim,MATCH(D476,catNom,0))&amp;"",""))</f>
        <v/>
      </c>
      <c r="M476" s="19">
        <f>IF(I476="","",IFERROR(INDEX(catComida,MATCH(D476,catNom,0))&amp;"",""))</f>
        <v/>
      </c>
      <c r="N476" s="19">
        <f>IF(I476="","",IFERROR(INDEX(ctaMon,MATCH(E476,ctaNom,0))&amp;"","DOP"))</f>
        <v/>
      </c>
      <c r="O476" s="20">
        <f>IF(I476="","",C476*IF(N476="USD",TasaUSD,1))</f>
        <v/>
      </c>
      <c r="P476" s="20">
        <f>IF(I476="","",IF(I476="Gasto",O476,0))</f>
        <v/>
      </c>
      <c r="Q476" s="20">
        <f>IF(I476="","",IF(I476="Ingreso",O476,0))</f>
        <v/>
      </c>
      <c r="R476" s="20">
        <f>IF(I476="","",IF(I476="Trading",O476,0))</f>
        <v/>
      </c>
      <c r="S476" s="19">
        <f>IF(I476="","",IF(AND(I476="Gasto",K476="Variable",J476&lt;&gt;"Trading",O476&gt;0,O476&lt;=Umbral),1,0))</f>
        <v/>
      </c>
      <c r="T476" s="20">
        <f>IF(OR(I476="",E476=""),"",IF(OR(I476="Gasto",I476="Transferencia",I476="Pago tarjeta"),-1,1)*C476)</f>
        <v/>
      </c>
      <c r="U476" s="20">
        <f>IF(OR(G476="",AND(I476&lt;&gt;"Transferencia",I476&lt;&gt;"Pago tarjeta")),"",IF(IFERROR(INDEX(ctaMon,MATCH(G476,ctaNom,0))&amp;"","DOP")=N476,C476,IF(N476="USD",C476*TasaUSD,C476/TasaUSD)))</f>
        <v/>
      </c>
      <c r="V476" s="20">
        <f>IF(I476="","",IF(IFERROR(INDEX(ctaLiq,MATCH(E476,ctaNom,0))="Sí",FALSE),IF(OR(I476="Gasto",I476="Transferencia",I476="Pago tarjeta"),-1,1)*O476,0)+IF(AND(U476&lt;&gt;"",IFERROR(INDEX(ctaLiq,MATCH(G476,ctaNom,0))="Sí",FALSE)),O476,0))</f>
        <v/>
      </c>
      <c r="W476" s="19">
        <f>IF(OR(F476="",I476=""),"",IF(COUNTIFS(F$6:F476,F476,I$6:I476,"?*")=1,MAX(W$5:W475)+1,""))</f>
        <v/>
      </c>
    </row>
    <row r="477">
      <c r="B477" s="15" t="n"/>
      <c r="C477" s="16" t="n"/>
      <c r="D477" s="17" t="n"/>
      <c r="E477" s="17" t="n"/>
      <c r="F477" s="17" t="n"/>
      <c r="G477" s="17" t="n"/>
      <c r="H477" s="18">
        <f>IF(AND(B477="",C477="",D477="",E477=""),"",IF(B477="","⚠ Falta fecha",IF(C477="","⚠ Falta monto",IF(D477="","⚠ Falta categoría",IF(ISNA(MATCH(D477,catNom,0)),"⚠ Categoría no existe",IF(E477="","⚠ Falta cuenta",IF(ISNA(MATCH(E477,ctaNom,0)),"⚠ Cuenta no existe",IF(AND(OR(I477="Transferencia",I477="Pago tarjeta"),G477=""),"⚠ Indica la cuenta «Hacia»",IF(AND(G477&lt;&gt;"",G477=E477),"⚠ «Hacia» igual a la cuenta",IF(AND(G477&lt;&gt;"",ISNA(MATCH(G477,ctaNom,0))),"⚠ «Hacia» no existe",IF(AND(I477="Pago tarjeta",IFERROR(INDEX(ctaTipo,MATCH(G477,ctaNom,0)),"")&lt;&gt;"Tarjeta de crédito"),"⚠ «Hacia» debe ser la tarjeta",IF(AND(I477="Trading",IFERROR(INDEX(ctaTipo,MATCH(E477,ctaNom,0)),"")&lt;&gt;"Cuenta de trading"),"⚠ Usa la cuenta de trading","✓"))))))))))))</f>
        <v/>
      </c>
      <c r="I477" s="19">
        <f>IF(OR(B477="",C477="",D477=""),"",IFERROR(INDEX(catTipo,MATCH(D477,catNom,0))&amp;"",""))</f>
        <v/>
      </c>
      <c r="J477" s="19">
        <f>IF(I477="","",IFERROR(INDEX(catGrupo,MATCH(D477,catNom,0))&amp;"",""))</f>
        <v/>
      </c>
      <c r="K477" s="19">
        <f>IF(I477="Gasto",IF(IFERROR(INDEX(catClas,MATCH(D477,catNom,0))&amp;"","")="","Variable",IFERROR(INDEX(catClas,MATCH(D477,catNom,0))&amp;"","")),"")</f>
        <v/>
      </c>
      <c r="L477" s="19">
        <f>IF(I477="","",IFERROR(INDEX(catAlim,MATCH(D477,catNom,0))&amp;"",""))</f>
        <v/>
      </c>
      <c r="M477" s="19">
        <f>IF(I477="","",IFERROR(INDEX(catComida,MATCH(D477,catNom,0))&amp;"",""))</f>
        <v/>
      </c>
      <c r="N477" s="19">
        <f>IF(I477="","",IFERROR(INDEX(ctaMon,MATCH(E477,ctaNom,0))&amp;"","DOP"))</f>
        <v/>
      </c>
      <c r="O477" s="20">
        <f>IF(I477="","",C477*IF(N477="USD",TasaUSD,1))</f>
        <v/>
      </c>
      <c r="P477" s="20">
        <f>IF(I477="","",IF(I477="Gasto",O477,0))</f>
        <v/>
      </c>
      <c r="Q477" s="20">
        <f>IF(I477="","",IF(I477="Ingreso",O477,0))</f>
        <v/>
      </c>
      <c r="R477" s="20">
        <f>IF(I477="","",IF(I477="Trading",O477,0))</f>
        <v/>
      </c>
      <c r="S477" s="19">
        <f>IF(I477="","",IF(AND(I477="Gasto",K477="Variable",J477&lt;&gt;"Trading",O477&gt;0,O477&lt;=Umbral),1,0))</f>
        <v/>
      </c>
      <c r="T477" s="20">
        <f>IF(OR(I477="",E477=""),"",IF(OR(I477="Gasto",I477="Transferencia",I477="Pago tarjeta"),-1,1)*C477)</f>
        <v/>
      </c>
      <c r="U477" s="20">
        <f>IF(OR(G477="",AND(I477&lt;&gt;"Transferencia",I477&lt;&gt;"Pago tarjeta")),"",IF(IFERROR(INDEX(ctaMon,MATCH(G477,ctaNom,0))&amp;"","DOP")=N477,C477,IF(N477="USD",C477*TasaUSD,C477/TasaUSD)))</f>
        <v/>
      </c>
      <c r="V477" s="20">
        <f>IF(I477="","",IF(IFERROR(INDEX(ctaLiq,MATCH(E477,ctaNom,0))="Sí",FALSE),IF(OR(I477="Gasto",I477="Transferencia",I477="Pago tarjeta"),-1,1)*O477,0)+IF(AND(U477&lt;&gt;"",IFERROR(INDEX(ctaLiq,MATCH(G477,ctaNom,0))="Sí",FALSE)),O477,0))</f>
        <v/>
      </c>
      <c r="W477" s="19">
        <f>IF(OR(F477="",I477=""),"",IF(COUNTIFS(F$6:F477,F477,I$6:I477,"?*")=1,MAX(W$5:W476)+1,""))</f>
        <v/>
      </c>
    </row>
    <row r="478">
      <c r="B478" s="15" t="n"/>
      <c r="C478" s="16" t="n"/>
      <c r="D478" s="17" t="n"/>
      <c r="E478" s="17" t="n"/>
      <c r="F478" s="17" t="n"/>
      <c r="G478" s="17" t="n"/>
      <c r="H478" s="18">
        <f>IF(AND(B478="",C478="",D478="",E478=""),"",IF(B478="","⚠ Falta fecha",IF(C478="","⚠ Falta monto",IF(D478="","⚠ Falta categoría",IF(ISNA(MATCH(D478,catNom,0)),"⚠ Categoría no existe",IF(E478="","⚠ Falta cuenta",IF(ISNA(MATCH(E478,ctaNom,0)),"⚠ Cuenta no existe",IF(AND(OR(I478="Transferencia",I478="Pago tarjeta"),G478=""),"⚠ Indica la cuenta «Hacia»",IF(AND(G478&lt;&gt;"",G478=E478),"⚠ «Hacia» igual a la cuenta",IF(AND(G478&lt;&gt;"",ISNA(MATCH(G478,ctaNom,0))),"⚠ «Hacia» no existe",IF(AND(I478="Pago tarjeta",IFERROR(INDEX(ctaTipo,MATCH(G478,ctaNom,0)),"")&lt;&gt;"Tarjeta de crédito"),"⚠ «Hacia» debe ser la tarjeta",IF(AND(I478="Trading",IFERROR(INDEX(ctaTipo,MATCH(E478,ctaNom,0)),"")&lt;&gt;"Cuenta de trading"),"⚠ Usa la cuenta de trading","✓"))))))))))))</f>
        <v/>
      </c>
      <c r="I478" s="19">
        <f>IF(OR(B478="",C478="",D478=""),"",IFERROR(INDEX(catTipo,MATCH(D478,catNom,0))&amp;"",""))</f>
        <v/>
      </c>
      <c r="J478" s="19">
        <f>IF(I478="","",IFERROR(INDEX(catGrupo,MATCH(D478,catNom,0))&amp;"",""))</f>
        <v/>
      </c>
      <c r="K478" s="19">
        <f>IF(I478="Gasto",IF(IFERROR(INDEX(catClas,MATCH(D478,catNom,0))&amp;"","")="","Variable",IFERROR(INDEX(catClas,MATCH(D478,catNom,0))&amp;"","")),"")</f>
        <v/>
      </c>
      <c r="L478" s="19">
        <f>IF(I478="","",IFERROR(INDEX(catAlim,MATCH(D478,catNom,0))&amp;"",""))</f>
        <v/>
      </c>
      <c r="M478" s="19">
        <f>IF(I478="","",IFERROR(INDEX(catComida,MATCH(D478,catNom,0))&amp;"",""))</f>
        <v/>
      </c>
      <c r="N478" s="19">
        <f>IF(I478="","",IFERROR(INDEX(ctaMon,MATCH(E478,ctaNom,0))&amp;"","DOP"))</f>
        <v/>
      </c>
      <c r="O478" s="20">
        <f>IF(I478="","",C478*IF(N478="USD",TasaUSD,1))</f>
        <v/>
      </c>
      <c r="P478" s="20">
        <f>IF(I478="","",IF(I478="Gasto",O478,0))</f>
        <v/>
      </c>
      <c r="Q478" s="20">
        <f>IF(I478="","",IF(I478="Ingreso",O478,0))</f>
        <v/>
      </c>
      <c r="R478" s="20">
        <f>IF(I478="","",IF(I478="Trading",O478,0))</f>
        <v/>
      </c>
      <c r="S478" s="19">
        <f>IF(I478="","",IF(AND(I478="Gasto",K478="Variable",J478&lt;&gt;"Trading",O478&gt;0,O478&lt;=Umbral),1,0))</f>
        <v/>
      </c>
      <c r="T478" s="20">
        <f>IF(OR(I478="",E478=""),"",IF(OR(I478="Gasto",I478="Transferencia",I478="Pago tarjeta"),-1,1)*C478)</f>
        <v/>
      </c>
      <c r="U478" s="20">
        <f>IF(OR(G478="",AND(I478&lt;&gt;"Transferencia",I478&lt;&gt;"Pago tarjeta")),"",IF(IFERROR(INDEX(ctaMon,MATCH(G478,ctaNom,0))&amp;"","DOP")=N478,C478,IF(N478="USD",C478*TasaUSD,C478/TasaUSD)))</f>
        <v/>
      </c>
      <c r="V478" s="20">
        <f>IF(I478="","",IF(IFERROR(INDEX(ctaLiq,MATCH(E478,ctaNom,0))="Sí",FALSE),IF(OR(I478="Gasto",I478="Transferencia",I478="Pago tarjeta"),-1,1)*O478,0)+IF(AND(U478&lt;&gt;"",IFERROR(INDEX(ctaLiq,MATCH(G478,ctaNom,0))="Sí",FALSE)),O478,0))</f>
        <v/>
      </c>
      <c r="W478" s="19">
        <f>IF(OR(F478="",I478=""),"",IF(COUNTIFS(F$6:F478,F478,I$6:I478,"?*")=1,MAX(W$5:W477)+1,""))</f>
        <v/>
      </c>
    </row>
    <row r="479">
      <c r="B479" s="15" t="n"/>
      <c r="C479" s="16" t="n"/>
      <c r="D479" s="17" t="n"/>
      <c r="E479" s="17" t="n"/>
      <c r="F479" s="17" t="n"/>
      <c r="G479" s="17" t="n"/>
      <c r="H479" s="18">
        <f>IF(AND(B479="",C479="",D479="",E479=""),"",IF(B479="","⚠ Falta fecha",IF(C479="","⚠ Falta monto",IF(D479="","⚠ Falta categoría",IF(ISNA(MATCH(D479,catNom,0)),"⚠ Categoría no existe",IF(E479="","⚠ Falta cuenta",IF(ISNA(MATCH(E479,ctaNom,0)),"⚠ Cuenta no existe",IF(AND(OR(I479="Transferencia",I479="Pago tarjeta"),G479=""),"⚠ Indica la cuenta «Hacia»",IF(AND(G479&lt;&gt;"",G479=E479),"⚠ «Hacia» igual a la cuenta",IF(AND(G479&lt;&gt;"",ISNA(MATCH(G479,ctaNom,0))),"⚠ «Hacia» no existe",IF(AND(I479="Pago tarjeta",IFERROR(INDEX(ctaTipo,MATCH(G479,ctaNom,0)),"")&lt;&gt;"Tarjeta de crédito"),"⚠ «Hacia» debe ser la tarjeta",IF(AND(I479="Trading",IFERROR(INDEX(ctaTipo,MATCH(E479,ctaNom,0)),"")&lt;&gt;"Cuenta de trading"),"⚠ Usa la cuenta de trading","✓"))))))))))))</f>
        <v/>
      </c>
      <c r="I479" s="19">
        <f>IF(OR(B479="",C479="",D479=""),"",IFERROR(INDEX(catTipo,MATCH(D479,catNom,0))&amp;"",""))</f>
        <v/>
      </c>
      <c r="J479" s="19">
        <f>IF(I479="","",IFERROR(INDEX(catGrupo,MATCH(D479,catNom,0))&amp;"",""))</f>
        <v/>
      </c>
      <c r="K479" s="19">
        <f>IF(I479="Gasto",IF(IFERROR(INDEX(catClas,MATCH(D479,catNom,0))&amp;"","")="","Variable",IFERROR(INDEX(catClas,MATCH(D479,catNom,0))&amp;"","")),"")</f>
        <v/>
      </c>
      <c r="L479" s="19">
        <f>IF(I479="","",IFERROR(INDEX(catAlim,MATCH(D479,catNom,0))&amp;"",""))</f>
        <v/>
      </c>
      <c r="M479" s="19">
        <f>IF(I479="","",IFERROR(INDEX(catComida,MATCH(D479,catNom,0))&amp;"",""))</f>
        <v/>
      </c>
      <c r="N479" s="19">
        <f>IF(I479="","",IFERROR(INDEX(ctaMon,MATCH(E479,ctaNom,0))&amp;"","DOP"))</f>
        <v/>
      </c>
      <c r="O479" s="20">
        <f>IF(I479="","",C479*IF(N479="USD",TasaUSD,1))</f>
        <v/>
      </c>
      <c r="P479" s="20">
        <f>IF(I479="","",IF(I479="Gasto",O479,0))</f>
        <v/>
      </c>
      <c r="Q479" s="20">
        <f>IF(I479="","",IF(I479="Ingreso",O479,0))</f>
        <v/>
      </c>
      <c r="R479" s="20">
        <f>IF(I479="","",IF(I479="Trading",O479,0))</f>
        <v/>
      </c>
      <c r="S479" s="19">
        <f>IF(I479="","",IF(AND(I479="Gasto",K479="Variable",J479&lt;&gt;"Trading",O479&gt;0,O479&lt;=Umbral),1,0))</f>
        <v/>
      </c>
      <c r="T479" s="20">
        <f>IF(OR(I479="",E479=""),"",IF(OR(I479="Gasto",I479="Transferencia",I479="Pago tarjeta"),-1,1)*C479)</f>
        <v/>
      </c>
      <c r="U479" s="20">
        <f>IF(OR(G479="",AND(I479&lt;&gt;"Transferencia",I479&lt;&gt;"Pago tarjeta")),"",IF(IFERROR(INDEX(ctaMon,MATCH(G479,ctaNom,0))&amp;"","DOP")=N479,C479,IF(N479="USD",C479*TasaUSD,C479/TasaUSD)))</f>
        <v/>
      </c>
      <c r="V479" s="20">
        <f>IF(I479="","",IF(IFERROR(INDEX(ctaLiq,MATCH(E479,ctaNom,0))="Sí",FALSE),IF(OR(I479="Gasto",I479="Transferencia",I479="Pago tarjeta"),-1,1)*O479,0)+IF(AND(U479&lt;&gt;"",IFERROR(INDEX(ctaLiq,MATCH(G479,ctaNom,0))="Sí",FALSE)),O479,0))</f>
        <v/>
      </c>
      <c r="W479" s="19">
        <f>IF(OR(F479="",I479=""),"",IF(COUNTIFS(F$6:F479,F479,I$6:I479,"?*")=1,MAX(W$5:W478)+1,""))</f>
        <v/>
      </c>
    </row>
    <row r="480">
      <c r="B480" s="15" t="n"/>
      <c r="C480" s="16" t="n"/>
      <c r="D480" s="17" t="n"/>
      <c r="E480" s="17" t="n"/>
      <c r="F480" s="17" t="n"/>
      <c r="G480" s="17" t="n"/>
      <c r="H480" s="18">
        <f>IF(AND(B480="",C480="",D480="",E480=""),"",IF(B480="","⚠ Falta fecha",IF(C480="","⚠ Falta monto",IF(D480="","⚠ Falta categoría",IF(ISNA(MATCH(D480,catNom,0)),"⚠ Categoría no existe",IF(E480="","⚠ Falta cuenta",IF(ISNA(MATCH(E480,ctaNom,0)),"⚠ Cuenta no existe",IF(AND(OR(I480="Transferencia",I480="Pago tarjeta"),G480=""),"⚠ Indica la cuenta «Hacia»",IF(AND(G480&lt;&gt;"",G480=E480),"⚠ «Hacia» igual a la cuenta",IF(AND(G480&lt;&gt;"",ISNA(MATCH(G480,ctaNom,0))),"⚠ «Hacia» no existe",IF(AND(I480="Pago tarjeta",IFERROR(INDEX(ctaTipo,MATCH(G480,ctaNom,0)),"")&lt;&gt;"Tarjeta de crédito"),"⚠ «Hacia» debe ser la tarjeta",IF(AND(I480="Trading",IFERROR(INDEX(ctaTipo,MATCH(E480,ctaNom,0)),"")&lt;&gt;"Cuenta de trading"),"⚠ Usa la cuenta de trading","✓"))))))))))))</f>
        <v/>
      </c>
      <c r="I480" s="19">
        <f>IF(OR(B480="",C480="",D480=""),"",IFERROR(INDEX(catTipo,MATCH(D480,catNom,0))&amp;"",""))</f>
        <v/>
      </c>
      <c r="J480" s="19">
        <f>IF(I480="","",IFERROR(INDEX(catGrupo,MATCH(D480,catNom,0))&amp;"",""))</f>
        <v/>
      </c>
      <c r="K480" s="19">
        <f>IF(I480="Gasto",IF(IFERROR(INDEX(catClas,MATCH(D480,catNom,0))&amp;"","")="","Variable",IFERROR(INDEX(catClas,MATCH(D480,catNom,0))&amp;"","")),"")</f>
        <v/>
      </c>
      <c r="L480" s="19">
        <f>IF(I480="","",IFERROR(INDEX(catAlim,MATCH(D480,catNom,0))&amp;"",""))</f>
        <v/>
      </c>
      <c r="M480" s="19">
        <f>IF(I480="","",IFERROR(INDEX(catComida,MATCH(D480,catNom,0))&amp;"",""))</f>
        <v/>
      </c>
      <c r="N480" s="19">
        <f>IF(I480="","",IFERROR(INDEX(ctaMon,MATCH(E480,ctaNom,0))&amp;"","DOP"))</f>
        <v/>
      </c>
      <c r="O480" s="20">
        <f>IF(I480="","",C480*IF(N480="USD",TasaUSD,1))</f>
        <v/>
      </c>
      <c r="P480" s="20">
        <f>IF(I480="","",IF(I480="Gasto",O480,0))</f>
        <v/>
      </c>
      <c r="Q480" s="20">
        <f>IF(I480="","",IF(I480="Ingreso",O480,0))</f>
        <v/>
      </c>
      <c r="R480" s="20">
        <f>IF(I480="","",IF(I480="Trading",O480,0))</f>
        <v/>
      </c>
      <c r="S480" s="19">
        <f>IF(I480="","",IF(AND(I480="Gasto",K480="Variable",J480&lt;&gt;"Trading",O480&gt;0,O480&lt;=Umbral),1,0))</f>
        <v/>
      </c>
      <c r="T480" s="20">
        <f>IF(OR(I480="",E480=""),"",IF(OR(I480="Gasto",I480="Transferencia",I480="Pago tarjeta"),-1,1)*C480)</f>
        <v/>
      </c>
      <c r="U480" s="20">
        <f>IF(OR(G480="",AND(I480&lt;&gt;"Transferencia",I480&lt;&gt;"Pago tarjeta")),"",IF(IFERROR(INDEX(ctaMon,MATCH(G480,ctaNom,0))&amp;"","DOP")=N480,C480,IF(N480="USD",C480*TasaUSD,C480/TasaUSD)))</f>
        <v/>
      </c>
      <c r="V480" s="20">
        <f>IF(I480="","",IF(IFERROR(INDEX(ctaLiq,MATCH(E480,ctaNom,0))="Sí",FALSE),IF(OR(I480="Gasto",I480="Transferencia",I480="Pago tarjeta"),-1,1)*O480,0)+IF(AND(U480&lt;&gt;"",IFERROR(INDEX(ctaLiq,MATCH(G480,ctaNom,0))="Sí",FALSE)),O480,0))</f>
        <v/>
      </c>
      <c r="W480" s="19">
        <f>IF(OR(F480="",I480=""),"",IF(COUNTIFS(F$6:F480,F480,I$6:I480,"?*")=1,MAX(W$5:W479)+1,""))</f>
        <v/>
      </c>
    </row>
    <row r="481">
      <c r="B481" s="15" t="n"/>
      <c r="C481" s="16" t="n"/>
      <c r="D481" s="17" t="n"/>
      <c r="E481" s="17" t="n"/>
      <c r="F481" s="17" t="n"/>
      <c r="G481" s="17" t="n"/>
      <c r="H481" s="18">
        <f>IF(AND(B481="",C481="",D481="",E481=""),"",IF(B481="","⚠ Falta fecha",IF(C481="","⚠ Falta monto",IF(D481="","⚠ Falta categoría",IF(ISNA(MATCH(D481,catNom,0)),"⚠ Categoría no existe",IF(E481="","⚠ Falta cuenta",IF(ISNA(MATCH(E481,ctaNom,0)),"⚠ Cuenta no existe",IF(AND(OR(I481="Transferencia",I481="Pago tarjeta"),G481=""),"⚠ Indica la cuenta «Hacia»",IF(AND(G481&lt;&gt;"",G481=E481),"⚠ «Hacia» igual a la cuenta",IF(AND(G481&lt;&gt;"",ISNA(MATCH(G481,ctaNom,0))),"⚠ «Hacia» no existe",IF(AND(I481="Pago tarjeta",IFERROR(INDEX(ctaTipo,MATCH(G481,ctaNom,0)),"")&lt;&gt;"Tarjeta de crédito"),"⚠ «Hacia» debe ser la tarjeta",IF(AND(I481="Trading",IFERROR(INDEX(ctaTipo,MATCH(E481,ctaNom,0)),"")&lt;&gt;"Cuenta de trading"),"⚠ Usa la cuenta de trading","✓"))))))))))))</f>
        <v/>
      </c>
      <c r="I481" s="19">
        <f>IF(OR(B481="",C481="",D481=""),"",IFERROR(INDEX(catTipo,MATCH(D481,catNom,0))&amp;"",""))</f>
        <v/>
      </c>
      <c r="J481" s="19">
        <f>IF(I481="","",IFERROR(INDEX(catGrupo,MATCH(D481,catNom,0))&amp;"",""))</f>
        <v/>
      </c>
      <c r="K481" s="19">
        <f>IF(I481="Gasto",IF(IFERROR(INDEX(catClas,MATCH(D481,catNom,0))&amp;"","")="","Variable",IFERROR(INDEX(catClas,MATCH(D481,catNom,0))&amp;"","")),"")</f>
        <v/>
      </c>
      <c r="L481" s="19">
        <f>IF(I481="","",IFERROR(INDEX(catAlim,MATCH(D481,catNom,0))&amp;"",""))</f>
        <v/>
      </c>
      <c r="M481" s="19">
        <f>IF(I481="","",IFERROR(INDEX(catComida,MATCH(D481,catNom,0))&amp;"",""))</f>
        <v/>
      </c>
      <c r="N481" s="19">
        <f>IF(I481="","",IFERROR(INDEX(ctaMon,MATCH(E481,ctaNom,0))&amp;"","DOP"))</f>
        <v/>
      </c>
      <c r="O481" s="20">
        <f>IF(I481="","",C481*IF(N481="USD",TasaUSD,1))</f>
        <v/>
      </c>
      <c r="P481" s="20">
        <f>IF(I481="","",IF(I481="Gasto",O481,0))</f>
        <v/>
      </c>
      <c r="Q481" s="20">
        <f>IF(I481="","",IF(I481="Ingreso",O481,0))</f>
        <v/>
      </c>
      <c r="R481" s="20">
        <f>IF(I481="","",IF(I481="Trading",O481,0))</f>
        <v/>
      </c>
      <c r="S481" s="19">
        <f>IF(I481="","",IF(AND(I481="Gasto",K481="Variable",J481&lt;&gt;"Trading",O481&gt;0,O481&lt;=Umbral),1,0))</f>
        <v/>
      </c>
      <c r="T481" s="20">
        <f>IF(OR(I481="",E481=""),"",IF(OR(I481="Gasto",I481="Transferencia",I481="Pago tarjeta"),-1,1)*C481)</f>
        <v/>
      </c>
      <c r="U481" s="20">
        <f>IF(OR(G481="",AND(I481&lt;&gt;"Transferencia",I481&lt;&gt;"Pago tarjeta")),"",IF(IFERROR(INDEX(ctaMon,MATCH(G481,ctaNom,0))&amp;"","DOP")=N481,C481,IF(N481="USD",C481*TasaUSD,C481/TasaUSD)))</f>
        <v/>
      </c>
      <c r="V481" s="20">
        <f>IF(I481="","",IF(IFERROR(INDEX(ctaLiq,MATCH(E481,ctaNom,0))="Sí",FALSE),IF(OR(I481="Gasto",I481="Transferencia",I481="Pago tarjeta"),-1,1)*O481,0)+IF(AND(U481&lt;&gt;"",IFERROR(INDEX(ctaLiq,MATCH(G481,ctaNom,0))="Sí",FALSE)),O481,0))</f>
        <v/>
      </c>
      <c r="W481" s="19">
        <f>IF(OR(F481="",I481=""),"",IF(COUNTIFS(F$6:F481,F481,I$6:I481,"?*")=1,MAX(W$5:W480)+1,""))</f>
        <v/>
      </c>
    </row>
    <row r="482">
      <c r="B482" s="15" t="n"/>
      <c r="C482" s="16" t="n"/>
      <c r="D482" s="17" t="n"/>
      <c r="E482" s="17" t="n"/>
      <c r="F482" s="17" t="n"/>
      <c r="G482" s="17" t="n"/>
      <c r="H482" s="18">
        <f>IF(AND(B482="",C482="",D482="",E482=""),"",IF(B482="","⚠ Falta fecha",IF(C482="","⚠ Falta monto",IF(D482="","⚠ Falta categoría",IF(ISNA(MATCH(D482,catNom,0)),"⚠ Categoría no existe",IF(E482="","⚠ Falta cuenta",IF(ISNA(MATCH(E482,ctaNom,0)),"⚠ Cuenta no existe",IF(AND(OR(I482="Transferencia",I482="Pago tarjeta"),G482=""),"⚠ Indica la cuenta «Hacia»",IF(AND(G482&lt;&gt;"",G482=E482),"⚠ «Hacia» igual a la cuenta",IF(AND(G482&lt;&gt;"",ISNA(MATCH(G482,ctaNom,0))),"⚠ «Hacia» no existe",IF(AND(I482="Pago tarjeta",IFERROR(INDEX(ctaTipo,MATCH(G482,ctaNom,0)),"")&lt;&gt;"Tarjeta de crédito"),"⚠ «Hacia» debe ser la tarjeta",IF(AND(I482="Trading",IFERROR(INDEX(ctaTipo,MATCH(E482,ctaNom,0)),"")&lt;&gt;"Cuenta de trading"),"⚠ Usa la cuenta de trading","✓"))))))))))))</f>
        <v/>
      </c>
      <c r="I482" s="19">
        <f>IF(OR(B482="",C482="",D482=""),"",IFERROR(INDEX(catTipo,MATCH(D482,catNom,0))&amp;"",""))</f>
        <v/>
      </c>
      <c r="J482" s="19">
        <f>IF(I482="","",IFERROR(INDEX(catGrupo,MATCH(D482,catNom,0))&amp;"",""))</f>
        <v/>
      </c>
      <c r="K482" s="19">
        <f>IF(I482="Gasto",IF(IFERROR(INDEX(catClas,MATCH(D482,catNom,0))&amp;"","")="","Variable",IFERROR(INDEX(catClas,MATCH(D482,catNom,0))&amp;"","")),"")</f>
        <v/>
      </c>
      <c r="L482" s="19">
        <f>IF(I482="","",IFERROR(INDEX(catAlim,MATCH(D482,catNom,0))&amp;"",""))</f>
        <v/>
      </c>
      <c r="M482" s="19">
        <f>IF(I482="","",IFERROR(INDEX(catComida,MATCH(D482,catNom,0))&amp;"",""))</f>
        <v/>
      </c>
      <c r="N482" s="19">
        <f>IF(I482="","",IFERROR(INDEX(ctaMon,MATCH(E482,ctaNom,0))&amp;"","DOP"))</f>
        <v/>
      </c>
      <c r="O482" s="20">
        <f>IF(I482="","",C482*IF(N482="USD",TasaUSD,1))</f>
        <v/>
      </c>
      <c r="P482" s="20">
        <f>IF(I482="","",IF(I482="Gasto",O482,0))</f>
        <v/>
      </c>
      <c r="Q482" s="20">
        <f>IF(I482="","",IF(I482="Ingreso",O482,0))</f>
        <v/>
      </c>
      <c r="R482" s="20">
        <f>IF(I482="","",IF(I482="Trading",O482,0))</f>
        <v/>
      </c>
      <c r="S482" s="19">
        <f>IF(I482="","",IF(AND(I482="Gasto",K482="Variable",J482&lt;&gt;"Trading",O482&gt;0,O482&lt;=Umbral),1,0))</f>
        <v/>
      </c>
      <c r="T482" s="20">
        <f>IF(OR(I482="",E482=""),"",IF(OR(I482="Gasto",I482="Transferencia",I482="Pago tarjeta"),-1,1)*C482)</f>
        <v/>
      </c>
      <c r="U482" s="20">
        <f>IF(OR(G482="",AND(I482&lt;&gt;"Transferencia",I482&lt;&gt;"Pago tarjeta")),"",IF(IFERROR(INDEX(ctaMon,MATCH(G482,ctaNom,0))&amp;"","DOP")=N482,C482,IF(N482="USD",C482*TasaUSD,C482/TasaUSD)))</f>
        <v/>
      </c>
      <c r="V482" s="20">
        <f>IF(I482="","",IF(IFERROR(INDEX(ctaLiq,MATCH(E482,ctaNom,0))="Sí",FALSE),IF(OR(I482="Gasto",I482="Transferencia",I482="Pago tarjeta"),-1,1)*O482,0)+IF(AND(U482&lt;&gt;"",IFERROR(INDEX(ctaLiq,MATCH(G482,ctaNom,0))="Sí",FALSE)),O482,0))</f>
        <v/>
      </c>
      <c r="W482" s="19">
        <f>IF(OR(F482="",I482=""),"",IF(COUNTIFS(F$6:F482,F482,I$6:I482,"?*")=1,MAX(W$5:W481)+1,""))</f>
        <v/>
      </c>
    </row>
    <row r="483">
      <c r="B483" s="15" t="n"/>
      <c r="C483" s="16" t="n"/>
      <c r="D483" s="17" t="n"/>
      <c r="E483" s="17" t="n"/>
      <c r="F483" s="17" t="n"/>
      <c r="G483" s="17" t="n"/>
      <c r="H483" s="18">
        <f>IF(AND(B483="",C483="",D483="",E483=""),"",IF(B483="","⚠ Falta fecha",IF(C483="","⚠ Falta monto",IF(D483="","⚠ Falta categoría",IF(ISNA(MATCH(D483,catNom,0)),"⚠ Categoría no existe",IF(E483="","⚠ Falta cuenta",IF(ISNA(MATCH(E483,ctaNom,0)),"⚠ Cuenta no existe",IF(AND(OR(I483="Transferencia",I483="Pago tarjeta"),G483=""),"⚠ Indica la cuenta «Hacia»",IF(AND(G483&lt;&gt;"",G483=E483),"⚠ «Hacia» igual a la cuenta",IF(AND(G483&lt;&gt;"",ISNA(MATCH(G483,ctaNom,0))),"⚠ «Hacia» no existe",IF(AND(I483="Pago tarjeta",IFERROR(INDEX(ctaTipo,MATCH(G483,ctaNom,0)),"")&lt;&gt;"Tarjeta de crédito"),"⚠ «Hacia» debe ser la tarjeta",IF(AND(I483="Trading",IFERROR(INDEX(ctaTipo,MATCH(E483,ctaNom,0)),"")&lt;&gt;"Cuenta de trading"),"⚠ Usa la cuenta de trading","✓"))))))))))))</f>
        <v/>
      </c>
      <c r="I483" s="19">
        <f>IF(OR(B483="",C483="",D483=""),"",IFERROR(INDEX(catTipo,MATCH(D483,catNom,0))&amp;"",""))</f>
        <v/>
      </c>
      <c r="J483" s="19">
        <f>IF(I483="","",IFERROR(INDEX(catGrupo,MATCH(D483,catNom,0))&amp;"",""))</f>
        <v/>
      </c>
      <c r="K483" s="19">
        <f>IF(I483="Gasto",IF(IFERROR(INDEX(catClas,MATCH(D483,catNom,0))&amp;"","")="","Variable",IFERROR(INDEX(catClas,MATCH(D483,catNom,0))&amp;"","")),"")</f>
        <v/>
      </c>
      <c r="L483" s="19">
        <f>IF(I483="","",IFERROR(INDEX(catAlim,MATCH(D483,catNom,0))&amp;"",""))</f>
        <v/>
      </c>
      <c r="M483" s="19">
        <f>IF(I483="","",IFERROR(INDEX(catComida,MATCH(D483,catNom,0))&amp;"",""))</f>
        <v/>
      </c>
      <c r="N483" s="19">
        <f>IF(I483="","",IFERROR(INDEX(ctaMon,MATCH(E483,ctaNom,0))&amp;"","DOP"))</f>
        <v/>
      </c>
      <c r="O483" s="20">
        <f>IF(I483="","",C483*IF(N483="USD",TasaUSD,1))</f>
        <v/>
      </c>
      <c r="P483" s="20">
        <f>IF(I483="","",IF(I483="Gasto",O483,0))</f>
        <v/>
      </c>
      <c r="Q483" s="20">
        <f>IF(I483="","",IF(I483="Ingreso",O483,0))</f>
        <v/>
      </c>
      <c r="R483" s="20">
        <f>IF(I483="","",IF(I483="Trading",O483,0))</f>
        <v/>
      </c>
      <c r="S483" s="19">
        <f>IF(I483="","",IF(AND(I483="Gasto",K483="Variable",J483&lt;&gt;"Trading",O483&gt;0,O483&lt;=Umbral),1,0))</f>
        <v/>
      </c>
      <c r="T483" s="20">
        <f>IF(OR(I483="",E483=""),"",IF(OR(I483="Gasto",I483="Transferencia",I483="Pago tarjeta"),-1,1)*C483)</f>
        <v/>
      </c>
      <c r="U483" s="20">
        <f>IF(OR(G483="",AND(I483&lt;&gt;"Transferencia",I483&lt;&gt;"Pago tarjeta")),"",IF(IFERROR(INDEX(ctaMon,MATCH(G483,ctaNom,0))&amp;"","DOP")=N483,C483,IF(N483="USD",C483*TasaUSD,C483/TasaUSD)))</f>
        <v/>
      </c>
      <c r="V483" s="20">
        <f>IF(I483="","",IF(IFERROR(INDEX(ctaLiq,MATCH(E483,ctaNom,0))="Sí",FALSE),IF(OR(I483="Gasto",I483="Transferencia",I483="Pago tarjeta"),-1,1)*O483,0)+IF(AND(U483&lt;&gt;"",IFERROR(INDEX(ctaLiq,MATCH(G483,ctaNom,0))="Sí",FALSE)),O483,0))</f>
        <v/>
      </c>
      <c r="W483" s="19">
        <f>IF(OR(F483="",I483=""),"",IF(COUNTIFS(F$6:F483,F483,I$6:I483,"?*")=1,MAX(W$5:W482)+1,""))</f>
        <v/>
      </c>
    </row>
    <row r="484">
      <c r="B484" s="15" t="n"/>
      <c r="C484" s="16" t="n"/>
      <c r="D484" s="17" t="n"/>
      <c r="E484" s="17" t="n"/>
      <c r="F484" s="17" t="n"/>
      <c r="G484" s="17" t="n"/>
      <c r="H484" s="18">
        <f>IF(AND(B484="",C484="",D484="",E484=""),"",IF(B484="","⚠ Falta fecha",IF(C484="","⚠ Falta monto",IF(D484="","⚠ Falta categoría",IF(ISNA(MATCH(D484,catNom,0)),"⚠ Categoría no existe",IF(E484="","⚠ Falta cuenta",IF(ISNA(MATCH(E484,ctaNom,0)),"⚠ Cuenta no existe",IF(AND(OR(I484="Transferencia",I484="Pago tarjeta"),G484=""),"⚠ Indica la cuenta «Hacia»",IF(AND(G484&lt;&gt;"",G484=E484),"⚠ «Hacia» igual a la cuenta",IF(AND(G484&lt;&gt;"",ISNA(MATCH(G484,ctaNom,0))),"⚠ «Hacia» no existe",IF(AND(I484="Pago tarjeta",IFERROR(INDEX(ctaTipo,MATCH(G484,ctaNom,0)),"")&lt;&gt;"Tarjeta de crédito"),"⚠ «Hacia» debe ser la tarjeta",IF(AND(I484="Trading",IFERROR(INDEX(ctaTipo,MATCH(E484,ctaNom,0)),"")&lt;&gt;"Cuenta de trading"),"⚠ Usa la cuenta de trading","✓"))))))))))))</f>
        <v/>
      </c>
      <c r="I484" s="19">
        <f>IF(OR(B484="",C484="",D484=""),"",IFERROR(INDEX(catTipo,MATCH(D484,catNom,0))&amp;"",""))</f>
        <v/>
      </c>
      <c r="J484" s="19">
        <f>IF(I484="","",IFERROR(INDEX(catGrupo,MATCH(D484,catNom,0))&amp;"",""))</f>
        <v/>
      </c>
      <c r="K484" s="19">
        <f>IF(I484="Gasto",IF(IFERROR(INDEX(catClas,MATCH(D484,catNom,0))&amp;"","")="","Variable",IFERROR(INDEX(catClas,MATCH(D484,catNom,0))&amp;"","")),"")</f>
        <v/>
      </c>
      <c r="L484" s="19">
        <f>IF(I484="","",IFERROR(INDEX(catAlim,MATCH(D484,catNom,0))&amp;"",""))</f>
        <v/>
      </c>
      <c r="M484" s="19">
        <f>IF(I484="","",IFERROR(INDEX(catComida,MATCH(D484,catNom,0))&amp;"",""))</f>
        <v/>
      </c>
      <c r="N484" s="19">
        <f>IF(I484="","",IFERROR(INDEX(ctaMon,MATCH(E484,ctaNom,0))&amp;"","DOP"))</f>
        <v/>
      </c>
      <c r="O484" s="20">
        <f>IF(I484="","",C484*IF(N484="USD",TasaUSD,1))</f>
        <v/>
      </c>
      <c r="P484" s="20">
        <f>IF(I484="","",IF(I484="Gasto",O484,0))</f>
        <v/>
      </c>
      <c r="Q484" s="20">
        <f>IF(I484="","",IF(I484="Ingreso",O484,0))</f>
        <v/>
      </c>
      <c r="R484" s="20">
        <f>IF(I484="","",IF(I484="Trading",O484,0))</f>
        <v/>
      </c>
      <c r="S484" s="19">
        <f>IF(I484="","",IF(AND(I484="Gasto",K484="Variable",J484&lt;&gt;"Trading",O484&gt;0,O484&lt;=Umbral),1,0))</f>
        <v/>
      </c>
      <c r="T484" s="20">
        <f>IF(OR(I484="",E484=""),"",IF(OR(I484="Gasto",I484="Transferencia",I484="Pago tarjeta"),-1,1)*C484)</f>
        <v/>
      </c>
      <c r="U484" s="20">
        <f>IF(OR(G484="",AND(I484&lt;&gt;"Transferencia",I484&lt;&gt;"Pago tarjeta")),"",IF(IFERROR(INDEX(ctaMon,MATCH(G484,ctaNom,0))&amp;"","DOP")=N484,C484,IF(N484="USD",C484*TasaUSD,C484/TasaUSD)))</f>
        <v/>
      </c>
      <c r="V484" s="20">
        <f>IF(I484="","",IF(IFERROR(INDEX(ctaLiq,MATCH(E484,ctaNom,0))="Sí",FALSE),IF(OR(I484="Gasto",I484="Transferencia",I484="Pago tarjeta"),-1,1)*O484,0)+IF(AND(U484&lt;&gt;"",IFERROR(INDEX(ctaLiq,MATCH(G484,ctaNom,0))="Sí",FALSE)),O484,0))</f>
        <v/>
      </c>
      <c r="W484" s="19">
        <f>IF(OR(F484="",I484=""),"",IF(COUNTIFS(F$6:F484,F484,I$6:I484,"?*")=1,MAX(W$5:W483)+1,""))</f>
        <v/>
      </c>
    </row>
    <row r="485">
      <c r="B485" s="15" t="n"/>
      <c r="C485" s="16" t="n"/>
      <c r="D485" s="17" t="n"/>
      <c r="E485" s="17" t="n"/>
      <c r="F485" s="17" t="n"/>
      <c r="G485" s="17" t="n"/>
      <c r="H485" s="18">
        <f>IF(AND(B485="",C485="",D485="",E485=""),"",IF(B485="","⚠ Falta fecha",IF(C485="","⚠ Falta monto",IF(D485="","⚠ Falta categoría",IF(ISNA(MATCH(D485,catNom,0)),"⚠ Categoría no existe",IF(E485="","⚠ Falta cuenta",IF(ISNA(MATCH(E485,ctaNom,0)),"⚠ Cuenta no existe",IF(AND(OR(I485="Transferencia",I485="Pago tarjeta"),G485=""),"⚠ Indica la cuenta «Hacia»",IF(AND(G485&lt;&gt;"",G485=E485),"⚠ «Hacia» igual a la cuenta",IF(AND(G485&lt;&gt;"",ISNA(MATCH(G485,ctaNom,0))),"⚠ «Hacia» no existe",IF(AND(I485="Pago tarjeta",IFERROR(INDEX(ctaTipo,MATCH(G485,ctaNom,0)),"")&lt;&gt;"Tarjeta de crédito"),"⚠ «Hacia» debe ser la tarjeta",IF(AND(I485="Trading",IFERROR(INDEX(ctaTipo,MATCH(E485,ctaNom,0)),"")&lt;&gt;"Cuenta de trading"),"⚠ Usa la cuenta de trading","✓"))))))))))))</f>
        <v/>
      </c>
      <c r="I485" s="19">
        <f>IF(OR(B485="",C485="",D485=""),"",IFERROR(INDEX(catTipo,MATCH(D485,catNom,0))&amp;"",""))</f>
        <v/>
      </c>
      <c r="J485" s="19">
        <f>IF(I485="","",IFERROR(INDEX(catGrupo,MATCH(D485,catNom,0))&amp;"",""))</f>
        <v/>
      </c>
      <c r="K485" s="19">
        <f>IF(I485="Gasto",IF(IFERROR(INDEX(catClas,MATCH(D485,catNom,0))&amp;"","")="","Variable",IFERROR(INDEX(catClas,MATCH(D485,catNom,0))&amp;"","")),"")</f>
        <v/>
      </c>
      <c r="L485" s="19">
        <f>IF(I485="","",IFERROR(INDEX(catAlim,MATCH(D485,catNom,0))&amp;"",""))</f>
        <v/>
      </c>
      <c r="M485" s="19">
        <f>IF(I485="","",IFERROR(INDEX(catComida,MATCH(D485,catNom,0))&amp;"",""))</f>
        <v/>
      </c>
      <c r="N485" s="19">
        <f>IF(I485="","",IFERROR(INDEX(ctaMon,MATCH(E485,ctaNom,0))&amp;"","DOP"))</f>
        <v/>
      </c>
      <c r="O485" s="20">
        <f>IF(I485="","",C485*IF(N485="USD",TasaUSD,1))</f>
        <v/>
      </c>
      <c r="P485" s="20">
        <f>IF(I485="","",IF(I485="Gasto",O485,0))</f>
        <v/>
      </c>
      <c r="Q485" s="20">
        <f>IF(I485="","",IF(I485="Ingreso",O485,0))</f>
        <v/>
      </c>
      <c r="R485" s="20">
        <f>IF(I485="","",IF(I485="Trading",O485,0))</f>
        <v/>
      </c>
      <c r="S485" s="19">
        <f>IF(I485="","",IF(AND(I485="Gasto",K485="Variable",J485&lt;&gt;"Trading",O485&gt;0,O485&lt;=Umbral),1,0))</f>
        <v/>
      </c>
      <c r="T485" s="20">
        <f>IF(OR(I485="",E485=""),"",IF(OR(I485="Gasto",I485="Transferencia",I485="Pago tarjeta"),-1,1)*C485)</f>
        <v/>
      </c>
      <c r="U485" s="20">
        <f>IF(OR(G485="",AND(I485&lt;&gt;"Transferencia",I485&lt;&gt;"Pago tarjeta")),"",IF(IFERROR(INDEX(ctaMon,MATCH(G485,ctaNom,0))&amp;"","DOP")=N485,C485,IF(N485="USD",C485*TasaUSD,C485/TasaUSD)))</f>
        <v/>
      </c>
      <c r="V485" s="20">
        <f>IF(I485="","",IF(IFERROR(INDEX(ctaLiq,MATCH(E485,ctaNom,0))="Sí",FALSE),IF(OR(I485="Gasto",I485="Transferencia",I485="Pago tarjeta"),-1,1)*O485,0)+IF(AND(U485&lt;&gt;"",IFERROR(INDEX(ctaLiq,MATCH(G485,ctaNom,0))="Sí",FALSE)),O485,0))</f>
        <v/>
      </c>
      <c r="W485" s="19">
        <f>IF(OR(F485="",I485=""),"",IF(COUNTIFS(F$6:F485,F485,I$6:I485,"?*")=1,MAX(W$5:W484)+1,""))</f>
        <v/>
      </c>
    </row>
    <row r="486">
      <c r="B486" s="15" t="n"/>
      <c r="C486" s="16" t="n"/>
      <c r="D486" s="17" t="n"/>
      <c r="E486" s="17" t="n"/>
      <c r="F486" s="17" t="n"/>
      <c r="G486" s="17" t="n"/>
      <c r="H486" s="18">
        <f>IF(AND(B486="",C486="",D486="",E486=""),"",IF(B486="","⚠ Falta fecha",IF(C486="","⚠ Falta monto",IF(D486="","⚠ Falta categoría",IF(ISNA(MATCH(D486,catNom,0)),"⚠ Categoría no existe",IF(E486="","⚠ Falta cuenta",IF(ISNA(MATCH(E486,ctaNom,0)),"⚠ Cuenta no existe",IF(AND(OR(I486="Transferencia",I486="Pago tarjeta"),G486=""),"⚠ Indica la cuenta «Hacia»",IF(AND(G486&lt;&gt;"",G486=E486),"⚠ «Hacia» igual a la cuenta",IF(AND(G486&lt;&gt;"",ISNA(MATCH(G486,ctaNom,0))),"⚠ «Hacia» no existe",IF(AND(I486="Pago tarjeta",IFERROR(INDEX(ctaTipo,MATCH(G486,ctaNom,0)),"")&lt;&gt;"Tarjeta de crédito"),"⚠ «Hacia» debe ser la tarjeta",IF(AND(I486="Trading",IFERROR(INDEX(ctaTipo,MATCH(E486,ctaNom,0)),"")&lt;&gt;"Cuenta de trading"),"⚠ Usa la cuenta de trading","✓"))))))))))))</f>
        <v/>
      </c>
      <c r="I486" s="19">
        <f>IF(OR(B486="",C486="",D486=""),"",IFERROR(INDEX(catTipo,MATCH(D486,catNom,0))&amp;"",""))</f>
        <v/>
      </c>
      <c r="J486" s="19">
        <f>IF(I486="","",IFERROR(INDEX(catGrupo,MATCH(D486,catNom,0))&amp;"",""))</f>
        <v/>
      </c>
      <c r="K486" s="19">
        <f>IF(I486="Gasto",IF(IFERROR(INDEX(catClas,MATCH(D486,catNom,0))&amp;"","")="","Variable",IFERROR(INDEX(catClas,MATCH(D486,catNom,0))&amp;"","")),"")</f>
        <v/>
      </c>
      <c r="L486" s="19">
        <f>IF(I486="","",IFERROR(INDEX(catAlim,MATCH(D486,catNom,0))&amp;"",""))</f>
        <v/>
      </c>
      <c r="M486" s="19">
        <f>IF(I486="","",IFERROR(INDEX(catComida,MATCH(D486,catNom,0))&amp;"",""))</f>
        <v/>
      </c>
      <c r="N486" s="19">
        <f>IF(I486="","",IFERROR(INDEX(ctaMon,MATCH(E486,ctaNom,0))&amp;"","DOP"))</f>
        <v/>
      </c>
      <c r="O486" s="20">
        <f>IF(I486="","",C486*IF(N486="USD",TasaUSD,1))</f>
        <v/>
      </c>
      <c r="P486" s="20">
        <f>IF(I486="","",IF(I486="Gasto",O486,0))</f>
        <v/>
      </c>
      <c r="Q486" s="20">
        <f>IF(I486="","",IF(I486="Ingreso",O486,0))</f>
        <v/>
      </c>
      <c r="R486" s="20">
        <f>IF(I486="","",IF(I486="Trading",O486,0))</f>
        <v/>
      </c>
      <c r="S486" s="19">
        <f>IF(I486="","",IF(AND(I486="Gasto",K486="Variable",J486&lt;&gt;"Trading",O486&gt;0,O486&lt;=Umbral),1,0))</f>
        <v/>
      </c>
      <c r="T486" s="20">
        <f>IF(OR(I486="",E486=""),"",IF(OR(I486="Gasto",I486="Transferencia",I486="Pago tarjeta"),-1,1)*C486)</f>
        <v/>
      </c>
      <c r="U486" s="20">
        <f>IF(OR(G486="",AND(I486&lt;&gt;"Transferencia",I486&lt;&gt;"Pago tarjeta")),"",IF(IFERROR(INDEX(ctaMon,MATCH(G486,ctaNom,0))&amp;"","DOP")=N486,C486,IF(N486="USD",C486*TasaUSD,C486/TasaUSD)))</f>
        <v/>
      </c>
      <c r="V486" s="20">
        <f>IF(I486="","",IF(IFERROR(INDEX(ctaLiq,MATCH(E486,ctaNom,0))="Sí",FALSE),IF(OR(I486="Gasto",I486="Transferencia",I486="Pago tarjeta"),-1,1)*O486,0)+IF(AND(U486&lt;&gt;"",IFERROR(INDEX(ctaLiq,MATCH(G486,ctaNom,0))="Sí",FALSE)),O486,0))</f>
        <v/>
      </c>
      <c r="W486" s="19">
        <f>IF(OR(F486="",I486=""),"",IF(COUNTIFS(F$6:F486,F486,I$6:I486,"?*")=1,MAX(W$5:W485)+1,""))</f>
        <v/>
      </c>
    </row>
    <row r="487">
      <c r="B487" s="15" t="n"/>
      <c r="C487" s="16" t="n"/>
      <c r="D487" s="17" t="n"/>
      <c r="E487" s="17" t="n"/>
      <c r="F487" s="17" t="n"/>
      <c r="G487" s="17" t="n"/>
      <c r="H487" s="18">
        <f>IF(AND(B487="",C487="",D487="",E487=""),"",IF(B487="","⚠ Falta fecha",IF(C487="","⚠ Falta monto",IF(D487="","⚠ Falta categoría",IF(ISNA(MATCH(D487,catNom,0)),"⚠ Categoría no existe",IF(E487="","⚠ Falta cuenta",IF(ISNA(MATCH(E487,ctaNom,0)),"⚠ Cuenta no existe",IF(AND(OR(I487="Transferencia",I487="Pago tarjeta"),G487=""),"⚠ Indica la cuenta «Hacia»",IF(AND(G487&lt;&gt;"",G487=E487),"⚠ «Hacia» igual a la cuenta",IF(AND(G487&lt;&gt;"",ISNA(MATCH(G487,ctaNom,0))),"⚠ «Hacia» no existe",IF(AND(I487="Pago tarjeta",IFERROR(INDEX(ctaTipo,MATCH(G487,ctaNom,0)),"")&lt;&gt;"Tarjeta de crédito"),"⚠ «Hacia» debe ser la tarjeta",IF(AND(I487="Trading",IFERROR(INDEX(ctaTipo,MATCH(E487,ctaNom,0)),"")&lt;&gt;"Cuenta de trading"),"⚠ Usa la cuenta de trading","✓"))))))))))))</f>
        <v/>
      </c>
      <c r="I487" s="19">
        <f>IF(OR(B487="",C487="",D487=""),"",IFERROR(INDEX(catTipo,MATCH(D487,catNom,0))&amp;"",""))</f>
        <v/>
      </c>
      <c r="J487" s="19">
        <f>IF(I487="","",IFERROR(INDEX(catGrupo,MATCH(D487,catNom,0))&amp;"",""))</f>
        <v/>
      </c>
      <c r="K487" s="19">
        <f>IF(I487="Gasto",IF(IFERROR(INDEX(catClas,MATCH(D487,catNom,0))&amp;"","")="","Variable",IFERROR(INDEX(catClas,MATCH(D487,catNom,0))&amp;"","")),"")</f>
        <v/>
      </c>
      <c r="L487" s="19">
        <f>IF(I487="","",IFERROR(INDEX(catAlim,MATCH(D487,catNom,0))&amp;"",""))</f>
        <v/>
      </c>
      <c r="M487" s="19">
        <f>IF(I487="","",IFERROR(INDEX(catComida,MATCH(D487,catNom,0))&amp;"",""))</f>
        <v/>
      </c>
      <c r="N487" s="19">
        <f>IF(I487="","",IFERROR(INDEX(ctaMon,MATCH(E487,ctaNom,0))&amp;"","DOP"))</f>
        <v/>
      </c>
      <c r="O487" s="20">
        <f>IF(I487="","",C487*IF(N487="USD",TasaUSD,1))</f>
        <v/>
      </c>
      <c r="P487" s="20">
        <f>IF(I487="","",IF(I487="Gasto",O487,0))</f>
        <v/>
      </c>
      <c r="Q487" s="20">
        <f>IF(I487="","",IF(I487="Ingreso",O487,0))</f>
        <v/>
      </c>
      <c r="R487" s="20">
        <f>IF(I487="","",IF(I487="Trading",O487,0))</f>
        <v/>
      </c>
      <c r="S487" s="19">
        <f>IF(I487="","",IF(AND(I487="Gasto",K487="Variable",J487&lt;&gt;"Trading",O487&gt;0,O487&lt;=Umbral),1,0))</f>
        <v/>
      </c>
      <c r="T487" s="20">
        <f>IF(OR(I487="",E487=""),"",IF(OR(I487="Gasto",I487="Transferencia",I487="Pago tarjeta"),-1,1)*C487)</f>
        <v/>
      </c>
      <c r="U487" s="20">
        <f>IF(OR(G487="",AND(I487&lt;&gt;"Transferencia",I487&lt;&gt;"Pago tarjeta")),"",IF(IFERROR(INDEX(ctaMon,MATCH(G487,ctaNom,0))&amp;"","DOP")=N487,C487,IF(N487="USD",C487*TasaUSD,C487/TasaUSD)))</f>
        <v/>
      </c>
      <c r="V487" s="20">
        <f>IF(I487="","",IF(IFERROR(INDEX(ctaLiq,MATCH(E487,ctaNom,0))="Sí",FALSE),IF(OR(I487="Gasto",I487="Transferencia",I487="Pago tarjeta"),-1,1)*O487,0)+IF(AND(U487&lt;&gt;"",IFERROR(INDEX(ctaLiq,MATCH(G487,ctaNom,0))="Sí",FALSE)),O487,0))</f>
        <v/>
      </c>
      <c r="W487" s="19">
        <f>IF(OR(F487="",I487=""),"",IF(COUNTIFS(F$6:F487,F487,I$6:I487,"?*")=1,MAX(W$5:W486)+1,""))</f>
        <v/>
      </c>
    </row>
    <row r="488">
      <c r="B488" s="15" t="n"/>
      <c r="C488" s="16" t="n"/>
      <c r="D488" s="17" t="n"/>
      <c r="E488" s="17" t="n"/>
      <c r="F488" s="17" t="n"/>
      <c r="G488" s="17" t="n"/>
      <c r="H488" s="18">
        <f>IF(AND(B488="",C488="",D488="",E488=""),"",IF(B488="","⚠ Falta fecha",IF(C488="","⚠ Falta monto",IF(D488="","⚠ Falta categoría",IF(ISNA(MATCH(D488,catNom,0)),"⚠ Categoría no existe",IF(E488="","⚠ Falta cuenta",IF(ISNA(MATCH(E488,ctaNom,0)),"⚠ Cuenta no existe",IF(AND(OR(I488="Transferencia",I488="Pago tarjeta"),G488=""),"⚠ Indica la cuenta «Hacia»",IF(AND(G488&lt;&gt;"",G488=E488),"⚠ «Hacia» igual a la cuenta",IF(AND(G488&lt;&gt;"",ISNA(MATCH(G488,ctaNom,0))),"⚠ «Hacia» no existe",IF(AND(I488="Pago tarjeta",IFERROR(INDEX(ctaTipo,MATCH(G488,ctaNom,0)),"")&lt;&gt;"Tarjeta de crédito"),"⚠ «Hacia» debe ser la tarjeta",IF(AND(I488="Trading",IFERROR(INDEX(ctaTipo,MATCH(E488,ctaNom,0)),"")&lt;&gt;"Cuenta de trading"),"⚠ Usa la cuenta de trading","✓"))))))))))))</f>
        <v/>
      </c>
      <c r="I488" s="19">
        <f>IF(OR(B488="",C488="",D488=""),"",IFERROR(INDEX(catTipo,MATCH(D488,catNom,0))&amp;"",""))</f>
        <v/>
      </c>
      <c r="J488" s="19">
        <f>IF(I488="","",IFERROR(INDEX(catGrupo,MATCH(D488,catNom,0))&amp;"",""))</f>
        <v/>
      </c>
      <c r="K488" s="19">
        <f>IF(I488="Gasto",IF(IFERROR(INDEX(catClas,MATCH(D488,catNom,0))&amp;"","")="","Variable",IFERROR(INDEX(catClas,MATCH(D488,catNom,0))&amp;"","")),"")</f>
        <v/>
      </c>
      <c r="L488" s="19">
        <f>IF(I488="","",IFERROR(INDEX(catAlim,MATCH(D488,catNom,0))&amp;"",""))</f>
        <v/>
      </c>
      <c r="M488" s="19">
        <f>IF(I488="","",IFERROR(INDEX(catComida,MATCH(D488,catNom,0))&amp;"",""))</f>
        <v/>
      </c>
      <c r="N488" s="19">
        <f>IF(I488="","",IFERROR(INDEX(ctaMon,MATCH(E488,ctaNom,0))&amp;"","DOP"))</f>
        <v/>
      </c>
      <c r="O488" s="20">
        <f>IF(I488="","",C488*IF(N488="USD",TasaUSD,1))</f>
        <v/>
      </c>
      <c r="P488" s="20">
        <f>IF(I488="","",IF(I488="Gasto",O488,0))</f>
        <v/>
      </c>
      <c r="Q488" s="20">
        <f>IF(I488="","",IF(I488="Ingreso",O488,0))</f>
        <v/>
      </c>
      <c r="R488" s="20">
        <f>IF(I488="","",IF(I488="Trading",O488,0))</f>
        <v/>
      </c>
      <c r="S488" s="19">
        <f>IF(I488="","",IF(AND(I488="Gasto",K488="Variable",J488&lt;&gt;"Trading",O488&gt;0,O488&lt;=Umbral),1,0))</f>
        <v/>
      </c>
      <c r="T488" s="20">
        <f>IF(OR(I488="",E488=""),"",IF(OR(I488="Gasto",I488="Transferencia",I488="Pago tarjeta"),-1,1)*C488)</f>
        <v/>
      </c>
      <c r="U488" s="20">
        <f>IF(OR(G488="",AND(I488&lt;&gt;"Transferencia",I488&lt;&gt;"Pago tarjeta")),"",IF(IFERROR(INDEX(ctaMon,MATCH(G488,ctaNom,0))&amp;"","DOP")=N488,C488,IF(N488="USD",C488*TasaUSD,C488/TasaUSD)))</f>
        <v/>
      </c>
      <c r="V488" s="20">
        <f>IF(I488="","",IF(IFERROR(INDEX(ctaLiq,MATCH(E488,ctaNom,0))="Sí",FALSE),IF(OR(I488="Gasto",I488="Transferencia",I488="Pago tarjeta"),-1,1)*O488,0)+IF(AND(U488&lt;&gt;"",IFERROR(INDEX(ctaLiq,MATCH(G488,ctaNom,0))="Sí",FALSE)),O488,0))</f>
        <v/>
      </c>
      <c r="W488" s="19">
        <f>IF(OR(F488="",I488=""),"",IF(COUNTIFS(F$6:F488,F488,I$6:I488,"?*")=1,MAX(W$5:W487)+1,""))</f>
        <v/>
      </c>
    </row>
    <row r="489">
      <c r="B489" s="15" t="n"/>
      <c r="C489" s="16" t="n"/>
      <c r="D489" s="17" t="n"/>
      <c r="E489" s="17" t="n"/>
      <c r="F489" s="17" t="n"/>
      <c r="G489" s="17" t="n"/>
      <c r="H489" s="18">
        <f>IF(AND(B489="",C489="",D489="",E489=""),"",IF(B489="","⚠ Falta fecha",IF(C489="","⚠ Falta monto",IF(D489="","⚠ Falta categoría",IF(ISNA(MATCH(D489,catNom,0)),"⚠ Categoría no existe",IF(E489="","⚠ Falta cuenta",IF(ISNA(MATCH(E489,ctaNom,0)),"⚠ Cuenta no existe",IF(AND(OR(I489="Transferencia",I489="Pago tarjeta"),G489=""),"⚠ Indica la cuenta «Hacia»",IF(AND(G489&lt;&gt;"",G489=E489),"⚠ «Hacia» igual a la cuenta",IF(AND(G489&lt;&gt;"",ISNA(MATCH(G489,ctaNom,0))),"⚠ «Hacia» no existe",IF(AND(I489="Pago tarjeta",IFERROR(INDEX(ctaTipo,MATCH(G489,ctaNom,0)),"")&lt;&gt;"Tarjeta de crédito"),"⚠ «Hacia» debe ser la tarjeta",IF(AND(I489="Trading",IFERROR(INDEX(ctaTipo,MATCH(E489,ctaNom,0)),"")&lt;&gt;"Cuenta de trading"),"⚠ Usa la cuenta de trading","✓"))))))))))))</f>
        <v/>
      </c>
      <c r="I489" s="19">
        <f>IF(OR(B489="",C489="",D489=""),"",IFERROR(INDEX(catTipo,MATCH(D489,catNom,0))&amp;"",""))</f>
        <v/>
      </c>
      <c r="J489" s="19">
        <f>IF(I489="","",IFERROR(INDEX(catGrupo,MATCH(D489,catNom,0))&amp;"",""))</f>
        <v/>
      </c>
      <c r="K489" s="19">
        <f>IF(I489="Gasto",IF(IFERROR(INDEX(catClas,MATCH(D489,catNom,0))&amp;"","")="","Variable",IFERROR(INDEX(catClas,MATCH(D489,catNom,0))&amp;"","")),"")</f>
        <v/>
      </c>
      <c r="L489" s="19">
        <f>IF(I489="","",IFERROR(INDEX(catAlim,MATCH(D489,catNom,0))&amp;"",""))</f>
        <v/>
      </c>
      <c r="M489" s="19">
        <f>IF(I489="","",IFERROR(INDEX(catComida,MATCH(D489,catNom,0))&amp;"",""))</f>
        <v/>
      </c>
      <c r="N489" s="19">
        <f>IF(I489="","",IFERROR(INDEX(ctaMon,MATCH(E489,ctaNom,0))&amp;"","DOP"))</f>
        <v/>
      </c>
      <c r="O489" s="20">
        <f>IF(I489="","",C489*IF(N489="USD",TasaUSD,1))</f>
        <v/>
      </c>
      <c r="P489" s="20">
        <f>IF(I489="","",IF(I489="Gasto",O489,0))</f>
        <v/>
      </c>
      <c r="Q489" s="20">
        <f>IF(I489="","",IF(I489="Ingreso",O489,0))</f>
        <v/>
      </c>
      <c r="R489" s="20">
        <f>IF(I489="","",IF(I489="Trading",O489,0))</f>
        <v/>
      </c>
      <c r="S489" s="19">
        <f>IF(I489="","",IF(AND(I489="Gasto",K489="Variable",J489&lt;&gt;"Trading",O489&gt;0,O489&lt;=Umbral),1,0))</f>
        <v/>
      </c>
      <c r="T489" s="20">
        <f>IF(OR(I489="",E489=""),"",IF(OR(I489="Gasto",I489="Transferencia",I489="Pago tarjeta"),-1,1)*C489)</f>
        <v/>
      </c>
      <c r="U489" s="20">
        <f>IF(OR(G489="",AND(I489&lt;&gt;"Transferencia",I489&lt;&gt;"Pago tarjeta")),"",IF(IFERROR(INDEX(ctaMon,MATCH(G489,ctaNom,0))&amp;"","DOP")=N489,C489,IF(N489="USD",C489*TasaUSD,C489/TasaUSD)))</f>
        <v/>
      </c>
      <c r="V489" s="20">
        <f>IF(I489="","",IF(IFERROR(INDEX(ctaLiq,MATCH(E489,ctaNom,0))="Sí",FALSE),IF(OR(I489="Gasto",I489="Transferencia",I489="Pago tarjeta"),-1,1)*O489,0)+IF(AND(U489&lt;&gt;"",IFERROR(INDEX(ctaLiq,MATCH(G489,ctaNom,0))="Sí",FALSE)),O489,0))</f>
        <v/>
      </c>
      <c r="W489" s="19">
        <f>IF(OR(F489="",I489=""),"",IF(COUNTIFS(F$6:F489,F489,I$6:I489,"?*")=1,MAX(W$5:W488)+1,""))</f>
        <v/>
      </c>
    </row>
    <row r="490">
      <c r="B490" s="15" t="n"/>
      <c r="C490" s="16" t="n"/>
      <c r="D490" s="17" t="n"/>
      <c r="E490" s="17" t="n"/>
      <c r="F490" s="17" t="n"/>
      <c r="G490" s="17" t="n"/>
      <c r="H490" s="18">
        <f>IF(AND(B490="",C490="",D490="",E490=""),"",IF(B490="","⚠ Falta fecha",IF(C490="","⚠ Falta monto",IF(D490="","⚠ Falta categoría",IF(ISNA(MATCH(D490,catNom,0)),"⚠ Categoría no existe",IF(E490="","⚠ Falta cuenta",IF(ISNA(MATCH(E490,ctaNom,0)),"⚠ Cuenta no existe",IF(AND(OR(I490="Transferencia",I490="Pago tarjeta"),G490=""),"⚠ Indica la cuenta «Hacia»",IF(AND(G490&lt;&gt;"",G490=E490),"⚠ «Hacia» igual a la cuenta",IF(AND(G490&lt;&gt;"",ISNA(MATCH(G490,ctaNom,0))),"⚠ «Hacia» no existe",IF(AND(I490="Pago tarjeta",IFERROR(INDEX(ctaTipo,MATCH(G490,ctaNom,0)),"")&lt;&gt;"Tarjeta de crédito"),"⚠ «Hacia» debe ser la tarjeta",IF(AND(I490="Trading",IFERROR(INDEX(ctaTipo,MATCH(E490,ctaNom,0)),"")&lt;&gt;"Cuenta de trading"),"⚠ Usa la cuenta de trading","✓"))))))))))))</f>
        <v/>
      </c>
      <c r="I490" s="19">
        <f>IF(OR(B490="",C490="",D490=""),"",IFERROR(INDEX(catTipo,MATCH(D490,catNom,0))&amp;"",""))</f>
        <v/>
      </c>
      <c r="J490" s="19">
        <f>IF(I490="","",IFERROR(INDEX(catGrupo,MATCH(D490,catNom,0))&amp;"",""))</f>
        <v/>
      </c>
      <c r="K490" s="19">
        <f>IF(I490="Gasto",IF(IFERROR(INDEX(catClas,MATCH(D490,catNom,0))&amp;"","")="","Variable",IFERROR(INDEX(catClas,MATCH(D490,catNom,0))&amp;"","")),"")</f>
        <v/>
      </c>
      <c r="L490" s="19">
        <f>IF(I490="","",IFERROR(INDEX(catAlim,MATCH(D490,catNom,0))&amp;"",""))</f>
        <v/>
      </c>
      <c r="M490" s="19">
        <f>IF(I490="","",IFERROR(INDEX(catComida,MATCH(D490,catNom,0))&amp;"",""))</f>
        <v/>
      </c>
      <c r="N490" s="19">
        <f>IF(I490="","",IFERROR(INDEX(ctaMon,MATCH(E490,ctaNom,0))&amp;"","DOP"))</f>
        <v/>
      </c>
      <c r="O490" s="20">
        <f>IF(I490="","",C490*IF(N490="USD",TasaUSD,1))</f>
        <v/>
      </c>
      <c r="P490" s="20">
        <f>IF(I490="","",IF(I490="Gasto",O490,0))</f>
        <v/>
      </c>
      <c r="Q490" s="20">
        <f>IF(I490="","",IF(I490="Ingreso",O490,0))</f>
        <v/>
      </c>
      <c r="R490" s="20">
        <f>IF(I490="","",IF(I490="Trading",O490,0))</f>
        <v/>
      </c>
      <c r="S490" s="19">
        <f>IF(I490="","",IF(AND(I490="Gasto",K490="Variable",J490&lt;&gt;"Trading",O490&gt;0,O490&lt;=Umbral),1,0))</f>
        <v/>
      </c>
      <c r="T490" s="20">
        <f>IF(OR(I490="",E490=""),"",IF(OR(I490="Gasto",I490="Transferencia",I490="Pago tarjeta"),-1,1)*C490)</f>
        <v/>
      </c>
      <c r="U490" s="20">
        <f>IF(OR(G490="",AND(I490&lt;&gt;"Transferencia",I490&lt;&gt;"Pago tarjeta")),"",IF(IFERROR(INDEX(ctaMon,MATCH(G490,ctaNom,0))&amp;"","DOP")=N490,C490,IF(N490="USD",C490*TasaUSD,C490/TasaUSD)))</f>
        <v/>
      </c>
      <c r="V490" s="20">
        <f>IF(I490="","",IF(IFERROR(INDEX(ctaLiq,MATCH(E490,ctaNom,0))="Sí",FALSE),IF(OR(I490="Gasto",I490="Transferencia",I490="Pago tarjeta"),-1,1)*O490,0)+IF(AND(U490&lt;&gt;"",IFERROR(INDEX(ctaLiq,MATCH(G490,ctaNom,0))="Sí",FALSE)),O490,0))</f>
        <v/>
      </c>
      <c r="W490" s="19">
        <f>IF(OR(F490="",I490=""),"",IF(COUNTIFS(F$6:F490,F490,I$6:I490,"?*")=1,MAX(W$5:W489)+1,""))</f>
        <v/>
      </c>
    </row>
    <row r="491">
      <c r="B491" s="15" t="n"/>
      <c r="C491" s="16" t="n"/>
      <c r="D491" s="17" t="n"/>
      <c r="E491" s="17" t="n"/>
      <c r="F491" s="17" t="n"/>
      <c r="G491" s="17" t="n"/>
      <c r="H491" s="18">
        <f>IF(AND(B491="",C491="",D491="",E491=""),"",IF(B491="","⚠ Falta fecha",IF(C491="","⚠ Falta monto",IF(D491="","⚠ Falta categoría",IF(ISNA(MATCH(D491,catNom,0)),"⚠ Categoría no existe",IF(E491="","⚠ Falta cuenta",IF(ISNA(MATCH(E491,ctaNom,0)),"⚠ Cuenta no existe",IF(AND(OR(I491="Transferencia",I491="Pago tarjeta"),G491=""),"⚠ Indica la cuenta «Hacia»",IF(AND(G491&lt;&gt;"",G491=E491),"⚠ «Hacia» igual a la cuenta",IF(AND(G491&lt;&gt;"",ISNA(MATCH(G491,ctaNom,0))),"⚠ «Hacia» no existe",IF(AND(I491="Pago tarjeta",IFERROR(INDEX(ctaTipo,MATCH(G491,ctaNom,0)),"")&lt;&gt;"Tarjeta de crédito"),"⚠ «Hacia» debe ser la tarjeta",IF(AND(I491="Trading",IFERROR(INDEX(ctaTipo,MATCH(E491,ctaNom,0)),"")&lt;&gt;"Cuenta de trading"),"⚠ Usa la cuenta de trading","✓"))))))))))))</f>
        <v/>
      </c>
      <c r="I491" s="19">
        <f>IF(OR(B491="",C491="",D491=""),"",IFERROR(INDEX(catTipo,MATCH(D491,catNom,0))&amp;"",""))</f>
        <v/>
      </c>
      <c r="J491" s="19">
        <f>IF(I491="","",IFERROR(INDEX(catGrupo,MATCH(D491,catNom,0))&amp;"",""))</f>
        <v/>
      </c>
      <c r="K491" s="19">
        <f>IF(I491="Gasto",IF(IFERROR(INDEX(catClas,MATCH(D491,catNom,0))&amp;"","")="","Variable",IFERROR(INDEX(catClas,MATCH(D491,catNom,0))&amp;"","")),"")</f>
        <v/>
      </c>
      <c r="L491" s="19">
        <f>IF(I491="","",IFERROR(INDEX(catAlim,MATCH(D491,catNom,0))&amp;"",""))</f>
        <v/>
      </c>
      <c r="M491" s="19">
        <f>IF(I491="","",IFERROR(INDEX(catComida,MATCH(D491,catNom,0))&amp;"",""))</f>
        <v/>
      </c>
      <c r="N491" s="19">
        <f>IF(I491="","",IFERROR(INDEX(ctaMon,MATCH(E491,ctaNom,0))&amp;"","DOP"))</f>
        <v/>
      </c>
      <c r="O491" s="20">
        <f>IF(I491="","",C491*IF(N491="USD",TasaUSD,1))</f>
        <v/>
      </c>
      <c r="P491" s="20">
        <f>IF(I491="","",IF(I491="Gasto",O491,0))</f>
        <v/>
      </c>
      <c r="Q491" s="20">
        <f>IF(I491="","",IF(I491="Ingreso",O491,0))</f>
        <v/>
      </c>
      <c r="R491" s="20">
        <f>IF(I491="","",IF(I491="Trading",O491,0))</f>
        <v/>
      </c>
      <c r="S491" s="19">
        <f>IF(I491="","",IF(AND(I491="Gasto",K491="Variable",J491&lt;&gt;"Trading",O491&gt;0,O491&lt;=Umbral),1,0))</f>
        <v/>
      </c>
      <c r="T491" s="20">
        <f>IF(OR(I491="",E491=""),"",IF(OR(I491="Gasto",I491="Transferencia",I491="Pago tarjeta"),-1,1)*C491)</f>
        <v/>
      </c>
      <c r="U491" s="20">
        <f>IF(OR(G491="",AND(I491&lt;&gt;"Transferencia",I491&lt;&gt;"Pago tarjeta")),"",IF(IFERROR(INDEX(ctaMon,MATCH(G491,ctaNom,0))&amp;"","DOP")=N491,C491,IF(N491="USD",C491*TasaUSD,C491/TasaUSD)))</f>
        <v/>
      </c>
      <c r="V491" s="20">
        <f>IF(I491="","",IF(IFERROR(INDEX(ctaLiq,MATCH(E491,ctaNom,0))="Sí",FALSE),IF(OR(I491="Gasto",I491="Transferencia",I491="Pago tarjeta"),-1,1)*O491,0)+IF(AND(U491&lt;&gt;"",IFERROR(INDEX(ctaLiq,MATCH(G491,ctaNom,0))="Sí",FALSE)),O491,0))</f>
        <v/>
      </c>
      <c r="W491" s="19">
        <f>IF(OR(F491="",I491=""),"",IF(COUNTIFS(F$6:F491,F491,I$6:I491,"?*")=1,MAX(W$5:W490)+1,""))</f>
        <v/>
      </c>
    </row>
    <row r="492">
      <c r="B492" s="15" t="n"/>
      <c r="C492" s="16" t="n"/>
      <c r="D492" s="17" t="n"/>
      <c r="E492" s="17" t="n"/>
      <c r="F492" s="17" t="n"/>
      <c r="G492" s="17" t="n"/>
      <c r="H492" s="18">
        <f>IF(AND(B492="",C492="",D492="",E492=""),"",IF(B492="","⚠ Falta fecha",IF(C492="","⚠ Falta monto",IF(D492="","⚠ Falta categoría",IF(ISNA(MATCH(D492,catNom,0)),"⚠ Categoría no existe",IF(E492="","⚠ Falta cuenta",IF(ISNA(MATCH(E492,ctaNom,0)),"⚠ Cuenta no existe",IF(AND(OR(I492="Transferencia",I492="Pago tarjeta"),G492=""),"⚠ Indica la cuenta «Hacia»",IF(AND(G492&lt;&gt;"",G492=E492),"⚠ «Hacia» igual a la cuenta",IF(AND(G492&lt;&gt;"",ISNA(MATCH(G492,ctaNom,0))),"⚠ «Hacia» no existe",IF(AND(I492="Pago tarjeta",IFERROR(INDEX(ctaTipo,MATCH(G492,ctaNom,0)),"")&lt;&gt;"Tarjeta de crédito"),"⚠ «Hacia» debe ser la tarjeta",IF(AND(I492="Trading",IFERROR(INDEX(ctaTipo,MATCH(E492,ctaNom,0)),"")&lt;&gt;"Cuenta de trading"),"⚠ Usa la cuenta de trading","✓"))))))))))))</f>
        <v/>
      </c>
      <c r="I492" s="19">
        <f>IF(OR(B492="",C492="",D492=""),"",IFERROR(INDEX(catTipo,MATCH(D492,catNom,0))&amp;"",""))</f>
        <v/>
      </c>
      <c r="J492" s="19">
        <f>IF(I492="","",IFERROR(INDEX(catGrupo,MATCH(D492,catNom,0))&amp;"",""))</f>
        <v/>
      </c>
      <c r="K492" s="19">
        <f>IF(I492="Gasto",IF(IFERROR(INDEX(catClas,MATCH(D492,catNom,0))&amp;"","")="","Variable",IFERROR(INDEX(catClas,MATCH(D492,catNom,0))&amp;"","")),"")</f>
        <v/>
      </c>
      <c r="L492" s="19">
        <f>IF(I492="","",IFERROR(INDEX(catAlim,MATCH(D492,catNom,0))&amp;"",""))</f>
        <v/>
      </c>
      <c r="M492" s="19">
        <f>IF(I492="","",IFERROR(INDEX(catComida,MATCH(D492,catNom,0))&amp;"",""))</f>
        <v/>
      </c>
      <c r="N492" s="19">
        <f>IF(I492="","",IFERROR(INDEX(ctaMon,MATCH(E492,ctaNom,0))&amp;"","DOP"))</f>
        <v/>
      </c>
      <c r="O492" s="20">
        <f>IF(I492="","",C492*IF(N492="USD",TasaUSD,1))</f>
        <v/>
      </c>
      <c r="P492" s="20">
        <f>IF(I492="","",IF(I492="Gasto",O492,0))</f>
        <v/>
      </c>
      <c r="Q492" s="20">
        <f>IF(I492="","",IF(I492="Ingreso",O492,0))</f>
        <v/>
      </c>
      <c r="R492" s="20">
        <f>IF(I492="","",IF(I492="Trading",O492,0))</f>
        <v/>
      </c>
      <c r="S492" s="19">
        <f>IF(I492="","",IF(AND(I492="Gasto",K492="Variable",J492&lt;&gt;"Trading",O492&gt;0,O492&lt;=Umbral),1,0))</f>
        <v/>
      </c>
      <c r="T492" s="20">
        <f>IF(OR(I492="",E492=""),"",IF(OR(I492="Gasto",I492="Transferencia",I492="Pago tarjeta"),-1,1)*C492)</f>
        <v/>
      </c>
      <c r="U492" s="20">
        <f>IF(OR(G492="",AND(I492&lt;&gt;"Transferencia",I492&lt;&gt;"Pago tarjeta")),"",IF(IFERROR(INDEX(ctaMon,MATCH(G492,ctaNom,0))&amp;"","DOP")=N492,C492,IF(N492="USD",C492*TasaUSD,C492/TasaUSD)))</f>
        <v/>
      </c>
      <c r="V492" s="20">
        <f>IF(I492="","",IF(IFERROR(INDEX(ctaLiq,MATCH(E492,ctaNom,0))="Sí",FALSE),IF(OR(I492="Gasto",I492="Transferencia",I492="Pago tarjeta"),-1,1)*O492,0)+IF(AND(U492&lt;&gt;"",IFERROR(INDEX(ctaLiq,MATCH(G492,ctaNom,0))="Sí",FALSE)),O492,0))</f>
        <v/>
      </c>
      <c r="W492" s="19">
        <f>IF(OR(F492="",I492=""),"",IF(COUNTIFS(F$6:F492,F492,I$6:I492,"?*")=1,MAX(W$5:W491)+1,""))</f>
        <v/>
      </c>
    </row>
    <row r="493">
      <c r="B493" s="15" t="n"/>
      <c r="C493" s="16" t="n"/>
      <c r="D493" s="17" t="n"/>
      <c r="E493" s="17" t="n"/>
      <c r="F493" s="17" t="n"/>
      <c r="G493" s="17" t="n"/>
      <c r="H493" s="18">
        <f>IF(AND(B493="",C493="",D493="",E493=""),"",IF(B493="","⚠ Falta fecha",IF(C493="","⚠ Falta monto",IF(D493="","⚠ Falta categoría",IF(ISNA(MATCH(D493,catNom,0)),"⚠ Categoría no existe",IF(E493="","⚠ Falta cuenta",IF(ISNA(MATCH(E493,ctaNom,0)),"⚠ Cuenta no existe",IF(AND(OR(I493="Transferencia",I493="Pago tarjeta"),G493=""),"⚠ Indica la cuenta «Hacia»",IF(AND(G493&lt;&gt;"",G493=E493),"⚠ «Hacia» igual a la cuenta",IF(AND(G493&lt;&gt;"",ISNA(MATCH(G493,ctaNom,0))),"⚠ «Hacia» no existe",IF(AND(I493="Pago tarjeta",IFERROR(INDEX(ctaTipo,MATCH(G493,ctaNom,0)),"")&lt;&gt;"Tarjeta de crédito"),"⚠ «Hacia» debe ser la tarjeta",IF(AND(I493="Trading",IFERROR(INDEX(ctaTipo,MATCH(E493,ctaNom,0)),"")&lt;&gt;"Cuenta de trading"),"⚠ Usa la cuenta de trading","✓"))))))))))))</f>
        <v/>
      </c>
      <c r="I493" s="19">
        <f>IF(OR(B493="",C493="",D493=""),"",IFERROR(INDEX(catTipo,MATCH(D493,catNom,0))&amp;"",""))</f>
        <v/>
      </c>
      <c r="J493" s="19">
        <f>IF(I493="","",IFERROR(INDEX(catGrupo,MATCH(D493,catNom,0))&amp;"",""))</f>
        <v/>
      </c>
      <c r="K493" s="19">
        <f>IF(I493="Gasto",IF(IFERROR(INDEX(catClas,MATCH(D493,catNom,0))&amp;"","")="","Variable",IFERROR(INDEX(catClas,MATCH(D493,catNom,0))&amp;"","")),"")</f>
        <v/>
      </c>
      <c r="L493" s="19">
        <f>IF(I493="","",IFERROR(INDEX(catAlim,MATCH(D493,catNom,0))&amp;"",""))</f>
        <v/>
      </c>
      <c r="M493" s="19">
        <f>IF(I493="","",IFERROR(INDEX(catComida,MATCH(D493,catNom,0))&amp;"",""))</f>
        <v/>
      </c>
      <c r="N493" s="19">
        <f>IF(I493="","",IFERROR(INDEX(ctaMon,MATCH(E493,ctaNom,0))&amp;"","DOP"))</f>
        <v/>
      </c>
      <c r="O493" s="20">
        <f>IF(I493="","",C493*IF(N493="USD",TasaUSD,1))</f>
        <v/>
      </c>
      <c r="P493" s="20">
        <f>IF(I493="","",IF(I493="Gasto",O493,0))</f>
        <v/>
      </c>
      <c r="Q493" s="20">
        <f>IF(I493="","",IF(I493="Ingreso",O493,0))</f>
        <v/>
      </c>
      <c r="R493" s="20">
        <f>IF(I493="","",IF(I493="Trading",O493,0))</f>
        <v/>
      </c>
      <c r="S493" s="19">
        <f>IF(I493="","",IF(AND(I493="Gasto",K493="Variable",J493&lt;&gt;"Trading",O493&gt;0,O493&lt;=Umbral),1,0))</f>
        <v/>
      </c>
      <c r="T493" s="20">
        <f>IF(OR(I493="",E493=""),"",IF(OR(I493="Gasto",I493="Transferencia",I493="Pago tarjeta"),-1,1)*C493)</f>
        <v/>
      </c>
      <c r="U493" s="20">
        <f>IF(OR(G493="",AND(I493&lt;&gt;"Transferencia",I493&lt;&gt;"Pago tarjeta")),"",IF(IFERROR(INDEX(ctaMon,MATCH(G493,ctaNom,0))&amp;"","DOP")=N493,C493,IF(N493="USD",C493*TasaUSD,C493/TasaUSD)))</f>
        <v/>
      </c>
      <c r="V493" s="20">
        <f>IF(I493="","",IF(IFERROR(INDEX(ctaLiq,MATCH(E493,ctaNom,0))="Sí",FALSE),IF(OR(I493="Gasto",I493="Transferencia",I493="Pago tarjeta"),-1,1)*O493,0)+IF(AND(U493&lt;&gt;"",IFERROR(INDEX(ctaLiq,MATCH(G493,ctaNom,0))="Sí",FALSE)),O493,0))</f>
        <v/>
      </c>
      <c r="W493" s="19">
        <f>IF(OR(F493="",I493=""),"",IF(COUNTIFS(F$6:F493,F493,I$6:I493,"?*")=1,MAX(W$5:W492)+1,""))</f>
        <v/>
      </c>
    </row>
    <row r="494">
      <c r="B494" s="15" t="n"/>
      <c r="C494" s="16" t="n"/>
      <c r="D494" s="17" t="n"/>
      <c r="E494" s="17" t="n"/>
      <c r="F494" s="17" t="n"/>
      <c r="G494" s="17" t="n"/>
      <c r="H494" s="18">
        <f>IF(AND(B494="",C494="",D494="",E494=""),"",IF(B494="","⚠ Falta fecha",IF(C494="","⚠ Falta monto",IF(D494="","⚠ Falta categoría",IF(ISNA(MATCH(D494,catNom,0)),"⚠ Categoría no existe",IF(E494="","⚠ Falta cuenta",IF(ISNA(MATCH(E494,ctaNom,0)),"⚠ Cuenta no existe",IF(AND(OR(I494="Transferencia",I494="Pago tarjeta"),G494=""),"⚠ Indica la cuenta «Hacia»",IF(AND(G494&lt;&gt;"",G494=E494),"⚠ «Hacia» igual a la cuenta",IF(AND(G494&lt;&gt;"",ISNA(MATCH(G494,ctaNom,0))),"⚠ «Hacia» no existe",IF(AND(I494="Pago tarjeta",IFERROR(INDEX(ctaTipo,MATCH(G494,ctaNom,0)),"")&lt;&gt;"Tarjeta de crédito"),"⚠ «Hacia» debe ser la tarjeta",IF(AND(I494="Trading",IFERROR(INDEX(ctaTipo,MATCH(E494,ctaNom,0)),"")&lt;&gt;"Cuenta de trading"),"⚠ Usa la cuenta de trading","✓"))))))))))))</f>
        <v/>
      </c>
      <c r="I494" s="19">
        <f>IF(OR(B494="",C494="",D494=""),"",IFERROR(INDEX(catTipo,MATCH(D494,catNom,0))&amp;"",""))</f>
        <v/>
      </c>
      <c r="J494" s="19">
        <f>IF(I494="","",IFERROR(INDEX(catGrupo,MATCH(D494,catNom,0))&amp;"",""))</f>
        <v/>
      </c>
      <c r="K494" s="19">
        <f>IF(I494="Gasto",IF(IFERROR(INDEX(catClas,MATCH(D494,catNom,0))&amp;"","")="","Variable",IFERROR(INDEX(catClas,MATCH(D494,catNom,0))&amp;"","")),"")</f>
        <v/>
      </c>
      <c r="L494" s="19">
        <f>IF(I494="","",IFERROR(INDEX(catAlim,MATCH(D494,catNom,0))&amp;"",""))</f>
        <v/>
      </c>
      <c r="M494" s="19">
        <f>IF(I494="","",IFERROR(INDEX(catComida,MATCH(D494,catNom,0))&amp;"",""))</f>
        <v/>
      </c>
      <c r="N494" s="19">
        <f>IF(I494="","",IFERROR(INDEX(ctaMon,MATCH(E494,ctaNom,0))&amp;"","DOP"))</f>
        <v/>
      </c>
      <c r="O494" s="20">
        <f>IF(I494="","",C494*IF(N494="USD",TasaUSD,1))</f>
        <v/>
      </c>
      <c r="P494" s="20">
        <f>IF(I494="","",IF(I494="Gasto",O494,0))</f>
        <v/>
      </c>
      <c r="Q494" s="20">
        <f>IF(I494="","",IF(I494="Ingreso",O494,0))</f>
        <v/>
      </c>
      <c r="R494" s="20">
        <f>IF(I494="","",IF(I494="Trading",O494,0))</f>
        <v/>
      </c>
      <c r="S494" s="19">
        <f>IF(I494="","",IF(AND(I494="Gasto",K494="Variable",J494&lt;&gt;"Trading",O494&gt;0,O494&lt;=Umbral),1,0))</f>
        <v/>
      </c>
      <c r="T494" s="20">
        <f>IF(OR(I494="",E494=""),"",IF(OR(I494="Gasto",I494="Transferencia",I494="Pago tarjeta"),-1,1)*C494)</f>
        <v/>
      </c>
      <c r="U494" s="20">
        <f>IF(OR(G494="",AND(I494&lt;&gt;"Transferencia",I494&lt;&gt;"Pago tarjeta")),"",IF(IFERROR(INDEX(ctaMon,MATCH(G494,ctaNom,0))&amp;"","DOP")=N494,C494,IF(N494="USD",C494*TasaUSD,C494/TasaUSD)))</f>
        <v/>
      </c>
      <c r="V494" s="20">
        <f>IF(I494="","",IF(IFERROR(INDEX(ctaLiq,MATCH(E494,ctaNom,0))="Sí",FALSE),IF(OR(I494="Gasto",I494="Transferencia",I494="Pago tarjeta"),-1,1)*O494,0)+IF(AND(U494&lt;&gt;"",IFERROR(INDEX(ctaLiq,MATCH(G494,ctaNom,0))="Sí",FALSE)),O494,0))</f>
        <v/>
      </c>
      <c r="W494" s="19">
        <f>IF(OR(F494="",I494=""),"",IF(COUNTIFS(F$6:F494,F494,I$6:I494,"?*")=1,MAX(W$5:W493)+1,""))</f>
        <v/>
      </c>
    </row>
    <row r="495">
      <c r="B495" s="15" t="n"/>
      <c r="C495" s="16" t="n"/>
      <c r="D495" s="17" t="n"/>
      <c r="E495" s="17" t="n"/>
      <c r="F495" s="17" t="n"/>
      <c r="G495" s="17" t="n"/>
      <c r="H495" s="18">
        <f>IF(AND(B495="",C495="",D495="",E495=""),"",IF(B495="","⚠ Falta fecha",IF(C495="","⚠ Falta monto",IF(D495="","⚠ Falta categoría",IF(ISNA(MATCH(D495,catNom,0)),"⚠ Categoría no existe",IF(E495="","⚠ Falta cuenta",IF(ISNA(MATCH(E495,ctaNom,0)),"⚠ Cuenta no existe",IF(AND(OR(I495="Transferencia",I495="Pago tarjeta"),G495=""),"⚠ Indica la cuenta «Hacia»",IF(AND(G495&lt;&gt;"",G495=E495),"⚠ «Hacia» igual a la cuenta",IF(AND(G495&lt;&gt;"",ISNA(MATCH(G495,ctaNom,0))),"⚠ «Hacia» no existe",IF(AND(I495="Pago tarjeta",IFERROR(INDEX(ctaTipo,MATCH(G495,ctaNom,0)),"")&lt;&gt;"Tarjeta de crédito"),"⚠ «Hacia» debe ser la tarjeta",IF(AND(I495="Trading",IFERROR(INDEX(ctaTipo,MATCH(E495,ctaNom,0)),"")&lt;&gt;"Cuenta de trading"),"⚠ Usa la cuenta de trading","✓"))))))))))))</f>
        <v/>
      </c>
      <c r="I495" s="19">
        <f>IF(OR(B495="",C495="",D495=""),"",IFERROR(INDEX(catTipo,MATCH(D495,catNom,0))&amp;"",""))</f>
        <v/>
      </c>
      <c r="J495" s="19">
        <f>IF(I495="","",IFERROR(INDEX(catGrupo,MATCH(D495,catNom,0))&amp;"",""))</f>
        <v/>
      </c>
      <c r="K495" s="19">
        <f>IF(I495="Gasto",IF(IFERROR(INDEX(catClas,MATCH(D495,catNom,0))&amp;"","")="","Variable",IFERROR(INDEX(catClas,MATCH(D495,catNom,0))&amp;"","")),"")</f>
        <v/>
      </c>
      <c r="L495" s="19">
        <f>IF(I495="","",IFERROR(INDEX(catAlim,MATCH(D495,catNom,0))&amp;"",""))</f>
        <v/>
      </c>
      <c r="M495" s="19">
        <f>IF(I495="","",IFERROR(INDEX(catComida,MATCH(D495,catNom,0))&amp;"",""))</f>
        <v/>
      </c>
      <c r="N495" s="19">
        <f>IF(I495="","",IFERROR(INDEX(ctaMon,MATCH(E495,ctaNom,0))&amp;"","DOP"))</f>
        <v/>
      </c>
      <c r="O495" s="20">
        <f>IF(I495="","",C495*IF(N495="USD",TasaUSD,1))</f>
        <v/>
      </c>
      <c r="P495" s="20">
        <f>IF(I495="","",IF(I495="Gasto",O495,0))</f>
        <v/>
      </c>
      <c r="Q495" s="20">
        <f>IF(I495="","",IF(I495="Ingreso",O495,0))</f>
        <v/>
      </c>
      <c r="R495" s="20">
        <f>IF(I495="","",IF(I495="Trading",O495,0))</f>
        <v/>
      </c>
      <c r="S495" s="19">
        <f>IF(I495="","",IF(AND(I495="Gasto",K495="Variable",J495&lt;&gt;"Trading",O495&gt;0,O495&lt;=Umbral),1,0))</f>
        <v/>
      </c>
      <c r="T495" s="20">
        <f>IF(OR(I495="",E495=""),"",IF(OR(I495="Gasto",I495="Transferencia",I495="Pago tarjeta"),-1,1)*C495)</f>
        <v/>
      </c>
      <c r="U495" s="20">
        <f>IF(OR(G495="",AND(I495&lt;&gt;"Transferencia",I495&lt;&gt;"Pago tarjeta")),"",IF(IFERROR(INDEX(ctaMon,MATCH(G495,ctaNom,0))&amp;"","DOP")=N495,C495,IF(N495="USD",C495*TasaUSD,C495/TasaUSD)))</f>
        <v/>
      </c>
      <c r="V495" s="20">
        <f>IF(I495="","",IF(IFERROR(INDEX(ctaLiq,MATCH(E495,ctaNom,0))="Sí",FALSE),IF(OR(I495="Gasto",I495="Transferencia",I495="Pago tarjeta"),-1,1)*O495,0)+IF(AND(U495&lt;&gt;"",IFERROR(INDEX(ctaLiq,MATCH(G495,ctaNom,0))="Sí",FALSE)),O495,0))</f>
        <v/>
      </c>
      <c r="W495" s="19">
        <f>IF(OR(F495="",I495=""),"",IF(COUNTIFS(F$6:F495,F495,I$6:I495,"?*")=1,MAX(W$5:W494)+1,""))</f>
        <v/>
      </c>
    </row>
    <row r="496">
      <c r="B496" s="15" t="n"/>
      <c r="C496" s="16" t="n"/>
      <c r="D496" s="17" t="n"/>
      <c r="E496" s="17" t="n"/>
      <c r="F496" s="17" t="n"/>
      <c r="G496" s="17" t="n"/>
      <c r="H496" s="18">
        <f>IF(AND(B496="",C496="",D496="",E496=""),"",IF(B496="","⚠ Falta fecha",IF(C496="","⚠ Falta monto",IF(D496="","⚠ Falta categoría",IF(ISNA(MATCH(D496,catNom,0)),"⚠ Categoría no existe",IF(E496="","⚠ Falta cuenta",IF(ISNA(MATCH(E496,ctaNom,0)),"⚠ Cuenta no existe",IF(AND(OR(I496="Transferencia",I496="Pago tarjeta"),G496=""),"⚠ Indica la cuenta «Hacia»",IF(AND(G496&lt;&gt;"",G496=E496),"⚠ «Hacia» igual a la cuenta",IF(AND(G496&lt;&gt;"",ISNA(MATCH(G496,ctaNom,0))),"⚠ «Hacia» no existe",IF(AND(I496="Pago tarjeta",IFERROR(INDEX(ctaTipo,MATCH(G496,ctaNom,0)),"")&lt;&gt;"Tarjeta de crédito"),"⚠ «Hacia» debe ser la tarjeta",IF(AND(I496="Trading",IFERROR(INDEX(ctaTipo,MATCH(E496,ctaNom,0)),"")&lt;&gt;"Cuenta de trading"),"⚠ Usa la cuenta de trading","✓"))))))))))))</f>
        <v/>
      </c>
      <c r="I496" s="19">
        <f>IF(OR(B496="",C496="",D496=""),"",IFERROR(INDEX(catTipo,MATCH(D496,catNom,0))&amp;"",""))</f>
        <v/>
      </c>
      <c r="J496" s="19">
        <f>IF(I496="","",IFERROR(INDEX(catGrupo,MATCH(D496,catNom,0))&amp;"",""))</f>
        <v/>
      </c>
      <c r="K496" s="19">
        <f>IF(I496="Gasto",IF(IFERROR(INDEX(catClas,MATCH(D496,catNom,0))&amp;"","")="","Variable",IFERROR(INDEX(catClas,MATCH(D496,catNom,0))&amp;"","")),"")</f>
        <v/>
      </c>
      <c r="L496" s="19">
        <f>IF(I496="","",IFERROR(INDEX(catAlim,MATCH(D496,catNom,0))&amp;"",""))</f>
        <v/>
      </c>
      <c r="M496" s="19">
        <f>IF(I496="","",IFERROR(INDEX(catComida,MATCH(D496,catNom,0))&amp;"",""))</f>
        <v/>
      </c>
      <c r="N496" s="19">
        <f>IF(I496="","",IFERROR(INDEX(ctaMon,MATCH(E496,ctaNom,0))&amp;"","DOP"))</f>
        <v/>
      </c>
      <c r="O496" s="20">
        <f>IF(I496="","",C496*IF(N496="USD",TasaUSD,1))</f>
        <v/>
      </c>
      <c r="P496" s="20">
        <f>IF(I496="","",IF(I496="Gasto",O496,0))</f>
        <v/>
      </c>
      <c r="Q496" s="20">
        <f>IF(I496="","",IF(I496="Ingreso",O496,0))</f>
        <v/>
      </c>
      <c r="R496" s="20">
        <f>IF(I496="","",IF(I496="Trading",O496,0))</f>
        <v/>
      </c>
      <c r="S496" s="19">
        <f>IF(I496="","",IF(AND(I496="Gasto",K496="Variable",J496&lt;&gt;"Trading",O496&gt;0,O496&lt;=Umbral),1,0))</f>
        <v/>
      </c>
      <c r="T496" s="20">
        <f>IF(OR(I496="",E496=""),"",IF(OR(I496="Gasto",I496="Transferencia",I496="Pago tarjeta"),-1,1)*C496)</f>
        <v/>
      </c>
      <c r="U496" s="20">
        <f>IF(OR(G496="",AND(I496&lt;&gt;"Transferencia",I496&lt;&gt;"Pago tarjeta")),"",IF(IFERROR(INDEX(ctaMon,MATCH(G496,ctaNom,0))&amp;"","DOP")=N496,C496,IF(N496="USD",C496*TasaUSD,C496/TasaUSD)))</f>
        <v/>
      </c>
      <c r="V496" s="20">
        <f>IF(I496="","",IF(IFERROR(INDEX(ctaLiq,MATCH(E496,ctaNom,0))="Sí",FALSE),IF(OR(I496="Gasto",I496="Transferencia",I496="Pago tarjeta"),-1,1)*O496,0)+IF(AND(U496&lt;&gt;"",IFERROR(INDEX(ctaLiq,MATCH(G496,ctaNom,0))="Sí",FALSE)),O496,0))</f>
        <v/>
      </c>
      <c r="W496" s="19">
        <f>IF(OR(F496="",I496=""),"",IF(COUNTIFS(F$6:F496,F496,I$6:I496,"?*")=1,MAX(W$5:W495)+1,""))</f>
        <v/>
      </c>
    </row>
    <row r="497">
      <c r="B497" s="15" t="n"/>
      <c r="C497" s="16" t="n"/>
      <c r="D497" s="17" t="n"/>
      <c r="E497" s="17" t="n"/>
      <c r="F497" s="17" t="n"/>
      <c r="G497" s="17" t="n"/>
      <c r="H497" s="18">
        <f>IF(AND(B497="",C497="",D497="",E497=""),"",IF(B497="","⚠ Falta fecha",IF(C497="","⚠ Falta monto",IF(D497="","⚠ Falta categoría",IF(ISNA(MATCH(D497,catNom,0)),"⚠ Categoría no existe",IF(E497="","⚠ Falta cuenta",IF(ISNA(MATCH(E497,ctaNom,0)),"⚠ Cuenta no existe",IF(AND(OR(I497="Transferencia",I497="Pago tarjeta"),G497=""),"⚠ Indica la cuenta «Hacia»",IF(AND(G497&lt;&gt;"",G497=E497),"⚠ «Hacia» igual a la cuenta",IF(AND(G497&lt;&gt;"",ISNA(MATCH(G497,ctaNom,0))),"⚠ «Hacia» no existe",IF(AND(I497="Pago tarjeta",IFERROR(INDEX(ctaTipo,MATCH(G497,ctaNom,0)),"")&lt;&gt;"Tarjeta de crédito"),"⚠ «Hacia» debe ser la tarjeta",IF(AND(I497="Trading",IFERROR(INDEX(ctaTipo,MATCH(E497,ctaNom,0)),"")&lt;&gt;"Cuenta de trading"),"⚠ Usa la cuenta de trading","✓"))))))))))))</f>
        <v/>
      </c>
      <c r="I497" s="19">
        <f>IF(OR(B497="",C497="",D497=""),"",IFERROR(INDEX(catTipo,MATCH(D497,catNom,0))&amp;"",""))</f>
        <v/>
      </c>
      <c r="J497" s="19">
        <f>IF(I497="","",IFERROR(INDEX(catGrupo,MATCH(D497,catNom,0))&amp;"",""))</f>
        <v/>
      </c>
      <c r="K497" s="19">
        <f>IF(I497="Gasto",IF(IFERROR(INDEX(catClas,MATCH(D497,catNom,0))&amp;"","")="","Variable",IFERROR(INDEX(catClas,MATCH(D497,catNom,0))&amp;"","")),"")</f>
        <v/>
      </c>
      <c r="L497" s="19">
        <f>IF(I497="","",IFERROR(INDEX(catAlim,MATCH(D497,catNom,0))&amp;"",""))</f>
        <v/>
      </c>
      <c r="M497" s="19">
        <f>IF(I497="","",IFERROR(INDEX(catComida,MATCH(D497,catNom,0))&amp;"",""))</f>
        <v/>
      </c>
      <c r="N497" s="19">
        <f>IF(I497="","",IFERROR(INDEX(ctaMon,MATCH(E497,ctaNom,0))&amp;"","DOP"))</f>
        <v/>
      </c>
      <c r="O497" s="20">
        <f>IF(I497="","",C497*IF(N497="USD",TasaUSD,1))</f>
        <v/>
      </c>
      <c r="P497" s="20">
        <f>IF(I497="","",IF(I497="Gasto",O497,0))</f>
        <v/>
      </c>
      <c r="Q497" s="20">
        <f>IF(I497="","",IF(I497="Ingreso",O497,0))</f>
        <v/>
      </c>
      <c r="R497" s="20">
        <f>IF(I497="","",IF(I497="Trading",O497,0))</f>
        <v/>
      </c>
      <c r="S497" s="19">
        <f>IF(I497="","",IF(AND(I497="Gasto",K497="Variable",J497&lt;&gt;"Trading",O497&gt;0,O497&lt;=Umbral),1,0))</f>
        <v/>
      </c>
      <c r="T497" s="20">
        <f>IF(OR(I497="",E497=""),"",IF(OR(I497="Gasto",I497="Transferencia",I497="Pago tarjeta"),-1,1)*C497)</f>
        <v/>
      </c>
      <c r="U497" s="20">
        <f>IF(OR(G497="",AND(I497&lt;&gt;"Transferencia",I497&lt;&gt;"Pago tarjeta")),"",IF(IFERROR(INDEX(ctaMon,MATCH(G497,ctaNom,0))&amp;"","DOP")=N497,C497,IF(N497="USD",C497*TasaUSD,C497/TasaUSD)))</f>
        <v/>
      </c>
      <c r="V497" s="20">
        <f>IF(I497="","",IF(IFERROR(INDEX(ctaLiq,MATCH(E497,ctaNom,0))="Sí",FALSE),IF(OR(I497="Gasto",I497="Transferencia",I497="Pago tarjeta"),-1,1)*O497,0)+IF(AND(U497&lt;&gt;"",IFERROR(INDEX(ctaLiq,MATCH(G497,ctaNom,0))="Sí",FALSE)),O497,0))</f>
        <v/>
      </c>
      <c r="W497" s="19">
        <f>IF(OR(F497="",I497=""),"",IF(COUNTIFS(F$6:F497,F497,I$6:I497,"?*")=1,MAX(W$5:W496)+1,""))</f>
        <v/>
      </c>
    </row>
    <row r="498">
      <c r="B498" s="15" t="n"/>
      <c r="C498" s="16" t="n"/>
      <c r="D498" s="17" t="n"/>
      <c r="E498" s="17" t="n"/>
      <c r="F498" s="17" t="n"/>
      <c r="G498" s="17" t="n"/>
      <c r="H498" s="18">
        <f>IF(AND(B498="",C498="",D498="",E498=""),"",IF(B498="","⚠ Falta fecha",IF(C498="","⚠ Falta monto",IF(D498="","⚠ Falta categoría",IF(ISNA(MATCH(D498,catNom,0)),"⚠ Categoría no existe",IF(E498="","⚠ Falta cuenta",IF(ISNA(MATCH(E498,ctaNom,0)),"⚠ Cuenta no existe",IF(AND(OR(I498="Transferencia",I498="Pago tarjeta"),G498=""),"⚠ Indica la cuenta «Hacia»",IF(AND(G498&lt;&gt;"",G498=E498),"⚠ «Hacia» igual a la cuenta",IF(AND(G498&lt;&gt;"",ISNA(MATCH(G498,ctaNom,0))),"⚠ «Hacia» no existe",IF(AND(I498="Pago tarjeta",IFERROR(INDEX(ctaTipo,MATCH(G498,ctaNom,0)),"")&lt;&gt;"Tarjeta de crédito"),"⚠ «Hacia» debe ser la tarjeta",IF(AND(I498="Trading",IFERROR(INDEX(ctaTipo,MATCH(E498,ctaNom,0)),"")&lt;&gt;"Cuenta de trading"),"⚠ Usa la cuenta de trading","✓"))))))))))))</f>
        <v/>
      </c>
      <c r="I498" s="19">
        <f>IF(OR(B498="",C498="",D498=""),"",IFERROR(INDEX(catTipo,MATCH(D498,catNom,0))&amp;"",""))</f>
        <v/>
      </c>
      <c r="J498" s="19">
        <f>IF(I498="","",IFERROR(INDEX(catGrupo,MATCH(D498,catNom,0))&amp;"",""))</f>
        <v/>
      </c>
      <c r="K498" s="19">
        <f>IF(I498="Gasto",IF(IFERROR(INDEX(catClas,MATCH(D498,catNom,0))&amp;"","")="","Variable",IFERROR(INDEX(catClas,MATCH(D498,catNom,0))&amp;"","")),"")</f>
        <v/>
      </c>
      <c r="L498" s="19">
        <f>IF(I498="","",IFERROR(INDEX(catAlim,MATCH(D498,catNom,0))&amp;"",""))</f>
        <v/>
      </c>
      <c r="M498" s="19">
        <f>IF(I498="","",IFERROR(INDEX(catComida,MATCH(D498,catNom,0))&amp;"",""))</f>
        <v/>
      </c>
      <c r="N498" s="19">
        <f>IF(I498="","",IFERROR(INDEX(ctaMon,MATCH(E498,ctaNom,0))&amp;"","DOP"))</f>
        <v/>
      </c>
      <c r="O498" s="20">
        <f>IF(I498="","",C498*IF(N498="USD",TasaUSD,1))</f>
        <v/>
      </c>
      <c r="P498" s="20">
        <f>IF(I498="","",IF(I498="Gasto",O498,0))</f>
        <v/>
      </c>
      <c r="Q498" s="20">
        <f>IF(I498="","",IF(I498="Ingreso",O498,0))</f>
        <v/>
      </c>
      <c r="R498" s="20">
        <f>IF(I498="","",IF(I498="Trading",O498,0))</f>
        <v/>
      </c>
      <c r="S498" s="19">
        <f>IF(I498="","",IF(AND(I498="Gasto",K498="Variable",J498&lt;&gt;"Trading",O498&gt;0,O498&lt;=Umbral),1,0))</f>
        <v/>
      </c>
      <c r="T498" s="20">
        <f>IF(OR(I498="",E498=""),"",IF(OR(I498="Gasto",I498="Transferencia",I498="Pago tarjeta"),-1,1)*C498)</f>
        <v/>
      </c>
      <c r="U498" s="20">
        <f>IF(OR(G498="",AND(I498&lt;&gt;"Transferencia",I498&lt;&gt;"Pago tarjeta")),"",IF(IFERROR(INDEX(ctaMon,MATCH(G498,ctaNom,0))&amp;"","DOP")=N498,C498,IF(N498="USD",C498*TasaUSD,C498/TasaUSD)))</f>
        <v/>
      </c>
      <c r="V498" s="20">
        <f>IF(I498="","",IF(IFERROR(INDEX(ctaLiq,MATCH(E498,ctaNom,0))="Sí",FALSE),IF(OR(I498="Gasto",I498="Transferencia",I498="Pago tarjeta"),-1,1)*O498,0)+IF(AND(U498&lt;&gt;"",IFERROR(INDEX(ctaLiq,MATCH(G498,ctaNom,0))="Sí",FALSE)),O498,0))</f>
        <v/>
      </c>
      <c r="W498" s="19">
        <f>IF(OR(F498="",I498=""),"",IF(COUNTIFS(F$6:F498,F498,I$6:I498,"?*")=1,MAX(W$5:W497)+1,""))</f>
        <v/>
      </c>
    </row>
    <row r="499">
      <c r="B499" s="15" t="n"/>
      <c r="C499" s="16" t="n"/>
      <c r="D499" s="17" t="n"/>
      <c r="E499" s="17" t="n"/>
      <c r="F499" s="17" t="n"/>
      <c r="G499" s="17" t="n"/>
      <c r="H499" s="18">
        <f>IF(AND(B499="",C499="",D499="",E499=""),"",IF(B499="","⚠ Falta fecha",IF(C499="","⚠ Falta monto",IF(D499="","⚠ Falta categoría",IF(ISNA(MATCH(D499,catNom,0)),"⚠ Categoría no existe",IF(E499="","⚠ Falta cuenta",IF(ISNA(MATCH(E499,ctaNom,0)),"⚠ Cuenta no existe",IF(AND(OR(I499="Transferencia",I499="Pago tarjeta"),G499=""),"⚠ Indica la cuenta «Hacia»",IF(AND(G499&lt;&gt;"",G499=E499),"⚠ «Hacia» igual a la cuenta",IF(AND(G499&lt;&gt;"",ISNA(MATCH(G499,ctaNom,0))),"⚠ «Hacia» no existe",IF(AND(I499="Pago tarjeta",IFERROR(INDEX(ctaTipo,MATCH(G499,ctaNom,0)),"")&lt;&gt;"Tarjeta de crédito"),"⚠ «Hacia» debe ser la tarjeta",IF(AND(I499="Trading",IFERROR(INDEX(ctaTipo,MATCH(E499,ctaNom,0)),"")&lt;&gt;"Cuenta de trading"),"⚠ Usa la cuenta de trading","✓"))))))))))))</f>
        <v/>
      </c>
      <c r="I499" s="19">
        <f>IF(OR(B499="",C499="",D499=""),"",IFERROR(INDEX(catTipo,MATCH(D499,catNom,0))&amp;"",""))</f>
        <v/>
      </c>
      <c r="J499" s="19">
        <f>IF(I499="","",IFERROR(INDEX(catGrupo,MATCH(D499,catNom,0))&amp;"",""))</f>
        <v/>
      </c>
      <c r="K499" s="19">
        <f>IF(I499="Gasto",IF(IFERROR(INDEX(catClas,MATCH(D499,catNom,0))&amp;"","")="","Variable",IFERROR(INDEX(catClas,MATCH(D499,catNom,0))&amp;"","")),"")</f>
        <v/>
      </c>
      <c r="L499" s="19">
        <f>IF(I499="","",IFERROR(INDEX(catAlim,MATCH(D499,catNom,0))&amp;"",""))</f>
        <v/>
      </c>
      <c r="M499" s="19">
        <f>IF(I499="","",IFERROR(INDEX(catComida,MATCH(D499,catNom,0))&amp;"",""))</f>
        <v/>
      </c>
      <c r="N499" s="19">
        <f>IF(I499="","",IFERROR(INDEX(ctaMon,MATCH(E499,ctaNom,0))&amp;"","DOP"))</f>
        <v/>
      </c>
      <c r="O499" s="20">
        <f>IF(I499="","",C499*IF(N499="USD",TasaUSD,1))</f>
        <v/>
      </c>
      <c r="P499" s="20">
        <f>IF(I499="","",IF(I499="Gasto",O499,0))</f>
        <v/>
      </c>
      <c r="Q499" s="20">
        <f>IF(I499="","",IF(I499="Ingreso",O499,0))</f>
        <v/>
      </c>
      <c r="R499" s="20">
        <f>IF(I499="","",IF(I499="Trading",O499,0))</f>
        <v/>
      </c>
      <c r="S499" s="19">
        <f>IF(I499="","",IF(AND(I499="Gasto",K499="Variable",J499&lt;&gt;"Trading",O499&gt;0,O499&lt;=Umbral),1,0))</f>
        <v/>
      </c>
      <c r="T499" s="20">
        <f>IF(OR(I499="",E499=""),"",IF(OR(I499="Gasto",I499="Transferencia",I499="Pago tarjeta"),-1,1)*C499)</f>
        <v/>
      </c>
      <c r="U499" s="20">
        <f>IF(OR(G499="",AND(I499&lt;&gt;"Transferencia",I499&lt;&gt;"Pago tarjeta")),"",IF(IFERROR(INDEX(ctaMon,MATCH(G499,ctaNom,0))&amp;"","DOP")=N499,C499,IF(N499="USD",C499*TasaUSD,C499/TasaUSD)))</f>
        <v/>
      </c>
      <c r="V499" s="20">
        <f>IF(I499="","",IF(IFERROR(INDEX(ctaLiq,MATCH(E499,ctaNom,0))="Sí",FALSE),IF(OR(I499="Gasto",I499="Transferencia",I499="Pago tarjeta"),-1,1)*O499,0)+IF(AND(U499&lt;&gt;"",IFERROR(INDEX(ctaLiq,MATCH(G499,ctaNom,0))="Sí",FALSE)),O499,0))</f>
        <v/>
      </c>
      <c r="W499" s="19">
        <f>IF(OR(F499="",I499=""),"",IF(COUNTIFS(F$6:F499,F499,I$6:I499,"?*")=1,MAX(W$5:W498)+1,""))</f>
        <v/>
      </c>
    </row>
    <row r="500">
      <c r="B500" s="15" t="n"/>
      <c r="C500" s="16" t="n"/>
      <c r="D500" s="17" t="n"/>
      <c r="E500" s="17" t="n"/>
      <c r="F500" s="17" t="n"/>
      <c r="G500" s="17" t="n"/>
      <c r="H500" s="18">
        <f>IF(AND(B500="",C500="",D500="",E500=""),"",IF(B500="","⚠ Falta fecha",IF(C500="","⚠ Falta monto",IF(D500="","⚠ Falta categoría",IF(ISNA(MATCH(D500,catNom,0)),"⚠ Categoría no existe",IF(E500="","⚠ Falta cuenta",IF(ISNA(MATCH(E500,ctaNom,0)),"⚠ Cuenta no existe",IF(AND(OR(I500="Transferencia",I500="Pago tarjeta"),G500=""),"⚠ Indica la cuenta «Hacia»",IF(AND(G500&lt;&gt;"",G500=E500),"⚠ «Hacia» igual a la cuenta",IF(AND(G500&lt;&gt;"",ISNA(MATCH(G500,ctaNom,0))),"⚠ «Hacia» no existe",IF(AND(I500="Pago tarjeta",IFERROR(INDEX(ctaTipo,MATCH(G500,ctaNom,0)),"")&lt;&gt;"Tarjeta de crédito"),"⚠ «Hacia» debe ser la tarjeta",IF(AND(I500="Trading",IFERROR(INDEX(ctaTipo,MATCH(E500,ctaNom,0)),"")&lt;&gt;"Cuenta de trading"),"⚠ Usa la cuenta de trading","✓"))))))))))))</f>
        <v/>
      </c>
      <c r="I500" s="19">
        <f>IF(OR(B500="",C500="",D500=""),"",IFERROR(INDEX(catTipo,MATCH(D500,catNom,0))&amp;"",""))</f>
        <v/>
      </c>
      <c r="J500" s="19">
        <f>IF(I500="","",IFERROR(INDEX(catGrupo,MATCH(D500,catNom,0))&amp;"",""))</f>
        <v/>
      </c>
      <c r="K500" s="19">
        <f>IF(I500="Gasto",IF(IFERROR(INDEX(catClas,MATCH(D500,catNom,0))&amp;"","")="","Variable",IFERROR(INDEX(catClas,MATCH(D500,catNom,0))&amp;"","")),"")</f>
        <v/>
      </c>
      <c r="L500" s="19">
        <f>IF(I500="","",IFERROR(INDEX(catAlim,MATCH(D500,catNom,0))&amp;"",""))</f>
        <v/>
      </c>
      <c r="M500" s="19">
        <f>IF(I500="","",IFERROR(INDEX(catComida,MATCH(D500,catNom,0))&amp;"",""))</f>
        <v/>
      </c>
      <c r="N500" s="19">
        <f>IF(I500="","",IFERROR(INDEX(ctaMon,MATCH(E500,ctaNom,0))&amp;"","DOP"))</f>
        <v/>
      </c>
      <c r="O500" s="20">
        <f>IF(I500="","",C500*IF(N500="USD",TasaUSD,1))</f>
        <v/>
      </c>
      <c r="P500" s="20">
        <f>IF(I500="","",IF(I500="Gasto",O500,0))</f>
        <v/>
      </c>
      <c r="Q500" s="20">
        <f>IF(I500="","",IF(I500="Ingreso",O500,0))</f>
        <v/>
      </c>
      <c r="R500" s="20">
        <f>IF(I500="","",IF(I500="Trading",O500,0))</f>
        <v/>
      </c>
      <c r="S500" s="19">
        <f>IF(I500="","",IF(AND(I500="Gasto",K500="Variable",J500&lt;&gt;"Trading",O500&gt;0,O500&lt;=Umbral),1,0))</f>
        <v/>
      </c>
      <c r="T500" s="20">
        <f>IF(OR(I500="",E500=""),"",IF(OR(I500="Gasto",I500="Transferencia",I500="Pago tarjeta"),-1,1)*C500)</f>
        <v/>
      </c>
      <c r="U500" s="20">
        <f>IF(OR(G500="",AND(I500&lt;&gt;"Transferencia",I500&lt;&gt;"Pago tarjeta")),"",IF(IFERROR(INDEX(ctaMon,MATCH(G500,ctaNom,0))&amp;"","DOP")=N500,C500,IF(N500="USD",C500*TasaUSD,C500/TasaUSD)))</f>
        <v/>
      </c>
      <c r="V500" s="20">
        <f>IF(I500="","",IF(IFERROR(INDEX(ctaLiq,MATCH(E500,ctaNom,0))="Sí",FALSE),IF(OR(I500="Gasto",I500="Transferencia",I500="Pago tarjeta"),-1,1)*O500,0)+IF(AND(U500&lt;&gt;"",IFERROR(INDEX(ctaLiq,MATCH(G500,ctaNom,0))="Sí",FALSE)),O500,0))</f>
        <v/>
      </c>
      <c r="W500" s="19">
        <f>IF(OR(F500="",I500=""),"",IF(COUNTIFS(F$6:F500,F500,I$6:I500,"?*")=1,MAX(W$5:W499)+1,""))</f>
        <v/>
      </c>
    </row>
    <row r="501">
      <c r="B501" s="15" t="n"/>
      <c r="C501" s="16" t="n"/>
      <c r="D501" s="17" t="n"/>
      <c r="E501" s="17" t="n"/>
      <c r="F501" s="17" t="n"/>
      <c r="G501" s="17" t="n"/>
      <c r="H501" s="18">
        <f>IF(AND(B501="",C501="",D501="",E501=""),"",IF(B501="","⚠ Falta fecha",IF(C501="","⚠ Falta monto",IF(D501="","⚠ Falta categoría",IF(ISNA(MATCH(D501,catNom,0)),"⚠ Categoría no existe",IF(E501="","⚠ Falta cuenta",IF(ISNA(MATCH(E501,ctaNom,0)),"⚠ Cuenta no existe",IF(AND(OR(I501="Transferencia",I501="Pago tarjeta"),G501=""),"⚠ Indica la cuenta «Hacia»",IF(AND(G501&lt;&gt;"",G501=E501),"⚠ «Hacia» igual a la cuenta",IF(AND(G501&lt;&gt;"",ISNA(MATCH(G501,ctaNom,0))),"⚠ «Hacia» no existe",IF(AND(I501="Pago tarjeta",IFERROR(INDEX(ctaTipo,MATCH(G501,ctaNom,0)),"")&lt;&gt;"Tarjeta de crédito"),"⚠ «Hacia» debe ser la tarjeta",IF(AND(I501="Trading",IFERROR(INDEX(ctaTipo,MATCH(E501,ctaNom,0)),"")&lt;&gt;"Cuenta de trading"),"⚠ Usa la cuenta de trading","✓"))))))))))))</f>
        <v/>
      </c>
      <c r="I501" s="19">
        <f>IF(OR(B501="",C501="",D501=""),"",IFERROR(INDEX(catTipo,MATCH(D501,catNom,0))&amp;"",""))</f>
        <v/>
      </c>
      <c r="J501" s="19">
        <f>IF(I501="","",IFERROR(INDEX(catGrupo,MATCH(D501,catNom,0))&amp;"",""))</f>
        <v/>
      </c>
      <c r="K501" s="19">
        <f>IF(I501="Gasto",IF(IFERROR(INDEX(catClas,MATCH(D501,catNom,0))&amp;"","")="","Variable",IFERROR(INDEX(catClas,MATCH(D501,catNom,0))&amp;"","")),"")</f>
        <v/>
      </c>
      <c r="L501" s="19">
        <f>IF(I501="","",IFERROR(INDEX(catAlim,MATCH(D501,catNom,0))&amp;"",""))</f>
        <v/>
      </c>
      <c r="M501" s="19">
        <f>IF(I501="","",IFERROR(INDEX(catComida,MATCH(D501,catNom,0))&amp;"",""))</f>
        <v/>
      </c>
      <c r="N501" s="19">
        <f>IF(I501="","",IFERROR(INDEX(ctaMon,MATCH(E501,ctaNom,0))&amp;"","DOP"))</f>
        <v/>
      </c>
      <c r="O501" s="20">
        <f>IF(I501="","",C501*IF(N501="USD",TasaUSD,1))</f>
        <v/>
      </c>
      <c r="P501" s="20">
        <f>IF(I501="","",IF(I501="Gasto",O501,0))</f>
        <v/>
      </c>
      <c r="Q501" s="20">
        <f>IF(I501="","",IF(I501="Ingreso",O501,0))</f>
        <v/>
      </c>
      <c r="R501" s="20">
        <f>IF(I501="","",IF(I501="Trading",O501,0))</f>
        <v/>
      </c>
      <c r="S501" s="19">
        <f>IF(I501="","",IF(AND(I501="Gasto",K501="Variable",J501&lt;&gt;"Trading",O501&gt;0,O501&lt;=Umbral),1,0))</f>
        <v/>
      </c>
      <c r="T501" s="20">
        <f>IF(OR(I501="",E501=""),"",IF(OR(I501="Gasto",I501="Transferencia",I501="Pago tarjeta"),-1,1)*C501)</f>
        <v/>
      </c>
      <c r="U501" s="20">
        <f>IF(OR(G501="",AND(I501&lt;&gt;"Transferencia",I501&lt;&gt;"Pago tarjeta")),"",IF(IFERROR(INDEX(ctaMon,MATCH(G501,ctaNom,0))&amp;"","DOP")=N501,C501,IF(N501="USD",C501*TasaUSD,C501/TasaUSD)))</f>
        <v/>
      </c>
      <c r="V501" s="20">
        <f>IF(I501="","",IF(IFERROR(INDEX(ctaLiq,MATCH(E501,ctaNom,0))="Sí",FALSE),IF(OR(I501="Gasto",I501="Transferencia",I501="Pago tarjeta"),-1,1)*O501,0)+IF(AND(U501&lt;&gt;"",IFERROR(INDEX(ctaLiq,MATCH(G501,ctaNom,0))="Sí",FALSE)),O501,0))</f>
        <v/>
      </c>
      <c r="W501" s="19">
        <f>IF(OR(F501="",I501=""),"",IF(COUNTIFS(F$6:F501,F501,I$6:I501,"?*")=1,MAX(W$5:W500)+1,""))</f>
        <v/>
      </c>
    </row>
    <row r="502">
      <c r="B502" s="15" t="n"/>
      <c r="C502" s="16" t="n"/>
      <c r="D502" s="17" t="n"/>
      <c r="E502" s="17" t="n"/>
      <c r="F502" s="17" t="n"/>
      <c r="G502" s="17" t="n"/>
      <c r="H502" s="18">
        <f>IF(AND(B502="",C502="",D502="",E502=""),"",IF(B502="","⚠ Falta fecha",IF(C502="","⚠ Falta monto",IF(D502="","⚠ Falta categoría",IF(ISNA(MATCH(D502,catNom,0)),"⚠ Categoría no existe",IF(E502="","⚠ Falta cuenta",IF(ISNA(MATCH(E502,ctaNom,0)),"⚠ Cuenta no existe",IF(AND(OR(I502="Transferencia",I502="Pago tarjeta"),G502=""),"⚠ Indica la cuenta «Hacia»",IF(AND(G502&lt;&gt;"",G502=E502),"⚠ «Hacia» igual a la cuenta",IF(AND(G502&lt;&gt;"",ISNA(MATCH(G502,ctaNom,0))),"⚠ «Hacia» no existe",IF(AND(I502="Pago tarjeta",IFERROR(INDEX(ctaTipo,MATCH(G502,ctaNom,0)),"")&lt;&gt;"Tarjeta de crédito"),"⚠ «Hacia» debe ser la tarjeta",IF(AND(I502="Trading",IFERROR(INDEX(ctaTipo,MATCH(E502,ctaNom,0)),"")&lt;&gt;"Cuenta de trading"),"⚠ Usa la cuenta de trading","✓"))))))))))))</f>
        <v/>
      </c>
      <c r="I502" s="19">
        <f>IF(OR(B502="",C502="",D502=""),"",IFERROR(INDEX(catTipo,MATCH(D502,catNom,0))&amp;"",""))</f>
        <v/>
      </c>
      <c r="J502" s="19">
        <f>IF(I502="","",IFERROR(INDEX(catGrupo,MATCH(D502,catNom,0))&amp;"",""))</f>
        <v/>
      </c>
      <c r="K502" s="19">
        <f>IF(I502="Gasto",IF(IFERROR(INDEX(catClas,MATCH(D502,catNom,0))&amp;"","")="","Variable",IFERROR(INDEX(catClas,MATCH(D502,catNom,0))&amp;"","")),"")</f>
        <v/>
      </c>
      <c r="L502" s="19">
        <f>IF(I502="","",IFERROR(INDEX(catAlim,MATCH(D502,catNom,0))&amp;"",""))</f>
        <v/>
      </c>
      <c r="M502" s="19">
        <f>IF(I502="","",IFERROR(INDEX(catComida,MATCH(D502,catNom,0))&amp;"",""))</f>
        <v/>
      </c>
      <c r="N502" s="19">
        <f>IF(I502="","",IFERROR(INDEX(ctaMon,MATCH(E502,ctaNom,0))&amp;"","DOP"))</f>
        <v/>
      </c>
      <c r="O502" s="20">
        <f>IF(I502="","",C502*IF(N502="USD",TasaUSD,1))</f>
        <v/>
      </c>
      <c r="P502" s="20">
        <f>IF(I502="","",IF(I502="Gasto",O502,0))</f>
        <v/>
      </c>
      <c r="Q502" s="20">
        <f>IF(I502="","",IF(I502="Ingreso",O502,0))</f>
        <v/>
      </c>
      <c r="R502" s="20">
        <f>IF(I502="","",IF(I502="Trading",O502,0))</f>
        <v/>
      </c>
      <c r="S502" s="19">
        <f>IF(I502="","",IF(AND(I502="Gasto",K502="Variable",J502&lt;&gt;"Trading",O502&gt;0,O502&lt;=Umbral),1,0))</f>
        <v/>
      </c>
      <c r="T502" s="20">
        <f>IF(OR(I502="",E502=""),"",IF(OR(I502="Gasto",I502="Transferencia",I502="Pago tarjeta"),-1,1)*C502)</f>
        <v/>
      </c>
      <c r="U502" s="20">
        <f>IF(OR(G502="",AND(I502&lt;&gt;"Transferencia",I502&lt;&gt;"Pago tarjeta")),"",IF(IFERROR(INDEX(ctaMon,MATCH(G502,ctaNom,0))&amp;"","DOP")=N502,C502,IF(N502="USD",C502*TasaUSD,C502/TasaUSD)))</f>
        <v/>
      </c>
      <c r="V502" s="20">
        <f>IF(I502="","",IF(IFERROR(INDEX(ctaLiq,MATCH(E502,ctaNom,0))="Sí",FALSE),IF(OR(I502="Gasto",I502="Transferencia",I502="Pago tarjeta"),-1,1)*O502,0)+IF(AND(U502&lt;&gt;"",IFERROR(INDEX(ctaLiq,MATCH(G502,ctaNom,0))="Sí",FALSE)),O502,0))</f>
        <v/>
      </c>
      <c r="W502" s="19">
        <f>IF(OR(F502="",I502=""),"",IF(COUNTIFS(F$6:F502,F502,I$6:I502,"?*")=1,MAX(W$5:W501)+1,""))</f>
        <v/>
      </c>
    </row>
    <row r="503">
      <c r="B503" s="15" t="n"/>
      <c r="C503" s="16" t="n"/>
      <c r="D503" s="17" t="n"/>
      <c r="E503" s="17" t="n"/>
      <c r="F503" s="17" t="n"/>
      <c r="G503" s="17" t="n"/>
      <c r="H503" s="18">
        <f>IF(AND(B503="",C503="",D503="",E503=""),"",IF(B503="","⚠ Falta fecha",IF(C503="","⚠ Falta monto",IF(D503="","⚠ Falta categoría",IF(ISNA(MATCH(D503,catNom,0)),"⚠ Categoría no existe",IF(E503="","⚠ Falta cuenta",IF(ISNA(MATCH(E503,ctaNom,0)),"⚠ Cuenta no existe",IF(AND(OR(I503="Transferencia",I503="Pago tarjeta"),G503=""),"⚠ Indica la cuenta «Hacia»",IF(AND(G503&lt;&gt;"",G503=E503),"⚠ «Hacia» igual a la cuenta",IF(AND(G503&lt;&gt;"",ISNA(MATCH(G503,ctaNom,0))),"⚠ «Hacia» no existe",IF(AND(I503="Pago tarjeta",IFERROR(INDEX(ctaTipo,MATCH(G503,ctaNom,0)),"")&lt;&gt;"Tarjeta de crédito"),"⚠ «Hacia» debe ser la tarjeta",IF(AND(I503="Trading",IFERROR(INDEX(ctaTipo,MATCH(E503,ctaNom,0)),"")&lt;&gt;"Cuenta de trading"),"⚠ Usa la cuenta de trading","✓"))))))))))))</f>
        <v/>
      </c>
      <c r="I503" s="19">
        <f>IF(OR(B503="",C503="",D503=""),"",IFERROR(INDEX(catTipo,MATCH(D503,catNom,0))&amp;"",""))</f>
        <v/>
      </c>
      <c r="J503" s="19">
        <f>IF(I503="","",IFERROR(INDEX(catGrupo,MATCH(D503,catNom,0))&amp;"",""))</f>
        <v/>
      </c>
      <c r="K503" s="19">
        <f>IF(I503="Gasto",IF(IFERROR(INDEX(catClas,MATCH(D503,catNom,0))&amp;"","")="","Variable",IFERROR(INDEX(catClas,MATCH(D503,catNom,0))&amp;"","")),"")</f>
        <v/>
      </c>
      <c r="L503" s="19">
        <f>IF(I503="","",IFERROR(INDEX(catAlim,MATCH(D503,catNom,0))&amp;"",""))</f>
        <v/>
      </c>
      <c r="M503" s="19">
        <f>IF(I503="","",IFERROR(INDEX(catComida,MATCH(D503,catNom,0))&amp;"",""))</f>
        <v/>
      </c>
      <c r="N503" s="19">
        <f>IF(I503="","",IFERROR(INDEX(ctaMon,MATCH(E503,ctaNom,0))&amp;"","DOP"))</f>
        <v/>
      </c>
      <c r="O503" s="20">
        <f>IF(I503="","",C503*IF(N503="USD",TasaUSD,1))</f>
        <v/>
      </c>
      <c r="P503" s="20">
        <f>IF(I503="","",IF(I503="Gasto",O503,0))</f>
        <v/>
      </c>
      <c r="Q503" s="20">
        <f>IF(I503="","",IF(I503="Ingreso",O503,0))</f>
        <v/>
      </c>
      <c r="R503" s="20">
        <f>IF(I503="","",IF(I503="Trading",O503,0))</f>
        <v/>
      </c>
      <c r="S503" s="19">
        <f>IF(I503="","",IF(AND(I503="Gasto",K503="Variable",J503&lt;&gt;"Trading",O503&gt;0,O503&lt;=Umbral),1,0))</f>
        <v/>
      </c>
      <c r="T503" s="20">
        <f>IF(OR(I503="",E503=""),"",IF(OR(I503="Gasto",I503="Transferencia",I503="Pago tarjeta"),-1,1)*C503)</f>
        <v/>
      </c>
      <c r="U503" s="20">
        <f>IF(OR(G503="",AND(I503&lt;&gt;"Transferencia",I503&lt;&gt;"Pago tarjeta")),"",IF(IFERROR(INDEX(ctaMon,MATCH(G503,ctaNom,0))&amp;"","DOP")=N503,C503,IF(N503="USD",C503*TasaUSD,C503/TasaUSD)))</f>
        <v/>
      </c>
      <c r="V503" s="20">
        <f>IF(I503="","",IF(IFERROR(INDEX(ctaLiq,MATCH(E503,ctaNom,0))="Sí",FALSE),IF(OR(I503="Gasto",I503="Transferencia",I503="Pago tarjeta"),-1,1)*O503,0)+IF(AND(U503&lt;&gt;"",IFERROR(INDEX(ctaLiq,MATCH(G503,ctaNom,0))="Sí",FALSE)),O503,0))</f>
        <v/>
      </c>
      <c r="W503" s="19">
        <f>IF(OR(F503="",I503=""),"",IF(COUNTIFS(F$6:F503,F503,I$6:I503,"?*")=1,MAX(W$5:W502)+1,""))</f>
        <v/>
      </c>
    </row>
    <row r="504">
      <c r="B504" s="15" t="n"/>
      <c r="C504" s="16" t="n"/>
      <c r="D504" s="17" t="n"/>
      <c r="E504" s="17" t="n"/>
      <c r="F504" s="17" t="n"/>
      <c r="G504" s="17" t="n"/>
      <c r="H504" s="18">
        <f>IF(AND(B504="",C504="",D504="",E504=""),"",IF(B504="","⚠ Falta fecha",IF(C504="","⚠ Falta monto",IF(D504="","⚠ Falta categoría",IF(ISNA(MATCH(D504,catNom,0)),"⚠ Categoría no existe",IF(E504="","⚠ Falta cuenta",IF(ISNA(MATCH(E504,ctaNom,0)),"⚠ Cuenta no existe",IF(AND(OR(I504="Transferencia",I504="Pago tarjeta"),G504=""),"⚠ Indica la cuenta «Hacia»",IF(AND(G504&lt;&gt;"",G504=E504),"⚠ «Hacia» igual a la cuenta",IF(AND(G504&lt;&gt;"",ISNA(MATCH(G504,ctaNom,0))),"⚠ «Hacia» no existe",IF(AND(I504="Pago tarjeta",IFERROR(INDEX(ctaTipo,MATCH(G504,ctaNom,0)),"")&lt;&gt;"Tarjeta de crédito"),"⚠ «Hacia» debe ser la tarjeta",IF(AND(I504="Trading",IFERROR(INDEX(ctaTipo,MATCH(E504,ctaNom,0)),"")&lt;&gt;"Cuenta de trading"),"⚠ Usa la cuenta de trading","✓"))))))))))))</f>
        <v/>
      </c>
      <c r="I504" s="19">
        <f>IF(OR(B504="",C504="",D504=""),"",IFERROR(INDEX(catTipo,MATCH(D504,catNom,0))&amp;"",""))</f>
        <v/>
      </c>
      <c r="J504" s="19">
        <f>IF(I504="","",IFERROR(INDEX(catGrupo,MATCH(D504,catNom,0))&amp;"",""))</f>
        <v/>
      </c>
      <c r="K504" s="19">
        <f>IF(I504="Gasto",IF(IFERROR(INDEX(catClas,MATCH(D504,catNom,0))&amp;"","")="","Variable",IFERROR(INDEX(catClas,MATCH(D504,catNom,0))&amp;"","")),"")</f>
        <v/>
      </c>
      <c r="L504" s="19">
        <f>IF(I504="","",IFERROR(INDEX(catAlim,MATCH(D504,catNom,0))&amp;"",""))</f>
        <v/>
      </c>
      <c r="M504" s="19">
        <f>IF(I504="","",IFERROR(INDEX(catComida,MATCH(D504,catNom,0))&amp;"",""))</f>
        <v/>
      </c>
      <c r="N504" s="19">
        <f>IF(I504="","",IFERROR(INDEX(ctaMon,MATCH(E504,ctaNom,0))&amp;"","DOP"))</f>
        <v/>
      </c>
      <c r="O504" s="20">
        <f>IF(I504="","",C504*IF(N504="USD",TasaUSD,1))</f>
        <v/>
      </c>
      <c r="P504" s="20">
        <f>IF(I504="","",IF(I504="Gasto",O504,0))</f>
        <v/>
      </c>
      <c r="Q504" s="20">
        <f>IF(I504="","",IF(I504="Ingreso",O504,0))</f>
        <v/>
      </c>
      <c r="R504" s="20">
        <f>IF(I504="","",IF(I504="Trading",O504,0))</f>
        <v/>
      </c>
      <c r="S504" s="19">
        <f>IF(I504="","",IF(AND(I504="Gasto",K504="Variable",J504&lt;&gt;"Trading",O504&gt;0,O504&lt;=Umbral),1,0))</f>
        <v/>
      </c>
      <c r="T504" s="20">
        <f>IF(OR(I504="",E504=""),"",IF(OR(I504="Gasto",I504="Transferencia",I504="Pago tarjeta"),-1,1)*C504)</f>
        <v/>
      </c>
      <c r="U504" s="20">
        <f>IF(OR(G504="",AND(I504&lt;&gt;"Transferencia",I504&lt;&gt;"Pago tarjeta")),"",IF(IFERROR(INDEX(ctaMon,MATCH(G504,ctaNom,0))&amp;"","DOP")=N504,C504,IF(N504="USD",C504*TasaUSD,C504/TasaUSD)))</f>
        <v/>
      </c>
      <c r="V504" s="20">
        <f>IF(I504="","",IF(IFERROR(INDEX(ctaLiq,MATCH(E504,ctaNom,0))="Sí",FALSE),IF(OR(I504="Gasto",I504="Transferencia",I504="Pago tarjeta"),-1,1)*O504,0)+IF(AND(U504&lt;&gt;"",IFERROR(INDEX(ctaLiq,MATCH(G504,ctaNom,0))="Sí",FALSE)),O504,0))</f>
        <v/>
      </c>
      <c r="W504" s="19">
        <f>IF(OR(F504="",I504=""),"",IF(COUNTIFS(F$6:F504,F504,I$6:I504,"?*")=1,MAX(W$5:W503)+1,""))</f>
        <v/>
      </c>
    </row>
    <row r="505">
      <c r="B505" s="15" t="n"/>
      <c r="C505" s="16" t="n"/>
      <c r="D505" s="17" t="n"/>
      <c r="E505" s="17" t="n"/>
      <c r="F505" s="17" t="n"/>
      <c r="G505" s="17" t="n"/>
      <c r="H505" s="18">
        <f>IF(AND(B505="",C505="",D505="",E505=""),"",IF(B505="","⚠ Falta fecha",IF(C505="","⚠ Falta monto",IF(D505="","⚠ Falta categoría",IF(ISNA(MATCH(D505,catNom,0)),"⚠ Categoría no existe",IF(E505="","⚠ Falta cuenta",IF(ISNA(MATCH(E505,ctaNom,0)),"⚠ Cuenta no existe",IF(AND(OR(I505="Transferencia",I505="Pago tarjeta"),G505=""),"⚠ Indica la cuenta «Hacia»",IF(AND(G505&lt;&gt;"",G505=E505),"⚠ «Hacia» igual a la cuenta",IF(AND(G505&lt;&gt;"",ISNA(MATCH(G505,ctaNom,0))),"⚠ «Hacia» no existe",IF(AND(I505="Pago tarjeta",IFERROR(INDEX(ctaTipo,MATCH(G505,ctaNom,0)),"")&lt;&gt;"Tarjeta de crédito"),"⚠ «Hacia» debe ser la tarjeta",IF(AND(I505="Trading",IFERROR(INDEX(ctaTipo,MATCH(E505,ctaNom,0)),"")&lt;&gt;"Cuenta de trading"),"⚠ Usa la cuenta de trading","✓"))))))))))))</f>
        <v/>
      </c>
      <c r="I505" s="19">
        <f>IF(OR(B505="",C505="",D505=""),"",IFERROR(INDEX(catTipo,MATCH(D505,catNom,0))&amp;"",""))</f>
        <v/>
      </c>
      <c r="J505" s="19">
        <f>IF(I505="","",IFERROR(INDEX(catGrupo,MATCH(D505,catNom,0))&amp;"",""))</f>
        <v/>
      </c>
      <c r="K505" s="19">
        <f>IF(I505="Gasto",IF(IFERROR(INDEX(catClas,MATCH(D505,catNom,0))&amp;"","")="","Variable",IFERROR(INDEX(catClas,MATCH(D505,catNom,0))&amp;"","")),"")</f>
        <v/>
      </c>
      <c r="L505" s="19">
        <f>IF(I505="","",IFERROR(INDEX(catAlim,MATCH(D505,catNom,0))&amp;"",""))</f>
        <v/>
      </c>
      <c r="M505" s="19">
        <f>IF(I505="","",IFERROR(INDEX(catComida,MATCH(D505,catNom,0))&amp;"",""))</f>
        <v/>
      </c>
      <c r="N505" s="19">
        <f>IF(I505="","",IFERROR(INDEX(ctaMon,MATCH(E505,ctaNom,0))&amp;"","DOP"))</f>
        <v/>
      </c>
      <c r="O505" s="20">
        <f>IF(I505="","",C505*IF(N505="USD",TasaUSD,1))</f>
        <v/>
      </c>
      <c r="P505" s="20">
        <f>IF(I505="","",IF(I505="Gasto",O505,0))</f>
        <v/>
      </c>
      <c r="Q505" s="20">
        <f>IF(I505="","",IF(I505="Ingreso",O505,0))</f>
        <v/>
      </c>
      <c r="R505" s="20">
        <f>IF(I505="","",IF(I505="Trading",O505,0))</f>
        <v/>
      </c>
      <c r="S505" s="19">
        <f>IF(I505="","",IF(AND(I505="Gasto",K505="Variable",J505&lt;&gt;"Trading",O505&gt;0,O505&lt;=Umbral),1,0))</f>
        <v/>
      </c>
      <c r="T505" s="20">
        <f>IF(OR(I505="",E505=""),"",IF(OR(I505="Gasto",I505="Transferencia",I505="Pago tarjeta"),-1,1)*C505)</f>
        <v/>
      </c>
      <c r="U505" s="20">
        <f>IF(OR(G505="",AND(I505&lt;&gt;"Transferencia",I505&lt;&gt;"Pago tarjeta")),"",IF(IFERROR(INDEX(ctaMon,MATCH(G505,ctaNom,0))&amp;"","DOP")=N505,C505,IF(N505="USD",C505*TasaUSD,C505/TasaUSD)))</f>
        <v/>
      </c>
      <c r="V505" s="20">
        <f>IF(I505="","",IF(IFERROR(INDEX(ctaLiq,MATCH(E505,ctaNom,0))="Sí",FALSE),IF(OR(I505="Gasto",I505="Transferencia",I505="Pago tarjeta"),-1,1)*O505,0)+IF(AND(U505&lt;&gt;"",IFERROR(INDEX(ctaLiq,MATCH(G505,ctaNom,0))="Sí",FALSE)),O505,0))</f>
        <v/>
      </c>
      <c r="W505" s="19">
        <f>IF(OR(F505="",I505=""),"",IF(COUNTIFS(F$6:F505,F505,I$6:I505,"?*")=1,MAX(W$5:W504)+1,""))</f>
        <v/>
      </c>
    </row>
    <row r="506">
      <c r="B506" s="15" t="n"/>
      <c r="C506" s="16" t="n"/>
      <c r="D506" s="17" t="n"/>
      <c r="E506" s="17" t="n"/>
      <c r="F506" s="17" t="n"/>
      <c r="G506" s="17" t="n"/>
      <c r="H506" s="18">
        <f>IF(AND(B506="",C506="",D506="",E506=""),"",IF(B506="","⚠ Falta fecha",IF(C506="","⚠ Falta monto",IF(D506="","⚠ Falta categoría",IF(ISNA(MATCH(D506,catNom,0)),"⚠ Categoría no existe",IF(E506="","⚠ Falta cuenta",IF(ISNA(MATCH(E506,ctaNom,0)),"⚠ Cuenta no existe",IF(AND(OR(I506="Transferencia",I506="Pago tarjeta"),G506=""),"⚠ Indica la cuenta «Hacia»",IF(AND(G506&lt;&gt;"",G506=E506),"⚠ «Hacia» igual a la cuenta",IF(AND(G506&lt;&gt;"",ISNA(MATCH(G506,ctaNom,0))),"⚠ «Hacia» no existe",IF(AND(I506="Pago tarjeta",IFERROR(INDEX(ctaTipo,MATCH(G506,ctaNom,0)),"")&lt;&gt;"Tarjeta de crédito"),"⚠ «Hacia» debe ser la tarjeta",IF(AND(I506="Trading",IFERROR(INDEX(ctaTipo,MATCH(E506,ctaNom,0)),"")&lt;&gt;"Cuenta de trading"),"⚠ Usa la cuenta de trading","✓"))))))))))))</f>
        <v/>
      </c>
      <c r="I506" s="19">
        <f>IF(OR(B506="",C506="",D506=""),"",IFERROR(INDEX(catTipo,MATCH(D506,catNom,0))&amp;"",""))</f>
        <v/>
      </c>
      <c r="J506" s="19">
        <f>IF(I506="","",IFERROR(INDEX(catGrupo,MATCH(D506,catNom,0))&amp;"",""))</f>
        <v/>
      </c>
      <c r="K506" s="19">
        <f>IF(I506="Gasto",IF(IFERROR(INDEX(catClas,MATCH(D506,catNom,0))&amp;"","")="","Variable",IFERROR(INDEX(catClas,MATCH(D506,catNom,0))&amp;"","")),"")</f>
        <v/>
      </c>
      <c r="L506" s="19">
        <f>IF(I506="","",IFERROR(INDEX(catAlim,MATCH(D506,catNom,0))&amp;"",""))</f>
        <v/>
      </c>
      <c r="M506" s="19">
        <f>IF(I506="","",IFERROR(INDEX(catComida,MATCH(D506,catNom,0))&amp;"",""))</f>
        <v/>
      </c>
      <c r="N506" s="19">
        <f>IF(I506="","",IFERROR(INDEX(ctaMon,MATCH(E506,ctaNom,0))&amp;"","DOP"))</f>
        <v/>
      </c>
      <c r="O506" s="20">
        <f>IF(I506="","",C506*IF(N506="USD",TasaUSD,1))</f>
        <v/>
      </c>
      <c r="P506" s="20">
        <f>IF(I506="","",IF(I506="Gasto",O506,0))</f>
        <v/>
      </c>
      <c r="Q506" s="20">
        <f>IF(I506="","",IF(I506="Ingreso",O506,0))</f>
        <v/>
      </c>
      <c r="R506" s="20">
        <f>IF(I506="","",IF(I506="Trading",O506,0))</f>
        <v/>
      </c>
      <c r="S506" s="19">
        <f>IF(I506="","",IF(AND(I506="Gasto",K506="Variable",J506&lt;&gt;"Trading",O506&gt;0,O506&lt;=Umbral),1,0))</f>
        <v/>
      </c>
      <c r="T506" s="20">
        <f>IF(OR(I506="",E506=""),"",IF(OR(I506="Gasto",I506="Transferencia",I506="Pago tarjeta"),-1,1)*C506)</f>
        <v/>
      </c>
      <c r="U506" s="20">
        <f>IF(OR(G506="",AND(I506&lt;&gt;"Transferencia",I506&lt;&gt;"Pago tarjeta")),"",IF(IFERROR(INDEX(ctaMon,MATCH(G506,ctaNom,0))&amp;"","DOP")=N506,C506,IF(N506="USD",C506*TasaUSD,C506/TasaUSD)))</f>
        <v/>
      </c>
      <c r="V506" s="20">
        <f>IF(I506="","",IF(IFERROR(INDEX(ctaLiq,MATCH(E506,ctaNom,0))="Sí",FALSE),IF(OR(I506="Gasto",I506="Transferencia",I506="Pago tarjeta"),-1,1)*O506,0)+IF(AND(U506&lt;&gt;"",IFERROR(INDEX(ctaLiq,MATCH(G506,ctaNom,0))="Sí",FALSE)),O506,0))</f>
        <v/>
      </c>
      <c r="W506" s="19">
        <f>IF(OR(F506="",I506=""),"",IF(COUNTIFS(F$6:F506,F506,I$6:I506,"?*")=1,MAX(W$5:W505)+1,""))</f>
        <v/>
      </c>
    </row>
    <row r="507">
      <c r="B507" s="15" t="n"/>
      <c r="C507" s="16" t="n"/>
      <c r="D507" s="17" t="n"/>
      <c r="E507" s="17" t="n"/>
      <c r="F507" s="17" t="n"/>
      <c r="G507" s="17" t="n"/>
      <c r="H507" s="18">
        <f>IF(AND(B507="",C507="",D507="",E507=""),"",IF(B507="","⚠ Falta fecha",IF(C507="","⚠ Falta monto",IF(D507="","⚠ Falta categoría",IF(ISNA(MATCH(D507,catNom,0)),"⚠ Categoría no existe",IF(E507="","⚠ Falta cuenta",IF(ISNA(MATCH(E507,ctaNom,0)),"⚠ Cuenta no existe",IF(AND(OR(I507="Transferencia",I507="Pago tarjeta"),G507=""),"⚠ Indica la cuenta «Hacia»",IF(AND(G507&lt;&gt;"",G507=E507),"⚠ «Hacia» igual a la cuenta",IF(AND(G507&lt;&gt;"",ISNA(MATCH(G507,ctaNom,0))),"⚠ «Hacia» no existe",IF(AND(I507="Pago tarjeta",IFERROR(INDEX(ctaTipo,MATCH(G507,ctaNom,0)),"")&lt;&gt;"Tarjeta de crédito"),"⚠ «Hacia» debe ser la tarjeta",IF(AND(I507="Trading",IFERROR(INDEX(ctaTipo,MATCH(E507,ctaNom,0)),"")&lt;&gt;"Cuenta de trading"),"⚠ Usa la cuenta de trading","✓"))))))))))))</f>
        <v/>
      </c>
      <c r="I507" s="19">
        <f>IF(OR(B507="",C507="",D507=""),"",IFERROR(INDEX(catTipo,MATCH(D507,catNom,0))&amp;"",""))</f>
        <v/>
      </c>
      <c r="J507" s="19">
        <f>IF(I507="","",IFERROR(INDEX(catGrupo,MATCH(D507,catNom,0))&amp;"",""))</f>
        <v/>
      </c>
      <c r="K507" s="19">
        <f>IF(I507="Gasto",IF(IFERROR(INDEX(catClas,MATCH(D507,catNom,0))&amp;"","")="","Variable",IFERROR(INDEX(catClas,MATCH(D507,catNom,0))&amp;"","")),"")</f>
        <v/>
      </c>
      <c r="L507" s="19">
        <f>IF(I507="","",IFERROR(INDEX(catAlim,MATCH(D507,catNom,0))&amp;"",""))</f>
        <v/>
      </c>
      <c r="M507" s="19">
        <f>IF(I507="","",IFERROR(INDEX(catComida,MATCH(D507,catNom,0))&amp;"",""))</f>
        <v/>
      </c>
      <c r="N507" s="19">
        <f>IF(I507="","",IFERROR(INDEX(ctaMon,MATCH(E507,ctaNom,0))&amp;"","DOP"))</f>
        <v/>
      </c>
      <c r="O507" s="20">
        <f>IF(I507="","",C507*IF(N507="USD",TasaUSD,1))</f>
        <v/>
      </c>
      <c r="P507" s="20">
        <f>IF(I507="","",IF(I507="Gasto",O507,0))</f>
        <v/>
      </c>
      <c r="Q507" s="20">
        <f>IF(I507="","",IF(I507="Ingreso",O507,0))</f>
        <v/>
      </c>
      <c r="R507" s="20">
        <f>IF(I507="","",IF(I507="Trading",O507,0))</f>
        <v/>
      </c>
      <c r="S507" s="19">
        <f>IF(I507="","",IF(AND(I507="Gasto",K507="Variable",J507&lt;&gt;"Trading",O507&gt;0,O507&lt;=Umbral),1,0))</f>
        <v/>
      </c>
      <c r="T507" s="20">
        <f>IF(OR(I507="",E507=""),"",IF(OR(I507="Gasto",I507="Transferencia",I507="Pago tarjeta"),-1,1)*C507)</f>
        <v/>
      </c>
      <c r="U507" s="20">
        <f>IF(OR(G507="",AND(I507&lt;&gt;"Transferencia",I507&lt;&gt;"Pago tarjeta")),"",IF(IFERROR(INDEX(ctaMon,MATCH(G507,ctaNom,0))&amp;"","DOP")=N507,C507,IF(N507="USD",C507*TasaUSD,C507/TasaUSD)))</f>
        <v/>
      </c>
      <c r="V507" s="20">
        <f>IF(I507="","",IF(IFERROR(INDEX(ctaLiq,MATCH(E507,ctaNom,0))="Sí",FALSE),IF(OR(I507="Gasto",I507="Transferencia",I507="Pago tarjeta"),-1,1)*O507,0)+IF(AND(U507&lt;&gt;"",IFERROR(INDEX(ctaLiq,MATCH(G507,ctaNom,0))="Sí",FALSE)),O507,0))</f>
        <v/>
      </c>
      <c r="W507" s="19">
        <f>IF(OR(F507="",I507=""),"",IF(COUNTIFS(F$6:F507,F507,I$6:I507,"?*")=1,MAX(W$5:W506)+1,""))</f>
        <v/>
      </c>
    </row>
    <row r="508">
      <c r="B508" s="15" t="n"/>
      <c r="C508" s="16" t="n"/>
      <c r="D508" s="17" t="n"/>
      <c r="E508" s="17" t="n"/>
      <c r="F508" s="17" t="n"/>
      <c r="G508" s="17" t="n"/>
      <c r="H508" s="18">
        <f>IF(AND(B508="",C508="",D508="",E508=""),"",IF(B508="","⚠ Falta fecha",IF(C508="","⚠ Falta monto",IF(D508="","⚠ Falta categoría",IF(ISNA(MATCH(D508,catNom,0)),"⚠ Categoría no existe",IF(E508="","⚠ Falta cuenta",IF(ISNA(MATCH(E508,ctaNom,0)),"⚠ Cuenta no existe",IF(AND(OR(I508="Transferencia",I508="Pago tarjeta"),G508=""),"⚠ Indica la cuenta «Hacia»",IF(AND(G508&lt;&gt;"",G508=E508),"⚠ «Hacia» igual a la cuenta",IF(AND(G508&lt;&gt;"",ISNA(MATCH(G508,ctaNom,0))),"⚠ «Hacia» no existe",IF(AND(I508="Pago tarjeta",IFERROR(INDEX(ctaTipo,MATCH(G508,ctaNom,0)),"")&lt;&gt;"Tarjeta de crédito"),"⚠ «Hacia» debe ser la tarjeta",IF(AND(I508="Trading",IFERROR(INDEX(ctaTipo,MATCH(E508,ctaNom,0)),"")&lt;&gt;"Cuenta de trading"),"⚠ Usa la cuenta de trading","✓"))))))))))))</f>
        <v/>
      </c>
      <c r="I508" s="19">
        <f>IF(OR(B508="",C508="",D508=""),"",IFERROR(INDEX(catTipo,MATCH(D508,catNom,0))&amp;"",""))</f>
        <v/>
      </c>
      <c r="J508" s="19">
        <f>IF(I508="","",IFERROR(INDEX(catGrupo,MATCH(D508,catNom,0))&amp;"",""))</f>
        <v/>
      </c>
      <c r="K508" s="19">
        <f>IF(I508="Gasto",IF(IFERROR(INDEX(catClas,MATCH(D508,catNom,0))&amp;"","")="","Variable",IFERROR(INDEX(catClas,MATCH(D508,catNom,0))&amp;"","")),"")</f>
        <v/>
      </c>
      <c r="L508" s="19">
        <f>IF(I508="","",IFERROR(INDEX(catAlim,MATCH(D508,catNom,0))&amp;"",""))</f>
        <v/>
      </c>
      <c r="M508" s="19">
        <f>IF(I508="","",IFERROR(INDEX(catComida,MATCH(D508,catNom,0))&amp;"",""))</f>
        <v/>
      </c>
      <c r="N508" s="19">
        <f>IF(I508="","",IFERROR(INDEX(ctaMon,MATCH(E508,ctaNom,0))&amp;"","DOP"))</f>
        <v/>
      </c>
      <c r="O508" s="20">
        <f>IF(I508="","",C508*IF(N508="USD",TasaUSD,1))</f>
        <v/>
      </c>
      <c r="P508" s="20">
        <f>IF(I508="","",IF(I508="Gasto",O508,0))</f>
        <v/>
      </c>
      <c r="Q508" s="20">
        <f>IF(I508="","",IF(I508="Ingreso",O508,0))</f>
        <v/>
      </c>
      <c r="R508" s="20">
        <f>IF(I508="","",IF(I508="Trading",O508,0))</f>
        <v/>
      </c>
      <c r="S508" s="19">
        <f>IF(I508="","",IF(AND(I508="Gasto",K508="Variable",J508&lt;&gt;"Trading",O508&gt;0,O508&lt;=Umbral),1,0))</f>
        <v/>
      </c>
      <c r="T508" s="20">
        <f>IF(OR(I508="",E508=""),"",IF(OR(I508="Gasto",I508="Transferencia",I508="Pago tarjeta"),-1,1)*C508)</f>
        <v/>
      </c>
      <c r="U508" s="20">
        <f>IF(OR(G508="",AND(I508&lt;&gt;"Transferencia",I508&lt;&gt;"Pago tarjeta")),"",IF(IFERROR(INDEX(ctaMon,MATCH(G508,ctaNom,0))&amp;"","DOP")=N508,C508,IF(N508="USD",C508*TasaUSD,C508/TasaUSD)))</f>
        <v/>
      </c>
      <c r="V508" s="20">
        <f>IF(I508="","",IF(IFERROR(INDEX(ctaLiq,MATCH(E508,ctaNom,0))="Sí",FALSE),IF(OR(I508="Gasto",I508="Transferencia",I508="Pago tarjeta"),-1,1)*O508,0)+IF(AND(U508&lt;&gt;"",IFERROR(INDEX(ctaLiq,MATCH(G508,ctaNom,0))="Sí",FALSE)),O508,0))</f>
        <v/>
      </c>
      <c r="W508" s="19">
        <f>IF(OR(F508="",I508=""),"",IF(COUNTIFS(F$6:F508,F508,I$6:I508,"?*")=1,MAX(W$5:W507)+1,""))</f>
        <v/>
      </c>
    </row>
    <row r="509">
      <c r="B509" s="15" t="n"/>
      <c r="C509" s="16" t="n"/>
      <c r="D509" s="17" t="n"/>
      <c r="E509" s="17" t="n"/>
      <c r="F509" s="17" t="n"/>
      <c r="G509" s="17" t="n"/>
      <c r="H509" s="18">
        <f>IF(AND(B509="",C509="",D509="",E509=""),"",IF(B509="","⚠ Falta fecha",IF(C509="","⚠ Falta monto",IF(D509="","⚠ Falta categoría",IF(ISNA(MATCH(D509,catNom,0)),"⚠ Categoría no existe",IF(E509="","⚠ Falta cuenta",IF(ISNA(MATCH(E509,ctaNom,0)),"⚠ Cuenta no existe",IF(AND(OR(I509="Transferencia",I509="Pago tarjeta"),G509=""),"⚠ Indica la cuenta «Hacia»",IF(AND(G509&lt;&gt;"",G509=E509),"⚠ «Hacia» igual a la cuenta",IF(AND(G509&lt;&gt;"",ISNA(MATCH(G509,ctaNom,0))),"⚠ «Hacia» no existe",IF(AND(I509="Pago tarjeta",IFERROR(INDEX(ctaTipo,MATCH(G509,ctaNom,0)),"")&lt;&gt;"Tarjeta de crédito"),"⚠ «Hacia» debe ser la tarjeta",IF(AND(I509="Trading",IFERROR(INDEX(ctaTipo,MATCH(E509,ctaNom,0)),"")&lt;&gt;"Cuenta de trading"),"⚠ Usa la cuenta de trading","✓"))))))))))))</f>
        <v/>
      </c>
      <c r="I509" s="19">
        <f>IF(OR(B509="",C509="",D509=""),"",IFERROR(INDEX(catTipo,MATCH(D509,catNom,0))&amp;"",""))</f>
        <v/>
      </c>
      <c r="J509" s="19">
        <f>IF(I509="","",IFERROR(INDEX(catGrupo,MATCH(D509,catNom,0))&amp;"",""))</f>
        <v/>
      </c>
      <c r="K509" s="19">
        <f>IF(I509="Gasto",IF(IFERROR(INDEX(catClas,MATCH(D509,catNom,0))&amp;"","")="","Variable",IFERROR(INDEX(catClas,MATCH(D509,catNom,0))&amp;"","")),"")</f>
        <v/>
      </c>
      <c r="L509" s="19">
        <f>IF(I509="","",IFERROR(INDEX(catAlim,MATCH(D509,catNom,0))&amp;"",""))</f>
        <v/>
      </c>
      <c r="M509" s="19">
        <f>IF(I509="","",IFERROR(INDEX(catComida,MATCH(D509,catNom,0))&amp;"",""))</f>
        <v/>
      </c>
      <c r="N509" s="19">
        <f>IF(I509="","",IFERROR(INDEX(ctaMon,MATCH(E509,ctaNom,0))&amp;"","DOP"))</f>
        <v/>
      </c>
      <c r="O509" s="20">
        <f>IF(I509="","",C509*IF(N509="USD",TasaUSD,1))</f>
        <v/>
      </c>
      <c r="P509" s="20">
        <f>IF(I509="","",IF(I509="Gasto",O509,0))</f>
        <v/>
      </c>
      <c r="Q509" s="20">
        <f>IF(I509="","",IF(I509="Ingreso",O509,0))</f>
        <v/>
      </c>
      <c r="R509" s="20">
        <f>IF(I509="","",IF(I509="Trading",O509,0))</f>
        <v/>
      </c>
      <c r="S509" s="19">
        <f>IF(I509="","",IF(AND(I509="Gasto",K509="Variable",J509&lt;&gt;"Trading",O509&gt;0,O509&lt;=Umbral),1,0))</f>
        <v/>
      </c>
      <c r="T509" s="20">
        <f>IF(OR(I509="",E509=""),"",IF(OR(I509="Gasto",I509="Transferencia",I509="Pago tarjeta"),-1,1)*C509)</f>
        <v/>
      </c>
      <c r="U509" s="20">
        <f>IF(OR(G509="",AND(I509&lt;&gt;"Transferencia",I509&lt;&gt;"Pago tarjeta")),"",IF(IFERROR(INDEX(ctaMon,MATCH(G509,ctaNom,0))&amp;"","DOP")=N509,C509,IF(N509="USD",C509*TasaUSD,C509/TasaUSD)))</f>
        <v/>
      </c>
      <c r="V509" s="20">
        <f>IF(I509="","",IF(IFERROR(INDEX(ctaLiq,MATCH(E509,ctaNom,0))="Sí",FALSE),IF(OR(I509="Gasto",I509="Transferencia",I509="Pago tarjeta"),-1,1)*O509,0)+IF(AND(U509&lt;&gt;"",IFERROR(INDEX(ctaLiq,MATCH(G509,ctaNom,0))="Sí",FALSE)),O509,0))</f>
        <v/>
      </c>
      <c r="W509" s="19">
        <f>IF(OR(F509="",I509=""),"",IF(COUNTIFS(F$6:F509,F509,I$6:I509,"?*")=1,MAX(W$5:W508)+1,""))</f>
        <v/>
      </c>
    </row>
    <row r="510">
      <c r="B510" s="15" t="n"/>
      <c r="C510" s="16" t="n"/>
      <c r="D510" s="17" t="n"/>
      <c r="E510" s="17" t="n"/>
      <c r="F510" s="17" t="n"/>
      <c r="G510" s="17" t="n"/>
      <c r="H510" s="18">
        <f>IF(AND(B510="",C510="",D510="",E510=""),"",IF(B510="","⚠ Falta fecha",IF(C510="","⚠ Falta monto",IF(D510="","⚠ Falta categoría",IF(ISNA(MATCH(D510,catNom,0)),"⚠ Categoría no existe",IF(E510="","⚠ Falta cuenta",IF(ISNA(MATCH(E510,ctaNom,0)),"⚠ Cuenta no existe",IF(AND(OR(I510="Transferencia",I510="Pago tarjeta"),G510=""),"⚠ Indica la cuenta «Hacia»",IF(AND(G510&lt;&gt;"",G510=E510),"⚠ «Hacia» igual a la cuenta",IF(AND(G510&lt;&gt;"",ISNA(MATCH(G510,ctaNom,0))),"⚠ «Hacia» no existe",IF(AND(I510="Pago tarjeta",IFERROR(INDEX(ctaTipo,MATCH(G510,ctaNom,0)),"")&lt;&gt;"Tarjeta de crédito"),"⚠ «Hacia» debe ser la tarjeta",IF(AND(I510="Trading",IFERROR(INDEX(ctaTipo,MATCH(E510,ctaNom,0)),"")&lt;&gt;"Cuenta de trading"),"⚠ Usa la cuenta de trading","✓"))))))))))))</f>
        <v/>
      </c>
      <c r="I510" s="19">
        <f>IF(OR(B510="",C510="",D510=""),"",IFERROR(INDEX(catTipo,MATCH(D510,catNom,0))&amp;"",""))</f>
        <v/>
      </c>
      <c r="J510" s="19">
        <f>IF(I510="","",IFERROR(INDEX(catGrupo,MATCH(D510,catNom,0))&amp;"",""))</f>
        <v/>
      </c>
      <c r="K510" s="19">
        <f>IF(I510="Gasto",IF(IFERROR(INDEX(catClas,MATCH(D510,catNom,0))&amp;"","")="","Variable",IFERROR(INDEX(catClas,MATCH(D510,catNom,0))&amp;"","")),"")</f>
        <v/>
      </c>
      <c r="L510" s="19">
        <f>IF(I510="","",IFERROR(INDEX(catAlim,MATCH(D510,catNom,0))&amp;"",""))</f>
        <v/>
      </c>
      <c r="M510" s="19">
        <f>IF(I510="","",IFERROR(INDEX(catComida,MATCH(D510,catNom,0))&amp;"",""))</f>
        <v/>
      </c>
      <c r="N510" s="19">
        <f>IF(I510="","",IFERROR(INDEX(ctaMon,MATCH(E510,ctaNom,0))&amp;"","DOP"))</f>
        <v/>
      </c>
      <c r="O510" s="20">
        <f>IF(I510="","",C510*IF(N510="USD",TasaUSD,1))</f>
        <v/>
      </c>
      <c r="P510" s="20">
        <f>IF(I510="","",IF(I510="Gasto",O510,0))</f>
        <v/>
      </c>
      <c r="Q510" s="20">
        <f>IF(I510="","",IF(I510="Ingreso",O510,0))</f>
        <v/>
      </c>
      <c r="R510" s="20">
        <f>IF(I510="","",IF(I510="Trading",O510,0))</f>
        <v/>
      </c>
      <c r="S510" s="19">
        <f>IF(I510="","",IF(AND(I510="Gasto",K510="Variable",J510&lt;&gt;"Trading",O510&gt;0,O510&lt;=Umbral),1,0))</f>
        <v/>
      </c>
      <c r="T510" s="20">
        <f>IF(OR(I510="",E510=""),"",IF(OR(I510="Gasto",I510="Transferencia",I510="Pago tarjeta"),-1,1)*C510)</f>
        <v/>
      </c>
      <c r="U510" s="20">
        <f>IF(OR(G510="",AND(I510&lt;&gt;"Transferencia",I510&lt;&gt;"Pago tarjeta")),"",IF(IFERROR(INDEX(ctaMon,MATCH(G510,ctaNom,0))&amp;"","DOP")=N510,C510,IF(N510="USD",C510*TasaUSD,C510/TasaUSD)))</f>
        <v/>
      </c>
      <c r="V510" s="20">
        <f>IF(I510="","",IF(IFERROR(INDEX(ctaLiq,MATCH(E510,ctaNom,0))="Sí",FALSE),IF(OR(I510="Gasto",I510="Transferencia",I510="Pago tarjeta"),-1,1)*O510,0)+IF(AND(U510&lt;&gt;"",IFERROR(INDEX(ctaLiq,MATCH(G510,ctaNom,0))="Sí",FALSE)),O510,0))</f>
        <v/>
      </c>
      <c r="W510" s="19">
        <f>IF(OR(F510="",I510=""),"",IF(COUNTIFS(F$6:F510,F510,I$6:I510,"?*")=1,MAX(W$5:W509)+1,""))</f>
        <v/>
      </c>
    </row>
    <row r="511">
      <c r="B511" s="15" t="n"/>
      <c r="C511" s="16" t="n"/>
      <c r="D511" s="17" t="n"/>
      <c r="E511" s="17" t="n"/>
      <c r="F511" s="17" t="n"/>
      <c r="G511" s="17" t="n"/>
      <c r="H511" s="18">
        <f>IF(AND(B511="",C511="",D511="",E511=""),"",IF(B511="","⚠ Falta fecha",IF(C511="","⚠ Falta monto",IF(D511="","⚠ Falta categoría",IF(ISNA(MATCH(D511,catNom,0)),"⚠ Categoría no existe",IF(E511="","⚠ Falta cuenta",IF(ISNA(MATCH(E511,ctaNom,0)),"⚠ Cuenta no existe",IF(AND(OR(I511="Transferencia",I511="Pago tarjeta"),G511=""),"⚠ Indica la cuenta «Hacia»",IF(AND(G511&lt;&gt;"",G511=E511),"⚠ «Hacia» igual a la cuenta",IF(AND(G511&lt;&gt;"",ISNA(MATCH(G511,ctaNom,0))),"⚠ «Hacia» no existe",IF(AND(I511="Pago tarjeta",IFERROR(INDEX(ctaTipo,MATCH(G511,ctaNom,0)),"")&lt;&gt;"Tarjeta de crédito"),"⚠ «Hacia» debe ser la tarjeta",IF(AND(I511="Trading",IFERROR(INDEX(ctaTipo,MATCH(E511,ctaNom,0)),"")&lt;&gt;"Cuenta de trading"),"⚠ Usa la cuenta de trading","✓"))))))))))))</f>
        <v/>
      </c>
      <c r="I511" s="19">
        <f>IF(OR(B511="",C511="",D511=""),"",IFERROR(INDEX(catTipo,MATCH(D511,catNom,0))&amp;"",""))</f>
        <v/>
      </c>
      <c r="J511" s="19">
        <f>IF(I511="","",IFERROR(INDEX(catGrupo,MATCH(D511,catNom,0))&amp;"",""))</f>
        <v/>
      </c>
      <c r="K511" s="19">
        <f>IF(I511="Gasto",IF(IFERROR(INDEX(catClas,MATCH(D511,catNom,0))&amp;"","")="","Variable",IFERROR(INDEX(catClas,MATCH(D511,catNom,0))&amp;"","")),"")</f>
        <v/>
      </c>
      <c r="L511" s="19">
        <f>IF(I511="","",IFERROR(INDEX(catAlim,MATCH(D511,catNom,0))&amp;"",""))</f>
        <v/>
      </c>
      <c r="M511" s="19">
        <f>IF(I511="","",IFERROR(INDEX(catComida,MATCH(D511,catNom,0))&amp;"",""))</f>
        <v/>
      </c>
      <c r="N511" s="19">
        <f>IF(I511="","",IFERROR(INDEX(ctaMon,MATCH(E511,ctaNom,0))&amp;"","DOP"))</f>
        <v/>
      </c>
      <c r="O511" s="20">
        <f>IF(I511="","",C511*IF(N511="USD",TasaUSD,1))</f>
        <v/>
      </c>
      <c r="P511" s="20">
        <f>IF(I511="","",IF(I511="Gasto",O511,0))</f>
        <v/>
      </c>
      <c r="Q511" s="20">
        <f>IF(I511="","",IF(I511="Ingreso",O511,0))</f>
        <v/>
      </c>
      <c r="R511" s="20">
        <f>IF(I511="","",IF(I511="Trading",O511,0))</f>
        <v/>
      </c>
      <c r="S511" s="19">
        <f>IF(I511="","",IF(AND(I511="Gasto",K511="Variable",J511&lt;&gt;"Trading",O511&gt;0,O511&lt;=Umbral),1,0))</f>
        <v/>
      </c>
      <c r="T511" s="20">
        <f>IF(OR(I511="",E511=""),"",IF(OR(I511="Gasto",I511="Transferencia",I511="Pago tarjeta"),-1,1)*C511)</f>
        <v/>
      </c>
      <c r="U511" s="20">
        <f>IF(OR(G511="",AND(I511&lt;&gt;"Transferencia",I511&lt;&gt;"Pago tarjeta")),"",IF(IFERROR(INDEX(ctaMon,MATCH(G511,ctaNom,0))&amp;"","DOP")=N511,C511,IF(N511="USD",C511*TasaUSD,C511/TasaUSD)))</f>
        <v/>
      </c>
      <c r="V511" s="20">
        <f>IF(I511="","",IF(IFERROR(INDEX(ctaLiq,MATCH(E511,ctaNom,0))="Sí",FALSE),IF(OR(I511="Gasto",I511="Transferencia",I511="Pago tarjeta"),-1,1)*O511,0)+IF(AND(U511&lt;&gt;"",IFERROR(INDEX(ctaLiq,MATCH(G511,ctaNom,0))="Sí",FALSE)),O511,0))</f>
        <v/>
      </c>
      <c r="W511" s="19">
        <f>IF(OR(F511="",I511=""),"",IF(COUNTIFS(F$6:F511,F511,I$6:I511,"?*")=1,MAX(W$5:W510)+1,""))</f>
        <v/>
      </c>
    </row>
    <row r="512">
      <c r="B512" s="15" t="n"/>
      <c r="C512" s="16" t="n"/>
      <c r="D512" s="17" t="n"/>
      <c r="E512" s="17" t="n"/>
      <c r="F512" s="17" t="n"/>
      <c r="G512" s="17" t="n"/>
      <c r="H512" s="18">
        <f>IF(AND(B512="",C512="",D512="",E512=""),"",IF(B512="","⚠ Falta fecha",IF(C512="","⚠ Falta monto",IF(D512="","⚠ Falta categoría",IF(ISNA(MATCH(D512,catNom,0)),"⚠ Categoría no existe",IF(E512="","⚠ Falta cuenta",IF(ISNA(MATCH(E512,ctaNom,0)),"⚠ Cuenta no existe",IF(AND(OR(I512="Transferencia",I512="Pago tarjeta"),G512=""),"⚠ Indica la cuenta «Hacia»",IF(AND(G512&lt;&gt;"",G512=E512),"⚠ «Hacia» igual a la cuenta",IF(AND(G512&lt;&gt;"",ISNA(MATCH(G512,ctaNom,0))),"⚠ «Hacia» no existe",IF(AND(I512="Pago tarjeta",IFERROR(INDEX(ctaTipo,MATCH(G512,ctaNom,0)),"")&lt;&gt;"Tarjeta de crédito"),"⚠ «Hacia» debe ser la tarjeta",IF(AND(I512="Trading",IFERROR(INDEX(ctaTipo,MATCH(E512,ctaNom,0)),"")&lt;&gt;"Cuenta de trading"),"⚠ Usa la cuenta de trading","✓"))))))))))))</f>
        <v/>
      </c>
      <c r="I512" s="19">
        <f>IF(OR(B512="",C512="",D512=""),"",IFERROR(INDEX(catTipo,MATCH(D512,catNom,0))&amp;"",""))</f>
        <v/>
      </c>
      <c r="J512" s="19">
        <f>IF(I512="","",IFERROR(INDEX(catGrupo,MATCH(D512,catNom,0))&amp;"",""))</f>
        <v/>
      </c>
      <c r="K512" s="19">
        <f>IF(I512="Gasto",IF(IFERROR(INDEX(catClas,MATCH(D512,catNom,0))&amp;"","")="","Variable",IFERROR(INDEX(catClas,MATCH(D512,catNom,0))&amp;"","")),"")</f>
        <v/>
      </c>
      <c r="L512" s="19">
        <f>IF(I512="","",IFERROR(INDEX(catAlim,MATCH(D512,catNom,0))&amp;"",""))</f>
        <v/>
      </c>
      <c r="M512" s="19">
        <f>IF(I512="","",IFERROR(INDEX(catComida,MATCH(D512,catNom,0))&amp;"",""))</f>
        <v/>
      </c>
      <c r="N512" s="19">
        <f>IF(I512="","",IFERROR(INDEX(ctaMon,MATCH(E512,ctaNom,0))&amp;"","DOP"))</f>
        <v/>
      </c>
      <c r="O512" s="20">
        <f>IF(I512="","",C512*IF(N512="USD",TasaUSD,1))</f>
        <v/>
      </c>
      <c r="P512" s="20">
        <f>IF(I512="","",IF(I512="Gasto",O512,0))</f>
        <v/>
      </c>
      <c r="Q512" s="20">
        <f>IF(I512="","",IF(I512="Ingreso",O512,0))</f>
        <v/>
      </c>
      <c r="R512" s="20">
        <f>IF(I512="","",IF(I512="Trading",O512,0))</f>
        <v/>
      </c>
      <c r="S512" s="19">
        <f>IF(I512="","",IF(AND(I512="Gasto",K512="Variable",J512&lt;&gt;"Trading",O512&gt;0,O512&lt;=Umbral),1,0))</f>
        <v/>
      </c>
      <c r="T512" s="20">
        <f>IF(OR(I512="",E512=""),"",IF(OR(I512="Gasto",I512="Transferencia",I512="Pago tarjeta"),-1,1)*C512)</f>
        <v/>
      </c>
      <c r="U512" s="20">
        <f>IF(OR(G512="",AND(I512&lt;&gt;"Transferencia",I512&lt;&gt;"Pago tarjeta")),"",IF(IFERROR(INDEX(ctaMon,MATCH(G512,ctaNom,0))&amp;"","DOP")=N512,C512,IF(N512="USD",C512*TasaUSD,C512/TasaUSD)))</f>
        <v/>
      </c>
      <c r="V512" s="20">
        <f>IF(I512="","",IF(IFERROR(INDEX(ctaLiq,MATCH(E512,ctaNom,0))="Sí",FALSE),IF(OR(I512="Gasto",I512="Transferencia",I512="Pago tarjeta"),-1,1)*O512,0)+IF(AND(U512&lt;&gt;"",IFERROR(INDEX(ctaLiq,MATCH(G512,ctaNom,0))="Sí",FALSE)),O512,0))</f>
        <v/>
      </c>
      <c r="W512" s="19">
        <f>IF(OR(F512="",I512=""),"",IF(COUNTIFS(F$6:F512,F512,I$6:I512,"?*")=1,MAX(W$5:W511)+1,""))</f>
        <v/>
      </c>
    </row>
    <row r="513">
      <c r="B513" s="15" t="n"/>
      <c r="C513" s="16" t="n"/>
      <c r="D513" s="17" t="n"/>
      <c r="E513" s="17" t="n"/>
      <c r="F513" s="17" t="n"/>
      <c r="G513" s="17" t="n"/>
      <c r="H513" s="18">
        <f>IF(AND(B513="",C513="",D513="",E513=""),"",IF(B513="","⚠ Falta fecha",IF(C513="","⚠ Falta monto",IF(D513="","⚠ Falta categoría",IF(ISNA(MATCH(D513,catNom,0)),"⚠ Categoría no existe",IF(E513="","⚠ Falta cuenta",IF(ISNA(MATCH(E513,ctaNom,0)),"⚠ Cuenta no existe",IF(AND(OR(I513="Transferencia",I513="Pago tarjeta"),G513=""),"⚠ Indica la cuenta «Hacia»",IF(AND(G513&lt;&gt;"",G513=E513),"⚠ «Hacia» igual a la cuenta",IF(AND(G513&lt;&gt;"",ISNA(MATCH(G513,ctaNom,0))),"⚠ «Hacia» no existe",IF(AND(I513="Pago tarjeta",IFERROR(INDEX(ctaTipo,MATCH(G513,ctaNom,0)),"")&lt;&gt;"Tarjeta de crédito"),"⚠ «Hacia» debe ser la tarjeta",IF(AND(I513="Trading",IFERROR(INDEX(ctaTipo,MATCH(E513,ctaNom,0)),"")&lt;&gt;"Cuenta de trading"),"⚠ Usa la cuenta de trading","✓"))))))))))))</f>
        <v/>
      </c>
      <c r="I513" s="19">
        <f>IF(OR(B513="",C513="",D513=""),"",IFERROR(INDEX(catTipo,MATCH(D513,catNom,0))&amp;"",""))</f>
        <v/>
      </c>
      <c r="J513" s="19">
        <f>IF(I513="","",IFERROR(INDEX(catGrupo,MATCH(D513,catNom,0))&amp;"",""))</f>
        <v/>
      </c>
      <c r="K513" s="19">
        <f>IF(I513="Gasto",IF(IFERROR(INDEX(catClas,MATCH(D513,catNom,0))&amp;"","")="","Variable",IFERROR(INDEX(catClas,MATCH(D513,catNom,0))&amp;"","")),"")</f>
        <v/>
      </c>
      <c r="L513" s="19">
        <f>IF(I513="","",IFERROR(INDEX(catAlim,MATCH(D513,catNom,0))&amp;"",""))</f>
        <v/>
      </c>
      <c r="M513" s="19">
        <f>IF(I513="","",IFERROR(INDEX(catComida,MATCH(D513,catNom,0))&amp;"",""))</f>
        <v/>
      </c>
      <c r="N513" s="19">
        <f>IF(I513="","",IFERROR(INDEX(ctaMon,MATCH(E513,ctaNom,0))&amp;"","DOP"))</f>
        <v/>
      </c>
      <c r="O513" s="20">
        <f>IF(I513="","",C513*IF(N513="USD",TasaUSD,1))</f>
        <v/>
      </c>
      <c r="P513" s="20">
        <f>IF(I513="","",IF(I513="Gasto",O513,0))</f>
        <v/>
      </c>
      <c r="Q513" s="20">
        <f>IF(I513="","",IF(I513="Ingreso",O513,0))</f>
        <v/>
      </c>
      <c r="R513" s="20">
        <f>IF(I513="","",IF(I513="Trading",O513,0))</f>
        <v/>
      </c>
      <c r="S513" s="19">
        <f>IF(I513="","",IF(AND(I513="Gasto",K513="Variable",J513&lt;&gt;"Trading",O513&gt;0,O513&lt;=Umbral),1,0))</f>
        <v/>
      </c>
      <c r="T513" s="20">
        <f>IF(OR(I513="",E513=""),"",IF(OR(I513="Gasto",I513="Transferencia",I513="Pago tarjeta"),-1,1)*C513)</f>
        <v/>
      </c>
      <c r="U513" s="20">
        <f>IF(OR(G513="",AND(I513&lt;&gt;"Transferencia",I513&lt;&gt;"Pago tarjeta")),"",IF(IFERROR(INDEX(ctaMon,MATCH(G513,ctaNom,0))&amp;"","DOP")=N513,C513,IF(N513="USD",C513*TasaUSD,C513/TasaUSD)))</f>
        <v/>
      </c>
      <c r="V513" s="20">
        <f>IF(I513="","",IF(IFERROR(INDEX(ctaLiq,MATCH(E513,ctaNom,0))="Sí",FALSE),IF(OR(I513="Gasto",I513="Transferencia",I513="Pago tarjeta"),-1,1)*O513,0)+IF(AND(U513&lt;&gt;"",IFERROR(INDEX(ctaLiq,MATCH(G513,ctaNom,0))="Sí",FALSE)),O513,0))</f>
        <v/>
      </c>
      <c r="W513" s="19">
        <f>IF(OR(F513="",I513=""),"",IF(COUNTIFS(F$6:F513,F513,I$6:I513,"?*")=1,MAX(W$5:W512)+1,""))</f>
        <v/>
      </c>
    </row>
    <row r="514">
      <c r="B514" s="15" t="n"/>
      <c r="C514" s="16" t="n"/>
      <c r="D514" s="17" t="n"/>
      <c r="E514" s="17" t="n"/>
      <c r="F514" s="17" t="n"/>
      <c r="G514" s="17" t="n"/>
      <c r="H514" s="18">
        <f>IF(AND(B514="",C514="",D514="",E514=""),"",IF(B514="","⚠ Falta fecha",IF(C514="","⚠ Falta monto",IF(D514="","⚠ Falta categoría",IF(ISNA(MATCH(D514,catNom,0)),"⚠ Categoría no existe",IF(E514="","⚠ Falta cuenta",IF(ISNA(MATCH(E514,ctaNom,0)),"⚠ Cuenta no existe",IF(AND(OR(I514="Transferencia",I514="Pago tarjeta"),G514=""),"⚠ Indica la cuenta «Hacia»",IF(AND(G514&lt;&gt;"",G514=E514),"⚠ «Hacia» igual a la cuenta",IF(AND(G514&lt;&gt;"",ISNA(MATCH(G514,ctaNom,0))),"⚠ «Hacia» no existe",IF(AND(I514="Pago tarjeta",IFERROR(INDEX(ctaTipo,MATCH(G514,ctaNom,0)),"")&lt;&gt;"Tarjeta de crédito"),"⚠ «Hacia» debe ser la tarjeta",IF(AND(I514="Trading",IFERROR(INDEX(ctaTipo,MATCH(E514,ctaNom,0)),"")&lt;&gt;"Cuenta de trading"),"⚠ Usa la cuenta de trading","✓"))))))))))))</f>
        <v/>
      </c>
      <c r="I514" s="19">
        <f>IF(OR(B514="",C514="",D514=""),"",IFERROR(INDEX(catTipo,MATCH(D514,catNom,0))&amp;"",""))</f>
        <v/>
      </c>
      <c r="J514" s="19">
        <f>IF(I514="","",IFERROR(INDEX(catGrupo,MATCH(D514,catNom,0))&amp;"",""))</f>
        <v/>
      </c>
      <c r="K514" s="19">
        <f>IF(I514="Gasto",IF(IFERROR(INDEX(catClas,MATCH(D514,catNom,0))&amp;"","")="","Variable",IFERROR(INDEX(catClas,MATCH(D514,catNom,0))&amp;"","")),"")</f>
        <v/>
      </c>
      <c r="L514" s="19">
        <f>IF(I514="","",IFERROR(INDEX(catAlim,MATCH(D514,catNom,0))&amp;"",""))</f>
        <v/>
      </c>
      <c r="M514" s="19">
        <f>IF(I514="","",IFERROR(INDEX(catComida,MATCH(D514,catNom,0))&amp;"",""))</f>
        <v/>
      </c>
      <c r="N514" s="19">
        <f>IF(I514="","",IFERROR(INDEX(ctaMon,MATCH(E514,ctaNom,0))&amp;"","DOP"))</f>
        <v/>
      </c>
      <c r="O514" s="20">
        <f>IF(I514="","",C514*IF(N514="USD",TasaUSD,1))</f>
        <v/>
      </c>
      <c r="P514" s="20">
        <f>IF(I514="","",IF(I514="Gasto",O514,0))</f>
        <v/>
      </c>
      <c r="Q514" s="20">
        <f>IF(I514="","",IF(I514="Ingreso",O514,0))</f>
        <v/>
      </c>
      <c r="R514" s="20">
        <f>IF(I514="","",IF(I514="Trading",O514,0))</f>
        <v/>
      </c>
      <c r="S514" s="19">
        <f>IF(I514="","",IF(AND(I514="Gasto",K514="Variable",J514&lt;&gt;"Trading",O514&gt;0,O514&lt;=Umbral),1,0))</f>
        <v/>
      </c>
      <c r="T514" s="20">
        <f>IF(OR(I514="",E514=""),"",IF(OR(I514="Gasto",I514="Transferencia",I514="Pago tarjeta"),-1,1)*C514)</f>
        <v/>
      </c>
      <c r="U514" s="20">
        <f>IF(OR(G514="",AND(I514&lt;&gt;"Transferencia",I514&lt;&gt;"Pago tarjeta")),"",IF(IFERROR(INDEX(ctaMon,MATCH(G514,ctaNom,0))&amp;"","DOP")=N514,C514,IF(N514="USD",C514*TasaUSD,C514/TasaUSD)))</f>
        <v/>
      </c>
      <c r="V514" s="20">
        <f>IF(I514="","",IF(IFERROR(INDEX(ctaLiq,MATCH(E514,ctaNom,0))="Sí",FALSE),IF(OR(I514="Gasto",I514="Transferencia",I514="Pago tarjeta"),-1,1)*O514,0)+IF(AND(U514&lt;&gt;"",IFERROR(INDEX(ctaLiq,MATCH(G514,ctaNom,0))="Sí",FALSE)),O514,0))</f>
        <v/>
      </c>
      <c r="W514" s="19">
        <f>IF(OR(F514="",I514=""),"",IF(COUNTIFS(F$6:F514,F514,I$6:I514,"?*")=1,MAX(W$5:W513)+1,""))</f>
        <v/>
      </c>
    </row>
    <row r="515">
      <c r="B515" s="15" t="n"/>
      <c r="C515" s="16" t="n"/>
      <c r="D515" s="17" t="n"/>
      <c r="E515" s="17" t="n"/>
      <c r="F515" s="17" t="n"/>
      <c r="G515" s="17" t="n"/>
      <c r="H515" s="18">
        <f>IF(AND(B515="",C515="",D515="",E515=""),"",IF(B515="","⚠ Falta fecha",IF(C515="","⚠ Falta monto",IF(D515="","⚠ Falta categoría",IF(ISNA(MATCH(D515,catNom,0)),"⚠ Categoría no existe",IF(E515="","⚠ Falta cuenta",IF(ISNA(MATCH(E515,ctaNom,0)),"⚠ Cuenta no existe",IF(AND(OR(I515="Transferencia",I515="Pago tarjeta"),G515=""),"⚠ Indica la cuenta «Hacia»",IF(AND(G515&lt;&gt;"",G515=E515),"⚠ «Hacia» igual a la cuenta",IF(AND(G515&lt;&gt;"",ISNA(MATCH(G515,ctaNom,0))),"⚠ «Hacia» no existe",IF(AND(I515="Pago tarjeta",IFERROR(INDEX(ctaTipo,MATCH(G515,ctaNom,0)),"")&lt;&gt;"Tarjeta de crédito"),"⚠ «Hacia» debe ser la tarjeta",IF(AND(I515="Trading",IFERROR(INDEX(ctaTipo,MATCH(E515,ctaNom,0)),"")&lt;&gt;"Cuenta de trading"),"⚠ Usa la cuenta de trading","✓"))))))))))))</f>
        <v/>
      </c>
      <c r="I515" s="19">
        <f>IF(OR(B515="",C515="",D515=""),"",IFERROR(INDEX(catTipo,MATCH(D515,catNom,0))&amp;"",""))</f>
        <v/>
      </c>
      <c r="J515" s="19">
        <f>IF(I515="","",IFERROR(INDEX(catGrupo,MATCH(D515,catNom,0))&amp;"",""))</f>
        <v/>
      </c>
      <c r="K515" s="19">
        <f>IF(I515="Gasto",IF(IFERROR(INDEX(catClas,MATCH(D515,catNom,0))&amp;"","")="","Variable",IFERROR(INDEX(catClas,MATCH(D515,catNom,0))&amp;"","")),"")</f>
        <v/>
      </c>
      <c r="L515" s="19">
        <f>IF(I515="","",IFERROR(INDEX(catAlim,MATCH(D515,catNom,0))&amp;"",""))</f>
        <v/>
      </c>
      <c r="M515" s="19">
        <f>IF(I515="","",IFERROR(INDEX(catComida,MATCH(D515,catNom,0))&amp;"",""))</f>
        <v/>
      </c>
      <c r="N515" s="19">
        <f>IF(I515="","",IFERROR(INDEX(ctaMon,MATCH(E515,ctaNom,0))&amp;"","DOP"))</f>
        <v/>
      </c>
      <c r="O515" s="20">
        <f>IF(I515="","",C515*IF(N515="USD",TasaUSD,1))</f>
        <v/>
      </c>
      <c r="P515" s="20">
        <f>IF(I515="","",IF(I515="Gasto",O515,0))</f>
        <v/>
      </c>
      <c r="Q515" s="20">
        <f>IF(I515="","",IF(I515="Ingreso",O515,0))</f>
        <v/>
      </c>
      <c r="R515" s="20">
        <f>IF(I515="","",IF(I515="Trading",O515,0))</f>
        <v/>
      </c>
      <c r="S515" s="19">
        <f>IF(I515="","",IF(AND(I515="Gasto",K515="Variable",J515&lt;&gt;"Trading",O515&gt;0,O515&lt;=Umbral),1,0))</f>
        <v/>
      </c>
      <c r="T515" s="20">
        <f>IF(OR(I515="",E515=""),"",IF(OR(I515="Gasto",I515="Transferencia",I515="Pago tarjeta"),-1,1)*C515)</f>
        <v/>
      </c>
      <c r="U515" s="20">
        <f>IF(OR(G515="",AND(I515&lt;&gt;"Transferencia",I515&lt;&gt;"Pago tarjeta")),"",IF(IFERROR(INDEX(ctaMon,MATCH(G515,ctaNom,0))&amp;"","DOP")=N515,C515,IF(N515="USD",C515*TasaUSD,C515/TasaUSD)))</f>
        <v/>
      </c>
      <c r="V515" s="20">
        <f>IF(I515="","",IF(IFERROR(INDEX(ctaLiq,MATCH(E515,ctaNom,0))="Sí",FALSE),IF(OR(I515="Gasto",I515="Transferencia",I515="Pago tarjeta"),-1,1)*O515,0)+IF(AND(U515&lt;&gt;"",IFERROR(INDEX(ctaLiq,MATCH(G515,ctaNom,0))="Sí",FALSE)),O515,0))</f>
        <v/>
      </c>
      <c r="W515" s="19">
        <f>IF(OR(F515="",I515=""),"",IF(COUNTIFS(F$6:F515,F515,I$6:I515,"?*")=1,MAX(W$5:W514)+1,""))</f>
        <v/>
      </c>
    </row>
    <row r="516">
      <c r="B516" s="15" t="n"/>
      <c r="C516" s="16" t="n"/>
      <c r="D516" s="17" t="n"/>
      <c r="E516" s="17" t="n"/>
      <c r="F516" s="17" t="n"/>
      <c r="G516" s="17" t="n"/>
      <c r="H516" s="18">
        <f>IF(AND(B516="",C516="",D516="",E516=""),"",IF(B516="","⚠ Falta fecha",IF(C516="","⚠ Falta monto",IF(D516="","⚠ Falta categoría",IF(ISNA(MATCH(D516,catNom,0)),"⚠ Categoría no existe",IF(E516="","⚠ Falta cuenta",IF(ISNA(MATCH(E516,ctaNom,0)),"⚠ Cuenta no existe",IF(AND(OR(I516="Transferencia",I516="Pago tarjeta"),G516=""),"⚠ Indica la cuenta «Hacia»",IF(AND(G516&lt;&gt;"",G516=E516),"⚠ «Hacia» igual a la cuenta",IF(AND(G516&lt;&gt;"",ISNA(MATCH(G516,ctaNom,0))),"⚠ «Hacia» no existe",IF(AND(I516="Pago tarjeta",IFERROR(INDEX(ctaTipo,MATCH(G516,ctaNom,0)),"")&lt;&gt;"Tarjeta de crédito"),"⚠ «Hacia» debe ser la tarjeta",IF(AND(I516="Trading",IFERROR(INDEX(ctaTipo,MATCH(E516,ctaNom,0)),"")&lt;&gt;"Cuenta de trading"),"⚠ Usa la cuenta de trading","✓"))))))))))))</f>
        <v/>
      </c>
      <c r="I516" s="19">
        <f>IF(OR(B516="",C516="",D516=""),"",IFERROR(INDEX(catTipo,MATCH(D516,catNom,0))&amp;"",""))</f>
        <v/>
      </c>
      <c r="J516" s="19">
        <f>IF(I516="","",IFERROR(INDEX(catGrupo,MATCH(D516,catNom,0))&amp;"",""))</f>
        <v/>
      </c>
      <c r="K516" s="19">
        <f>IF(I516="Gasto",IF(IFERROR(INDEX(catClas,MATCH(D516,catNom,0))&amp;"","")="","Variable",IFERROR(INDEX(catClas,MATCH(D516,catNom,0))&amp;"","")),"")</f>
        <v/>
      </c>
      <c r="L516" s="19">
        <f>IF(I516="","",IFERROR(INDEX(catAlim,MATCH(D516,catNom,0))&amp;"",""))</f>
        <v/>
      </c>
      <c r="M516" s="19">
        <f>IF(I516="","",IFERROR(INDEX(catComida,MATCH(D516,catNom,0))&amp;"",""))</f>
        <v/>
      </c>
      <c r="N516" s="19">
        <f>IF(I516="","",IFERROR(INDEX(ctaMon,MATCH(E516,ctaNom,0))&amp;"","DOP"))</f>
        <v/>
      </c>
      <c r="O516" s="20">
        <f>IF(I516="","",C516*IF(N516="USD",TasaUSD,1))</f>
        <v/>
      </c>
      <c r="P516" s="20">
        <f>IF(I516="","",IF(I516="Gasto",O516,0))</f>
        <v/>
      </c>
      <c r="Q516" s="20">
        <f>IF(I516="","",IF(I516="Ingreso",O516,0))</f>
        <v/>
      </c>
      <c r="R516" s="20">
        <f>IF(I516="","",IF(I516="Trading",O516,0))</f>
        <v/>
      </c>
      <c r="S516" s="19">
        <f>IF(I516="","",IF(AND(I516="Gasto",K516="Variable",J516&lt;&gt;"Trading",O516&gt;0,O516&lt;=Umbral),1,0))</f>
        <v/>
      </c>
      <c r="T516" s="20">
        <f>IF(OR(I516="",E516=""),"",IF(OR(I516="Gasto",I516="Transferencia",I516="Pago tarjeta"),-1,1)*C516)</f>
        <v/>
      </c>
      <c r="U516" s="20">
        <f>IF(OR(G516="",AND(I516&lt;&gt;"Transferencia",I516&lt;&gt;"Pago tarjeta")),"",IF(IFERROR(INDEX(ctaMon,MATCH(G516,ctaNom,0))&amp;"","DOP")=N516,C516,IF(N516="USD",C516*TasaUSD,C516/TasaUSD)))</f>
        <v/>
      </c>
      <c r="V516" s="20">
        <f>IF(I516="","",IF(IFERROR(INDEX(ctaLiq,MATCH(E516,ctaNom,0))="Sí",FALSE),IF(OR(I516="Gasto",I516="Transferencia",I516="Pago tarjeta"),-1,1)*O516,0)+IF(AND(U516&lt;&gt;"",IFERROR(INDEX(ctaLiq,MATCH(G516,ctaNom,0))="Sí",FALSE)),O516,0))</f>
        <v/>
      </c>
      <c r="W516" s="19">
        <f>IF(OR(F516="",I516=""),"",IF(COUNTIFS(F$6:F516,F516,I$6:I516,"?*")=1,MAX(W$5:W515)+1,""))</f>
        <v/>
      </c>
    </row>
    <row r="517">
      <c r="B517" s="15" t="n"/>
      <c r="C517" s="16" t="n"/>
      <c r="D517" s="17" t="n"/>
      <c r="E517" s="17" t="n"/>
      <c r="F517" s="17" t="n"/>
      <c r="G517" s="17" t="n"/>
      <c r="H517" s="18">
        <f>IF(AND(B517="",C517="",D517="",E517=""),"",IF(B517="","⚠ Falta fecha",IF(C517="","⚠ Falta monto",IF(D517="","⚠ Falta categoría",IF(ISNA(MATCH(D517,catNom,0)),"⚠ Categoría no existe",IF(E517="","⚠ Falta cuenta",IF(ISNA(MATCH(E517,ctaNom,0)),"⚠ Cuenta no existe",IF(AND(OR(I517="Transferencia",I517="Pago tarjeta"),G517=""),"⚠ Indica la cuenta «Hacia»",IF(AND(G517&lt;&gt;"",G517=E517),"⚠ «Hacia» igual a la cuenta",IF(AND(G517&lt;&gt;"",ISNA(MATCH(G517,ctaNom,0))),"⚠ «Hacia» no existe",IF(AND(I517="Pago tarjeta",IFERROR(INDEX(ctaTipo,MATCH(G517,ctaNom,0)),"")&lt;&gt;"Tarjeta de crédito"),"⚠ «Hacia» debe ser la tarjeta",IF(AND(I517="Trading",IFERROR(INDEX(ctaTipo,MATCH(E517,ctaNom,0)),"")&lt;&gt;"Cuenta de trading"),"⚠ Usa la cuenta de trading","✓"))))))))))))</f>
        <v/>
      </c>
      <c r="I517" s="19">
        <f>IF(OR(B517="",C517="",D517=""),"",IFERROR(INDEX(catTipo,MATCH(D517,catNom,0))&amp;"",""))</f>
        <v/>
      </c>
      <c r="J517" s="19">
        <f>IF(I517="","",IFERROR(INDEX(catGrupo,MATCH(D517,catNom,0))&amp;"",""))</f>
        <v/>
      </c>
      <c r="K517" s="19">
        <f>IF(I517="Gasto",IF(IFERROR(INDEX(catClas,MATCH(D517,catNom,0))&amp;"","")="","Variable",IFERROR(INDEX(catClas,MATCH(D517,catNom,0))&amp;"","")),"")</f>
        <v/>
      </c>
      <c r="L517" s="19">
        <f>IF(I517="","",IFERROR(INDEX(catAlim,MATCH(D517,catNom,0))&amp;"",""))</f>
        <v/>
      </c>
      <c r="M517" s="19">
        <f>IF(I517="","",IFERROR(INDEX(catComida,MATCH(D517,catNom,0))&amp;"",""))</f>
        <v/>
      </c>
      <c r="N517" s="19">
        <f>IF(I517="","",IFERROR(INDEX(ctaMon,MATCH(E517,ctaNom,0))&amp;"","DOP"))</f>
        <v/>
      </c>
      <c r="O517" s="20">
        <f>IF(I517="","",C517*IF(N517="USD",TasaUSD,1))</f>
        <v/>
      </c>
      <c r="P517" s="20">
        <f>IF(I517="","",IF(I517="Gasto",O517,0))</f>
        <v/>
      </c>
      <c r="Q517" s="20">
        <f>IF(I517="","",IF(I517="Ingreso",O517,0))</f>
        <v/>
      </c>
      <c r="R517" s="20">
        <f>IF(I517="","",IF(I517="Trading",O517,0))</f>
        <v/>
      </c>
      <c r="S517" s="19">
        <f>IF(I517="","",IF(AND(I517="Gasto",K517="Variable",J517&lt;&gt;"Trading",O517&gt;0,O517&lt;=Umbral),1,0))</f>
        <v/>
      </c>
      <c r="T517" s="20">
        <f>IF(OR(I517="",E517=""),"",IF(OR(I517="Gasto",I517="Transferencia",I517="Pago tarjeta"),-1,1)*C517)</f>
        <v/>
      </c>
      <c r="U517" s="20">
        <f>IF(OR(G517="",AND(I517&lt;&gt;"Transferencia",I517&lt;&gt;"Pago tarjeta")),"",IF(IFERROR(INDEX(ctaMon,MATCH(G517,ctaNom,0))&amp;"","DOP")=N517,C517,IF(N517="USD",C517*TasaUSD,C517/TasaUSD)))</f>
        <v/>
      </c>
      <c r="V517" s="20">
        <f>IF(I517="","",IF(IFERROR(INDEX(ctaLiq,MATCH(E517,ctaNom,0))="Sí",FALSE),IF(OR(I517="Gasto",I517="Transferencia",I517="Pago tarjeta"),-1,1)*O517,0)+IF(AND(U517&lt;&gt;"",IFERROR(INDEX(ctaLiq,MATCH(G517,ctaNom,0))="Sí",FALSE)),O517,0))</f>
        <v/>
      </c>
      <c r="W517" s="19">
        <f>IF(OR(F517="",I517=""),"",IF(COUNTIFS(F$6:F517,F517,I$6:I517,"?*")=1,MAX(W$5:W516)+1,""))</f>
        <v/>
      </c>
    </row>
    <row r="518">
      <c r="B518" s="15" t="n"/>
      <c r="C518" s="16" t="n"/>
      <c r="D518" s="17" t="n"/>
      <c r="E518" s="17" t="n"/>
      <c r="F518" s="17" t="n"/>
      <c r="G518" s="17" t="n"/>
      <c r="H518" s="18">
        <f>IF(AND(B518="",C518="",D518="",E518=""),"",IF(B518="","⚠ Falta fecha",IF(C518="","⚠ Falta monto",IF(D518="","⚠ Falta categoría",IF(ISNA(MATCH(D518,catNom,0)),"⚠ Categoría no existe",IF(E518="","⚠ Falta cuenta",IF(ISNA(MATCH(E518,ctaNom,0)),"⚠ Cuenta no existe",IF(AND(OR(I518="Transferencia",I518="Pago tarjeta"),G518=""),"⚠ Indica la cuenta «Hacia»",IF(AND(G518&lt;&gt;"",G518=E518),"⚠ «Hacia» igual a la cuenta",IF(AND(G518&lt;&gt;"",ISNA(MATCH(G518,ctaNom,0))),"⚠ «Hacia» no existe",IF(AND(I518="Pago tarjeta",IFERROR(INDEX(ctaTipo,MATCH(G518,ctaNom,0)),"")&lt;&gt;"Tarjeta de crédito"),"⚠ «Hacia» debe ser la tarjeta",IF(AND(I518="Trading",IFERROR(INDEX(ctaTipo,MATCH(E518,ctaNom,0)),"")&lt;&gt;"Cuenta de trading"),"⚠ Usa la cuenta de trading","✓"))))))))))))</f>
        <v/>
      </c>
      <c r="I518" s="19">
        <f>IF(OR(B518="",C518="",D518=""),"",IFERROR(INDEX(catTipo,MATCH(D518,catNom,0))&amp;"",""))</f>
        <v/>
      </c>
      <c r="J518" s="19">
        <f>IF(I518="","",IFERROR(INDEX(catGrupo,MATCH(D518,catNom,0))&amp;"",""))</f>
        <v/>
      </c>
      <c r="K518" s="19">
        <f>IF(I518="Gasto",IF(IFERROR(INDEX(catClas,MATCH(D518,catNom,0))&amp;"","")="","Variable",IFERROR(INDEX(catClas,MATCH(D518,catNom,0))&amp;"","")),"")</f>
        <v/>
      </c>
      <c r="L518" s="19">
        <f>IF(I518="","",IFERROR(INDEX(catAlim,MATCH(D518,catNom,0))&amp;"",""))</f>
        <v/>
      </c>
      <c r="M518" s="19">
        <f>IF(I518="","",IFERROR(INDEX(catComida,MATCH(D518,catNom,0))&amp;"",""))</f>
        <v/>
      </c>
      <c r="N518" s="19">
        <f>IF(I518="","",IFERROR(INDEX(ctaMon,MATCH(E518,ctaNom,0))&amp;"","DOP"))</f>
        <v/>
      </c>
      <c r="O518" s="20">
        <f>IF(I518="","",C518*IF(N518="USD",TasaUSD,1))</f>
        <v/>
      </c>
      <c r="P518" s="20">
        <f>IF(I518="","",IF(I518="Gasto",O518,0))</f>
        <v/>
      </c>
      <c r="Q518" s="20">
        <f>IF(I518="","",IF(I518="Ingreso",O518,0))</f>
        <v/>
      </c>
      <c r="R518" s="20">
        <f>IF(I518="","",IF(I518="Trading",O518,0))</f>
        <v/>
      </c>
      <c r="S518" s="19">
        <f>IF(I518="","",IF(AND(I518="Gasto",K518="Variable",J518&lt;&gt;"Trading",O518&gt;0,O518&lt;=Umbral),1,0))</f>
        <v/>
      </c>
      <c r="T518" s="20">
        <f>IF(OR(I518="",E518=""),"",IF(OR(I518="Gasto",I518="Transferencia",I518="Pago tarjeta"),-1,1)*C518)</f>
        <v/>
      </c>
      <c r="U518" s="20">
        <f>IF(OR(G518="",AND(I518&lt;&gt;"Transferencia",I518&lt;&gt;"Pago tarjeta")),"",IF(IFERROR(INDEX(ctaMon,MATCH(G518,ctaNom,0))&amp;"","DOP")=N518,C518,IF(N518="USD",C518*TasaUSD,C518/TasaUSD)))</f>
        <v/>
      </c>
      <c r="V518" s="20">
        <f>IF(I518="","",IF(IFERROR(INDEX(ctaLiq,MATCH(E518,ctaNom,0))="Sí",FALSE),IF(OR(I518="Gasto",I518="Transferencia",I518="Pago tarjeta"),-1,1)*O518,0)+IF(AND(U518&lt;&gt;"",IFERROR(INDEX(ctaLiq,MATCH(G518,ctaNom,0))="Sí",FALSE)),O518,0))</f>
        <v/>
      </c>
      <c r="W518" s="19">
        <f>IF(OR(F518="",I518=""),"",IF(COUNTIFS(F$6:F518,F518,I$6:I518,"?*")=1,MAX(W$5:W517)+1,""))</f>
        <v/>
      </c>
    </row>
    <row r="519">
      <c r="B519" s="15" t="n"/>
      <c r="C519" s="16" t="n"/>
      <c r="D519" s="17" t="n"/>
      <c r="E519" s="17" t="n"/>
      <c r="F519" s="17" t="n"/>
      <c r="G519" s="17" t="n"/>
      <c r="H519" s="18">
        <f>IF(AND(B519="",C519="",D519="",E519=""),"",IF(B519="","⚠ Falta fecha",IF(C519="","⚠ Falta monto",IF(D519="","⚠ Falta categoría",IF(ISNA(MATCH(D519,catNom,0)),"⚠ Categoría no existe",IF(E519="","⚠ Falta cuenta",IF(ISNA(MATCH(E519,ctaNom,0)),"⚠ Cuenta no existe",IF(AND(OR(I519="Transferencia",I519="Pago tarjeta"),G519=""),"⚠ Indica la cuenta «Hacia»",IF(AND(G519&lt;&gt;"",G519=E519),"⚠ «Hacia» igual a la cuenta",IF(AND(G519&lt;&gt;"",ISNA(MATCH(G519,ctaNom,0))),"⚠ «Hacia» no existe",IF(AND(I519="Pago tarjeta",IFERROR(INDEX(ctaTipo,MATCH(G519,ctaNom,0)),"")&lt;&gt;"Tarjeta de crédito"),"⚠ «Hacia» debe ser la tarjeta",IF(AND(I519="Trading",IFERROR(INDEX(ctaTipo,MATCH(E519,ctaNom,0)),"")&lt;&gt;"Cuenta de trading"),"⚠ Usa la cuenta de trading","✓"))))))))))))</f>
        <v/>
      </c>
      <c r="I519" s="19">
        <f>IF(OR(B519="",C519="",D519=""),"",IFERROR(INDEX(catTipo,MATCH(D519,catNom,0))&amp;"",""))</f>
        <v/>
      </c>
      <c r="J519" s="19">
        <f>IF(I519="","",IFERROR(INDEX(catGrupo,MATCH(D519,catNom,0))&amp;"",""))</f>
        <v/>
      </c>
      <c r="K519" s="19">
        <f>IF(I519="Gasto",IF(IFERROR(INDEX(catClas,MATCH(D519,catNom,0))&amp;"","")="","Variable",IFERROR(INDEX(catClas,MATCH(D519,catNom,0))&amp;"","")),"")</f>
        <v/>
      </c>
      <c r="L519" s="19">
        <f>IF(I519="","",IFERROR(INDEX(catAlim,MATCH(D519,catNom,0))&amp;"",""))</f>
        <v/>
      </c>
      <c r="M519" s="19">
        <f>IF(I519="","",IFERROR(INDEX(catComida,MATCH(D519,catNom,0))&amp;"",""))</f>
        <v/>
      </c>
      <c r="N519" s="19">
        <f>IF(I519="","",IFERROR(INDEX(ctaMon,MATCH(E519,ctaNom,0))&amp;"","DOP"))</f>
        <v/>
      </c>
      <c r="O519" s="20">
        <f>IF(I519="","",C519*IF(N519="USD",TasaUSD,1))</f>
        <v/>
      </c>
      <c r="P519" s="20">
        <f>IF(I519="","",IF(I519="Gasto",O519,0))</f>
        <v/>
      </c>
      <c r="Q519" s="20">
        <f>IF(I519="","",IF(I519="Ingreso",O519,0))</f>
        <v/>
      </c>
      <c r="R519" s="20">
        <f>IF(I519="","",IF(I519="Trading",O519,0))</f>
        <v/>
      </c>
      <c r="S519" s="19">
        <f>IF(I519="","",IF(AND(I519="Gasto",K519="Variable",J519&lt;&gt;"Trading",O519&gt;0,O519&lt;=Umbral),1,0))</f>
        <v/>
      </c>
      <c r="T519" s="20">
        <f>IF(OR(I519="",E519=""),"",IF(OR(I519="Gasto",I519="Transferencia",I519="Pago tarjeta"),-1,1)*C519)</f>
        <v/>
      </c>
      <c r="U519" s="20">
        <f>IF(OR(G519="",AND(I519&lt;&gt;"Transferencia",I519&lt;&gt;"Pago tarjeta")),"",IF(IFERROR(INDEX(ctaMon,MATCH(G519,ctaNom,0))&amp;"","DOP")=N519,C519,IF(N519="USD",C519*TasaUSD,C519/TasaUSD)))</f>
        <v/>
      </c>
      <c r="V519" s="20">
        <f>IF(I519="","",IF(IFERROR(INDEX(ctaLiq,MATCH(E519,ctaNom,0))="Sí",FALSE),IF(OR(I519="Gasto",I519="Transferencia",I519="Pago tarjeta"),-1,1)*O519,0)+IF(AND(U519&lt;&gt;"",IFERROR(INDEX(ctaLiq,MATCH(G519,ctaNom,0))="Sí",FALSE)),O519,0))</f>
        <v/>
      </c>
      <c r="W519" s="19">
        <f>IF(OR(F519="",I519=""),"",IF(COUNTIFS(F$6:F519,F519,I$6:I519,"?*")=1,MAX(W$5:W518)+1,""))</f>
        <v/>
      </c>
    </row>
    <row r="520">
      <c r="B520" s="15" t="n"/>
      <c r="C520" s="16" t="n"/>
      <c r="D520" s="17" t="n"/>
      <c r="E520" s="17" t="n"/>
      <c r="F520" s="17" t="n"/>
      <c r="G520" s="17" t="n"/>
      <c r="H520" s="18">
        <f>IF(AND(B520="",C520="",D520="",E520=""),"",IF(B520="","⚠ Falta fecha",IF(C520="","⚠ Falta monto",IF(D520="","⚠ Falta categoría",IF(ISNA(MATCH(D520,catNom,0)),"⚠ Categoría no existe",IF(E520="","⚠ Falta cuenta",IF(ISNA(MATCH(E520,ctaNom,0)),"⚠ Cuenta no existe",IF(AND(OR(I520="Transferencia",I520="Pago tarjeta"),G520=""),"⚠ Indica la cuenta «Hacia»",IF(AND(G520&lt;&gt;"",G520=E520),"⚠ «Hacia» igual a la cuenta",IF(AND(G520&lt;&gt;"",ISNA(MATCH(G520,ctaNom,0))),"⚠ «Hacia» no existe",IF(AND(I520="Pago tarjeta",IFERROR(INDEX(ctaTipo,MATCH(G520,ctaNom,0)),"")&lt;&gt;"Tarjeta de crédito"),"⚠ «Hacia» debe ser la tarjeta",IF(AND(I520="Trading",IFERROR(INDEX(ctaTipo,MATCH(E520,ctaNom,0)),"")&lt;&gt;"Cuenta de trading"),"⚠ Usa la cuenta de trading","✓"))))))))))))</f>
        <v/>
      </c>
      <c r="I520" s="19">
        <f>IF(OR(B520="",C520="",D520=""),"",IFERROR(INDEX(catTipo,MATCH(D520,catNom,0))&amp;"",""))</f>
        <v/>
      </c>
      <c r="J520" s="19">
        <f>IF(I520="","",IFERROR(INDEX(catGrupo,MATCH(D520,catNom,0))&amp;"",""))</f>
        <v/>
      </c>
      <c r="K520" s="19">
        <f>IF(I520="Gasto",IF(IFERROR(INDEX(catClas,MATCH(D520,catNom,0))&amp;"","")="","Variable",IFERROR(INDEX(catClas,MATCH(D520,catNom,0))&amp;"","")),"")</f>
        <v/>
      </c>
      <c r="L520" s="19">
        <f>IF(I520="","",IFERROR(INDEX(catAlim,MATCH(D520,catNom,0))&amp;"",""))</f>
        <v/>
      </c>
      <c r="M520" s="19">
        <f>IF(I520="","",IFERROR(INDEX(catComida,MATCH(D520,catNom,0))&amp;"",""))</f>
        <v/>
      </c>
      <c r="N520" s="19">
        <f>IF(I520="","",IFERROR(INDEX(ctaMon,MATCH(E520,ctaNom,0))&amp;"","DOP"))</f>
        <v/>
      </c>
      <c r="O520" s="20">
        <f>IF(I520="","",C520*IF(N520="USD",TasaUSD,1))</f>
        <v/>
      </c>
      <c r="P520" s="20">
        <f>IF(I520="","",IF(I520="Gasto",O520,0))</f>
        <v/>
      </c>
      <c r="Q520" s="20">
        <f>IF(I520="","",IF(I520="Ingreso",O520,0))</f>
        <v/>
      </c>
      <c r="R520" s="20">
        <f>IF(I520="","",IF(I520="Trading",O520,0))</f>
        <v/>
      </c>
      <c r="S520" s="19">
        <f>IF(I520="","",IF(AND(I520="Gasto",K520="Variable",J520&lt;&gt;"Trading",O520&gt;0,O520&lt;=Umbral),1,0))</f>
        <v/>
      </c>
      <c r="T520" s="20">
        <f>IF(OR(I520="",E520=""),"",IF(OR(I520="Gasto",I520="Transferencia",I520="Pago tarjeta"),-1,1)*C520)</f>
        <v/>
      </c>
      <c r="U520" s="20">
        <f>IF(OR(G520="",AND(I520&lt;&gt;"Transferencia",I520&lt;&gt;"Pago tarjeta")),"",IF(IFERROR(INDEX(ctaMon,MATCH(G520,ctaNom,0))&amp;"","DOP")=N520,C520,IF(N520="USD",C520*TasaUSD,C520/TasaUSD)))</f>
        <v/>
      </c>
      <c r="V520" s="20">
        <f>IF(I520="","",IF(IFERROR(INDEX(ctaLiq,MATCH(E520,ctaNom,0))="Sí",FALSE),IF(OR(I520="Gasto",I520="Transferencia",I520="Pago tarjeta"),-1,1)*O520,0)+IF(AND(U520&lt;&gt;"",IFERROR(INDEX(ctaLiq,MATCH(G520,ctaNom,0))="Sí",FALSE)),O520,0))</f>
        <v/>
      </c>
      <c r="W520" s="19">
        <f>IF(OR(F520="",I520=""),"",IF(COUNTIFS(F$6:F520,F520,I$6:I520,"?*")=1,MAX(W$5:W519)+1,""))</f>
        <v/>
      </c>
    </row>
    <row r="521">
      <c r="B521" s="15" t="n"/>
      <c r="C521" s="16" t="n"/>
      <c r="D521" s="17" t="n"/>
      <c r="E521" s="17" t="n"/>
      <c r="F521" s="17" t="n"/>
      <c r="G521" s="17" t="n"/>
      <c r="H521" s="18">
        <f>IF(AND(B521="",C521="",D521="",E521=""),"",IF(B521="","⚠ Falta fecha",IF(C521="","⚠ Falta monto",IF(D521="","⚠ Falta categoría",IF(ISNA(MATCH(D521,catNom,0)),"⚠ Categoría no existe",IF(E521="","⚠ Falta cuenta",IF(ISNA(MATCH(E521,ctaNom,0)),"⚠ Cuenta no existe",IF(AND(OR(I521="Transferencia",I521="Pago tarjeta"),G521=""),"⚠ Indica la cuenta «Hacia»",IF(AND(G521&lt;&gt;"",G521=E521),"⚠ «Hacia» igual a la cuenta",IF(AND(G521&lt;&gt;"",ISNA(MATCH(G521,ctaNom,0))),"⚠ «Hacia» no existe",IF(AND(I521="Pago tarjeta",IFERROR(INDEX(ctaTipo,MATCH(G521,ctaNom,0)),"")&lt;&gt;"Tarjeta de crédito"),"⚠ «Hacia» debe ser la tarjeta",IF(AND(I521="Trading",IFERROR(INDEX(ctaTipo,MATCH(E521,ctaNom,0)),"")&lt;&gt;"Cuenta de trading"),"⚠ Usa la cuenta de trading","✓"))))))))))))</f>
        <v/>
      </c>
      <c r="I521" s="19">
        <f>IF(OR(B521="",C521="",D521=""),"",IFERROR(INDEX(catTipo,MATCH(D521,catNom,0))&amp;"",""))</f>
        <v/>
      </c>
      <c r="J521" s="19">
        <f>IF(I521="","",IFERROR(INDEX(catGrupo,MATCH(D521,catNom,0))&amp;"",""))</f>
        <v/>
      </c>
      <c r="K521" s="19">
        <f>IF(I521="Gasto",IF(IFERROR(INDEX(catClas,MATCH(D521,catNom,0))&amp;"","")="","Variable",IFERROR(INDEX(catClas,MATCH(D521,catNom,0))&amp;"","")),"")</f>
        <v/>
      </c>
      <c r="L521" s="19">
        <f>IF(I521="","",IFERROR(INDEX(catAlim,MATCH(D521,catNom,0))&amp;"",""))</f>
        <v/>
      </c>
      <c r="M521" s="19">
        <f>IF(I521="","",IFERROR(INDEX(catComida,MATCH(D521,catNom,0))&amp;"",""))</f>
        <v/>
      </c>
      <c r="N521" s="19">
        <f>IF(I521="","",IFERROR(INDEX(ctaMon,MATCH(E521,ctaNom,0))&amp;"","DOP"))</f>
        <v/>
      </c>
      <c r="O521" s="20">
        <f>IF(I521="","",C521*IF(N521="USD",TasaUSD,1))</f>
        <v/>
      </c>
      <c r="P521" s="20">
        <f>IF(I521="","",IF(I521="Gasto",O521,0))</f>
        <v/>
      </c>
      <c r="Q521" s="20">
        <f>IF(I521="","",IF(I521="Ingreso",O521,0))</f>
        <v/>
      </c>
      <c r="R521" s="20">
        <f>IF(I521="","",IF(I521="Trading",O521,0))</f>
        <v/>
      </c>
      <c r="S521" s="19">
        <f>IF(I521="","",IF(AND(I521="Gasto",K521="Variable",J521&lt;&gt;"Trading",O521&gt;0,O521&lt;=Umbral),1,0))</f>
        <v/>
      </c>
      <c r="T521" s="20">
        <f>IF(OR(I521="",E521=""),"",IF(OR(I521="Gasto",I521="Transferencia",I521="Pago tarjeta"),-1,1)*C521)</f>
        <v/>
      </c>
      <c r="U521" s="20">
        <f>IF(OR(G521="",AND(I521&lt;&gt;"Transferencia",I521&lt;&gt;"Pago tarjeta")),"",IF(IFERROR(INDEX(ctaMon,MATCH(G521,ctaNom,0))&amp;"","DOP")=N521,C521,IF(N521="USD",C521*TasaUSD,C521/TasaUSD)))</f>
        <v/>
      </c>
      <c r="V521" s="20">
        <f>IF(I521="","",IF(IFERROR(INDEX(ctaLiq,MATCH(E521,ctaNom,0))="Sí",FALSE),IF(OR(I521="Gasto",I521="Transferencia",I521="Pago tarjeta"),-1,1)*O521,0)+IF(AND(U521&lt;&gt;"",IFERROR(INDEX(ctaLiq,MATCH(G521,ctaNom,0))="Sí",FALSE)),O521,0))</f>
        <v/>
      </c>
      <c r="W521" s="19">
        <f>IF(OR(F521="",I521=""),"",IF(COUNTIFS(F$6:F521,F521,I$6:I521,"?*")=1,MAX(W$5:W520)+1,""))</f>
        <v/>
      </c>
    </row>
    <row r="522">
      <c r="B522" s="15" t="n"/>
      <c r="C522" s="16" t="n"/>
      <c r="D522" s="17" t="n"/>
      <c r="E522" s="17" t="n"/>
      <c r="F522" s="17" t="n"/>
      <c r="G522" s="17" t="n"/>
      <c r="H522" s="18">
        <f>IF(AND(B522="",C522="",D522="",E522=""),"",IF(B522="","⚠ Falta fecha",IF(C522="","⚠ Falta monto",IF(D522="","⚠ Falta categoría",IF(ISNA(MATCH(D522,catNom,0)),"⚠ Categoría no existe",IF(E522="","⚠ Falta cuenta",IF(ISNA(MATCH(E522,ctaNom,0)),"⚠ Cuenta no existe",IF(AND(OR(I522="Transferencia",I522="Pago tarjeta"),G522=""),"⚠ Indica la cuenta «Hacia»",IF(AND(G522&lt;&gt;"",G522=E522),"⚠ «Hacia» igual a la cuenta",IF(AND(G522&lt;&gt;"",ISNA(MATCH(G522,ctaNom,0))),"⚠ «Hacia» no existe",IF(AND(I522="Pago tarjeta",IFERROR(INDEX(ctaTipo,MATCH(G522,ctaNom,0)),"")&lt;&gt;"Tarjeta de crédito"),"⚠ «Hacia» debe ser la tarjeta",IF(AND(I522="Trading",IFERROR(INDEX(ctaTipo,MATCH(E522,ctaNom,0)),"")&lt;&gt;"Cuenta de trading"),"⚠ Usa la cuenta de trading","✓"))))))))))))</f>
        <v/>
      </c>
      <c r="I522" s="19">
        <f>IF(OR(B522="",C522="",D522=""),"",IFERROR(INDEX(catTipo,MATCH(D522,catNom,0))&amp;"",""))</f>
        <v/>
      </c>
      <c r="J522" s="19">
        <f>IF(I522="","",IFERROR(INDEX(catGrupo,MATCH(D522,catNom,0))&amp;"",""))</f>
        <v/>
      </c>
      <c r="K522" s="19">
        <f>IF(I522="Gasto",IF(IFERROR(INDEX(catClas,MATCH(D522,catNom,0))&amp;"","")="","Variable",IFERROR(INDEX(catClas,MATCH(D522,catNom,0))&amp;"","")),"")</f>
        <v/>
      </c>
      <c r="L522" s="19">
        <f>IF(I522="","",IFERROR(INDEX(catAlim,MATCH(D522,catNom,0))&amp;"",""))</f>
        <v/>
      </c>
      <c r="M522" s="19">
        <f>IF(I522="","",IFERROR(INDEX(catComida,MATCH(D522,catNom,0))&amp;"",""))</f>
        <v/>
      </c>
      <c r="N522" s="19">
        <f>IF(I522="","",IFERROR(INDEX(ctaMon,MATCH(E522,ctaNom,0))&amp;"","DOP"))</f>
        <v/>
      </c>
      <c r="O522" s="20">
        <f>IF(I522="","",C522*IF(N522="USD",TasaUSD,1))</f>
        <v/>
      </c>
      <c r="P522" s="20">
        <f>IF(I522="","",IF(I522="Gasto",O522,0))</f>
        <v/>
      </c>
      <c r="Q522" s="20">
        <f>IF(I522="","",IF(I522="Ingreso",O522,0))</f>
        <v/>
      </c>
      <c r="R522" s="20">
        <f>IF(I522="","",IF(I522="Trading",O522,0))</f>
        <v/>
      </c>
      <c r="S522" s="19">
        <f>IF(I522="","",IF(AND(I522="Gasto",K522="Variable",J522&lt;&gt;"Trading",O522&gt;0,O522&lt;=Umbral),1,0))</f>
        <v/>
      </c>
      <c r="T522" s="20">
        <f>IF(OR(I522="",E522=""),"",IF(OR(I522="Gasto",I522="Transferencia",I522="Pago tarjeta"),-1,1)*C522)</f>
        <v/>
      </c>
      <c r="U522" s="20">
        <f>IF(OR(G522="",AND(I522&lt;&gt;"Transferencia",I522&lt;&gt;"Pago tarjeta")),"",IF(IFERROR(INDEX(ctaMon,MATCH(G522,ctaNom,0))&amp;"","DOP")=N522,C522,IF(N522="USD",C522*TasaUSD,C522/TasaUSD)))</f>
        <v/>
      </c>
      <c r="V522" s="20">
        <f>IF(I522="","",IF(IFERROR(INDEX(ctaLiq,MATCH(E522,ctaNom,0))="Sí",FALSE),IF(OR(I522="Gasto",I522="Transferencia",I522="Pago tarjeta"),-1,1)*O522,0)+IF(AND(U522&lt;&gt;"",IFERROR(INDEX(ctaLiq,MATCH(G522,ctaNom,0))="Sí",FALSE)),O522,0))</f>
        <v/>
      </c>
      <c r="W522" s="19">
        <f>IF(OR(F522="",I522=""),"",IF(COUNTIFS(F$6:F522,F522,I$6:I522,"?*")=1,MAX(W$5:W521)+1,""))</f>
        <v/>
      </c>
    </row>
    <row r="523">
      <c r="B523" s="15" t="n"/>
      <c r="C523" s="16" t="n"/>
      <c r="D523" s="17" t="n"/>
      <c r="E523" s="17" t="n"/>
      <c r="F523" s="17" t="n"/>
      <c r="G523" s="17" t="n"/>
      <c r="H523" s="18">
        <f>IF(AND(B523="",C523="",D523="",E523=""),"",IF(B523="","⚠ Falta fecha",IF(C523="","⚠ Falta monto",IF(D523="","⚠ Falta categoría",IF(ISNA(MATCH(D523,catNom,0)),"⚠ Categoría no existe",IF(E523="","⚠ Falta cuenta",IF(ISNA(MATCH(E523,ctaNom,0)),"⚠ Cuenta no existe",IF(AND(OR(I523="Transferencia",I523="Pago tarjeta"),G523=""),"⚠ Indica la cuenta «Hacia»",IF(AND(G523&lt;&gt;"",G523=E523),"⚠ «Hacia» igual a la cuenta",IF(AND(G523&lt;&gt;"",ISNA(MATCH(G523,ctaNom,0))),"⚠ «Hacia» no existe",IF(AND(I523="Pago tarjeta",IFERROR(INDEX(ctaTipo,MATCH(G523,ctaNom,0)),"")&lt;&gt;"Tarjeta de crédito"),"⚠ «Hacia» debe ser la tarjeta",IF(AND(I523="Trading",IFERROR(INDEX(ctaTipo,MATCH(E523,ctaNom,0)),"")&lt;&gt;"Cuenta de trading"),"⚠ Usa la cuenta de trading","✓"))))))))))))</f>
        <v/>
      </c>
      <c r="I523" s="19">
        <f>IF(OR(B523="",C523="",D523=""),"",IFERROR(INDEX(catTipo,MATCH(D523,catNom,0))&amp;"",""))</f>
        <v/>
      </c>
      <c r="J523" s="19">
        <f>IF(I523="","",IFERROR(INDEX(catGrupo,MATCH(D523,catNom,0))&amp;"",""))</f>
        <v/>
      </c>
      <c r="K523" s="19">
        <f>IF(I523="Gasto",IF(IFERROR(INDEX(catClas,MATCH(D523,catNom,0))&amp;"","")="","Variable",IFERROR(INDEX(catClas,MATCH(D523,catNom,0))&amp;"","")),"")</f>
        <v/>
      </c>
      <c r="L523" s="19">
        <f>IF(I523="","",IFERROR(INDEX(catAlim,MATCH(D523,catNom,0))&amp;"",""))</f>
        <v/>
      </c>
      <c r="M523" s="19">
        <f>IF(I523="","",IFERROR(INDEX(catComida,MATCH(D523,catNom,0))&amp;"",""))</f>
        <v/>
      </c>
      <c r="N523" s="19">
        <f>IF(I523="","",IFERROR(INDEX(ctaMon,MATCH(E523,ctaNom,0))&amp;"","DOP"))</f>
        <v/>
      </c>
      <c r="O523" s="20">
        <f>IF(I523="","",C523*IF(N523="USD",TasaUSD,1))</f>
        <v/>
      </c>
      <c r="P523" s="20">
        <f>IF(I523="","",IF(I523="Gasto",O523,0))</f>
        <v/>
      </c>
      <c r="Q523" s="20">
        <f>IF(I523="","",IF(I523="Ingreso",O523,0))</f>
        <v/>
      </c>
      <c r="R523" s="20">
        <f>IF(I523="","",IF(I523="Trading",O523,0))</f>
        <v/>
      </c>
      <c r="S523" s="19">
        <f>IF(I523="","",IF(AND(I523="Gasto",K523="Variable",J523&lt;&gt;"Trading",O523&gt;0,O523&lt;=Umbral),1,0))</f>
        <v/>
      </c>
      <c r="T523" s="20">
        <f>IF(OR(I523="",E523=""),"",IF(OR(I523="Gasto",I523="Transferencia",I523="Pago tarjeta"),-1,1)*C523)</f>
        <v/>
      </c>
      <c r="U523" s="20">
        <f>IF(OR(G523="",AND(I523&lt;&gt;"Transferencia",I523&lt;&gt;"Pago tarjeta")),"",IF(IFERROR(INDEX(ctaMon,MATCH(G523,ctaNom,0))&amp;"","DOP")=N523,C523,IF(N523="USD",C523*TasaUSD,C523/TasaUSD)))</f>
        <v/>
      </c>
      <c r="V523" s="20">
        <f>IF(I523="","",IF(IFERROR(INDEX(ctaLiq,MATCH(E523,ctaNom,0))="Sí",FALSE),IF(OR(I523="Gasto",I523="Transferencia",I523="Pago tarjeta"),-1,1)*O523,0)+IF(AND(U523&lt;&gt;"",IFERROR(INDEX(ctaLiq,MATCH(G523,ctaNom,0))="Sí",FALSE)),O523,0))</f>
        <v/>
      </c>
      <c r="W523" s="19">
        <f>IF(OR(F523="",I523=""),"",IF(COUNTIFS(F$6:F523,F523,I$6:I523,"?*")=1,MAX(W$5:W522)+1,""))</f>
        <v/>
      </c>
    </row>
    <row r="524">
      <c r="B524" s="15" t="n"/>
      <c r="C524" s="16" t="n"/>
      <c r="D524" s="17" t="n"/>
      <c r="E524" s="17" t="n"/>
      <c r="F524" s="17" t="n"/>
      <c r="G524" s="17" t="n"/>
      <c r="H524" s="18">
        <f>IF(AND(B524="",C524="",D524="",E524=""),"",IF(B524="","⚠ Falta fecha",IF(C524="","⚠ Falta monto",IF(D524="","⚠ Falta categoría",IF(ISNA(MATCH(D524,catNom,0)),"⚠ Categoría no existe",IF(E524="","⚠ Falta cuenta",IF(ISNA(MATCH(E524,ctaNom,0)),"⚠ Cuenta no existe",IF(AND(OR(I524="Transferencia",I524="Pago tarjeta"),G524=""),"⚠ Indica la cuenta «Hacia»",IF(AND(G524&lt;&gt;"",G524=E524),"⚠ «Hacia» igual a la cuenta",IF(AND(G524&lt;&gt;"",ISNA(MATCH(G524,ctaNom,0))),"⚠ «Hacia» no existe",IF(AND(I524="Pago tarjeta",IFERROR(INDEX(ctaTipo,MATCH(G524,ctaNom,0)),"")&lt;&gt;"Tarjeta de crédito"),"⚠ «Hacia» debe ser la tarjeta",IF(AND(I524="Trading",IFERROR(INDEX(ctaTipo,MATCH(E524,ctaNom,0)),"")&lt;&gt;"Cuenta de trading"),"⚠ Usa la cuenta de trading","✓"))))))))))))</f>
        <v/>
      </c>
      <c r="I524" s="19">
        <f>IF(OR(B524="",C524="",D524=""),"",IFERROR(INDEX(catTipo,MATCH(D524,catNom,0))&amp;"",""))</f>
        <v/>
      </c>
      <c r="J524" s="19">
        <f>IF(I524="","",IFERROR(INDEX(catGrupo,MATCH(D524,catNom,0))&amp;"",""))</f>
        <v/>
      </c>
      <c r="K524" s="19">
        <f>IF(I524="Gasto",IF(IFERROR(INDEX(catClas,MATCH(D524,catNom,0))&amp;"","")="","Variable",IFERROR(INDEX(catClas,MATCH(D524,catNom,0))&amp;"","")),"")</f>
        <v/>
      </c>
      <c r="L524" s="19">
        <f>IF(I524="","",IFERROR(INDEX(catAlim,MATCH(D524,catNom,0))&amp;"",""))</f>
        <v/>
      </c>
      <c r="M524" s="19">
        <f>IF(I524="","",IFERROR(INDEX(catComida,MATCH(D524,catNom,0))&amp;"",""))</f>
        <v/>
      </c>
      <c r="N524" s="19">
        <f>IF(I524="","",IFERROR(INDEX(ctaMon,MATCH(E524,ctaNom,0))&amp;"","DOP"))</f>
        <v/>
      </c>
      <c r="O524" s="20">
        <f>IF(I524="","",C524*IF(N524="USD",TasaUSD,1))</f>
        <v/>
      </c>
      <c r="P524" s="20">
        <f>IF(I524="","",IF(I524="Gasto",O524,0))</f>
        <v/>
      </c>
      <c r="Q524" s="20">
        <f>IF(I524="","",IF(I524="Ingreso",O524,0))</f>
        <v/>
      </c>
      <c r="R524" s="20">
        <f>IF(I524="","",IF(I524="Trading",O524,0))</f>
        <v/>
      </c>
      <c r="S524" s="19">
        <f>IF(I524="","",IF(AND(I524="Gasto",K524="Variable",J524&lt;&gt;"Trading",O524&gt;0,O524&lt;=Umbral),1,0))</f>
        <v/>
      </c>
      <c r="T524" s="20">
        <f>IF(OR(I524="",E524=""),"",IF(OR(I524="Gasto",I524="Transferencia",I524="Pago tarjeta"),-1,1)*C524)</f>
        <v/>
      </c>
      <c r="U524" s="20">
        <f>IF(OR(G524="",AND(I524&lt;&gt;"Transferencia",I524&lt;&gt;"Pago tarjeta")),"",IF(IFERROR(INDEX(ctaMon,MATCH(G524,ctaNom,0))&amp;"","DOP")=N524,C524,IF(N524="USD",C524*TasaUSD,C524/TasaUSD)))</f>
        <v/>
      </c>
      <c r="V524" s="20">
        <f>IF(I524="","",IF(IFERROR(INDEX(ctaLiq,MATCH(E524,ctaNom,0))="Sí",FALSE),IF(OR(I524="Gasto",I524="Transferencia",I524="Pago tarjeta"),-1,1)*O524,0)+IF(AND(U524&lt;&gt;"",IFERROR(INDEX(ctaLiq,MATCH(G524,ctaNom,0))="Sí",FALSE)),O524,0))</f>
        <v/>
      </c>
      <c r="W524" s="19">
        <f>IF(OR(F524="",I524=""),"",IF(COUNTIFS(F$6:F524,F524,I$6:I524,"?*")=1,MAX(W$5:W523)+1,""))</f>
        <v/>
      </c>
    </row>
    <row r="525">
      <c r="B525" s="15" t="n"/>
      <c r="C525" s="16" t="n"/>
      <c r="D525" s="17" t="n"/>
      <c r="E525" s="17" t="n"/>
      <c r="F525" s="17" t="n"/>
      <c r="G525" s="17" t="n"/>
      <c r="H525" s="18">
        <f>IF(AND(B525="",C525="",D525="",E525=""),"",IF(B525="","⚠ Falta fecha",IF(C525="","⚠ Falta monto",IF(D525="","⚠ Falta categoría",IF(ISNA(MATCH(D525,catNom,0)),"⚠ Categoría no existe",IF(E525="","⚠ Falta cuenta",IF(ISNA(MATCH(E525,ctaNom,0)),"⚠ Cuenta no existe",IF(AND(OR(I525="Transferencia",I525="Pago tarjeta"),G525=""),"⚠ Indica la cuenta «Hacia»",IF(AND(G525&lt;&gt;"",G525=E525),"⚠ «Hacia» igual a la cuenta",IF(AND(G525&lt;&gt;"",ISNA(MATCH(G525,ctaNom,0))),"⚠ «Hacia» no existe",IF(AND(I525="Pago tarjeta",IFERROR(INDEX(ctaTipo,MATCH(G525,ctaNom,0)),"")&lt;&gt;"Tarjeta de crédito"),"⚠ «Hacia» debe ser la tarjeta",IF(AND(I525="Trading",IFERROR(INDEX(ctaTipo,MATCH(E525,ctaNom,0)),"")&lt;&gt;"Cuenta de trading"),"⚠ Usa la cuenta de trading","✓"))))))))))))</f>
        <v/>
      </c>
      <c r="I525" s="19">
        <f>IF(OR(B525="",C525="",D525=""),"",IFERROR(INDEX(catTipo,MATCH(D525,catNom,0))&amp;"",""))</f>
        <v/>
      </c>
      <c r="J525" s="19">
        <f>IF(I525="","",IFERROR(INDEX(catGrupo,MATCH(D525,catNom,0))&amp;"",""))</f>
        <v/>
      </c>
      <c r="K525" s="19">
        <f>IF(I525="Gasto",IF(IFERROR(INDEX(catClas,MATCH(D525,catNom,0))&amp;"","")="","Variable",IFERROR(INDEX(catClas,MATCH(D525,catNom,0))&amp;"","")),"")</f>
        <v/>
      </c>
      <c r="L525" s="19">
        <f>IF(I525="","",IFERROR(INDEX(catAlim,MATCH(D525,catNom,0))&amp;"",""))</f>
        <v/>
      </c>
      <c r="M525" s="19">
        <f>IF(I525="","",IFERROR(INDEX(catComida,MATCH(D525,catNom,0))&amp;"",""))</f>
        <v/>
      </c>
      <c r="N525" s="19">
        <f>IF(I525="","",IFERROR(INDEX(ctaMon,MATCH(E525,ctaNom,0))&amp;"","DOP"))</f>
        <v/>
      </c>
      <c r="O525" s="20">
        <f>IF(I525="","",C525*IF(N525="USD",TasaUSD,1))</f>
        <v/>
      </c>
      <c r="P525" s="20">
        <f>IF(I525="","",IF(I525="Gasto",O525,0))</f>
        <v/>
      </c>
      <c r="Q525" s="20">
        <f>IF(I525="","",IF(I525="Ingreso",O525,0))</f>
        <v/>
      </c>
      <c r="R525" s="20">
        <f>IF(I525="","",IF(I525="Trading",O525,0))</f>
        <v/>
      </c>
      <c r="S525" s="19">
        <f>IF(I525="","",IF(AND(I525="Gasto",K525="Variable",J525&lt;&gt;"Trading",O525&gt;0,O525&lt;=Umbral),1,0))</f>
        <v/>
      </c>
      <c r="T525" s="20">
        <f>IF(OR(I525="",E525=""),"",IF(OR(I525="Gasto",I525="Transferencia",I525="Pago tarjeta"),-1,1)*C525)</f>
        <v/>
      </c>
      <c r="U525" s="20">
        <f>IF(OR(G525="",AND(I525&lt;&gt;"Transferencia",I525&lt;&gt;"Pago tarjeta")),"",IF(IFERROR(INDEX(ctaMon,MATCH(G525,ctaNom,0))&amp;"","DOP")=N525,C525,IF(N525="USD",C525*TasaUSD,C525/TasaUSD)))</f>
        <v/>
      </c>
      <c r="V525" s="20">
        <f>IF(I525="","",IF(IFERROR(INDEX(ctaLiq,MATCH(E525,ctaNom,0))="Sí",FALSE),IF(OR(I525="Gasto",I525="Transferencia",I525="Pago tarjeta"),-1,1)*O525,0)+IF(AND(U525&lt;&gt;"",IFERROR(INDEX(ctaLiq,MATCH(G525,ctaNom,0))="Sí",FALSE)),O525,0))</f>
        <v/>
      </c>
      <c r="W525" s="19">
        <f>IF(OR(F525="",I525=""),"",IF(COUNTIFS(F$6:F525,F525,I$6:I525,"?*")=1,MAX(W$5:W524)+1,""))</f>
        <v/>
      </c>
    </row>
    <row r="526">
      <c r="B526" s="15" t="n"/>
      <c r="C526" s="16" t="n"/>
      <c r="D526" s="17" t="n"/>
      <c r="E526" s="17" t="n"/>
      <c r="F526" s="17" t="n"/>
      <c r="G526" s="17" t="n"/>
      <c r="H526" s="18">
        <f>IF(AND(B526="",C526="",D526="",E526=""),"",IF(B526="","⚠ Falta fecha",IF(C526="","⚠ Falta monto",IF(D526="","⚠ Falta categoría",IF(ISNA(MATCH(D526,catNom,0)),"⚠ Categoría no existe",IF(E526="","⚠ Falta cuenta",IF(ISNA(MATCH(E526,ctaNom,0)),"⚠ Cuenta no existe",IF(AND(OR(I526="Transferencia",I526="Pago tarjeta"),G526=""),"⚠ Indica la cuenta «Hacia»",IF(AND(G526&lt;&gt;"",G526=E526),"⚠ «Hacia» igual a la cuenta",IF(AND(G526&lt;&gt;"",ISNA(MATCH(G526,ctaNom,0))),"⚠ «Hacia» no existe",IF(AND(I526="Pago tarjeta",IFERROR(INDEX(ctaTipo,MATCH(G526,ctaNom,0)),"")&lt;&gt;"Tarjeta de crédito"),"⚠ «Hacia» debe ser la tarjeta",IF(AND(I526="Trading",IFERROR(INDEX(ctaTipo,MATCH(E526,ctaNom,0)),"")&lt;&gt;"Cuenta de trading"),"⚠ Usa la cuenta de trading","✓"))))))))))))</f>
        <v/>
      </c>
      <c r="I526" s="19">
        <f>IF(OR(B526="",C526="",D526=""),"",IFERROR(INDEX(catTipo,MATCH(D526,catNom,0))&amp;"",""))</f>
        <v/>
      </c>
      <c r="J526" s="19">
        <f>IF(I526="","",IFERROR(INDEX(catGrupo,MATCH(D526,catNom,0))&amp;"",""))</f>
        <v/>
      </c>
      <c r="K526" s="19">
        <f>IF(I526="Gasto",IF(IFERROR(INDEX(catClas,MATCH(D526,catNom,0))&amp;"","")="","Variable",IFERROR(INDEX(catClas,MATCH(D526,catNom,0))&amp;"","")),"")</f>
        <v/>
      </c>
      <c r="L526" s="19">
        <f>IF(I526="","",IFERROR(INDEX(catAlim,MATCH(D526,catNom,0))&amp;"",""))</f>
        <v/>
      </c>
      <c r="M526" s="19">
        <f>IF(I526="","",IFERROR(INDEX(catComida,MATCH(D526,catNom,0))&amp;"",""))</f>
        <v/>
      </c>
      <c r="N526" s="19">
        <f>IF(I526="","",IFERROR(INDEX(ctaMon,MATCH(E526,ctaNom,0))&amp;"","DOP"))</f>
        <v/>
      </c>
      <c r="O526" s="20">
        <f>IF(I526="","",C526*IF(N526="USD",TasaUSD,1))</f>
        <v/>
      </c>
      <c r="P526" s="20">
        <f>IF(I526="","",IF(I526="Gasto",O526,0))</f>
        <v/>
      </c>
      <c r="Q526" s="20">
        <f>IF(I526="","",IF(I526="Ingreso",O526,0))</f>
        <v/>
      </c>
      <c r="R526" s="20">
        <f>IF(I526="","",IF(I526="Trading",O526,0))</f>
        <v/>
      </c>
      <c r="S526" s="19">
        <f>IF(I526="","",IF(AND(I526="Gasto",K526="Variable",J526&lt;&gt;"Trading",O526&gt;0,O526&lt;=Umbral),1,0))</f>
        <v/>
      </c>
      <c r="T526" s="20">
        <f>IF(OR(I526="",E526=""),"",IF(OR(I526="Gasto",I526="Transferencia",I526="Pago tarjeta"),-1,1)*C526)</f>
        <v/>
      </c>
      <c r="U526" s="20">
        <f>IF(OR(G526="",AND(I526&lt;&gt;"Transferencia",I526&lt;&gt;"Pago tarjeta")),"",IF(IFERROR(INDEX(ctaMon,MATCH(G526,ctaNom,0))&amp;"","DOP")=N526,C526,IF(N526="USD",C526*TasaUSD,C526/TasaUSD)))</f>
        <v/>
      </c>
      <c r="V526" s="20">
        <f>IF(I526="","",IF(IFERROR(INDEX(ctaLiq,MATCH(E526,ctaNom,0))="Sí",FALSE),IF(OR(I526="Gasto",I526="Transferencia",I526="Pago tarjeta"),-1,1)*O526,0)+IF(AND(U526&lt;&gt;"",IFERROR(INDEX(ctaLiq,MATCH(G526,ctaNom,0))="Sí",FALSE)),O526,0))</f>
        <v/>
      </c>
      <c r="W526" s="19">
        <f>IF(OR(F526="",I526=""),"",IF(COUNTIFS(F$6:F526,F526,I$6:I526,"?*")=1,MAX(W$5:W525)+1,""))</f>
        <v/>
      </c>
    </row>
    <row r="527">
      <c r="B527" s="15" t="n"/>
      <c r="C527" s="16" t="n"/>
      <c r="D527" s="17" t="n"/>
      <c r="E527" s="17" t="n"/>
      <c r="F527" s="17" t="n"/>
      <c r="G527" s="17" t="n"/>
      <c r="H527" s="18">
        <f>IF(AND(B527="",C527="",D527="",E527=""),"",IF(B527="","⚠ Falta fecha",IF(C527="","⚠ Falta monto",IF(D527="","⚠ Falta categoría",IF(ISNA(MATCH(D527,catNom,0)),"⚠ Categoría no existe",IF(E527="","⚠ Falta cuenta",IF(ISNA(MATCH(E527,ctaNom,0)),"⚠ Cuenta no existe",IF(AND(OR(I527="Transferencia",I527="Pago tarjeta"),G527=""),"⚠ Indica la cuenta «Hacia»",IF(AND(G527&lt;&gt;"",G527=E527),"⚠ «Hacia» igual a la cuenta",IF(AND(G527&lt;&gt;"",ISNA(MATCH(G527,ctaNom,0))),"⚠ «Hacia» no existe",IF(AND(I527="Pago tarjeta",IFERROR(INDEX(ctaTipo,MATCH(G527,ctaNom,0)),"")&lt;&gt;"Tarjeta de crédito"),"⚠ «Hacia» debe ser la tarjeta",IF(AND(I527="Trading",IFERROR(INDEX(ctaTipo,MATCH(E527,ctaNom,0)),"")&lt;&gt;"Cuenta de trading"),"⚠ Usa la cuenta de trading","✓"))))))))))))</f>
        <v/>
      </c>
      <c r="I527" s="19">
        <f>IF(OR(B527="",C527="",D527=""),"",IFERROR(INDEX(catTipo,MATCH(D527,catNom,0))&amp;"",""))</f>
        <v/>
      </c>
      <c r="J527" s="19">
        <f>IF(I527="","",IFERROR(INDEX(catGrupo,MATCH(D527,catNom,0))&amp;"",""))</f>
        <v/>
      </c>
      <c r="K527" s="19">
        <f>IF(I527="Gasto",IF(IFERROR(INDEX(catClas,MATCH(D527,catNom,0))&amp;"","")="","Variable",IFERROR(INDEX(catClas,MATCH(D527,catNom,0))&amp;"","")),"")</f>
        <v/>
      </c>
      <c r="L527" s="19">
        <f>IF(I527="","",IFERROR(INDEX(catAlim,MATCH(D527,catNom,0))&amp;"",""))</f>
        <v/>
      </c>
      <c r="M527" s="19">
        <f>IF(I527="","",IFERROR(INDEX(catComida,MATCH(D527,catNom,0))&amp;"",""))</f>
        <v/>
      </c>
      <c r="N527" s="19">
        <f>IF(I527="","",IFERROR(INDEX(ctaMon,MATCH(E527,ctaNom,0))&amp;"","DOP"))</f>
        <v/>
      </c>
      <c r="O527" s="20">
        <f>IF(I527="","",C527*IF(N527="USD",TasaUSD,1))</f>
        <v/>
      </c>
      <c r="P527" s="20">
        <f>IF(I527="","",IF(I527="Gasto",O527,0))</f>
        <v/>
      </c>
      <c r="Q527" s="20">
        <f>IF(I527="","",IF(I527="Ingreso",O527,0))</f>
        <v/>
      </c>
      <c r="R527" s="20">
        <f>IF(I527="","",IF(I527="Trading",O527,0))</f>
        <v/>
      </c>
      <c r="S527" s="19">
        <f>IF(I527="","",IF(AND(I527="Gasto",K527="Variable",J527&lt;&gt;"Trading",O527&gt;0,O527&lt;=Umbral),1,0))</f>
        <v/>
      </c>
      <c r="T527" s="20">
        <f>IF(OR(I527="",E527=""),"",IF(OR(I527="Gasto",I527="Transferencia",I527="Pago tarjeta"),-1,1)*C527)</f>
        <v/>
      </c>
      <c r="U527" s="20">
        <f>IF(OR(G527="",AND(I527&lt;&gt;"Transferencia",I527&lt;&gt;"Pago tarjeta")),"",IF(IFERROR(INDEX(ctaMon,MATCH(G527,ctaNom,0))&amp;"","DOP")=N527,C527,IF(N527="USD",C527*TasaUSD,C527/TasaUSD)))</f>
        <v/>
      </c>
      <c r="V527" s="20">
        <f>IF(I527="","",IF(IFERROR(INDEX(ctaLiq,MATCH(E527,ctaNom,0))="Sí",FALSE),IF(OR(I527="Gasto",I527="Transferencia",I527="Pago tarjeta"),-1,1)*O527,0)+IF(AND(U527&lt;&gt;"",IFERROR(INDEX(ctaLiq,MATCH(G527,ctaNom,0))="Sí",FALSE)),O527,0))</f>
        <v/>
      </c>
      <c r="W527" s="19">
        <f>IF(OR(F527="",I527=""),"",IF(COUNTIFS(F$6:F527,F527,I$6:I527,"?*")=1,MAX(W$5:W526)+1,""))</f>
        <v/>
      </c>
    </row>
    <row r="528">
      <c r="B528" s="15" t="n"/>
      <c r="C528" s="16" t="n"/>
      <c r="D528" s="17" t="n"/>
      <c r="E528" s="17" t="n"/>
      <c r="F528" s="17" t="n"/>
      <c r="G528" s="17" t="n"/>
      <c r="H528" s="18">
        <f>IF(AND(B528="",C528="",D528="",E528=""),"",IF(B528="","⚠ Falta fecha",IF(C528="","⚠ Falta monto",IF(D528="","⚠ Falta categoría",IF(ISNA(MATCH(D528,catNom,0)),"⚠ Categoría no existe",IF(E528="","⚠ Falta cuenta",IF(ISNA(MATCH(E528,ctaNom,0)),"⚠ Cuenta no existe",IF(AND(OR(I528="Transferencia",I528="Pago tarjeta"),G528=""),"⚠ Indica la cuenta «Hacia»",IF(AND(G528&lt;&gt;"",G528=E528),"⚠ «Hacia» igual a la cuenta",IF(AND(G528&lt;&gt;"",ISNA(MATCH(G528,ctaNom,0))),"⚠ «Hacia» no existe",IF(AND(I528="Pago tarjeta",IFERROR(INDEX(ctaTipo,MATCH(G528,ctaNom,0)),"")&lt;&gt;"Tarjeta de crédito"),"⚠ «Hacia» debe ser la tarjeta",IF(AND(I528="Trading",IFERROR(INDEX(ctaTipo,MATCH(E528,ctaNom,0)),"")&lt;&gt;"Cuenta de trading"),"⚠ Usa la cuenta de trading","✓"))))))))))))</f>
        <v/>
      </c>
      <c r="I528" s="19">
        <f>IF(OR(B528="",C528="",D528=""),"",IFERROR(INDEX(catTipo,MATCH(D528,catNom,0))&amp;"",""))</f>
        <v/>
      </c>
      <c r="J528" s="19">
        <f>IF(I528="","",IFERROR(INDEX(catGrupo,MATCH(D528,catNom,0))&amp;"",""))</f>
        <v/>
      </c>
      <c r="K528" s="19">
        <f>IF(I528="Gasto",IF(IFERROR(INDEX(catClas,MATCH(D528,catNom,0))&amp;"","")="","Variable",IFERROR(INDEX(catClas,MATCH(D528,catNom,0))&amp;"","")),"")</f>
        <v/>
      </c>
      <c r="L528" s="19">
        <f>IF(I528="","",IFERROR(INDEX(catAlim,MATCH(D528,catNom,0))&amp;"",""))</f>
        <v/>
      </c>
      <c r="M528" s="19">
        <f>IF(I528="","",IFERROR(INDEX(catComida,MATCH(D528,catNom,0))&amp;"",""))</f>
        <v/>
      </c>
      <c r="N528" s="19">
        <f>IF(I528="","",IFERROR(INDEX(ctaMon,MATCH(E528,ctaNom,0))&amp;"","DOP"))</f>
        <v/>
      </c>
      <c r="O528" s="20">
        <f>IF(I528="","",C528*IF(N528="USD",TasaUSD,1))</f>
        <v/>
      </c>
      <c r="P528" s="20">
        <f>IF(I528="","",IF(I528="Gasto",O528,0))</f>
        <v/>
      </c>
      <c r="Q528" s="20">
        <f>IF(I528="","",IF(I528="Ingreso",O528,0))</f>
        <v/>
      </c>
      <c r="R528" s="20">
        <f>IF(I528="","",IF(I528="Trading",O528,0))</f>
        <v/>
      </c>
      <c r="S528" s="19">
        <f>IF(I528="","",IF(AND(I528="Gasto",K528="Variable",J528&lt;&gt;"Trading",O528&gt;0,O528&lt;=Umbral),1,0))</f>
        <v/>
      </c>
      <c r="T528" s="20">
        <f>IF(OR(I528="",E528=""),"",IF(OR(I528="Gasto",I528="Transferencia",I528="Pago tarjeta"),-1,1)*C528)</f>
        <v/>
      </c>
      <c r="U528" s="20">
        <f>IF(OR(G528="",AND(I528&lt;&gt;"Transferencia",I528&lt;&gt;"Pago tarjeta")),"",IF(IFERROR(INDEX(ctaMon,MATCH(G528,ctaNom,0))&amp;"","DOP")=N528,C528,IF(N528="USD",C528*TasaUSD,C528/TasaUSD)))</f>
        <v/>
      </c>
      <c r="V528" s="20">
        <f>IF(I528="","",IF(IFERROR(INDEX(ctaLiq,MATCH(E528,ctaNom,0))="Sí",FALSE),IF(OR(I528="Gasto",I528="Transferencia",I528="Pago tarjeta"),-1,1)*O528,0)+IF(AND(U528&lt;&gt;"",IFERROR(INDEX(ctaLiq,MATCH(G528,ctaNom,0))="Sí",FALSE)),O528,0))</f>
        <v/>
      </c>
      <c r="W528" s="19">
        <f>IF(OR(F528="",I528=""),"",IF(COUNTIFS(F$6:F528,F528,I$6:I528,"?*")=1,MAX(W$5:W527)+1,""))</f>
        <v/>
      </c>
    </row>
    <row r="529">
      <c r="B529" s="15" t="n"/>
      <c r="C529" s="16" t="n"/>
      <c r="D529" s="17" t="n"/>
      <c r="E529" s="17" t="n"/>
      <c r="F529" s="17" t="n"/>
      <c r="G529" s="17" t="n"/>
      <c r="H529" s="18">
        <f>IF(AND(B529="",C529="",D529="",E529=""),"",IF(B529="","⚠ Falta fecha",IF(C529="","⚠ Falta monto",IF(D529="","⚠ Falta categoría",IF(ISNA(MATCH(D529,catNom,0)),"⚠ Categoría no existe",IF(E529="","⚠ Falta cuenta",IF(ISNA(MATCH(E529,ctaNom,0)),"⚠ Cuenta no existe",IF(AND(OR(I529="Transferencia",I529="Pago tarjeta"),G529=""),"⚠ Indica la cuenta «Hacia»",IF(AND(G529&lt;&gt;"",G529=E529),"⚠ «Hacia» igual a la cuenta",IF(AND(G529&lt;&gt;"",ISNA(MATCH(G529,ctaNom,0))),"⚠ «Hacia» no existe",IF(AND(I529="Pago tarjeta",IFERROR(INDEX(ctaTipo,MATCH(G529,ctaNom,0)),"")&lt;&gt;"Tarjeta de crédito"),"⚠ «Hacia» debe ser la tarjeta",IF(AND(I529="Trading",IFERROR(INDEX(ctaTipo,MATCH(E529,ctaNom,0)),"")&lt;&gt;"Cuenta de trading"),"⚠ Usa la cuenta de trading","✓"))))))))))))</f>
        <v/>
      </c>
      <c r="I529" s="19">
        <f>IF(OR(B529="",C529="",D529=""),"",IFERROR(INDEX(catTipo,MATCH(D529,catNom,0))&amp;"",""))</f>
        <v/>
      </c>
      <c r="J529" s="19">
        <f>IF(I529="","",IFERROR(INDEX(catGrupo,MATCH(D529,catNom,0))&amp;"",""))</f>
        <v/>
      </c>
      <c r="K529" s="19">
        <f>IF(I529="Gasto",IF(IFERROR(INDEX(catClas,MATCH(D529,catNom,0))&amp;"","")="","Variable",IFERROR(INDEX(catClas,MATCH(D529,catNom,0))&amp;"","")),"")</f>
        <v/>
      </c>
      <c r="L529" s="19">
        <f>IF(I529="","",IFERROR(INDEX(catAlim,MATCH(D529,catNom,0))&amp;"",""))</f>
        <v/>
      </c>
      <c r="M529" s="19">
        <f>IF(I529="","",IFERROR(INDEX(catComida,MATCH(D529,catNom,0))&amp;"",""))</f>
        <v/>
      </c>
      <c r="N529" s="19">
        <f>IF(I529="","",IFERROR(INDEX(ctaMon,MATCH(E529,ctaNom,0))&amp;"","DOP"))</f>
        <v/>
      </c>
      <c r="O529" s="20">
        <f>IF(I529="","",C529*IF(N529="USD",TasaUSD,1))</f>
        <v/>
      </c>
      <c r="P529" s="20">
        <f>IF(I529="","",IF(I529="Gasto",O529,0))</f>
        <v/>
      </c>
      <c r="Q529" s="20">
        <f>IF(I529="","",IF(I529="Ingreso",O529,0))</f>
        <v/>
      </c>
      <c r="R529" s="20">
        <f>IF(I529="","",IF(I529="Trading",O529,0))</f>
        <v/>
      </c>
      <c r="S529" s="19">
        <f>IF(I529="","",IF(AND(I529="Gasto",K529="Variable",J529&lt;&gt;"Trading",O529&gt;0,O529&lt;=Umbral),1,0))</f>
        <v/>
      </c>
      <c r="T529" s="20">
        <f>IF(OR(I529="",E529=""),"",IF(OR(I529="Gasto",I529="Transferencia",I529="Pago tarjeta"),-1,1)*C529)</f>
        <v/>
      </c>
      <c r="U529" s="20">
        <f>IF(OR(G529="",AND(I529&lt;&gt;"Transferencia",I529&lt;&gt;"Pago tarjeta")),"",IF(IFERROR(INDEX(ctaMon,MATCH(G529,ctaNom,0))&amp;"","DOP")=N529,C529,IF(N529="USD",C529*TasaUSD,C529/TasaUSD)))</f>
        <v/>
      </c>
      <c r="V529" s="20">
        <f>IF(I529="","",IF(IFERROR(INDEX(ctaLiq,MATCH(E529,ctaNom,0))="Sí",FALSE),IF(OR(I529="Gasto",I529="Transferencia",I529="Pago tarjeta"),-1,1)*O529,0)+IF(AND(U529&lt;&gt;"",IFERROR(INDEX(ctaLiq,MATCH(G529,ctaNom,0))="Sí",FALSE)),O529,0))</f>
        <v/>
      </c>
      <c r="W529" s="19">
        <f>IF(OR(F529="",I529=""),"",IF(COUNTIFS(F$6:F529,F529,I$6:I529,"?*")=1,MAX(W$5:W528)+1,""))</f>
        <v/>
      </c>
    </row>
    <row r="530">
      <c r="B530" s="15" t="n"/>
      <c r="C530" s="16" t="n"/>
      <c r="D530" s="17" t="n"/>
      <c r="E530" s="17" t="n"/>
      <c r="F530" s="17" t="n"/>
      <c r="G530" s="17" t="n"/>
      <c r="H530" s="18">
        <f>IF(AND(B530="",C530="",D530="",E530=""),"",IF(B530="","⚠ Falta fecha",IF(C530="","⚠ Falta monto",IF(D530="","⚠ Falta categoría",IF(ISNA(MATCH(D530,catNom,0)),"⚠ Categoría no existe",IF(E530="","⚠ Falta cuenta",IF(ISNA(MATCH(E530,ctaNom,0)),"⚠ Cuenta no existe",IF(AND(OR(I530="Transferencia",I530="Pago tarjeta"),G530=""),"⚠ Indica la cuenta «Hacia»",IF(AND(G530&lt;&gt;"",G530=E530),"⚠ «Hacia» igual a la cuenta",IF(AND(G530&lt;&gt;"",ISNA(MATCH(G530,ctaNom,0))),"⚠ «Hacia» no existe",IF(AND(I530="Pago tarjeta",IFERROR(INDEX(ctaTipo,MATCH(G530,ctaNom,0)),"")&lt;&gt;"Tarjeta de crédito"),"⚠ «Hacia» debe ser la tarjeta",IF(AND(I530="Trading",IFERROR(INDEX(ctaTipo,MATCH(E530,ctaNom,0)),"")&lt;&gt;"Cuenta de trading"),"⚠ Usa la cuenta de trading","✓"))))))))))))</f>
        <v/>
      </c>
      <c r="I530" s="19">
        <f>IF(OR(B530="",C530="",D530=""),"",IFERROR(INDEX(catTipo,MATCH(D530,catNom,0))&amp;"",""))</f>
        <v/>
      </c>
      <c r="J530" s="19">
        <f>IF(I530="","",IFERROR(INDEX(catGrupo,MATCH(D530,catNom,0))&amp;"",""))</f>
        <v/>
      </c>
      <c r="K530" s="19">
        <f>IF(I530="Gasto",IF(IFERROR(INDEX(catClas,MATCH(D530,catNom,0))&amp;"","")="","Variable",IFERROR(INDEX(catClas,MATCH(D530,catNom,0))&amp;"","")),"")</f>
        <v/>
      </c>
      <c r="L530" s="19">
        <f>IF(I530="","",IFERROR(INDEX(catAlim,MATCH(D530,catNom,0))&amp;"",""))</f>
        <v/>
      </c>
      <c r="M530" s="19">
        <f>IF(I530="","",IFERROR(INDEX(catComida,MATCH(D530,catNom,0))&amp;"",""))</f>
        <v/>
      </c>
      <c r="N530" s="19">
        <f>IF(I530="","",IFERROR(INDEX(ctaMon,MATCH(E530,ctaNom,0))&amp;"","DOP"))</f>
        <v/>
      </c>
      <c r="O530" s="20">
        <f>IF(I530="","",C530*IF(N530="USD",TasaUSD,1))</f>
        <v/>
      </c>
      <c r="P530" s="20">
        <f>IF(I530="","",IF(I530="Gasto",O530,0))</f>
        <v/>
      </c>
      <c r="Q530" s="20">
        <f>IF(I530="","",IF(I530="Ingreso",O530,0))</f>
        <v/>
      </c>
      <c r="R530" s="20">
        <f>IF(I530="","",IF(I530="Trading",O530,0))</f>
        <v/>
      </c>
      <c r="S530" s="19">
        <f>IF(I530="","",IF(AND(I530="Gasto",K530="Variable",J530&lt;&gt;"Trading",O530&gt;0,O530&lt;=Umbral),1,0))</f>
        <v/>
      </c>
      <c r="T530" s="20">
        <f>IF(OR(I530="",E530=""),"",IF(OR(I530="Gasto",I530="Transferencia",I530="Pago tarjeta"),-1,1)*C530)</f>
        <v/>
      </c>
      <c r="U530" s="20">
        <f>IF(OR(G530="",AND(I530&lt;&gt;"Transferencia",I530&lt;&gt;"Pago tarjeta")),"",IF(IFERROR(INDEX(ctaMon,MATCH(G530,ctaNom,0))&amp;"","DOP")=N530,C530,IF(N530="USD",C530*TasaUSD,C530/TasaUSD)))</f>
        <v/>
      </c>
      <c r="V530" s="20">
        <f>IF(I530="","",IF(IFERROR(INDEX(ctaLiq,MATCH(E530,ctaNom,0))="Sí",FALSE),IF(OR(I530="Gasto",I530="Transferencia",I530="Pago tarjeta"),-1,1)*O530,0)+IF(AND(U530&lt;&gt;"",IFERROR(INDEX(ctaLiq,MATCH(G530,ctaNom,0))="Sí",FALSE)),O530,0))</f>
        <v/>
      </c>
      <c r="W530" s="19">
        <f>IF(OR(F530="",I530=""),"",IF(COUNTIFS(F$6:F530,F530,I$6:I530,"?*")=1,MAX(W$5:W529)+1,""))</f>
        <v/>
      </c>
    </row>
    <row r="531">
      <c r="B531" s="15" t="n"/>
      <c r="C531" s="16" t="n"/>
      <c r="D531" s="17" t="n"/>
      <c r="E531" s="17" t="n"/>
      <c r="F531" s="17" t="n"/>
      <c r="G531" s="17" t="n"/>
      <c r="H531" s="18">
        <f>IF(AND(B531="",C531="",D531="",E531=""),"",IF(B531="","⚠ Falta fecha",IF(C531="","⚠ Falta monto",IF(D531="","⚠ Falta categoría",IF(ISNA(MATCH(D531,catNom,0)),"⚠ Categoría no existe",IF(E531="","⚠ Falta cuenta",IF(ISNA(MATCH(E531,ctaNom,0)),"⚠ Cuenta no existe",IF(AND(OR(I531="Transferencia",I531="Pago tarjeta"),G531=""),"⚠ Indica la cuenta «Hacia»",IF(AND(G531&lt;&gt;"",G531=E531),"⚠ «Hacia» igual a la cuenta",IF(AND(G531&lt;&gt;"",ISNA(MATCH(G531,ctaNom,0))),"⚠ «Hacia» no existe",IF(AND(I531="Pago tarjeta",IFERROR(INDEX(ctaTipo,MATCH(G531,ctaNom,0)),"")&lt;&gt;"Tarjeta de crédito"),"⚠ «Hacia» debe ser la tarjeta",IF(AND(I531="Trading",IFERROR(INDEX(ctaTipo,MATCH(E531,ctaNom,0)),"")&lt;&gt;"Cuenta de trading"),"⚠ Usa la cuenta de trading","✓"))))))))))))</f>
        <v/>
      </c>
      <c r="I531" s="19">
        <f>IF(OR(B531="",C531="",D531=""),"",IFERROR(INDEX(catTipo,MATCH(D531,catNom,0))&amp;"",""))</f>
        <v/>
      </c>
      <c r="J531" s="19">
        <f>IF(I531="","",IFERROR(INDEX(catGrupo,MATCH(D531,catNom,0))&amp;"",""))</f>
        <v/>
      </c>
      <c r="K531" s="19">
        <f>IF(I531="Gasto",IF(IFERROR(INDEX(catClas,MATCH(D531,catNom,0))&amp;"","")="","Variable",IFERROR(INDEX(catClas,MATCH(D531,catNom,0))&amp;"","")),"")</f>
        <v/>
      </c>
      <c r="L531" s="19">
        <f>IF(I531="","",IFERROR(INDEX(catAlim,MATCH(D531,catNom,0))&amp;"",""))</f>
        <v/>
      </c>
      <c r="M531" s="19">
        <f>IF(I531="","",IFERROR(INDEX(catComida,MATCH(D531,catNom,0))&amp;"",""))</f>
        <v/>
      </c>
      <c r="N531" s="19">
        <f>IF(I531="","",IFERROR(INDEX(ctaMon,MATCH(E531,ctaNom,0))&amp;"","DOP"))</f>
        <v/>
      </c>
      <c r="O531" s="20">
        <f>IF(I531="","",C531*IF(N531="USD",TasaUSD,1))</f>
        <v/>
      </c>
      <c r="P531" s="20">
        <f>IF(I531="","",IF(I531="Gasto",O531,0))</f>
        <v/>
      </c>
      <c r="Q531" s="20">
        <f>IF(I531="","",IF(I531="Ingreso",O531,0))</f>
        <v/>
      </c>
      <c r="R531" s="20">
        <f>IF(I531="","",IF(I531="Trading",O531,0))</f>
        <v/>
      </c>
      <c r="S531" s="19">
        <f>IF(I531="","",IF(AND(I531="Gasto",K531="Variable",J531&lt;&gt;"Trading",O531&gt;0,O531&lt;=Umbral),1,0))</f>
        <v/>
      </c>
      <c r="T531" s="20">
        <f>IF(OR(I531="",E531=""),"",IF(OR(I531="Gasto",I531="Transferencia",I531="Pago tarjeta"),-1,1)*C531)</f>
        <v/>
      </c>
      <c r="U531" s="20">
        <f>IF(OR(G531="",AND(I531&lt;&gt;"Transferencia",I531&lt;&gt;"Pago tarjeta")),"",IF(IFERROR(INDEX(ctaMon,MATCH(G531,ctaNom,0))&amp;"","DOP")=N531,C531,IF(N531="USD",C531*TasaUSD,C531/TasaUSD)))</f>
        <v/>
      </c>
      <c r="V531" s="20">
        <f>IF(I531="","",IF(IFERROR(INDEX(ctaLiq,MATCH(E531,ctaNom,0))="Sí",FALSE),IF(OR(I531="Gasto",I531="Transferencia",I531="Pago tarjeta"),-1,1)*O531,0)+IF(AND(U531&lt;&gt;"",IFERROR(INDEX(ctaLiq,MATCH(G531,ctaNom,0))="Sí",FALSE)),O531,0))</f>
        <v/>
      </c>
      <c r="W531" s="19">
        <f>IF(OR(F531="",I531=""),"",IF(COUNTIFS(F$6:F531,F531,I$6:I531,"?*")=1,MAX(W$5:W530)+1,""))</f>
        <v/>
      </c>
    </row>
    <row r="532">
      <c r="B532" s="15" t="n"/>
      <c r="C532" s="16" t="n"/>
      <c r="D532" s="17" t="n"/>
      <c r="E532" s="17" t="n"/>
      <c r="F532" s="17" t="n"/>
      <c r="G532" s="17" t="n"/>
      <c r="H532" s="18">
        <f>IF(AND(B532="",C532="",D532="",E532=""),"",IF(B532="","⚠ Falta fecha",IF(C532="","⚠ Falta monto",IF(D532="","⚠ Falta categoría",IF(ISNA(MATCH(D532,catNom,0)),"⚠ Categoría no existe",IF(E532="","⚠ Falta cuenta",IF(ISNA(MATCH(E532,ctaNom,0)),"⚠ Cuenta no existe",IF(AND(OR(I532="Transferencia",I532="Pago tarjeta"),G532=""),"⚠ Indica la cuenta «Hacia»",IF(AND(G532&lt;&gt;"",G532=E532),"⚠ «Hacia» igual a la cuenta",IF(AND(G532&lt;&gt;"",ISNA(MATCH(G532,ctaNom,0))),"⚠ «Hacia» no existe",IF(AND(I532="Pago tarjeta",IFERROR(INDEX(ctaTipo,MATCH(G532,ctaNom,0)),"")&lt;&gt;"Tarjeta de crédito"),"⚠ «Hacia» debe ser la tarjeta",IF(AND(I532="Trading",IFERROR(INDEX(ctaTipo,MATCH(E532,ctaNom,0)),"")&lt;&gt;"Cuenta de trading"),"⚠ Usa la cuenta de trading","✓"))))))))))))</f>
        <v/>
      </c>
      <c r="I532" s="19">
        <f>IF(OR(B532="",C532="",D532=""),"",IFERROR(INDEX(catTipo,MATCH(D532,catNom,0))&amp;"",""))</f>
        <v/>
      </c>
      <c r="J532" s="19">
        <f>IF(I532="","",IFERROR(INDEX(catGrupo,MATCH(D532,catNom,0))&amp;"",""))</f>
        <v/>
      </c>
      <c r="K532" s="19">
        <f>IF(I532="Gasto",IF(IFERROR(INDEX(catClas,MATCH(D532,catNom,0))&amp;"","")="","Variable",IFERROR(INDEX(catClas,MATCH(D532,catNom,0))&amp;"","")),"")</f>
        <v/>
      </c>
      <c r="L532" s="19">
        <f>IF(I532="","",IFERROR(INDEX(catAlim,MATCH(D532,catNom,0))&amp;"",""))</f>
        <v/>
      </c>
      <c r="M532" s="19">
        <f>IF(I532="","",IFERROR(INDEX(catComida,MATCH(D532,catNom,0))&amp;"",""))</f>
        <v/>
      </c>
      <c r="N532" s="19">
        <f>IF(I532="","",IFERROR(INDEX(ctaMon,MATCH(E532,ctaNom,0))&amp;"","DOP"))</f>
        <v/>
      </c>
      <c r="O532" s="20">
        <f>IF(I532="","",C532*IF(N532="USD",TasaUSD,1))</f>
        <v/>
      </c>
      <c r="P532" s="20">
        <f>IF(I532="","",IF(I532="Gasto",O532,0))</f>
        <v/>
      </c>
      <c r="Q532" s="20">
        <f>IF(I532="","",IF(I532="Ingreso",O532,0))</f>
        <v/>
      </c>
      <c r="R532" s="20">
        <f>IF(I532="","",IF(I532="Trading",O532,0))</f>
        <v/>
      </c>
      <c r="S532" s="19">
        <f>IF(I532="","",IF(AND(I532="Gasto",K532="Variable",J532&lt;&gt;"Trading",O532&gt;0,O532&lt;=Umbral),1,0))</f>
        <v/>
      </c>
      <c r="T532" s="20">
        <f>IF(OR(I532="",E532=""),"",IF(OR(I532="Gasto",I532="Transferencia",I532="Pago tarjeta"),-1,1)*C532)</f>
        <v/>
      </c>
      <c r="U532" s="20">
        <f>IF(OR(G532="",AND(I532&lt;&gt;"Transferencia",I532&lt;&gt;"Pago tarjeta")),"",IF(IFERROR(INDEX(ctaMon,MATCH(G532,ctaNom,0))&amp;"","DOP")=N532,C532,IF(N532="USD",C532*TasaUSD,C532/TasaUSD)))</f>
        <v/>
      </c>
      <c r="V532" s="20">
        <f>IF(I532="","",IF(IFERROR(INDEX(ctaLiq,MATCH(E532,ctaNom,0))="Sí",FALSE),IF(OR(I532="Gasto",I532="Transferencia",I532="Pago tarjeta"),-1,1)*O532,0)+IF(AND(U532&lt;&gt;"",IFERROR(INDEX(ctaLiq,MATCH(G532,ctaNom,0))="Sí",FALSE)),O532,0))</f>
        <v/>
      </c>
      <c r="W532" s="19">
        <f>IF(OR(F532="",I532=""),"",IF(COUNTIFS(F$6:F532,F532,I$6:I532,"?*")=1,MAX(W$5:W531)+1,""))</f>
        <v/>
      </c>
    </row>
    <row r="533">
      <c r="B533" s="15" t="n"/>
      <c r="C533" s="16" t="n"/>
      <c r="D533" s="17" t="n"/>
      <c r="E533" s="17" t="n"/>
      <c r="F533" s="17" t="n"/>
      <c r="G533" s="17" t="n"/>
      <c r="H533" s="18">
        <f>IF(AND(B533="",C533="",D533="",E533=""),"",IF(B533="","⚠ Falta fecha",IF(C533="","⚠ Falta monto",IF(D533="","⚠ Falta categoría",IF(ISNA(MATCH(D533,catNom,0)),"⚠ Categoría no existe",IF(E533="","⚠ Falta cuenta",IF(ISNA(MATCH(E533,ctaNom,0)),"⚠ Cuenta no existe",IF(AND(OR(I533="Transferencia",I533="Pago tarjeta"),G533=""),"⚠ Indica la cuenta «Hacia»",IF(AND(G533&lt;&gt;"",G533=E533),"⚠ «Hacia» igual a la cuenta",IF(AND(G533&lt;&gt;"",ISNA(MATCH(G533,ctaNom,0))),"⚠ «Hacia» no existe",IF(AND(I533="Pago tarjeta",IFERROR(INDEX(ctaTipo,MATCH(G533,ctaNom,0)),"")&lt;&gt;"Tarjeta de crédito"),"⚠ «Hacia» debe ser la tarjeta",IF(AND(I533="Trading",IFERROR(INDEX(ctaTipo,MATCH(E533,ctaNom,0)),"")&lt;&gt;"Cuenta de trading"),"⚠ Usa la cuenta de trading","✓"))))))))))))</f>
        <v/>
      </c>
      <c r="I533" s="19">
        <f>IF(OR(B533="",C533="",D533=""),"",IFERROR(INDEX(catTipo,MATCH(D533,catNom,0))&amp;"",""))</f>
        <v/>
      </c>
      <c r="J533" s="19">
        <f>IF(I533="","",IFERROR(INDEX(catGrupo,MATCH(D533,catNom,0))&amp;"",""))</f>
        <v/>
      </c>
      <c r="K533" s="19">
        <f>IF(I533="Gasto",IF(IFERROR(INDEX(catClas,MATCH(D533,catNom,0))&amp;"","")="","Variable",IFERROR(INDEX(catClas,MATCH(D533,catNom,0))&amp;"","")),"")</f>
        <v/>
      </c>
      <c r="L533" s="19">
        <f>IF(I533="","",IFERROR(INDEX(catAlim,MATCH(D533,catNom,0))&amp;"",""))</f>
        <v/>
      </c>
      <c r="M533" s="19">
        <f>IF(I533="","",IFERROR(INDEX(catComida,MATCH(D533,catNom,0))&amp;"",""))</f>
        <v/>
      </c>
      <c r="N533" s="19">
        <f>IF(I533="","",IFERROR(INDEX(ctaMon,MATCH(E533,ctaNom,0))&amp;"","DOP"))</f>
        <v/>
      </c>
      <c r="O533" s="20">
        <f>IF(I533="","",C533*IF(N533="USD",TasaUSD,1))</f>
        <v/>
      </c>
      <c r="P533" s="20">
        <f>IF(I533="","",IF(I533="Gasto",O533,0))</f>
        <v/>
      </c>
      <c r="Q533" s="20">
        <f>IF(I533="","",IF(I533="Ingreso",O533,0))</f>
        <v/>
      </c>
      <c r="R533" s="20">
        <f>IF(I533="","",IF(I533="Trading",O533,0))</f>
        <v/>
      </c>
      <c r="S533" s="19">
        <f>IF(I533="","",IF(AND(I533="Gasto",K533="Variable",J533&lt;&gt;"Trading",O533&gt;0,O533&lt;=Umbral),1,0))</f>
        <v/>
      </c>
      <c r="T533" s="20">
        <f>IF(OR(I533="",E533=""),"",IF(OR(I533="Gasto",I533="Transferencia",I533="Pago tarjeta"),-1,1)*C533)</f>
        <v/>
      </c>
      <c r="U533" s="20">
        <f>IF(OR(G533="",AND(I533&lt;&gt;"Transferencia",I533&lt;&gt;"Pago tarjeta")),"",IF(IFERROR(INDEX(ctaMon,MATCH(G533,ctaNom,0))&amp;"","DOP")=N533,C533,IF(N533="USD",C533*TasaUSD,C533/TasaUSD)))</f>
        <v/>
      </c>
      <c r="V533" s="20">
        <f>IF(I533="","",IF(IFERROR(INDEX(ctaLiq,MATCH(E533,ctaNom,0))="Sí",FALSE),IF(OR(I533="Gasto",I533="Transferencia",I533="Pago tarjeta"),-1,1)*O533,0)+IF(AND(U533&lt;&gt;"",IFERROR(INDEX(ctaLiq,MATCH(G533,ctaNom,0))="Sí",FALSE)),O533,0))</f>
        <v/>
      </c>
      <c r="W533" s="19">
        <f>IF(OR(F533="",I533=""),"",IF(COUNTIFS(F$6:F533,F533,I$6:I533,"?*")=1,MAX(W$5:W532)+1,""))</f>
        <v/>
      </c>
    </row>
    <row r="534">
      <c r="B534" s="15" t="n"/>
      <c r="C534" s="16" t="n"/>
      <c r="D534" s="17" t="n"/>
      <c r="E534" s="17" t="n"/>
      <c r="F534" s="17" t="n"/>
      <c r="G534" s="17" t="n"/>
      <c r="H534" s="18">
        <f>IF(AND(B534="",C534="",D534="",E534=""),"",IF(B534="","⚠ Falta fecha",IF(C534="","⚠ Falta monto",IF(D534="","⚠ Falta categoría",IF(ISNA(MATCH(D534,catNom,0)),"⚠ Categoría no existe",IF(E534="","⚠ Falta cuenta",IF(ISNA(MATCH(E534,ctaNom,0)),"⚠ Cuenta no existe",IF(AND(OR(I534="Transferencia",I534="Pago tarjeta"),G534=""),"⚠ Indica la cuenta «Hacia»",IF(AND(G534&lt;&gt;"",G534=E534),"⚠ «Hacia» igual a la cuenta",IF(AND(G534&lt;&gt;"",ISNA(MATCH(G534,ctaNom,0))),"⚠ «Hacia» no existe",IF(AND(I534="Pago tarjeta",IFERROR(INDEX(ctaTipo,MATCH(G534,ctaNom,0)),"")&lt;&gt;"Tarjeta de crédito"),"⚠ «Hacia» debe ser la tarjeta",IF(AND(I534="Trading",IFERROR(INDEX(ctaTipo,MATCH(E534,ctaNom,0)),"")&lt;&gt;"Cuenta de trading"),"⚠ Usa la cuenta de trading","✓"))))))))))))</f>
        <v/>
      </c>
      <c r="I534" s="19">
        <f>IF(OR(B534="",C534="",D534=""),"",IFERROR(INDEX(catTipo,MATCH(D534,catNom,0))&amp;"",""))</f>
        <v/>
      </c>
      <c r="J534" s="19">
        <f>IF(I534="","",IFERROR(INDEX(catGrupo,MATCH(D534,catNom,0))&amp;"",""))</f>
        <v/>
      </c>
      <c r="K534" s="19">
        <f>IF(I534="Gasto",IF(IFERROR(INDEX(catClas,MATCH(D534,catNom,0))&amp;"","")="","Variable",IFERROR(INDEX(catClas,MATCH(D534,catNom,0))&amp;"","")),"")</f>
        <v/>
      </c>
      <c r="L534" s="19">
        <f>IF(I534="","",IFERROR(INDEX(catAlim,MATCH(D534,catNom,0))&amp;"",""))</f>
        <v/>
      </c>
      <c r="M534" s="19">
        <f>IF(I534="","",IFERROR(INDEX(catComida,MATCH(D534,catNom,0))&amp;"",""))</f>
        <v/>
      </c>
      <c r="N534" s="19">
        <f>IF(I534="","",IFERROR(INDEX(ctaMon,MATCH(E534,ctaNom,0))&amp;"","DOP"))</f>
        <v/>
      </c>
      <c r="O534" s="20">
        <f>IF(I534="","",C534*IF(N534="USD",TasaUSD,1))</f>
        <v/>
      </c>
      <c r="P534" s="20">
        <f>IF(I534="","",IF(I534="Gasto",O534,0))</f>
        <v/>
      </c>
      <c r="Q534" s="20">
        <f>IF(I534="","",IF(I534="Ingreso",O534,0))</f>
        <v/>
      </c>
      <c r="R534" s="20">
        <f>IF(I534="","",IF(I534="Trading",O534,0))</f>
        <v/>
      </c>
      <c r="S534" s="19">
        <f>IF(I534="","",IF(AND(I534="Gasto",K534="Variable",J534&lt;&gt;"Trading",O534&gt;0,O534&lt;=Umbral),1,0))</f>
        <v/>
      </c>
      <c r="T534" s="20">
        <f>IF(OR(I534="",E534=""),"",IF(OR(I534="Gasto",I534="Transferencia",I534="Pago tarjeta"),-1,1)*C534)</f>
        <v/>
      </c>
      <c r="U534" s="20">
        <f>IF(OR(G534="",AND(I534&lt;&gt;"Transferencia",I534&lt;&gt;"Pago tarjeta")),"",IF(IFERROR(INDEX(ctaMon,MATCH(G534,ctaNom,0))&amp;"","DOP")=N534,C534,IF(N534="USD",C534*TasaUSD,C534/TasaUSD)))</f>
        <v/>
      </c>
      <c r="V534" s="20">
        <f>IF(I534="","",IF(IFERROR(INDEX(ctaLiq,MATCH(E534,ctaNom,0))="Sí",FALSE),IF(OR(I534="Gasto",I534="Transferencia",I534="Pago tarjeta"),-1,1)*O534,0)+IF(AND(U534&lt;&gt;"",IFERROR(INDEX(ctaLiq,MATCH(G534,ctaNom,0))="Sí",FALSE)),O534,0))</f>
        <v/>
      </c>
      <c r="W534" s="19">
        <f>IF(OR(F534="",I534=""),"",IF(COUNTIFS(F$6:F534,F534,I$6:I534,"?*")=1,MAX(W$5:W533)+1,""))</f>
        <v/>
      </c>
    </row>
    <row r="535">
      <c r="B535" s="15" t="n"/>
      <c r="C535" s="16" t="n"/>
      <c r="D535" s="17" t="n"/>
      <c r="E535" s="17" t="n"/>
      <c r="F535" s="17" t="n"/>
      <c r="G535" s="17" t="n"/>
      <c r="H535" s="18">
        <f>IF(AND(B535="",C535="",D535="",E535=""),"",IF(B535="","⚠ Falta fecha",IF(C535="","⚠ Falta monto",IF(D535="","⚠ Falta categoría",IF(ISNA(MATCH(D535,catNom,0)),"⚠ Categoría no existe",IF(E535="","⚠ Falta cuenta",IF(ISNA(MATCH(E535,ctaNom,0)),"⚠ Cuenta no existe",IF(AND(OR(I535="Transferencia",I535="Pago tarjeta"),G535=""),"⚠ Indica la cuenta «Hacia»",IF(AND(G535&lt;&gt;"",G535=E535),"⚠ «Hacia» igual a la cuenta",IF(AND(G535&lt;&gt;"",ISNA(MATCH(G535,ctaNom,0))),"⚠ «Hacia» no existe",IF(AND(I535="Pago tarjeta",IFERROR(INDEX(ctaTipo,MATCH(G535,ctaNom,0)),"")&lt;&gt;"Tarjeta de crédito"),"⚠ «Hacia» debe ser la tarjeta",IF(AND(I535="Trading",IFERROR(INDEX(ctaTipo,MATCH(E535,ctaNom,0)),"")&lt;&gt;"Cuenta de trading"),"⚠ Usa la cuenta de trading","✓"))))))))))))</f>
        <v/>
      </c>
      <c r="I535" s="19">
        <f>IF(OR(B535="",C535="",D535=""),"",IFERROR(INDEX(catTipo,MATCH(D535,catNom,0))&amp;"",""))</f>
        <v/>
      </c>
      <c r="J535" s="19">
        <f>IF(I535="","",IFERROR(INDEX(catGrupo,MATCH(D535,catNom,0))&amp;"",""))</f>
        <v/>
      </c>
      <c r="K535" s="19">
        <f>IF(I535="Gasto",IF(IFERROR(INDEX(catClas,MATCH(D535,catNom,0))&amp;"","")="","Variable",IFERROR(INDEX(catClas,MATCH(D535,catNom,0))&amp;"","")),"")</f>
        <v/>
      </c>
      <c r="L535" s="19">
        <f>IF(I535="","",IFERROR(INDEX(catAlim,MATCH(D535,catNom,0))&amp;"",""))</f>
        <v/>
      </c>
      <c r="M535" s="19">
        <f>IF(I535="","",IFERROR(INDEX(catComida,MATCH(D535,catNom,0))&amp;"",""))</f>
        <v/>
      </c>
      <c r="N535" s="19">
        <f>IF(I535="","",IFERROR(INDEX(ctaMon,MATCH(E535,ctaNom,0))&amp;"","DOP"))</f>
        <v/>
      </c>
      <c r="O535" s="20">
        <f>IF(I535="","",C535*IF(N535="USD",TasaUSD,1))</f>
        <v/>
      </c>
      <c r="P535" s="20">
        <f>IF(I535="","",IF(I535="Gasto",O535,0))</f>
        <v/>
      </c>
      <c r="Q535" s="20">
        <f>IF(I535="","",IF(I535="Ingreso",O535,0))</f>
        <v/>
      </c>
      <c r="R535" s="20">
        <f>IF(I535="","",IF(I535="Trading",O535,0))</f>
        <v/>
      </c>
      <c r="S535" s="19">
        <f>IF(I535="","",IF(AND(I535="Gasto",K535="Variable",J535&lt;&gt;"Trading",O535&gt;0,O535&lt;=Umbral),1,0))</f>
        <v/>
      </c>
      <c r="T535" s="20">
        <f>IF(OR(I535="",E535=""),"",IF(OR(I535="Gasto",I535="Transferencia",I535="Pago tarjeta"),-1,1)*C535)</f>
        <v/>
      </c>
      <c r="U535" s="20">
        <f>IF(OR(G535="",AND(I535&lt;&gt;"Transferencia",I535&lt;&gt;"Pago tarjeta")),"",IF(IFERROR(INDEX(ctaMon,MATCH(G535,ctaNom,0))&amp;"","DOP")=N535,C535,IF(N535="USD",C535*TasaUSD,C535/TasaUSD)))</f>
        <v/>
      </c>
      <c r="V535" s="20">
        <f>IF(I535="","",IF(IFERROR(INDEX(ctaLiq,MATCH(E535,ctaNom,0))="Sí",FALSE),IF(OR(I535="Gasto",I535="Transferencia",I535="Pago tarjeta"),-1,1)*O535,0)+IF(AND(U535&lt;&gt;"",IFERROR(INDEX(ctaLiq,MATCH(G535,ctaNom,0))="Sí",FALSE)),O535,0))</f>
        <v/>
      </c>
      <c r="W535" s="19">
        <f>IF(OR(F535="",I535=""),"",IF(COUNTIFS(F$6:F535,F535,I$6:I535,"?*")=1,MAX(W$5:W534)+1,""))</f>
        <v/>
      </c>
    </row>
    <row r="536">
      <c r="B536" s="15" t="n"/>
      <c r="C536" s="16" t="n"/>
      <c r="D536" s="17" t="n"/>
      <c r="E536" s="17" t="n"/>
      <c r="F536" s="17" t="n"/>
      <c r="G536" s="17" t="n"/>
      <c r="H536" s="18">
        <f>IF(AND(B536="",C536="",D536="",E536=""),"",IF(B536="","⚠ Falta fecha",IF(C536="","⚠ Falta monto",IF(D536="","⚠ Falta categoría",IF(ISNA(MATCH(D536,catNom,0)),"⚠ Categoría no existe",IF(E536="","⚠ Falta cuenta",IF(ISNA(MATCH(E536,ctaNom,0)),"⚠ Cuenta no existe",IF(AND(OR(I536="Transferencia",I536="Pago tarjeta"),G536=""),"⚠ Indica la cuenta «Hacia»",IF(AND(G536&lt;&gt;"",G536=E536),"⚠ «Hacia» igual a la cuenta",IF(AND(G536&lt;&gt;"",ISNA(MATCH(G536,ctaNom,0))),"⚠ «Hacia» no existe",IF(AND(I536="Pago tarjeta",IFERROR(INDEX(ctaTipo,MATCH(G536,ctaNom,0)),"")&lt;&gt;"Tarjeta de crédito"),"⚠ «Hacia» debe ser la tarjeta",IF(AND(I536="Trading",IFERROR(INDEX(ctaTipo,MATCH(E536,ctaNom,0)),"")&lt;&gt;"Cuenta de trading"),"⚠ Usa la cuenta de trading","✓"))))))))))))</f>
        <v/>
      </c>
      <c r="I536" s="19">
        <f>IF(OR(B536="",C536="",D536=""),"",IFERROR(INDEX(catTipo,MATCH(D536,catNom,0))&amp;"",""))</f>
        <v/>
      </c>
      <c r="J536" s="19">
        <f>IF(I536="","",IFERROR(INDEX(catGrupo,MATCH(D536,catNom,0))&amp;"",""))</f>
        <v/>
      </c>
      <c r="K536" s="19">
        <f>IF(I536="Gasto",IF(IFERROR(INDEX(catClas,MATCH(D536,catNom,0))&amp;"","")="","Variable",IFERROR(INDEX(catClas,MATCH(D536,catNom,0))&amp;"","")),"")</f>
        <v/>
      </c>
      <c r="L536" s="19">
        <f>IF(I536="","",IFERROR(INDEX(catAlim,MATCH(D536,catNom,0))&amp;"",""))</f>
        <v/>
      </c>
      <c r="M536" s="19">
        <f>IF(I536="","",IFERROR(INDEX(catComida,MATCH(D536,catNom,0))&amp;"",""))</f>
        <v/>
      </c>
      <c r="N536" s="19">
        <f>IF(I536="","",IFERROR(INDEX(ctaMon,MATCH(E536,ctaNom,0))&amp;"","DOP"))</f>
        <v/>
      </c>
      <c r="O536" s="20">
        <f>IF(I536="","",C536*IF(N536="USD",TasaUSD,1))</f>
        <v/>
      </c>
      <c r="P536" s="20">
        <f>IF(I536="","",IF(I536="Gasto",O536,0))</f>
        <v/>
      </c>
      <c r="Q536" s="20">
        <f>IF(I536="","",IF(I536="Ingreso",O536,0))</f>
        <v/>
      </c>
      <c r="R536" s="20">
        <f>IF(I536="","",IF(I536="Trading",O536,0))</f>
        <v/>
      </c>
      <c r="S536" s="19">
        <f>IF(I536="","",IF(AND(I536="Gasto",K536="Variable",J536&lt;&gt;"Trading",O536&gt;0,O536&lt;=Umbral),1,0))</f>
        <v/>
      </c>
      <c r="T536" s="20">
        <f>IF(OR(I536="",E536=""),"",IF(OR(I536="Gasto",I536="Transferencia",I536="Pago tarjeta"),-1,1)*C536)</f>
        <v/>
      </c>
      <c r="U536" s="20">
        <f>IF(OR(G536="",AND(I536&lt;&gt;"Transferencia",I536&lt;&gt;"Pago tarjeta")),"",IF(IFERROR(INDEX(ctaMon,MATCH(G536,ctaNom,0))&amp;"","DOP")=N536,C536,IF(N536="USD",C536*TasaUSD,C536/TasaUSD)))</f>
        <v/>
      </c>
      <c r="V536" s="20">
        <f>IF(I536="","",IF(IFERROR(INDEX(ctaLiq,MATCH(E536,ctaNom,0))="Sí",FALSE),IF(OR(I536="Gasto",I536="Transferencia",I536="Pago tarjeta"),-1,1)*O536,0)+IF(AND(U536&lt;&gt;"",IFERROR(INDEX(ctaLiq,MATCH(G536,ctaNom,0))="Sí",FALSE)),O536,0))</f>
        <v/>
      </c>
      <c r="W536" s="19">
        <f>IF(OR(F536="",I536=""),"",IF(COUNTIFS(F$6:F536,F536,I$6:I536,"?*")=1,MAX(W$5:W535)+1,""))</f>
        <v/>
      </c>
    </row>
    <row r="537">
      <c r="B537" s="15" t="n"/>
      <c r="C537" s="16" t="n"/>
      <c r="D537" s="17" t="n"/>
      <c r="E537" s="17" t="n"/>
      <c r="F537" s="17" t="n"/>
      <c r="G537" s="17" t="n"/>
      <c r="H537" s="18">
        <f>IF(AND(B537="",C537="",D537="",E537=""),"",IF(B537="","⚠ Falta fecha",IF(C537="","⚠ Falta monto",IF(D537="","⚠ Falta categoría",IF(ISNA(MATCH(D537,catNom,0)),"⚠ Categoría no existe",IF(E537="","⚠ Falta cuenta",IF(ISNA(MATCH(E537,ctaNom,0)),"⚠ Cuenta no existe",IF(AND(OR(I537="Transferencia",I537="Pago tarjeta"),G537=""),"⚠ Indica la cuenta «Hacia»",IF(AND(G537&lt;&gt;"",G537=E537),"⚠ «Hacia» igual a la cuenta",IF(AND(G537&lt;&gt;"",ISNA(MATCH(G537,ctaNom,0))),"⚠ «Hacia» no existe",IF(AND(I537="Pago tarjeta",IFERROR(INDEX(ctaTipo,MATCH(G537,ctaNom,0)),"")&lt;&gt;"Tarjeta de crédito"),"⚠ «Hacia» debe ser la tarjeta",IF(AND(I537="Trading",IFERROR(INDEX(ctaTipo,MATCH(E537,ctaNom,0)),"")&lt;&gt;"Cuenta de trading"),"⚠ Usa la cuenta de trading","✓"))))))))))))</f>
        <v/>
      </c>
      <c r="I537" s="19">
        <f>IF(OR(B537="",C537="",D537=""),"",IFERROR(INDEX(catTipo,MATCH(D537,catNom,0))&amp;"",""))</f>
        <v/>
      </c>
      <c r="J537" s="19">
        <f>IF(I537="","",IFERROR(INDEX(catGrupo,MATCH(D537,catNom,0))&amp;"",""))</f>
        <v/>
      </c>
      <c r="K537" s="19">
        <f>IF(I537="Gasto",IF(IFERROR(INDEX(catClas,MATCH(D537,catNom,0))&amp;"","")="","Variable",IFERROR(INDEX(catClas,MATCH(D537,catNom,0))&amp;"","")),"")</f>
        <v/>
      </c>
      <c r="L537" s="19">
        <f>IF(I537="","",IFERROR(INDEX(catAlim,MATCH(D537,catNom,0))&amp;"",""))</f>
        <v/>
      </c>
      <c r="M537" s="19">
        <f>IF(I537="","",IFERROR(INDEX(catComida,MATCH(D537,catNom,0))&amp;"",""))</f>
        <v/>
      </c>
      <c r="N537" s="19">
        <f>IF(I537="","",IFERROR(INDEX(ctaMon,MATCH(E537,ctaNom,0))&amp;"","DOP"))</f>
        <v/>
      </c>
      <c r="O537" s="20">
        <f>IF(I537="","",C537*IF(N537="USD",TasaUSD,1))</f>
        <v/>
      </c>
      <c r="P537" s="20">
        <f>IF(I537="","",IF(I537="Gasto",O537,0))</f>
        <v/>
      </c>
      <c r="Q537" s="20">
        <f>IF(I537="","",IF(I537="Ingreso",O537,0))</f>
        <v/>
      </c>
      <c r="R537" s="20">
        <f>IF(I537="","",IF(I537="Trading",O537,0))</f>
        <v/>
      </c>
      <c r="S537" s="19">
        <f>IF(I537="","",IF(AND(I537="Gasto",K537="Variable",J537&lt;&gt;"Trading",O537&gt;0,O537&lt;=Umbral),1,0))</f>
        <v/>
      </c>
      <c r="T537" s="20">
        <f>IF(OR(I537="",E537=""),"",IF(OR(I537="Gasto",I537="Transferencia",I537="Pago tarjeta"),-1,1)*C537)</f>
        <v/>
      </c>
      <c r="U537" s="20">
        <f>IF(OR(G537="",AND(I537&lt;&gt;"Transferencia",I537&lt;&gt;"Pago tarjeta")),"",IF(IFERROR(INDEX(ctaMon,MATCH(G537,ctaNom,0))&amp;"","DOP")=N537,C537,IF(N537="USD",C537*TasaUSD,C537/TasaUSD)))</f>
        <v/>
      </c>
      <c r="V537" s="20">
        <f>IF(I537="","",IF(IFERROR(INDEX(ctaLiq,MATCH(E537,ctaNom,0))="Sí",FALSE),IF(OR(I537="Gasto",I537="Transferencia",I537="Pago tarjeta"),-1,1)*O537,0)+IF(AND(U537&lt;&gt;"",IFERROR(INDEX(ctaLiq,MATCH(G537,ctaNom,0))="Sí",FALSE)),O537,0))</f>
        <v/>
      </c>
      <c r="W537" s="19">
        <f>IF(OR(F537="",I537=""),"",IF(COUNTIFS(F$6:F537,F537,I$6:I537,"?*")=1,MAX(W$5:W536)+1,""))</f>
        <v/>
      </c>
    </row>
    <row r="538">
      <c r="B538" s="15" t="n"/>
      <c r="C538" s="16" t="n"/>
      <c r="D538" s="17" t="n"/>
      <c r="E538" s="17" t="n"/>
      <c r="F538" s="17" t="n"/>
      <c r="G538" s="17" t="n"/>
      <c r="H538" s="18">
        <f>IF(AND(B538="",C538="",D538="",E538=""),"",IF(B538="","⚠ Falta fecha",IF(C538="","⚠ Falta monto",IF(D538="","⚠ Falta categoría",IF(ISNA(MATCH(D538,catNom,0)),"⚠ Categoría no existe",IF(E538="","⚠ Falta cuenta",IF(ISNA(MATCH(E538,ctaNom,0)),"⚠ Cuenta no existe",IF(AND(OR(I538="Transferencia",I538="Pago tarjeta"),G538=""),"⚠ Indica la cuenta «Hacia»",IF(AND(G538&lt;&gt;"",G538=E538),"⚠ «Hacia» igual a la cuenta",IF(AND(G538&lt;&gt;"",ISNA(MATCH(G538,ctaNom,0))),"⚠ «Hacia» no existe",IF(AND(I538="Pago tarjeta",IFERROR(INDEX(ctaTipo,MATCH(G538,ctaNom,0)),"")&lt;&gt;"Tarjeta de crédito"),"⚠ «Hacia» debe ser la tarjeta",IF(AND(I538="Trading",IFERROR(INDEX(ctaTipo,MATCH(E538,ctaNom,0)),"")&lt;&gt;"Cuenta de trading"),"⚠ Usa la cuenta de trading","✓"))))))))))))</f>
        <v/>
      </c>
      <c r="I538" s="19">
        <f>IF(OR(B538="",C538="",D538=""),"",IFERROR(INDEX(catTipo,MATCH(D538,catNom,0))&amp;"",""))</f>
        <v/>
      </c>
      <c r="J538" s="19">
        <f>IF(I538="","",IFERROR(INDEX(catGrupo,MATCH(D538,catNom,0))&amp;"",""))</f>
        <v/>
      </c>
      <c r="K538" s="19">
        <f>IF(I538="Gasto",IF(IFERROR(INDEX(catClas,MATCH(D538,catNom,0))&amp;"","")="","Variable",IFERROR(INDEX(catClas,MATCH(D538,catNom,0))&amp;"","")),"")</f>
        <v/>
      </c>
      <c r="L538" s="19">
        <f>IF(I538="","",IFERROR(INDEX(catAlim,MATCH(D538,catNom,0))&amp;"",""))</f>
        <v/>
      </c>
      <c r="M538" s="19">
        <f>IF(I538="","",IFERROR(INDEX(catComida,MATCH(D538,catNom,0))&amp;"",""))</f>
        <v/>
      </c>
      <c r="N538" s="19">
        <f>IF(I538="","",IFERROR(INDEX(ctaMon,MATCH(E538,ctaNom,0))&amp;"","DOP"))</f>
        <v/>
      </c>
      <c r="O538" s="20">
        <f>IF(I538="","",C538*IF(N538="USD",TasaUSD,1))</f>
        <v/>
      </c>
      <c r="P538" s="20">
        <f>IF(I538="","",IF(I538="Gasto",O538,0))</f>
        <v/>
      </c>
      <c r="Q538" s="20">
        <f>IF(I538="","",IF(I538="Ingreso",O538,0))</f>
        <v/>
      </c>
      <c r="R538" s="20">
        <f>IF(I538="","",IF(I538="Trading",O538,0))</f>
        <v/>
      </c>
      <c r="S538" s="19">
        <f>IF(I538="","",IF(AND(I538="Gasto",K538="Variable",J538&lt;&gt;"Trading",O538&gt;0,O538&lt;=Umbral),1,0))</f>
        <v/>
      </c>
      <c r="T538" s="20">
        <f>IF(OR(I538="",E538=""),"",IF(OR(I538="Gasto",I538="Transferencia",I538="Pago tarjeta"),-1,1)*C538)</f>
        <v/>
      </c>
      <c r="U538" s="20">
        <f>IF(OR(G538="",AND(I538&lt;&gt;"Transferencia",I538&lt;&gt;"Pago tarjeta")),"",IF(IFERROR(INDEX(ctaMon,MATCH(G538,ctaNom,0))&amp;"","DOP")=N538,C538,IF(N538="USD",C538*TasaUSD,C538/TasaUSD)))</f>
        <v/>
      </c>
      <c r="V538" s="20">
        <f>IF(I538="","",IF(IFERROR(INDEX(ctaLiq,MATCH(E538,ctaNom,0))="Sí",FALSE),IF(OR(I538="Gasto",I538="Transferencia",I538="Pago tarjeta"),-1,1)*O538,0)+IF(AND(U538&lt;&gt;"",IFERROR(INDEX(ctaLiq,MATCH(G538,ctaNom,0))="Sí",FALSE)),O538,0))</f>
        <v/>
      </c>
      <c r="W538" s="19">
        <f>IF(OR(F538="",I538=""),"",IF(COUNTIFS(F$6:F538,F538,I$6:I538,"?*")=1,MAX(W$5:W537)+1,""))</f>
        <v/>
      </c>
    </row>
    <row r="539">
      <c r="B539" s="15" t="n"/>
      <c r="C539" s="16" t="n"/>
      <c r="D539" s="17" t="n"/>
      <c r="E539" s="17" t="n"/>
      <c r="F539" s="17" t="n"/>
      <c r="G539" s="17" t="n"/>
      <c r="H539" s="18">
        <f>IF(AND(B539="",C539="",D539="",E539=""),"",IF(B539="","⚠ Falta fecha",IF(C539="","⚠ Falta monto",IF(D539="","⚠ Falta categoría",IF(ISNA(MATCH(D539,catNom,0)),"⚠ Categoría no existe",IF(E539="","⚠ Falta cuenta",IF(ISNA(MATCH(E539,ctaNom,0)),"⚠ Cuenta no existe",IF(AND(OR(I539="Transferencia",I539="Pago tarjeta"),G539=""),"⚠ Indica la cuenta «Hacia»",IF(AND(G539&lt;&gt;"",G539=E539),"⚠ «Hacia» igual a la cuenta",IF(AND(G539&lt;&gt;"",ISNA(MATCH(G539,ctaNom,0))),"⚠ «Hacia» no existe",IF(AND(I539="Pago tarjeta",IFERROR(INDEX(ctaTipo,MATCH(G539,ctaNom,0)),"")&lt;&gt;"Tarjeta de crédito"),"⚠ «Hacia» debe ser la tarjeta",IF(AND(I539="Trading",IFERROR(INDEX(ctaTipo,MATCH(E539,ctaNom,0)),"")&lt;&gt;"Cuenta de trading"),"⚠ Usa la cuenta de trading","✓"))))))))))))</f>
        <v/>
      </c>
      <c r="I539" s="19">
        <f>IF(OR(B539="",C539="",D539=""),"",IFERROR(INDEX(catTipo,MATCH(D539,catNom,0))&amp;"",""))</f>
        <v/>
      </c>
      <c r="J539" s="19">
        <f>IF(I539="","",IFERROR(INDEX(catGrupo,MATCH(D539,catNom,0))&amp;"",""))</f>
        <v/>
      </c>
      <c r="K539" s="19">
        <f>IF(I539="Gasto",IF(IFERROR(INDEX(catClas,MATCH(D539,catNom,0))&amp;"","")="","Variable",IFERROR(INDEX(catClas,MATCH(D539,catNom,0))&amp;"","")),"")</f>
        <v/>
      </c>
      <c r="L539" s="19">
        <f>IF(I539="","",IFERROR(INDEX(catAlim,MATCH(D539,catNom,0))&amp;"",""))</f>
        <v/>
      </c>
      <c r="M539" s="19">
        <f>IF(I539="","",IFERROR(INDEX(catComida,MATCH(D539,catNom,0))&amp;"",""))</f>
        <v/>
      </c>
      <c r="N539" s="19">
        <f>IF(I539="","",IFERROR(INDEX(ctaMon,MATCH(E539,ctaNom,0))&amp;"","DOP"))</f>
        <v/>
      </c>
      <c r="O539" s="20">
        <f>IF(I539="","",C539*IF(N539="USD",TasaUSD,1))</f>
        <v/>
      </c>
      <c r="P539" s="20">
        <f>IF(I539="","",IF(I539="Gasto",O539,0))</f>
        <v/>
      </c>
      <c r="Q539" s="20">
        <f>IF(I539="","",IF(I539="Ingreso",O539,0))</f>
        <v/>
      </c>
      <c r="R539" s="20">
        <f>IF(I539="","",IF(I539="Trading",O539,0))</f>
        <v/>
      </c>
      <c r="S539" s="19">
        <f>IF(I539="","",IF(AND(I539="Gasto",K539="Variable",J539&lt;&gt;"Trading",O539&gt;0,O539&lt;=Umbral),1,0))</f>
        <v/>
      </c>
      <c r="T539" s="20">
        <f>IF(OR(I539="",E539=""),"",IF(OR(I539="Gasto",I539="Transferencia",I539="Pago tarjeta"),-1,1)*C539)</f>
        <v/>
      </c>
      <c r="U539" s="20">
        <f>IF(OR(G539="",AND(I539&lt;&gt;"Transferencia",I539&lt;&gt;"Pago tarjeta")),"",IF(IFERROR(INDEX(ctaMon,MATCH(G539,ctaNom,0))&amp;"","DOP")=N539,C539,IF(N539="USD",C539*TasaUSD,C539/TasaUSD)))</f>
        <v/>
      </c>
      <c r="V539" s="20">
        <f>IF(I539="","",IF(IFERROR(INDEX(ctaLiq,MATCH(E539,ctaNom,0))="Sí",FALSE),IF(OR(I539="Gasto",I539="Transferencia",I539="Pago tarjeta"),-1,1)*O539,0)+IF(AND(U539&lt;&gt;"",IFERROR(INDEX(ctaLiq,MATCH(G539,ctaNom,0))="Sí",FALSE)),O539,0))</f>
        <v/>
      </c>
      <c r="W539" s="19">
        <f>IF(OR(F539="",I539=""),"",IF(COUNTIFS(F$6:F539,F539,I$6:I539,"?*")=1,MAX(W$5:W538)+1,""))</f>
        <v/>
      </c>
    </row>
    <row r="540">
      <c r="B540" s="15" t="n"/>
      <c r="C540" s="16" t="n"/>
      <c r="D540" s="17" t="n"/>
      <c r="E540" s="17" t="n"/>
      <c r="F540" s="17" t="n"/>
      <c r="G540" s="17" t="n"/>
      <c r="H540" s="18">
        <f>IF(AND(B540="",C540="",D540="",E540=""),"",IF(B540="","⚠ Falta fecha",IF(C540="","⚠ Falta monto",IF(D540="","⚠ Falta categoría",IF(ISNA(MATCH(D540,catNom,0)),"⚠ Categoría no existe",IF(E540="","⚠ Falta cuenta",IF(ISNA(MATCH(E540,ctaNom,0)),"⚠ Cuenta no existe",IF(AND(OR(I540="Transferencia",I540="Pago tarjeta"),G540=""),"⚠ Indica la cuenta «Hacia»",IF(AND(G540&lt;&gt;"",G540=E540),"⚠ «Hacia» igual a la cuenta",IF(AND(G540&lt;&gt;"",ISNA(MATCH(G540,ctaNom,0))),"⚠ «Hacia» no existe",IF(AND(I540="Pago tarjeta",IFERROR(INDEX(ctaTipo,MATCH(G540,ctaNom,0)),"")&lt;&gt;"Tarjeta de crédito"),"⚠ «Hacia» debe ser la tarjeta",IF(AND(I540="Trading",IFERROR(INDEX(ctaTipo,MATCH(E540,ctaNom,0)),"")&lt;&gt;"Cuenta de trading"),"⚠ Usa la cuenta de trading","✓"))))))))))))</f>
        <v/>
      </c>
      <c r="I540" s="19">
        <f>IF(OR(B540="",C540="",D540=""),"",IFERROR(INDEX(catTipo,MATCH(D540,catNom,0))&amp;"",""))</f>
        <v/>
      </c>
      <c r="J540" s="19">
        <f>IF(I540="","",IFERROR(INDEX(catGrupo,MATCH(D540,catNom,0))&amp;"",""))</f>
        <v/>
      </c>
      <c r="K540" s="19">
        <f>IF(I540="Gasto",IF(IFERROR(INDEX(catClas,MATCH(D540,catNom,0))&amp;"","")="","Variable",IFERROR(INDEX(catClas,MATCH(D540,catNom,0))&amp;"","")),"")</f>
        <v/>
      </c>
      <c r="L540" s="19">
        <f>IF(I540="","",IFERROR(INDEX(catAlim,MATCH(D540,catNom,0))&amp;"",""))</f>
        <v/>
      </c>
      <c r="M540" s="19">
        <f>IF(I540="","",IFERROR(INDEX(catComida,MATCH(D540,catNom,0))&amp;"",""))</f>
        <v/>
      </c>
      <c r="N540" s="19">
        <f>IF(I540="","",IFERROR(INDEX(ctaMon,MATCH(E540,ctaNom,0))&amp;"","DOP"))</f>
        <v/>
      </c>
      <c r="O540" s="20">
        <f>IF(I540="","",C540*IF(N540="USD",TasaUSD,1))</f>
        <v/>
      </c>
      <c r="P540" s="20">
        <f>IF(I540="","",IF(I540="Gasto",O540,0))</f>
        <v/>
      </c>
      <c r="Q540" s="20">
        <f>IF(I540="","",IF(I540="Ingreso",O540,0))</f>
        <v/>
      </c>
      <c r="R540" s="20">
        <f>IF(I540="","",IF(I540="Trading",O540,0))</f>
        <v/>
      </c>
      <c r="S540" s="19">
        <f>IF(I540="","",IF(AND(I540="Gasto",K540="Variable",J540&lt;&gt;"Trading",O540&gt;0,O540&lt;=Umbral),1,0))</f>
        <v/>
      </c>
      <c r="T540" s="20">
        <f>IF(OR(I540="",E540=""),"",IF(OR(I540="Gasto",I540="Transferencia",I540="Pago tarjeta"),-1,1)*C540)</f>
        <v/>
      </c>
      <c r="U540" s="20">
        <f>IF(OR(G540="",AND(I540&lt;&gt;"Transferencia",I540&lt;&gt;"Pago tarjeta")),"",IF(IFERROR(INDEX(ctaMon,MATCH(G540,ctaNom,0))&amp;"","DOP")=N540,C540,IF(N540="USD",C540*TasaUSD,C540/TasaUSD)))</f>
        <v/>
      </c>
      <c r="V540" s="20">
        <f>IF(I540="","",IF(IFERROR(INDEX(ctaLiq,MATCH(E540,ctaNom,0))="Sí",FALSE),IF(OR(I540="Gasto",I540="Transferencia",I540="Pago tarjeta"),-1,1)*O540,0)+IF(AND(U540&lt;&gt;"",IFERROR(INDEX(ctaLiq,MATCH(G540,ctaNom,0))="Sí",FALSE)),O540,0))</f>
        <v/>
      </c>
      <c r="W540" s="19">
        <f>IF(OR(F540="",I540=""),"",IF(COUNTIFS(F$6:F540,F540,I$6:I540,"?*")=1,MAX(W$5:W539)+1,""))</f>
        <v/>
      </c>
    </row>
    <row r="541">
      <c r="B541" s="15" t="n"/>
      <c r="C541" s="16" t="n"/>
      <c r="D541" s="17" t="n"/>
      <c r="E541" s="17" t="n"/>
      <c r="F541" s="17" t="n"/>
      <c r="G541" s="17" t="n"/>
      <c r="H541" s="18">
        <f>IF(AND(B541="",C541="",D541="",E541=""),"",IF(B541="","⚠ Falta fecha",IF(C541="","⚠ Falta monto",IF(D541="","⚠ Falta categoría",IF(ISNA(MATCH(D541,catNom,0)),"⚠ Categoría no existe",IF(E541="","⚠ Falta cuenta",IF(ISNA(MATCH(E541,ctaNom,0)),"⚠ Cuenta no existe",IF(AND(OR(I541="Transferencia",I541="Pago tarjeta"),G541=""),"⚠ Indica la cuenta «Hacia»",IF(AND(G541&lt;&gt;"",G541=E541),"⚠ «Hacia» igual a la cuenta",IF(AND(G541&lt;&gt;"",ISNA(MATCH(G541,ctaNom,0))),"⚠ «Hacia» no existe",IF(AND(I541="Pago tarjeta",IFERROR(INDEX(ctaTipo,MATCH(G541,ctaNom,0)),"")&lt;&gt;"Tarjeta de crédito"),"⚠ «Hacia» debe ser la tarjeta",IF(AND(I541="Trading",IFERROR(INDEX(ctaTipo,MATCH(E541,ctaNom,0)),"")&lt;&gt;"Cuenta de trading"),"⚠ Usa la cuenta de trading","✓"))))))))))))</f>
        <v/>
      </c>
      <c r="I541" s="19">
        <f>IF(OR(B541="",C541="",D541=""),"",IFERROR(INDEX(catTipo,MATCH(D541,catNom,0))&amp;"",""))</f>
        <v/>
      </c>
      <c r="J541" s="19">
        <f>IF(I541="","",IFERROR(INDEX(catGrupo,MATCH(D541,catNom,0))&amp;"",""))</f>
        <v/>
      </c>
      <c r="K541" s="19">
        <f>IF(I541="Gasto",IF(IFERROR(INDEX(catClas,MATCH(D541,catNom,0))&amp;"","")="","Variable",IFERROR(INDEX(catClas,MATCH(D541,catNom,0))&amp;"","")),"")</f>
        <v/>
      </c>
      <c r="L541" s="19">
        <f>IF(I541="","",IFERROR(INDEX(catAlim,MATCH(D541,catNom,0))&amp;"",""))</f>
        <v/>
      </c>
      <c r="M541" s="19">
        <f>IF(I541="","",IFERROR(INDEX(catComida,MATCH(D541,catNom,0))&amp;"",""))</f>
        <v/>
      </c>
      <c r="N541" s="19">
        <f>IF(I541="","",IFERROR(INDEX(ctaMon,MATCH(E541,ctaNom,0))&amp;"","DOP"))</f>
        <v/>
      </c>
      <c r="O541" s="20">
        <f>IF(I541="","",C541*IF(N541="USD",TasaUSD,1))</f>
        <v/>
      </c>
      <c r="P541" s="20">
        <f>IF(I541="","",IF(I541="Gasto",O541,0))</f>
        <v/>
      </c>
      <c r="Q541" s="20">
        <f>IF(I541="","",IF(I541="Ingreso",O541,0))</f>
        <v/>
      </c>
      <c r="R541" s="20">
        <f>IF(I541="","",IF(I541="Trading",O541,0))</f>
        <v/>
      </c>
      <c r="S541" s="19">
        <f>IF(I541="","",IF(AND(I541="Gasto",K541="Variable",J541&lt;&gt;"Trading",O541&gt;0,O541&lt;=Umbral),1,0))</f>
        <v/>
      </c>
      <c r="T541" s="20">
        <f>IF(OR(I541="",E541=""),"",IF(OR(I541="Gasto",I541="Transferencia",I541="Pago tarjeta"),-1,1)*C541)</f>
        <v/>
      </c>
      <c r="U541" s="20">
        <f>IF(OR(G541="",AND(I541&lt;&gt;"Transferencia",I541&lt;&gt;"Pago tarjeta")),"",IF(IFERROR(INDEX(ctaMon,MATCH(G541,ctaNom,0))&amp;"","DOP")=N541,C541,IF(N541="USD",C541*TasaUSD,C541/TasaUSD)))</f>
        <v/>
      </c>
      <c r="V541" s="20">
        <f>IF(I541="","",IF(IFERROR(INDEX(ctaLiq,MATCH(E541,ctaNom,0))="Sí",FALSE),IF(OR(I541="Gasto",I541="Transferencia",I541="Pago tarjeta"),-1,1)*O541,0)+IF(AND(U541&lt;&gt;"",IFERROR(INDEX(ctaLiq,MATCH(G541,ctaNom,0))="Sí",FALSE)),O541,0))</f>
        <v/>
      </c>
      <c r="W541" s="19">
        <f>IF(OR(F541="",I541=""),"",IF(COUNTIFS(F$6:F541,F541,I$6:I541,"?*")=1,MAX(W$5:W540)+1,""))</f>
        <v/>
      </c>
    </row>
    <row r="542">
      <c r="B542" s="15" t="n"/>
      <c r="C542" s="16" t="n"/>
      <c r="D542" s="17" t="n"/>
      <c r="E542" s="17" t="n"/>
      <c r="F542" s="17" t="n"/>
      <c r="G542" s="17" t="n"/>
      <c r="H542" s="18">
        <f>IF(AND(B542="",C542="",D542="",E542=""),"",IF(B542="","⚠ Falta fecha",IF(C542="","⚠ Falta monto",IF(D542="","⚠ Falta categoría",IF(ISNA(MATCH(D542,catNom,0)),"⚠ Categoría no existe",IF(E542="","⚠ Falta cuenta",IF(ISNA(MATCH(E542,ctaNom,0)),"⚠ Cuenta no existe",IF(AND(OR(I542="Transferencia",I542="Pago tarjeta"),G542=""),"⚠ Indica la cuenta «Hacia»",IF(AND(G542&lt;&gt;"",G542=E542),"⚠ «Hacia» igual a la cuenta",IF(AND(G542&lt;&gt;"",ISNA(MATCH(G542,ctaNom,0))),"⚠ «Hacia» no existe",IF(AND(I542="Pago tarjeta",IFERROR(INDEX(ctaTipo,MATCH(G542,ctaNom,0)),"")&lt;&gt;"Tarjeta de crédito"),"⚠ «Hacia» debe ser la tarjeta",IF(AND(I542="Trading",IFERROR(INDEX(ctaTipo,MATCH(E542,ctaNom,0)),"")&lt;&gt;"Cuenta de trading"),"⚠ Usa la cuenta de trading","✓"))))))))))))</f>
        <v/>
      </c>
      <c r="I542" s="19">
        <f>IF(OR(B542="",C542="",D542=""),"",IFERROR(INDEX(catTipo,MATCH(D542,catNom,0))&amp;"",""))</f>
        <v/>
      </c>
      <c r="J542" s="19">
        <f>IF(I542="","",IFERROR(INDEX(catGrupo,MATCH(D542,catNom,0))&amp;"",""))</f>
        <v/>
      </c>
      <c r="K542" s="19">
        <f>IF(I542="Gasto",IF(IFERROR(INDEX(catClas,MATCH(D542,catNom,0))&amp;"","")="","Variable",IFERROR(INDEX(catClas,MATCH(D542,catNom,0))&amp;"","")),"")</f>
        <v/>
      </c>
      <c r="L542" s="19">
        <f>IF(I542="","",IFERROR(INDEX(catAlim,MATCH(D542,catNom,0))&amp;"",""))</f>
        <v/>
      </c>
      <c r="M542" s="19">
        <f>IF(I542="","",IFERROR(INDEX(catComida,MATCH(D542,catNom,0))&amp;"",""))</f>
        <v/>
      </c>
      <c r="N542" s="19">
        <f>IF(I542="","",IFERROR(INDEX(ctaMon,MATCH(E542,ctaNom,0))&amp;"","DOP"))</f>
        <v/>
      </c>
      <c r="O542" s="20">
        <f>IF(I542="","",C542*IF(N542="USD",TasaUSD,1))</f>
        <v/>
      </c>
      <c r="P542" s="20">
        <f>IF(I542="","",IF(I542="Gasto",O542,0))</f>
        <v/>
      </c>
      <c r="Q542" s="20">
        <f>IF(I542="","",IF(I542="Ingreso",O542,0))</f>
        <v/>
      </c>
      <c r="R542" s="20">
        <f>IF(I542="","",IF(I542="Trading",O542,0))</f>
        <v/>
      </c>
      <c r="S542" s="19">
        <f>IF(I542="","",IF(AND(I542="Gasto",K542="Variable",J542&lt;&gt;"Trading",O542&gt;0,O542&lt;=Umbral),1,0))</f>
        <v/>
      </c>
      <c r="T542" s="20">
        <f>IF(OR(I542="",E542=""),"",IF(OR(I542="Gasto",I542="Transferencia",I542="Pago tarjeta"),-1,1)*C542)</f>
        <v/>
      </c>
      <c r="U542" s="20">
        <f>IF(OR(G542="",AND(I542&lt;&gt;"Transferencia",I542&lt;&gt;"Pago tarjeta")),"",IF(IFERROR(INDEX(ctaMon,MATCH(G542,ctaNom,0))&amp;"","DOP")=N542,C542,IF(N542="USD",C542*TasaUSD,C542/TasaUSD)))</f>
        <v/>
      </c>
      <c r="V542" s="20">
        <f>IF(I542="","",IF(IFERROR(INDEX(ctaLiq,MATCH(E542,ctaNom,0))="Sí",FALSE),IF(OR(I542="Gasto",I542="Transferencia",I542="Pago tarjeta"),-1,1)*O542,0)+IF(AND(U542&lt;&gt;"",IFERROR(INDEX(ctaLiq,MATCH(G542,ctaNom,0))="Sí",FALSE)),O542,0))</f>
        <v/>
      </c>
      <c r="W542" s="19">
        <f>IF(OR(F542="",I542=""),"",IF(COUNTIFS(F$6:F542,F542,I$6:I542,"?*")=1,MAX(W$5:W541)+1,""))</f>
        <v/>
      </c>
    </row>
    <row r="543">
      <c r="B543" s="15" t="n"/>
      <c r="C543" s="16" t="n"/>
      <c r="D543" s="17" t="n"/>
      <c r="E543" s="17" t="n"/>
      <c r="F543" s="17" t="n"/>
      <c r="G543" s="17" t="n"/>
      <c r="H543" s="18">
        <f>IF(AND(B543="",C543="",D543="",E543=""),"",IF(B543="","⚠ Falta fecha",IF(C543="","⚠ Falta monto",IF(D543="","⚠ Falta categoría",IF(ISNA(MATCH(D543,catNom,0)),"⚠ Categoría no existe",IF(E543="","⚠ Falta cuenta",IF(ISNA(MATCH(E543,ctaNom,0)),"⚠ Cuenta no existe",IF(AND(OR(I543="Transferencia",I543="Pago tarjeta"),G543=""),"⚠ Indica la cuenta «Hacia»",IF(AND(G543&lt;&gt;"",G543=E543),"⚠ «Hacia» igual a la cuenta",IF(AND(G543&lt;&gt;"",ISNA(MATCH(G543,ctaNom,0))),"⚠ «Hacia» no existe",IF(AND(I543="Pago tarjeta",IFERROR(INDEX(ctaTipo,MATCH(G543,ctaNom,0)),"")&lt;&gt;"Tarjeta de crédito"),"⚠ «Hacia» debe ser la tarjeta",IF(AND(I543="Trading",IFERROR(INDEX(ctaTipo,MATCH(E543,ctaNom,0)),"")&lt;&gt;"Cuenta de trading"),"⚠ Usa la cuenta de trading","✓"))))))))))))</f>
        <v/>
      </c>
      <c r="I543" s="19">
        <f>IF(OR(B543="",C543="",D543=""),"",IFERROR(INDEX(catTipo,MATCH(D543,catNom,0))&amp;"",""))</f>
        <v/>
      </c>
      <c r="J543" s="19">
        <f>IF(I543="","",IFERROR(INDEX(catGrupo,MATCH(D543,catNom,0))&amp;"",""))</f>
        <v/>
      </c>
      <c r="K543" s="19">
        <f>IF(I543="Gasto",IF(IFERROR(INDEX(catClas,MATCH(D543,catNom,0))&amp;"","")="","Variable",IFERROR(INDEX(catClas,MATCH(D543,catNom,0))&amp;"","")),"")</f>
        <v/>
      </c>
      <c r="L543" s="19">
        <f>IF(I543="","",IFERROR(INDEX(catAlim,MATCH(D543,catNom,0))&amp;"",""))</f>
        <v/>
      </c>
      <c r="M543" s="19">
        <f>IF(I543="","",IFERROR(INDEX(catComida,MATCH(D543,catNom,0))&amp;"",""))</f>
        <v/>
      </c>
      <c r="N543" s="19">
        <f>IF(I543="","",IFERROR(INDEX(ctaMon,MATCH(E543,ctaNom,0))&amp;"","DOP"))</f>
        <v/>
      </c>
      <c r="O543" s="20">
        <f>IF(I543="","",C543*IF(N543="USD",TasaUSD,1))</f>
        <v/>
      </c>
      <c r="P543" s="20">
        <f>IF(I543="","",IF(I543="Gasto",O543,0))</f>
        <v/>
      </c>
      <c r="Q543" s="20">
        <f>IF(I543="","",IF(I543="Ingreso",O543,0))</f>
        <v/>
      </c>
      <c r="R543" s="20">
        <f>IF(I543="","",IF(I543="Trading",O543,0))</f>
        <v/>
      </c>
      <c r="S543" s="19">
        <f>IF(I543="","",IF(AND(I543="Gasto",K543="Variable",J543&lt;&gt;"Trading",O543&gt;0,O543&lt;=Umbral),1,0))</f>
        <v/>
      </c>
      <c r="T543" s="20">
        <f>IF(OR(I543="",E543=""),"",IF(OR(I543="Gasto",I543="Transferencia",I543="Pago tarjeta"),-1,1)*C543)</f>
        <v/>
      </c>
      <c r="U543" s="20">
        <f>IF(OR(G543="",AND(I543&lt;&gt;"Transferencia",I543&lt;&gt;"Pago tarjeta")),"",IF(IFERROR(INDEX(ctaMon,MATCH(G543,ctaNom,0))&amp;"","DOP")=N543,C543,IF(N543="USD",C543*TasaUSD,C543/TasaUSD)))</f>
        <v/>
      </c>
      <c r="V543" s="20">
        <f>IF(I543="","",IF(IFERROR(INDEX(ctaLiq,MATCH(E543,ctaNom,0))="Sí",FALSE),IF(OR(I543="Gasto",I543="Transferencia",I543="Pago tarjeta"),-1,1)*O543,0)+IF(AND(U543&lt;&gt;"",IFERROR(INDEX(ctaLiq,MATCH(G543,ctaNom,0))="Sí",FALSE)),O543,0))</f>
        <v/>
      </c>
      <c r="W543" s="19">
        <f>IF(OR(F543="",I543=""),"",IF(COUNTIFS(F$6:F543,F543,I$6:I543,"?*")=1,MAX(W$5:W542)+1,""))</f>
        <v/>
      </c>
    </row>
    <row r="544">
      <c r="B544" s="15" t="n"/>
      <c r="C544" s="16" t="n"/>
      <c r="D544" s="17" t="n"/>
      <c r="E544" s="17" t="n"/>
      <c r="F544" s="17" t="n"/>
      <c r="G544" s="17" t="n"/>
      <c r="H544" s="18">
        <f>IF(AND(B544="",C544="",D544="",E544=""),"",IF(B544="","⚠ Falta fecha",IF(C544="","⚠ Falta monto",IF(D544="","⚠ Falta categoría",IF(ISNA(MATCH(D544,catNom,0)),"⚠ Categoría no existe",IF(E544="","⚠ Falta cuenta",IF(ISNA(MATCH(E544,ctaNom,0)),"⚠ Cuenta no existe",IF(AND(OR(I544="Transferencia",I544="Pago tarjeta"),G544=""),"⚠ Indica la cuenta «Hacia»",IF(AND(G544&lt;&gt;"",G544=E544),"⚠ «Hacia» igual a la cuenta",IF(AND(G544&lt;&gt;"",ISNA(MATCH(G544,ctaNom,0))),"⚠ «Hacia» no existe",IF(AND(I544="Pago tarjeta",IFERROR(INDEX(ctaTipo,MATCH(G544,ctaNom,0)),"")&lt;&gt;"Tarjeta de crédito"),"⚠ «Hacia» debe ser la tarjeta",IF(AND(I544="Trading",IFERROR(INDEX(ctaTipo,MATCH(E544,ctaNom,0)),"")&lt;&gt;"Cuenta de trading"),"⚠ Usa la cuenta de trading","✓"))))))))))))</f>
        <v/>
      </c>
      <c r="I544" s="19">
        <f>IF(OR(B544="",C544="",D544=""),"",IFERROR(INDEX(catTipo,MATCH(D544,catNom,0))&amp;"",""))</f>
        <v/>
      </c>
      <c r="J544" s="19">
        <f>IF(I544="","",IFERROR(INDEX(catGrupo,MATCH(D544,catNom,0))&amp;"",""))</f>
        <v/>
      </c>
      <c r="K544" s="19">
        <f>IF(I544="Gasto",IF(IFERROR(INDEX(catClas,MATCH(D544,catNom,0))&amp;"","")="","Variable",IFERROR(INDEX(catClas,MATCH(D544,catNom,0))&amp;"","")),"")</f>
        <v/>
      </c>
      <c r="L544" s="19">
        <f>IF(I544="","",IFERROR(INDEX(catAlim,MATCH(D544,catNom,0))&amp;"",""))</f>
        <v/>
      </c>
      <c r="M544" s="19">
        <f>IF(I544="","",IFERROR(INDEX(catComida,MATCH(D544,catNom,0))&amp;"",""))</f>
        <v/>
      </c>
      <c r="N544" s="19">
        <f>IF(I544="","",IFERROR(INDEX(ctaMon,MATCH(E544,ctaNom,0))&amp;"","DOP"))</f>
        <v/>
      </c>
      <c r="O544" s="20">
        <f>IF(I544="","",C544*IF(N544="USD",TasaUSD,1))</f>
        <v/>
      </c>
      <c r="P544" s="20">
        <f>IF(I544="","",IF(I544="Gasto",O544,0))</f>
        <v/>
      </c>
      <c r="Q544" s="20">
        <f>IF(I544="","",IF(I544="Ingreso",O544,0))</f>
        <v/>
      </c>
      <c r="R544" s="20">
        <f>IF(I544="","",IF(I544="Trading",O544,0))</f>
        <v/>
      </c>
      <c r="S544" s="19">
        <f>IF(I544="","",IF(AND(I544="Gasto",K544="Variable",J544&lt;&gt;"Trading",O544&gt;0,O544&lt;=Umbral),1,0))</f>
        <v/>
      </c>
      <c r="T544" s="20">
        <f>IF(OR(I544="",E544=""),"",IF(OR(I544="Gasto",I544="Transferencia",I544="Pago tarjeta"),-1,1)*C544)</f>
        <v/>
      </c>
      <c r="U544" s="20">
        <f>IF(OR(G544="",AND(I544&lt;&gt;"Transferencia",I544&lt;&gt;"Pago tarjeta")),"",IF(IFERROR(INDEX(ctaMon,MATCH(G544,ctaNom,0))&amp;"","DOP")=N544,C544,IF(N544="USD",C544*TasaUSD,C544/TasaUSD)))</f>
        <v/>
      </c>
      <c r="V544" s="20">
        <f>IF(I544="","",IF(IFERROR(INDEX(ctaLiq,MATCH(E544,ctaNom,0))="Sí",FALSE),IF(OR(I544="Gasto",I544="Transferencia",I544="Pago tarjeta"),-1,1)*O544,0)+IF(AND(U544&lt;&gt;"",IFERROR(INDEX(ctaLiq,MATCH(G544,ctaNom,0))="Sí",FALSE)),O544,0))</f>
        <v/>
      </c>
      <c r="W544" s="19">
        <f>IF(OR(F544="",I544=""),"",IF(COUNTIFS(F$6:F544,F544,I$6:I544,"?*")=1,MAX(W$5:W543)+1,""))</f>
        <v/>
      </c>
    </row>
    <row r="545">
      <c r="B545" s="15" t="n"/>
      <c r="C545" s="16" t="n"/>
      <c r="D545" s="17" t="n"/>
      <c r="E545" s="17" t="n"/>
      <c r="F545" s="17" t="n"/>
      <c r="G545" s="17" t="n"/>
      <c r="H545" s="18">
        <f>IF(AND(B545="",C545="",D545="",E545=""),"",IF(B545="","⚠ Falta fecha",IF(C545="","⚠ Falta monto",IF(D545="","⚠ Falta categoría",IF(ISNA(MATCH(D545,catNom,0)),"⚠ Categoría no existe",IF(E545="","⚠ Falta cuenta",IF(ISNA(MATCH(E545,ctaNom,0)),"⚠ Cuenta no existe",IF(AND(OR(I545="Transferencia",I545="Pago tarjeta"),G545=""),"⚠ Indica la cuenta «Hacia»",IF(AND(G545&lt;&gt;"",G545=E545),"⚠ «Hacia» igual a la cuenta",IF(AND(G545&lt;&gt;"",ISNA(MATCH(G545,ctaNom,0))),"⚠ «Hacia» no existe",IF(AND(I545="Pago tarjeta",IFERROR(INDEX(ctaTipo,MATCH(G545,ctaNom,0)),"")&lt;&gt;"Tarjeta de crédito"),"⚠ «Hacia» debe ser la tarjeta",IF(AND(I545="Trading",IFERROR(INDEX(ctaTipo,MATCH(E545,ctaNom,0)),"")&lt;&gt;"Cuenta de trading"),"⚠ Usa la cuenta de trading","✓"))))))))))))</f>
        <v/>
      </c>
      <c r="I545" s="19">
        <f>IF(OR(B545="",C545="",D545=""),"",IFERROR(INDEX(catTipo,MATCH(D545,catNom,0))&amp;"",""))</f>
        <v/>
      </c>
      <c r="J545" s="19">
        <f>IF(I545="","",IFERROR(INDEX(catGrupo,MATCH(D545,catNom,0))&amp;"",""))</f>
        <v/>
      </c>
      <c r="K545" s="19">
        <f>IF(I545="Gasto",IF(IFERROR(INDEX(catClas,MATCH(D545,catNom,0))&amp;"","")="","Variable",IFERROR(INDEX(catClas,MATCH(D545,catNom,0))&amp;"","")),"")</f>
        <v/>
      </c>
      <c r="L545" s="19">
        <f>IF(I545="","",IFERROR(INDEX(catAlim,MATCH(D545,catNom,0))&amp;"",""))</f>
        <v/>
      </c>
      <c r="M545" s="19">
        <f>IF(I545="","",IFERROR(INDEX(catComida,MATCH(D545,catNom,0))&amp;"",""))</f>
        <v/>
      </c>
      <c r="N545" s="19">
        <f>IF(I545="","",IFERROR(INDEX(ctaMon,MATCH(E545,ctaNom,0))&amp;"","DOP"))</f>
        <v/>
      </c>
      <c r="O545" s="20">
        <f>IF(I545="","",C545*IF(N545="USD",TasaUSD,1))</f>
        <v/>
      </c>
      <c r="P545" s="20">
        <f>IF(I545="","",IF(I545="Gasto",O545,0))</f>
        <v/>
      </c>
      <c r="Q545" s="20">
        <f>IF(I545="","",IF(I545="Ingreso",O545,0))</f>
        <v/>
      </c>
      <c r="R545" s="20">
        <f>IF(I545="","",IF(I545="Trading",O545,0))</f>
        <v/>
      </c>
      <c r="S545" s="19">
        <f>IF(I545="","",IF(AND(I545="Gasto",K545="Variable",J545&lt;&gt;"Trading",O545&gt;0,O545&lt;=Umbral),1,0))</f>
        <v/>
      </c>
      <c r="T545" s="20">
        <f>IF(OR(I545="",E545=""),"",IF(OR(I545="Gasto",I545="Transferencia",I545="Pago tarjeta"),-1,1)*C545)</f>
        <v/>
      </c>
      <c r="U545" s="20">
        <f>IF(OR(G545="",AND(I545&lt;&gt;"Transferencia",I545&lt;&gt;"Pago tarjeta")),"",IF(IFERROR(INDEX(ctaMon,MATCH(G545,ctaNom,0))&amp;"","DOP")=N545,C545,IF(N545="USD",C545*TasaUSD,C545/TasaUSD)))</f>
        <v/>
      </c>
      <c r="V545" s="20">
        <f>IF(I545="","",IF(IFERROR(INDEX(ctaLiq,MATCH(E545,ctaNom,0))="Sí",FALSE),IF(OR(I545="Gasto",I545="Transferencia",I545="Pago tarjeta"),-1,1)*O545,0)+IF(AND(U545&lt;&gt;"",IFERROR(INDEX(ctaLiq,MATCH(G545,ctaNom,0))="Sí",FALSE)),O545,0))</f>
        <v/>
      </c>
      <c r="W545" s="19">
        <f>IF(OR(F545="",I545=""),"",IF(COUNTIFS(F$6:F545,F545,I$6:I545,"?*")=1,MAX(W$5:W544)+1,""))</f>
        <v/>
      </c>
    </row>
    <row r="546">
      <c r="B546" s="15" t="n"/>
      <c r="C546" s="16" t="n"/>
      <c r="D546" s="17" t="n"/>
      <c r="E546" s="17" t="n"/>
      <c r="F546" s="17" t="n"/>
      <c r="G546" s="17" t="n"/>
      <c r="H546" s="18">
        <f>IF(AND(B546="",C546="",D546="",E546=""),"",IF(B546="","⚠ Falta fecha",IF(C546="","⚠ Falta monto",IF(D546="","⚠ Falta categoría",IF(ISNA(MATCH(D546,catNom,0)),"⚠ Categoría no existe",IF(E546="","⚠ Falta cuenta",IF(ISNA(MATCH(E546,ctaNom,0)),"⚠ Cuenta no existe",IF(AND(OR(I546="Transferencia",I546="Pago tarjeta"),G546=""),"⚠ Indica la cuenta «Hacia»",IF(AND(G546&lt;&gt;"",G546=E546),"⚠ «Hacia» igual a la cuenta",IF(AND(G546&lt;&gt;"",ISNA(MATCH(G546,ctaNom,0))),"⚠ «Hacia» no existe",IF(AND(I546="Pago tarjeta",IFERROR(INDEX(ctaTipo,MATCH(G546,ctaNom,0)),"")&lt;&gt;"Tarjeta de crédito"),"⚠ «Hacia» debe ser la tarjeta",IF(AND(I546="Trading",IFERROR(INDEX(ctaTipo,MATCH(E546,ctaNom,0)),"")&lt;&gt;"Cuenta de trading"),"⚠ Usa la cuenta de trading","✓"))))))))))))</f>
        <v/>
      </c>
      <c r="I546" s="19">
        <f>IF(OR(B546="",C546="",D546=""),"",IFERROR(INDEX(catTipo,MATCH(D546,catNom,0))&amp;"",""))</f>
        <v/>
      </c>
      <c r="J546" s="19">
        <f>IF(I546="","",IFERROR(INDEX(catGrupo,MATCH(D546,catNom,0))&amp;"",""))</f>
        <v/>
      </c>
      <c r="K546" s="19">
        <f>IF(I546="Gasto",IF(IFERROR(INDEX(catClas,MATCH(D546,catNom,0))&amp;"","")="","Variable",IFERROR(INDEX(catClas,MATCH(D546,catNom,0))&amp;"","")),"")</f>
        <v/>
      </c>
      <c r="L546" s="19">
        <f>IF(I546="","",IFERROR(INDEX(catAlim,MATCH(D546,catNom,0))&amp;"",""))</f>
        <v/>
      </c>
      <c r="M546" s="19">
        <f>IF(I546="","",IFERROR(INDEX(catComida,MATCH(D546,catNom,0))&amp;"",""))</f>
        <v/>
      </c>
      <c r="N546" s="19">
        <f>IF(I546="","",IFERROR(INDEX(ctaMon,MATCH(E546,ctaNom,0))&amp;"","DOP"))</f>
        <v/>
      </c>
      <c r="O546" s="20">
        <f>IF(I546="","",C546*IF(N546="USD",TasaUSD,1))</f>
        <v/>
      </c>
      <c r="P546" s="20">
        <f>IF(I546="","",IF(I546="Gasto",O546,0))</f>
        <v/>
      </c>
      <c r="Q546" s="20">
        <f>IF(I546="","",IF(I546="Ingreso",O546,0))</f>
        <v/>
      </c>
      <c r="R546" s="20">
        <f>IF(I546="","",IF(I546="Trading",O546,0))</f>
        <v/>
      </c>
      <c r="S546" s="19">
        <f>IF(I546="","",IF(AND(I546="Gasto",K546="Variable",J546&lt;&gt;"Trading",O546&gt;0,O546&lt;=Umbral),1,0))</f>
        <v/>
      </c>
      <c r="T546" s="20">
        <f>IF(OR(I546="",E546=""),"",IF(OR(I546="Gasto",I546="Transferencia",I546="Pago tarjeta"),-1,1)*C546)</f>
        <v/>
      </c>
      <c r="U546" s="20">
        <f>IF(OR(G546="",AND(I546&lt;&gt;"Transferencia",I546&lt;&gt;"Pago tarjeta")),"",IF(IFERROR(INDEX(ctaMon,MATCH(G546,ctaNom,0))&amp;"","DOP")=N546,C546,IF(N546="USD",C546*TasaUSD,C546/TasaUSD)))</f>
        <v/>
      </c>
      <c r="V546" s="20">
        <f>IF(I546="","",IF(IFERROR(INDEX(ctaLiq,MATCH(E546,ctaNom,0))="Sí",FALSE),IF(OR(I546="Gasto",I546="Transferencia",I546="Pago tarjeta"),-1,1)*O546,0)+IF(AND(U546&lt;&gt;"",IFERROR(INDEX(ctaLiq,MATCH(G546,ctaNom,0))="Sí",FALSE)),O546,0))</f>
        <v/>
      </c>
      <c r="W546" s="19">
        <f>IF(OR(F546="",I546=""),"",IF(COUNTIFS(F$6:F546,F546,I$6:I546,"?*")=1,MAX(W$5:W545)+1,""))</f>
        <v/>
      </c>
    </row>
    <row r="547">
      <c r="B547" s="15" t="n"/>
      <c r="C547" s="16" t="n"/>
      <c r="D547" s="17" t="n"/>
      <c r="E547" s="17" t="n"/>
      <c r="F547" s="17" t="n"/>
      <c r="G547" s="17" t="n"/>
      <c r="H547" s="18">
        <f>IF(AND(B547="",C547="",D547="",E547=""),"",IF(B547="","⚠ Falta fecha",IF(C547="","⚠ Falta monto",IF(D547="","⚠ Falta categoría",IF(ISNA(MATCH(D547,catNom,0)),"⚠ Categoría no existe",IF(E547="","⚠ Falta cuenta",IF(ISNA(MATCH(E547,ctaNom,0)),"⚠ Cuenta no existe",IF(AND(OR(I547="Transferencia",I547="Pago tarjeta"),G547=""),"⚠ Indica la cuenta «Hacia»",IF(AND(G547&lt;&gt;"",G547=E547),"⚠ «Hacia» igual a la cuenta",IF(AND(G547&lt;&gt;"",ISNA(MATCH(G547,ctaNom,0))),"⚠ «Hacia» no existe",IF(AND(I547="Pago tarjeta",IFERROR(INDEX(ctaTipo,MATCH(G547,ctaNom,0)),"")&lt;&gt;"Tarjeta de crédito"),"⚠ «Hacia» debe ser la tarjeta",IF(AND(I547="Trading",IFERROR(INDEX(ctaTipo,MATCH(E547,ctaNom,0)),"")&lt;&gt;"Cuenta de trading"),"⚠ Usa la cuenta de trading","✓"))))))))))))</f>
        <v/>
      </c>
      <c r="I547" s="19">
        <f>IF(OR(B547="",C547="",D547=""),"",IFERROR(INDEX(catTipo,MATCH(D547,catNom,0))&amp;"",""))</f>
        <v/>
      </c>
      <c r="J547" s="19">
        <f>IF(I547="","",IFERROR(INDEX(catGrupo,MATCH(D547,catNom,0))&amp;"",""))</f>
        <v/>
      </c>
      <c r="K547" s="19">
        <f>IF(I547="Gasto",IF(IFERROR(INDEX(catClas,MATCH(D547,catNom,0))&amp;"","")="","Variable",IFERROR(INDEX(catClas,MATCH(D547,catNom,0))&amp;"","")),"")</f>
        <v/>
      </c>
      <c r="L547" s="19">
        <f>IF(I547="","",IFERROR(INDEX(catAlim,MATCH(D547,catNom,0))&amp;"",""))</f>
        <v/>
      </c>
      <c r="M547" s="19">
        <f>IF(I547="","",IFERROR(INDEX(catComida,MATCH(D547,catNom,0))&amp;"",""))</f>
        <v/>
      </c>
      <c r="N547" s="19">
        <f>IF(I547="","",IFERROR(INDEX(ctaMon,MATCH(E547,ctaNom,0))&amp;"","DOP"))</f>
        <v/>
      </c>
      <c r="O547" s="20">
        <f>IF(I547="","",C547*IF(N547="USD",TasaUSD,1))</f>
        <v/>
      </c>
      <c r="P547" s="20">
        <f>IF(I547="","",IF(I547="Gasto",O547,0))</f>
        <v/>
      </c>
      <c r="Q547" s="20">
        <f>IF(I547="","",IF(I547="Ingreso",O547,0))</f>
        <v/>
      </c>
      <c r="R547" s="20">
        <f>IF(I547="","",IF(I547="Trading",O547,0))</f>
        <v/>
      </c>
      <c r="S547" s="19">
        <f>IF(I547="","",IF(AND(I547="Gasto",K547="Variable",J547&lt;&gt;"Trading",O547&gt;0,O547&lt;=Umbral),1,0))</f>
        <v/>
      </c>
      <c r="T547" s="20">
        <f>IF(OR(I547="",E547=""),"",IF(OR(I547="Gasto",I547="Transferencia",I547="Pago tarjeta"),-1,1)*C547)</f>
        <v/>
      </c>
      <c r="U547" s="20">
        <f>IF(OR(G547="",AND(I547&lt;&gt;"Transferencia",I547&lt;&gt;"Pago tarjeta")),"",IF(IFERROR(INDEX(ctaMon,MATCH(G547,ctaNom,0))&amp;"","DOP")=N547,C547,IF(N547="USD",C547*TasaUSD,C547/TasaUSD)))</f>
        <v/>
      </c>
      <c r="V547" s="20">
        <f>IF(I547="","",IF(IFERROR(INDEX(ctaLiq,MATCH(E547,ctaNom,0))="Sí",FALSE),IF(OR(I547="Gasto",I547="Transferencia",I547="Pago tarjeta"),-1,1)*O547,0)+IF(AND(U547&lt;&gt;"",IFERROR(INDEX(ctaLiq,MATCH(G547,ctaNom,0))="Sí",FALSE)),O547,0))</f>
        <v/>
      </c>
      <c r="W547" s="19">
        <f>IF(OR(F547="",I547=""),"",IF(COUNTIFS(F$6:F547,F547,I$6:I547,"?*")=1,MAX(W$5:W546)+1,""))</f>
        <v/>
      </c>
    </row>
    <row r="548">
      <c r="B548" s="15" t="n"/>
      <c r="C548" s="16" t="n"/>
      <c r="D548" s="17" t="n"/>
      <c r="E548" s="17" t="n"/>
      <c r="F548" s="17" t="n"/>
      <c r="G548" s="17" t="n"/>
      <c r="H548" s="18">
        <f>IF(AND(B548="",C548="",D548="",E548=""),"",IF(B548="","⚠ Falta fecha",IF(C548="","⚠ Falta monto",IF(D548="","⚠ Falta categoría",IF(ISNA(MATCH(D548,catNom,0)),"⚠ Categoría no existe",IF(E548="","⚠ Falta cuenta",IF(ISNA(MATCH(E548,ctaNom,0)),"⚠ Cuenta no existe",IF(AND(OR(I548="Transferencia",I548="Pago tarjeta"),G548=""),"⚠ Indica la cuenta «Hacia»",IF(AND(G548&lt;&gt;"",G548=E548),"⚠ «Hacia» igual a la cuenta",IF(AND(G548&lt;&gt;"",ISNA(MATCH(G548,ctaNom,0))),"⚠ «Hacia» no existe",IF(AND(I548="Pago tarjeta",IFERROR(INDEX(ctaTipo,MATCH(G548,ctaNom,0)),"")&lt;&gt;"Tarjeta de crédito"),"⚠ «Hacia» debe ser la tarjeta",IF(AND(I548="Trading",IFERROR(INDEX(ctaTipo,MATCH(E548,ctaNom,0)),"")&lt;&gt;"Cuenta de trading"),"⚠ Usa la cuenta de trading","✓"))))))))))))</f>
        <v/>
      </c>
      <c r="I548" s="19">
        <f>IF(OR(B548="",C548="",D548=""),"",IFERROR(INDEX(catTipo,MATCH(D548,catNom,0))&amp;"",""))</f>
        <v/>
      </c>
      <c r="J548" s="19">
        <f>IF(I548="","",IFERROR(INDEX(catGrupo,MATCH(D548,catNom,0))&amp;"",""))</f>
        <v/>
      </c>
      <c r="K548" s="19">
        <f>IF(I548="Gasto",IF(IFERROR(INDEX(catClas,MATCH(D548,catNom,0))&amp;"","")="","Variable",IFERROR(INDEX(catClas,MATCH(D548,catNom,0))&amp;"","")),"")</f>
        <v/>
      </c>
      <c r="L548" s="19">
        <f>IF(I548="","",IFERROR(INDEX(catAlim,MATCH(D548,catNom,0))&amp;"",""))</f>
        <v/>
      </c>
      <c r="M548" s="19">
        <f>IF(I548="","",IFERROR(INDEX(catComida,MATCH(D548,catNom,0))&amp;"",""))</f>
        <v/>
      </c>
      <c r="N548" s="19">
        <f>IF(I548="","",IFERROR(INDEX(ctaMon,MATCH(E548,ctaNom,0))&amp;"","DOP"))</f>
        <v/>
      </c>
      <c r="O548" s="20">
        <f>IF(I548="","",C548*IF(N548="USD",TasaUSD,1))</f>
        <v/>
      </c>
      <c r="P548" s="20">
        <f>IF(I548="","",IF(I548="Gasto",O548,0))</f>
        <v/>
      </c>
      <c r="Q548" s="20">
        <f>IF(I548="","",IF(I548="Ingreso",O548,0))</f>
        <v/>
      </c>
      <c r="R548" s="20">
        <f>IF(I548="","",IF(I548="Trading",O548,0))</f>
        <v/>
      </c>
      <c r="S548" s="19">
        <f>IF(I548="","",IF(AND(I548="Gasto",K548="Variable",J548&lt;&gt;"Trading",O548&gt;0,O548&lt;=Umbral),1,0))</f>
        <v/>
      </c>
      <c r="T548" s="20">
        <f>IF(OR(I548="",E548=""),"",IF(OR(I548="Gasto",I548="Transferencia",I548="Pago tarjeta"),-1,1)*C548)</f>
        <v/>
      </c>
      <c r="U548" s="20">
        <f>IF(OR(G548="",AND(I548&lt;&gt;"Transferencia",I548&lt;&gt;"Pago tarjeta")),"",IF(IFERROR(INDEX(ctaMon,MATCH(G548,ctaNom,0))&amp;"","DOP")=N548,C548,IF(N548="USD",C548*TasaUSD,C548/TasaUSD)))</f>
        <v/>
      </c>
      <c r="V548" s="20">
        <f>IF(I548="","",IF(IFERROR(INDEX(ctaLiq,MATCH(E548,ctaNom,0))="Sí",FALSE),IF(OR(I548="Gasto",I548="Transferencia",I548="Pago tarjeta"),-1,1)*O548,0)+IF(AND(U548&lt;&gt;"",IFERROR(INDEX(ctaLiq,MATCH(G548,ctaNom,0))="Sí",FALSE)),O548,0))</f>
        <v/>
      </c>
      <c r="W548" s="19">
        <f>IF(OR(F548="",I548=""),"",IF(COUNTIFS(F$6:F548,F548,I$6:I548,"?*")=1,MAX(W$5:W547)+1,""))</f>
        <v/>
      </c>
    </row>
    <row r="549">
      <c r="B549" s="15" t="n"/>
      <c r="C549" s="16" t="n"/>
      <c r="D549" s="17" t="n"/>
      <c r="E549" s="17" t="n"/>
      <c r="F549" s="17" t="n"/>
      <c r="G549" s="17" t="n"/>
      <c r="H549" s="18">
        <f>IF(AND(B549="",C549="",D549="",E549=""),"",IF(B549="","⚠ Falta fecha",IF(C549="","⚠ Falta monto",IF(D549="","⚠ Falta categoría",IF(ISNA(MATCH(D549,catNom,0)),"⚠ Categoría no existe",IF(E549="","⚠ Falta cuenta",IF(ISNA(MATCH(E549,ctaNom,0)),"⚠ Cuenta no existe",IF(AND(OR(I549="Transferencia",I549="Pago tarjeta"),G549=""),"⚠ Indica la cuenta «Hacia»",IF(AND(G549&lt;&gt;"",G549=E549),"⚠ «Hacia» igual a la cuenta",IF(AND(G549&lt;&gt;"",ISNA(MATCH(G549,ctaNom,0))),"⚠ «Hacia» no existe",IF(AND(I549="Pago tarjeta",IFERROR(INDEX(ctaTipo,MATCH(G549,ctaNom,0)),"")&lt;&gt;"Tarjeta de crédito"),"⚠ «Hacia» debe ser la tarjeta",IF(AND(I549="Trading",IFERROR(INDEX(ctaTipo,MATCH(E549,ctaNom,0)),"")&lt;&gt;"Cuenta de trading"),"⚠ Usa la cuenta de trading","✓"))))))))))))</f>
        <v/>
      </c>
      <c r="I549" s="19">
        <f>IF(OR(B549="",C549="",D549=""),"",IFERROR(INDEX(catTipo,MATCH(D549,catNom,0))&amp;"",""))</f>
        <v/>
      </c>
      <c r="J549" s="19">
        <f>IF(I549="","",IFERROR(INDEX(catGrupo,MATCH(D549,catNom,0))&amp;"",""))</f>
        <v/>
      </c>
      <c r="K549" s="19">
        <f>IF(I549="Gasto",IF(IFERROR(INDEX(catClas,MATCH(D549,catNom,0))&amp;"","")="","Variable",IFERROR(INDEX(catClas,MATCH(D549,catNom,0))&amp;"","")),"")</f>
        <v/>
      </c>
      <c r="L549" s="19">
        <f>IF(I549="","",IFERROR(INDEX(catAlim,MATCH(D549,catNom,0))&amp;"",""))</f>
        <v/>
      </c>
      <c r="M549" s="19">
        <f>IF(I549="","",IFERROR(INDEX(catComida,MATCH(D549,catNom,0))&amp;"",""))</f>
        <v/>
      </c>
      <c r="N549" s="19">
        <f>IF(I549="","",IFERROR(INDEX(ctaMon,MATCH(E549,ctaNom,0))&amp;"","DOP"))</f>
        <v/>
      </c>
      <c r="O549" s="20">
        <f>IF(I549="","",C549*IF(N549="USD",TasaUSD,1))</f>
        <v/>
      </c>
      <c r="P549" s="20">
        <f>IF(I549="","",IF(I549="Gasto",O549,0))</f>
        <v/>
      </c>
      <c r="Q549" s="20">
        <f>IF(I549="","",IF(I549="Ingreso",O549,0))</f>
        <v/>
      </c>
      <c r="R549" s="20">
        <f>IF(I549="","",IF(I549="Trading",O549,0))</f>
        <v/>
      </c>
      <c r="S549" s="19">
        <f>IF(I549="","",IF(AND(I549="Gasto",K549="Variable",J549&lt;&gt;"Trading",O549&gt;0,O549&lt;=Umbral),1,0))</f>
        <v/>
      </c>
      <c r="T549" s="20">
        <f>IF(OR(I549="",E549=""),"",IF(OR(I549="Gasto",I549="Transferencia",I549="Pago tarjeta"),-1,1)*C549)</f>
        <v/>
      </c>
      <c r="U549" s="20">
        <f>IF(OR(G549="",AND(I549&lt;&gt;"Transferencia",I549&lt;&gt;"Pago tarjeta")),"",IF(IFERROR(INDEX(ctaMon,MATCH(G549,ctaNom,0))&amp;"","DOP")=N549,C549,IF(N549="USD",C549*TasaUSD,C549/TasaUSD)))</f>
        <v/>
      </c>
      <c r="V549" s="20">
        <f>IF(I549="","",IF(IFERROR(INDEX(ctaLiq,MATCH(E549,ctaNom,0))="Sí",FALSE),IF(OR(I549="Gasto",I549="Transferencia",I549="Pago tarjeta"),-1,1)*O549,0)+IF(AND(U549&lt;&gt;"",IFERROR(INDEX(ctaLiq,MATCH(G549,ctaNom,0))="Sí",FALSE)),O549,0))</f>
        <v/>
      </c>
      <c r="W549" s="19">
        <f>IF(OR(F549="",I549=""),"",IF(COUNTIFS(F$6:F549,F549,I$6:I549,"?*")=1,MAX(W$5:W548)+1,""))</f>
        <v/>
      </c>
    </row>
    <row r="550">
      <c r="B550" s="15" t="n"/>
      <c r="C550" s="16" t="n"/>
      <c r="D550" s="17" t="n"/>
      <c r="E550" s="17" t="n"/>
      <c r="F550" s="17" t="n"/>
      <c r="G550" s="17" t="n"/>
      <c r="H550" s="18">
        <f>IF(AND(B550="",C550="",D550="",E550=""),"",IF(B550="","⚠ Falta fecha",IF(C550="","⚠ Falta monto",IF(D550="","⚠ Falta categoría",IF(ISNA(MATCH(D550,catNom,0)),"⚠ Categoría no existe",IF(E550="","⚠ Falta cuenta",IF(ISNA(MATCH(E550,ctaNom,0)),"⚠ Cuenta no existe",IF(AND(OR(I550="Transferencia",I550="Pago tarjeta"),G550=""),"⚠ Indica la cuenta «Hacia»",IF(AND(G550&lt;&gt;"",G550=E550),"⚠ «Hacia» igual a la cuenta",IF(AND(G550&lt;&gt;"",ISNA(MATCH(G550,ctaNom,0))),"⚠ «Hacia» no existe",IF(AND(I550="Pago tarjeta",IFERROR(INDEX(ctaTipo,MATCH(G550,ctaNom,0)),"")&lt;&gt;"Tarjeta de crédito"),"⚠ «Hacia» debe ser la tarjeta",IF(AND(I550="Trading",IFERROR(INDEX(ctaTipo,MATCH(E550,ctaNom,0)),"")&lt;&gt;"Cuenta de trading"),"⚠ Usa la cuenta de trading","✓"))))))))))))</f>
        <v/>
      </c>
      <c r="I550" s="19">
        <f>IF(OR(B550="",C550="",D550=""),"",IFERROR(INDEX(catTipo,MATCH(D550,catNom,0))&amp;"",""))</f>
        <v/>
      </c>
      <c r="J550" s="19">
        <f>IF(I550="","",IFERROR(INDEX(catGrupo,MATCH(D550,catNom,0))&amp;"",""))</f>
        <v/>
      </c>
      <c r="K550" s="19">
        <f>IF(I550="Gasto",IF(IFERROR(INDEX(catClas,MATCH(D550,catNom,0))&amp;"","")="","Variable",IFERROR(INDEX(catClas,MATCH(D550,catNom,0))&amp;"","")),"")</f>
        <v/>
      </c>
      <c r="L550" s="19">
        <f>IF(I550="","",IFERROR(INDEX(catAlim,MATCH(D550,catNom,0))&amp;"",""))</f>
        <v/>
      </c>
      <c r="M550" s="19">
        <f>IF(I550="","",IFERROR(INDEX(catComida,MATCH(D550,catNom,0))&amp;"",""))</f>
        <v/>
      </c>
      <c r="N550" s="19">
        <f>IF(I550="","",IFERROR(INDEX(ctaMon,MATCH(E550,ctaNom,0))&amp;"","DOP"))</f>
        <v/>
      </c>
      <c r="O550" s="20">
        <f>IF(I550="","",C550*IF(N550="USD",TasaUSD,1))</f>
        <v/>
      </c>
      <c r="P550" s="20">
        <f>IF(I550="","",IF(I550="Gasto",O550,0))</f>
        <v/>
      </c>
      <c r="Q550" s="20">
        <f>IF(I550="","",IF(I550="Ingreso",O550,0))</f>
        <v/>
      </c>
      <c r="R550" s="20">
        <f>IF(I550="","",IF(I550="Trading",O550,0))</f>
        <v/>
      </c>
      <c r="S550" s="19">
        <f>IF(I550="","",IF(AND(I550="Gasto",K550="Variable",J550&lt;&gt;"Trading",O550&gt;0,O550&lt;=Umbral),1,0))</f>
        <v/>
      </c>
      <c r="T550" s="20">
        <f>IF(OR(I550="",E550=""),"",IF(OR(I550="Gasto",I550="Transferencia",I550="Pago tarjeta"),-1,1)*C550)</f>
        <v/>
      </c>
      <c r="U550" s="20">
        <f>IF(OR(G550="",AND(I550&lt;&gt;"Transferencia",I550&lt;&gt;"Pago tarjeta")),"",IF(IFERROR(INDEX(ctaMon,MATCH(G550,ctaNom,0))&amp;"","DOP")=N550,C550,IF(N550="USD",C550*TasaUSD,C550/TasaUSD)))</f>
        <v/>
      </c>
      <c r="V550" s="20">
        <f>IF(I550="","",IF(IFERROR(INDEX(ctaLiq,MATCH(E550,ctaNom,0))="Sí",FALSE),IF(OR(I550="Gasto",I550="Transferencia",I550="Pago tarjeta"),-1,1)*O550,0)+IF(AND(U550&lt;&gt;"",IFERROR(INDEX(ctaLiq,MATCH(G550,ctaNom,0))="Sí",FALSE)),O550,0))</f>
        <v/>
      </c>
      <c r="W550" s="19">
        <f>IF(OR(F550="",I550=""),"",IF(COUNTIFS(F$6:F550,F550,I$6:I550,"?*")=1,MAX(W$5:W549)+1,""))</f>
        <v/>
      </c>
    </row>
    <row r="551">
      <c r="B551" s="15" t="n"/>
      <c r="C551" s="16" t="n"/>
      <c r="D551" s="17" t="n"/>
      <c r="E551" s="17" t="n"/>
      <c r="F551" s="17" t="n"/>
      <c r="G551" s="17" t="n"/>
      <c r="H551" s="18">
        <f>IF(AND(B551="",C551="",D551="",E551=""),"",IF(B551="","⚠ Falta fecha",IF(C551="","⚠ Falta monto",IF(D551="","⚠ Falta categoría",IF(ISNA(MATCH(D551,catNom,0)),"⚠ Categoría no existe",IF(E551="","⚠ Falta cuenta",IF(ISNA(MATCH(E551,ctaNom,0)),"⚠ Cuenta no existe",IF(AND(OR(I551="Transferencia",I551="Pago tarjeta"),G551=""),"⚠ Indica la cuenta «Hacia»",IF(AND(G551&lt;&gt;"",G551=E551),"⚠ «Hacia» igual a la cuenta",IF(AND(G551&lt;&gt;"",ISNA(MATCH(G551,ctaNom,0))),"⚠ «Hacia» no existe",IF(AND(I551="Pago tarjeta",IFERROR(INDEX(ctaTipo,MATCH(G551,ctaNom,0)),"")&lt;&gt;"Tarjeta de crédito"),"⚠ «Hacia» debe ser la tarjeta",IF(AND(I551="Trading",IFERROR(INDEX(ctaTipo,MATCH(E551,ctaNom,0)),"")&lt;&gt;"Cuenta de trading"),"⚠ Usa la cuenta de trading","✓"))))))))))))</f>
        <v/>
      </c>
      <c r="I551" s="19">
        <f>IF(OR(B551="",C551="",D551=""),"",IFERROR(INDEX(catTipo,MATCH(D551,catNom,0))&amp;"",""))</f>
        <v/>
      </c>
      <c r="J551" s="19">
        <f>IF(I551="","",IFERROR(INDEX(catGrupo,MATCH(D551,catNom,0))&amp;"",""))</f>
        <v/>
      </c>
      <c r="K551" s="19">
        <f>IF(I551="Gasto",IF(IFERROR(INDEX(catClas,MATCH(D551,catNom,0))&amp;"","")="","Variable",IFERROR(INDEX(catClas,MATCH(D551,catNom,0))&amp;"","")),"")</f>
        <v/>
      </c>
      <c r="L551" s="19">
        <f>IF(I551="","",IFERROR(INDEX(catAlim,MATCH(D551,catNom,0))&amp;"",""))</f>
        <v/>
      </c>
      <c r="M551" s="19">
        <f>IF(I551="","",IFERROR(INDEX(catComida,MATCH(D551,catNom,0))&amp;"",""))</f>
        <v/>
      </c>
      <c r="N551" s="19">
        <f>IF(I551="","",IFERROR(INDEX(ctaMon,MATCH(E551,ctaNom,0))&amp;"","DOP"))</f>
        <v/>
      </c>
      <c r="O551" s="20">
        <f>IF(I551="","",C551*IF(N551="USD",TasaUSD,1))</f>
        <v/>
      </c>
      <c r="P551" s="20">
        <f>IF(I551="","",IF(I551="Gasto",O551,0))</f>
        <v/>
      </c>
      <c r="Q551" s="20">
        <f>IF(I551="","",IF(I551="Ingreso",O551,0))</f>
        <v/>
      </c>
      <c r="R551" s="20">
        <f>IF(I551="","",IF(I551="Trading",O551,0))</f>
        <v/>
      </c>
      <c r="S551" s="19">
        <f>IF(I551="","",IF(AND(I551="Gasto",K551="Variable",J551&lt;&gt;"Trading",O551&gt;0,O551&lt;=Umbral),1,0))</f>
        <v/>
      </c>
      <c r="T551" s="20">
        <f>IF(OR(I551="",E551=""),"",IF(OR(I551="Gasto",I551="Transferencia",I551="Pago tarjeta"),-1,1)*C551)</f>
        <v/>
      </c>
      <c r="U551" s="20">
        <f>IF(OR(G551="",AND(I551&lt;&gt;"Transferencia",I551&lt;&gt;"Pago tarjeta")),"",IF(IFERROR(INDEX(ctaMon,MATCH(G551,ctaNom,0))&amp;"","DOP")=N551,C551,IF(N551="USD",C551*TasaUSD,C551/TasaUSD)))</f>
        <v/>
      </c>
      <c r="V551" s="20">
        <f>IF(I551="","",IF(IFERROR(INDEX(ctaLiq,MATCH(E551,ctaNom,0))="Sí",FALSE),IF(OR(I551="Gasto",I551="Transferencia",I551="Pago tarjeta"),-1,1)*O551,0)+IF(AND(U551&lt;&gt;"",IFERROR(INDEX(ctaLiq,MATCH(G551,ctaNom,0))="Sí",FALSE)),O551,0))</f>
        <v/>
      </c>
      <c r="W551" s="19">
        <f>IF(OR(F551="",I551=""),"",IF(COUNTIFS(F$6:F551,F551,I$6:I551,"?*")=1,MAX(W$5:W550)+1,""))</f>
        <v/>
      </c>
    </row>
    <row r="552">
      <c r="B552" s="15" t="n"/>
      <c r="C552" s="16" t="n"/>
      <c r="D552" s="17" t="n"/>
      <c r="E552" s="17" t="n"/>
      <c r="F552" s="17" t="n"/>
      <c r="G552" s="17" t="n"/>
      <c r="H552" s="18">
        <f>IF(AND(B552="",C552="",D552="",E552=""),"",IF(B552="","⚠ Falta fecha",IF(C552="","⚠ Falta monto",IF(D552="","⚠ Falta categoría",IF(ISNA(MATCH(D552,catNom,0)),"⚠ Categoría no existe",IF(E552="","⚠ Falta cuenta",IF(ISNA(MATCH(E552,ctaNom,0)),"⚠ Cuenta no existe",IF(AND(OR(I552="Transferencia",I552="Pago tarjeta"),G552=""),"⚠ Indica la cuenta «Hacia»",IF(AND(G552&lt;&gt;"",G552=E552),"⚠ «Hacia» igual a la cuenta",IF(AND(G552&lt;&gt;"",ISNA(MATCH(G552,ctaNom,0))),"⚠ «Hacia» no existe",IF(AND(I552="Pago tarjeta",IFERROR(INDEX(ctaTipo,MATCH(G552,ctaNom,0)),"")&lt;&gt;"Tarjeta de crédito"),"⚠ «Hacia» debe ser la tarjeta",IF(AND(I552="Trading",IFERROR(INDEX(ctaTipo,MATCH(E552,ctaNom,0)),"")&lt;&gt;"Cuenta de trading"),"⚠ Usa la cuenta de trading","✓"))))))))))))</f>
        <v/>
      </c>
      <c r="I552" s="19">
        <f>IF(OR(B552="",C552="",D552=""),"",IFERROR(INDEX(catTipo,MATCH(D552,catNom,0))&amp;"",""))</f>
        <v/>
      </c>
      <c r="J552" s="19">
        <f>IF(I552="","",IFERROR(INDEX(catGrupo,MATCH(D552,catNom,0))&amp;"",""))</f>
        <v/>
      </c>
      <c r="K552" s="19">
        <f>IF(I552="Gasto",IF(IFERROR(INDEX(catClas,MATCH(D552,catNom,0))&amp;"","")="","Variable",IFERROR(INDEX(catClas,MATCH(D552,catNom,0))&amp;"","")),"")</f>
        <v/>
      </c>
      <c r="L552" s="19">
        <f>IF(I552="","",IFERROR(INDEX(catAlim,MATCH(D552,catNom,0))&amp;"",""))</f>
        <v/>
      </c>
      <c r="M552" s="19">
        <f>IF(I552="","",IFERROR(INDEX(catComida,MATCH(D552,catNom,0))&amp;"",""))</f>
        <v/>
      </c>
      <c r="N552" s="19">
        <f>IF(I552="","",IFERROR(INDEX(ctaMon,MATCH(E552,ctaNom,0))&amp;"","DOP"))</f>
        <v/>
      </c>
      <c r="O552" s="20">
        <f>IF(I552="","",C552*IF(N552="USD",TasaUSD,1))</f>
        <v/>
      </c>
      <c r="P552" s="20">
        <f>IF(I552="","",IF(I552="Gasto",O552,0))</f>
        <v/>
      </c>
      <c r="Q552" s="20">
        <f>IF(I552="","",IF(I552="Ingreso",O552,0))</f>
        <v/>
      </c>
      <c r="R552" s="20">
        <f>IF(I552="","",IF(I552="Trading",O552,0))</f>
        <v/>
      </c>
      <c r="S552" s="19">
        <f>IF(I552="","",IF(AND(I552="Gasto",K552="Variable",J552&lt;&gt;"Trading",O552&gt;0,O552&lt;=Umbral),1,0))</f>
        <v/>
      </c>
      <c r="T552" s="20">
        <f>IF(OR(I552="",E552=""),"",IF(OR(I552="Gasto",I552="Transferencia",I552="Pago tarjeta"),-1,1)*C552)</f>
        <v/>
      </c>
      <c r="U552" s="20">
        <f>IF(OR(G552="",AND(I552&lt;&gt;"Transferencia",I552&lt;&gt;"Pago tarjeta")),"",IF(IFERROR(INDEX(ctaMon,MATCH(G552,ctaNom,0))&amp;"","DOP")=N552,C552,IF(N552="USD",C552*TasaUSD,C552/TasaUSD)))</f>
        <v/>
      </c>
      <c r="V552" s="20">
        <f>IF(I552="","",IF(IFERROR(INDEX(ctaLiq,MATCH(E552,ctaNom,0))="Sí",FALSE),IF(OR(I552="Gasto",I552="Transferencia",I552="Pago tarjeta"),-1,1)*O552,0)+IF(AND(U552&lt;&gt;"",IFERROR(INDEX(ctaLiq,MATCH(G552,ctaNom,0))="Sí",FALSE)),O552,0))</f>
        <v/>
      </c>
      <c r="W552" s="19">
        <f>IF(OR(F552="",I552=""),"",IF(COUNTIFS(F$6:F552,F552,I$6:I552,"?*")=1,MAX(W$5:W551)+1,""))</f>
        <v/>
      </c>
    </row>
    <row r="553">
      <c r="B553" s="15" t="n"/>
      <c r="C553" s="16" t="n"/>
      <c r="D553" s="17" t="n"/>
      <c r="E553" s="17" t="n"/>
      <c r="F553" s="17" t="n"/>
      <c r="G553" s="17" t="n"/>
      <c r="H553" s="18">
        <f>IF(AND(B553="",C553="",D553="",E553=""),"",IF(B553="","⚠ Falta fecha",IF(C553="","⚠ Falta monto",IF(D553="","⚠ Falta categoría",IF(ISNA(MATCH(D553,catNom,0)),"⚠ Categoría no existe",IF(E553="","⚠ Falta cuenta",IF(ISNA(MATCH(E553,ctaNom,0)),"⚠ Cuenta no existe",IF(AND(OR(I553="Transferencia",I553="Pago tarjeta"),G553=""),"⚠ Indica la cuenta «Hacia»",IF(AND(G553&lt;&gt;"",G553=E553),"⚠ «Hacia» igual a la cuenta",IF(AND(G553&lt;&gt;"",ISNA(MATCH(G553,ctaNom,0))),"⚠ «Hacia» no existe",IF(AND(I553="Pago tarjeta",IFERROR(INDEX(ctaTipo,MATCH(G553,ctaNom,0)),"")&lt;&gt;"Tarjeta de crédito"),"⚠ «Hacia» debe ser la tarjeta",IF(AND(I553="Trading",IFERROR(INDEX(ctaTipo,MATCH(E553,ctaNom,0)),"")&lt;&gt;"Cuenta de trading"),"⚠ Usa la cuenta de trading","✓"))))))))))))</f>
        <v/>
      </c>
      <c r="I553" s="19">
        <f>IF(OR(B553="",C553="",D553=""),"",IFERROR(INDEX(catTipo,MATCH(D553,catNom,0))&amp;"",""))</f>
        <v/>
      </c>
      <c r="J553" s="19">
        <f>IF(I553="","",IFERROR(INDEX(catGrupo,MATCH(D553,catNom,0))&amp;"",""))</f>
        <v/>
      </c>
      <c r="K553" s="19">
        <f>IF(I553="Gasto",IF(IFERROR(INDEX(catClas,MATCH(D553,catNom,0))&amp;"","")="","Variable",IFERROR(INDEX(catClas,MATCH(D553,catNom,0))&amp;"","")),"")</f>
        <v/>
      </c>
      <c r="L553" s="19">
        <f>IF(I553="","",IFERROR(INDEX(catAlim,MATCH(D553,catNom,0))&amp;"",""))</f>
        <v/>
      </c>
      <c r="M553" s="19">
        <f>IF(I553="","",IFERROR(INDEX(catComida,MATCH(D553,catNom,0))&amp;"",""))</f>
        <v/>
      </c>
      <c r="N553" s="19">
        <f>IF(I553="","",IFERROR(INDEX(ctaMon,MATCH(E553,ctaNom,0))&amp;"","DOP"))</f>
        <v/>
      </c>
      <c r="O553" s="20">
        <f>IF(I553="","",C553*IF(N553="USD",TasaUSD,1))</f>
        <v/>
      </c>
      <c r="P553" s="20">
        <f>IF(I553="","",IF(I553="Gasto",O553,0))</f>
        <v/>
      </c>
      <c r="Q553" s="20">
        <f>IF(I553="","",IF(I553="Ingreso",O553,0))</f>
        <v/>
      </c>
      <c r="R553" s="20">
        <f>IF(I553="","",IF(I553="Trading",O553,0))</f>
        <v/>
      </c>
      <c r="S553" s="19">
        <f>IF(I553="","",IF(AND(I553="Gasto",K553="Variable",J553&lt;&gt;"Trading",O553&gt;0,O553&lt;=Umbral),1,0))</f>
        <v/>
      </c>
      <c r="T553" s="20">
        <f>IF(OR(I553="",E553=""),"",IF(OR(I553="Gasto",I553="Transferencia",I553="Pago tarjeta"),-1,1)*C553)</f>
        <v/>
      </c>
      <c r="U553" s="20">
        <f>IF(OR(G553="",AND(I553&lt;&gt;"Transferencia",I553&lt;&gt;"Pago tarjeta")),"",IF(IFERROR(INDEX(ctaMon,MATCH(G553,ctaNom,0))&amp;"","DOP")=N553,C553,IF(N553="USD",C553*TasaUSD,C553/TasaUSD)))</f>
        <v/>
      </c>
      <c r="V553" s="20">
        <f>IF(I553="","",IF(IFERROR(INDEX(ctaLiq,MATCH(E553,ctaNom,0))="Sí",FALSE),IF(OR(I553="Gasto",I553="Transferencia",I553="Pago tarjeta"),-1,1)*O553,0)+IF(AND(U553&lt;&gt;"",IFERROR(INDEX(ctaLiq,MATCH(G553,ctaNom,0))="Sí",FALSE)),O553,0))</f>
        <v/>
      </c>
      <c r="W553" s="19">
        <f>IF(OR(F553="",I553=""),"",IF(COUNTIFS(F$6:F553,F553,I$6:I553,"?*")=1,MAX(W$5:W552)+1,""))</f>
        <v/>
      </c>
    </row>
    <row r="554">
      <c r="B554" s="15" t="n"/>
      <c r="C554" s="16" t="n"/>
      <c r="D554" s="17" t="n"/>
      <c r="E554" s="17" t="n"/>
      <c r="F554" s="17" t="n"/>
      <c r="G554" s="17" t="n"/>
      <c r="H554" s="18">
        <f>IF(AND(B554="",C554="",D554="",E554=""),"",IF(B554="","⚠ Falta fecha",IF(C554="","⚠ Falta monto",IF(D554="","⚠ Falta categoría",IF(ISNA(MATCH(D554,catNom,0)),"⚠ Categoría no existe",IF(E554="","⚠ Falta cuenta",IF(ISNA(MATCH(E554,ctaNom,0)),"⚠ Cuenta no existe",IF(AND(OR(I554="Transferencia",I554="Pago tarjeta"),G554=""),"⚠ Indica la cuenta «Hacia»",IF(AND(G554&lt;&gt;"",G554=E554),"⚠ «Hacia» igual a la cuenta",IF(AND(G554&lt;&gt;"",ISNA(MATCH(G554,ctaNom,0))),"⚠ «Hacia» no existe",IF(AND(I554="Pago tarjeta",IFERROR(INDEX(ctaTipo,MATCH(G554,ctaNom,0)),"")&lt;&gt;"Tarjeta de crédito"),"⚠ «Hacia» debe ser la tarjeta",IF(AND(I554="Trading",IFERROR(INDEX(ctaTipo,MATCH(E554,ctaNom,0)),"")&lt;&gt;"Cuenta de trading"),"⚠ Usa la cuenta de trading","✓"))))))))))))</f>
        <v/>
      </c>
      <c r="I554" s="19">
        <f>IF(OR(B554="",C554="",D554=""),"",IFERROR(INDEX(catTipo,MATCH(D554,catNom,0))&amp;"",""))</f>
        <v/>
      </c>
      <c r="J554" s="19">
        <f>IF(I554="","",IFERROR(INDEX(catGrupo,MATCH(D554,catNom,0))&amp;"",""))</f>
        <v/>
      </c>
      <c r="K554" s="19">
        <f>IF(I554="Gasto",IF(IFERROR(INDEX(catClas,MATCH(D554,catNom,0))&amp;"","")="","Variable",IFERROR(INDEX(catClas,MATCH(D554,catNom,0))&amp;"","")),"")</f>
        <v/>
      </c>
      <c r="L554" s="19">
        <f>IF(I554="","",IFERROR(INDEX(catAlim,MATCH(D554,catNom,0))&amp;"",""))</f>
        <v/>
      </c>
      <c r="M554" s="19">
        <f>IF(I554="","",IFERROR(INDEX(catComida,MATCH(D554,catNom,0))&amp;"",""))</f>
        <v/>
      </c>
      <c r="N554" s="19">
        <f>IF(I554="","",IFERROR(INDEX(ctaMon,MATCH(E554,ctaNom,0))&amp;"","DOP"))</f>
        <v/>
      </c>
      <c r="O554" s="20">
        <f>IF(I554="","",C554*IF(N554="USD",TasaUSD,1))</f>
        <v/>
      </c>
      <c r="P554" s="20">
        <f>IF(I554="","",IF(I554="Gasto",O554,0))</f>
        <v/>
      </c>
      <c r="Q554" s="20">
        <f>IF(I554="","",IF(I554="Ingreso",O554,0))</f>
        <v/>
      </c>
      <c r="R554" s="20">
        <f>IF(I554="","",IF(I554="Trading",O554,0))</f>
        <v/>
      </c>
      <c r="S554" s="19">
        <f>IF(I554="","",IF(AND(I554="Gasto",K554="Variable",J554&lt;&gt;"Trading",O554&gt;0,O554&lt;=Umbral),1,0))</f>
        <v/>
      </c>
      <c r="T554" s="20">
        <f>IF(OR(I554="",E554=""),"",IF(OR(I554="Gasto",I554="Transferencia",I554="Pago tarjeta"),-1,1)*C554)</f>
        <v/>
      </c>
      <c r="U554" s="20">
        <f>IF(OR(G554="",AND(I554&lt;&gt;"Transferencia",I554&lt;&gt;"Pago tarjeta")),"",IF(IFERROR(INDEX(ctaMon,MATCH(G554,ctaNom,0))&amp;"","DOP")=N554,C554,IF(N554="USD",C554*TasaUSD,C554/TasaUSD)))</f>
        <v/>
      </c>
      <c r="V554" s="20">
        <f>IF(I554="","",IF(IFERROR(INDEX(ctaLiq,MATCH(E554,ctaNom,0))="Sí",FALSE),IF(OR(I554="Gasto",I554="Transferencia",I554="Pago tarjeta"),-1,1)*O554,0)+IF(AND(U554&lt;&gt;"",IFERROR(INDEX(ctaLiq,MATCH(G554,ctaNom,0))="Sí",FALSE)),O554,0))</f>
        <v/>
      </c>
      <c r="W554" s="19">
        <f>IF(OR(F554="",I554=""),"",IF(COUNTIFS(F$6:F554,F554,I$6:I554,"?*")=1,MAX(W$5:W553)+1,""))</f>
        <v/>
      </c>
    </row>
    <row r="555">
      <c r="B555" s="15" t="n"/>
      <c r="C555" s="16" t="n"/>
      <c r="D555" s="17" t="n"/>
      <c r="E555" s="17" t="n"/>
      <c r="F555" s="17" t="n"/>
      <c r="G555" s="17" t="n"/>
      <c r="H555" s="18">
        <f>IF(AND(B555="",C555="",D555="",E555=""),"",IF(B555="","⚠ Falta fecha",IF(C555="","⚠ Falta monto",IF(D555="","⚠ Falta categoría",IF(ISNA(MATCH(D555,catNom,0)),"⚠ Categoría no existe",IF(E555="","⚠ Falta cuenta",IF(ISNA(MATCH(E555,ctaNom,0)),"⚠ Cuenta no existe",IF(AND(OR(I555="Transferencia",I555="Pago tarjeta"),G555=""),"⚠ Indica la cuenta «Hacia»",IF(AND(G555&lt;&gt;"",G555=E555),"⚠ «Hacia» igual a la cuenta",IF(AND(G555&lt;&gt;"",ISNA(MATCH(G555,ctaNom,0))),"⚠ «Hacia» no existe",IF(AND(I555="Pago tarjeta",IFERROR(INDEX(ctaTipo,MATCH(G555,ctaNom,0)),"")&lt;&gt;"Tarjeta de crédito"),"⚠ «Hacia» debe ser la tarjeta",IF(AND(I555="Trading",IFERROR(INDEX(ctaTipo,MATCH(E555,ctaNom,0)),"")&lt;&gt;"Cuenta de trading"),"⚠ Usa la cuenta de trading","✓"))))))))))))</f>
        <v/>
      </c>
      <c r="I555" s="19">
        <f>IF(OR(B555="",C555="",D555=""),"",IFERROR(INDEX(catTipo,MATCH(D555,catNom,0))&amp;"",""))</f>
        <v/>
      </c>
      <c r="J555" s="19">
        <f>IF(I555="","",IFERROR(INDEX(catGrupo,MATCH(D555,catNom,0))&amp;"",""))</f>
        <v/>
      </c>
      <c r="K555" s="19">
        <f>IF(I555="Gasto",IF(IFERROR(INDEX(catClas,MATCH(D555,catNom,0))&amp;"","")="","Variable",IFERROR(INDEX(catClas,MATCH(D555,catNom,0))&amp;"","")),"")</f>
        <v/>
      </c>
      <c r="L555" s="19">
        <f>IF(I555="","",IFERROR(INDEX(catAlim,MATCH(D555,catNom,0))&amp;"",""))</f>
        <v/>
      </c>
      <c r="M555" s="19">
        <f>IF(I555="","",IFERROR(INDEX(catComida,MATCH(D555,catNom,0))&amp;"",""))</f>
        <v/>
      </c>
      <c r="N555" s="19">
        <f>IF(I555="","",IFERROR(INDEX(ctaMon,MATCH(E555,ctaNom,0))&amp;"","DOP"))</f>
        <v/>
      </c>
      <c r="O555" s="20">
        <f>IF(I555="","",C555*IF(N555="USD",TasaUSD,1))</f>
        <v/>
      </c>
      <c r="P555" s="20">
        <f>IF(I555="","",IF(I555="Gasto",O555,0))</f>
        <v/>
      </c>
      <c r="Q555" s="20">
        <f>IF(I555="","",IF(I555="Ingreso",O555,0))</f>
        <v/>
      </c>
      <c r="R555" s="20">
        <f>IF(I555="","",IF(I555="Trading",O555,0))</f>
        <v/>
      </c>
      <c r="S555" s="19">
        <f>IF(I555="","",IF(AND(I555="Gasto",K555="Variable",J555&lt;&gt;"Trading",O555&gt;0,O555&lt;=Umbral),1,0))</f>
        <v/>
      </c>
      <c r="T555" s="20">
        <f>IF(OR(I555="",E555=""),"",IF(OR(I555="Gasto",I555="Transferencia",I555="Pago tarjeta"),-1,1)*C555)</f>
        <v/>
      </c>
      <c r="U555" s="20">
        <f>IF(OR(G555="",AND(I555&lt;&gt;"Transferencia",I555&lt;&gt;"Pago tarjeta")),"",IF(IFERROR(INDEX(ctaMon,MATCH(G555,ctaNom,0))&amp;"","DOP")=N555,C555,IF(N555="USD",C555*TasaUSD,C555/TasaUSD)))</f>
        <v/>
      </c>
      <c r="V555" s="20">
        <f>IF(I555="","",IF(IFERROR(INDEX(ctaLiq,MATCH(E555,ctaNom,0))="Sí",FALSE),IF(OR(I555="Gasto",I555="Transferencia",I555="Pago tarjeta"),-1,1)*O555,0)+IF(AND(U555&lt;&gt;"",IFERROR(INDEX(ctaLiq,MATCH(G555,ctaNom,0))="Sí",FALSE)),O555,0))</f>
        <v/>
      </c>
      <c r="W555" s="19">
        <f>IF(OR(F555="",I555=""),"",IF(COUNTIFS(F$6:F555,F555,I$6:I555,"?*")=1,MAX(W$5:W554)+1,""))</f>
        <v/>
      </c>
    </row>
    <row r="556">
      <c r="B556" s="15" t="n"/>
      <c r="C556" s="16" t="n"/>
      <c r="D556" s="17" t="n"/>
      <c r="E556" s="17" t="n"/>
      <c r="F556" s="17" t="n"/>
      <c r="G556" s="17" t="n"/>
      <c r="H556" s="18">
        <f>IF(AND(B556="",C556="",D556="",E556=""),"",IF(B556="","⚠ Falta fecha",IF(C556="","⚠ Falta monto",IF(D556="","⚠ Falta categoría",IF(ISNA(MATCH(D556,catNom,0)),"⚠ Categoría no existe",IF(E556="","⚠ Falta cuenta",IF(ISNA(MATCH(E556,ctaNom,0)),"⚠ Cuenta no existe",IF(AND(OR(I556="Transferencia",I556="Pago tarjeta"),G556=""),"⚠ Indica la cuenta «Hacia»",IF(AND(G556&lt;&gt;"",G556=E556),"⚠ «Hacia» igual a la cuenta",IF(AND(G556&lt;&gt;"",ISNA(MATCH(G556,ctaNom,0))),"⚠ «Hacia» no existe",IF(AND(I556="Pago tarjeta",IFERROR(INDEX(ctaTipo,MATCH(G556,ctaNom,0)),"")&lt;&gt;"Tarjeta de crédito"),"⚠ «Hacia» debe ser la tarjeta",IF(AND(I556="Trading",IFERROR(INDEX(ctaTipo,MATCH(E556,ctaNom,0)),"")&lt;&gt;"Cuenta de trading"),"⚠ Usa la cuenta de trading","✓"))))))))))))</f>
        <v/>
      </c>
      <c r="I556" s="19">
        <f>IF(OR(B556="",C556="",D556=""),"",IFERROR(INDEX(catTipo,MATCH(D556,catNom,0))&amp;"",""))</f>
        <v/>
      </c>
      <c r="J556" s="19">
        <f>IF(I556="","",IFERROR(INDEX(catGrupo,MATCH(D556,catNom,0))&amp;"",""))</f>
        <v/>
      </c>
      <c r="K556" s="19">
        <f>IF(I556="Gasto",IF(IFERROR(INDEX(catClas,MATCH(D556,catNom,0))&amp;"","")="","Variable",IFERROR(INDEX(catClas,MATCH(D556,catNom,0))&amp;"","")),"")</f>
        <v/>
      </c>
      <c r="L556" s="19">
        <f>IF(I556="","",IFERROR(INDEX(catAlim,MATCH(D556,catNom,0))&amp;"",""))</f>
        <v/>
      </c>
      <c r="M556" s="19">
        <f>IF(I556="","",IFERROR(INDEX(catComida,MATCH(D556,catNom,0))&amp;"",""))</f>
        <v/>
      </c>
      <c r="N556" s="19">
        <f>IF(I556="","",IFERROR(INDEX(ctaMon,MATCH(E556,ctaNom,0))&amp;"","DOP"))</f>
        <v/>
      </c>
      <c r="O556" s="20">
        <f>IF(I556="","",C556*IF(N556="USD",TasaUSD,1))</f>
        <v/>
      </c>
      <c r="P556" s="20">
        <f>IF(I556="","",IF(I556="Gasto",O556,0))</f>
        <v/>
      </c>
      <c r="Q556" s="20">
        <f>IF(I556="","",IF(I556="Ingreso",O556,0))</f>
        <v/>
      </c>
      <c r="R556" s="20">
        <f>IF(I556="","",IF(I556="Trading",O556,0))</f>
        <v/>
      </c>
      <c r="S556" s="19">
        <f>IF(I556="","",IF(AND(I556="Gasto",K556="Variable",J556&lt;&gt;"Trading",O556&gt;0,O556&lt;=Umbral),1,0))</f>
        <v/>
      </c>
      <c r="T556" s="20">
        <f>IF(OR(I556="",E556=""),"",IF(OR(I556="Gasto",I556="Transferencia",I556="Pago tarjeta"),-1,1)*C556)</f>
        <v/>
      </c>
      <c r="U556" s="20">
        <f>IF(OR(G556="",AND(I556&lt;&gt;"Transferencia",I556&lt;&gt;"Pago tarjeta")),"",IF(IFERROR(INDEX(ctaMon,MATCH(G556,ctaNom,0))&amp;"","DOP")=N556,C556,IF(N556="USD",C556*TasaUSD,C556/TasaUSD)))</f>
        <v/>
      </c>
      <c r="V556" s="20">
        <f>IF(I556="","",IF(IFERROR(INDEX(ctaLiq,MATCH(E556,ctaNom,0))="Sí",FALSE),IF(OR(I556="Gasto",I556="Transferencia",I556="Pago tarjeta"),-1,1)*O556,0)+IF(AND(U556&lt;&gt;"",IFERROR(INDEX(ctaLiq,MATCH(G556,ctaNom,0))="Sí",FALSE)),O556,0))</f>
        <v/>
      </c>
      <c r="W556" s="19">
        <f>IF(OR(F556="",I556=""),"",IF(COUNTIFS(F$6:F556,F556,I$6:I556,"?*")=1,MAX(W$5:W555)+1,""))</f>
        <v/>
      </c>
    </row>
    <row r="557">
      <c r="B557" s="15" t="n"/>
      <c r="C557" s="16" t="n"/>
      <c r="D557" s="17" t="n"/>
      <c r="E557" s="17" t="n"/>
      <c r="F557" s="17" t="n"/>
      <c r="G557" s="17" t="n"/>
      <c r="H557" s="18">
        <f>IF(AND(B557="",C557="",D557="",E557=""),"",IF(B557="","⚠ Falta fecha",IF(C557="","⚠ Falta monto",IF(D557="","⚠ Falta categoría",IF(ISNA(MATCH(D557,catNom,0)),"⚠ Categoría no existe",IF(E557="","⚠ Falta cuenta",IF(ISNA(MATCH(E557,ctaNom,0)),"⚠ Cuenta no existe",IF(AND(OR(I557="Transferencia",I557="Pago tarjeta"),G557=""),"⚠ Indica la cuenta «Hacia»",IF(AND(G557&lt;&gt;"",G557=E557),"⚠ «Hacia» igual a la cuenta",IF(AND(G557&lt;&gt;"",ISNA(MATCH(G557,ctaNom,0))),"⚠ «Hacia» no existe",IF(AND(I557="Pago tarjeta",IFERROR(INDEX(ctaTipo,MATCH(G557,ctaNom,0)),"")&lt;&gt;"Tarjeta de crédito"),"⚠ «Hacia» debe ser la tarjeta",IF(AND(I557="Trading",IFERROR(INDEX(ctaTipo,MATCH(E557,ctaNom,0)),"")&lt;&gt;"Cuenta de trading"),"⚠ Usa la cuenta de trading","✓"))))))))))))</f>
        <v/>
      </c>
      <c r="I557" s="19">
        <f>IF(OR(B557="",C557="",D557=""),"",IFERROR(INDEX(catTipo,MATCH(D557,catNom,0))&amp;"",""))</f>
        <v/>
      </c>
      <c r="J557" s="19">
        <f>IF(I557="","",IFERROR(INDEX(catGrupo,MATCH(D557,catNom,0))&amp;"",""))</f>
        <v/>
      </c>
      <c r="K557" s="19">
        <f>IF(I557="Gasto",IF(IFERROR(INDEX(catClas,MATCH(D557,catNom,0))&amp;"","")="","Variable",IFERROR(INDEX(catClas,MATCH(D557,catNom,0))&amp;"","")),"")</f>
        <v/>
      </c>
      <c r="L557" s="19">
        <f>IF(I557="","",IFERROR(INDEX(catAlim,MATCH(D557,catNom,0))&amp;"",""))</f>
        <v/>
      </c>
      <c r="M557" s="19">
        <f>IF(I557="","",IFERROR(INDEX(catComida,MATCH(D557,catNom,0))&amp;"",""))</f>
        <v/>
      </c>
      <c r="N557" s="19">
        <f>IF(I557="","",IFERROR(INDEX(ctaMon,MATCH(E557,ctaNom,0))&amp;"","DOP"))</f>
        <v/>
      </c>
      <c r="O557" s="20">
        <f>IF(I557="","",C557*IF(N557="USD",TasaUSD,1))</f>
        <v/>
      </c>
      <c r="P557" s="20">
        <f>IF(I557="","",IF(I557="Gasto",O557,0))</f>
        <v/>
      </c>
      <c r="Q557" s="20">
        <f>IF(I557="","",IF(I557="Ingreso",O557,0))</f>
        <v/>
      </c>
      <c r="R557" s="20">
        <f>IF(I557="","",IF(I557="Trading",O557,0))</f>
        <v/>
      </c>
      <c r="S557" s="19">
        <f>IF(I557="","",IF(AND(I557="Gasto",K557="Variable",J557&lt;&gt;"Trading",O557&gt;0,O557&lt;=Umbral),1,0))</f>
        <v/>
      </c>
      <c r="T557" s="20">
        <f>IF(OR(I557="",E557=""),"",IF(OR(I557="Gasto",I557="Transferencia",I557="Pago tarjeta"),-1,1)*C557)</f>
        <v/>
      </c>
      <c r="U557" s="20">
        <f>IF(OR(G557="",AND(I557&lt;&gt;"Transferencia",I557&lt;&gt;"Pago tarjeta")),"",IF(IFERROR(INDEX(ctaMon,MATCH(G557,ctaNom,0))&amp;"","DOP")=N557,C557,IF(N557="USD",C557*TasaUSD,C557/TasaUSD)))</f>
        <v/>
      </c>
      <c r="V557" s="20">
        <f>IF(I557="","",IF(IFERROR(INDEX(ctaLiq,MATCH(E557,ctaNom,0))="Sí",FALSE),IF(OR(I557="Gasto",I557="Transferencia",I557="Pago tarjeta"),-1,1)*O557,0)+IF(AND(U557&lt;&gt;"",IFERROR(INDEX(ctaLiq,MATCH(G557,ctaNom,0))="Sí",FALSE)),O557,0))</f>
        <v/>
      </c>
      <c r="W557" s="19">
        <f>IF(OR(F557="",I557=""),"",IF(COUNTIFS(F$6:F557,F557,I$6:I557,"?*")=1,MAX(W$5:W556)+1,""))</f>
        <v/>
      </c>
    </row>
    <row r="558">
      <c r="B558" s="15" t="n"/>
      <c r="C558" s="16" t="n"/>
      <c r="D558" s="17" t="n"/>
      <c r="E558" s="17" t="n"/>
      <c r="F558" s="17" t="n"/>
      <c r="G558" s="17" t="n"/>
      <c r="H558" s="18">
        <f>IF(AND(B558="",C558="",D558="",E558=""),"",IF(B558="","⚠ Falta fecha",IF(C558="","⚠ Falta monto",IF(D558="","⚠ Falta categoría",IF(ISNA(MATCH(D558,catNom,0)),"⚠ Categoría no existe",IF(E558="","⚠ Falta cuenta",IF(ISNA(MATCH(E558,ctaNom,0)),"⚠ Cuenta no existe",IF(AND(OR(I558="Transferencia",I558="Pago tarjeta"),G558=""),"⚠ Indica la cuenta «Hacia»",IF(AND(G558&lt;&gt;"",G558=E558),"⚠ «Hacia» igual a la cuenta",IF(AND(G558&lt;&gt;"",ISNA(MATCH(G558,ctaNom,0))),"⚠ «Hacia» no existe",IF(AND(I558="Pago tarjeta",IFERROR(INDEX(ctaTipo,MATCH(G558,ctaNom,0)),"")&lt;&gt;"Tarjeta de crédito"),"⚠ «Hacia» debe ser la tarjeta",IF(AND(I558="Trading",IFERROR(INDEX(ctaTipo,MATCH(E558,ctaNom,0)),"")&lt;&gt;"Cuenta de trading"),"⚠ Usa la cuenta de trading","✓"))))))))))))</f>
        <v/>
      </c>
      <c r="I558" s="19">
        <f>IF(OR(B558="",C558="",D558=""),"",IFERROR(INDEX(catTipo,MATCH(D558,catNom,0))&amp;"",""))</f>
        <v/>
      </c>
      <c r="J558" s="19">
        <f>IF(I558="","",IFERROR(INDEX(catGrupo,MATCH(D558,catNom,0))&amp;"",""))</f>
        <v/>
      </c>
      <c r="K558" s="19">
        <f>IF(I558="Gasto",IF(IFERROR(INDEX(catClas,MATCH(D558,catNom,0))&amp;"","")="","Variable",IFERROR(INDEX(catClas,MATCH(D558,catNom,0))&amp;"","")),"")</f>
        <v/>
      </c>
      <c r="L558" s="19">
        <f>IF(I558="","",IFERROR(INDEX(catAlim,MATCH(D558,catNom,0))&amp;"",""))</f>
        <v/>
      </c>
      <c r="M558" s="19">
        <f>IF(I558="","",IFERROR(INDEX(catComida,MATCH(D558,catNom,0))&amp;"",""))</f>
        <v/>
      </c>
      <c r="N558" s="19">
        <f>IF(I558="","",IFERROR(INDEX(ctaMon,MATCH(E558,ctaNom,0))&amp;"","DOP"))</f>
        <v/>
      </c>
      <c r="O558" s="20">
        <f>IF(I558="","",C558*IF(N558="USD",TasaUSD,1))</f>
        <v/>
      </c>
      <c r="P558" s="20">
        <f>IF(I558="","",IF(I558="Gasto",O558,0))</f>
        <v/>
      </c>
      <c r="Q558" s="20">
        <f>IF(I558="","",IF(I558="Ingreso",O558,0))</f>
        <v/>
      </c>
      <c r="R558" s="20">
        <f>IF(I558="","",IF(I558="Trading",O558,0))</f>
        <v/>
      </c>
      <c r="S558" s="19">
        <f>IF(I558="","",IF(AND(I558="Gasto",K558="Variable",J558&lt;&gt;"Trading",O558&gt;0,O558&lt;=Umbral),1,0))</f>
        <v/>
      </c>
      <c r="T558" s="20">
        <f>IF(OR(I558="",E558=""),"",IF(OR(I558="Gasto",I558="Transferencia",I558="Pago tarjeta"),-1,1)*C558)</f>
        <v/>
      </c>
      <c r="U558" s="20">
        <f>IF(OR(G558="",AND(I558&lt;&gt;"Transferencia",I558&lt;&gt;"Pago tarjeta")),"",IF(IFERROR(INDEX(ctaMon,MATCH(G558,ctaNom,0))&amp;"","DOP")=N558,C558,IF(N558="USD",C558*TasaUSD,C558/TasaUSD)))</f>
        <v/>
      </c>
      <c r="V558" s="20">
        <f>IF(I558="","",IF(IFERROR(INDEX(ctaLiq,MATCH(E558,ctaNom,0))="Sí",FALSE),IF(OR(I558="Gasto",I558="Transferencia",I558="Pago tarjeta"),-1,1)*O558,0)+IF(AND(U558&lt;&gt;"",IFERROR(INDEX(ctaLiq,MATCH(G558,ctaNom,0))="Sí",FALSE)),O558,0))</f>
        <v/>
      </c>
      <c r="W558" s="19">
        <f>IF(OR(F558="",I558=""),"",IF(COUNTIFS(F$6:F558,F558,I$6:I558,"?*")=1,MAX(W$5:W557)+1,""))</f>
        <v/>
      </c>
    </row>
    <row r="559">
      <c r="B559" s="15" t="n"/>
      <c r="C559" s="16" t="n"/>
      <c r="D559" s="17" t="n"/>
      <c r="E559" s="17" t="n"/>
      <c r="F559" s="17" t="n"/>
      <c r="G559" s="17" t="n"/>
      <c r="H559" s="18">
        <f>IF(AND(B559="",C559="",D559="",E559=""),"",IF(B559="","⚠ Falta fecha",IF(C559="","⚠ Falta monto",IF(D559="","⚠ Falta categoría",IF(ISNA(MATCH(D559,catNom,0)),"⚠ Categoría no existe",IF(E559="","⚠ Falta cuenta",IF(ISNA(MATCH(E559,ctaNom,0)),"⚠ Cuenta no existe",IF(AND(OR(I559="Transferencia",I559="Pago tarjeta"),G559=""),"⚠ Indica la cuenta «Hacia»",IF(AND(G559&lt;&gt;"",G559=E559),"⚠ «Hacia» igual a la cuenta",IF(AND(G559&lt;&gt;"",ISNA(MATCH(G559,ctaNom,0))),"⚠ «Hacia» no existe",IF(AND(I559="Pago tarjeta",IFERROR(INDEX(ctaTipo,MATCH(G559,ctaNom,0)),"")&lt;&gt;"Tarjeta de crédito"),"⚠ «Hacia» debe ser la tarjeta",IF(AND(I559="Trading",IFERROR(INDEX(ctaTipo,MATCH(E559,ctaNom,0)),"")&lt;&gt;"Cuenta de trading"),"⚠ Usa la cuenta de trading","✓"))))))))))))</f>
        <v/>
      </c>
      <c r="I559" s="19">
        <f>IF(OR(B559="",C559="",D559=""),"",IFERROR(INDEX(catTipo,MATCH(D559,catNom,0))&amp;"",""))</f>
        <v/>
      </c>
      <c r="J559" s="19">
        <f>IF(I559="","",IFERROR(INDEX(catGrupo,MATCH(D559,catNom,0))&amp;"",""))</f>
        <v/>
      </c>
      <c r="K559" s="19">
        <f>IF(I559="Gasto",IF(IFERROR(INDEX(catClas,MATCH(D559,catNom,0))&amp;"","")="","Variable",IFERROR(INDEX(catClas,MATCH(D559,catNom,0))&amp;"","")),"")</f>
        <v/>
      </c>
      <c r="L559" s="19">
        <f>IF(I559="","",IFERROR(INDEX(catAlim,MATCH(D559,catNom,0))&amp;"",""))</f>
        <v/>
      </c>
      <c r="M559" s="19">
        <f>IF(I559="","",IFERROR(INDEX(catComida,MATCH(D559,catNom,0))&amp;"",""))</f>
        <v/>
      </c>
      <c r="N559" s="19">
        <f>IF(I559="","",IFERROR(INDEX(ctaMon,MATCH(E559,ctaNom,0))&amp;"","DOP"))</f>
        <v/>
      </c>
      <c r="O559" s="20">
        <f>IF(I559="","",C559*IF(N559="USD",TasaUSD,1))</f>
        <v/>
      </c>
      <c r="P559" s="20">
        <f>IF(I559="","",IF(I559="Gasto",O559,0))</f>
        <v/>
      </c>
      <c r="Q559" s="20">
        <f>IF(I559="","",IF(I559="Ingreso",O559,0))</f>
        <v/>
      </c>
      <c r="R559" s="20">
        <f>IF(I559="","",IF(I559="Trading",O559,0))</f>
        <v/>
      </c>
      <c r="S559" s="19">
        <f>IF(I559="","",IF(AND(I559="Gasto",K559="Variable",J559&lt;&gt;"Trading",O559&gt;0,O559&lt;=Umbral),1,0))</f>
        <v/>
      </c>
      <c r="T559" s="20">
        <f>IF(OR(I559="",E559=""),"",IF(OR(I559="Gasto",I559="Transferencia",I559="Pago tarjeta"),-1,1)*C559)</f>
        <v/>
      </c>
      <c r="U559" s="20">
        <f>IF(OR(G559="",AND(I559&lt;&gt;"Transferencia",I559&lt;&gt;"Pago tarjeta")),"",IF(IFERROR(INDEX(ctaMon,MATCH(G559,ctaNom,0))&amp;"","DOP")=N559,C559,IF(N559="USD",C559*TasaUSD,C559/TasaUSD)))</f>
        <v/>
      </c>
      <c r="V559" s="20">
        <f>IF(I559="","",IF(IFERROR(INDEX(ctaLiq,MATCH(E559,ctaNom,0))="Sí",FALSE),IF(OR(I559="Gasto",I559="Transferencia",I559="Pago tarjeta"),-1,1)*O559,0)+IF(AND(U559&lt;&gt;"",IFERROR(INDEX(ctaLiq,MATCH(G559,ctaNom,0))="Sí",FALSE)),O559,0))</f>
        <v/>
      </c>
      <c r="W559" s="19">
        <f>IF(OR(F559="",I559=""),"",IF(COUNTIFS(F$6:F559,F559,I$6:I559,"?*")=1,MAX(W$5:W558)+1,""))</f>
        <v/>
      </c>
    </row>
    <row r="560">
      <c r="B560" s="15" t="n"/>
      <c r="C560" s="16" t="n"/>
      <c r="D560" s="17" t="n"/>
      <c r="E560" s="17" t="n"/>
      <c r="F560" s="17" t="n"/>
      <c r="G560" s="17" t="n"/>
      <c r="H560" s="18">
        <f>IF(AND(B560="",C560="",D560="",E560=""),"",IF(B560="","⚠ Falta fecha",IF(C560="","⚠ Falta monto",IF(D560="","⚠ Falta categoría",IF(ISNA(MATCH(D560,catNom,0)),"⚠ Categoría no existe",IF(E560="","⚠ Falta cuenta",IF(ISNA(MATCH(E560,ctaNom,0)),"⚠ Cuenta no existe",IF(AND(OR(I560="Transferencia",I560="Pago tarjeta"),G560=""),"⚠ Indica la cuenta «Hacia»",IF(AND(G560&lt;&gt;"",G560=E560),"⚠ «Hacia» igual a la cuenta",IF(AND(G560&lt;&gt;"",ISNA(MATCH(G560,ctaNom,0))),"⚠ «Hacia» no existe",IF(AND(I560="Pago tarjeta",IFERROR(INDEX(ctaTipo,MATCH(G560,ctaNom,0)),"")&lt;&gt;"Tarjeta de crédito"),"⚠ «Hacia» debe ser la tarjeta",IF(AND(I560="Trading",IFERROR(INDEX(ctaTipo,MATCH(E560,ctaNom,0)),"")&lt;&gt;"Cuenta de trading"),"⚠ Usa la cuenta de trading","✓"))))))))))))</f>
        <v/>
      </c>
      <c r="I560" s="19">
        <f>IF(OR(B560="",C560="",D560=""),"",IFERROR(INDEX(catTipo,MATCH(D560,catNom,0))&amp;"",""))</f>
        <v/>
      </c>
      <c r="J560" s="19">
        <f>IF(I560="","",IFERROR(INDEX(catGrupo,MATCH(D560,catNom,0))&amp;"",""))</f>
        <v/>
      </c>
      <c r="K560" s="19">
        <f>IF(I560="Gasto",IF(IFERROR(INDEX(catClas,MATCH(D560,catNom,0))&amp;"","")="","Variable",IFERROR(INDEX(catClas,MATCH(D560,catNom,0))&amp;"","")),"")</f>
        <v/>
      </c>
      <c r="L560" s="19">
        <f>IF(I560="","",IFERROR(INDEX(catAlim,MATCH(D560,catNom,0))&amp;"",""))</f>
        <v/>
      </c>
      <c r="M560" s="19">
        <f>IF(I560="","",IFERROR(INDEX(catComida,MATCH(D560,catNom,0))&amp;"",""))</f>
        <v/>
      </c>
      <c r="N560" s="19">
        <f>IF(I560="","",IFERROR(INDEX(ctaMon,MATCH(E560,ctaNom,0))&amp;"","DOP"))</f>
        <v/>
      </c>
      <c r="O560" s="20">
        <f>IF(I560="","",C560*IF(N560="USD",TasaUSD,1))</f>
        <v/>
      </c>
      <c r="P560" s="20">
        <f>IF(I560="","",IF(I560="Gasto",O560,0))</f>
        <v/>
      </c>
      <c r="Q560" s="20">
        <f>IF(I560="","",IF(I560="Ingreso",O560,0))</f>
        <v/>
      </c>
      <c r="R560" s="20">
        <f>IF(I560="","",IF(I560="Trading",O560,0))</f>
        <v/>
      </c>
      <c r="S560" s="19">
        <f>IF(I560="","",IF(AND(I560="Gasto",K560="Variable",J560&lt;&gt;"Trading",O560&gt;0,O560&lt;=Umbral),1,0))</f>
        <v/>
      </c>
      <c r="T560" s="20">
        <f>IF(OR(I560="",E560=""),"",IF(OR(I560="Gasto",I560="Transferencia",I560="Pago tarjeta"),-1,1)*C560)</f>
        <v/>
      </c>
      <c r="U560" s="20">
        <f>IF(OR(G560="",AND(I560&lt;&gt;"Transferencia",I560&lt;&gt;"Pago tarjeta")),"",IF(IFERROR(INDEX(ctaMon,MATCH(G560,ctaNom,0))&amp;"","DOP")=N560,C560,IF(N560="USD",C560*TasaUSD,C560/TasaUSD)))</f>
        <v/>
      </c>
      <c r="V560" s="20">
        <f>IF(I560="","",IF(IFERROR(INDEX(ctaLiq,MATCH(E560,ctaNom,0))="Sí",FALSE),IF(OR(I560="Gasto",I560="Transferencia",I560="Pago tarjeta"),-1,1)*O560,0)+IF(AND(U560&lt;&gt;"",IFERROR(INDEX(ctaLiq,MATCH(G560,ctaNom,0))="Sí",FALSE)),O560,0))</f>
        <v/>
      </c>
      <c r="W560" s="19">
        <f>IF(OR(F560="",I560=""),"",IF(COUNTIFS(F$6:F560,F560,I$6:I560,"?*")=1,MAX(W$5:W559)+1,""))</f>
        <v/>
      </c>
    </row>
    <row r="561">
      <c r="B561" s="15" t="n"/>
      <c r="C561" s="16" t="n"/>
      <c r="D561" s="17" t="n"/>
      <c r="E561" s="17" t="n"/>
      <c r="F561" s="17" t="n"/>
      <c r="G561" s="17" t="n"/>
      <c r="H561" s="18">
        <f>IF(AND(B561="",C561="",D561="",E561=""),"",IF(B561="","⚠ Falta fecha",IF(C561="","⚠ Falta monto",IF(D561="","⚠ Falta categoría",IF(ISNA(MATCH(D561,catNom,0)),"⚠ Categoría no existe",IF(E561="","⚠ Falta cuenta",IF(ISNA(MATCH(E561,ctaNom,0)),"⚠ Cuenta no existe",IF(AND(OR(I561="Transferencia",I561="Pago tarjeta"),G561=""),"⚠ Indica la cuenta «Hacia»",IF(AND(G561&lt;&gt;"",G561=E561),"⚠ «Hacia» igual a la cuenta",IF(AND(G561&lt;&gt;"",ISNA(MATCH(G561,ctaNom,0))),"⚠ «Hacia» no existe",IF(AND(I561="Pago tarjeta",IFERROR(INDEX(ctaTipo,MATCH(G561,ctaNom,0)),"")&lt;&gt;"Tarjeta de crédito"),"⚠ «Hacia» debe ser la tarjeta",IF(AND(I561="Trading",IFERROR(INDEX(ctaTipo,MATCH(E561,ctaNom,0)),"")&lt;&gt;"Cuenta de trading"),"⚠ Usa la cuenta de trading","✓"))))))))))))</f>
        <v/>
      </c>
      <c r="I561" s="19">
        <f>IF(OR(B561="",C561="",D561=""),"",IFERROR(INDEX(catTipo,MATCH(D561,catNom,0))&amp;"",""))</f>
        <v/>
      </c>
      <c r="J561" s="19">
        <f>IF(I561="","",IFERROR(INDEX(catGrupo,MATCH(D561,catNom,0))&amp;"",""))</f>
        <v/>
      </c>
      <c r="K561" s="19">
        <f>IF(I561="Gasto",IF(IFERROR(INDEX(catClas,MATCH(D561,catNom,0))&amp;"","")="","Variable",IFERROR(INDEX(catClas,MATCH(D561,catNom,0))&amp;"","")),"")</f>
        <v/>
      </c>
      <c r="L561" s="19">
        <f>IF(I561="","",IFERROR(INDEX(catAlim,MATCH(D561,catNom,0))&amp;"",""))</f>
        <v/>
      </c>
      <c r="M561" s="19">
        <f>IF(I561="","",IFERROR(INDEX(catComida,MATCH(D561,catNom,0))&amp;"",""))</f>
        <v/>
      </c>
      <c r="N561" s="19">
        <f>IF(I561="","",IFERROR(INDEX(ctaMon,MATCH(E561,ctaNom,0))&amp;"","DOP"))</f>
        <v/>
      </c>
      <c r="O561" s="20">
        <f>IF(I561="","",C561*IF(N561="USD",TasaUSD,1))</f>
        <v/>
      </c>
      <c r="P561" s="20">
        <f>IF(I561="","",IF(I561="Gasto",O561,0))</f>
        <v/>
      </c>
      <c r="Q561" s="20">
        <f>IF(I561="","",IF(I561="Ingreso",O561,0))</f>
        <v/>
      </c>
      <c r="R561" s="20">
        <f>IF(I561="","",IF(I561="Trading",O561,0))</f>
        <v/>
      </c>
      <c r="S561" s="19">
        <f>IF(I561="","",IF(AND(I561="Gasto",K561="Variable",J561&lt;&gt;"Trading",O561&gt;0,O561&lt;=Umbral),1,0))</f>
        <v/>
      </c>
      <c r="T561" s="20">
        <f>IF(OR(I561="",E561=""),"",IF(OR(I561="Gasto",I561="Transferencia",I561="Pago tarjeta"),-1,1)*C561)</f>
        <v/>
      </c>
      <c r="U561" s="20">
        <f>IF(OR(G561="",AND(I561&lt;&gt;"Transferencia",I561&lt;&gt;"Pago tarjeta")),"",IF(IFERROR(INDEX(ctaMon,MATCH(G561,ctaNom,0))&amp;"","DOP")=N561,C561,IF(N561="USD",C561*TasaUSD,C561/TasaUSD)))</f>
        <v/>
      </c>
      <c r="V561" s="20">
        <f>IF(I561="","",IF(IFERROR(INDEX(ctaLiq,MATCH(E561,ctaNom,0))="Sí",FALSE),IF(OR(I561="Gasto",I561="Transferencia",I561="Pago tarjeta"),-1,1)*O561,0)+IF(AND(U561&lt;&gt;"",IFERROR(INDEX(ctaLiq,MATCH(G561,ctaNom,0))="Sí",FALSE)),O561,0))</f>
        <v/>
      </c>
      <c r="W561" s="19">
        <f>IF(OR(F561="",I561=""),"",IF(COUNTIFS(F$6:F561,F561,I$6:I561,"?*")=1,MAX(W$5:W560)+1,""))</f>
        <v/>
      </c>
    </row>
    <row r="562">
      <c r="B562" s="15" t="n"/>
      <c r="C562" s="16" t="n"/>
      <c r="D562" s="17" t="n"/>
      <c r="E562" s="17" t="n"/>
      <c r="F562" s="17" t="n"/>
      <c r="G562" s="17" t="n"/>
      <c r="H562" s="18">
        <f>IF(AND(B562="",C562="",D562="",E562=""),"",IF(B562="","⚠ Falta fecha",IF(C562="","⚠ Falta monto",IF(D562="","⚠ Falta categoría",IF(ISNA(MATCH(D562,catNom,0)),"⚠ Categoría no existe",IF(E562="","⚠ Falta cuenta",IF(ISNA(MATCH(E562,ctaNom,0)),"⚠ Cuenta no existe",IF(AND(OR(I562="Transferencia",I562="Pago tarjeta"),G562=""),"⚠ Indica la cuenta «Hacia»",IF(AND(G562&lt;&gt;"",G562=E562),"⚠ «Hacia» igual a la cuenta",IF(AND(G562&lt;&gt;"",ISNA(MATCH(G562,ctaNom,0))),"⚠ «Hacia» no existe",IF(AND(I562="Pago tarjeta",IFERROR(INDEX(ctaTipo,MATCH(G562,ctaNom,0)),"")&lt;&gt;"Tarjeta de crédito"),"⚠ «Hacia» debe ser la tarjeta",IF(AND(I562="Trading",IFERROR(INDEX(ctaTipo,MATCH(E562,ctaNom,0)),"")&lt;&gt;"Cuenta de trading"),"⚠ Usa la cuenta de trading","✓"))))))))))))</f>
        <v/>
      </c>
      <c r="I562" s="19">
        <f>IF(OR(B562="",C562="",D562=""),"",IFERROR(INDEX(catTipo,MATCH(D562,catNom,0))&amp;"",""))</f>
        <v/>
      </c>
      <c r="J562" s="19">
        <f>IF(I562="","",IFERROR(INDEX(catGrupo,MATCH(D562,catNom,0))&amp;"",""))</f>
        <v/>
      </c>
      <c r="K562" s="19">
        <f>IF(I562="Gasto",IF(IFERROR(INDEX(catClas,MATCH(D562,catNom,0))&amp;"","")="","Variable",IFERROR(INDEX(catClas,MATCH(D562,catNom,0))&amp;"","")),"")</f>
        <v/>
      </c>
      <c r="L562" s="19">
        <f>IF(I562="","",IFERROR(INDEX(catAlim,MATCH(D562,catNom,0))&amp;"",""))</f>
        <v/>
      </c>
      <c r="M562" s="19">
        <f>IF(I562="","",IFERROR(INDEX(catComida,MATCH(D562,catNom,0))&amp;"",""))</f>
        <v/>
      </c>
      <c r="N562" s="19">
        <f>IF(I562="","",IFERROR(INDEX(ctaMon,MATCH(E562,ctaNom,0))&amp;"","DOP"))</f>
        <v/>
      </c>
      <c r="O562" s="20">
        <f>IF(I562="","",C562*IF(N562="USD",TasaUSD,1))</f>
        <v/>
      </c>
      <c r="P562" s="20">
        <f>IF(I562="","",IF(I562="Gasto",O562,0))</f>
        <v/>
      </c>
      <c r="Q562" s="20">
        <f>IF(I562="","",IF(I562="Ingreso",O562,0))</f>
        <v/>
      </c>
      <c r="R562" s="20">
        <f>IF(I562="","",IF(I562="Trading",O562,0))</f>
        <v/>
      </c>
      <c r="S562" s="19">
        <f>IF(I562="","",IF(AND(I562="Gasto",K562="Variable",J562&lt;&gt;"Trading",O562&gt;0,O562&lt;=Umbral),1,0))</f>
        <v/>
      </c>
      <c r="T562" s="20">
        <f>IF(OR(I562="",E562=""),"",IF(OR(I562="Gasto",I562="Transferencia",I562="Pago tarjeta"),-1,1)*C562)</f>
        <v/>
      </c>
      <c r="U562" s="20">
        <f>IF(OR(G562="",AND(I562&lt;&gt;"Transferencia",I562&lt;&gt;"Pago tarjeta")),"",IF(IFERROR(INDEX(ctaMon,MATCH(G562,ctaNom,0))&amp;"","DOP")=N562,C562,IF(N562="USD",C562*TasaUSD,C562/TasaUSD)))</f>
        <v/>
      </c>
      <c r="V562" s="20">
        <f>IF(I562="","",IF(IFERROR(INDEX(ctaLiq,MATCH(E562,ctaNom,0))="Sí",FALSE),IF(OR(I562="Gasto",I562="Transferencia",I562="Pago tarjeta"),-1,1)*O562,0)+IF(AND(U562&lt;&gt;"",IFERROR(INDEX(ctaLiq,MATCH(G562,ctaNom,0))="Sí",FALSE)),O562,0))</f>
        <v/>
      </c>
      <c r="W562" s="19">
        <f>IF(OR(F562="",I562=""),"",IF(COUNTIFS(F$6:F562,F562,I$6:I562,"?*")=1,MAX(W$5:W561)+1,""))</f>
        <v/>
      </c>
    </row>
    <row r="563">
      <c r="B563" s="15" t="n"/>
      <c r="C563" s="16" t="n"/>
      <c r="D563" s="17" t="n"/>
      <c r="E563" s="17" t="n"/>
      <c r="F563" s="17" t="n"/>
      <c r="G563" s="17" t="n"/>
      <c r="H563" s="18">
        <f>IF(AND(B563="",C563="",D563="",E563=""),"",IF(B563="","⚠ Falta fecha",IF(C563="","⚠ Falta monto",IF(D563="","⚠ Falta categoría",IF(ISNA(MATCH(D563,catNom,0)),"⚠ Categoría no existe",IF(E563="","⚠ Falta cuenta",IF(ISNA(MATCH(E563,ctaNom,0)),"⚠ Cuenta no existe",IF(AND(OR(I563="Transferencia",I563="Pago tarjeta"),G563=""),"⚠ Indica la cuenta «Hacia»",IF(AND(G563&lt;&gt;"",G563=E563),"⚠ «Hacia» igual a la cuenta",IF(AND(G563&lt;&gt;"",ISNA(MATCH(G563,ctaNom,0))),"⚠ «Hacia» no existe",IF(AND(I563="Pago tarjeta",IFERROR(INDEX(ctaTipo,MATCH(G563,ctaNom,0)),"")&lt;&gt;"Tarjeta de crédito"),"⚠ «Hacia» debe ser la tarjeta",IF(AND(I563="Trading",IFERROR(INDEX(ctaTipo,MATCH(E563,ctaNom,0)),"")&lt;&gt;"Cuenta de trading"),"⚠ Usa la cuenta de trading","✓"))))))))))))</f>
        <v/>
      </c>
      <c r="I563" s="19">
        <f>IF(OR(B563="",C563="",D563=""),"",IFERROR(INDEX(catTipo,MATCH(D563,catNom,0))&amp;"",""))</f>
        <v/>
      </c>
      <c r="J563" s="19">
        <f>IF(I563="","",IFERROR(INDEX(catGrupo,MATCH(D563,catNom,0))&amp;"",""))</f>
        <v/>
      </c>
      <c r="K563" s="19">
        <f>IF(I563="Gasto",IF(IFERROR(INDEX(catClas,MATCH(D563,catNom,0))&amp;"","")="","Variable",IFERROR(INDEX(catClas,MATCH(D563,catNom,0))&amp;"","")),"")</f>
        <v/>
      </c>
      <c r="L563" s="19">
        <f>IF(I563="","",IFERROR(INDEX(catAlim,MATCH(D563,catNom,0))&amp;"",""))</f>
        <v/>
      </c>
      <c r="M563" s="19">
        <f>IF(I563="","",IFERROR(INDEX(catComida,MATCH(D563,catNom,0))&amp;"",""))</f>
        <v/>
      </c>
      <c r="N563" s="19">
        <f>IF(I563="","",IFERROR(INDEX(ctaMon,MATCH(E563,ctaNom,0))&amp;"","DOP"))</f>
        <v/>
      </c>
      <c r="O563" s="20">
        <f>IF(I563="","",C563*IF(N563="USD",TasaUSD,1))</f>
        <v/>
      </c>
      <c r="P563" s="20">
        <f>IF(I563="","",IF(I563="Gasto",O563,0))</f>
        <v/>
      </c>
      <c r="Q563" s="20">
        <f>IF(I563="","",IF(I563="Ingreso",O563,0))</f>
        <v/>
      </c>
      <c r="R563" s="20">
        <f>IF(I563="","",IF(I563="Trading",O563,0))</f>
        <v/>
      </c>
      <c r="S563" s="19">
        <f>IF(I563="","",IF(AND(I563="Gasto",K563="Variable",J563&lt;&gt;"Trading",O563&gt;0,O563&lt;=Umbral),1,0))</f>
        <v/>
      </c>
      <c r="T563" s="20">
        <f>IF(OR(I563="",E563=""),"",IF(OR(I563="Gasto",I563="Transferencia",I563="Pago tarjeta"),-1,1)*C563)</f>
        <v/>
      </c>
      <c r="U563" s="20">
        <f>IF(OR(G563="",AND(I563&lt;&gt;"Transferencia",I563&lt;&gt;"Pago tarjeta")),"",IF(IFERROR(INDEX(ctaMon,MATCH(G563,ctaNom,0))&amp;"","DOP")=N563,C563,IF(N563="USD",C563*TasaUSD,C563/TasaUSD)))</f>
        <v/>
      </c>
      <c r="V563" s="20">
        <f>IF(I563="","",IF(IFERROR(INDEX(ctaLiq,MATCH(E563,ctaNom,0))="Sí",FALSE),IF(OR(I563="Gasto",I563="Transferencia",I563="Pago tarjeta"),-1,1)*O563,0)+IF(AND(U563&lt;&gt;"",IFERROR(INDEX(ctaLiq,MATCH(G563,ctaNom,0))="Sí",FALSE)),O563,0))</f>
        <v/>
      </c>
      <c r="W563" s="19">
        <f>IF(OR(F563="",I563=""),"",IF(COUNTIFS(F$6:F563,F563,I$6:I563,"?*")=1,MAX(W$5:W562)+1,""))</f>
        <v/>
      </c>
    </row>
    <row r="564">
      <c r="B564" s="15" t="n"/>
      <c r="C564" s="16" t="n"/>
      <c r="D564" s="17" t="n"/>
      <c r="E564" s="17" t="n"/>
      <c r="F564" s="17" t="n"/>
      <c r="G564" s="17" t="n"/>
      <c r="H564" s="18">
        <f>IF(AND(B564="",C564="",D564="",E564=""),"",IF(B564="","⚠ Falta fecha",IF(C564="","⚠ Falta monto",IF(D564="","⚠ Falta categoría",IF(ISNA(MATCH(D564,catNom,0)),"⚠ Categoría no existe",IF(E564="","⚠ Falta cuenta",IF(ISNA(MATCH(E564,ctaNom,0)),"⚠ Cuenta no existe",IF(AND(OR(I564="Transferencia",I564="Pago tarjeta"),G564=""),"⚠ Indica la cuenta «Hacia»",IF(AND(G564&lt;&gt;"",G564=E564),"⚠ «Hacia» igual a la cuenta",IF(AND(G564&lt;&gt;"",ISNA(MATCH(G564,ctaNom,0))),"⚠ «Hacia» no existe",IF(AND(I564="Pago tarjeta",IFERROR(INDEX(ctaTipo,MATCH(G564,ctaNom,0)),"")&lt;&gt;"Tarjeta de crédito"),"⚠ «Hacia» debe ser la tarjeta",IF(AND(I564="Trading",IFERROR(INDEX(ctaTipo,MATCH(E564,ctaNom,0)),"")&lt;&gt;"Cuenta de trading"),"⚠ Usa la cuenta de trading","✓"))))))))))))</f>
        <v/>
      </c>
      <c r="I564" s="19">
        <f>IF(OR(B564="",C564="",D564=""),"",IFERROR(INDEX(catTipo,MATCH(D564,catNom,0))&amp;"",""))</f>
        <v/>
      </c>
      <c r="J564" s="19">
        <f>IF(I564="","",IFERROR(INDEX(catGrupo,MATCH(D564,catNom,0))&amp;"",""))</f>
        <v/>
      </c>
      <c r="K564" s="19">
        <f>IF(I564="Gasto",IF(IFERROR(INDEX(catClas,MATCH(D564,catNom,0))&amp;"","")="","Variable",IFERROR(INDEX(catClas,MATCH(D564,catNom,0))&amp;"","")),"")</f>
        <v/>
      </c>
      <c r="L564" s="19">
        <f>IF(I564="","",IFERROR(INDEX(catAlim,MATCH(D564,catNom,0))&amp;"",""))</f>
        <v/>
      </c>
      <c r="M564" s="19">
        <f>IF(I564="","",IFERROR(INDEX(catComida,MATCH(D564,catNom,0))&amp;"",""))</f>
        <v/>
      </c>
      <c r="N564" s="19">
        <f>IF(I564="","",IFERROR(INDEX(ctaMon,MATCH(E564,ctaNom,0))&amp;"","DOP"))</f>
        <v/>
      </c>
      <c r="O564" s="20">
        <f>IF(I564="","",C564*IF(N564="USD",TasaUSD,1))</f>
        <v/>
      </c>
      <c r="P564" s="20">
        <f>IF(I564="","",IF(I564="Gasto",O564,0))</f>
        <v/>
      </c>
      <c r="Q564" s="20">
        <f>IF(I564="","",IF(I564="Ingreso",O564,0))</f>
        <v/>
      </c>
      <c r="R564" s="20">
        <f>IF(I564="","",IF(I564="Trading",O564,0))</f>
        <v/>
      </c>
      <c r="S564" s="19">
        <f>IF(I564="","",IF(AND(I564="Gasto",K564="Variable",J564&lt;&gt;"Trading",O564&gt;0,O564&lt;=Umbral),1,0))</f>
        <v/>
      </c>
      <c r="T564" s="20">
        <f>IF(OR(I564="",E564=""),"",IF(OR(I564="Gasto",I564="Transferencia",I564="Pago tarjeta"),-1,1)*C564)</f>
        <v/>
      </c>
      <c r="U564" s="20">
        <f>IF(OR(G564="",AND(I564&lt;&gt;"Transferencia",I564&lt;&gt;"Pago tarjeta")),"",IF(IFERROR(INDEX(ctaMon,MATCH(G564,ctaNom,0))&amp;"","DOP")=N564,C564,IF(N564="USD",C564*TasaUSD,C564/TasaUSD)))</f>
        <v/>
      </c>
      <c r="V564" s="20">
        <f>IF(I564="","",IF(IFERROR(INDEX(ctaLiq,MATCH(E564,ctaNom,0))="Sí",FALSE),IF(OR(I564="Gasto",I564="Transferencia",I564="Pago tarjeta"),-1,1)*O564,0)+IF(AND(U564&lt;&gt;"",IFERROR(INDEX(ctaLiq,MATCH(G564,ctaNom,0))="Sí",FALSE)),O564,0))</f>
        <v/>
      </c>
      <c r="W564" s="19">
        <f>IF(OR(F564="",I564=""),"",IF(COUNTIFS(F$6:F564,F564,I$6:I564,"?*")=1,MAX(W$5:W563)+1,""))</f>
        <v/>
      </c>
    </row>
    <row r="565">
      <c r="B565" s="15" t="n"/>
      <c r="C565" s="16" t="n"/>
      <c r="D565" s="17" t="n"/>
      <c r="E565" s="17" t="n"/>
      <c r="F565" s="17" t="n"/>
      <c r="G565" s="17" t="n"/>
      <c r="H565" s="18">
        <f>IF(AND(B565="",C565="",D565="",E565=""),"",IF(B565="","⚠ Falta fecha",IF(C565="","⚠ Falta monto",IF(D565="","⚠ Falta categoría",IF(ISNA(MATCH(D565,catNom,0)),"⚠ Categoría no existe",IF(E565="","⚠ Falta cuenta",IF(ISNA(MATCH(E565,ctaNom,0)),"⚠ Cuenta no existe",IF(AND(OR(I565="Transferencia",I565="Pago tarjeta"),G565=""),"⚠ Indica la cuenta «Hacia»",IF(AND(G565&lt;&gt;"",G565=E565),"⚠ «Hacia» igual a la cuenta",IF(AND(G565&lt;&gt;"",ISNA(MATCH(G565,ctaNom,0))),"⚠ «Hacia» no existe",IF(AND(I565="Pago tarjeta",IFERROR(INDEX(ctaTipo,MATCH(G565,ctaNom,0)),"")&lt;&gt;"Tarjeta de crédito"),"⚠ «Hacia» debe ser la tarjeta",IF(AND(I565="Trading",IFERROR(INDEX(ctaTipo,MATCH(E565,ctaNom,0)),"")&lt;&gt;"Cuenta de trading"),"⚠ Usa la cuenta de trading","✓"))))))))))))</f>
        <v/>
      </c>
      <c r="I565" s="19">
        <f>IF(OR(B565="",C565="",D565=""),"",IFERROR(INDEX(catTipo,MATCH(D565,catNom,0))&amp;"",""))</f>
        <v/>
      </c>
      <c r="J565" s="19">
        <f>IF(I565="","",IFERROR(INDEX(catGrupo,MATCH(D565,catNom,0))&amp;"",""))</f>
        <v/>
      </c>
      <c r="K565" s="19">
        <f>IF(I565="Gasto",IF(IFERROR(INDEX(catClas,MATCH(D565,catNom,0))&amp;"","")="","Variable",IFERROR(INDEX(catClas,MATCH(D565,catNom,0))&amp;"","")),"")</f>
        <v/>
      </c>
      <c r="L565" s="19">
        <f>IF(I565="","",IFERROR(INDEX(catAlim,MATCH(D565,catNom,0))&amp;"",""))</f>
        <v/>
      </c>
      <c r="M565" s="19">
        <f>IF(I565="","",IFERROR(INDEX(catComida,MATCH(D565,catNom,0))&amp;"",""))</f>
        <v/>
      </c>
      <c r="N565" s="19">
        <f>IF(I565="","",IFERROR(INDEX(ctaMon,MATCH(E565,ctaNom,0))&amp;"","DOP"))</f>
        <v/>
      </c>
      <c r="O565" s="20">
        <f>IF(I565="","",C565*IF(N565="USD",TasaUSD,1))</f>
        <v/>
      </c>
      <c r="P565" s="20">
        <f>IF(I565="","",IF(I565="Gasto",O565,0))</f>
        <v/>
      </c>
      <c r="Q565" s="20">
        <f>IF(I565="","",IF(I565="Ingreso",O565,0))</f>
        <v/>
      </c>
      <c r="R565" s="20">
        <f>IF(I565="","",IF(I565="Trading",O565,0))</f>
        <v/>
      </c>
      <c r="S565" s="19">
        <f>IF(I565="","",IF(AND(I565="Gasto",K565="Variable",J565&lt;&gt;"Trading",O565&gt;0,O565&lt;=Umbral),1,0))</f>
        <v/>
      </c>
      <c r="T565" s="20">
        <f>IF(OR(I565="",E565=""),"",IF(OR(I565="Gasto",I565="Transferencia",I565="Pago tarjeta"),-1,1)*C565)</f>
        <v/>
      </c>
      <c r="U565" s="20">
        <f>IF(OR(G565="",AND(I565&lt;&gt;"Transferencia",I565&lt;&gt;"Pago tarjeta")),"",IF(IFERROR(INDEX(ctaMon,MATCH(G565,ctaNom,0))&amp;"","DOP")=N565,C565,IF(N565="USD",C565*TasaUSD,C565/TasaUSD)))</f>
        <v/>
      </c>
      <c r="V565" s="20">
        <f>IF(I565="","",IF(IFERROR(INDEX(ctaLiq,MATCH(E565,ctaNom,0))="Sí",FALSE),IF(OR(I565="Gasto",I565="Transferencia",I565="Pago tarjeta"),-1,1)*O565,0)+IF(AND(U565&lt;&gt;"",IFERROR(INDEX(ctaLiq,MATCH(G565,ctaNom,0))="Sí",FALSE)),O565,0))</f>
        <v/>
      </c>
      <c r="W565" s="19">
        <f>IF(OR(F565="",I565=""),"",IF(COUNTIFS(F$6:F565,F565,I$6:I565,"?*")=1,MAX(W$5:W564)+1,""))</f>
        <v/>
      </c>
    </row>
    <row r="566">
      <c r="B566" s="15" t="n"/>
      <c r="C566" s="16" t="n"/>
      <c r="D566" s="17" t="n"/>
      <c r="E566" s="17" t="n"/>
      <c r="F566" s="17" t="n"/>
      <c r="G566" s="17" t="n"/>
      <c r="H566" s="18">
        <f>IF(AND(B566="",C566="",D566="",E566=""),"",IF(B566="","⚠ Falta fecha",IF(C566="","⚠ Falta monto",IF(D566="","⚠ Falta categoría",IF(ISNA(MATCH(D566,catNom,0)),"⚠ Categoría no existe",IF(E566="","⚠ Falta cuenta",IF(ISNA(MATCH(E566,ctaNom,0)),"⚠ Cuenta no existe",IF(AND(OR(I566="Transferencia",I566="Pago tarjeta"),G566=""),"⚠ Indica la cuenta «Hacia»",IF(AND(G566&lt;&gt;"",G566=E566),"⚠ «Hacia» igual a la cuenta",IF(AND(G566&lt;&gt;"",ISNA(MATCH(G566,ctaNom,0))),"⚠ «Hacia» no existe",IF(AND(I566="Pago tarjeta",IFERROR(INDEX(ctaTipo,MATCH(G566,ctaNom,0)),"")&lt;&gt;"Tarjeta de crédito"),"⚠ «Hacia» debe ser la tarjeta",IF(AND(I566="Trading",IFERROR(INDEX(ctaTipo,MATCH(E566,ctaNom,0)),"")&lt;&gt;"Cuenta de trading"),"⚠ Usa la cuenta de trading","✓"))))))))))))</f>
        <v/>
      </c>
      <c r="I566" s="19">
        <f>IF(OR(B566="",C566="",D566=""),"",IFERROR(INDEX(catTipo,MATCH(D566,catNom,0))&amp;"",""))</f>
        <v/>
      </c>
      <c r="J566" s="19">
        <f>IF(I566="","",IFERROR(INDEX(catGrupo,MATCH(D566,catNom,0))&amp;"",""))</f>
        <v/>
      </c>
      <c r="K566" s="19">
        <f>IF(I566="Gasto",IF(IFERROR(INDEX(catClas,MATCH(D566,catNom,0))&amp;"","")="","Variable",IFERROR(INDEX(catClas,MATCH(D566,catNom,0))&amp;"","")),"")</f>
        <v/>
      </c>
      <c r="L566" s="19">
        <f>IF(I566="","",IFERROR(INDEX(catAlim,MATCH(D566,catNom,0))&amp;"",""))</f>
        <v/>
      </c>
      <c r="M566" s="19">
        <f>IF(I566="","",IFERROR(INDEX(catComida,MATCH(D566,catNom,0))&amp;"",""))</f>
        <v/>
      </c>
      <c r="N566" s="19">
        <f>IF(I566="","",IFERROR(INDEX(ctaMon,MATCH(E566,ctaNom,0))&amp;"","DOP"))</f>
        <v/>
      </c>
      <c r="O566" s="20">
        <f>IF(I566="","",C566*IF(N566="USD",TasaUSD,1))</f>
        <v/>
      </c>
      <c r="P566" s="20">
        <f>IF(I566="","",IF(I566="Gasto",O566,0))</f>
        <v/>
      </c>
      <c r="Q566" s="20">
        <f>IF(I566="","",IF(I566="Ingreso",O566,0))</f>
        <v/>
      </c>
      <c r="R566" s="20">
        <f>IF(I566="","",IF(I566="Trading",O566,0))</f>
        <v/>
      </c>
      <c r="S566" s="19">
        <f>IF(I566="","",IF(AND(I566="Gasto",K566="Variable",J566&lt;&gt;"Trading",O566&gt;0,O566&lt;=Umbral),1,0))</f>
        <v/>
      </c>
      <c r="T566" s="20">
        <f>IF(OR(I566="",E566=""),"",IF(OR(I566="Gasto",I566="Transferencia",I566="Pago tarjeta"),-1,1)*C566)</f>
        <v/>
      </c>
      <c r="U566" s="20">
        <f>IF(OR(G566="",AND(I566&lt;&gt;"Transferencia",I566&lt;&gt;"Pago tarjeta")),"",IF(IFERROR(INDEX(ctaMon,MATCH(G566,ctaNom,0))&amp;"","DOP")=N566,C566,IF(N566="USD",C566*TasaUSD,C566/TasaUSD)))</f>
        <v/>
      </c>
      <c r="V566" s="20">
        <f>IF(I566="","",IF(IFERROR(INDEX(ctaLiq,MATCH(E566,ctaNom,0))="Sí",FALSE),IF(OR(I566="Gasto",I566="Transferencia",I566="Pago tarjeta"),-1,1)*O566,0)+IF(AND(U566&lt;&gt;"",IFERROR(INDEX(ctaLiq,MATCH(G566,ctaNom,0))="Sí",FALSE)),O566,0))</f>
        <v/>
      </c>
      <c r="W566" s="19">
        <f>IF(OR(F566="",I566=""),"",IF(COUNTIFS(F$6:F566,F566,I$6:I566,"?*")=1,MAX(W$5:W565)+1,""))</f>
        <v/>
      </c>
    </row>
    <row r="567">
      <c r="B567" s="15" t="n"/>
      <c r="C567" s="16" t="n"/>
      <c r="D567" s="17" t="n"/>
      <c r="E567" s="17" t="n"/>
      <c r="F567" s="17" t="n"/>
      <c r="G567" s="17" t="n"/>
      <c r="H567" s="18">
        <f>IF(AND(B567="",C567="",D567="",E567=""),"",IF(B567="","⚠ Falta fecha",IF(C567="","⚠ Falta monto",IF(D567="","⚠ Falta categoría",IF(ISNA(MATCH(D567,catNom,0)),"⚠ Categoría no existe",IF(E567="","⚠ Falta cuenta",IF(ISNA(MATCH(E567,ctaNom,0)),"⚠ Cuenta no existe",IF(AND(OR(I567="Transferencia",I567="Pago tarjeta"),G567=""),"⚠ Indica la cuenta «Hacia»",IF(AND(G567&lt;&gt;"",G567=E567),"⚠ «Hacia» igual a la cuenta",IF(AND(G567&lt;&gt;"",ISNA(MATCH(G567,ctaNom,0))),"⚠ «Hacia» no existe",IF(AND(I567="Pago tarjeta",IFERROR(INDEX(ctaTipo,MATCH(G567,ctaNom,0)),"")&lt;&gt;"Tarjeta de crédito"),"⚠ «Hacia» debe ser la tarjeta",IF(AND(I567="Trading",IFERROR(INDEX(ctaTipo,MATCH(E567,ctaNom,0)),"")&lt;&gt;"Cuenta de trading"),"⚠ Usa la cuenta de trading","✓"))))))))))))</f>
        <v/>
      </c>
      <c r="I567" s="19">
        <f>IF(OR(B567="",C567="",D567=""),"",IFERROR(INDEX(catTipo,MATCH(D567,catNom,0))&amp;"",""))</f>
        <v/>
      </c>
      <c r="J567" s="19">
        <f>IF(I567="","",IFERROR(INDEX(catGrupo,MATCH(D567,catNom,0))&amp;"",""))</f>
        <v/>
      </c>
      <c r="K567" s="19">
        <f>IF(I567="Gasto",IF(IFERROR(INDEX(catClas,MATCH(D567,catNom,0))&amp;"","")="","Variable",IFERROR(INDEX(catClas,MATCH(D567,catNom,0))&amp;"","")),"")</f>
        <v/>
      </c>
      <c r="L567" s="19">
        <f>IF(I567="","",IFERROR(INDEX(catAlim,MATCH(D567,catNom,0))&amp;"",""))</f>
        <v/>
      </c>
      <c r="M567" s="19">
        <f>IF(I567="","",IFERROR(INDEX(catComida,MATCH(D567,catNom,0))&amp;"",""))</f>
        <v/>
      </c>
      <c r="N567" s="19">
        <f>IF(I567="","",IFERROR(INDEX(ctaMon,MATCH(E567,ctaNom,0))&amp;"","DOP"))</f>
        <v/>
      </c>
      <c r="O567" s="20">
        <f>IF(I567="","",C567*IF(N567="USD",TasaUSD,1))</f>
        <v/>
      </c>
      <c r="P567" s="20">
        <f>IF(I567="","",IF(I567="Gasto",O567,0))</f>
        <v/>
      </c>
      <c r="Q567" s="20">
        <f>IF(I567="","",IF(I567="Ingreso",O567,0))</f>
        <v/>
      </c>
      <c r="R567" s="20">
        <f>IF(I567="","",IF(I567="Trading",O567,0))</f>
        <v/>
      </c>
      <c r="S567" s="19">
        <f>IF(I567="","",IF(AND(I567="Gasto",K567="Variable",J567&lt;&gt;"Trading",O567&gt;0,O567&lt;=Umbral),1,0))</f>
        <v/>
      </c>
      <c r="T567" s="20">
        <f>IF(OR(I567="",E567=""),"",IF(OR(I567="Gasto",I567="Transferencia",I567="Pago tarjeta"),-1,1)*C567)</f>
        <v/>
      </c>
      <c r="U567" s="20">
        <f>IF(OR(G567="",AND(I567&lt;&gt;"Transferencia",I567&lt;&gt;"Pago tarjeta")),"",IF(IFERROR(INDEX(ctaMon,MATCH(G567,ctaNom,0))&amp;"","DOP")=N567,C567,IF(N567="USD",C567*TasaUSD,C567/TasaUSD)))</f>
        <v/>
      </c>
      <c r="V567" s="20">
        <f>IF(I567="","",IF(IFERROR(INDEX(ctaLiq,MATCH(E567,ctaNom,0))="Sí",FALSE),IF(OR(I567="Gasto",I567="Transferencia",I567="Pago tarjeta"),-1,1)*O567,0)+IF(AND(U567&lt;&gt;"",IFERROR(INDEX(ctaLiq,MATCH(G567,ctaNom,0))="Sí",FALSE)),O567,0))</f>
        <v/>
      </c>
      <c r="W567" s="19">
        <f>IF(OR(F567="",I567=""),"",IF(COUNTIFS(F$6:F567,F567,I$6:I567,"?*")=1,MAX(W$5:W566)+1,""))</f>
        <v/>
      </c>
    </row>
    <row r="568">
      <c r="B568" s="15" t="n"/>
      <c r="C568" s="16" t="n"/>
      <c r="D568" s="17" t="n"/>
      <c r="E568" s="17" t="n"/>
      <c r="F568" s="17" t="n"/>
      <c r="G568" s="17" t="n"/>
      <c r="H568" s="18">
        <f>IF(AND(B568="",C568="",D568="",E568=""),"",IF(B568="","⚠ Falta fecha",IF(C568="","⚠ Falta monto",IF(D568="","⚠ Falta categoría",IF(ISNA(MATCH(D568,catNom,0)),"⚠ Categoría no existe",IF(E568="","⚠ Falta cuenta",IF(ISNA(MATCH(E568,ctaNom,0)),"⚠ Cuenta no existe",IF(AND(OR(I568="Transferencia",I568="Pago tarjeta"),G568=""),"⚠ Indica la cuenta «Hacia»",IF(AND(G568&lt;&gt;"",G568=E568),"⚠ «Hacia» igual a la cuenta",IF(AND(G568&lt;&gt;"",ISNA(MATCH(G568,ctaNom,0))),"⚠ «Hacia» no existe",IF(AND(I568="Pago tarjeta",IFERROR(INDEX(ctaTipo,MATCH(G568,ctaNom,0)),"")&lt;&gt;"Tarjeta de crédito"),"⚠ «Hacia» debe ser la tarjeta",IF(AND(I568="Trading",IFERROR(INDEX(ctaTipo,MATCH(E568,ctaNom,0)),"")&lt;&gt;"Cuenta de trading"),"⚠ Usa la cuenta de trading","✓"))))))))))))</f>
        <v/>
      </c>
      <c r="I568" s="19">
        <f>IF(OR(B568="",C568="",D568=""),"",IFERROR(INDEX(catTipo,MATCH(D568,catNom,0))&amp;"",""))</f>
        <v/>
      </c>
      <c r="J568" s="19">
        <f>IF(I568="","",IFERROR(INDEX(catGrupo,MATCH(D568,catNom,0))&amp;"",""))</f>
        <v/>
      </c>
      <c r="K568" s="19">
        <f>IF(I568="Gasto",IF(IFERROR(INDEX(catClas,MATCH(D568,catNom,0))&amp;"","")="","Variable",IFERROR(INDEX(catClas,MATCH(D568,catNom,0))&amp;"","")),"")</f>
        <v/>
      </c>
      <c r="L568" s="19">
        <f>IF(I568="","",IFERROR(INDEX(catAlim,MATCH(D568,catNom,0))&amp;"",""))</f>
        <v/>
      </c>
      <c r="M568" s="19">
        <f>IF(I568="","",IFERROR(INDEX(catComida,MATCH(D568,catNom,0))&amp;"",""))</f>
        <v/>
      </c>
      <c r="N568" s="19">
        <f>IF(I568="","",IFERROR(INDEX(ctaMon,MATCH(E568,ctaNom,0))&amp;"","DOP"))</f>
        <v/>
      </c>
      <c r="O568" s="20">
        <f>IF(I568="","",C568*IF(N568="USD",TasaUSD,1))</f>
        <v/>
      </c>
      <c r="P568" s="20">
        <f>IF(I568="","",IF(I568="Gasto",O568,0))</f>
        <v/>
      </c>
      <c r="Q568" s="20">
        <f>IF(I568="","",IF(I568="Ingreso",O568,0))</f>
        <v/>
      </c>
      <c r="R568" s="20">
        <f>IF(I568="","",IF(I568="Trading",O568,0))</f>
        <v/>
      </c>
      <c r="S568" s="19">
        <f>IF(I568="","",IF(AND(I568="Gasto",K568="Variable",J568&lt;&gt;"Trading",O568&gt;0,O568&lt;=Umbral),1,0))</f>
        <v/>
      </c>
      <c r="T568" s="20">
        <f>IF(OR(I568="",E568=""),"",IF(OR(I568="Gasto",I568="Transferencia",I568="Pago tarjeta"),-1,1)*C568)</f>
        <v/>
      </c>
      <c r="U568" s="20">
        <f>IF(OR(G568="",AND(I568&lt;&gt;"Transferencia",I568&lt;&gt;"Pago tarjeta")),"",IF(IFERROR(INDEX(ctaMon,MATCH(G568,ctaNom,0))&amp;"","DOP")=N568,C568,IF(N568="USD",C568*TasaUSD,C568/TasaUSD)))</f>
        <v/>
      </c>
      <c r="V568" s="20">
        <f>IF(I568="","",IF(IFERROR(INDEX(ctaLiq,MATCH(E568,ctaNom,0))="Sí",FALSE),IF(OR(I568="Gasto",I568="Transferencia",I568="Pago tarjeta"),-1,1)*O568,0)+IF(AND(U568&lt;&gt;"",IFERROR(INDEX(ctaLiq,MATCH(G568,ctaNom,0))="Sí",FALSE)),O568,0))</f>
        <v/>
      </c>
      <c r="W568" s="19">
        <f>IF(OR(F568="",I568=""),"",IF(COUNTIFS(F$6:F568,F568,I$6:I568,"?*")=1,MAX(W$5:W567)+1,""))</f>
        <v/>
      </c>
    </row>
    <row r="569">
      <c r="B569" s="15" t="n"/>
      <c r="C569" s="16" t="n"/>
      <c r="D569" s="17" t="n"/>
      <c r="E569" s="17" t="n"/>
      <c r="F569" s="17" t="n"/>
      <c r="G569" s="17" t="n"/>
      <c r="H569" s="18">
        <f>IF(AND(B569="",C569="",D569="",E569=""),"",IF(B569="","⚠ Falta fecha",IF(C569="","⚠ Falta monto",IF(D569="","⚠ Falta categoría",IF(ISNA(MATCH(D569,catNom,0)),"⚠ Categoría no existe",IF(E569="","⚠ Falta cuenta",IF(ISNA(MATCH(E569,ctaNom,0)),"⚠ Cuenta no existe",IF(AND(OR(I569="Transferencia",I569="Pago tarjeta"),G569=""),"⚠ Indica la cuenta «Hacia»",IF(AND(G569&lt;&gt;"",G569=E569),"⚠ «Hacia» igual a la cuenta",IF(AND(G569&lt;&gt;"",ISNA(MATCH(G569,ctaNom,0))),"⚠ «Hacia» no existe",IF(AND(I569="Pago tarjeta",IFERROR(INDEX(ctaTipo,MATCH(G569,ctaNom,0)),"")&lt;&gt;"Tarjeta de crédito"),"⚠ «Hacia» debe ser la tarjeta",IF(AND(I569="Trading",IFERROR(INDEX(ctaTipo,MATCH(E569,ctaNom,0)),"")&lt;&gt;"Cuenta de trading"),"⚠ Usa la cuenta de trading","✓"))))))))))))</f>
        <v/>
      </c>
      <c r="I569" s="19">
        <f>IF(OR(B569="",C569="",D569=""),"",IFERROR(INDEX(catTipo,MATCH(D569,catNom,0))&amp;"",""))</f>
        <v/>
      </c>
      <c r="J569" s="19">
        <f>IF(I569="","",IFERROR(INDEX(catGrupo,MATCH(D569,catNom,0))&amp;"",""))</f>
        <v/>
      </c>
      <c r="K569" s="19">
        <f>IF(I569="Gasto",IF(IFERROR(INDEX(catClas,MATCH(D569,catNom,0))&amp;"","")="","Variable",IFERROR(INDEX(catClas,MATCH(D569,catNom,0))&amp;"","")),"")</f>
        <v/>
      </c>
      <c r="L569" s="19">
        <f>IF(I569="","",IFERROR(INDEX(catAlim,MATCH(D569,catNom,0))&amp;"",""))</f>
        <v/>
      </c>
      <c r="M569" s="19">
        <f>IF(I569="","",IFERROR(INDEX(catComida,MATCH(D569,catNom,0))&amp;"",""))</f>
        <v/>
      </c>
      <c r="N569" s="19">
        <f>IF(I569="","",IFERROR(INDEX(ctaMon,MATCH(E569,ctaNom,0))&amp;"","DOP"))</f>
        <v/>
      </c>
      <c r="O569" s="20">
        <f>IF(I569="","",C569*IF(N569="USD",TasaUSD,1))</f>
        <v/>
      </c>
      <c r="P569" s="20">
        <f>IF(I569="","",IF(I569="Gasto",O569,0))</f>
        <v/>
      </c>
      <c r="Q569" s="20">
        <f>IF(I569="","",IF(I569="Ingreso",O569,0))</f>
        <v/>
      </c>
      <c r="R569" s="20">
        <f>IF(I569="","",IF(I569="Trading",O569,0))</f>
        <v/>
      </c>
      <c r="S569" s="19">
        <f>IF(I569="","",IF(AND(I569="Gasto",K569="Variable",J569&lt;&gt;"Trading",O569&gt;0,O569&lt;=Umbral),1,0))</f>
        <v/>
      </c>
      <c r="T569" s="20">
        <f>IF(OR(I569="",E569=""),"",IF(OR(I569="Gasto",I569="Transferencia",I569="Pago tarjeta"),-1,1)*C569)</f>
        <v/>
      </c>
      <c r="U569" s="20">
        <f>IF(OR(G569="",AND(I569&lt;&gt;"Transferencia",I569&lt;&gt;"Pago tarjeta")),"",IF(IFERROR(INDEX(ctaMon,MATCH(G569,ctaNom,0))&amp;"","DOP")=N569,C569,IF(N569="USD",C569*TasaUSD,C569/TasaUSD)))</f>
        <v/>
      </c>
      <c r="V569" s="20">
        <f>IF(I569="","",IF(IFERROR(INDEX(ctaLiq,MATCH(E569,ctaNom,0))="Sí",FALSE),IF(OR(I569="Gasto",I569="Transferencia",I569="Pago tarjeta"),-1,1)*O569,0)+IF(AND(U569&lt;&gt;"",IFERROR(INDEX(ctaLiq,MATCH(G569,ctaNom,0))="Sí",FALSE)),O569,0))</f>
        <v/>
      </c>
      <c r="W569" s="19">
        <f>IF(OR(F569="",I569=""),"",IF(COUNTIFS(F$6:F569,F569,I$6:I569,"?*")=1,MAX(W$5:W568)+1,""))</f>
        <v/>
      </c>
    </row>
    <row r="570">
      <c r="B570" s="15" t="n"/>
      <c r="C570" s="16" t="n"/>
      <c r="D570" s="17" t="n"/>
      <c r="E570" s="17" t="n"/>
      <c r="F570" s="17" t="n"/>
      <c r="G570" s="17" t="n"/>
      <c r="H570" s="18">
        <f>IF(AND(B570="",C570="",D570="",E570=""),"",IF(B570="","⚠ Falta fecha",IF(C570="","⚠ Falta monto",IF(D570="","⚠ Falta categoría",IF(ISNA(MATCH(D570,catNom,0)),"⚠ Categoría no existe",IF(E570="","⚠ Falta cuenta",IF(ISNA(MATCH(E570,ctaNom,0)),"⚠ Cuenta no existe",IF(AND(OR(I570="Transferencia",I570="Pago tarjeta"),G570=""),"⚠ Indica la cuenta «Hacia»",IF(AND(G570&lt;&gt;"",G570=E570),"⚠ «Hacia» igual a la cuenta",IF(AND(G570&lt;&gt;"",ISNA(MATCH(G570,ctaNom,0))),"⚠ «Hacia» no existe",IF(AND(I570="Pago tarjeta",IFERROR(INDEX(ctaTipo,MATCH(G570,ctaNom,0)),"")&lt;&gt;"Tarjeta de crédito"),"⚠ «Hacia» debe ser la tarjeta",IF(AND(I570="Trading",IFERROR(INDEX(ctaTipo,MATCH(E570,ctaNom,0)),"")&lt;&gt;"Cuenta de trading"),"⚠ Usa la cuenta de trading","✓"))))))))))))</f>
        <v/>
      </c>
      <c r="I570" s="19">
        <f>IF(OR(B570="",C570="",D570=""),"",IFERROR(INDEX(catTipo,MATCH(D570,catNom,0))&amp;"",""))</f>
        <v/>
      </c>
      <c r="J570" s="19">
        <f>IF(I570="","",IFERROR(INDEX(catGrupo,MATCH(D570,catNom,0))&amp;"",""))</f>
        <v/>
      </c>
      <c r="K570" s="19">
        <f>IF(I570="Gasto",IF(IFERROR(INDEX(catClas,MATCH(D570,catNom,0))&amp;"","")="","Variable",IFERROR(INDEX(catClas,MATCH(D570,catNom,0))&amp;"","")),"")</f>
        <v/>
      </c>
      <c r="L570" s="19">
        <f>IF(I570="","",IFERROR(INDEX(catAlim,MATCH(D570,catNom,0))&amp;"",""))</f>
        <v/>
      </c>
      <c r="M570" s="19">
        <f>IF(I570="","",IFERROR(INDEX(catComida,MATCH(D570,catNom,0))&amp;"",""))</f>
        <v/>
      </c>
      <c r="N570" s="19">
        <f>IF(I570="","",IFERROR(INDEX(ctaMon,MATCH(E570,ctaNom,0))&amp;"","DOP"))</f>
        <v/>
      </c>
      <c r="O570" s="20">
        <f>IF(I570="","",C570*IF(N570="USD",TasaUSD,1))</f>
        <v/>
      </c>
      <c r="P570" s="20">
        <f>IF(I570="","",IF(I570="Gasto",O570,0))</f>
        <v/>
      </c>
      <c r="Q570" s="20">
        <f>IF(I570="","",IF(I570="Ingreso",O570,0))</f>
        <v/>
      </c>
      <c r="R570" s="20">
        <f>IF(I570="","",IF(I570="Trading",O570,0))</f>
        <v/>
      </c>
      <c r="S570" s="19">
        <f>IF(I570="","",IF(AND(I570="Gasto",K570="Variable",J570&lt;&gt;"Trading",O570&gt;0,O570&lt;=Umbral),1,0))</f>
        <v/>
      </c>
      <c r="T570" s="20">
        <f>IF(OR(I570="",E570=""),"",IF(OR(I570="Gasto",I570="Transferencia",I570="Pago tarjeta"),-1,1)*C570)</f>
        <v/>
      </c>
      <c r="U570" s="20">
        <f>IF(OR(G570="",AND(I570&lt;&gt;"Transferencia",I570&lt;&gt;"Pago tarjeta")),"",IF(IFERROR(INDEX(ctaMon,MATCH(G570,ctaNom,0))&amp;"","DOP")=N570,C570,IF(N570="USD",C570*TasaUSD,C570/TasaUSD)))</f>
        <v/>
      </c>
      <c r="V570" s="20">
        <f>IF(I570="","",IF(IFERROR(INDEX(ctaLiq,MATCH(E570,ctaNom,0))="Sí",FALSE),IF(OR(I570="Gasto",I570="Transferencia",I570="Pago tarjeta"),-1,1)*O570,0)+IF(AND(U570&lt;&gt;"",IFERROR(INDEX(ctaLiq,MATCH(G570,ctaNom,0))="Sí",FALSE)),O570,0))</f>
        <v/>
      </c>
      <c r="W570" s="19">
        <f>IF(OR(F570="",I570=""),"",IF(COUNTIFS(F$6:F570,F570,I$6:I570,"?*")=1,MAX(W$5:W569)+1,""))</f>
        <v/>
      </c>
    </row>
    <row r="571">
      <c r="B571" s="15" t="n"/>
      <c r="C571" s="16" t="n"/>
      <c r="D571" s="17" t="n"/>
      <c r="E571" s="17" t="n"/>
      <c r="F571" s="17" t="n"/>
      <c r="G571" s="17" t="n"/>
      <c r="H571" s="18">
        <f>IF(AND(B571="",C571="",D571="",E571=""),"",IF(B571="","⚠ Falta fecha",IF(C571="","⚠ Falta monto",IF(D571="","⚠ Falta categoría",IF(ISNA(MATCH(D571,catNom,0)),"⚠ Categoría no existe",IF(E571="","⚠ Falta cuenta",IF(ISNA(MATCH(E571,ctaNom,0)),"⚠ Cuenta no existe",IF(AND(OR(I571="Transferencia",I571="Pago tarjeta"),G571=""),"⚠ Indica la cuenta «Hacia»",IF(AND(G571&lt;&gt;"",G571=E571),"⚠ «Hacia» igual a la cuenta",IF(AND(G571&lt;&gt;"",ISNA(MATCH(G571,ctaNom,0))),"⚠ «Hacia» no existe",IF(AND(I571="Pago tarjeta",IFERROR(INDEX(ctaTipo,MATCH(G571,ctaNom,0)),"")&lt;&gt;"Tarjeta de crédito"),"⚠ «Hacia» debe ser la tarjeta",IF(AND(I571="Trading",IFERROR(INDEX(ctaTipo,MATCH(E571,ctaNom,0)),"")&lt;&gt;"Cuenta de trading"),"⚠ Usa la cuenta de trading","✓"))))))))))))</f>
        <v/>
      </c>
      <c r="I571" s="19">
        <f>IF(OR(B571="",C571="",D571=""),"",IFERROR(INDEX(catTipo,MATCH(D571,catNom,0))&amp;"",""))</f>
        <v/>
      </c>
      <c r="J571" s="19">
        <f>IF(I571="","",IFERROR(INDEX(catGrupo,MATCH(D571,catNom,0))&amp;"",""))</f>
        <v/>
      </c>
      <c r="K571" s="19">
        <f>IF(I571="Gasto",IF(IFERROR(INDEX(catClas,MATCH(D571,catNom,0))&amp;"","")="","Variable",IFERROR(INDEX(catClas,MATCH(D571,catNom,0))&amp;"","")),"")</f>
        <v/>
      </c>
      <c r="L571" s="19">
        <f>IF(I571="","",IFERROR(INDEX(catAlim,MATCH(D571,catNom,0))&amp;"",""))</f>
        <v/>
      </c>
      <c r="M571" s="19">
        <f>IF(I571="","",IFERROR(INDEX(catComida,MATCH(D571,catNom,0))&amp;"",""))</f>
        <v/>
      </c>
      <c r="N571" s="19">
        <f>IF(I571="","",IFERROR(INDEX(ctaMon,MATCH(E571,ctaNom,0))&amp;"","DOP"))</f>
        <v/>
      </c>
      <c r="O571" s="20">
        <f>IF(I571="","",C571*IF(N571="USD",TasaUSD,1))</f>
        <v/>
      </c>
      <c r="P571" s="20">
        <f>IF(I571="","",IF(I571="Gasto",O571,0))</f>
        <v/>
      </c>
      <c r="Q571" s="20">
        <f>IF(I571="","",IF(I571="Ingreso",O571,0))</f>
        <v/>
      </c>
      <c r="R571" s="20">
        <f>IF(I571="","",IF(I571="Trading",O571,0))</f>
        <v/>
      </c>
      <c r="S571" s="19">
        <f>IF(I571="","",IF(AND(I571="Gasto",K571="Variable",J571&lt;&gt;"Trading",O571&gt;0,O571&lt;=Umbral),1,0))</f>
        <v/>
      </c>
      <c r="T571" s="20">
        <f>IF(OR(I571="",E571=""),"",IF(OR(I571="Gasto",I571="Transferencia",I571="Pago tarjeta"),-1,1)*C571)</f>
        <v/>
      </c>
      <c r="U571" s="20">
        <f>IF(OR(G571="",AND(I571&lt;&gt;"Transferencia",I571&lt;&gt;"Pago tarjeta")),"",IF(IFERROR(INDEX(ctaMon,MATCH(G571,ctaNom,0))&amp;"","DOP")=N571,C571,IF(N571="USD",C571*TasaUSD,C571/TasaUSD)))</f>
        <v/>
      </c>
      <c r="V571" s="20">
        <f>IF(I571="","",IF(IFERROR(INDEX(ctaLiq,MATCH(E571,ctaNom,0))="Sí",FALSE),IF(OR(I571="Gasto",I571="Transferencia",I571="Pago tarjeta"),-1,1)*O571,0)+IF(AND(U571&lt;&gt;"",IFERROR(INDEX(ctaLiq,MATCH(G571,ctaNom,0))="Sí",FALSE)),O571,0))</f>
        <v/>
      </c>
      <c r="W571" s="19">
        <f>IF(OR(F571="",I571=""),"",IF(COUNTIFS(F$6:F571,F571,I$6:I571,"?*")=1,MAX(W$5:W570)+1,""))</f>
        <v/>
      </c>
    </row>
    <row r="572">
      <c r="B572" s="15" t="n"/>
      <c r="C572" s="16" t="n"/>
      <c r="D572" s="17" t="n"/>
      <c r="E572" s="17" t="n"/>
      <c r="F572" s="17" t="n"/>
      <c r="G572" s="17" t="n"/>
      <c r="H572" s="18">
        <f>IF(AND(B572="",C572="",D572="",E572=""),"",IF(B572="","⚠ Falta fecha",IF(C572="","⚠ Falta monto",IF(D572="","⚠ Falta categoría",IF(ISNA(MATCH(D572,catNom,0)),"⚠ Categoría no existe",IF(E572="","⚠ Falta cuenta",IF(ISNA(MATCH(E572,ctaNom,0)),"⚠ Cuenta no existe",IF(AND(OR(I572="Transferencia",I572="Pago tarjeta"),G572=""),"⚠ Indica la cuenta «Hacia»",IF(AND(G572&lt;&gt;"",G572=E572),"⚠ «Hacia» igual a la cuenta",IF(AND(G572&lt;&gt;"",ISNA(MATCH(G572,ctaNom,0))),"⚠ «Hacia» no existe",IF(AND(I572="Pago tarjeta",IFERROR(INDEX(ctaTipo,MATCH(G572,ctaNom,0)),"")&lt;&gt;"Tarjeta de crédito"),"⚠ «Hacia» debe ser la tarjeta",IF(AND(I572="Trading",IFERROR(INDEX(ctaTipo,MATCH(E572,ctaNom,0)),"")&lt;&gt;"Cuenta de trading"),"⚠ Usa la cuenta de trading","✓"))))))))))))</f>
        <v/>
      </c>
      <c r="I572" s="19">
        <f>IF(OR(B572="",C572="",D572=""),"",IFERROR(INDEX(catTipo,MATCH(D572,catNom,0))&amp;"",""))</f>
        <v/>
      </c>
      <c r="J572" s="19">
        <f>IF(I572="","",IFERROR(INDEX(catGrupo,MATCH(D572,catNom,0))&amp;"",""))</f>
        <v/>
      </c>
      <c r="K572" s="19">
        <f>IF(I572="Gasto",IF(IFERROR(INDEX(catClas,MATCH(D572,catNom,0))&amp;"","")="","Variable",IFERROR(INDEX(catClas,MATCH(D572,catNom,0))&amp;"","")),"")</f>
        <v/>
      </c>
      <c r="L572" s="19">
        <f>IF(I572="","",IFERROR(INDEX(catAlim,MATCH(D572,catNom,0))&amp;"",""))</f>
        <v/>
      </c>
      <c r="M572" s="19">
        <f>IF(I572="","",IFERROR(INDEX(catComida,MATCH(D572,catNom,0))&amp;"",""))</f>
        <v/>
      </c>
      <c r="N572" s="19">
        <f>IF(I572="","",IFERROR(INDEX(ctaMon,MATCH(E572,ctaNom,0))&amp;"","DOP"))</f>
        <v/>
      </c>
      <c r="O572" s="20">
        <f>IF(I572="","",C572*IF(N572="USD",TasaUSD,1))</f>
        <v/>
      </c>
      <c r="P572" s="20">
        <f>IF(I572="","",IF(I572="Gasto",O572,0))</f>
        <v/>
      </c>
      <c r="Q572" s="20">
        <f>IF(I572="","",IF(I572="Ingreso",O572,0))</f>
        <v/>
      </c>
      <c r="R572" s="20">
        <f>IF(I572="","",IF(I572="Trading",O572,0))</f>
        <v/>
      </c>
      <c r="S572" s="19">
        <f>IF(I572="","",IF(AND(I572="Gasto",K572="Variable",J572&lt;&gt;"Trading",O572&gt;0,O572&lt;=Umbral),1,0))</f>
        <v/>
      </c>
      <c r="T572" s="20">
        <f>IF(OR(I572="",E572=""),"",IF(OR(I572="Gasto",I572="Transferencia",I572="Pago tarjeta"),-1,1)*C572)</f>
        <v/>
      </c>
      <c r="U572" s="20">
        <f>IF(OR(G572="",AND(I572&lt;&gt;"Transferencia",I572&lt;&gt;"Pago tarjeta")),"",IF(IFERROR(INDEX(ctaMon,MATCH(G572,ctaNom,0))&amp;"","DOP")=N572,C572,IF(N572="USD",C572*TasaUSD,C572/TasaUSD)))</f>
        <v/>
      </c>
      <c r="V572" s="20">
        <f>IF(I572="","",IF(IFERROR(INDEX(ctaLiq,MATCH(E572,ctaNom,0))="Sí",FALSE),IF(OR(I572="Gasto",I572="Transferencia",I572="Pago tarjeta"),-1,1)*O572,0)+IF(AND(U572&lt;&gt;"",IFERROR(INDEX(ctaLiq,MATCH(G572,ctaNom,0))="Sí",FALSE)),O572,0))</f>
        <v/>
      </c>
      <c r="W572" s="19">
        <f>IF(OR(F572="",I572=""),"",IF(COUNTIFS(F$6:F572,F572,I$6:I572,"?*")=1,MAX(W$5:W571)+1,""))</f>
        <v/>
      </c>
    </row>
    <row r="573">
      <c r="B573" s="15" t="n"/>
      <c r="C573" s="16" t="n"/>
      <c r="D573" s="17" t="n"/>
      <c r="E573" s="17" t="n"/>
      <c r="F573" s="17" t="n"/>
      <c r="G573" s="17" t="n"/>
      <c r="H573" s="18">
        <f>IF(AND(B573="",C573="",D573="",E573=""),"",IF(B573="","⚠ Falta fecha",IF(C573="","⚠ Falta monto",IF(D573="","⚠ Falta categoría",IF(ISNA(MATCH(D573,catNom,0)),"⚠ Categoría no existe",IF(E573="","⚠ Falta cuenta",IF(ISNA(MATCH(E573,ctaNom,0)),"⚠ Cuenta no existe",IF(AND(OR(I573="Transferencia",I573="Pago tarjeta"),G573=""),"⚠ Indica la cuenta «Hacia»",IF(AND(G573&lt;&gt;"",G573=E573),"⚠ «Hacia» igual a la cuenta",IF(AND(G573&lt;&gt;"",ISNA(MATCH(G573,ctaNom,0))),"⚠ «Hacia» no existe",IF(AND(I573="Pago tarjeta",IFERROR(INDEX(ctaTipo,MATCH(G573,ctaNom,0)),"")&lt;&gt;"Tarjeta de crédito"),"⚠ «Hacia» debe ser la tarjeta",IF(AND(I573="Trading",IFERROR(INDEX(ctaTipo,MATCH(E573,ctaNom,0)),"")&lt;&gt;"Cuenta de trading"),"⚠ Usa la cuenta de trading","✓"))))))))))))</f>
        <v/>
      </c>
      <c r="I573" s="19">
        <f>IF(OR(B573="",C573="",D573=""),"",IFERROR(INDEX(catTipo,MATCH(D573,catNom,0))&amp;"",""))</f>
        <v/>
      </c>
      <c r="J573" s="19">
        <f>IF(I573="","",IFERROR(INDEX(catGrupo,MATCH(D573,catNom,0))&amp;"",""))</f>
        <v/>
      </c>
      <c r="K573" s="19">
        <f>IF(I573="Gasto",IF(IFERROR(INDEX(catClas,MATCH(D573,catNom,0))&amp;"","")="","Variable",IFERROR(INDEX(catClas,MATCH(D573,catNom,0))&amp;"","")),"")</f>
        <v/>
      </c>
      <c r="L573" s="19">
        <f>IF(I573="","",IFERROR(INDEX(catAlim,MATCH(D573,catNom,0))&amp;"",""))</f>
        <v/>
      </c>
      <c r="M573" s="19">
        <f>IF(I573="","",IFERROR(INDEX(catComida,MATCH(D573,catNom,0))&amp;"",""))</f>
        <v/>
      </c>
      <c r="N573" s="19">
        <f>IF(I573="","",IFERROR(INDEX(ctaMon,MATCH(E573,ctaNom,0))&amp;"","DOP"))</f>
        <v/>
      </c>
      <c r="O573" s="20">
        <f>IF(I573="","",C573*IF(N573="USD",TasaUSD,1))</f>
        <v/>
      </c>
      <c r="P573" s="20">
        <f>IF(I573="","",IF(I573="Gasto",O573,0))</f>
        <v/>
      </c>
      <c r="Q573" s="20">
        <f>IF(I573="","",IF(I573="Ingreso",O573,0))</f>
        <v/>
      </c>
      <c r="R573" s="20">
        <f>IF(I573="","",IF(I573="Trading",O573,0))</f>
        <v/>
      </c>
      <c r="S573" s="19">
        <f>IF(I573="","",IF(AND(I573="Gasto",K573="Variable",J573&lt;&gt;"Trading",O573&gt;0,O573&lt;=Umbral),1,0))</f>
        <v/>
      </c>
      <c r="T573" s="20">
        <f>IF(OR(I573="",E573=""),"",IF(OR(I573="Gasto",I573="Transferencia",I573="Pago tarjeta"),-1,1)*C573)</f>
        <v/>
      </c>
      <c r="U573" s="20">
        <f>IF(OR(G573="",AND(I573&lt;&gt;"Transferencia",I573&lt;&gt;"Pago tarjeta")),"",IF(IFERROR(INDEX(ctaMon,MATCH(G573,ctaNom,0))&amp;"","DOP")=N573,C573,IF(N573="USD",C573*TasaUSD,C573/TasaUSD)))</f>
        <v/>
      </c>
      <c r="V573" s="20">
        <f>IF(I573="","",IF(IFERROR(INDEX(ctaLiq,MATCH(E573,ctaNom,0))="Sí",FALSE),IF(OR(I573="Gasto",I573="Transferencia",I573="Pago tarjeta"),-1,1)*O573,0)+IF(AND(U573&lt;&gt;"",IFERROR(INDEX(ctaLiq,MATCH(G573,ctaNom,0))="Sí",FALSE)),O573,0))</f>
        <v/>
      </c>
      <c r="W573" s="19">
        <f>IF(OR(F573="",I573=""),"",IF(COUNTIFS(F$6:F573,F573,I$6:I573,"?*")=1,MAX(W$5:W572)+1,""))</f>
        <v/>
      </c>
    </row>
    <row r="574">
      <c r="B574" s="15" t="n"/>
      <c r="C574" s="16" t="n"/>
      <c r="D574" s="17" t="n"/>
      <c r="E574" s="17" t="n"/>
      <c r="F574" s="17" t="n"/>
      <c r="G574" s="17" t="n"/>
      <c r="H574" s="18">
        <f>IF(AND(B574="",C574="",D574="",E574=""),"",IF(B574="","⚠ Falta fecha",IF(C574="","⚠ Falta monto",IF(D574="","⚠ Falta categoría",IF(ISNA(MATCH(D574,catNom,0)),"⚠ Categoría no existe",IF(E574="","⚠ Falta cuenta",IF(ISNA(MATCH(E574,ctaNom,0)),"⚠ Cuenta no existe",IF(AND(OR(I574="Transferencia",I574="Pago tarjeta"),G574=""),"⚠ Indica la cuenta «Hacia»",IF(AND(G574&lt;&gt;"",G574=E574),"⚠ «Hacia» igual a la cuenta",IF(AND(G574&lt;&gt;"",ISNA(MATCH(G574,ctaNom,0))),"⚠ «Hacia» no existe",IF(AND(I574="Pago tarjeta",IFERROR(INDEX(ctaTipo,MATCH(G574,ctaNom,0)),"")&lt;&gt;"Tarjeta de crédito"),"⚠ «Hacia» debe ser la tarjeta",IF(AND(I574="Trading",IFERROR(INDEX(ctaTipo,MATCH(E574,ctaNom,0)),"")&lt;&gt;"Cuenta de trading"),"⚠ Usa la cuenta de trading","✓"))))))))))))</f>
        <v/>
      </c>
      <c r="I574" s="19">
        <f>IF(OR(B574="",C574="",D574=""),"",IFERROR(INDEX(catTipo,MATCH(D574,catNom,0))&amp;"",""))</f>
        <v/>
      </c>
      <c r="J574" s="19">
        <f>IF(I574="","",IFERROR(INDEX(catGrupo,MATCH(D574,catNom,0))&amp;"",""))</f>
        <v/>
      </c>
      <c r="K574" s="19">
        <f>IF(I574="Gasto",IF(IFERROR(INDEX(catClas,MATCH(D574,catNom,0))&amp;"","")="","Variable",IFERROR(INDEX(catClas,MATCH(D574,catNom,0))&amp;"","")),"")</f>
        <v/>
      </c>
      <c r="L574" s="19">
        <f>IF(I574="","",IFERROR(INDEX(catAlim,MATCH(D574,catNom,0))&amp;"",""))</f>
        <v/>
      </c>
      <c r="M574" s="19">
        <f>IF(I574="","",IFERROR(INDEX(catComida,MATCH(D574,catNom,0))&amp;"",""))</f>
        <v/>
      </c>
      <c r="N574" s="19">
        <f>IF(I574="","",IFERROR(INDEX(ctaMon,MATCH(E574,ctaNom,0))&amp;"","DOP"))</f>
        <v/>
      </c>
      <c r="O574" s="20">
        <f>IF(I574="","",C574*IF(N574="USD",TasaUSD,1))</f>
        <v/>
      </c>
      <c r="P574" s="20">
        <f>IF(I574="","",IF(I574="Gasto",O574,0))</f>
        <v/>
      </c>
      <c r="Q574" s="20">
        <f>IF(I574="","",IF(I574="Ingreso",O574,0))</f>
        <v/>
      </c>
      <c r="R574" s="20">
        <f>IF(I574="","",IF(I574="Trading",O574,0))</f>
        <v/>
      </c>
      <c r="S574" s="19">
        <f>IF(I574="","",IF(AND(I574="Gasto",K574="Variable",J574&lt;&gt;"Trading",O574&gt;0,O574&lt;=Umbral),1,0))</f>
        <v/>
      </c>
      <c r="T574" s="20">
        <f>IF(OR(I574="",E574=""),"",IF(OR(I574="Gasto",I574="Transferencia",I574="Pago tarjeta"),-1,1)*C574)</f>
        <v/>
      </c>
      <c r="U574" s="20">
        <f>IF(OR(G574="",AND(I574&lt;&gt;"Transferencia",I574&lt;&gt;"Pago tarjeta")),"",IF(IFERROR(INDEX(ctaMon,MATCH(G574,ctaNom,0))&amp;"","DOP")=N574,C574,IF(N574="USD",C574*TasaUSD,C574/TasaUSD)))</f>
        <v/>
      </c>
      <c r="V574" s="20">
        <f>IF(I574="","",IF(IFERROR(INDEX(ctaLiq,MATCH(E574,ctaNom,0))="Sí",FALSE),IF(OR(I574="Gasto",I574="Transferencia",I574="Pago tarjeta"),-1,1)*O574,0)+IF(AND(U574&lt;&gt;"",IFERROR(INDEX(ctaLiq,MATCH(G574,ctaNom,0))="Sí",FALSE)),O574,0))</f>
        <v/>
      </c>
      <c r="W574" s="19">
        <f>IF(OR(F574="",I574=""),"",IF(COUNTIFS(F$6:F574,F574,I$6:I574,"?*")=1,MAX(W$5:W573)+1,""))</f>
        <v/>
      </c>
    </row>
    <row r="575">
      <c r="B575" s="15" t="n"/>
      <c r="C575" s="16" t="n"/>
      <c r="D575" s="17" t="n"/>
      <c r="E575" s="17" t="n"/>
      <c r="F575" s="17" t="n"/>
      <c r="G575" s="17" t="n"/>
      <c r="H575" s="18">
        <f>IF(AND(B575="",C575="",D575="",E575=""),"",IF(B575="","⚠ Falta fecha",IF(C575="","⚠ Falta monto",IF(D575="","⚠ Falta categoría",IF(ISNA(MATCH(D575,catNom,0)),"⚠ Categoría no existe",IF(E575="","⚠ Falta cuenta",IF(ISNA(MATCH(E575,ctaNom,0)),"⚠ Cuenta no existe",IF(AND(OR(I575="Transferencia",I575="Pago tarjeta"),G575=""),"⚠ Indica la cuenta «Hacia»",IF(AND(G575&lt;&gt;"",G575=E575),"⚠ «Hacia» igual a la cuenta",IF(AND(G575&lt;&gt;"",ISNA(MATCH(G575,ctaNom,0))),"⚠ «Hacia» no existe",IF(AND(I575="Pago tarjeta",IFERROR(INDEX(ctaTipo,MATCH(G575,ctaNom,0)),"")&lt;&gt;"Tarjeta de crédito"),"⚠ «Hacia» debe ser la tarjeta",IF(AND(I575="Trading",IFERROR(INDEX(ctaTipo,MATCH(E575,ctaNom,0)),"")&lt;&gt;"Cuenta de trading"),"⚠ Usa la cuenta de trading","✓"))))))))))))</f>
        <v/>
      </c>
      <c r="I575" s="19">
        <f>IF(OR(B575="",C575="",D575=""),"",IFERROR(INDEX(catTipo,MATCH(D575,catNom,0))&amp;"",""))</f>
        <v/>
      </c>
      <c r="J575" s="19">
        <f>IF(I575="","",IFERROR(INDEX(catGrupo,MATCH(D575,catNom,0))&amp;"",""))</f>
        <v/>
      </c>
      <c r="K575" s="19">
        <f>IF(I575="Gasto",IF(IFERROR(INDEX(catClas,MATCH(D575,catNom,0))&amp;"","")="","Variable",IFERROR(INDEX(catClas,MATCH(D575,catNom,0))&amp;"","")),"")</f>
        <v/>
      </c>
      <c r="L575" s="19">
        <f>IF(I575="","",IFERROR(INDEX(catAlim,MATCH(D575,catNom,0))&amp;"",""))</f>
        <v/>
      </c>
      <c r="M575" s="19">
        <f>IF(I575="","",IFERROR(INDEX(catComida,MATCH(D575,catNom,0))&amp;"",""))</f>
        <v/>
      </c>
      <c r="N575" s="19">
        <f>IF(I575="","",IFERROR(INDEX(ctaMon,MATCH(E575,ctaNom,0))&amp;"","DOP"))</f>
        <v/>
      </c>
      <c r="O575" s="20">
        <f>IF(I575="","",C575*IF(N575="USD",TasaUSD,1))</f>
        <v/>
      </c>
      <c r="P575" s="20">
        <f>IF(I575="","",IF(I575="Gasto",O575,0))</f>
        <v/>
      </c>
      <c r="Q575" s="20">
        <f>IF(I575="","",IF(I575="Ingreso",O575,0))</f>
        <v/>
      </c>
      <c r="R575" s="20">
        <f>IF(I575="","",IF(I575="Trading",O575,0))</f>
        <v/>
      </c>
      <c r="S575" s="19">
        <f>IF(I575="","",IF(AND(I575="Gasto",K575="Variable",J575&lt;&gt;"Trading",O575&gt;0,O575&lt;=Umbral),1,0))</f>
        <v/>
      </c>
      <c r="T575" s="20">
        <f>IF(OR(I575="",E575=""),"",IF(OR(I575="Gasto",I575="Transferencia",I575="Pago tarjeta"),-1,1)*C575)</f>
        <v/>
      </c>
      <c r="U575" s="20">
        <f>IF(OR(G575="",AND(I575&lt;&gt;"Transferencia",I575&lt;&gt;"Pago tarjeta")),"",IF(IFERROR(INDEX(ctaMon,MATCH(G575,ctaNom,0))&amp;"","DOP")=N575,C575,IF(N575="USD",C575*TasaUSD,C575/TasaUSD)))</f>
        <v/>
      </c>
      <c r="V575" s="20">
        <f>IF(I575="","",IF(IFERROR(INDEX(ctaLiq,MATCH(E575,ctaNom,0))="Sí",FALSE),IF(OR(I575="Gasto",I575="Transferencia",I575="Pago tarjeta"),-1,1)*O575,0)+IF(AND(U575&lt;&gt;"",IFERROR(INDEX(ctaLiq,MATCH(G575,ctaNom,0))="Sí",FALSE)),O575,0))</f>
        <v/>
      </c>
      <c r="W575" s="19">
        <f>IF(OR(F575="",I575=""),"",IF(COUNTIFS(F$6:F575,F575,I$6:I575,"?*")=1,MAX(W$5:W574)+1,""))</f>
        <v/>
      </c>
    </row>
    <row r="576">
      <c r="B576" s="15" t="n"/>
      <c r="C576" s="16" t="n"/>
      <c r="D576" s="17" t="n"/>
      <c r="E576" s="17" t="n"/>
      <c r="F576" s="17" t="n"/>
      <c r="G576" s="17" t="n"/>
      <c r="H576" s="18">
        <f>IF(AND(B576="",C576="",D576="",E576=""),"",IF(B576="","⚠ Falta fecha",IF(C576="","⚠ Falta monto",IF(D576="","⚠ Falta categoría",IF(ISNA(MATCH(D576,catNom,0)),"⚠ Categoría no existe",IF(E576="","⚠ Falta cuenta",IF(ISNA(MATCH(E576,ctaNom,0)),"⚠ Cuenta no existe",IF(AND(OR(I576="Transferencia",I576="Pago tarjeta"),G576=""),"⚠ Indica la cuenta «Hacia»",IF(AND(G576&lt;&gt;"",G576=E576),"⚠ «Hacia» igual a la cuenta",IF(AND(G576&lt;&gt;"",ISNA(MATCH(G576,ctaNom,0))),"⚠ «Hacia» no existe",IF(AND(I576="Pago tarjeta",IFERROR(INDEX(ctaTipo,MATCH(G576,ctaNom,0)),"")&lt;&gt;"Tarjeta de crédito"),"⚠ «Hacia» debe ser la tarjeta",IF(AND(I576="Trading",IFERROR(INDEX(ctaTipo,MATCH(E576,ctaNom,0)),"")&lt;&gt;"Cuenta de trading"),"⚠ Usa la cuenta de trading","✓"))))))))))))</f>
        <v/>
      </c>
      <c r="I576" s="19">
        <f>IF(OR(B576="",C576="",D576=""),"",IFERROR(INDEX(catTipo,MATCH(D576,catNom,0))&amp;"",""))</f>
        <v/>
      </c>
      <c r="J576" s="19">
        <f>IF(I576="","",IFERROR(INDEX(catGrupo,MATCH(D576,catNom,0))&amp;"",""))</f>
        <v/>
      </c>
      <c r="K576" s="19">
        <f>IF(I576="Gasto",IF(IFERROR(INDEX(catClas,MATCH(D576,catNom,0))&amp;"","")="","Variable",IFERROR(INDEX(catClas,MATCH(D576,catNom,0))&amp;"","")),"")</f>
        <v/>
      </c>
      <c r="L576" s="19">
        <f>IF(I576="","",IFERROR(INDEX(catAlim,MATCH(D576,catNom,0))&amp;"",""))</f>
        <v/>
      </c>
      <c r="M576" s="19">
        <f>IF(I576="","",IFERROR(INDEX(catComida,MATCH(D576,catNom,0))&amp;"",""))</f>
        <v/>
      </c>
      <c r="N576" s="19">
        <f>IF(I576="","",IFERROR(INDEX(ctaMon,MATCH(E576,ctaNom,0))&amp;"","DOP"))</f>
        <v/>
      </c>
      <c r="O576" s="20">
        <f>IF(I576="","",C576*IF(N576="USD",TasaUSD,1))</f>
        <v/>
      </c>
      <c r="P576" s="20">
        <f>IF(I576="","",IF(I576="Gasto",O576,0))</f>
        <v/>
      </c>
      <c r="Q576" s="20">
        <f>IF(I576="","",IF(I576="Ingreso",O576,0))</f>
        <v/>
      </c>
      <c r="R576" s="20">
        <f>IF(I576="","",IF(I576="Trading",O576,0))</f>
        <v/>
      </c>
      <c r="S576" s="19">
        <f>IF(I576="","",IF(AND(I576="Gasto",K576="Variable",J576&lt;&gt;"Trading",O576&gt;0,O576&lt;=Umbral),1,0))</f>
        <v/>
      </c>
      <c r="T576" s="20">
        <f>IF(OR(I576="",E576=""),"",IF(OR(I576="Gasto",I576="Transferencia",I576="Pago tarjeta"),-1,1)*C576)</f>
        <v/>
      </c>
      <c r="U576" s="20">
        <f>IF(OR(G576="",AND(I576&lt;&gt;"Transferencia",I576&lt;&gt;"Pago tarjeta")),"",IF(IFERROR(INDEX(ctaMon,MATCH(G576,ctaNom,0))&amp;"","DOP")=N576,C576,IF(N576="USD",C576*TasaUSD,C576/TasaUSD)))</f>
        <v/>
      </c>
      <c r="V576" s="20">
        <f>IF(I576="","",IF(IFERROR(INDEX(ctaLiq,MATCH(E576,ctaNom,0))="Sí",FALSE),IF(OR(I576="Gasto",I576="Transferencia",I576="Pago tarjeta"),-1,1)*O576,0)+IF(AND(U576&lt;&gt;"",IFERROR(INDEX(ctaLiq,MATCH(G576,ctaNom,0))="Sí",FALSE)),O576,0))</f>
        <v/>
      </c>
      <c r="W576" s="19">
        <f>IF(OR(F576="",I576=""),"",IF(COUNTIFS(F$6:F576,F576,I$6:I576,"?*")=1,MAX(W$5:W575)+1,""))</f>
        <v/>
      </c>
    </row>
    <row r="577">
      <c r="B577" s="15" t="n"/>
      <c r="C577" s="16" t="n"/>
      <c r="D577" s="17" t="n"/>
      <c r="E577" s="17" t="n"/>
      <c r="F577" s="17" t="n"/>
      <c r="G577" s="17" t="n"/>
      <c r="H577" s="18">
        <f>IF(AND(B577="",C577="",D577="",E577=""),"",IF(B577="","⚠ Falta fecha",IF(C577="","⚠ Falta monto",IF(D577="","⚠ Falta categoría",IF(ISNA(MATCH(D577,catNom,0)),"⚠ Categoría no existe",IF(E577="","⚠ Falta cuenta",IF(ISNA(MATCH(E577,ctaNom,0)),"⚠ Cuenta no existe",IF(AND(OR(I577="Transferencia",I577="Pago tarjeta"),G577=""),"⚠ Indica la cuenta «Hacia»",IF(AND(G577&lt;&gt;"",G577=E577),"⚠ «Hacia» igual a la cuenta",IF(AND(G577&lt;&gt;"",ISNA(MATCH(G577,ctaNom,0))),"⚠ «Hacia» no existe",IF(AND(I577="Pago tarjeta",IFERROR(INDEX(ctaTipo,MATCH(G577,ctaNom,0)),"")&lt;&gt;"Tarjeta de crédito"),"⚠ «Hacia» debe ser la tarjeta",IF(AND(I577="Trading",IFERROR(INDEX(ctaTipo,MATCH(E577,ctaNom,0)),"")&lt;&gt;"Cuenta de trading"),"⚠ Usa la cuenta de trading","✓"))))))))))))</f>
        <v/>
      </c>
      <c r="I577" s="19">
        <f>IF(OR(B577="",C577="",D577=""),"",IFERROR(INDEX(catTipo,MATCH(D577,catNom,0))&amp;"",""))</f>
        <v/>
      </c>
      <c r="J577" s="19">
        <f>IF(I577="","",IFERROR(INDEX(catGrupo,MATCH(D577,catNom,0))&amp;"",""))</f>
        <v/>
      </c>
      <c r="K577" s="19">
        <f>IF(I577="Gasto",IF(IFERROR(INDEX(catClas,MATCH(D577,catNom,0))&amp;"","")="","Variable",IFERROR(INDEX(catClas,MATCH(D577,catNom,0))&amp;"","")),"")</f>
        <v/>
      </c>
      <c r="L577" s="19">
        <f>IF(I577="","",IFERROR(INDEX(catAlim,MATCH(D577,catNom,0))&amp;"",""))</f>
        <v/>
      </c>
      <c r="M577" s="19">
        <f>IF(I577="","",IFERROR(INDEX(catComida,MATCH(D577,catNom,0))&amp;"",""))</f>
        <v/>
      </c>
      <c r="N577" s="19">
        <f>IF(I577="","",IFERROR(INDEX(ctaMon,MATCH(E577,ctaNom,0))&amp;"","DOP"))</f>
        <v/>
      </c>
      <c r="O577" s="20">
        <f>IF(I577="","",C577*IF(N577="USD",TasaUSD,1))</f>
        <v/>
      </c>
      <c r="P577" s="20">
        <f>IF(I577="","",IF(I577="Gasto",O577,0))</f>
        <v/>
      </c>
      <c r="Q577" s="20">
        <f>IF(I577="","",IF(I577="Ingreso",O577,0))</f>
        <v/>
      </c>
      <c r="R577" s="20">
        <f>IF(I577="","",IF(I577="Trading",O577,0))</f>
        <v/>
      </c>
      <c r="S577" s="19">
        <f>IF(I577="","",IF(AND(I577="Gasto",K577="Variable",J577&lt;&gt;"Trading",O577&gt;0,O577&lt;=Umbral),1,0))</f>
        <v/>
      </c>
      <c r="T577" s="20">
        <f>IF(OR(I577="",E577=""),"",IF(OR(I577="Gasto",I577="Transferencia",I577="Pago tarjeta"),-1,1)*C577)</f>
        <v/>
      </c>
      <c r="U577" s="20">
        <f>IF(OR(G577="",AND(I577&lt;&gt;"Transferencia",I577&lt;&gt;"Pago tarjeta")),"",IF(IFERROR(INDEX(ctaMon,MATCH(G577,ctaNom,0))&amp;"","DOP")=N577,C577,IF(N577="USD",C577*TasaUSD,C577/TasaUSD)))</f>
        <v/>
      </c>
      <c r="V577" s="20">
        <f>IF(I577="","",IF(IFERROR(INDEX(ctaLiq,MATCH(E577,ctaNom,0))="Sí",FALSE),IF(OR(I577="Gasto",I577="Transferencia",I577="Pago tarjeta"),-1,1)*O577,0)+IF(AND(U577&lt;&gt;"",IFERROR(INDEX(ctaLiq,MATCH(G577,ctaNom,0))="Sí",FALSE)),O577,0))</f>
        <v/>
      </c>
      <c r="W577" s="19">
        <f>IF(OR(F577="",I577=""),"",IF(COUNTIFS(F$6:F577,F577,I$6:I577,"?*")=1,MAX(W$5:W576)+1,""))</f>
        <v/>
      </c>
    </row>
    <row r="578">
      <c r="B578" s="15" t="n"/>
      <c r="C578" s="16" t="n"/>
      <c r="D578" s="17" t="n"/>
      <c r="E578" s="17" t="n"/>
      <c r="F578" s="17" t="n"/>
      <c r="G578" s="17" t="n"/>
      <c r="H578" s="18">
        <f>IF(AND(B578="",C578="",D578="",E578=""),"",IF(B578="","⚠ Falta fecha",IF(C578="","⚠ Falta monto",IF(D578="","⚠ Falta categoría",IF(ISNA(MATCH(D578,catNom,0)),"⚠ Categoría no existe",IF(E578="","⚠ Falta cuenta",IF(ISNA(MATCH(E578,ctaNom,0)),"⚠ Cuenta no existe",IF(AND(OR(I578="Transferencia",I578="Pago tarjeta"),G578=""),"⚠ Indica la cuenta «Hacia»",IF(AND(G578&lt;&gt;"",G578=E578),"⚠ «Hacia» igual a la cuenta",IF(AND(G578&lt;&gt;"",ISNA(MATCH(G578,ctaNom,0))),"⚠ «Hacia» no existe",IF(AND(I578="Pago tarjeta",IFERROR(INDEX(ctaTipo,MATCH(G578,ctaNom,0)),"")&lt;&gt;"Tarjeta de crédito"),"⚠ «Hacia» debe ser la tarjeta",IF(AND(I578="Trading",IFERROR(INDEX(ctaTipo,MATCH(E578,ctaNom,0)),"")&lt;&gt;"Cuenta de trading"),"⚠ Usa la cuenta de trading","✓"))))))))))))</f>
        <v/>
      </c>
      <c r="I578" s="19">
        <f>IF(OR(B578="",C578="",D578=""),"",IFERROR(INDEX(catTipo,MATCH(D578,catNom,0))&amp;"",""))</f>
        <v/>
      </c>
      <c r="J578" s="19">
        <f>IF(I578="","",IFERROR(INDEX(catGrupo,MATCH(D578,catNom,0))&amp;"",""))</f>
        <v/>
      </c>
      <c r="K578" s="19">
        <f>IF(I578="Gasto",IF(IFERROR(INDEX(catClas,MATCH(D578,catNom,0))&amp;"","")="","Variable",IFERROR(INDEX(catClas,MATCH(D578,catNom,0))&amp;"","")),"")</f>
        <v/>
      </c>
      <c r="L578" s="19">
        <f>IF(I578="","",IFERROR(INDEX(catAlim,MATCH(D578,catNom,0))&amp;"",""))</f>
        <v/>
      </c>
      <c r="M578" s="19">
        <f>IF(I578="","",IFERROR(INDEX(catComida,MATCH(D578,catNom,0))&amp;"",""))</f>
        <v/>
      </c>
      <c r="N578" s="19">
        <f>IF(I578="","",IFERROR(INDEX(ctaMon,MATCH(E578,ctaNom,0))&amp;"","DOP"))</f>
        <v/>
      </c>
      <c r="O578" s="20">
        <f>IF(I578="","",C578*IF(N578="USD",TasaUSD,1))</f>
        <v/>
      </c>
      <c r="P578" s="20">
        <f>IF(I578="","",IF(I578="Gasto",O578,0))</f>
        <v/>
      </c>
      <c r="Q578" s="20">
        <f>IF(I578="","",IF(I578="Ingreso",O578,0))</f>
        <v/>
      </c>
      <c r="R578" s="20">
        <f>IF(I578="","",IF(I578="Trading",O578,0))</f>
        <v/>
      </c>
      <c r="S578" s="19">
        <f>IF(I578="","",IF(AND(I578="Gasto",K578="Variable",J578&lt;&gt;"Trading",O578&gt;0,O578&lt;=Umbral),1,0))</f>
        <v/>
      </c>
      <c r="T578" s="20">
        <f>IF(OR(I578="",E578=""),"",IF(OR(I578="Gasto",I578="Transferencia",I578="Pago tarjeta"),-1,1)*C578)</f>
        <v/>
      </c>
      <c r="U578" s="20">
        <f>IF(OR(G578="",AND(I578&lt;&gt;"Transferencia",I578&lt;&gt;"Pago tarjeta")),"",IF(IFERROR(INDEX(ctaMon,MATCH(G578,ctaNom,0))&amp;"","DOP")=N578,C578,IF(N578="USD",C578*TasaUSD,C578/TasaUSD)))</f>
        <v/>
      </c>
      <c r="V578" s="20">
        <f>IF(I578="","",IF(IFERROR(INDEX(ctaLiq,MATCH(E578,ctaNom,0))="Sí",FALSE),IF(OR(I578="Gasto",I578="Transferencia",I578="Pago tarjeta"),-1,1)*O578,0)+IF(AND(U578&lt;&gt;"",IFERROR(INDEX(ctaLiq,MATCH(G578,ctaNom,0))="Sí",FALSE)),O578,0))</f>
        <v/>
      </c>
      <c r="W578" s="19">
        <f>IF(OR(F578="",I578=""),"",IF(COUNTIFS(F$6:F578,F578,I$6:I578,"?*")=1,MAX(W$5:W577)+1,""))</f>
        <v/>
      </c>
    </row>
    <row r="579">
      <c r="B579" s="15" t="n"/>
      <c r="C579" s="16" t="n"/>
      <c r="D579" s="17" t="n"/>
      <c r="E579" s="17" t="n"/>
      <c r="F579" s="17" t="n"/>
      <c r="G579" s="17" t="n"/>
      <c r="H579" s="18">
        <f>IF(AND(B579="",C579="",D579="",E579=""),"",IF(B579="","⚠ Falta fecha",IF(C579="","⚠ Falta monto",IF(D579="","⚠ Falta categoría",IF(ISNA(MATCH(D579,catNom,0)),"⚠ Categoría no existe",IF(E579="","⚠ Falta cuenta",IF(ISNA(MATCH(E579,ctaNom,0)),"⚠ Cuenta no existe",IF(AND(OR(I579="Transferencia",I579="Pago tarjeta"),G579=""),"⚠ Indica la cuenta «Hacia»",IF(AND(G579&lt;&gt;"",G579=E579),"⚠ «Hacia» igual a la cuenta",IF(AND(G579&lt;&gt;"",ISNA(MATCH(G579,ctaNom,0))),"⚠ «Hacia» no existe",IF(AND(I579="Pago tarjeta",IFERROR(INDEX(ctaTipo,MATCH(G579,ctaNom,0)),"")&lt;&gt;"Tarjeta de crédito"),"⚠ «Hacia» debe ser la tarjeta",IF(AND(I579="Trading",IFERROR(INDEX(ctaTipo,MATCH(E579,ctaNom,0)),"")&lt;&gt;"Cuenta de trading"),"⚠ Usa la cuenta de trading","✓"))))))))))))</f>
        <v/>
      </c>
      <c r="I579" s="19">
        <f>IF(OR(B579="",C579="",D579=""),"",IFERROR(INDEX(catTipo,MATCH(D579,catNom,0))&amp;"",""))</f>
        <v/>
      </c>
      <c r="J579" s="19">
        <f>IF(I579="","",IFERROR(INDEX(catGrupo,MATCH(D579,catNom,0))&amp;"",""))</f>
        <v/>
      </c>
      <c r="K579" s="19">
        <f>IF(I579="Gasto",IF(IFERROR(INDEX(catClas,MATCH(D579,catNom,0))&amp;"","")="","Variable",IFERROR(INDEX(catClas,MATCH(D579,catNom,0))&amp;"","")),"")</f>
        <v/>
      </c>
      <c r="L579" s="19">
        <f>IF(I579="","",IFERROR(INDEX(catAlim,MATCH(D579,catNom,0))&amp;"",""))</f>
        <v/>
      </c>
      <c r="M579" s="19">
        <f>IF(I579="","",IFERROR(INDEX(catComida,MATCH(D579,catNom,0))&amp;"",""))</f>
        <v/>
      </c>
      <c r="N579" s="19">
        <f>IF(I579="","",IFERROR(INDEX(ctaMon,MATCH(E579,ctaNom,0))&amp;"","DOP"))</f>
        <v/>
      </c>
      <c r="O579" s="20">
        <f>IF(I579="","",C579*IF(N579="USD",TasaUSD,1))</f>
        <v/>
      </c>
      <c r="P579" s="20">
        <f>IF(I579="","",IF(I579="Gasto",O579,0))</f>
        <v/>
      </c>
      <c r="Q579" s="20">
        <f>IF(I579="","",IF(I579="Ingreso",O579,0))</f>
        <v/>
      </c>
      <c r="R579" s="20">
        <f>IF(I579="","",IF(I579="Trading",O579,0))</f>
        <v/>
      </c>
      <c r="S579" s="19">
        <f>IF(I579="","",IF(AND(I579="Gasto",K579="Variable",J579&lt;&gt;"Trading",O579&gt;0,O579&lt;=Umbral),1,0))</f>
        <v/>
      </c>
      <c r="T579" s="20">
        <f>IF(OR(I579="",E579=""),"",IF(OR(I579="Gasto",I579="Transferencia",I579="Pago tarjeta"),-1,1)*C579)</f>
        <v/>
      </c>
      <c r="U579" s="20">
        <f>IF(OR(G579="",AND(I579&lt;&gt;"Transferencia",I579&lt;&gt;"Pago tarjeta")),"",IF(IFERROR(INDEX(ctaMon,MATCH(G579,ctaNom,0))&amp;"","DOP")=N579,C579,IF(N579="USD",C579*TasaUSD,C579/TasaUSD)))</f>
        <v/>
      </c>
      <c r="V579" s="20">
        <f>IF(I579="","",IF(IFERROR(INDEX(ctaLiq,MATCH(E579,ctaNom,0))="Sí",FALSE),IF(OR(I579="Gasto",I579="Transferencia",I579="Pago tarjeta"),-1,1)*O579,0)+IF(AND(U579&lt;&gt;"",IFERROR(INDEX(ctaLiq,MATCH(G579,ctaNom,0))="Sí",FALSE)),O579,0))</f>
        <v/>
      </c>
      <c r="W579" s="19">
        <f>IF(OR(F579="",I579=""),"",IF(COUNTIFS(F$6:F579,F579,I$6:I579,"?*")=1,MAX(W$5:W578)+1,""))</f>
        <v/>
      </c>
    </row>
    <row r="580">
      <c r="B580" s="15" t="n"/>
      <c r="C580" s="16" t="n"/>
      <c r="D580" s="17" t="n"/>
      <c r="E580" s="17" t="n"/>
      <c r="F580" s="17" t="n"/>
      <c r="G580" s="17" t="n"/>
      <c r="H580" s="18">
        <f>IF(AND(B580="",C580="",D580="",E580=""),"",IF(B580="","⚠ Falta fecha",IF(C580="","⚠ Falta monto",IF(D580="","⚠ Falta categoría",IF(ISNA(MATCH(D580,catNom,0)),"⚠ Categoría no existe",IF(E580="","⚠ Falta cuenta",IF(ISNA(MATCH(E580,ctaNom,0)),"⚠ Cuenta no existe",IF(AND(OR(I580="Transferencia",I580="Pago tarjeta"),G580=""),"⚠ Indica la cuenta «Hacia»",IF(AND(G580&lt;&gt;"",G580=E580),"⚠ «Hacia» igual a la cuenta",IF(AND(G580&lt;&gt;"",ISNA(MATCH(G580,ctaNom,0))),"⚠ «Hacia» no existe",IF(AND(I580="Pago tarjeta",IFERROR(INDEX(ctaTipo,MATCH(G580,ctaNom,0)),"")&lt;&gt;"Tarjeta de crédito"),"⚠ «Hacia» debe ser la tarjeta",IF(AND(I580="Trading",IFERROR(INDEX(ctaTipo,MATCH(E580,ctaNom,0)),"")&lt;&gt;"Cuenta de trading"),"⚠ Usa la cuenta de trading","✓"))))))))))))</f>
        <v/>
      </c>
      <c r="I580" s="19">
        <f>IF(OR(B580="",C580="",D580=""),"",IFERROR(INDEX(catTipo,MATCH(D580,catNom,0))&amp;"",""))</f>
        <v/>
      </c>
      <c r="J580" s="19">
        <f>IF(I580="","",IFERROR(INDEX(catGrupo,MATCH(D580,catNom,0))&amp;"",""))</f>
        <v/>
      </c>
      <c r="K580" s="19">
        <f>IF(I580="Gasto",IF(IFERROR(INDEX(catClas,MATCH(D580,catNom,0))&amp;"","")="","Variable",IFERROR(INDEX(catClas,MATCH(D580,catNom,0))&amp;"","")),"")</f>
        <v/>
      </c>
      <c r="L580" s="19">
        <f>IF(I580="","",IFERROR(INDEX(catAlim,MATCH(D580,catNom,0))&amp;"",""))</f>
        <v/>
      </c>
      <c r="M580" s="19">
        <f>IF(I580="","",IFERROR(INDEX(catComida,MATCH(D580,catNom,0))&amp;"",""))</f>
        <v/>
      </c>
      <c r="N580" s="19">
        <f>IF(I580="","",IFERROR(INDEX(ctaMon,MATCH(E580,ctaNom,0))&amp;"","DOP"))</f>
        <v/>
      </c>
      <c r="O580" s="20">
        <f>IF(I580="","",C580*IF(N580="USD",TasaUSD,1))</f>
        <v/>
      </c>
      <c r="P580" s="20">
        <f>IF(I580="","",IF(I580="Gasto",O580,0))</f>
        <v/>
      </c>
      <c r="Q580" s="20">
        <f>IF(I580="","",IF(I580="Ingreso",O580,0))</f>
        <v/>
      </c>
      <c r="R580" s="20">
        <f>IF(I580="","",IF(I580="Trading",O580,0))</f>
        <v/>
      </c>
      <c r="S580" s="19">
        <f>IF(I580="","",IF(AND(I580="Gasto",K580="Variable",J580&lt;&gt;"Trading",O580&gt;0,O580&lt;=Umbral),1,0))</f>
        <v/>
      </c>
      <c r="T580" s="20">
        <f>IF(OR(I580="",E580=""),"",IF(OR(I580="Gasto",I580="Transferencia",I580="Pago tarjeta"),-1,1)*C580)</f>
        <v/>
      </c>
      <c r="U580" s="20">
        <f>IF(OR(G580="",AND(I580&lt;&gt;"Transferencia",I580&lt;&gt;"Pago tarjeta")),"",IF(IFERROR(INDEX(ctaMon,MATCH(G580,ctaNom,0))&amp;"","DOP")=N580,C580,IF(N580="USD",C580*TasaUSD,C580/TasaUSD)))</f>
        <v/>
      </c>
      <c r="V580" s="20">
        <f>IF(I580="","",IF(IFERROR(INDEX(ctaLiq,MATCH(E580,ctaNom,0))="Sí",FALSE),IF(OR(I580="Gasto",I580="Transferencia",I580="Pago tarjeta"),-1,1)*O580,0)+IF(AND(U580&lt;&gt;"",IFERROR(INDEX(ctaLiq,MATCH(G580,ctaNom,0))="Sí",FALSE)),O580,0))</f>
        <v/>
      </c>
      <c r="W580" s="19">
        <f>IF(OR(F580="",I580=""),"",IF(COUNTIFS(F$6:F580,F580,I$6:I580,"?*")=1,MAX(W$5:W579)+1,""))</f>
        <v/>
      </c>
    </row>
    <row r="581">
      <c r="B581" s="15" t="n"/>
      <c r="C581" s="16" t="n"/>
      <c r="D581" s="17" t="n"/>
      <c r="E581" s="17" t="n"/>
      <c r="F581" s="17" t="n"/>
      <c r="G581" s="17" t="n"/>
      <c r="H581" s="18">
        <f>IF(AND(B581="",C581="",D581="",E581=""),"",IF(B581="","⚠ Falta fecha",IF(C581="","⚠ Falta monto",IF(D581="","⚠ Falta categoría",IF(ISNA(MATCH(D581,catNom,0)),"⚠ Categoría no existe",IF(E581="","⚠ Falta cuenta",IF(ISNA(MATCH(E581,ctaNom,0)),"⚠ Cuenta no existe",IF(AND(OR(I581="Transferencia",I581="Pago tarjeta"),G581=""),"⚠ Indica la cuenta «Hacia»",IF(AND(G581&lt;&gt;"",G581=E581),"⚠ «Hacia» igual a la cuenta",IF(AND(G581&lt;&gt;"",ISNA(MATCH(G581,ctaNom,0))),"⚠ «Hacia» no existe",IF(AND(I581="Pago tarjeta",IFERROR(INDEX(ctaTipo,MATCH(G581,ctaNom,0)),"")&lt;&gt;"Tarjeta de crédito"),"⚠ «Hacia» debe ser la tarjeta",IF(AND(I581="Trading",IFERROR(INDEX(ctaTipo,MATCH(E581,ctaNom,0)),"")&lt;&gt;"Cuenta de trading"),"⚠ Usa la cuenta de trading","✓"))))))))))))</f>
        <v/>
      </c>
      <c r="I581" s="19">
        <f>IF(OR(B581="",C581="",D581=""),"",IFERROR(INDEX(catTipo,MATCH(D581,catNom,0))&amp;"",""))</f>
        <v/>
      </c>
      <c r="J581" s="19">
        <f>IF(I581="","",IFERROR(INDEX(catGrupo,MATCH(D581,catNom,0))&amp;"",""))</f>
        <v/>
      </c>
      <c r="K581" s="19">
        <f>IF(I581="Gasto",IF(IFERROR(INDEX(catClas,MATCH(D581,catNom,0))&amp;"","")="","Variable",IFERROR(INDEX(catClas,MATCH(D581,catNom,0))&amp;"","")),"")</f>
        <v/>
      </c>
      <c r="L581" s="19">
        <f>IF(I581="","",IFERROR(INDEX(catAlim,MATCH(D581,catNom,0))&amp;"",""))</f>
        <v/>
      </c>
      <c r="M581" s="19">
        <f>IF(I581="","",IFERROR(INDEX(catComida,MATCH(D581,catNom,0))&amp;"",""))</f>
        <v/>
      </c>
      <c r="N581" s="19">
        <f>IF(I581="","",IFERROR(INDEX(ctaMon,MATCH(E581,ctaNom,0))&amp;"","DOP"))</f>
        <v/>
      </c>
      <c r="O581" s="20">
        <f>IF(I581="","",C581*IF(N581="USD",TasaUSD,1))</f>
        <v/>
      </c>
      <c r="P581" s="20">
        <f>IF(I581="","",IF(I581="Gasto",O581,0))</f>
        <v/>
      </c>
      <c r="Q581" s="20">
        <f>IF(I581="","",IF(I581="Ingreso",O581,0))</f>
        <v/>
      </c>
      <c r="R581" s="20">
        <f>IF(I581="","",IF(I581="Trading",O581,0))</f>
        <v/>
      </c>
      <c r="S581" s="19">
        <f>IF(I581="","",IF(AND(I581="Gasto",K581="Variable",J581&lt;&gt;"Trading",O581&gt;0,O581&lt;=Umbral),1,0))</f>
        <v/>
      </c>
      <c r="T581" s="20">
        <f>IF(OR(I581="",E581=""),"",IF(OR(I581="Gasto",I581="Transferencia",I581="Pago tarjeta"),-1,1)*C581)</f>
        <v/>
      </c>
      <c r="U581" s="20">
        <f>IF(OR(G581="",AND(I581&lt;&gt;"Transferencia",I581&lt;&gt;"Pago tarjeta")),"",IF(IFERROR(INDEX(ctaMon,MATCH(G581,ctaNom,0))&amp;"","DOP")=N581,C581,IF(N581="USD",C581*TasaUSD,C581/TasaUSD)))</f>
        <v/>
      </c>
      <c r="V581" s="20">
        <f>IF(I581="","",IF(IFERROR(INDEX(ctaLiq,MATCH(E581,ctaNom,0))="Sí",FALSE),IF(OR(I581="Gasto",I581="Transferencia",I581="Pago tarjeta"),-1,1)*O581,0)+IF(AND(U581&lt;&gt;"",IFERROR(INDEX(ctaLiq,MATCH(G581,ctaNom,0))="Sí",FALSE)),O581,0))</f>
        <v/>
      </c>
      <c r="W581" s="19">
        <f>IF(OR(F581="",I581=""),"",IF(COUNTIFS(F$6:F581,F581,I$6:I581,"?*")=1,MAX(W$5:W580)+1,""))</f>
        <v/>
      </c>
    </row>
    <row r="582">
      <c r="B582" s="15" t="n"/>
      <c r="C582" s="16" t="n"/>
      <c r="D582" s="17" t="n"/>
      <c r="E582" s="17" t="n"/>
      <c r="F582" s="17" t="n"/>
      <c r="G582" s="17" t="n"/>
      <c r="H582" s="18">
        <f>IF(AND(B582="",C582="",D582="",E582=""),"",IF(B582="","⚠ Falta fecha",IF(C582="","⚠ Falta monto",IF(D582="","⚠ Falta categoría",IF(ISNA(MATCH(D582,catNom,0)),"⚠ Categoría no existe",IF(E582="","⚠ Falta cuenta",IF(ISNA(MATCH(E582,ctaNom,0)),"⚠ Cuenta no existe",IF(AND(OR(I582="Transferencia",I582="Pago tarjeta"),G582=""),"⚠ Indica la cuenta «Hacia»",IF(AND(G582&lt;&gt;"",G582=E582),"⚠ «Hacia» igual a la cuenta",IF(AND(G582&lt;&gt;"",ISNA(MATCH(G582,ctaNom,0))),"⚠ «Hacia» no existe",IF(AND(I582="Pago tarjeta",IFERROR(INDEX(ctaTipo,MATCH(G582,ctaNom,0)),"")&lt;&gt;"Tarjeta de crédito"),"⚠ «Hacia» debe ser la tarjeta",IF(AND(I582="Trading",IFERROR(INDEX(ctaTipo,MATCH(E582,ctaNom,0)),"")&lt;&gt;"Cuenta de trading"),"⚠ Usa la cuenta de trading","✓"))))))))))))</f>
        <v/>
      </c>
      <c r="I582" s="19">
        <f>IF(OR(B582="",C582="",D582=""),"",IFERROR(INDEX(catTipo,MATCH(D582,catNom,0))&amp;"",""))</f>
        <v/>
      </c>
      <c r="J582" s="19">
        <f>IF(I582="","",IFERROR(INDEX(catGrupo,MATCH(D582,catNom,0))&amp;"",""))</f>
        <v/>
      </c>
      <c r="K582" s="19">
        <f>IF(I582="Gasto",IF(IFERROR(INDEX(catClas,MATCH(D582,catNom,0))&amp;"","")="","Variable",IFERROR(INDEX(catClas,MATCH(D582,catNom,0))&amp;"","")),"")</f>
        <v/>
      </c>
      <c r="L582" s="19">
        <f>IF(I582="","",IFERROR(INDEX(catAlim,MATCH(D582,catNom,0))&amp;"",""))</f>
        <v/>
      </c>
      <c r="M582" s="19">
        <f>IF(I582="","",IFERROR(INDEX(catComida,MATCH(D582,catNom,0))&amp;"",""))</f>
        <v/>
      </c>
      <c r="N582" s="19">
        <f>IF(I582="","",IFERROR(INDEX(ctaMon,MATCH(E582,ctaNom,0))&amp;"","DOP"))</f>
        <v/>
      </c>
      <c r="O582" s="20">
        <f>IF(I582="","",C582*IF(N582="USD",TasaUSD,1))</f>
        <v/>
      </c>
      <c r="P582" s="20">
        <f>IF(I582="","",IF(I582="Gasto",O582,0))</f>
        <v/>
      </c>
      <c r="Q582" s="20">
        <f>IF(I582="","",IF(I582="Ingreso",O582,0))</f>
        <v/>
      </c>
      <c r="R582" s="20">
        <f>IF(I582="","",IF(I582="Trading",O582,0))</f>
        <v/>
      </c>
      <c r="S582" s="19">
        <f>IF(I582="","",IF(AND(I582="Gasto",K582="Variable",J582&lt;&gt;"Trading",O582&gt;0,O582&lt;=Umbral),1,0))</f>
        <v/>
      </c>
      <c r="T582" s="20">
        <f>IF(OR(I582="",E582=""),"",IF(OR(I582="Gasto",I582="Transferencia",I582="Pago tarjeta"),-1,1)*C582)</f>
        <v/>
      </c>
      <c r="U582" s="20">
        <f>IF(OR(G582="",AND(I582&lt;&gt;"Transferencia",I582&lt;&gt;"Pago tarjeta")),"",IF(IFERROR(INDEX(ctaMon,MATCH(G582,ctaNom,0))&amp;"","DOP")=N582,C582,IF(N582="USD",C582*TasaUSD,C582/TasaUSD)))</f>
        <v/>
      </c>
      <c r="V582" s="20">
        <f>IF(I582="","",IF(IFERROR(INDEX(ctaLiq,MATCH(E582,ctaNom,0))="Sí",FALSE),IF(OR(I582="Gasto",I582="Transferencia",I582="Pago tarjeta"),-1,1)*O582,0)+IF(AND(U582&lt;&gt;"",IFERROR(INDEX(ctaLiq,MATCH(G582,ctaNom,0))="Sí",FALSE)),O582,0))</f>
        <v/>
      </c>
      <c r="W582" s="19">
        <f>IF(OR(F582="",I582=""),"",IF(COUNTIFS(F$6:F582,F582,I$6:I582,"?*")=1,MAX(W$5:W581)+1,""))</f>
        <v/>
      </c>
    </row>
    <row r="583">
      <c r="B583" s="15" t="n"/>
      <c r="C583" s="16" t="n"/>
      <c r="D583" s="17" t="n"/>
      <c r="E583" s="17" t="n"/>
      <c r="F583" s="17" t="n"/>
      <c r="G583" s="17" t="n"/>
      <c r="H583" s="18">
        <f>IF(AND(B583="",C583="",D583="",E583=""),"",IF(B583="","⚠ Falta fecha",IF(C583="","⚠ Falta monto",IF(D583="","⚠ Falta categoría",IF(ISNA(MATCH(D583,catNom,0)),"⚠ Categoría no existe",IF(E583="","⚠ Falta cuenta",IF(ISNA(MATCH(E583,ctaNom,0)),"⚠ Cuenta no existe",IF(AND(OR(I583="Transferencia",I583="Pago tarjeta"),G583=""),"⚠ Indica la cuenta «Hacia»",IF(AND(G583&lt;&gt;"",G583=E583),"⚠ «Hacia» igual a la cuenta",IF(AND(G583&lt;&gt;"",ISNA(MATCH(G583,ctaNom,0))),"⚠ «Hacia» no existe",IF(AND(I583="Pago tarjeta",IFERROR(INDEX(ctaTipo,MATCH(G583,ctaNom,0)),"")&lt;&gt;"Tarjeta de crédito"),"⚠ «Hacia» debe ser la tarjeta",IF(AND(I583="Trading",IFERROR(INDEX(ctaTipo,MATCH(E583,ctaNom,0)),"")&lt;&gt;"Cuenta de trading"),"⚠ Usa la cuenta de trading","✓"))))))))))))</f>
        <v/>
      </c>
      <c r="I583" s="19">
        <f>IF(OR(B583="",C583="",D583=""),"",IFERROR(INDEX(catTipo,MATCH(D583,catNom,0))&amp;"",""))</f>
        <v/>
      </c>
      <c r="J583" s="19">
        <f>IF(I583="","",IFERROR(INDEX(catGrupo,MATCH(D583,catNom,0))&amp;"",""))</f>
        <v/>
      </c>
      <c r="K583" s="19">
        <f>IF(I583="Gasto",IF(IFERROR(INDEX(catClas,MATCH(D583,catNom,0))&amp;"","")="","Variable",IFERROR(INDEX(catClas,MATCH(D583,catNom,0))&amp;"","")),"")</f>
        <v/>
      </c>
      <c r="L583" s="19">
        <f>IF(I583="","",IFERROR(INDEX(catAlim,MATCH(D583,catNom,0))&amp;"",""))</f>
        <v/>
      </c>
      <c r="M583" s="19">
        <f>IF(I583="","",IFERROR(INDEX(catComida,MATCH(D583,catNom,0))&amp;"",""))</f>
        <v/>
      </c>
      <c r="N583" s="19">
        <f>IF(I583="","",IFERROR(INDEX(ctaMon,MATCH(E583,ctaNom,0))&amp;"","DOP"))</f>
        <v/>
      </c>
      <c r="O583" s="20">
        <f>IF(I583="","",C583*IF(N583="USD",TasaUSD,1))</f>
        <v/>
      </c>
      <c r="P583" s="20">
        <f>IF(I583="","",IF(I583="Gasto",O583,0))</f>
        <v/>
      </c>
      <c r="Q583" s="20">
        <f>IF(I583="","",IF(I583="Ingreso",O583,0))</f>
        <v/>
      </c>
      <c r="R583" s="20">
        <f>IF(I583="","",IF(I583="Trading",O583,0))</f>
        <v/>
      </c>
      <c r="S583" s="19">
        <f>IF(I583="","",IF(AND(I583="Gasto",K583="Variable",J583&lt;&gt;"Trading",O583&gt;0,O583&lt;=Umbral),1,0))</f>
        <v/>
      </c>
      <c r="T583" s="20">
        <f>IF(OR(I583="",E583=""),"",IF(OR(I583="Gasto",I583="Transferencia",I583="Pago tarjeta"),-1,1)*C583)</f>
        <v/>
      </c>
      <c r="U583" s="20">
        <f>IF(OR(G583="",AND(I583&lt;&gt;"Transferencia",I583&lt;&gt;"Pago tarjeta")),"",IF(IFERROR(INDEX(ctaMon,MATCH(G583,ctaNom,0))&amp;"","DOP")=N583,C583,IF(N583="USD",C583*TasaUSD,C583/TasaUSD)))</f>
        <v/>
      </c>
      <c r="V583" s="20">
        <f>IF(I583="","",IF(IFERROR(INDEX(ctaLiq,MATCH(E583,ctaNom,0))="Sí",FALSE),IF(OR(I583="Gasto",I583="Transferencia",I583="Pago tarjeta"),-1,1)*O583,0)+IF(AND(U583&lt;&gt;"",IFERROR(INDEX(ctaLiq,MATCH(G583,ctaNom,0))="Sí",FALSE)),O583,0))</f>
        <v/>
      </c>
      <c r="W583" s="19">
        <f>IF(OR(F583="",I583=""),"",IF(COUNTIFS(F$6:F583,F583,I$6:I583,"?*")=1,MAX(W$5:W582)+1,""))</f>
        <v/>
      </c>
    </row>
    <row r="584">
      <c r="B584" s="15" t="n"/>
      <c r="C584" s="16" t="n"/>
      <c r="D584" s="17" t="n"/>
      <c r="E584" s="17" t="n"/>
      <c r="F584" s="17" t="n"/>
      <c r="G584" s="17" t="n"/>
      <c r="H584" s="18">
        <f>IF(AND(B584="",C584="",D584="",E584=""),"",IF(B584="","⚠ Falta fecha",IF(C584="","⚠ Falta monto",IF(D584="","⚠ Falta categoría",IF(ISNA(MATCH(D584,catNom,0)),"⚠ Categoría no existe",IF(E584="","⚠ Falta cuenta",IF(ISNA(MATCH(E584,ctaNom,0)),"⚠ Cuenta no existe",IF(AND(OR(I584="Transferencia",I584="Pago tarjeta"),G584=""),"⚠ Indica la cuenta «Hacia»",IF(AND(G584&lt;&gt;"",G584=E584),"⚠ «Hacia» igual a la cuenta",IF(AND(G584&lt;&gt;"",ISNA(MATCH(G584,ctaNom,0))),"⚠ «Hacia» no existe",IF(AND(I584="Pago tarjeta",IFERROR(INDEX(ctaTipo,MATCH(G584,ctaNom,0)),"")&lt;&gt;"Tarjeta de crédito"),"⚠ «Hacia» debe ser la tarjeta",IF(AND(I584="Trading",IFERROR(INDEX(ctaTipo,MATCH(E584,ctaNom,0)),"")&lt;&gt;"Cuenta de trading"),"⚠ Usa la cuenta de trading","✓"))))))))))))</f>
        <v/>
      </c>
      <c r="I584" s="19">
        <f>IF(OR(B584="",C584="",D584=""),"",IFERROR(INDEX(catTipo,MATCH(D584,catNom,0))&amp;"",""))</f>
        <v/>
      </c>
      <c r="J584" s="19">
        <f>IF(I584="","",IFERROR(INDEX(catGrupo,MATCH(D584,catNom,0))&amp;"",""))</f>
        <v/>
      </c>
      <c r="K584" s="19">
        <f>IF(I584="Gasto",IF(IFERROR(INDEX(catClas,MATCH(D584,catNom,0))&amp;"","")="","Variable",IFERROR(INDEX(catClas,MATCH(D584,catNom,0))&amp;"","")),"")</f>
        <v/>
      </c>
      <c r="L584" s="19">
        <f>IF(I584="","",IFERROR(INDEX(catAlim,MATCH(D584,catNom,0))&amp;"",""))</f>
        <v/>
      </c>
      <c r="M584" s="19">
        <f>IF(I584="","",IFERROR(INDEX(catComida,MATCH(D584,catNom,0))&amp;"",""))</f>
        <v/>
      </c>
      <c r="N584" s="19">
        <f>IF(I584="","",IFERROR(INDEX(ctaMon,MATCH(E584,ctaNom,0))&amp;"","DOP"))</f>
        <v/>
      </c>
      <c r="O584" s="20">
        <f>IF(I584="","",C584*IF(N584="USD",TasaUSD,1))</f>
        <v/>
      </c>
      <c r="P584" s="20">
        <f>IF(I584="","",IF(I584="Gasto",O584,0))</f>
        <v/>
      </c>
      <c r="Q584" s="20">
        <f>IF(I584="","",IF(I584="Ingreso",O584,0))</f>
        <v/>
      </c>
      <c r="R584" s="20">
        <f>IF(I584="","",IF(I584="Trading",O584,0))</f>
        <v/>
      </c>
      <c r="S584" s="19">
        <f>IF(I584="","",IF(AND(I584="Gasto",K584="Variable",J584&lt;&gt;"Trading",O584&gt;0,O584&lt;=Umbral),1,0))</f>
        <v/>
      </c>
      <c r="T584" s="20">
        <f>IF(OR(I584="",E584=""),"",IF(OR(I584="Gasto",I584="Transferencia",I584="Pago tarjeta"),-1,1)*C584)</f>
        <v/>
      </c>
      <c r="U584" s="20">
        <f>IF(OR(G584="",AND(I584&lt;&gt;"Transferencia",I584&lt;&gt;"Pago tarjeta")),"",IF(IFERROR(INDEX(ctaMon,MATCH(G584,ctaNom,0))&amp;"","DOP")=N584,C584,IF(N584="USD",C584*TasaUSD,C584/TasaUSD)))</f>
        <v/>
      </c>
      <c r="V584" s="20">
        <f>IF(I584="","",IF(IFERROR(INDEX(ctaLiq,MATCH(E584,ctaNom,0))="Sí",FALSE),IF(OR(I584="Gasto",I584="Transferencia",I584="Pago tarjeta"),-1,1)*O584,0)+IF(AND(U584&lt;&gt;"",IFERROR(INDEX(ctaLiq,MATCH(G584,ctaNom,0))="Sí",FALSE)),O584,0))</f>
        <v/>
      </c>
      <c r="W584" s="19">
        <f>IF(OR(F584="",I584=""),"",IF(COUNTIFS(F$6:F584,F584,I$6:I584,"?*")=1,MAX(W$5:W583)+1,""))</f>
        <v/>
      </c>
    </row>
    <row r="585">
      <c r="B585" s="15" t="n"/>
      <c r="C585" s="16" t="n"/>
      <c r="D585" s="17" t="n"/>
      <c r="E585" s="17" t="n"/>
      <c r="F585" s="17" t="n"/>
      <c r="G585" s="17" t="n"/>
      <c r="H585" s="18">
        <f>IF(AND(B585="",C585="",D585="",E585=""),"",IF(B585="","⚠ Falta fecha",IF(C585="","⚠ Falta monto",IF(D585="","⚠ Falta categoría",IF(ISNA(MATCH(D585,catNom,0)),"⚠ Categoría no existe",IF(E585="","⚠ Falta cuenta",IF(ISNA(MATCH(E585,ctaNom,0)),"⚠ Cuenta no existe",IF(AND(OR(I585="Transferencia",I585="Pago tarjeta"),G585=""),"⚠ Indica la cuenta «Hacia»",IF(AND(G585&lt;&gt;"",G585=E585),"⚠ «Hacia» igual a la cuenta",IF(AND(G585&lt;&gt;"",ISNA(MATCH(G585,ctaNom,0))),"⚠ «Hacia» no existe",IF(AND(I585="Pago tarjeta",IFERROR(INDEX(ctaTipo,MATCH(G585,ctaNom,0)),"")&lt;&gt;"Tarjeta de crédito"),"⚠ «Hacia» debe ser la tarjeta",IF(AND(I585="Trading",IFERROR(INDEX(ctaTipo,MATCH(E585,ctaNom,0)),"")&lt;&gt;"Cuenta de trading"),"⚠ Usa la cuenta de trading","✓"))))))))))))</f>
        <v/>
      </c>
      <c r="I585" s="19">
        <f>IF(OR(B585="",C585="",D585=""),"",IFERROR(INDEX(catTipo,MATCH(D585,catNom,0))&amp;"",""))</f>
        <v/>
      </c>
      <c r="J585" s="19">
        <f>IF(I585="","",IFERROR(INDEX(catGrupo,MATCH(D585,catNom,0))&amp;"",""))</f>
        <v/>
      </c>
      <c r="K585" s="19">
        <f>IF(I585="Gasto",IF(IFERROR(INDEX(catClas,MATCH(D585,catNom,0))&amp;"","")="","Variable",IFERROR(INDEX(catClas,MATCH(D585,catNom,0))&amp;"","")),"")</f>
        <v/>
      </c>
      <c r="L585" s="19">
        <f>IF(I585="","",IFERROR(INDEX(catAlim,MATCH(D585,catNom,0))&amp;"",""))</f>
        <v/>
      </c>
      <c r="M585" s="19">
        <f>IF(I585="","",IFERROR(INDEX(catComida,MATCH(D585,catNom,0))&amp;"",""))</f>
        <v/>
      </c>
      <c r="N585" s="19">
        <f>IF(I585="","",IFERROR(INDEX(ctaMon,MATCH(E585,ctaNom,0))&amp;"","DOP"))</f>
        <v/>
      </c>
      <c r="O585" s="20">
        <f>IF(I585="","",C585*IF(N585="USD",TasaUSD,1))</f>
        <v/>
      </c>
      <c r="P585" s="20">
        <f>IF(I585="","",IF(I585="Gasto",O585,0))</f>
        <v/>
      </c>
      <c r="Q585" s="20">
        <f>IF(I585="","",IF(I585="Ingreso",O585,0))</f>
        <v/>
      </c>
      <c r="R585" s="20">
        <f>IF(I585="","",IF(I585="Trading",O585,0))</f>
        <v/>
      </c>
      <c r="S585" s="19">
        <f>IF(I585="","",IF(AND(I585="Gasto",K585="Variable",J585&lt;&gt;"Trading",O585&gt;0,O585&lt;=Umbral),1,0))</f>
        <v/>
      </c>
      <c r="T585" s="20">
        <f>IF(OR(I585="",E585=""),"",IF(OR(I585="Gasto",I585="Transferencia",I585="Pago tarjeta"),-1,1)*C585)</f>
        <v/>
      </c>
      <c r="U585" s="20">
        <f>IF(OR(G585="",AND(I585&lt;&gt;"Transferencia",I585&lt;&gt;"Pago tarjeta")),"",IF(IFERROR(INDEX(ctaMon,MATCH(G585,ctaNom,0))&amp;"","DOP")=N585,C585,IF(N585="USD",C585*TasaUSD,C585/TasaUSD)))</f>
        <v/>
      </c>
      <c r="V585" s="20">
        <f>IF(I585="","",IF(IFERROR(INDEX(ctaLiq,MATCH(E585,ctaNom,0))="Sí",FALSE),IF(OR(I585="Gasto",I585="Transferencia",I585="Pago tarjeta"),-1,1)*O585,0)+IF(AND(U585&lt;&gt;"",IFERROR(INDEX(ctaLiq,MATCH(G585,ctaNom,0))="Sí",FALSE)),O585,0))</f>
        <v/>
      </c>
      <c r="W585" s="19">
        <f>IF(OR(F585="",I585=""),"",IF(COUNTIFS(F$6:F585,F585,I$6:I585,"?*")=1,MAX(W$5:W584)+1,""))</f>
        <v/>
      </c>
    </row>
    <row r="586">
      <c r="B586" s="15" t="n"/>
      <c r="C586" s="16" t="n"/>
      <c r="D586" s="17" t="n"/>
      <c r="E586" s="17" t="n"/>
      <c r="F586" s="17" t="n"/>
      <c r="G586" s="17" t="n"/>
      <c r="H586" s="18">
        <f>IF(AND(B586="",C586="",D586="",E586=""),"",IF(B586="","⚠ Falta fecha",IF(C586="","⚠ Falta monto",IF(D586="","⚠ Falta categoría",IF(ISNA(MATCH(D586,catNom,0)),"⚠ Categoría no existe",IF(E586="","⚠ Falta cuenta",IF(ISNA(MATCH(E586,ctaNom,0)),"⚠ Cuenta no existe",IF(AND(OR(I586="Transferencia",I586="Pago tarjeta"),G586=""),"⚠ Indica la cuenta «Hacia»",IF(AND(G586&lt;&gt;"",G586=E586),"⚠ «Hacia» igual a la cuenta",IF(AND(G586&lt;&gt;"",ISNA(MATCH(G586,ctaNom,0))),"⚠ «Hacia» no existe",IF(AND(I586="Pago tarjeta",IFERROR(INDEX(ctaTipo,MATCH(G586,ctaNom,0)),"")&lt;&gt;"Tarjeta de crédito"),"⚠ «Hacia» debe ser la tarjeta",IF(AND(I586="Trading",IFERROR(INDEX(ctaTipo,MATCH(E586,ctaNom,0)),"")&lt;&gt;"Cuenta de trading"),"⚠ Usa la cuenta de trading","✓"))))))))))))</f>
        <v/>
      </c>
      <c r="I586" s="19">
        <f>IF(OR(B586="",C586="",D586=""),"",IFERROR(INDEX(catTipo,MATCH(D586,catNom,0))&amp;"",""))</f>
        <v/>
      </c>
      <c r="J586" s="19">
        <f>IF(I586="","",IFERROR(INDEX(catGrupo,MATCH(D586,catNom,0))&amp;"",""))</f>
        <v/>
      </c>
      <c r="K586" s="19">
        <f>IF(I586="Gasto",IF(IFERROR(INDEX(catClas,MATCH(D586,catNom,0))&amp;"","")="","Variable",IFERROR(INDEX(catClas,MATCH(D586,catNom,0))&amp;"","")),"")</f>
        <v/>
      </c>
      <c r="L586" s="19">
        <f>IF(I586="","",IFERROR(INDEX(catAlim,MATCH(D586,catNom,0))&amp;"",""))</f>
        <v/>
      </c>
      <c r="M586" s="19">
        <f>IF(I586="","",IFERROR(INDEX(catComida,MATCH(D586,catNom,0))&amp;"",""))</f>
        <v/>
      </c>
      <c r="N586" s="19">
        <f>IF(I586="","",IFERROR(INDEX(ctaMon,MATCH(E586,ctaNom,0))&amp;"","DOP"))</f>
        <v/>
      </c>
      <c r="O586" s="20">
        <f>IF(I586="","",C586*IF(N586="USD",TasaUSD,1))</f>
        <v/>
      </c>
      <c r="P586" s="20">
        <f>IF(I586="","",IF(I586="Gasto",O586,0))</f>
        <v/>
      </c>
      <c r="Q586" s="20">
        <f>IF(I586="","",IF(I586="Ingreso",O586,0))</f>
        <v/>
      </c>
      <c r="R586" s="20">
        <f>IF(I586="","",IF(I586="Trading",O586,0))</f>
        <v/>
      </c>
      <c r="S586" s="19">
        <f>IF(I586="","",IF(AND(I586="Gasto",K586="Variable",J586&lt;&gt;"Trading",O586&gt;0,O586&lt;=Umbral),1,0))</f>
        <v/>
      </c>
      <c r="T586" s="20">
        <f>IF(OR(I586="",E586=""),"",IF(OR(I586="Gasto",I586="Transferencia",I586="Pago tarjeta"),-1,1)*C586)</f>
        <v/>
      </c>
      <c r="U586" s="20">
        <f>IF(OR(G586="",AND(I586&lt;&gt;"Transferencia",I586&lt;&gt;"Pago tarjeta")),"",IF(IFERROR(INDEX(ctaMon,MATCH(G586,ctaNom,0))&amp;"","DOP")=N586,C586,IF(N586="USD",C586*TasaUSD,C586/TasaUSD)))</f>
        <v/>
      </c>
      <c r="V586" s="20">
        <f>IF(I586="","",IF(IFERROR(INDEX(ctaLiq,MATCH(E586,ctaNom,0))="Sí",FALSE),IF(OR(I586="Gasto",I586="Transferencia",I586="Pago tarjeta"),-1,1)*O586,0)+IF(AND(U586&lt;&gt;"",IFERROR(INDEX(ctaLiq,MATCH(G586,ctaNom,0))="Sí",FALSE)),O586,0))</f>
        <v/>
      </c>
      <c r="W586" s="19">
        <f>IF(OR(F586="",I586=""),"",IF(COUNTIFS(F$6:F586,F586,I$6:I586,"?*")=1,MAX(W$5:W585)+1,""))</f>
        <v/>
      </c>
    </row>
    <row r="587">
      <c r="B587" s="15" t="n"/>
      <c r="C587" s="16" t="n"/>
      <c r="D587" s="17" t="n"/>
      <c r="E587" s="17" t="n"/>
      <c r="F587" s="17" t="n"/>
      <c r="G587" s="17" t="n"/>
      <c r="H587" s="18">
        <f>IF(AND(B587="",C587="",D587="",E587=""),"",IF(B587="","⚠ Falta fecha",IF(C587="","⚠ Falta monto",IF(D587="","⚠ Falta categoría",IF(ISNA(MATCH(D587,catNom,0)),"⚠ Categoría no existe",IF(E587="","⚠ Falta cuenta",IF(ISNA(MATCH(E587,ctaNom,0)),"⚠ Cuenta no existe",IF(AND(OR(I587="Transferencia",I587="Pago tarjeta"),G587=""),"⚠ Indica la cuenta «Hacia»",IF(AND(G587&lt;&gt;"",G587=E587),"⚠ «Hacia» igual a la cuenta",IF(AND(G587&lt;&gt;"",ISNA(MATCH(G587,ctaNom,0))),"⚠ «Hacia» no existe",IF(AND(I587="Pago tarjeta",IFERROR(INDEX(ctaTipo,MATCH(G587,ctaNom,0)),"")&lt;&gt;"Tarjeta de crédito"),"⚠ «Hacia» debe ser la tarjeta",IF(AND(I587="Trading",IFERROR(INDEX(ctaTipo,MATCH(E587,ctaNom,0)),"")&lt;&gt;"Cuenta de trading"),"⚠ Usa la cuenta de trading","✓"))))))))))))</f>
        <v/>
      </c>
      <c r="I587" s="19">
        <f>IF(OR(B587="",C587="",D587=""),"",IFERROR(INDEX(catTipo,MATCH(D587,catNom,0))&amp;"",""))</f>
        <v/>
      </c>
      <c r="J587" s="19">
        <f>IF(I587="","",IFERROR(INDEX(catGrupo,MATCH(D587,catNom,0))&amp;"",""))</f>
        <v/>
      </c>
      <c r="K587" s="19">
        <f>IF(I587="Gasto",IF(IFERROR(INDEX(catClas,MATCH(D587,catNom,0))&amp;"","")="","Variable",IFERROR(INDEX(catClas,MATCH(D587,catNom,0))&amp;"","")),"")</f>
        <v/>
      </c>
      <c r="L587" s="19">
        <f>IF(I587="","",IFERROR(INDEX(catAlim,MATCH(D587,catNom,0))&amp;"",""))</f>
        <v/>
      </c>
      <c r="M587" s="19">
        <f>IF(I587="","",IFERROR(INDEX(catComida,MATCH(D587,catNom,0))&amp;"",""))</f>
        <v/>
      </c>
      <c r="N587" s="19">
        <f>IF(I587="","",IFERROR(INDEX(ctaMon,MATCH(E587,ctaNom,0))&amp;"","DOP"))</f>
        <v/>
      </c>
      <c r="O587" s="20">
        <f>IF(I587="","",C587*IF(N587="USD",TasaUSD,1))</f>
        <v/>
      </c>
      <c r="P587" s="20">
        <f>IF(I587="","",IF(I587="Gasto",O587,0))</f>
        <v/>
      </c>
      <c r="Q587" s="20">
        <f>IF(I587="","",IF(I587="Ingreso",O587,0))</f>
        <v/>
      </c>
      <c r="R587" s="20">
        <f>IF(I587="","",IF(I587="Trading",O587,0))</f>
        <v/>
      </c>
      <c r="S587" s="19">
        <f>IF(I587="","",IF(AND(I587="Gasto",K587="Variable",J587&lt;&gt;"Trading",O587&gt;0,O587&lt;=Umbral),1,0))</f>
        <v/>
      </c>
      <c r="T587" s="20">
        <f>IF(OR(I587="",E587=""),"",IF(OR(I587="Gasto",I587="Transferencia",I587="Pago tarjeta"),-1,1)*C587)</f>
        <v/>
      </c>
      <c r="U587" s="20">
        <f>IF(OR(G587="",AND(I587&lt;&gt;"Transferencia",I587&lt;&gt;"Pago tarjeta")),"",IF(IFERROR(INDEX(ctaMon,MATCH(G587,ctaNom,0))&amp;"","DOP")=N587,C587,IF(N587="USD",C587*TasaUSD,C587/TasaUSD)))</f>
        <v/>
      </c>
      <c r="V587" s="20">
        <f>IF(I587="","",IF(IFERROR(INDEX(ctaLiq,MATCH(E587,ctaNom,0))="Sí",FALSE),IF(OR(I587="Gasto",I587="Transferencia",I587="Pago tarjeta"),-1,1)*O587,0)+IF(AND(U587&lt;&gt;"",IFERROR(INDEX(ctaLiq,MATCH(G587,ctaNom,0))="Sí",FALSE)),O587,0))</f>
        <v/>
      </c>
      <c r="W587" s="19">
        <f>IF(OR(F587="",I587=""),"",IF(COUNTIFS(F$6:F587,F587,I$6:I587,"?*")=1,MAX(W$5:W586)+1,""))</f>
        <v/>
      </c>
    </row>
    <row r="588">
      <c r="B588" s="15" t="n"/>
      <c r="C588" s="16" t="n"/>
      <c r="D588" s="17" t="n"/>
      <c r="E588" s="17" t="n"/>
      <c r="F588" s="17" t="n"/>
      <c r="G588" s="17" t="n"/>
      <c r="H588" s="18">
        <f>IF(AND(B588="",C588="",D588="",E588=""),"",IF(B588="","⚠ Falta fecha",IF(C588="","⚠ Falta monto",IF(D588="","⚠ Falta categoría",IF(ISNA(MATCH(D588,catNom,0)),"⚠ Categoría no existe",IF(E588="","⚠ Falta cuenta",IF(ISNA(MATCH(E588,ctaNom,0)),"⚠ Cuenta no existe",IF(AND(OR(I588="Transferencia",I588="Pago tarjeta"),G588=""),"⚠ Indica la cuenta «Hacia»",IF(AND(G588&lt;&gt;"",G588=E588),"⚠ «Hacia» igual a la cuenta",IF(AND(G588&lt;&gt;"",ISNA(MATCH(G588,ctaNom,0))),"⚠ «Hacia» no existe",IF(AND(I588="Pago tarjeta",IFERROR(INDEX(ctaTipo,MATCH(G588,ctaNom,0)),"")&lt;&gt;"Tarjeta de crédito"),"⚠ «Hacia» debe ser la tarjeta",IF(AND(I588="Trading",IFERROR(INDEX(ctaTipo,MATCH(E588,ctaNom,0)),"")&lt;&gt;"Cuenta de trading"),"⚠ Usa la cuenta de trading","✓"))))))))))))</f>
        <v/>
      </c>
      <c r="I588" s="19">
        <f>IF(OR(B588="",C588="",D588=""),"",IFERROR(INDEX(catTipo,MATCH(D588,catNom,0))&amp;"",""))</f>
        <v/>
      </c>
      <c r="J588" s="19">
        <f>IF(I588="","",IFERROR(INDEX(catGrupo,MATCH(D588,catNom,0))&amp;"",""))</f>
        <v/>
      </c>
      <c r="K588" s="19">
        <f>IF(I588="Gasto",IF(IFERROR(INDEX(catClas,MATCH(D588,catNom,0))&amp;"","")="","Variable",IFERROR(INDEX(catClas,MATCH(D588,catNom,0))&amp;"","")),"")</f>
        <v/>
      </c>
      <c r="L588" s="19">
        <f>IF(I588="","",IFERROR(INDEX(catAlim,MATCH(D588,catNom,0))&amp;"",""))</f>
        <v/>
      </c>
      <c r="M588" s="19">
        <f>IF(I588="","",IFERROR(INDEX(catComida,MATCH(D588,catNom,0))&amp;"",""))</f>
        <v/>
      </c>
      <c r="N588" s="19">
        <f>IF(I588="","",IFERROR(INDEX(ctaMon,MATCH(E588,ctaNom,0))&amp;"","DOP"))</f>
        <v/>
      </c>
      <c r="O588" s="20">
        <f>IF(I588="","",C588*IF(N588="USD",TasaUSD,1))</f>
        <v/>
      </c>
      <c r="P588" s="20">
        <f>IF(I588="","",IF(I588="Gasto",O588,0))</f>
        <v/>
      </c>
      <c r="Q588" s="20">
        <f>IF(I588="","",IF(I588="Ingreso",O588,0))</f>
        <v/>
      </c>
      <c r="R588" s="20">
        <f>IF(I588="","",IF(I588="Trading",O588,0))</f>
        <v/>
      </c>
      <c r="S588" s="19">
        <f>IF(I588="","",IF(AND(I588="Gasto",K588="Variable",J588&lt;&gt;"Trading",O588&gt;0,O588&lt;=Umbral),1,0))</f>
        <v/>
      </c>
      <c r="T588" s="20">
        <f>IF(OR(I588="",E588=""),"",IF(OR(I588="Gasto",I588="Transferencia",I588="Pago tarjeta"),-1,1)*C588)</f>
        <v/>
      </c>
      <c r="U588" s="20">
        <f>IF(OR(G588="",AND(I588&lt;&gt;"Transferencia",I588&lt;&gt;"Pago tarjeta")),"",IF(IFERROR(INDEX(ctaMon,MATCH(G588,ctaNom,0))&amp;"","DOP")=N588,C588,IF(N588="USD",C588*TasaUSD,C588/TasaUSD)))</f>
        <v/>
      </c>
      <c r="V588" s="20">
        <f>IF(I588="","",IF(IFERROR(INDEX(ctaLiq,MATCH(E588,ctaNom,0))="Sí",FALSE),IF(OR(I588="Gasto",I588="Transferencia",I588="Pago tarjeta"),-1,1)*O588,0)+IF(AND(U588&lt;&gt;"",IFERROR(INDEX(ctaLiq,MATCH(G588,ctaNom,0))="Sí",FALSE)),O588,0))</f>
        <v/>
      </c>
      <c r="W588" s="19">
        <f>IF(OR(F588="",I588=""),"",IF(COUNTIFS(F$6:F588,F588,I$6:I588,"?*")=1,MAX(W$5:W587)+1,""))</f>
        <v/>
      </c>
    </row>
    <row r="589">
      <c r="B589" s="15" t="n"/>
      <c r="C589" s="16" t="n"/>
      <c r="D589" s="17" t="n"/>
      <c r="E589" s="17" t="n"/>
      <c r="F589" s="17" t="n"/>
      <c r="G589" s="17" t="n"/>
      <c r="H589" s="18">
        <f>IF(AND(B589="",C589="",D589="",E589=""),"",IF(B589="","⚠ Falta fecha",IF(C589="","⚠ Falta monto",IF(D589="","⚠ Falta categoría",IF(ISNA(MATCH(D589,catNom,0)),"⚠ Categoría no existe",IF(E589="","⚠ Falta cuenta",IF(ISNA(MATCH(E589,ctaNom,0)),"⚠ Cuenta no existe",IF(AND(OR(I589="Transferencia",I589="Pago tarjeta"),G589=""),"⚠ Indica la cuenta «Hacia»",IF(AND(G589&lt;&gt;"",G589=E589),"⚠ «Hacia» igual a la cuenta",IF(AND(G589&lt;&gt;"",ISNA(MATCH(G589,ctaNom,0))),"⚠ «Hacia» no existe",IF(AND(I589="Pago tarjeta",IFERROR(INDEX(ctaTipo,MATCH(G589,ctaNom,0)),"")&lt;&gt;"Tarjeta de crédito"),"⚠ «Hacia» debe ser la tarjeta",IF(AND(I589="Trading",IFERROR(INDEX(ctaTipo,MATCH(E589,ctaNom,0)),"")&lt;&gt;"Cuenta de trading"),"⚠ Usa la cuenta de trading","✓"))))))))))))</f>
        <v/>
      </c>
      <c r="I589" s="19">
        <f>IF(OR(B589="",C589="",D589=""),"",IFERROR(INDEX(catTipo,MATCH(D589,catNom,0))&amp;"",""))</f>
        <v/>
      </c>
      <c r="J589" s="19">
        <f>IF(I589="","",IFERROR(INDEX(catGrupo,MATCH(D589,catNom,0))&amp;"",""))</f>
        <v/>
      </c>
      <c r="K589" s="19">
        <f>IF(I589="Gasto",IF(IFERROR(INDEX(catClas,MATCH(D589,catNom,0))&amp;"","")="","Variable",IFERROR(INDEX(catClas,MATCH(D589,catNom,0))&amp;"","")),"")</f>
        <v/>
      </c>
      <c r="L589" s="19">
        <f>IF(I589="","",IFERROR(INDEX(catAlim,MATCH(D589,catNom,0))&amp;"",""))</f>
        <v/>
      </c>
      <c r="M589" s="19">
        <f>IF(I589="","",IFERROR(INDEX(catComida,MATCH(D589,catNom,0))&amp;"",""))</f>
        <v/>
      </c>
      <c r="N589" s="19">
        <f>IF(I589="","",IFERROR(INDEX(ctaMon,MATCH(E589,ctaNom,0))&amp;"","DOP"))</f>
        <v/>
      </c>
      <c r="O589" s="20">
        <f>IF(I589="","",C589*IF(N589="USD",TasaUSD,1))</f>
        <v/>
      </c>
      <c r="P589" s="20">
        <f>IF(I589="","",IF(I589="Gasto",O589,0))</f>
        <v/>
      </c>
      <c r="Q589" s="20">
        <f>IF(I589="","",IF(I589="Ingreso",O589,0))</f>
        <v/>
      </c>
      <c r="R589" s="20">
        <f>IF(I589="","",IF(I589="Trading",O589,0))</f>
        <v/>
      </c>
      <c r="S589" s="19">
        <f>IF(I589="","",IF(AND(I589="Gasto",K589="Variable",J589&lt;&gt;"Trading",O589&gt;0,O589&lt;=Umbral),1,0))</f>
        <v/>
      </c>
      <c r="T589" s="20">
        <f>IF(OR(I589="",E589=""),"",IF(OR(I589="Gasto",I589="Transferencia",I589="Pago tarjeta"),-1,1)*C589)</f>
        <v/>
      </c>
      <c r="U589" s="20">
        <f>IF(OR(G589="",AND(I589&lt;&gt;"Transferencia",I589&lt;&gt;"Pago tarjeta")),"",IF(IFERROR(INDEX(ctaMon,MATCH(G589,ctaNom,0))&amp;"","DOP")=N589,C589,IF(N589="USD",C589*TasaUSD,C589/TasaUSD)))</f>
        <v/>
      </c>
      <c r="V589" s="20">
        <f>IF(I589="","",IF(IFERROR(INDEX(ctaLiq,MATCH(E589,ctaNom,0))="Sí",FALSE),IF(OR(I589="Gasto",I589="Transferencia",I589="Pago tarjeta"),-1,1)*O589,0)+IF(AND(U589&lt;&gt;"",IFERROR(INDEX(ctaLiq,MATCH(G589,ctaNom,0))="Sí",FALSE)),O589,0))</f>
        <v/>
      </c>
      <c r="W589" s="19">
        <f>IF(OR(F589="",I589=""),"",IF(COUNTIFS(F$6:F589,F589,I$6:I589,"?*")=1,MAX(W$5:W588)+1,""))</f>
        <v/>
      </c>
    </row>
    <row r="590">
      <c r="B590" s="15" t="n"/>
      <c r="C590" s="16" t="n"/>
      <c r="D590" s="17" t="n"/>
      <c r="E590" s="17" t="n"/>
      <c r="F590" s="17" t="n"/>
      <c r="G590" s="17" t="n"/>
      <c r="H590" s="18">
        <f>IF(AND(B590="",C590="",D590="",E590=""),"",IF(B590="","⚠ Falta fecha",IF(C590="","⚠ Falta monto",IF(D590="","⚠ Falta categoría",IF(ISNA(MATCH(D590,catNom,0)),"⚠ Categoría no existe",IF(E590="","⚠ Falta cuenta",IF(ISNA(MATCH(E590,ctaNom,0)),"⚠ Cuenta no existe",IF(AND(OR(I590="Transferencia",I590="Pago tarjeta"),G590=""),"⚠ Indica la cuenta «Hacia»",IF(AND(G590&lt;&gt;"",G590=E590),"⚠ «Hacia» igual a la cuenta",IF(AND(G590&lt;&gt;"",ISNA(MATCH(G590,ctaNom,0))),"⚠ «Hacia» no existe",IF(AND(I590="Pago tarjeta",IFERROR(INDEX(ctaTipo,MATCH(G590,ctaNom,0)),"")&lt;&gt;"Tarjeta de crédito"),"⚠ «Hacia» debe ser la tarjeta",IF(AND(I590="Trading",IFERROR(INDEX(ctaTipo,MATCH(E590,ctaNom,0)),"")&lt;&gt;"Cuenta de trading"),"⚠ Usa la cuenta de trading","✓"))))))))))))</f>
        <v/>
      </c>
      <c r="I590" s="19">
        <f>IF(OR(B590="",C590="",D590=""),"",IFERROR(INDEX(catTipo,MATCH(D590,catNom,0))&amp;"",""))</f>
        <v/>
      </c>
      <c r="J590" s="19">
        <f>IF(I590="","",IFERROR(INDEX(catGrupo,MATCH(D590,catNom,0))&amp;"",""))</f>
        <v/>
      </c>
      <c r="K590" s="19">
        <f>IF(I590="Gasto",IF(IFERROR(INDEX(catClas,MATCH(D590,catNom,0))&amp;"","")="","Variable",IFERROR(INDEX(catClas,MATCH(D590,catNom,0))&amp;"","")),"")</f>
        <v/>
      </c>
      <c r="L590" s="19">
        <f>IF(I590="","",IFERROR(INDEX(catAlim,MATCH(D590,catNom,0))&amp;"",""))</f>
        <v/>
      </c>
      <c r="M590" s="19">
        <f>IF(I590="","",IFERROR(INDEX(catComida,MATCH(D590,catNom,0))&amp;"",""))</f>
        <v/>
      </c>
      <c r="N590" s="19">
        <f>IF(I590="","",IFERROR(INDEX(ctaMon,MATCH(E590,ctaNom,0))&amp;"","DOP"))</f>
        <v/>
      </c>
      <c r="O590" s="20">
        <f>IF(I590="","",C590*IF(N590="USD",TasaUSD,1))</f>
        <v/>
      </c>
      <c r="P590" s="20">
        <f>IF(I590="","",IF(I590="Gasto",O590,0))</f>
        <v/>
      </c>
      <c r="Q590" s="20">
        <f>IF(I590="","",IF(I590="Ingreso",O590,0))</f>
        <v/>
      </c>
      <c r="R590" s="20">
        <f>IF(I590="","",IF(I590="Trading",O590,0))</f>
        <v/>
      </c>
      <c r="S590" s="19">
        <f>IF(I590="","",IF(AND(I590="Gasto",K590="Variable",J590&lt;&gt;"Trading",O590&gt;0,O590&lt;=Umbral),1,0))</f>
        <v/>
      </c>
      <c r="T590" s="20">
        <f>IF(OR(I590="",E590=""),"",IF(OR(I590="Gasto",I590="Transferencia",I590="Pago tarjeta"),-1,1)*C590)</f>
        <v/>
      </c>
      <c r="U590" s="20">
        <f>IF(OR(G590="",AND(I590&lt;&gt;"Transferencia",I590&lt;&gt;"Pago tarjeta")),"",IF(IFERROR(INDEX(ctaMon,MATCH(G590,ctaNom,0))&amp;"","DOP")=N590,C590,IF(N590="USD",C590*TasaUSD,C590/TasaUSD)))</f>
        <v/>
      </c>
      <c r="V590" s="20">
        <f>IF(I590="","",IF(IFERROR(INDEX(ctaLiq,MATCH(E590,ctaNom,0))="Sí",FALSE),IF(OR(I590="Gasto",I590="Transferencia",I590="Pago tarjeta"),-1,1)*O590,0)+IF(AND(U590&lt;&gt;"",IFERROR(INDEX(ctaLiq,MATCH(G590,ctaNom,0))="Sí",FALSE)),O590,0))</f>
        <v/>
      </c>
      <c r="W590" s="19">
        <f>IF(OR(F590="",I590=""),"",IF(COUNTIFS(F$6:F590,F590,I$6:I590,"?*")=1,MAX(W$5:W589)+1,""))</f>
        <v/>
      </c>
    </row>
    <row r="591">
      <c r="B591" s="15" t="n"/>
      <c r="C591" s="16" t="n"/>
      <c r="D591" s="17" t="n"/>
      <c r="E591" s="17" t="n"/>
      <c r="F591" s="17" t="n"/>
      <c r="G591" s="17" t="n"/>
      <c r="H591" s="18">
        <f>IF(AND(B591="",C591="",D591="",E591=""),"",IF(B591="","⚠ Falta fecha",IF(C591="","⚠ Falta monto",IF(D591="","⚠ Falta categoría",IF(ISNA(MATCH(D591,catNom,0)),"⚠ Categoría no existe",IF(E591="","⚠ Falta cuenta",IF(ISNA(MATCH(E591,ctaNom,0)),"⚠ Cuenta no existe",IF(AND(OR(I591="Transferencia",I591="Pago tarjeta"),G591=""),"⚠ Indica la cuenta «Hacia»",IF(AND(G591&lt;&gt;"",G591=E591),"⚠ «Hacia» igual a la cuenta",IF(AND(G591&lt;&gt;"",ISNA(MATCH(G591,ctaNom,0))),"⚠ «Hacia» no existe",IF(AND(I591="Pago tarjeta",IFERROR(INDEX(ctaTipo,MATCH(G591,ctaNom,0)),"")&lt;&gt;"Tarjeta de crédito"),"⚠ «Hacia» debe ser la tarjeta",IF(AND(I591="Trading",IFERROR(INDEX(ctaTipo,MATCH(E591,ctaNom,0)),"")&lt;&gt;"Cuenta de trading"),"⚠ Usa la cuenta de trading","✓"))))))))))))</f>
        <v/>
      </c>
      <c r="I591" s="19">
        <f>IF(OR(B591="",C591="",D591=""),"",IFERROR(INDEX(catTipo,MATCH(D591,catNom,0))&amp;"",""))</f>
        <v/>
      </c>
      <c r="J591" s="19">
        <f>IF(I591="","",IFERROR(INDEX(catGrupo,MATCH(D591,catNom,0))&amp;"",""))</f>
        <v/>
      </c>
      <c r="K591" s="19">
        <f>IF(I591="Gasto",IF(IFERROR(INDEX(catClas,MATCH(D591,catNom,0))&amp;"","")="","Variable",IFERROR(INDEX(catClas,MATCH(D591,catNom,0))&amp;"","")),"")</f>
        <v/>
      </c>
      <c r="L591" s="19">
        <f>IF(I591="","",IFERROR(INDEX(catAlim,MATCH(D591,catNom,0))&amp;"",""))</f>
        <v/>
      </c>
      <c r="M591" s="19">
        <f>IF(I591="","",IFERROR(INDEX(catComida,MATCH(D591,catNom,0))&amp;"",""))</f>
        <v/>
      </c>
      <c r="N591" s="19">
        <f>IF(I591="","",IFERROR(INDEX(ctaMon,MATCH(E591,ctaNom,0))&amp;"","DOP"))</f>
        <v/>
      </c>
      <c r="O591" s="20">
        <f>IF(I591="","",C591*IF(N591="USD",TasaUSD,1))</f>
        <v/>
      </c>
      <c r="P591" s="20">
        <f>IF(I591="","",IF(I591="Gasto",O591,0))</f>
        <v/>
      </c>
      <c r="Q591" s="20">
        <f>IF(I591="","",IF(I591="Ingreso",O591,0))</f>
        <v/>
      </c>
      <c r="R591" s="20">
        <f>IF(I591="","",IF(I591="Trading",O591,0))</f>
        <v/>
      </c>
      <c r="S591" s="19">
        <f>IF(I591="","",IF(AND(I591="Gasto",K591="Variable",J591&lt;&gt;"Trading",O591&gt;0,O591&lt;=Umbral),1,0))</f>
        <v/>
      </c>
      <c r="T591" s="20">
        <f>IF(OR(I591="",E591=""),"",IF(OR(I591="Gasto",I591="Transferencia",I591="Pago tarjeta"),-1,1)*C591)</f>
        <v/>
      </c>
      <c r="U591" s="20">
        <f>IF(OR(G591="",AND(I591&lt;&gt;"Transferencia",I591&lt;&gt;"Pago tarjeta")),"",IF(IFERROR(INDEX(ctaMon,MATCH(G591,ctaNom,0))&amp;"","DOP")=N591,C591,IF(N591="USD",C591*TasaUSD,C591/TasaUSD)))</f>
        <v/>
      </c>
      <c r="V591" s="20">
        <f>IF(I591="","",IF(IFERROR(INDEX(ctaLiq,MATCH(E591,ctaNom,0))="Sí",FALSE),IF(OR(I591="Gasto",I591="Transferencia",I591="Pago tarjeta"),-1,1)*O591,0)+IF(AND(U591&lt;&gt;"",IFERROR(INDEX(ctaLiq,MATCH(G591,ctaNom,0))="Sí",FALSE)),O591,0))</f>
        <v/>
      </c>
      <c r="W591" s="19">
        <f>IF(OR(F591="",I591=""),"",IF(COUNTIFS(F$6:F591,F591,I$6:I591,"?*")=1,MAX(W$5:W590)+1,""))</f>
        <v/>
      </c>
    </row>
    <row r="592">
      <c r="B592" s="15" t="n"/>
      <c r="C592" s="16" t="n"/>
      <c r="D592" s="17" t="n"/>
      <c r="E592" s="17" t="n"/>
      <c r="F592" s="17" t="n"/>
      <c r="G592" s="17" t="n"/>
      <c r="H592" s="18">
        <f>IF(AND(B592="",C592="",D592="",E592=""),"",IF(B592="","⚠ Falta fecha",IF(C592="","⚠ Falta monto",IF(D592="","⚠ Falta categoría",IF(ISNA(MATCH(D592,catNom,0)),"⚠ Categoría no existe",IF(E592="","⚠ Falta cuenta",IF(ISNA(MATCH(E592,ctaNom,0)),"⚠ Cuenta no existe",IF(AND(OR(I592="Transferencia",I592="Pago tarjeta"),G592=""),"⚠ Indica la cuenta «Hacia»",IF(AND(G592&lt;&gt;"",G592=E592),"⚠ «Hacia» igual a la cuenta",IF(AND(G592&lt;&gt;"",ISNA(MATCH(G592,ctaNom,0))),"⚠ «Hacia» no existe",IF(AND(I592="Pago tarjeta",IFERROR(INDEX(ctaTipo,MATCH(G592,ctaNom,0)),"")&lt;&gt;"Tarjeta de crédito"),"⚠ «Hacia» debe ser la tarjeta",IF(AND(I592="Trading",IFERROR(INDEX(ctaTipo,MATCH(E592,ctaNom,0)),"")&lt;&gt;"Cuenta de trading"),"⚠ Usa la cuenta de trading","✓"))))))))))))</f>
        <v/>
      </c>
      <c r="I592" s="19">
        <f>IF(OR(B592="",C592="",D592=""),"",IFERROR(INDEX(catTipo,MATCH(D592,catNom,0))&amp;"",""))</f>
        <v/>
      </c>
      <c r="J592" s="19">
        <f>IF(I592="","",IFERROR(INDEX(catGrupo,MATCH(D592,catNom,0))&amp;"",""))</f>
        <v/>
      </c>
      <c r="K592" s="19">
        <f>IF(I592="Gasto",IF(IFERROR(INDEX(catClas,MATCH(D592,catNom,0))&amp;"","")="","Variable",IFERROR(INDEX(catClas,MATCH(D592,catNom,0))&amp;"","")),"")</f>
        <v/>
      </c>
      <c r="L592" s="19">
        <f>IF(I592="","",IFERROR(INDEX(catAlim,MATCH(D592,catNom,0))&amp;"",""))</f>
        <v/>
      </c>
      <c r="M592" s="19">
        <f>IF(I592="","",IFERROR(INDEX(catComida,MATCH(D592,catNom,0))&amp;"",""))</f>
        <v/>
      </c>
      <c r="N592" s="19">
        <f>IF(I592="","",IFERROR(INDEX(ctaMon,MATCH(E592,ctaNom,0))&amp;"","DOP"))</f>
        <v/>
      </c>
      <c r="O592" s="20">
        <f>IF(I592="","",C592*IF(N592="USD",TasaUSD,1))</f>
        <v/>
      </c>
      <c r="P592" s="20">
        <f>IF(I592="","",IF(I592="Gasto",O592,0))</f>
        <v/>
      </c>
      <c r="Q592" s="20">
        <f>IF(I592="","",IF(I592="Ingreso",O592,0))</f>
        <v/>
      </c>
      <c r="R592" s="20">
        <f>IF(I592="","",IF(I592="Trading",O592,0))</f>
        <v/>
      </c>
      <c r="S592" s="19">
        <f>IF(I592="","",IF(AND(I592="Gasto",K592="Variable",J592&lt;&gt;"Trading",O592&gt;0,O592&lt;=Umbral),1,0))</f>
        <v/>
      </c>
      <c r="T592" s="20">
        <f>IF(OR(I592="",E592=""),"",IF(OR(I592="Gasto",I592="Transferencia",I592="Pago tarjeta"),-1,1)*C592)</f>
        <v/>
      </c>
      <c r="U592" s="20">
        <f>IF(OR(G592="",AND(I592&lt;&gt;"Transferencia",I592&lt;&gt;"Pago tarjeta")),"",IF(IFERROR(INDEX(ctaMon,MATCH(G592,ctaNom,0))&amp;"","DOP")=N592,C592,IF(N592="USD",C592*TasaUSD,C592/TasaUSD)))</f>
        <v/>
      </c>
      <c r="V592" s="20">
        <f>IF(I592="","",IF(IFERROR(INDEX(ctaLiq,MATCH(E592,ctaNom,0))="Sí",FALSE),IF(OR(I592="Gasto",I592="Transferencia",I592="Pago tarjeta"),-1,1)*O592,0)+IF(AND(U592&lt;&gt;"",IFERROR(INDEX(ctaLiq,MATCH(G592,ctaNom,0))="Sí",FALSE)),O592,0))</f>
        <v/>
      </c>
      <c r="W592" s="19">
        <f>IF(OR(F592="",I592=""),"",IF(COUNTIFS(F$6:F592,F592,I$6:I592,"?*")=1,MAX(W$5:W591)+1,""))</f>
        <v/>
      </c>
    </row>
    <row r="593">
      <c r="B593" s="15" t="n"/>
      <c r="C593" s="16" t="n"/>
      <c r="D593" s="17" t="n"/>
      <c r="E593" s="17" t="n"/>
      <c r="F593" s="17" t="n"/>
      <c r="G593" s="17" t="n"/>
      <c r="H593" s="18">
        <f>IF(AND(B593="",C593="",D593="",E593=""),"",IF(B593="","⚠ Falta fecha",IF(C593="","⚠ Falta monto",IF(D593="","⚠ Falta categoría",IF(ISNA(MATCH(D593,catNom,0)),"⚠ Categoría no existe",IF(E593="","⚠ Falta cuenta",IF(ISNA(MATCH(E593,ctaNom,0)),"⚠ Cuenta no existe",IF(AND(OR(I593="Transferencia",I593="Pago tarjeta"),G593=""),"⚠ Indica la cuenta «Hacia»",IF(AND(G593&lt;&gt;"",G593=E593),"⚠ «Hacia» igual a la cuenta",IF(AND(G593&lt;&gt;"",ISNA(MATCH(G593,ctaNom,0))),"⚠ «Hacia» no existe",IF(AND(I593="Pago tarjeta",IFERROR(INDEX(ctaTipo,MATCH(G593,ctaNom,0)),"")&lt;&gt;"Tarjeta de crédito"),"⚠ «Hacia» debe ser la tarjeta",IF(AND(I593="Trading",IFERROR(INDEX(ctaTipo,MATCH(E593,ctaNom,0)),"")&lt;&gt;"Cuenta de trading"),"⚠ Usa la cuenta de trading","✓"))))))))))))</f>
        <v/>
      </c>
      <c r="I593" s="19">
        <f>IF(OR(B593="",C593="",D593=""),"",IFERROR(INDEX(catTipo,MATCH(D593,catNom,0))&amp;"",""))</f>
        <v/>
      </c>
      <c r="J593" s="19">
        <f>IF(I593="","",IFERROR(INDEX(catGrupo,MATCH(D593,catNom,0))&amp;"",""))</f>
        <v/>
      </c>
      <c r="K593" s="19">
        <f>IF(I593="Gasto",IF(IFERROR(INDEX(catClas,MATCH(D593,catNom,0))&amp;"","")="","Variable",IFERROR(INDEX(catClas,MATCH(D593,catNom,0))&amp;"","")),"")</f>
        <v/>
      </c>
      <c r="L593" s="19">
        <f>IF(I593="","",IFERROR(INDEX(catAlim,MATCH(D593,catNom,0))&amp;"",""))</f>
        <v/>
      </c>
      <c r="M593" s="19">
        <f>IF(I593="","",IFERROR(INDEX(catComida,MATCH(D593,catNom,0))&amp;"",""))</f>
        <v/>
      </c>
      <c r="N593" s="19">
        <f>IF(I593="","",IFERROR(INDEX(ctaMon,MATCH(E593,ctaNom,0))&amp;"","DOP"))</f>
        <v/>
      </c>
      <c r="O593" s="20">
        <f>IF(I593="","",C593*IF(N593="USD",TasaUSD,1))</f>
        <v/>
      </c>
      <c r="P593" s="20">
        <f>IF(I593="","",IF(I593="Gasto",O593,0))</f>
        <v/>
      </c>
      <c r="Q593" s="20">
        <f>IF(I593="","",IF(I593="Ingreso",O593,0))</f>
        <v/>
      </c>
      <c r="R593" s="20">
        <f>IF(I593="","",IF(I593="Trading",O593,0))</f>
        <v/>
      </c>
      <c r="S593" s="19">
        <f>IF(I593="","",IF(AND(I593="Gasto",K593="Variable",J593&lt;&gt;"Trading",O593&gt;0,O593&lt;=Umbral),1,0))</f>
        <v/>
      </c>
      <c r="T593" s="20">
        <f>IF(OR(I593="",E593=""),"",IF(OR(I593="Gasto",I593="Transferencia",I593="Pago tarjeta"),-1,1)*C593)</f>
        <v/>
      </c>
      <c r="U593" s="20">
        <f>IF(OR(G593="",AND(I593&lt;&gt;"Transferencia",I593&lt;&gt;"Pago tarjeta")),"",IF(IFERROR(INDEX(ctaMon,MATCH(G593,ctaNom,0))&amp;"","DOP")=N593,C593,IF(N593="USD",C593*TasaUSD,C593/TasaUSD)))</f>
        <v/>
      </c>
      <c r="V593" s="20">
        <f>IF(I593="","",IF(IFERROR(INDEX(ctaLiq,MATCH(E593,ctaNom,0))="Sí",FALSE),IF(OR(I593="Gasto",I593="Transferencia",I593="Pago tarjeta"),-1,1)*O593,0)+IF(AND(U593&lt;&gt;"",IFERROR(INDEX(ctaLiq,MATCH(G593,ctaNom,0))="Sí",FALSE)),O593,0))</f>
        <v/>
      </c>
      <c r="W593" s="19">
        <f>IF(OR(F593="",I593=""),"",IF(COUNTIFS(F$6:F593,F593,I$6:I593,"?*")=1,MAX(W$5:W592)+1,""))</f>
        <v/>
      </c>
    </row>
    <row r="594">
      <c r="B594" s="15" t="n"/>
      <c r="C594" s="16" t="n"/>
      <c r="D594" s="17" t="n"/>
      <c r="E594" s="17" t="n"/>
      <c r="F594" s="17" t="n"/>
      <c r="G594" s="17" t="n"/>
      <c r="H594" s="18">
        <f>IF(AND(B594="",C594="",D594="",E594=""),"",IF(B594="","⚠ Falta fecha",IF(C594="","⚠ Falta monto",IF(D594="","⚠ Falta categoría",IF(ISNA(MATCH(D594,catNom,0)),"⚠ Categoría no existe",IF(E594="","⚠ Falta cuenta",IF(ISNA(MATCH(E594,ctaNom,0)),"⚠ Cuenta no existe",IF(AND(OR(I594="Transferencia",I594="Pago tarjeta"),G594=""),"⚠ Indica la cuenta «Hacia»",IF(AND(G594&lt;&gt;"",G594=E594),"⚠ «Hacia» igual a la cuenta",IF(AND(G594&lt;&gt;"",ISNA(MATCH(G594,ctaNom,0))),"⚠ «Hacia» no existe",IF(AND(I594="Pago tarjeta",IFERROR(INDEX(ctaTipo,MATCH(G594,ctaNom,0)),"")&lt;&gt;"Tarjeta de crédito"),"⚠ «Hacia» debe ser la tarjeta",IF(AND(I594="Trading",IFERROR(INDEX(ctaTipo,MATCH(E594,ctaNom,0)),"")&lt;&gt;"Cuenta de trading"),"⚠ Usa la cuenta de trading","✓"))))))))))))</f>
        <v/>
      </c>
      <c r="I594" s="19">
        <f>IF(OR(B594="",C594="",D594=""),"",IFERROR(INDEX(catTipo,MATCH(D594,catNom,0))&amp;"",""))</f>
        <v/>
      </c>
      <c r="J594" s="19">
        <f>IF(I594="","",IFERROR(INDEX(catGrupo,MATCH(D594,catNom,0))&amp;"",""))</f>
        <v/>
      </c>
      <c r="K594" s="19">
        <f>IF(I594="Gasto",IF(IFERROR(INDEX(catClas,MATCH(D594,catNom,0))&amp;"","")="","Variable",IFERROR(INDEX(catClas,MATCH(D594,catNom,0))&amp;"","")),"")</f>
        <v/>
      </c>
      <c r="L594" s="19">
        <f>IF(I594="","",IFERROR(INDEX(catAlim,MATCH(D594,catNom,0))&amp;"",""))</f>
        <v/>
      </c>
      <c r="M594" s="19">
        <f>IF(I594="","",IFERROR(INDEX(catComida,MATCH(D594,catNom,0))&amp;"",""))</f>
        <v/>
      </c>
      <c r="N594" s="19">
        <f>IF(I594="","",IFERROR(INDEX(ctaMon,MATCH(E594,ctaNom,0))&amp;"","DOP"))</f>
        <v/>
      </c>
      <c r="O594" s="20">
        <f>IF(I594="","",C594*IF(N594="USD",TasaUSD,1))</f>
        <v/>
      </c>
      <c r="P594" s="20">
        <f>IF(I594="","",IF(I594="Gasto",O594,0))</f>
        <v/>
      </c>
      <c r="Q594" s="20">
        <f>IF(I594="","",IF(I594="Ingreso",O594,0))</f>
        <v/>
      </c>
      <c r="R594" s="20">
        <f>IF(I594="","",IF(I594="Trading",O594,0))</f>
        <v/>
      </c>
      <c r="S594" s="19">
        <f>IF(I594="","",IF(AND(I594="Gasto",K594="Variable",J594&lt;&gt;"Trading",O594&gt;0,O594&lt;=Umbral),1,0))</f>
        <v/>
      </c>
      <c r="T594" s="20">
        <f>IF(OR(I594="",E594=""),"",IF(OR(I594="Gasto",I594="Transferencia",I594="Pago tarjeta"),-1,1)*C594)</f>
        <v/>
      </c>
      <c r="U594" s="20">
        <f>IF(OR(G594="",AND(I594&lt;&gt;"Transferencia",I594&lt;&gt;"Pago tarjeta")),"",IF(IFERROR(INDEX(ctaMon,MATCH(G594,ctaNom,0))&amp;"","DOP")=N594,C594,IF(N594="USD",C594*TasaUSD,C594/TasaUSD)))</f>
        <v/>
      </c>
      <c r="V594" s="20">
        <f>IF(I594="","",IF(IFERROR(INDEX(ctaLiq,MATCH(E594,ctaNom,0))="Sí",FALSE),IF(OR(I594="Gasto",I594="Transferencia",I594="Pago tarjeta"),-1,1)*O594,0)+IF(AND(U594&lt;&gt;"",IFERROR(INDEX(ctaLiq,MATCH(G594,ctaNom,0))="Sí",FALSE)),O594,0))</f>
        <v/>
      </c>
      <c r="W594" s="19">
        <f>IF(OR(F594="",I594=""),"",IF(COUNTIFS(F$6:F594,F594,I$6:I594,"?*")=1,MAX(W$5:W593)+1,""))</f>
        <v/>
      </c>
    </row>
    <row r="595">
      <c r="B595" s="15" t="n"/>
      <c r="C595" s="16" t="n"/>
      <c r="D595" s="17" t="n"/>
      <c r="E595" s="17" t="n"/>
      <c r="F595" s="17" t="n"/>
      <c r="G595" s="17" t="n"/>
      <c r="H595" s="18">
        <f>IF(AND(B595="",C595="",D595="",E595=""),"",IF(B595="","⚠ Falta fecha",IF(C595="","⚠ Falta monto",IF(D595="","⚠ Falta categoría",IF(ISNA(MATCH(D595,catNom,0)),"⚠ Categoría no existe",IF(E595="","⚠ Falta cuenta",IF(ISNA(MATCH(E595,ctaNom,0)),"⚠ Cuenta no existe",IF(AND(OR(I595="Transferencia",I595="Pago tarjeta"),G595=""),"⚠ Indica la cuenta «Hacia»",IF(AND(G595&lt;&gt;"",G595=E595),"⚠ «Hacia» igual a la cuenta",IF(AND(G595&lt;&gt;"",ISNA(MATCH(G595,ctaNom,0))),"⚠ «Hacia» no existe",IF(AND(I595="Pago tarjeta",IFERROR(INDEX(ctaTipo,MATCH(G595,ctaNom,0)),"")&lt;&gt;"Tarjeta de crédito"),"⚠ «Hacia» debe ser la tarjeta",IF(AND(I595="Trading",IFERROR(INDEX(ctaTipo,MATCH(E595,ctaNom,0)),"")&lt;&gt;"Cuenta de trading"),"⚠ Usa la cuenta de trading","✓"))))))))))))</f>
        <v/>
      </c>
      <c r="I595" s="19">
        <f>IF(OR(B595="",C595="",D595=""),"",IFERROR(INDEX(catTipo,MATCH(D595,catNom,0))&amp;"",""))</f>
        <v/>
      </c>
      <c r="J595" s="19">
        <f>IF(I595="","",IFERROR(INDEX(catGrupo,MATCH(D595,catNom,0))&amp;"",""))</f>
        <v/>
      </c>
      <c r="K595" s="19">
        <f>IF(I595="Gasto",IF(IFERROR(INDEX(catClas,MATCH(D595,catNom,0))&amp;"","")="","Variable",IFERROR(INDEX(catClas,MATCH(D595,catNom,0))&amp;"","")),"")</f>
        <v/>
      </c>
      <c r="L595" s="19">
        <f>IF(I595="","",IFERROR(INDEX(catAlim,MATCH(D595,catNom,0))&amp;"",""))</f>
        <v/>
      </c>
      <c r="M595" s="19">
        <f>IF(I595="","",IFERROR(INDEX(catComida,MATCH(D595,catNom,0))&amp;"",""))</f>
        <v/>
      </c>
      <c r="N595" s="19">
        <f>IF(I595="","",IFERROR(INDEX(ctaMon,MATCH(E595,ctaNom,0))&amp;"","DOP"))</f>
        <v/>
      </c>
      <c r="O595" s="20">
        <f>IF(I595="","",C595*IF(N595="USD",TasaUSD,1))</f>
        <v/>
      </c>
      <c r="P595" s="20">
        <f>IF(I595="","",IF(I595="Gasto",O595,0))</f>
        <v/>
      </c>
      <c r="Q595" s="20">
        <f>IF(I595="","",IF(I595="Ingreso",O595,0))</f>
        <v/>
      </c>
      <c r="R595" s="20">
        <f>IF(I595="","",IF(I595="Trading",O595,0))</f>
        <v/>
      </c>
      <c r="S595" s="19">
        <f>IF(I595="","",IF(AND(I595="Gasto",K595="Variable",J595&lt;&gt;"Trading",O595&gt;0,O595&lt;=Umbral),1,0))</f>
        <v/>
      </c>
      <c r="T595" s="20">
        <f>IF(OR(I595="",E595=""),"",IF(OR(I595="Gasto",I595="Transferencia",I595="Pago tarjeta"),-1,1)*C595)</f>
        <v/>
      </c>
      <c r="U595" s="20">
        <f>IF(OR(G595="",AND(I595&lt;&gt;"Transferencia",I595&lt;&gt;"Pago tarjeta")),"",IF(IFERROR(INDEX(ctaMon,MATCH(G595,ctaNom,0))&amp;"","DOP")=N595,C595,IF(N595="USD",C595*TasaUSD,C595/TasaUSD)))</f>
        <v/>
      </c>
      <c r="V595" s="20">
        <f>IF(I595="","",IF(IFERROR(INDEX(ctaLiq,MATCH(E595,ctaNom,0))="Sí",FALSE),IF(OR(I595="Gasto",I595="Transferencia",I595="Pago tarjeta"),-1,1)*O595,0)+IF(AND(U595&lt;&gt;"",IFERROR(INDEX(ctaLiq,MATCH(G595,ctaNom,0))="Sí",FALSE)),O595,0))</f>
        <v/>
      </c>
      <c r="W595" s="19">
        <f>IF(OR(F595="",I595=""),"",IF(COUNTIFS(F$6:F595,F595,I$6:I595,"?*")=1,MAX(W$5:W594)+1,""))</f>
        <v/>
      </c>
    </row>
    <row r="596">
      <c r="B596" s="15" t="n"/>
      <c r="C596" s="16" t="n"/>
      <c r="D596" s="17" t="n"/>
      <c r="E596" s="17" t="n"/>
      <c r="F596" s="17" t="n"/>
      <c r="G596" s="17" t="n"/>
      <c r="H596" s="18">
        <f>IF(AND(B596="",C596="",D596="",E596=""),"",IF(B596="","⚠ Falta fecha",IF(C596="","⚠ Falta monto",IF(D596="","⚠ Falta categoría",IF(ISNA(MATCH(D596,catNom,0)),"⚠ Categoría no existe",IF(E596="","⚠ Falta cuenta",IF(ISNA(MATCH(E596,ctaNom,0)),"⚠ Cuenta no existe",IF(AND(OR(I596="Transferencia",I596="Pago tarjeta"),G596=""),"⚠ Indica la cuenta «Hacia»",IF(AND(G596&lt;&gt;"",G596=E596),"⚠ «Hacia» igual a la cuenta",IF(AND(G596&lt;&gt;"",ISNA(MATCH(G596,ctaNom,0))),"⚠ «Hacia» no existe",IF(AND(I596="Pago tarjeta",IFERROR(INDEX(ctaTipo,MATCH(G596,ctaNom,0)),"")&lt;&gt;"Tarjeta de crédito"),"⚠ «Hacia» debe ser la tarjeta",IF(AND(I596="Trading",IFERROR(INDEX(ctaTipo,MATCH(E596,ctaNom,0)),"")&lt;&gt;"Cuenta de trading"),"⚠ Usa la cuenta de trading","✓"))))))))))))</f>
        <v/>
      </c>
      <c r="I596" s="19">
        <f>IF(OR(B596="",C596="",D596=""),"",IFERROR(INDEX(catTipo,MATCH(D596,catNom,0))&amp;"",""))</f>
        <v/>
      </c>
      <c r="J596" s="19">
        <f>IF(I596="","",IFERROR(INDEX(catGrupo,MATCH(D596,catNom,0))&amp;"",""))</f>
        <v/>
      </c>
      <c r="K596" s="19">
        <f>IF(I596="Gasto",IF(IFERROR(INDEX(catClas,MATCH(D596,catNom,0))&amp;"","")="","Variable",IFERROR(INDEX(catClas,MATCH(D596,catNom,0))&amp;"","")),"")</f>
        <v/>
      </c>
      <c r="L596" s="19">
        <f>IF(I596="","",IFERROR(INDEX(catAlim,MATCH(D596,catNom,0))&amp;"",""))</f>
        <v/>
      </c>
      <c r="M596" s="19">
        <f>IF(I596="","",IFERROR(INDEX(catComida,MATCH(D596,catNom,0))&amp;"",""))</f>
        <v/>
      </c>
      <c r="N596" s="19">
        <f>IF(I596="","",IFERROR(INDEX(ctaMon,MATCH(E596,ctaNom,0))&amp;"","DOP"))</f>
        <v/>
      </c>
      <c r="O596" s="20">
        <f>IF(I596="","",C596*IF(N596="USD",TasaUSD,1))</f>
        <v/>
      </c>
      <c r="P596" s="20">
        <f>IF(I596="","",IF(I596="Gasto",O596,0))</f>
        <v/>
      </c>
      <c r="Q596" s="20">
        <f>IF(I596="","",IF(I596="Ingreso",O596,0))</f>
        <v/>
      </c>
      <c r="R596" s="20">
        <f>IF(I596="","",IF(I596="Trading",O596,0))</f>
        <v/>
      </c>
      <c r="S596" s="19">
        <f>IF(I596="","",IF(AND(I596="Gasto",K596="Variable",J596&lt;&gt;"Trading",O596&gt;0,O596&lt;=Umbral),1,0))</f>
        <v/>
      </c>
      <c r="T596" s="20">
        <f>IF(OR(I596="",E596=""),"",IF(OR(I596="Gasto",I596="Transferencia",I596="Pago tarjeta"),-1,1)*C596)</f>
        <v/>
      </c>
      <c r="U596" s="20">
        <f>IF(OR(G596="",AND(I596&lt;&gt;"Transferencia",I596&lt;&gt;"Pago tarjeta")),"",IF(IFERROR(INDEX(ctaMon,MATCH(G596,ctaNom,0))&amp;"","DOP")=N596,C596,IF(N596="USD",C596*TasaUSD,C596/TasaUSD)))</f>
        <v/>
      </c>
      <c r="V596" s="20">
        <f>IF(I596="","",IF(IFERROR(INDEX(ctaLiq,MATCH(E596,ctaNom,0))="Sí",FALSE),IF(OR(I596="Gasto",I596="Transferencia",I596="Pago tarjeta"),-1,1)*O596,0)+IF(AND(U596&lt;&gt;"",IFERROR(INDEX(ctaLiq,MATCH(G596,ctaNom,0))="Sí",FALSE)),O596,0))</f>
        <v/>
      </c>
      <c r="W596" s="19">
        <f>IF(OR(F596="",I596=""),"",IF(COUNTIFS(F$6:F596,F596,I$6:I596,"?*")=1,MAX(W$5:W595)+1,""))</f>
        <v/>
      </c>
    </row>
    <row r="597">
      <c r="B597" s="15" t="n"/>
      <c r="C597" s="16" t="n"/>
      <c r="D597" s="17" t="n"/>
      <c r="E597" s="17" t="n"/>
      <c r="F597" s="17" t="n"/>
      <c r="G597" s="17" t="n"/>
      <c r="H597" s="18">
        <f>IF(AND(B597="",C597="",D597="",E597=""),"",IF(B597="","⚠ Falta fecha",IF(C597="","⚠ Falta monto",IF(D597="","⚠ Falta categoría",IF(ISNA(MATCH(D597,catNom,0)),"⚠ Categoría no existe",IF(E597="","⚠ Falta cuenta",IF(ISNA(MATCH(E597,ctaNom,0)),"⚠ Cuenta no existe",IF(AND(OR(I597="Transferencia",I597="Pago tarjeta"),G597=""),"⚠ Indica la cuenta «Hacia»",IF(AND(G597&lt;&gt;"",G597=E597),"⚠ «Hacia» igual a la cuenta",IF(AND(G597&lt;&gt;"",ISNA(MATCH(G597,ctaNom,0))),"⚠ «Hacia» no existe",IF(AND(I597="Pago tarjeta",IFERROR(INDEX(ctaTipo,MATCH(G597,ctaNom,0)),"")&lt;&gt;"Tarjeta de crédito"),"⚠ «Hacia» debe ser la tarjeta",IF(AND(I597="Trading",IFERROR(INDEX(ctaTipo,MATCH(E597,ctaNom,0)),"")&lt;&gt;"Cuenta de trading"),"⚠ Usa la cuenta de trading","✓"))))))))))))</f>
        <v/>
      </c>
      <c r="I597" s="19">
        <f>IF(OR(B597="",C597="",D597=""),"",IFERROR(INDEX(catTipo,MATCH(D597,catNom,0))&amp;"",""))</f>
        <v/>
      </c>
      <c r="J597" s="19">
        <f>IF(I597="","",IFERROR(INDEX(catGrupo,MATCH(D597,catNom,0))&amp;"",""))</f>
        <v/>
      </c>
      <c r="K597" s="19">
        <f>IF(I597="Gasto",IF(IFERROR(INDEX(catClas,MATCH(D597,catNom,0))&amp;"","")="","Variable",IFERROR(INDEX(catClas,MATCH(D597,catNom,0))&amp;"","")),"")</f>
        <v/>
      </c>
      <c r="L597" s="19">
        <f>IF(I597="","",IFERROR(INDEX(catAlim,MATCH(D597,catNom,0))&amp;"",""))</f>
        <v/>
      </c>
      <c r="M597" s="19">
        <f>IF(I597="","",IFERROR(INDEX(catComida,MATCH(D597,catNom,0))&amp;"",""))</f>
        <v/>
      </c>
      <c r="N597" s="19">
        <f>IF(I597="","",IFERROR(INDEX(ctaMon,MATCH(E597,ctaNom,0))&amp;"","DOP"))</f>
        <v/>
      </c>
      <c r="O597" s="20">
        <f>IF(I597="","",C597*IF(N597="USD",TasaUSD,1))</f>
        <v/>
      </c>
      <c r="P597" s="20">
        <f>IF(I597="","",IF(I597="Gasto",O597,0))</f>
        <v/>
      </c>
      <c r="Q597" s="20">
        <f>IF(I597="","",IF(I597="Ingreso",O597,0))</f>
        <v/>
      </c>
      <c r="R597" s="20">
        <f>IF(I597="","",IF(I597="Trading",O597,0))</f>
        <v/>
      </c>
      <c r="S597" s="19">
        <f>IF(I597="","",IF(AND(I597="Gasto",K597="Variable",J597&lt;&gt;"Trading",O597&gt;0,O597&lt;=Umbral),1,0))</f>
        <v/>
      </c>
      <c r="T597" s="20">
        <f>IF(OR(I597="",E597=""),"",IF(OR(I597="Gasto",I597="Transferencia",I597="Pago tarjeta"),-1,1)*C597)</f>
        <v/>
      </c>
      <c r="U597" s="20">
        <f>IF(OR(G597="",AND(I597&lt;&gt;"Transferencia",I597&lt;&gt;"Pago tarjeta")),"",IF(IFERROR(INDEX(ctaMon,MATCH(G597,ctaNom,0))&amp;"","DOP")=N597,C597,IF(N597="USD",C597*TasaUSD,C597/TasaUSD)))</f>
        <v/>
      </c>
      <c r="V597" s="20">
        <f>IF(I597="","",IF(IFERROR(INDEX(ctaLiq,MATCH(E597,ctaNom,0))="Sí",FALSE),IF(OR(I597="Gasto",I597="Transferencia",I597="Pago tarjeta"),-1,1)*O597,0)+IF(AND(U597&lt;&gt;"",IFERROR(INDEX(ctaLiq,MATCH(G597,ctaNom,0))="Sí",FALSE)),O597,0))</f>
        <v/>
      </c>
      <c r="W597" s="19">
        <f>IF(OR(F597="",I597=""),"",IF(COUNTIFS(F$6:F597,F597,I$6:I597,"?*")=1,MAX(W$5:W596)+1,""))</f>
        <v/>
      </c>
    </row>
    <row r="598">
      <c r="B598" s="15" t="n"/>
      <c r="C598" s="16" t="n"/>
      <c r="D598" s="17" t="n"/>
      <c r="E598" s="17" t="n"/>
      <c r="F598" s="17" t="n"/>
      <c r="G598" s="17" t="n"/>
      <c r="H598" s="18">
        <f>IF(AND(B598="",C598="",D598="",E598=""),"",IF(B598="","⚠ Falta fecha",IF(C598="","⚠ Falta monto",IF(D598="","⚠ Falta categoría",IF(ISNA(MATCH(D598,catNom,0)),"⚠ Categoría no existe",IF(E598="","⚠ Falta cuenta",IF(ISNA(MATCH(E598,ctaNom,0)),"⚠ Cuenta no existe",IF(AND(OR(I598="Transferencia",I598="Pago tarjeta"),G598=""),"⚠ Indica la cuenta «Hacia»",IF(AND(G598&lt;&gt;"",G598=E598),"⚠ «Hacia» igual a la cuenta",IF(AND(G598&lt;&gt;"",ISNA(MATCH(G598,ctaNom,0))),"⚠ «Hacia» no existe",IF(AND(I598="Pago tarjeta",IFERROR(INDEX(ctaTipo,MATCH(G598,ctaNom,0)),"")&lt;&gt;"Tarjeta de crédito"),"⚠ «Hacia» debe ser la tarjeta",IF(AND(I598="Trading",IFERROR(INDEX(ctaTipo,MATCH(E598,ctaNom,0)),"")&lt;&gt;"Cuenta de trading"),"⚠ Usa la cuenta de trading","✓"))))))))))))</f>
        <v/>
      </c>
      <c r="I598" s="19">
        <f>IF(OR(B598="",C598="",D598=""),"",IFERROR(INDEX(catTipo,MATCH(D598,catNom,0))&amp;"",""))</f>
        <v/>
      </c>
      <c r="J598" s="19">
        <f>IF(I598="","",IFERROR(INDEX(catGrupo,MATCH(D598,catNom,0))&amp;"",""))</f>
        <v/>
      </c>
      <c r="K598" s="19">
        <f>IF(I598="Gasto",IF(IFERROR(INDEX(catClas,MATCH(D598,catNom,0))&amp;"","")="","Variable",IFERROR(INDEX(catClas,MATCH(D598,catNom,0))&amp;"","")),"")</f>
        <v/>
      </c>
      <c r="L598" s="19">
        <f>IF(I598="","",IFERROR(INDEX(catAlim,MATCH(D598,catNom,0))&amp;"",""))</f>
        <v/>
      </c>
      <c r="M598" s="19">
        <f>IF(I598="","",IFERROR(INDEX(catComida,MATCH(D598,catNom,0))&amp;"",""))</f>
        <v/>
      </c>
      <c r="N598" s="19">
        <f>IF(I598="","",IFERROR(INDEX(ctaMon,MATCH(E598,ctaNom,0))&amp;"","DOP"))</f>
        <v/>
      </c>
      <c r="O598" s="20">
        <f>IF(I598="","",C598*IF(N598="USD",TasaUSD,1))</f>
        <v/>
      </c>
      <c r="P598" s="20">
        <f>IF(I598="","",IF(I598="Gasto",O598,0))</f>
        <v/>
      </c>
      <c r="Q598" s="20">
        <f>IF(I598="","",IF(I598="Ingreso",O598,0))</f>
        <v/>
      </c>
      <c r="R598" s="20">
        <f>IF(I598="","",IF(I598="Trading",O598,0))</f>
        <v/>
      </c>
      <c r="S598" s="19">
        <f>IF(I598="","",IF(AND(I598="Gasto",K598="Variable",J598&lt;&gt;"Trading",O598&gt;0,O598&lt;=Umbral),1,0))</f>
        <v/>
      </c>
      <c r="T598" s="20">
        <f>IF(OR(I598="",E598=""),"",IF(OR(I598="Gasto",I598="Transferencia",I598="Pago tarjeta"),-1,1)*C598)</f>
        <v/>
      </c>
      <c r="U598" s="20">
        <f>IF(OR(G598="",AND(I598&lt;&gt;"Transferencia",I598&lt;&gt;"Pago tarjeta")),"",IF(IFERROR(INDEX(ctaMon,MATCH(G598,ctaNom,0))&amp;"","DOP")=N598,C598,IF(N598="USD",C598*TasaUSD,C598/TasaUSD)))</f>
        <v/>
      </c>
      <c r="V598" s="20">
        <f>IF(I598="","",IF(IFERROR(INDEX(ctaLiq,MATCH(E598,ctaNom,0))="Sí",FALSE),IF(OR(I598="Gasto",I598="Transferencia",I598="Pago tarjeta"),-1,1)*O598,0)+IF(AND(U598&lt;&gt;"",IFERROR(INDEX(ctaLiq,MATCH(G598,ctaNom,0))="Sí",FALSE)),O598,0))</f>
        <v/>
      </c>
      <c r="W598" s="19">
        <f>IF(OR(F598="",I598=""),"",IF(COUNTIFS(F$6:F598,F598,I$6:I598,"?*")=1,MAX(W$5:W597)+1,""))</f>
        <v/>
      </c>
    </row>
    <row r="599">
      <c r="B599" s="15" t="n"/>
      <c r="C599" s="16" t="n"/>
      <c r="D599" s="17" t="n"/>
      <c r="E599" s="17" t="n"/>
      <c r="F599" s="17" t="n"/>
      <c r="G599" s="17" t="n"/>
      <c r="H599" s="18">
        <f>IF(AND(B599="",C599="",D599="",E599=""),"",IF(B599="","⚠ Falta fecha",IF(C599="","⚠ Falta monto",IF(D599="","⚠ Falta categoría",IF(ISNA(MATCH(D599,catNom,0)),"⚠ Categoría no existe",IF(E599="","⚠ Falta cuenta",IF(ISNA(MATCH(E599,ctaNom,0)),"⚠ Cuenta no existe",IF(AND(OR(I599="Transferencia",I599="Pago tarjeta"),G599=""),"⚠ Indica la cuenta «Hacia»",IF(AND(G599&lt;&gt;"",G599=E599),"⚠ «Hacia» igual a la cuenta",IF(AND(G599&lt;&gt;"",ISNA(MATCH(G599,ctaNom,0))),"⚠ «Hacia» no existe",IF(AND(I599="Pago tarjeta",IFERROR(INDEX(ctaTipo,MATCH(G599,ctaNom,0)),"")&lt;&gt;"Tarjeta de crédito"),"⚠ «Hacia» debe ser la tarjeta",IF(AND(I599="Trading",IFERROR(INDEX(ctaTipo,MATCH(E599,ctaNom,0)),"")&lt;&gt;"Cuenta de trading"),"⚠ Usa la cuenta de trading","✓"))))))))))))</f>
        <v/>
      </c>
      <c r="I599" s="19">
        <f>IF(OR(B599="",C599="",D599=""),"",IFERROR(INDEX(catTipo,MATCH(D599,catNom,0))&amp;"",""))</f>
        <v/>
      </c>
      <c r="J599" s="19">
        <f>IF(I599="","",IFERROR(INDEX(catGrupo,MATCH(D599,catNom,0))&amp;"",""))</f>
        <v/>
      </c>
      <c r="K599" s="19">
        <f>IF(I599="Gasto",IF(IFERROR(INDEX(catClas,MATCH(D599,catNom,0))&amp;"","")="","Variable",IFERROR(INDEX(catClas,MATCH(D599,catNom,0))&amp;"","")),"")</f>
        <v/>
      </c>
      <c r="L599" s="19">
        <f>IF(I599="","",IFERROR(INDEX(catAlim,MATCH(D599,catNom,0))&amp;"",""))</f>
        <v/>
      </c>
      <c r="M599" s="19">
        <f>IF(I599="","",IFERROR(INDEX(catComida,MATCH(D599,catNom,0))&amp;"",""))</f>
        <v/>
      </c>
      <c r="N599" s="19">
        <f>IF(I599="","",IFERROR(INDEX(ctaMon,MATCH(E599,ctaNom,0))&amp;"","DOP"))</f>
        <v/>
      </c>
      <c r="O599" s="20">
        <f>IF(I599="","",C599*IF(N599="USD",TasaUSD,1))</f>
        <v/>
      </c>
      <c r="P599" s="20">
        <f>IF(I599="","",IF(I599="Gasto",O599,0))</f>
        <v/>
      </c>
      <c r="Q599" s="20">
        <f>IF(I599="","",IF(I599="Ingreso",O599,0))</f>
        <v/>
      </c>
      <c r="R599" s="20">
        <f>IF(I599="","",IF(I599="Trading",O599,0))</f>
        <v/>
      </c>
      <c r="S599" s="19">
        <f>IF(I599="","",IF(AND(I599="Gasto",K599="Variable",J599&lt;&gt;"Trading",O599&gt;0,O599&lt;=Umbral),1,0))</f>
        <v/>
      </c>
      <c r="T599" s="20">
        <f>IF(OR(I599="",E599=""),"",IF(OR(I599="Gasto",I599="Transferencia",I599="Pago tarjeta"),-1,1)*C599)</f>
        <v/>
      </c>
      <c r="U599" s="20">
        <f>IF(OR(G599="",AND(I599&lt;&gt;"Transferencia",I599&lt;&gt;"Pago tarjeta")),"",IF(IFERROR(INDEX(ctaMon,MATCH(G599,ctaNom,0))&amp;"","DOP")=N599,C599,IF(N599="USD",C599*TasaUSD,C599/TasaUSD)))</f>
        <v/>
      </c>
      <c r="V599" s="20">
        <f>IF(I599="","",IF(IFERROR(INDEX(ctaLiq,MATCH(E599,ctaNom,0))="Sí",FALSE),IF(OR(I599="Gasto",I599="Transferencia",I599="Pago tarjeta"),-1,1)*O599,0)+IF(AND(U599&lt;&gt;"",IFERROR(INDEX(ctaLiq,MATCH(G599,ctaNom,0))="Sí",FALSE)),O599,0))</f>
        <v/>
      </c>
      <c r="W599" s="19">
        <f>IF(OR(F599="",I599=""),"",IF(COUNTIFS(F$6:F599,F599,I$6:I599,"?*")=1,MAX(W$5:W598)+1,""))</f>
        <v/>
      </c>
    </row>
    <row r="600">
      <c r="B600" s="15" t="n"/>
      <c r="C600" s="16" t="n"/>
      <c r="D600" s="17" t="n"/>
      <c r="E600" s="17" t="n"/>
      <c r="F600" s="17" t="n"/>
      <c r="G600" s="17" t="n"/>
      <c r="H600" s="18">
        <f>IF(AND(B600="",C600="",D600="",E600=""),"",IF(B600="","⚠ Falta fecha",IF(C600="","⚠ Falta monto",IF(D600="","⚠ Falta categoría",IF(ISNA(MATCH(D600,catNom,0)),"⚠ Categoría no existe",IF(E600="","⚠ Falta cuenta",IF(ISNA(MATCH(E600,ctaNom,0)),"⚠ Cuenta no existe",IF(AND(OR(I600="Transferencia",I600="Pago tarjeta"),G600=""),"⚠ Indica la cuenta «Hacia»",IF(AND(G600&lt;&gt;"",G600=E600),"⚠ «Hacia» igual a la cuenta",IF(AND(G600&lt;&gt;"",ISNA(MATCH(G600,ctaNom,0))),"⚠ «Hacia» no existe",IF(AND(I600="Pago tarjeta",IFERROR(INDEX(ctaTipo,MATCH(G600,ctaNom,0)),"")&lt;&gt;"Tarjeta de crédito"),"⚠ «Hacia» debe ser la tarjeta",IF(AND(I600="Trading",IFERROR(INDEX(ctaTipo,MATCH(E600,ctaNom,0)),"")&lt;&gt;"Cuenta de trading"),"⚠ Usa la cuenta de trading","✓"))))))))))))</f>
        <v/>
      </c>
      <c r="I600" s="19">
        <f>IF(OR(B600="",C600="",D600=""),"",IFERROR(INDEX(catTipo,MATCH(D600,catNom,0))&amp;"",""))</f>
        <v/>
      </c>
      <c r="J600" s="19">
        <f>IF(I600="","",IFERROR(INDEX(catGrupo,MATCH(D600,catNom,0))&amp;"",""))</f>
        <v/>
      </c>
      <c r="K600" s="19">
        <f>IF(I600="Gasto",IF(IFERROR(INDEX(catClas,MATCH(D600,catNom,0))&amp;"","")="","Variable",IFERROR(INDEX(catClas,MATCH(D600,catNom,0))&amp;"","")),"")</f>
        <v/>
      </c>
      <c r="L600" s="19">
        <f>IF(I600="","",IFERROR(INDEX(catAlim,MATCH(D600,catNom,0))&amp;"",""))</f>
        <v/>
      </c>
      <c r="M600" s="19">
        <f>IF(I600="","",IFERROR(INDEX(catComida,MATCH(D600,catNom,0))&amp;"",""))</f>
        <v/>
      </c>
      <c r="N600" s="19">
        <f>IF(I600="","",IFERROR(INDEX(ctaMon,MATCH(E600,ctaNom,0))&amp;"","DOP"))</f>
        <v/>
      </c>
      <c r="O600" s="20">
        <f>IF(I600="","",C600*IF(N600="USD",TasaUSD,1))</f>
        <v/>
      </c>
      <c r="P600" s="20">
        <f>IF(I600="","",IF(I600="Gasto",O600,0))</f>
        <v/>
      </c>
      <c r="Q600" s="20">
        <f>IF(I600="","",IF(I600="Ingreso",O600,0))</f>
        <v/>
      </c>
      <c r="R600" s="20">
        <f>IF(I600="","",IF(I600="Trading",O600,0))</f>
        <v/>
      </c>
      <c r="S600" s="19">
        <f>IF(I600="","",IF(AND(I600="Gasto",K600="Variable",J600&lt;&gt;"Trading",O600&gt;0,O600&lt;=Umbral),1,0))</f>
        <v/>
      </c>
      <c r="T600" s="20">
        <f>IF(OR(I600="",E600=""),"",IF(OR(I600="Gasto",I600="Transferencia",I600="Pago tarjeta"),-1,1)*C600)</f>
        <v/>
      </c>
      <c r="U600" s="20">
        <f>IF(OR(G600="",AND(I600&lt;&gt;"Transferencia",I600&lt;&gt;"Pago tarjeta")),"",IF(IFERROR(INDEX(ctaMon,MATCH(G600,ctaNom,0))&amp;"","DOP")=N600,C600,IF(N600="USD",C600*TasaUSD,C600/TasaUSD)))</f>
        <v/>
      </c>
      <c r="V600" s="20">
        <f>IF(I600="","",IF(IFERROR(INDEX(ctaLiq,MATCH(E600,ctaNom,0))="Sí",FALSE),IF(OR(I600="Gasto",I600="Transferencia",I600="Pago tarjeta"),-1,1)*O600,0)+IF(AND(U600&lt;&gt;"",IFERROR(INDEX(ctaLiq,MATCH(G600,ctaNom,0))="Sí",FALSE)),O600,0))</f>
        <v/>
      </c>
      <c r="W600" s="19">
        <f>IF(OR(F600="",I600=""),"",IF(COUNTIFS(F$6:F600,F600,I$6:I600,"?*")=1,MAX(W$5:W599)+1,""))</f>
        <v/>
      </c>
    </row>
    <row r="601">
      <c r="B601" s="15" t="n"/>
      <c r="C601" s="16" t="n"/>
      <c r="D601" s="17" t="n"/>
      <c r="E601" s="17" t="n"/>
      <c r="F601" s="17" t="n"/>
      <c r="G601" s="17" t="n"/>
      <c r="H601" s="18">
        <f>IF(AND(B601="",C601="",D601="",E601=""),"",IF(B601="","⚠ Falta fecha",IF(C601="","⚠ Falta monto",IF(D601="","⚠ Falta categoría",IF(ISNA(MATCH(D601,catNom,0)),"⚠ Categoría no existe",IF(E601="","⚠ Falta cuenta",IF(ISNA(MATCH(E601,ctaNom,0)),"⚠ Cuenta no existe",IF(AND(OR(I601="Transferencia",I601="Pago tarjeta"),G601=""),"⚠ Indica la cuenta «Hacia»",IF(AND(G601&lt;&gt;"",G601=E601),"⚠ «Hacia» igual a la cuenta",IF(AND(G601&lt;&gt;"",ISNA(MATCH(G601,ctaNom,0))),"⚠ «Hacia» no existe",IF(AND(I601="Pago tarjeta",IFERROR(INDEX(ctaTipo,MATCH(G601,ctaNom,0)),"")&lt;&gt;"Tarjeta de crédito"),"⚠ «Hacia» debe ser la tarjeta",IF(AND(I601="Trading",IFERROR(INDEX(ctaTipo,MATCH(E601,ctaNom,0)),"")&lt;&gt;"Cuenta de trading"),"⚠ Usa la cuenta de trading","✓"))))))))))))</f>
        <v/>
      </c>
      <c r="I601" s="19">
        <f>IF(OR(B601="",C601="",D601=""),"",IFERROR(INDEX(catTipo,MATCH(D601,catNom,0))&amp;"",""))</f>
        <v/>
      </c>
      <c r="J601" s="19">
        <f>IF(I601="","",IFERROR(INDEX(catGrupo,MATCH(D601,catNom,0))&amp;"",""))</f>
        <v/>
      </c>
      <c r="K601" s="19">
        <f>IF(I601="Gasto",IF(IFERROR(INDEX(catClas,MATCH(D601,catNom,0))&amp;"","")="","Variable",IFERROR(INDEX(catClas,MATCH(D601,catNom,0))&amp;"","")),"")</f>
        <v/>
      </c>
      <c r="L601" s="19">
        <f>IF(I601="","",IFERROR(INDEX(catAlim,MATCH(D601,catNom,0))&amp;"",""))</f>
        <v/>
      </c>
      <c r="M601" s="19">
        <f>IF(I601="","",IFERROR(INDEX(catComida,MATCH(D601,catNom,0))&amp;"",""))</f>
        <v/>
      </c>
      <c r="N601" s="19">
        <f>IF(I601="","",IFERROR(INDEX(ctaMon,MATCH(E601,ctaNom,0))&amp;"","DOP"))</f>
        <v/>
      </c>
      <c r="O601" s="20">
        <f>IF(I601="","",C601*IF(N601="USD",TasaUSD,1))</f>
        <v/>
      </c>
      <c r="P601" s="20">
        <f>IF(I601="","",IF(I601="Gasto",O601,0))</f>
        <v/>
      </c>
      <c r="Q601" s="20">
        <f>IF(I601="","",IF(I601="Ingreso",O601,0))</f>
        <v/>
      </c>
      <c r="R601" s="20">
        <f>IF(I601="","",IF(I601="Trading",O601,0))</f>
        <v/>
      </c>
      <c r="S601" s="19">
        <f>IF(I601="","",IF(AND(I601="Gasto",K601="Variable",J601&lt;&gt;"Trading",O601&gt;0,O601&lt;=Umbral),1,0))</f>
        <v/>
      </c>
      <c r="T601" s="20">
        <f>IF(OR(I601="",E601=""),"",IF(OR(I601="Gasto",I601="Transferencia",I601="Pago tarjeta"),-1,1)*C601)</f>
        <v/>
      </c>
      <c r="U601" s="20">
        <f>IF(OR(G601="",AND(I601&lt;&gt;"Transferencia",I601&lt;&gt;"Pago tarjeta")),"",IF(IFERROR(INDEX(ctaMon,MATCH(G601,ctaNom,0))&amp;"","DOP")=N601,C601,IF(N601="USD",C601*TasaUSD,C601/TasaUSD)))</f>
        <v/>
      </c>
      <c r="V601" s="20">
        <f>IF(I601="","",IF(IFERROR(INDEX(ctaLiq,MATCH(E601,ctaNom,0))="Sí",FALSE),IF(OR(I601="Gasto",I601="Transferencia",I601="Pago tarjeta"),-1,1)*O601,0)+IF(AND(U601&lt;&gt;"",IFERROR(INDEX(ctaLiq,MATCH(G601,ctaNom,0))="Sí",FALSE)),O601,0))</f>
        <v/>
      </c>
      <c r="W601" s="19">
        <f>IF(OR(F601="",I601=""),"",IF(COUNTIFS(F$6:F601,F601,I$6:I601,"?*")=1,MAX(W$5:W600)+1,""))</f>
        <v/>
      </c>
    </row>
    <row r="602">
      <c r="B602" s="15" t="n"/>
      <c r="C602" s="16" t="n"/>
      <c r="D602" s="17" t="n"/>
      <c r="E602" s="17" t="n"/>
      <c r="F602" s="17" t="n"/>
      <c r="G602" s="17" t="n"/>
      <c r="H602" s="18">
        <f>IF(AND(B602="",C602="",D602="",E602=""),"",IF(B602="","⚠ Falta fecha",IF(C602="","⚠ Falta monto",IF(D602="","⚠ Falta categoría",IF(ISNA(MATCH(D602,catNom,0)),"⚠ Categoría no existe",IF(E602="","⚠ Falta cuenta",IF(ISNA(MATCH(E602,ctaNom,0)),"⚠ Cuenta no existe",IF(AND(OR(I602="Transferencia",I602="Pago tarjeta"),G602=""),"⚠ Indica la cuenta «Hacia»",IF(AND(G602&lt;&gt;"",G602=E602),"⚠ «Hacia» igual a la cuenta",IF(AND(G602&lt;&gt;"",ISNA(MATCH(G602,ctaNom,0))),"⚠ «Hacia» no existe",IF(AND(I602="Pago tarjeta",IFERROR(INDEX(ctaTipo,MATCH(G602,ctaNom,0)),"")&lt;&gt;"Tarjeta de crédito"),"⚠ «Hacia» debe ser la tarjeta",IF(AND(I602="Trading",IFERROR(INDEX(ctaTipo,MATCH(E602,ctaNom,0)),"")&lt;&gt;"Cuenta de trading"),"⚠ Usa la cuenta de trading","✓"))))))))))))</f>
        <v/>
      </c>
      <c r="I602" s="19">
        <f>IF(OR(B602="",C602="",D602=""),"",IFERROR(INDEX(catTipo,MATCH(D602,catNom,0))&amp;"",""))</f>
        <v/>
      </c>
      <c r="J602" s="19">
        <f>IF(I602="","",IFERROR(INDEX(catGrupo,MATCH(D602,catNom,0))&amp;"",""))</f>
        <v/>
      </c>
      <c r="K602" s="19">
        <f>IF(I602="Gasto",IF(IFERROR(INDEX(catClas,MATCH(D602,catNom,0))&amp;"","")="","Variable",IFERROR(INDEX(catClas,MATCH(D602,catNom,0))&amp;"","")),"")</f>
        <v/>
      </c>
      <c r="L602" s="19">
        <f>IF(I602="","",IFERROR(INDEX(catAlim,MATCH(D602,catNom,0))&amp;"",""))</f>
        <v/>
      </c>
      <c r="M602" s="19">
        <f>IF(I602="","",IFERROR(INDEX(catComida,MATCH(D602,catNom,0))&amp;"",""))</f>
        <v/>
      </c>
      <c r="N602" s="19">
        <f>IF(I602="","",IFERROR(INDEX(ctaMon,MATCH(E602,ctaNom,0))&amp;"","DOP"))</f>
        <v/>
      </c>
      <c r="O602" s="20">
        <f>IF(I602="","",C602*IF(N602="USD",TasaUSD,1))</f>
        <v/>
      </c>
      <c r="P602" s="20">
        <f>IF(I602="","",IF(I602="Gasto",O602,0))</f>
        <v/>
      </c>
      <c r="Q602" s="20">
        <f>IF(I602="","",IF(I602="Ingreso",O602,0))</f>
        <v/>
      </c>
      <c r="R602" s="20">
        <f>IF(I602="","",IF(I602="Trading",O602,0))</f>
        <v/>
      </c>
      <c r="S602" s="19">
        <f>IF(I602="","",IF(AND(I602="Gasto",K602="Variable",J602&lt;&gt;"Trading",O602&gt;0,O602&lt;=Umbral),1,0))</f>
        <v/>
      </c>
      <c r="T602" s="20">
        <f>IF(OR(I602="",E602=""),"",IF(OR(I602="Gasto",I602="Transferencia",I602="Pago tarjeta"),-1,1)*C602)</f>
        <v/>
      </c>
      <c r="U602" s="20">
        <f>IF(OR(G602="",AND(I602&lt;&gt;"Transferencia",I602&lt;&gt;"Pago tarjeta")),"",IF(IFERROR(INDEX(ctaMon,MATCH(G602,ctaNom,0))&amp;"","DOP")=N602,C602,IF(N602="USD",C602*TasaUSD,C602/TasaUSD)))</f>
        <v/>
      </c>
      <c r="V602" s="20">
        <f>IF(I602="","",IF(IFERROR(INDEX(ctaLiq,MATCH(E602,ctaNom,0))="Sí",FALSE),IF(OR(I602="Gasto",I602="Transferencia",I602="Pago tarjeta"),-1,1)*O602,0)+IF(AND(U602&lt;&gt;"",IFERROR(INDEX(ctaLiq,MATCH(G602,ctaNom,0))="Sí",FALSE)),O602,0))</f>
        <v/>
      </c>
      <c r="W602" s="19">
        <f>IF(OR(F602="",I602=""),"",IF(COUNTIFS(F$6:F602,F602,I$6:I602,"?*")=1,MAX(W$5:W601)+1,""))</f>
        <v/>
      </c>
    </row>
    <row r="603">
      <c r="B603" s="15" t="n"/>
      <c r="C603" s="16" t="n"/>
      <c r="D603" s="17" t="n"/>
      <c r="E603" s="17" t="n"/>
      <c r="F603" s="17" t="n"/>
      <c r="G603" s="17" t="n"/>
      <c r="H603" s="18">
        <f>IF(AND(B603="",C603="",D603="",E603=""),"",IF(B603="","⚠ Falta fecha",IF(C603="","⚠ Falta monto",IF(D603="","⚠ Falta categoría",IF(ISNA(MATCH(D603,catNom,0)),"⚠ Categoría no existe",IF(E603="","⚠ Falta cuenta",IF(ISNA(MATCH(E603,ctaNom,0)),"⚠ Cuenta no existe",IF(AND(OR(I603="Transferencia",I603="Pago tarjeta"),G603=""),"⚠ Indica la cuenta «Hacia»",IF(AND(G603&lt;&gt;"",G603=E603),"⚠ «Hacia» igual a la cuenta",IF(AND(G603&lt;&gt;"",ISNA(MATCH(G603,ctaNom,0))),"⚠ «Hacia» no existe",IF(AND(I603="Pago tarjeta",IFERROR(INDEX(ctaTipo,MATCH(G603,ctaNom,0)),"")&lt;&gt;"Tarjeta de crédito"),"⚠ «Hacia» debe ser la tarjeta",IF(AND(I603="Trading",IFERROR(INDEX(ctaTipo,MATCH(E603,ctaNom,0)),"")&lt;&gt;"Cuenta de trading"),"⚠ Usa la cuenta de trading","✓"))))))))))))</f>
        <v/>
      </c>
      <c r="I603" s="19">
        <f>IF(OR(B603="",C603="",D603=""),"",IFERROR(INDEX(catTipo,MATCH(D603,catNom,0))&amp;"",""))</f>
        <v/>
      </c>
      <c r="J603" s="19">
        <f>IF(I603="","",IFERROR(INDEX(catGrupo,MATCH(D603,catNom,0))&amp;"",""))</f>
        <v/>
      </c>
      <c r="K603" s="19">
        <f>IF(I603="Gasto",IF(IFERROR(INDEX(catClas,MATCH(D603,catNom,0))&amp;"","")="","Variable",IFERROR(INDEX(catClas,MATCH(D603,catNom,0))&amp;"","")),"")</f>
        <v/>
      </c>
      <c r="L603" s="19">
        <f>IF(I603="","",IFERROR(INDEX(catAlim,MATCH(D603,catNom,0))&amp;"",""))</f>
        <v/>
      </c>
      <c r="M603" s="19">
        <f>IF(I603="","",IFERROR(INDEX(catComida,MATCH(D603,catNom,0))&amp;"",""))</f>
        <v/>
      </c>
      <c r="N603" s="19">
        <f>IF(I603="","",IFERROR(INDEX(ctaMon,MATCH(E603,ctaNom,0))&amp;"","DOP"))</f>
        <v/>
      </c>
      <c r="O603" s="20">
        <f>IF(I603="","",C603*IF(N603="USD",TasaUSD,1))</f>
        <v/>
      </c>
      <c r="P603" s="20">
        <f>IF(I603="","",IF(I603="Gasto",O603,0))</f>
        <v/>
      </c>
      <c r="Q603" s="20">
        <f>IF(I603="","",IF(I603="Ingreso",O603,0))</f>
        <v/>
      </c>
      <c r="R603" s="20">
        <f>IF(I603="","",IF(I603="Trading",O603,0))</f>
        <v/>
      </c>
      <c r="S603" s="19">
        <f>IF(I603="","",IF(AND(I603="Gasto",K603="Variable",J603&lt;&gt;"Trading",O603&gt;0,O603&lt;=Umbral),1,0))</f>
        <v/>
      </c>
      <c r="T603" s="20">
        <f>IF(OR(I603="",E603=""),"",IF(OR(I603="Gasto",I603="Transferencia",I603="Pago tarjeta"),-1,1)*C603)</f>
        <v/>
      </c>
      <c r="U603" s="20">
        <f>IF(OR(G603="",AND(I603&lt;&gt;"Transferencia",I603&lt;&gt;"Pago tarjeta")),"",IF(IFERROR(INDEX(ctaMon,MATCH(G603,ctaNom,0))&amp;"","DOP")=N603,C603,IF(N603="USD",C603*TasaUSD,C603/TasaUSD)))</f>
        <v/>
      </c>
      <c r="V603" s="20">
        <f>IF(I603="","",IF(IFERROR(INDEX(ctaLiq,MATCH(E603,ctaNom,0))="Sí",FALSE),IF(OR(I603="Gasto",I603="Transferencia",I603="Pago tarjeta"),-1,1)*O603,0)+IF(AND(U603&lt;&gt;"",IFERROR(INDEX(ctaLiq,MATCH(G603,ctaNom,0))="Sí",FALSE)),O603,0))</f>
        <v/>
      </c>
      <c r="W603" s="19">
        <f>IF(OR(F603="",I603=""),"",IF(COUNTIFS(F$6:F603,F603,I$6:I603,"?*")=1,MAX(W$5:W602)+1,""))</f>
        <v/>
      </c>
    </row>
    <row r="604">
      <c r="B604" s="15" t="n"/>
      <c r="C604" s="16" t="n"/>
      <c r="D604" s="17" t="n"/>
      <c r="E604" s="17" t="n"/>
      <c r="F604" s="17" t="n"/>
      <c r="G604" s="17" t="n"/>
      <c r="H604" s="18">
        <f>IF(AND(B604="",C604="",D604="",E604=""),"",IF(B604="","⚠ Falta fecha",IF(C604="","⚠ Falta monto",IF(D604="","⚠ Falta categoría",IF(ISNA(MATCH(D604,catNom,0)),"⚠ Categoría no existe",IF(E604="","⚠ Falta cuenta",IF(ISNA(MATCH(E604,ctaNom,0)),"⚠ Cuenta no existe",IF(AND(OR(I604="Transferencia",I604="Pago tarjeta"),G604=""),"⚠ Indica la cuenta «Hacia»",IF(AND(G604&lt;&gt;"",G604=E604),"⚠ «Hacia» igual a la cuenta",IF(AND(G604&lt;&gt;"",ISNA(MATCH(G604,ctaNom,0))),"⚠ «Hacia» no existe",IF(AND(I604="Pago tarjeta",IFERROR(INDEX(ctaTipo,MATCH(G604,ctaNom,0)),"")&lt;&gt;"Tarjeta de crédito"),"⚠ «Hacia» debe ser la tarjeta",IF(AND(I604="Trading",IFERROR(INDEX(ctaTipo,MATCH(E604,ctaNom,0)),"")&lt;&gt;"Cuenta de trading"),"⚠ Usa la cuenta de trading","✓"))))))))))))</f>
        <v/>
      </c>
      <c r="I604" s="19">
        <f>IF(OR(B604="",C604="",D604=""),"",IFERROR(INDEX(catTipo,MATCH(D604,catNom,0))&amp;"",""))</f>
        <v/>
      </c>
      <c r="J604" s="19">
        <f>IF(I604="","",IFERROR(INDEX(catGrupo,MATCH(D604,catNom,0))&amp;"",""))</f>
        <v/>
      </c>
      <c r="K604" s="19">
        <f>IF(I604="Gasto",IF(IFERROR(INDEX(catClas,MATCH(D604,catNom,0))&amp;"","")="","Variable",IFERROR(INDEX(catClas,MATCH(D604,catNom,0))&amp;"","")),"")</f>
        <v/>
      </c>
      <c r="L604" s="19">
        <f>IF(I604="","",IFERROR(INDEX(catAlim,MATCH(D604,catNom,0))&amp;"",""))</f>
        <v/>
      </c>
      <c r="M604" s="19">
        <f>IF(I604="","",IFERROR(INDEX(catComida,MATCH(D604,catNom,0))&amp;"",""))</f>
        <v/>
      </c>
      <c r="N604" s="19">
        <f>IF(I604="","",IFERROR(INDEX(ctaMon,MATCH(E604,ctaNom,0))&amp;"","DOP"))</f>
        <v/>
      </c>
      <c r="O604" s="20">
        <f>IF(I604="","",C604*IF(N604="USD",TasaUSD,1))</f>
        <v/>
      </c>
      <c r="P604" s="20">
        <f>IF(I604="","",IF(I604="Gasto",O604,0))</f>
        <v/>
      </c>
      <c r="Q604" s="20">
        <f>IF(I604="","",IF(I604="Ingreso",O604,0))</f>
        <v/>
      </c>
      <c r="R604" s="20">
        <f>IF(I604="","",IF(I604="Trading",O604,0))</f>
        <v/>
      </c>
      <c r="S604" s="19">
        <f>IF(I604="","",IF(AND(I604="Gasto",K604="Variable",J604&lt;&gt;"Trading",O604&gt;0,O604&lt;=Umbral),1,0))</f>
        <v/>
      </c>
      <c r="T604" s="20">
        <f>IF(OR(I604="",E604=""),"",IF(OR(I604="Gasto",I604="Transferencia",I604="Pago tarjeta"),-1,1)*C604)</f>
        <v/>
      </c>
      <c r="U604" s="20">
        <f>IF(OR(G604="",AND(I604&lt;&gt;"Transferencia",I604&lt;&gt;"Pago tarjeta")),"",IF(IFERROR(INDEX(ctaMon,MATCH(G604,ctaNom,0))&amp;"","DOP")=N604,C604,IF(N604="USD",C604*TasaUSD,C604/TasaUSD)))</f>
        <v/>
      </c>
      <c r="V604" s="20">
        <f>IF(I604="","",IF(IFERROR(INDEX(ctaLiq,MATCH(E604,ctaNom,0))="Sí",FALSE),IF(OR(I604="Gasto",I604="Transferencia",I604="Pago tarjeta"),-1,1)*O604,0)+IF(AND(U604&lt;&gt;"",IFERROR(INDEX(ctaLiq,MATCH(G604,ctaNom,0))="Sí",FALSE)),O604,0))</f>
        <v/>
      </c>
      <c r="W604" s="19">
        <f>IF(OR(F604="",I604=""),"",IF(COUNTIFS(F$6:F604,F604,I$6:I604,"?*")=1,MAX(W$5:W603)+1,""))</f>
        <v/>
      </c>
    </row>
    <row r="605">
      <c r="B605" s="15" t="n"/>
      <c r="C605" s="16" t="n"/>
      <c r="D605" s="17" t="n"/>
      <c r="E605" s="17" t="n"/>
      <c r="F605" s="17" t="n"/>
      <c r="G605" s="17" t="n"/>
      <c r="H605" s="18">
        <f>IF(AND(B605="",C605="",D605="",E605=""),"",IF(B605="","⚠ Falta fecha",IF(C605="","⚠ Falta monto",IF(D605="","⚠ Falta categoría",IF(ISNA(MATCH(D605,catNom,0)),"⚠ Categoría no existe",IF(E605="","⚠ Falta cuenta",IF(ISNA(MATCH(E605,ctaNom,0)),"⚠ Cuenta no existe",IF(AND(OR(I605="Transferencia",I605="Pago tarjeta"),G605=""),"⚠ Indica la cuenta «Hacia»",IF(AND(G605&lt;&gt;"",G605=E605),"⚠ «Hacia» igual a la cuenta",IF(AND(G605&lt;&gt;"",ISNA(MATCH(G605,ctaNom,0))),"⚠ «Hacia» no existe",IF(AND(I605="Pago tarjeta",IFERROR(INDEX(ctaTipo,MATCH(G605,ctaNom,0)),"")&lt;&gt;"Tarjeta de crédito"),"⚠ «Hacia» debe ser la tarjeta",IF(AND(I605="Trading",IFERROR(INDEX(ctaTipo,MATCH(E605,ctaNom,0)),"")&lt;&gt;"Cuenta de trading"),"⚠ Usa la cuenta de trading","✓"))))))))))))</f>
        <v/>
      </c>
      <c r="I605" s="19">
        <f>IF(OR(B605="",C605="",D605=""),"",IFERROR(INDEX(catTipo,MATCH(D605,catNom,0))&amp;"",""))</f>
        <v/>
      </c>
      <c r="J605" s="19">
        <f>IF(I605="","",IFERROR(INDEX(catGrupo,MATCH(D605,catNom,0))&amp;"",""))</f>
        <v/>
      </c>
      <c r="K605" s="19">
        <f>IF(I605="Gasto",IF(IFERROR(INDEX(catClas,MATCH(D605,catNom,0))&amp;"","")="","Variable",IFERROR(INDEX(catClas,MATCH(D605,catNom,0))&amp;"","")),"")</f>
        <v/>
      </c>
      <c r="L605" s="19">
        <f>IF(I605="","",IFERROR(INDEX(catAlim,MATCH(D605,catNom,0))&amp;"",""))</f>
        <v/>
      </c>
      <c r="M605" s="19">
        <f>IF(I605="","",IFERROR(INDEX(catComida,MATCH(D605,catNom,0))&amp;"",""))</f>
        <v/>
      </c>
      <c r="N605" s="19">
        <f>IF(I605="","",IFERROR(INDEX(ctaMon,MATCH(E605,ctaNom,0))&amp;"","DOP"))</f>
        <v/>
      </c>
      <c r="O605" s="20">
        <f>IF(I605="","",C605*IF(N605="USD",TasaUSD,1))</f>
        <v/>
      </c>
      <c r="P605" s="20">
        <f>IF(I605="","",IF(I605="Gasto",O605,0))</f>
        <v/>
      </c>
      <c r="Q605" s="20">
        <f>IF(I605="","",IF(I605="Ingreso",O605,0))</f>
        <v/>
      </c>
      <c r="R605" s="20">
        <f>IF(I605="","",IF(I605="Trading",O605,0))</f>
        <v/>
      </c>
      <c r="S605" s="19">
        <f>IF(I605="","",IF(AND(I605="Gasto",K605="Variable",J605&lt;&gt;"Trading",O605&gt;0,O605&lt;=Umbral),1,0))</f>
        <v/>
      </c>
      <c r="T605" s="20">
        <f>IF(OR(I605="",E605=""),"",IF(OR(I605="Gasto",I605="Transferencia",I605="Pago tarjeta"),-1,1)*C605)</f>
        <v/>
      </c>
      <c r="U605" s="20">
        <f>IF(OR(G605="",AND(I605&lt;&gt;"Transferencia",I605&lt;&gt;"Pago tarjeta")),"",IF(IFERROR(INDEX(ctaMon,MATCH(G605,ctaNom,0))&amp;"","DOP")=N605,C605,IF(N605="USD",C605*TasaUSD,C605/TasaUSD)))</f>
        <v/>
      </c>
      <c r="V605" s="20">
        <f>IF(I605="","",IF(IFERROR(INDEX(ctaLiq,MATCH(E605,ctaNom,0))="Sí",FALSE),IF(OR(I605="Gasto",I605="Transferencia",I605="Pago tarjeta"),-1,1)*O605,0)+IF(AND(U605&lt;&gt;"",IFERROR(INDEX(ctaLiq,MATCH(G605,ctaNom,0))="Sí",FALSE)),O605,0))</f>
        <v/>
      </c>
      <c r="W605" s="19">
        <f>IF(OR(F605="",I605=""),"",IF(COUNTIFS(F$6:F605,F605,I$6:I605,"?*")=1,MAX(W$5:W604)+1,""))</f>
        <v/>
      </c>
    </row>
    <row r="606">
      <c r="B606" s="15" t="n"/>
      <c r="C606" s="16" t="n"/>
      <c r="D606" s="17" t="n"/>
      <c r="E606" s="17" t="n"/>
      <c r="F606" s="17" t="n"/>
      <c r="G606" s="17" t="n"/>
      <c r="H606" s="18">
        <f>IF(AND(B606="",C606="",D606="",E606=""),"",IF(B606="","⚠ Falta fecha",IF(C606="","⚠ Falta monto",IF(D606="","⚠ Falta categoría",IF(ISNA(MATCH(D606,catNom,0)),"⚠ Categoría no existe",IF(E606="","⚠ Falta cuenta",IF(ISNA(MATCH(E606,ctaNom,0)),"⚠ Cuenta no existe",IF(AND(OR(I606="Transferencia",I606="Pago tarjeta"),G606=""),"⚠ Indica la cuenta «Hacia»",IF(AND(G606&lt;&gt;"",G606=E606),"⚠ «Hacia» igual a la cuenta",IF(AND(G606&lt;&gt;"",ISNA(MATCH(G606,ctaNom,0))),"⚠ «Hacia» no existe",IF(AND(I606="Pago tarjeta",IFERROR(INDEX(ctaTipo,MATCH(G606,ctaNom,0)),"")&lt;&gt;"Tarjeta de crédito"),"⚠ «Hacia» debe ser la tarjeta",IF(AND(I606="Trading",IFERROR(INDEX(ctaTipo,MATCH(E606,ctaNom,0)),"")&lt;&gt;"Cuenta de trading"),"⚠ Usa la cuenta de trading","✓"))))))))))))</f>
        <v/>
      </c>
      <c r="I606" s="19">
        <f>IF(OR(B606="",C606="",D606=""),"",IFERROR(INDEX(catTipo,MATCH(D606,catNom,0))&amp;"",""))</f>
        <v/>
      </c>
      <c r="J606" s="19">
        <f>IF(I606="","",IFERROR(INDEX(catGrupo,MATCH(D606,catNom,0))&amp;"",""))</f>
        <v/>
      </c>
      <c r="K606" s="19">
        <f>IF(I606="Gasto",IF(IFERROR(INDEX(catClas,MATCH(D606,catNom,0))&amp;"","")="","Variable",IFERROR(INDEX(catClas,MATCH(D606,catNom,0))&amp;"","")),"")</f>
        <v/>
      </c>
      <c r="L606" s="19">
        <f>IF(I606="","",IFERROR(INDEX(catAlim,MATCH(D606,catNom,0))&amp;"",""))</f>
        <v/>
      </c>
      <c r="M606" s="19">
        <f>IF(I606="","",IFERROR(INDEX(catComida,MATCH(D606,catNom,0))&amp;"",""))</f>
        <v/>
      </c>
      <c r="N606" s="19">
        <f>IF(I606="","",IFERROR(INDEX(ctaMon,MATCH(E606,ctaNom,0))&amp;"","DOP"))</f>
        <v/>
      </c>
      <c r="O606" s="20">
        <f>IF(I606="","",C606*IF(N606="USD",TasaUSD,1))</f>
        <v/>
      </c>
      <c r="P606" s="20">
        <f>IF(I606="","",IF(I606="Gasto",O606,0))</f>
        <v/>
      </c>
      <c r="Q606" s="20">
        <f>IF(I606="","",IF(I606="Ingreso",O606,0))</f>
        <v/>
      </c>
      <c r="R606" s="20">
        <f>IF(I606="","",IF(I606="Trading",O606,0))</f>
        <v/>
      </c>
      <c r="S606" s="19">
        <f>IF(I606="","",IF(AND(I606="Gasto",K606="Variable",J606&lt;&gt;"Trading",O606&gt;0,O606&lt;=Umbral),1,0))</f>
        <v/>
      </c>
      <c r="T606" s="20">
        <f>IF(OR(I606="",E606=""),"",IF(OR(I606="Gasto",I606="Transferencia",I606="Pago tarjeta"),-1,1)*C606)</f>
        <v/>
      </c>
      <c r="U606" s="20">
        <f>IF(OR(G606="",AND(I606&lt;&gt;"Transferencia",I606&lt;&gt;"Pago tarjeta")),"",IF(IFERROR(INDEX(ctaMon,MATCH(G606,ctaNom,0))&amp;"","DOP")=N606,C606,IF(N606="USD",C606*TasaUSD,C606/TasaUSD)))</f>
        <v/>
      </c>
      <c r="V606" s="20">
        <f>IF(I606="","",IF(IFERROR(INDEX(ctaLiq,MATCH(E606,ctaNom,0))="Sí",FALSE),IF(OR(I606="Gasto",I606="Transferencia",I606="Pago tarjeta"),-1,1)*O606,0)+IF(AND(U606&lt;&gt;"",IFERROR(INDEX(ctaLiq,MATCH(G606,ctaNom,0))="Sí",FALSE)),O606,0))</f>
        <v/>
      </c>
      <c r="W606" s="19">
        <f>IF(OR(F606="",I606=""),"",IF(COUNTIFS(F$6:F606,F606,I$6:I606,"?*")=1,MAX(W$5:W605)+1,""))</f>
        <v/>
      </c>
    </row>
    <row r="607">
      <c r="B607" s="15" t="n"/>
      <c r="C607" s="16" t="n"/>
      <c r="D607" s="17" t="n"/>
      <c r="E607" s="17" t="n"/>
      <c r="F607" s="17" t="n"/>
      <c r="G607" s="17" t="n"/>
      <c r="H607" s="18">
        <f>IF(AND(B607="",C607="",D607="",E607=""),"",IF(B607="","⚠ Falta fecha",IF(C607="","⚠ Falta monto",IF(D607="","⚠ Falta categoría",IF(ISNA(MATCH(D607,catNom,0)),"⚠ Categoría no existe",IF(E607="","⚠ Falta cuenta",IF(ISNA(MATCH(E607,ctaNom,0)),"⚠ Cuenta no existe",IF(AND(OR(I607="Transferencia",I607="Pago tarjeta"),G607=""),"⚠ Indica la cuenta «Hacia»",IF(AND(G607&lt;&gt;"",G607=E607),"⚠ «Hacia» igual a la cuenta",IF(AND(G607&lt;&gt;"",ISNA(MATCH(G607,ctaNom,0))),"⚠ «Hacia» no existe",IF(AND(I607="Pago tarjeta",IFERROR(INDEX(ctaTipo,MATCH(G607,ctaNom,0)),"")&lt;&gt;"Tarjeta de crédito"),"⚠ «Hacia» debe ser la tarjeta",IF(AND(I607="Trading",IFERROR(INDEX(ctaTipo,MATCH(E607,ctaNom,0)),"")&lt;&gt;"Cuenta de trading"),"⚠ Usa la cuenta de trading","✓"))))))))))))</f>
        <v/>
      </c>
      <c r="I607" s="19">
        <f>IF(OR(B607="",C607="",D607=""),"",IFERROR(INDEX(catTipo,MATCH(D607,catNom,0))&amp;"",""))</f>
        <v/>
      </c>
      <c r="J607" s="19">
        <f>IF(I607="","",IFERROR(INDEX(catGrupo,MATCH(D607,catNom,0))&amp;"",""))</f>
        <v/>
      </c>
      <c r="K607" s="19">
        <f>IF(I607="Gasto",IF(IFERROR(INDEX(catClas,MATCH(D607,catNom,0))&amp;"","")="","Variable",IFERROR(INDEX(catClas,MATCH(D607,catNom,0))&amp;"","")),"")</f>
        <v/>
      </c>
      <c r="L607" s="19">
        <f>IF(I607="","",IFERROR(INDEX(catAlim,MATCH(D607,catNom,0))&amp;"",""))</f>
        <v/>
      </c>
      <c r="M607" s="19">
        <f>IF(I607="","",IFERROR(INDEX(catComida,MATCH(D607,catNom,0))&amp;"",""))</f>
        <v/>
      </c>
      <c r="N607" s="19">
        <f>IF(I607="","",IFERROR(INDEX(ctaMon,MATCH(E607,ctaNom,0))&amp;"","DOP"))</f>
        <v/>
      </c>
      <c r="O607" s="20">
        <f>IF(I607="","",C607*IF(N607="USD",TasaUSD,1))</f>
        <v/>
      </c>
      <c r="P607" s="20">
        <f>IF(I607="","",IF(I607="Gasto",O607,0))</f>
        <v/>
      </c>
      <c r="Q607" s="20">
        <f>IF(I607="","",IF(I607="Ingreso",O607,0))</f>
        <v/>
      </c>
      <c r="R607" s="20">
        <f>IF(I607="","",IF(I607="Trading",O607,0))</f>
        <v/>
      </c>
      <c r="S607" s="19">
        <f>IF(I607="","",IF(AND(I607="Gasto",K607="Variable",J607&lt;&gt;"Trading",O607&gt;0,O607&lt;=Umbral),1,0))</f>
        <v/>
      </c>
      <c r="T607" s="20">
        <f>IF(OR(I607="",E607=""),"",IF(OR(I607="Gasto",I607="Transferencia",I607="Pago tarjeta"),-1,1)*C607)</f>
        <v/>
      </c>
      <c r="U607" s="20">
        <f>IF(OR(G607="",AND(I607&lt;&gt;"Transferencia",I607&lt;&gt;"Pago tarjeta")),"",IF(IFERROR(INDEX(ctaMon,MATCH(G607,ctaNom,0))&amp;"","DOP")=N607,C607,IF(N607="USD",C607*TasaUSD,C607/TasaUSD)))</f>
        <v/>
      </c>
      <c r="V607" s="20">
        <f>IF(I607="","",IF(IFERROR(INDEX(ctaLiq,MATCH(E607,ctaNom,0))="Sí",FALSE),IF(OR(I607="Gasto",I607="Transferencia",I607="Pago tarjeta"),-1,1)*O607,0)+IF(AND(U607&lt;&gt;"",IFERROR(INDEX(ctaLiq,MATCH(G607,ctaNom,0))="Sí",FALSE)),O607,0))</f>
        <v/>
      </c>
      <c r="W607" s="19">
        <f>IF(OR(F607="",I607=""),"",IF(COUNTIFS(F$6:F607,F607,I$6:I607,"?*")=1,MAX(W$5:W606)+1,""))</f>
        <v/>
      </c>
    </row>
    <row r="608">
      <c r="B608" s="15" t="n"/>
      <c r="C608" s="16" t="n"/>
      <c r="D608" s="17" t="n"/>
      <c r="E608" s="17" t="n"/>
      <c r="F608" s="17" t="n"/>
      <c r="G608" s="17" t="n"/>
      <c r="H608" s="18">
        <f>IF(AND(B608="",C608="",D608="",E608=""),"",IF(B608="","⚠ Falta fecha",IF(C608="","⚠ Falta monto",IF(D608="","⚠ Falta categoría",IF(ISNA(MATCH(D608,catNom,0)),"⚠ Categoría no existe",IF(E608="","⚠ Falta cuenta",IF(ISNA(MATCH(E608,ctaNom,0)),"⚠ Cuenta no existe",IF(AND(OR(I608="Transferencia",I608="Pago tarjeta"),G608=""),"⚠ Indica la cuenta «Hacia»",IF(AND(G608&lt;&gt;"",G608=E608),"⚠ «Hacia» igual a la cuenta",IF(AND(G608&lt;&gt;"",ISNA(MATCH(G608,ctaNom,0))),"⚠ «Hacia» no existe",IF(AND(I608="Pago tarjeta",IFERROR(INDEX(ctaTipo,MATCH(G608,ctaNom,0)),"")&lt;&gt;"Tarjeta de crédito"),"⚠ «Hacia» debe ser la tarjeta",IF(AND(I608="Trading",IFERROR(INDEX(ctaTipo,MATCH(E608,ctaNom,0)),"")&lt;&gt;"Cuenta de trading"),"⚠ Usa la cuenta de trading","✓"))))))))))))</f>
        <v/>
      </c>
      <c r="I608" s="19">
        <f>IF(OR(B608="",C608="",D608=""),"",IFERROR(INDEX(catTipo,MATCH(D608,catNom,0))&amp;"",""))</f>
        <v/>
      </c>
      <c r="J608" s="19">
        <f>IF(I608="","",IFERROR(INDEX(catGrupo,MATCH(D608,catNom,0))&amp;"",""))</f>
        <v/>
      </c>
      <c r="K608" s="19">
        <f>IF(I608="Gasto",IF(IFERROR(INDEX(catClas,MATCH(D608,catNom,0))&amp;"","")="","Variable",IFERROR(INDEX(catClas,MATCH(D608,catNom,0))&amp;"","")),"")</f>
        <v/>
      </c>
      <c r="L608" s="19">
        <f>IF(I608="","",IFERROR(INDEX(catAlim,MATCH(D608,catNom,0))&amp;"",""))</f>
        <v/>
      </c>
      <c r="M608" s="19">
        <f>IF(I608="","",IFERROR(INDEX(catComida,MATCH(D608,catNom,0))&amp;"",""))</f>
        <v/>
      </c>
      <c r="N608" s="19">
        <f>IF(I608="","",IFERROR(INDEX(ctaMon,MATCH(E608,ctaNom,0))&amp;"","DOP"))</f>
        <v/>
      </c>
      <c r="O608" s="20">
        <f>IF(I608="","",C608*IF(N608="USD",TasaUSD,1))</f>
        <v/>
      </c>
      <c r="P608" s="20">
        <f>IF(I608="","",IF(I608="Gasto",O608,0))</f>
        <v/>
      </c>
      <c r="Q608" s="20">
        <f>IF(I608="","",IF(I608="Ingreso",O608,0))</f>
        <v/>
      </c>
      <c r="R608" s="20">
        <f>IF(I608="","",IF(I608="Trading",O608,0))</f>
        <v/>
      </c>
      <c r="S608" s="19">
        <f>IF(I608="","",IF(AND(I608="Gasto",K608="Variable",J608&lt;&gt;"Trading",O608&gt;0,O608&lt;=Umbral),1,0))</f>
        <v/>
      </c>
      <c r="T608" s="20">
        <f>IF(OR(I608="",E608=""),"",IF(OR(I608="Gasto",I608="Transferencia",I608="Pago tarjeta"),-1,1)*C608)</f>
        <v/>
      </c>
      <c r="U608" s="20">
        <f>IF(OR(G608="",AND(I608&lt;&gt;"Transferencia",I608&lt;&gt;"Pago tarjeta")),"",IF(IFERROR(INDEX(ctaMon,MATCH(G608,ctaNom,0))&amp;"","DOP")=N608,C608,IF(N608="USD",C608*TasaUSD,C608/TasaUSD)))</f>
        <v/>
      </c>
      <c r="V608" s="20">
        <f>IF(I608="","",IF(IFERROR(INDEX(ctaLiq,MATCH(E608,ctaNom,0))="Sí",FALSE),IF(OR(I608="Gasto",I608="Transferencia",I608="Pago tarjeta"),-1,1)*O608,0)+IF(AND(U608&lt;&gt;"",IFERROR(INDEX(ctaLiq,MATCH(G608,ctaNom,0))="Sí",FALSE)),O608,0))</f>
        <v/>
      </c>
      <c r="W608" s="19">
        <f>IF(OR(F608="",I608=""),"",IF(COUNTIFS(F$6:F608,F608,I$6:I608,"?*")=1,MAX(W$5:W607)+1,""))</f>
        <v/>
      </c>
    </row>
    <row r="609">
      <c r="B609" s="15" t="n"/>
      <c r="C609" s="16" t="n"/>
      <c r="D609" s="17" t="n"/>
      <c r="E609" s="17" t="n"/>
      <c r="F609" s="17" t="n"/>
      <c r="G609" s="17" t="n"/>
      <c r="H609" s="18">
        <f>IF(AND(B609="",C609="",D609="",E609=""),"",IF(B609="","⚠ Falta fecha",IF(C609="","⚠ Falta monto",IF(D609="","⚠ Falta categoría",IF(ISNA(MATCH(D609,catNom,0)),"⚠ Categoría no existe",IF(E609="","⚠ Falta cuenta",IF(ISNA(MATCH(E609,ctaNom,0)),"⚠ Cuenta no existe",IF(AND(OR(I609="Transferencia",I609="Pago tarjeta"),G609=""),"⚠ Indica la cuenta «Hacia»",IF(AND(G609&lt;&gt;"",G609=E609),"⚠ «Hacia» igual a la cuenta",IF(AND(G609&lt;&gt;"",ISNA(MATCH(G609,ctaNom,0))),"⚠ «Hacia» no existe",IF(AND(I609="Pago tarjeta",IFERROR(INDEX(ctaTipo,MATCH(G609,ctaNom,0)),"")&lt;&gt;"Tarjeta de crédito"),"⚠ «Hacia» debe ser la tarjeta",IF(AND(I609="Trading",IFERROR(INDEX(ctaTipo,MATCH(E609,ctaNom,0)),"")&lt;&gt;"Cuenta de trading"),"⚠ Usa la cuenta de trading","✓"))))))))))))</f>
        <v/>
      </c>
      <c r="I609" s="19">
        <f>IF(OR(B609="",C609="",D609=""),"",IFERROR(INDEX(catTipo,MATCH(D609,catNom,0))&amp;"",""))</f>
        <v/>
      </c>
      <c r="J609" s="19">
        <f>IF(I609="","",IFERROR(INDEX(catGrupo,MATCH(D609,catNom,0))&amp;"",""))</f>
        <v/>
      </c>
      <c r="K609" s="19">
        <f>IF(I609="Gasto",IF(IFERROR(INDEX(catClas,MATCH(D609,catNom,0))&amp;"","")="","Variable",IFERROR(INDEX(catClas,MATCH(D609,catNom,0))&amp;"","")),"")</f>
        <v/>
      </c>
      <c r="L609" s="19">
        <f>IF(I609="","",IFERROR(INDEX(catAlim,MATCH(D609,catNom,0))&amp;"",""))</f>
        <v/>
      </c>
      <c r="M609" s="19">
        <f>IF(I609="","",IFERROR(INDEX(catComida,MATCH(D609,catNom,0))&amp;"",""))</f>
        <v/>
      </c>
      <c r="N609" s="19">
        <f>IF(I609="","",IFERROR(INDEX(ctaMon,MATCH(E609,ctaNom,0))&amp;"","DOP"))</f>
        <v/>
      </c>
      <c r="O609" s="20">
        <f>IF(I609="","",C609*IF(N609="USD",TasaUSD,1))</f>
        <v/>
      </c>
      <c r="P609" s="20">
        <f>IF(I609="","",IF(I609="Gasto",O609,0))</f>
        <v/>
      </c>
      <c r="Q609" s="20">
        <f>IF(I609="","",IF(I609="Ingreso",O609,0))</f>
        <v/>
      </c>
      <c r="R609" s="20">
        <f>IF(I609="","",IF(I609="Trading",O609,0))</f>
        <v/>
      </c>
      <c r="S609" s="19">
        <f>IF(I609="","",IF(AND(I609="Gasto",K609="Variable",J609&lt;&gt;"Trading",O609&gt;0,O609&lt;=Umbral),1,0))</f>
        <v/>
      </c>
      <c r="T609" s="20">
        <f>IF(OR(I609="",E609=""),"",IF(OR(I609="Gasto",I609="Transferencia",I609="Pago tarjeta"),-1,1)*C609)</f>
        <v/>
      </c>
      <c r="U609" s="20">
        <f>IF(OR(G609="",AND(I609&lt;&gt;"Transferencia",I609&lt;&gt;"Pago tarjeta")),"",IF(IFERROR(INDEX(ctaMon,MATCH(G609,ctaNom,0))&amp;"","DOP")=N609,C609,IF(N609="USD",C609*TasaUSD,C609/TasaUSD)))</f>
        <v/>
      </c>
      <c r="V609" s="20">
        <f>IF(I609="","",IF(IFERROR(INDEX(ctaLiq,MATCH(E609,ctaNom,0))="Sí",FALSE),IF(OR(I609="Gasto",I609="Transferencia",I609="Pago tarjeta"),-1,1)*O609,0)+IF(AND(U609&lt;&gt;"",IFERROR(INDEX(ctaLiq,MATCH(G609,ctaNom,0))="Sí",FALSE)),O609,0))</f>
        <v/>
      </c>
      <c r="W609" s="19">
        <f>IF(OR(F609="",I609=""),"",IF(COUNTIFS(F$6:F609,F609,I$6:I609,"?*")=1,MAX(W$5:W608)+1,""))</f>
        <v/>
      </c>
    </row>
    <row r="610">
      <c r="B610" s="15" t="n"/>
      <c r="C610" s="16" t="n"/>
      <c r="D610" s="17" t="n"/>
      <c r="E610" s="17" t="n"/>
      <c r="F610" s="17" t="n"/>
      <c r="G610" s="17" t="n"/>
      <c r="H610" s="18">
        <f>IF(AND(B610="",C610="",D610="",E610=""),"",IF(B610="","⚠ Falta fecha",IF(C610="","⚠ Falta monto",IF(D610="","⚠ Falta categoría",IF(ISNA(MATCH(D610,catNom,0)),"⚠ Categoría no existe",IF(E610="","⚠ Falta cuenta",IF(ISNA(MATCH(E610,ctaNom,0)),"⚠ Cuenta no existe",IF(AND(OR(I610="Transferencia",I610="Pago tarjeta"),G610=""),"⚠ Indica la cuenta «Hacia»",IF(AND(G610&lt;&gt;"",G610=E610),"⚠ «Hacia» igual a la cuenta",IF(AND(G610&lt;&gt;"",ISNA(MATCH(G610,ctaNom,0))),"⚠ «Hacia» no existe",IF(AND(I610="Pago tarjeta",IFERROR(INDEX(ctaTipo,MATCH(G610,ctaNom,0)),"")&lt;&gt;"Tarjeta de crédito"),"⚠ «Hacia» debe ser la tarjeta",IF(AND(I610="Trading",IFERROR(INDEX(ctaTipo,MATCH(E610,ctaNom,0)),"")&lt;&gt;"Cuenta de trading"),"⚠ Usa la cuenta de trading","✓"))))))))))))</f>
        <v/>
      </c>
      <c r="I610" s="19">
        <f>IF(OR(B610="",C610="",D610=""),"",IFERROR(INDEX(catTipo,MATCH(D610,catNom,0))&amp;"",""))</f>
        <v/>
      </c>
      <c r="J610" s="19">
        <f>IF(I610="","",IFERROR(INDEX(catGrupo,MATCH(D610,catNom,0))&amp;"",""))</f>
        <v/>
      </c>
      <c r="K610" s="19">
        <f>IF(I610="Gasto",IF(IFERROR(INDEX(catClas,MATCH(D610,catNom,0))&amp;"","")="","Variable",IFERROR(INDEX(catClas,MATCH(D610,catNom,0))&amp;"","")),"")</f>
        <v/>
      </c>
      <c r="L610" s="19">
        <f>IF(I610="","",IFERROR(INDEX(catAlim,MATCH(D610,catNom,0))&amp;"",""))</f>
        <v/>
      </c>
      <c r="M610" s="19">
        <f>IF(I610="","",IFERROR(INDEX(catComida,MATCH(D610,catNom,0))&amp;"",""))</f>
        <v/>
      </c>
      <c r="N610" s="19">
        <f>IF(I610="","",IFERROR(INDEX(ctaMon,MATCH(E610,ctaNom,0))&amp;"","DOP"))</f>
        <v/>
      </c>
      <c r="O610" s="20">
        <f>IF(I610="","",C610*IF(N610="USD",TasaUSD,1))</f>
        <v/>
      </c>
      <c r="P610" s="20">
        <f>IF(I610="","",IF(I610="Gasto",O610,0))</f>
        <v/>
      </c>
      <c r="Q610" s="20">
        <f>IF(I610="","",IF(I610="Ingreso",O610,0))</f>
        <v/>
      </c>
      <c r="R610" s="20">
        <f>IF(I610="","",IF(I610="Trading",O610,0))</f>
        <v/>
      </c>
      <c r="S610" s="19">
        <f>IF(I610="","",IF(AND(I610="Gasto",K610="Variable",J610&lt;&gt;"Trading",O610&gt;0,O610&lt;=Umbral),1,0))</f>
        <v/>
      </c>
      <c r="T610" s="20">
        <f>IF(OR(I610="",E610=""),"",IF(OR(I610="Gasto",I610="Transferencia",I610="Pago tarjeta"),-1,1)*C610)</f>
        <v/>
      </c>
      <c r="U610" s="20">
        <f>IF(OR(G610="",AND(I610&lt;&gt;"Transferencia",I610&lt;&gt;"Pago tarjeta")),"",IF(IFERROR(INDEX(ctaMon,MATCH(G610,ctaNom,0))&amp;"","DOP")=N610,C610,IF(N610="USD",C610*TasaUSD,C610/TasaUSD)))</f>
        <v/>
      </c>
      <c r="V610" s="20">
        <f>IF(I610="","",IF(IFERROR(INDEX(ctaLiq,MATCH(E610,ctaNom,0))="Sí",FALSE),IF(OR(I610="Gasto",I610="Transferencia",I610="Pago tarjeta"),-1,1)*O610,0)+IF(AND(U610&lt;&gt;"",IFERROR(INDEX(ctaLiq,MATCH(G610,ctaNom,0))="Sí",FALSE)),O610,0))</f>
        <v/>
      </c>
      <c r="W610" s="19">
        <f>IF(OR(F610="",I610=""),"",IF(COUNTIFS(F$6:F610,F610,I$6:I610,"?*")=1,MAX(W$5:W609)+1,""))</f>
        <v/>
      </c>
    </row>
    <row r="611">
      <c r="B611" s="15" t="n"/>
      <c r="C611" s="16" t="n"/>
      <c r="D611" s="17" t="n"/>
      <c r="E611" s="17" t="n"/>
      <c r="F611" s="17" t="n"/>
      <c r="G611" s="17" t="n"/>
      <c r="H611" s="18">
        <f>IF(AND(B611="",C611="",D611="",E611=""),"",IF(B611="","⚠ Falta fecha",IF(C611="","⚠ Falta monto",IF(D611="","⚠ Falta categoría",IF(ISNA(MATCH(D611,catNom,0)),"⚠ Categoría no existe",IF(E611="","⚠ Falta cuenta",IF(ISNA(MATCH(E611,ctaNom,0)),"⚠ Cuenta no existe",IF(AND(OR(I611="Transferencia",I611="Pago tarjeta"),G611=""),"⚠ Indica la cuenta «Hacia»",IF(AND(G611&lt;&gt;"",G611=E611),"⚠ «Hacia» igual a la cuenta",IF(AND(G611&lt;&gt;"",ISNA(MATCH(G611,ctaNom,0))),"⚠ «Hacia» no existe",IF(AND(I611="Pago tarjeta",IFERROR(INDEX(ctaTipo,MATCH(G611,ctaNom,0)),"")&lt;&gt;"Tarjeta de crédito"),"⚠ «Hacia» debe ser la tarjeta",IF(AND(I611="Trading",IFERROR(INDEX(ctaTipo,MATCH(E611,ctaNom,0)),"")&lt;&gt;"Cuenta de trading"),"⚠ Usa la cuenta de trading","✓"))))))))))))</f>
        <v/>
      </c>
      <c r="I611" s="19">
        <f>IF(OR(B611="",C611="",D611=""),"",IFERROR(INDEX(catTipo,MATCH(D611,catNom,0))&amp;"",""))</f>
        <v/>
      </c>
      <c r="J611" s="19">
        <f>IF(I611="","",IFERROR(INDEX(catGrupo,MATCH(D611,catNom,0))&amp;"",""))</f>
        <v/>
      </c>
      <c r="K611" s="19">
        <f>IF(I611="Gasto",IF(IFERROR(INDEX(catClas,MATCH(D611,catNom,0))&amp;"","")="","Variable",IFERROR(INDEX(catClas,MATCH(D611,catNom,0))&amp;"","")),"")</f>
        <v/>
      </c>
      <c r="L611" s="19">
        <f>IF(I611="","",IFERROR(INDEX(catAlim,MATCH(D611,catNom,0))&amp;"",""))</f>
        <v/>
      </c>
      <c r="M611" s="19">
        <f>IF(I611="","",IFERROR(INDEX(catComida,MATCH(D611,catNom,0))&amp;"",""))</f>
        <v/>
      </c>
      <c r="N611" s="19">
        <f>IF(I611="","",IFERROR(INDEX(ctaMon,MATCH(E611,ctaNom,0))&amp;"","DOP"))</f>
        <v/>
      </c>
      <c r="O611" s="20">
        <f>IF(I611="","",C611*IF(N611="USD",TasaUSD,1))</f>
        <v/>
      </c>
      <c r="P611" s="20">
        <f>IF(I611="","",IF(I611="Gasto",O611,0))</f>
        <v/>
      </c>
      <c r="Q611" s="20">
        <f>IF(I611="","",IF(I611="Ingreso",O611,0))</f>
        <v/>
      </c>
      <c r="R611" s="20">
        <f>IF(I611="","",IF(I611="Trading",O611,0))</f>
        <v/>
      </c>
      <c r="S611" s="19">
        <f>IF(I611="","",IF(AND(I611="Gasto",K611="Variable",J611&lt;&gt;"Trading",O611&gt;0,O611&lt;=Umbral),1,0))</f>
        <v/>
      </c>
      <c r="T611" s="20">
        <f>IF(OR(I611="",E611=""),"",IF(OR(I611="Gasto",I611="Transferencia",I611="Pago tarjeta"),-1,1)*C611)</f>
        <v/>
      </c>
      <c r="U611" s="20">
        <f>IF(OR(G611="",AND(I611&lt;&gt;"Transferencia",I611&lt;&gt;"Pago tarjeta")),"",IF(IFERROR(INDEX(ctaMon,MATCH(G611,ctaNom,0))&amp;"","DOP")=N611,C611,IF(N611="USD",C611*TasaUSD,C611/TasaUSD)))</f>
        <v/>
      </c>
      <c r="V611" s="20">
        <f>IF(I611="","",IF(IFERROR(INDEX(ctaLiq,MATCH(E611,ctaNom,0))="Sí",FALSE),IF(OR(I611="Gasto",I611="Transferencia",I611="Pago tarjeta"),-1,1)*O611,0)+IF(AND(U611&lt;&gt;"",IFERROR(INDEX(ctaLiq,MATCH(G611,ctaNom,0))="Sí",FALSE)),O611,0))</f>
        <v/>
      </c>
      <c r="W611" s="19">
        <f>IF(OR(F611="",I611=""),"",IF(COUNTIFS(F$6:F611,F611,I$6:I611,"?*")=1,MAX(W$5:W610)+1,""))</f>
        <v/>
      </c>
    </row>
    <row r="612">
      <c r="B612" s="15" t="n"/>
      <c r="C612" s="16" t="n"/>
      <c r="D612" s="17" t="n"/>
      <c r="E612" s="17" t="n"/>
      <c r="F612" s="17" t="n"/>
      <c r="G612" s="17" t="n"/>
      <c r="H612" s="18">
        <f>IF(AND(B612="",C612="",D612="",E612=""),"",IF(B612="","⚠ Falta fecha",IF(C612="","⚠ Falta monto",IF(D612="","⚠ Falta categoría",IF(ISNA(MATCH(D612,catNom,0)),"⚠ Categoría no existe",IF(E612="","⚠ Falta cuenta",IF(ISNA(MATCH(E612,ctaNom,0)),"⚠ Cuenta no existe",IF(AND(OR(I612="Transferencia",I612="Pago tarjeta"),G612=""),"⚠ Indica la cuenta «Hacia»",IF(AND(G612&lt;&gt;"",G612=E612),"⚠ «Hacia» igual a la cuenta",IF(AND(G612&lt;&gt;"",ISNA(MATCH(G612,ctaNom,0))),"⚠ «Hacia» no existe",IF(AND(I612="Pago tarjeta",IFERROR(INDEX(ctaTipo,MATCH(G612,ctaNom,0)),"")&lt;&gt;"Tarjeta de crédito"),"⚠ «Hacia» debe ser la tarjeta",IF(AND(I612="Trading",IFERROR(INDEX(ctaTipo,MATCH(E612,ctaNom,0)),"")&lt;&gt;"Cuenta de trading"),"⚠ Usa la cuenta de trading","✓"))))))))))))</f>
        <v/>
      </c>
      <c r="I612" s="19">
        <f>IF(OR(B612="",C612="",D612=""),"",IFERROR(INDEX(catTipo,MATCH(D612,catNom,0))&amp;"",""))</f>
        <v/>
      </c>
      <c r="J612" s="19">
        <f>IF(I612="","",IFERROR(INDEX(catGrupo,MATCH(D612,catNom,0))&amp;"",""))</f>
        <v/>
      </c>
      <c r="K612" s="19">
        <f>IF(I612="Gasto",IF(IFERROR(INDEX(catClas,MATCH(D612,catNom,0))&amp;"","")="","Variable",IFERROR(INDEX(catClas,MATCH(D612,catNom,0))&amp;"","")),"")</f>
        <v/>
      </c>
      <c r="L612" s="19">
        <f>IF(I612="","",IFERROR(INDEX(catAlim,MATCH(D612,catNom,0))&amp;"",""))</f>
        <v/>
      </c>
      <c r="M612" s="19">
        <f>IF(I612="","",IFERROR(INDEX(catComida,MATCH(D612,catNom,0))&amp;"",""))</f>
        <v/>
      </c>
      <c r="N612" s="19">
        <f>IF(I612="","",IFERROR(INDEX(ctaMon,MATCH(E612,ctaNom,0))&amp;"","DOP"))</f>
        <v/>
      </c>
      <c r="O612" s="20">
        <f>IF(I612="","",C612*IF(N612="USD",TasaUSD,1))</f>
        <v/>
      </c>
      <c r="P612" s="20">
        <f>IF(I612="","",IF(I612="Gasto",O612,0))</f>
        <v/>
      </c>
      <c r="Q612" s="20">
        <f>IF(I612="","",IF(I612="Ingreso",O612,0))</f>
        <v/>
      </c>
      <c r="R612" s="20">
        <f>IF(I612="","",IF(I612="Trading",O612,0))</f>
        <v/>
      </c>
      <c r="S612" s="19">
        <f>IF(I612="","",IF(AND(I612="Gasto",K612="Variable",J612&lt;&gt;"Trading",O612&gt;0,O612&lt;=Umbral),1,0))</f>
        <v/>
      </c>
      <c r="T612" s="20">
        <f>IF(OR(I612="",E612=""),"",IF(OR(I612="Gasto",I612="Transferencia",I612="Pago tarjeta"),-1,1)*C612)</f>
        <v/>
      </c>
      <c r="U612" s="20">
        <f>IF(OR(G612="",AND(I612&lt;&gt;"Transferencia",I612&lt;&gt;"Pago tarjeta")),"",IF(IFERROR(INDEX(ctaMon,MATCH(G612,ctaNom,0))&amp;"","DOP")=N612,C612,IF(N612="USD",C612*TasaUSD,C612/TasaUSD)))</f>
        <v/>
      </c>
      <c r="V612" s="20">
        <f>IF(I612="","",IF(IFERROR(INDEX(ctaLiq,MATCH(E612,ctaNom,0))="Sí",FALSE),IF(OR(I612="Gasto",I612="Transferencia",I612="Pago tarjeta"),-1,1)*O612,0)+IF(AND(U612&lt;&gt;"",IFERROR(INDEX(ctaLiq,MATCH(G612,ctaNom,0))="Sí",FALSE)),O612,0))</f>
        <v/>
      </c>
      <c r="W612" s="19">
        <f>IF(OR(F612="",I612=""),"",IF(COUNTIFS(F$6:F612,F612,I$6:I612,"?*")=1,MAX(W$5:W611)+1,""))</f>
        <v/>
      </c>
    </row>
    <row r="613">
      <c r="B613" s="15" t="n"/>
      <c r="C613" s="16" t="n"/>
      <c r="D613" s="17" t="n"/>
      <c r="E613" s="17" t="n"/>
      <c r="F613" s="17" t="n"/>
      <c r="G613" s="17" t="n"/>
      <c r="H613" s="18">
        <f>IF(AND(B613="",C613="",D613="",E613=""),"",IF(B613="","⚠ Falta fecha",IF(C613="","⚠ Falta monto",IF(D613="","⚠ Falta categoría",IF(ISNA(MATCH(D613,catNom,0)),"⚠ Categoría no existe",IF(E613="","⚠ Falta cuenta",IF(ISNA(MATCH(E613,ctaNom,0)),"⚠ Cuenta no existe",IF(AND(OR(I613="Transferencia",I613="Pago tarjeta"),G613=""),"⚠ Indica la cuenta «Hacia»",IF(AND(G613&lt;&gt;"",G613=E613),"⚠ «Hacia» igual a la cuenta",IF(AND(G613&lt;&gt;"",ISNA(MATCH(G613,ctaNom,0))),"⚠ «Hacia» no existe",IF(AND(I613="Pago tarjeta",IFERROR(INDEX(ctaTipo,MATCH(G613,ctaNom,0)),"")&lt;&gt;"Tarjeta de crédito"),"⚠ «Hacia» debe ser la tarjeta",IF(AND(I613="Trading",IFERROR(INDEX(ctaTipo,MATCH(E613,ctaNom,0)),"")&lt;&gt;"Cuenta de trading"),"⚠ Usa la cuenta de trading","✓"))))))))))))</f>
        <v/>
      </c>
      <c r="I613" s="19">
        <f>IF(OR(B613="",C613="",D613=""),"",IFERROR(INDEX(catTipo,MATCH(D613,catNom,0))&amp;"",""))</f>
        <v/>
      </c>
      <c r="J613" s="19">
        <f>IF(I613="","",IFERROR(INDEX(catGrupo,MATCH(D613,catNom,0))&amp;"",""))</f>
        <v/>
      </c>
      <c r="K613" s="19">
        <f>IF(I613="Gasto",IF(IFERROR(INDEX(catClas,MATCH(D613,catNom,0))&amp;"","")="","Variable",IFERROR(INDEX(catClas,MATCH(D613,catNom,0))&amp;"","")),"")</f>
        <v/>
      </c>
      <c r="L613" s="19">
        <f>IF(I613="","",IFERROR(INDEX(catAlim,MATCH(D613,catNom,0))&amp;"",""))</f>
        <v/>
      </c>
      <c r="M613" s="19">
        <f>IF(I613="","",IFERROR(INDEX(catComida,MATCH(D613,catNom,0))&amp;"",""))</f>
        <v/>
      </c>
      <c r="N613" s="19">
        <f>IF(I613="","",IFERROR(INDEX(ctaMon,MATCH(E613,ctaNom,0))&amp;"","DOP"))</f>
        <v/>
      </c>
      <c r="O613" s="20">
        <f>IF(I613="","",C613*IF(N613="USD",TasaUSD,1))</f>
        <v/>
      </c>
      <c r="P613" s="20">
        <f>IF(I613="","",IF(I613="Gasto",O613,0))</f>
        <v/>
      </c>
      <c r="Q613" s="20">
        <f>IF(I613="","",IF(I613="Ingreso",O613,0))</f>
        <v/>
      </c>
      <c r="R613" s="20">
        <f>IF(I613="","",IF(I613="Trading",O613,0))</f>
        <v/>
      </c>
      <c r="S613" s="19">
        <f>IF(I613="","",IF(AND(I613="Gasto",K613="Variable",J613&lt;&gt;"Trading",O613&gt;0,O613&lt;=Umbral),1,0))</f>
        <v/>
      </c>
      <c r="T613" s="20">
        <f>IF(OR(I613="",E613=""),"",IF(OR(I613="Gasto",I613="Transferencia",I613="Pago tarjeta"),-1,1)*C613)</f>
        <v/>
      </c>
      <c r="U613" s="20">
        <f>IF(OR(G613="",AND(I613&lt;&gt;"Transferencia",I613&lt;&gt;"Pago tarjeta")),"",IF(IFERROR(INDEX(ctaMon,MATCH(G613,ctaNom,0))&amp;"","DOP")=N613,C613,IF(N613="USD",C613*TasaUSD,C613/TasaUSD)))</f>
        <v/>
      </c>
      <c r="V613" s="20">
        <f>IF(I613="","",IF(IFERROR(INDEX(ctaLiq,MATCH(E613,ctaNom,0))="Sí",FALSE),IF(OR(I613="Gasto",I613="Transferencia",I613="Pago tarjeta"),-1,1)*O613,0)+IF(AND(U613&lt;&gt;"",IFERROR(INDEX(ctaLiq,MATCH(G613,ctaNom,0))="Sí",FALSE)),O613,0))</f>
        <v/>
      </c>
      <c r="W613" s="19">
        <f>IF(OR(F613="",I613=""),"",IF(COUNTIFS(F$6:F613,F613,I$6:I613,"?*")=1,MAX(W$5:W612)+1,""))</f>
        <v/>
      </c>
    </row>
    <row r="614">
      <c r="B614" s="15" t="n"/>
      <c r="C614" s="16" t="n"/>
      <c r="D614" s="17" t="n"/>
      <c r="E614" s="17" t="n"/>
      <c r="F614" s="17" t="n"/>
      <c r="G614" s="17" t="n"/>
      <c r="H614" s="18">
        <f>IF(AND(B614="",C614="",D614="",E614=""),"",IF(B614="","⚠ Falta fecha",IF(C614="","⚠ Falta monto",IF(D614="","⚠ Falta categoría",IF(ISNA(MATCH(D614,catNom,0)),"⚠ Categoría no existe",IF(E614="","⚠ Falta cuenta",IF(ISNA(MATCH(E614,ctaNom,0)),"⚠ Cuenta no existe",IF(AND(OR(I614="Transferencia",I614="Pago tarjeta"),G614=""),"⚠ Indica la cuenta «Hacia»",IF(AND(G614&lt;&gt;"",G614=E614),"⚠ «Hacia» igual a la cuenta",IF(AND(G614&lt;&gt;"",ISNA(MATCH(G614,ctaNom,0))),"⚠ «Hacia» no existe",IF(AND(I614="Pago tarjeta",IFERROR(INDEX(ctaTipo,MATCH(G614,ctaNom,0)),"")&lt;&gt;"Tarjeta de crédito"),"⚠ «Hacia» debe ser la tarjeta",IF(AND(I614="Trading",IFERROR(INDEX(ctaTipo,MATCH(E614,ctaNom,0)),"")&lt;&gt;"Cuenta de trading"),"⚠ Usa la cuenta de trading","✓"))))))))))))</f>
        <v/>
      </c>
      <c r="I614" s="19">
        <f>IF(OR(B614="",C614="",D614=""),"",IFERROR(INDEX(catTipo,MATCH(D614,catNom,0))&amp;"",""))</f>
        <v/>
      </c>
      <c r="J614" s="19">
        <f>IF(I614="","",IFERROR(INDEX(catGrupo,MATCH(D614,catNom,0))&amp;"",""))</f>
        <v/>
      </c>
      <c r="K614" s="19">
        <f>IF(I614="Gasto",IF(IFERROR(INDEX(catClas,MATCH(D614,catNom,0))&amp;"","")="","Variable",IFERROR(INDEX(catClas,MATCH(D614,catNom,0))&amp;"","")),"")</f>
        <v/>
      </c>
      <c r="L614" s="19">
        <f>IF(I614="","",IFERROR(INDEX(catAlim,MATCH(D614,catNom,0))&amp;"",""))</f>
        <v/>
      </c>
      <c r="M614" s="19">
        <f>IF(I614="","",IFERROR(INDEX(catComida,MATCH(D614,catNom,0))&amp;"",""))</f>
        <v/>
      </c>
      <c r="N614" s="19">
        <f>IF(I614="","",IFERROR(INDEX(ctaMon,MATCH(E614,ctaNom,0))&amp;"","DOP"))</f>
        <v/>
      </c>
      <c r="O614" s="20">
        <f>IF(I614="","",C614*IF(N614="USD",TasaUSD,1))</f>
        <v/>
      </c>
      <c r="P614" s="20">
        <f>IF(I614="","",IF(I614="Gasto",O614,0))</f>
        <v/>
      </c>
      <c r="Q614" s="20">
        <f>IF(I614="","",IF(I614="Ingreso",O614,0))</f>
        <v/>
      </c>
      <c r="R614" s="20">
        <f>IF(I614="","",IF(I614="Trading",O614,0))</f>
        <v/>
      </c>
      <c r="S614" s="19">
        <f>IF(I614="","",IF(AND(I614="Gasto",K614="Variable",J614&lt;&gt;"Trading",O614&gt;0,O614&lt;=Umbral),1,0))</f>
        <v/>
      </c>
      <c r="T614" s="20">
        <f>IF(OR(I614="",E614=""),"",IF(OR(I614="Gasto",I614="Transferencia",I614="Pago tarjeta"),-1,1)*C614)</f>
        <v/>
      </c>
      <c r="U614" s="20">
        <f>IF(OR(G614="",AND(I614&lt;&gt;"Transferencia",I614&lt;&gt;"Pago tarjeta")),"",IF(IFERROR(INDEX(ctaMon,MATCH(G614,ctaNom,0))&amp;"","DOP")=N614,C614,IF(N614="USD",C614*TasaUSD,C614/TasaUSD)))</f>
        <v/>
      </c>
      <c r="V614" s="20">
        <f>IF(I614="","",IF(IFERROR(INDEX(ctaLiq,MATCH(E614,ctaNom,0))="Sí",FALSE),IF(OR(I614="Gasto",I614="Transferencia",I614="Pago tarjeta"),-1,1)*O614,0)+IF(AND(U614&lt;&gt;"",IFERROR(INDEX(ctaLiq,MATCH(G614,ctaNom,0))="Sí",FALSE)),O614,0))</f>
        <v/>
      </c>
      <c r="W614" s="19">
        <f>IF(OR(F614="",I614=""),"",IF(COUNTIFS(F$6:F614,F614,I$6:I614,"?*")=1,MAX(W$5:W613)+1,""))</f>
        <v/>
      </c>
    </row>
    <row r="615">
      <c r="B615" s="15" t="n"/>
      <c r="C615" s="16" t="n"/>
      <c r="D615" s="17" t="n"/>
      <c r="E615" s="17" t="n"/>
      <c r="F615" s="17" t="n"/>
      <c r="G615" s="17" t="n"/>
      <c r="H615" s="18">
        <f>IF(AND(B615="",C615="",D615="",E615=""),"",IF(B615="","⚠ Falta fecha",IF(C615="","⚠ Falta monto",IF(D615="","⚠ Falta categoría",IF(ISNA(MATCH(D615,catNom,0)),"⚠ Categoría no existe",IF(E615="","⚠ Falta cuenta",IF(ISNA(MATCH(E615,ctaNom,0)),"⚠ Cuenta no existe",IF(AND(OR(I615="Transferencia",I615="Pago tarjeta"),G615=""),"⚠ Indica la cuenta «Hacia»",IF(AND(G615&lt;&gt;"",G615=E615),"⚠ «Hacia» igual a la cuenta",IF(AND(G615&lt;&gt;"",ISNA(MATCH(G615,ctaNom,0))),"⚠ «Hacia» no existe",IF(AND(I615="Pago tarjeta",IFERROR(INDEX(ctaTipo,MATCH(G615,ctaNom,0)),"")&lt;&gt;"Tarjeta de crédito"),"⚠ «Hacia» debe ser la tarjeta",IF(AND(I615="Trading",IFERROR(INDEX(ctaTipo,MATCH(E615,ctaNom,0)),"")&lt;&gt;"Cuenta de trading"),"⚠ Usa la cuenta de trading","✓"))))))))))))</f>
        <v/>
      </c>
      <c r="I615" s="19">
        <f>IF(OR(B615="",C615="",D615=""),"",IFERROR(INDEX(catTipo,MATCH(D615,catNom,0))&amp;"",""))</f>
        <v/>
      </c>
      <c r="J615" s="19">
        <f>IF(I615="","",IFERROR(INDEX(catGrupo,MATCH(D615,catNom,0))&amp;"",""))</f>
        <v/>
      </c>
      <c r="K615" s="19">
        <f>IF(I615="Gasto",IF(IFERROR(INDEX(catClas,MATCH(D615,catNom,0))&amp;"","")="","Variable",IFERROR(INDEX(catClas,MATCH(D615,catNom,0))&amp;"","")),"")</f>
        <v/>
      </c>
      <c r="L615" s="19">
        <f>IF(I615="","",IFERROR(INDEX(catAlim,MATCH(D615,catNom,0))&amp;"",""))</f>
        <v/>
      </c>
      <c r="M615" s="19">
        <f>IF(I615="","",IFERROR(INDEX(catComida,MATCH(D615,catNom,0))&amp;"",""))</f>
        <v/>
      </c>
      <c r="N615" s="19">
        <f>IF(I615="","",IFERROR(INDEX(ctaMon,MATCH(E615,ctaNom,0))&amp;"","DOP"))</f>
        <v/>
      </c>
      <c r="O615" s="20">
        <f>IF(I615="","",C615*IF(N615="USD",TasaUSD,1))</f>
        <v/>
      </c>
      <c r="P615" s="20">
        <f>IF(I615="","",IF(I615="Gasto",O615,0))</f>
        <v/>
      </c>
      <c r="Q615" s="20">
        <f>IF(I615="","",IF(I615="Ingreso",O615,0))</f>
        <v/>
      </c>
      <c r="R615" s="20">
        <f>IF(I615="","",IF(I615="Trading",O615,0))</f>
        <v/>
      </c>
      <c r="S615" s="19">
        <f>IF(I615="","",IF(AND(I615="Gasto",K615="Variable",J615&lt;&gt;"Trading",O615&gt;0,O615&lt;=Umbral),1,0))</f>
        <v/>
      </c>
      <c r="T615" s="20">
        <f>IF(OR(I615="",E615=""),"",IF(OR(I615="Gasto",I615="Transferencia",I615="Pago tarjeta"),-1,1)*C615)</f>
        <v/>
      </c>
      <c r="U615" s="20">
        <f>IF(OR(G615="",AND(I615&lt;&gt;"Transferencia",I615&lt;&gt;"Pago tarjeta")),"",IF(IFERROR(INDEX(ctaMon,MATCH(G615,ctaNom,0))&amp;"","DOP")=N615,C615,IF(N615="USD",C615*TasaUSD,C615/TasaUSD)))</f>
        <v/>
      </c>
      <c r="V615" s="20">
        <f>IF(I615="","",IF(IFERROR(INDEX(ctaLiq,MATCH(E615,ctaNom,0))="Sí",FALSE),IF(OR(I615="Gasto",I615="Transferencia",I615="Pago tarjeta"),-1,1)*O615,0)+IF(AND(U615&lt;&gt;"",IFERROR(INDEX(ctaLiq,MATCH(G615,ctaNom,0))="Sí",FALSE)),O615,0))</f>
        <v/>
      </c>
      <c r="W615" s="19">
        <f>IF(OR(F615="",I615=""),"",IF(COUNTIFS(F$6:F615,F615,I$6:I615,"?*")=1,MAX(W$5:W614)+1,""))</f>
        <v/>
      </c>
    </row>
    <row r="616">
      <c r="B616" s="15" t="n"/>
      <c r="C616" s="16" t="n"/>
      <c r="D616" s="17" t="n"/>
      <c r="E616" s="17" t="n"/>
      <c r="F616" s="17" t="n"/>
      <c r="G616" s="17" t="n"/>
      <c r="H616" s="18">
        <f>IF(AND(B616="",C616="",D616="",E616=""),"",IF(B616="","⚠ Falta fecha",IF(C616="","⚠ Falta monto",IF(D616="","⚠ Falta categoría",IF(ISNA(MATCH(D616,catNom,0)),"⚠ Categoría no existe",IF(E616="","⚠ Falta cuenta",IF(ISNA(MATCH(E616,ctaNom,0)),"⚠ Cuenta no existe",IF(AND(OR(I616="Transferencia",I616="Pago tarjeta"),G616=""),"⚠ Indica la cuenta «Hacia»",IF(AND(G616&lt;&gt;"",G616=E616),"⚠ «Hacia» igual a la cuenta",IF(AND(G616&lt;&gt;"",ISNA(MATCH(G616,ctaNom,0))),"⚠ «Hacia» no existe",IF(AND(I616="Pago tarjeta",IFERROR(INDEX(ctaTipo,MATCH(G616,ctaNom,0)),"")&lt;&gt;"Tarjeta de crédito"),"⚠ «Hacia» debe ser la tarjeta",IF(AND(I616="Trading",IFERROR(INDEX(ctaTipo,MATCH(E616,ctaNom,0)),"")&lt;&gt;"Cuenta de trading"),"⚠ Usa la cuenta de trading","✓"))))))))))))</f>
        <v/>
      </c>
      <c r="I616" s="19">
        <f>IF(OR(B616="",C616="",D616=""),"",IFERROR(INDEX(catTipo,MATCH(D616,catNom,0))&amp;"",""))</f>
        <v/>
      </c>
      <c r="J616" s="19">
        <f>IF(I616="","",IFERROR(INDEX(catGrupo,MATCH(D616,catNom,0))&amp;"",""))</f>
        <v/>
      </c>
      <c r="K616" s="19">
        <f>IF(I616="Gasto",IF(IFERROR(INDEX(catClas,MATCH(D616,catNom,0))&amp;"","")="","Variable",IFERROR(INDEX(catClas,MATCH(D616,catNom,0))&amp;"","")),"")</f>
        <v/>
      </c>
      <c r="L616" s="19">
        <f>IF(I616="","",IFERROR(INDEX(catAlim,MATCH(D616,catNom,0))&amp;"",""))</f>
        <v/>
      </c>
      <c r="M616" s="19">
        <f>IF(I616="","",IFERROR(INDEX(catComida,MATCH(D616,catNom,0))&amp;"",""))</f>
        <v/>
      </c>
      <c r="N616" s="19">
        <f>IF(I616="","",IFERROR(INDEX(ctaMon,MATCH(E616,ctaNom,0))&amp;"","DOP"))</f>
        <v/>
      </c>
      <c r="O616" s="20">
        <f>IF(I616="","",C616*IF(N616="USD",TasaUSD,1))</f>
        <v/>
      </c>
      <c r="P616" s="20">
        <f>IF(I616="","",IF(I616="Gasto",O616,0))</f>
        <v/>
      </c>
      <c r="Q616" s="20">
        <f>IF(I616="","",IF(I616="Ingreso",O616,0))</f>
        <v/>
      </c>
      <c r="R616" s="20">
        <f>IF(I616="","",IF(I616="Trading",O616,0))</f>
        <v/>
      </c>
      <c r="S616" s="19">
        <f>IF(I616="","",IF(AND(I616="Gasto",K616="Variable",J616&lt;&gt;"Trading",O616&gt;0,O616&lt;=Umbral),1,0))</f>
        <v/>
      </c>
      <c r="T616" s="20">
        <f>IF(OR(I616="",E616=""),"",IF(OR(I616="Gasto",I616="Transferencia",I616="Pago tarjeta"),-1,1)*C616)</f>
        <v/>
      </c>
      <c r="U616" s="20">
        <f>IF(OR(G616="",AND(I616&lt;&gt;"Transferencia",I616&lt;&gt;"Pago tarjeta")),"",IF(IFERROR(INDEX(ctaMon,MATCH(G616,ctaNom,0))&amp;"","DOP")=N616,C616,IF(N616="USD",C616*TasaUSD,C616/TasaUSD)))</f>
        <v/>
      </c>
      <c r="V616" s="20">
        <f>IF(I616="","",IF(IFERROR(INDEX(ctaLiq,MATCH(E616,ctaNom,0))="Sí",FALSE),IF(OR(I616="Gasto",I616="Transferencia",I616="Pago tarjeta"),-1,1)*O616,0)+IF(AND(U616&lt;&gt;"",IFERROR(INDEX(ctaLiq,MATCH(G616,ctaNom,0))="Sí",FALSE)),O616,0))</f>
        <v/>
      </c>
      <c r="W616" s="19">
        <f>IF(OR(F616="",I616=""),"",IF(COUNTIFS(F$6:F616,F616,I$6:I616,"?*")=1,MAX(W$5:W615)+1,""))</f>
        <v/>
      </c>
    </row>
    <row r="617">
      <c r="B617" s="15" t="n"/>
      <c r="C617" s="16" t="n"/>
      <c r="D617" s="17" t="n"/>
      <c r="E617" s="17" t="n"/>
      <c r="F617" s="17" t="n"/>
      <c r="G617" s="17" t="n"/>
      <c r="H617" s="18">
        <f>IF(AND(B617="",C617="",D617="",E617=""),"",IF(B617="","⚠ Falta fecha",IF(C617="","⚠ Falta monto",IF(D617="","⚠ Falta categoría",IF(ISNA(MATCH(D617,catNom,0)),"⚠ Categoría no existe",IF(E617="","⚠ Falta cuenta",IF(ISNA(MATCH(E617,ctaNom,0)),"⚠ Cuenta no existe",IF(AND(OR(I617="Transferencia",I617="Pago tarjeta"),G617=""),"⚠ Indica la cuenta «Hacia»",IF(AND(G617&lt;&gt;"",G617=E617),"⚠ «Hacia» igual a la cuenta",IF(AND(G617&lt;&gt;"",ISNA(MATCH(G617,ctaNom,0))),"⚠ «Hacia» no existe",IF(AND(I617="Pago tarjeta",IFERROR(INDEX(ctaTipo,MATCH(G617,ctaNom,0)),"")&lt;&gt;"Tarjeta de crédito"),"⚠ «Hacia» debe ser la tarjeta",IF(AND(I617="Trading",IFERROR(INDEX(ctaTipo,MATCH(E617,ctaNom,0)),"")&lt;&gt;"Cuenta de trading"),"⚠ Usa la cuenta de trading","✓"))))))))))))</f>
        <v/>
      </c>
      <c r="I617" s="19">
        <f>IF(OR(B617="",C617="",D617=""),"",IFERROR(INDEX(catTipo,MATCH(D617,catNom,0))&amp;"",""))</f>
        <v/>
      </c>
      <c r="J617" s="19">
        <f>IF(I617="","",IFERROR(INDEX(catGrupo,MATCH(D617,catNom,0))&amp;"",""))</f>
        <v/>
      </c>
      <c r="K617" s="19">
        <f>IF(I617="Gasto",IF(IFERROR(INDEX(catClas,MATCH(D617,catNom,0))&amp;"","")="","Variable",IFERROR(INDEX(catClas,MATCH(D617,catNom,0))&amp;"","")),"")</f>
        <v/>
      </c>
      <c r="L617" s="19">
        <f>IF(I617="","",IFERROR(INDEX(catAlim,MATCH(D617,catNom,0))&amp;"",""))</f>
        <v/>
      </c>
      <c r="M617" s="19">
        <f>IF(I617="","",IFERROR(INDEX(catComida,MATCH(D617,catNom,0))&amp;"",""))</f>
        <v/>
      </c>
      <c r="N617" s="19">
        <f>IF(I617="","",IFERROR(INDEX(ctaMon,MATCH(E617,ctaNom,0))&amp;"","DOP"))</f>
        <v/>
      </c>
      <c r="O617" s="20">
        <f>IF(I617="","",C617*IF(N617="USD",TasaUSD,1))</f>
        <v/>
      </c>
      <c r="P617" s="20">
        <f>IF(I617="","",IF(I617="Gasto",O617,0))</f>
        <v/>
      </c>
      <c r="Q617" s="20">
        <f>IF(I617="","",IF(I617="Ingreso",O617,0))</f>
        <v/>
      </c>
      <c r="R617" s="20">
        <f>IF(I617="","",IF(I617="Trading",O617,0))</f>
        <v/>
      </c>
      <c r="S617" s="19">
        <f>IF(I617="","",IF(AND(I617="Gasto",K617="Variable",J617&lt;&gt;"Trading",O617&gt;0,O617&lt;=Umbral),1,0))</f>
        <v/>
      </c>
      <c r="T617" s="20">
        <f>IF(OR(I617="",E617=""),"",IF(OR(I617="Gasto",I617="Transferencia",I617="Pago tarjeta"),-1,1)*C617)</f>
        <v/>
      </c>
      <c r="U617" s="20">
        <f>IF(OR(G617="",AND(I617&lt;&gt;"Transferencia",I617&lt;&gt;"Pago tarjeta")),"",IF(IFERROR(INDEX(ctaMon,MATCH(G617,ctaNom,0))&amp;"","DOP")=N617,C617,IF(N617="USD",C617*TasaUSD,C617/TasaUSD)))</f>
        <v/>
      </c>
      <c r="V617" s="20">
        <f>IF(I617="","",IF(IFERROR(INDEX(ctaLiq,MATCH(E617,ctaNom,0))="Sí",FALSE),IF(OR(I617="Gasto",I617="Transferencia",I617="Pago tarjeta"),-1,1)*O617,0)+IF(AND(U617&lt;&gt;"",IFERROR(INDEX(ctaLiq,MATCH(G617,ctaNom,0))="Sí",FALSE)),O617,0))</f>
        <v/>
      </c>
      <c r="W617" s="19">
        <f>IF(OR(F617="",I617=""),"",IF(COUNTIFS(F$6:F617,F617,I$6:I617,"?*")=1,MAX(W$5:W616)+1,""))</f>
        <v/>
      </c>
    </row>
    <row r="618">
      <c r="B618" s="15" t="n"/>
      <c r="C618" s="16" t="n"/>
      <c r="D618" s="17" t="n"/>
      <c r="E618" s="17" t="n"/>
      <c r="F618" s="17" t="n"/>
      <c r="G618" s="17" t="n"/>
      <c r="H618" s="18">
        <f>IF(AND(B618="",C618="",D618="",E618=""),"",IF(B618="","⚠ Falta fecha",IF(C618="","⚠ Falta monto",IF(D618="","⚠ Falta categoría",IF(ISNA(MATCH(D618,catNom,0)),"⚠ Categoría no existe",IF(E618="","⚠ Falta cuenta",IF(ISNA(MATCH(E618,ctaNom,0)),"⚠ Cuenta no existe",IF(AND(OR(I618="Transferencia",I618="Pago tarjeta"),G618=""),"⚠ Indica la cuenta «Hacia»",IF(AND(G618&lt;&gt;"",G618=E618),"⚠ «Hacia» igual a la cuenta",IF(AND(G618&lt;&gt;"",ISNA(MATCH(G618,ctaNom,0))),"⚠ «Hacia» no existe",IF(AND(I618="Pago tarjeta",IFERROR(INDEX(ctaTipo,MATCH(G618,ctaNom,0)),"")&lt;&gt;"Tarjeta de crédito"),"⚠ «Hacia» debe ser la tarjeta",IF(AND(I618="Trading",IFERROR(INDEX(ctaTipo,MATCH(E618,ctaNom,0)),"")&lt;&gt;"Cuenta de trading"),"⚠ Usa la cuenta de trading","✓"))))))))))))</f>
        <v/>
      </c>
      <c r="I618" s="19">
        <f>IF(OR(B618="",C618="",D618=""),"",IFERROR(INDEX(catTipo,MATCH(D618,catNom,0))&amp;"",""))</f>
        <v/>
      </c>
      <c r="J618" s="19">
        <f>IF(I618="","",IFERROR(INDEX(catGrupo,MATCH(D618,catNom,0))&amp;"",""))</f>
        <v/>
      </c>
      <c r="K618" s="19">
        <f>IF(I618="Gasto",IF(IFERROR(INDEX(catClas,MATCH(D618,catNom,0))&amp;"","")="","Variable",IFERROR(INDEX(catClas,MATCH(D618,catNom,0))&amp;"","")),"")</f>
        <v/>
      </c>
      <c r="L618" s="19">
        <f>IF(I618="","",IFERROR(INDEX(catAlim,MATCH(D618,catNom,0))&amp;"",""))</f>
        <v/>
      </c>
      <c r="M618" s="19">
        <f>IF(I618="","",IFERROR(INDEX(catComida,MATCH(D618,catNom,0))&amp;"",""))</f>
        <v/>
      </c>
      <c r="N618" s="19">
        <f>IF(I618="","",IFERROR(INDEX(ctaMon,MATCH(E618,ctaNom,0))&amp;"","DOP"))</f>
        <v/>
      </c>
      <c r="O618" s="20">
        <f>IF(I618="","",C618*IF(N618="USD",TasaUSD,1))</f>
        <v/>
      </c>
      <c r="P618" s="20">
        <f>IF(I618="","",IF(I618="Gasto",O618,0))</f>
        <v/>
      </c>
      <c r="Q618" s="20">
        <f>IF(I618="","",IF(I618="Ingreso",O618,0))</f>
        <v/>
      </c>
      <c r="R618" s="20">
        <f>IF(I618="","",IF(I618="Trading",O618,0))</f>
        <v/>
      </c>
      <c r="S618" s="19">
        <f>IF(I618="","",IF(AND(I618="Gasto",K618="Variable",J618&lt;&gt;"Trading",O618&gt;0,O618&lt;=Umbral),1,0))</f>
        <v/>
      </c>
      <c r="T618" s="20">
        <f>IF(OR(I618="",E618=""),"",IF(OR(I618="Gasto",I618="Transferencia",I618="Pago tarjeta"),-1,1)*C618)</f>
        <v/>
      </c>
      <c r="U618" s="20">
        <f>IF(OR(G618="",AND(I618&lt;&gt;"Transferencia",I618&lt;&gt;"Pago tarjeta")),"",IF(IFERROR(INDEX(ctaMon,MATCH(G618,ctaNom,0))&amp;"","DOP")=N618,C618,IF(N618="USD",C618*TasaUSD,C618/TasaUSD)))</f>
        <v/>
      </c>
      <c r="V618" s="20">
        <f>IF(I618="","",IF(IFERROR(INDEX(ctaLiq,MATCH(E618,ctaNom,0))="Sí",FALSE),IF(OR(I618="Gasto",I618="Transferencia",I618="Pago tarjeta"),-1,1)*O618,0)+IF(AND(U618&lt;&gt;"",IFERROR(INDEX(ctaLiq,MATCH(G618,ctaNom,0))="Sí",FALSE)),O618,0))</f>
        <v/>
      </c>
      <c r="W618" s="19">
        <f>IF(OR(F618="",I618=""),"",IF(COUNTIFS(F$6:F618,F618,I$6:I618,"?*")=1,MAX(W$5:W617)+1,""))</f>
        <v/>
      </c>
    </row>
    <row r="619">
      <c r="B619" s="15" t="n"/>
      <c r="C619" s="16" t="n"/>
      <c r="D619" s="17" t="n"/>
      <c r="E619" s="17" t="n"/>
      <c r="F619" s="17" t="n"/>
      <c r="G619" s="17" t="n"/>
      <c r="H619" s="18">
        <f>IF(AND(B619="",C619="",D619="",E619=""),"",IF(B619="","⚠ Falta fecha",IF(C619="","⚠ Falta monto",IF(D619="","⚠ Falta categoría",IF(ISNA(MATCH(D619,catNom,0)),"⚠ Categoría no existe",IF(E619="","⚠ Falta cuenta",IF(ISNA(MATCH(E619,ctaNom,0)),"⚠ Cuenta no existe",IF(AND(OR(I619="Transferencia",I619="Pago tarjeta"),G619=""),"⚠ Indica la cuenta «Hacia»",IF(AND(G619&lt;&gt;"",G619=E619),"⚠ «Hacia» igual a la cuenta",IF(AND(G619&lt;&gt;"",ISNA(MATCH(G619,ctaNom,0))),"⚠ «Hacia» no existe",IF(AND(I619="Pago tarjeta",IFERROR(INDEX(ctaTipo,MATCH(G619,ctaNom,0)),"")&lt;&gt;"Tarjeta de crédito"),"⚠ «Hacia» debe ser la tarjeta",IF(AND(I619="Trading",IFERROR(INDEX(ctaTipo,MATCH(E619,ctaNom,0)),"")&lt;&gt;"Cuenta de trading"),"⚠ Usa la cuenta de trading","✓"))))))))))))</f>
        <v/>
      </c>
      <c r="I619" s="19">
        <f>IF(OR(B619="",C619="",D619=""),"",IFERROR(INDEX(catTipo,MATCH(D619,catNom,0))&amp;"",""))</f>
        <v/>
      </c>
      <c r="J619" s="19">
        <f>IF(I619="","",IFERROR(INDEX(catGrupo,MATCH(D619,catNom,0))&amp;"",""))</f>
        <v/>
      </c>
      <c r="K619" s="19">
        <f>IF(I619="Gasto",IF(IFERROR(INDEX(catClas,MATCH(D619,catNom,0))&amp;"","")="","Variable",IFERROR(INDEX(catClas,MATCH(D619,catNom,0))&amp;"","")),"")</f>
        <v/>
      </c>
      <c r="L619" s="19">
        <f>IF(I619="","",IFERROR(INDEX(catAlim,MATCH(D619,catNom,0))&amp;"",""))</f>
        <v/>
      </c>
      <c r="M619" s="19">
        <f>IF(I619="","",IFERROR(INDEX(catComida,MATCH(D619,catNom,0))&amp;"",""))</f>
        <v/>
      </c>
      <c r="N619" s="19">
        <f>IF(I619="","",IFERROR(INDEX(ctaMon,MATCH(E619,ctaNom,0))&amp;"","DOP"))</f>
        <v/>
      </c>
      <c r="O619" s="20">
        <f>IF(I619="","",C619*IF(N619="USD",TasaUSD,1))</f>
        <v/>
      </c>
      <c r="P619" s="20">
        <f>IF(I619="","",IF(I619="Gasto",O619,0))</f>
        <v/>
      </c>
      <c r="Q619" s="20">
        <f>IF(I619="","",IF(I619="Ingreso",O619,0))</f>
        <v/>
      </c>
      <c r="R619" s="20">
        <f>IF(I619="","",IF(I619="Trading",O619,0))</f>
        <v/>
      </c>
      <c r="S619" s="19">
        <f>IF(I619="","",IF(AND(I619="Gasto",K619="Variable",J619&lt;&gt;"Trading",O619&gt;0,O619&lt;=Umbral),1,0))</f>
        <v/>
      </c>
      <c r="T619" s="20">
        <f>IF(OR(I619="",E619=""),"",IF(OR(I619="Gasto",I619="Transferencia",I619="Pago tarjeta"),-1,1)*C619)</f>
        <v/>
      </c>
      <c r="U619" s="20">
        <f>IF(OR(G619="",AND(I619&lt;&gt;"Transferencia",I619&lt;&gt;"Pago tarjeta")),"",IF(IFERROR(INDEX(ctaMon,MATCH(G619,ctaNom,0))&amp;"","DOP")=N619,C619,IF(N619="USD",C619*TasaUSD,C619/TasaUSD)))</f>
        <v/>
      </c>
      <c r="V619" s="20">
        <f>IF(I619="","",IF(IFERROR(INDEX(ctaLiq,MATCH(E619,ctaNom,0))="Sí",FALSE),IF(OR(I619="Gasto",I619="Transferencia",I619="Pago tarjeta"),-1,1)*O619,0)+IF(AND(U619&lt;&gt;"",IFERROR(INDEX(ctaLiq,MATCH(G619,ctaNom,0))="Sí",FALSE)),O619,0))</f>
        <v/>
      </c>
      <c r="W619" s="19">
        <f>IF(OR(F619="",I619=""),"",IF(COUNTIFS(F$6:F619,F619,I$6:I619,"?*")=1,MAX(W$5:W618)+1,""))</f>
        <v/>
      </c>
    </row>
    <row r="620">
      <c r="B620" s="15" t="n"/>
      <c r="C620" s="16" t="n"/>
      <c r="D620" s="17" t="n"/>
      <c r="E620" s="17" t="n"/>
      <c r="F620" s="17" t="n"/>
      <c r="G620" s="17" t="n"/>
      <c r="H620" s="18">
        <f>IF(AND(B620="",C620="",D620="",E620=""),"",IF(B620="","⚠ Falta fecha",IF(C620="","⚠ Falta monto",IF(D620="","⚠ Falta categoría",IF(ISNA(MATCH(D620,catNom,0)),"⚠ Categoría no existe",IF(E620="","⚠ Falta cuenta",IF(ISNA(MATCH(E620,ctaNom,0)),"⚠ Cuenta no existe",IF(AND(OR(I620="Transferencia",I620="Pago tarjeta"),G620=""),"⚠ Indica la cuenta «Hacia»",IF(AND(G620&lt;&gt;"",G620=E620),"⚠ «Hacia» igual a la cuenta",IF(AND(G620&lt;&gt;"",ISNA(MATCH(G620,ctaNom,0))),"⚠ «Hacia» no existe",IF(AND(I620="Pago tarjeta",IFERROR(INDEX(ctaTipo,MATCH(G620,ctaNom,0)),"")&lt;&gt;"Tarjeta de crédito"),"⚠ «Hacia» debe ser la tarjeta",IF(AND(I620="Trading",IFERROR(INDEX(ctaTipo,MATCH(E620,ctaNom,0)),"")&lt;&gt;"Cuenta de trading"),"⚠ Usa la cuenta de trading","✓"))))))))))))</f>
        <v/>
      </c>
      <c r="I620" s="19">
        <f>IF(OR(B620="",C620="",D620=""),"",IFERROR(INDEX(catTipo,MATCH(D620,catNom,0))&amp;"",""))</f>
        <v/>
      </c>
      <c r="J620" s="19">
        <f>IF(I620="","",IFERROR(INDEX(catGrupo,MATCH(D620,catNom,0))&amp;"",""))</f>
        <v/>
      </c>
      <c r="K620" s="19">
        <f>IF(I620="Gasto",IF(IFERROR(INDEX(catClas,MATCH(D620,catNom,0))&amp;"","")="","Variable",IFERROR(INDEX(catClas,MATCH(D620,catNom,0))&amp;"","")),"")</f>
        <v/>
      </c>
      <c r="L620" s="19">
        <f>IF(I620="","",IFERROR(INDEX(catAlim,MATCH(D620,catNom,0))&amp;"",""))</f>
        <v/>
      </c>
      <c r="M620" s="19">
        <f>IF(I620="","",IFERROR(INDEX(catComida,MATCH(D620,catNom,0))&amp;"",""))</f>
        <v/>
      </c>
      <c r="N620" s="19">
        <f>IF(I620="","",IFERROR(INDEX(ctaMon,MATCH(E620,ctaNom,0))&amp;"","DOP"))</f>
        <v/>
      </c>
      <c r="O620" s="20">
        <f>IF(I620="","",C620*IF(N620="USD",TasaUSD,1))</f>
        <v/>
      </c>
      <c r="P620" s="20">
        <f>IF(I620="","",IF(I620="Gasto",O620,0))</f>
        <v/>
      </c>
      <c r="Q620" s="20">
        <f>IF(I620="","",IF(I620="Ingreso",O620,0))</f>
        <v/>
      </c>
      <c r="R620" s="20">
        <f>IF(I620="","",IF(I620="Trading",O620,0))</f>
        <v/>
      </c>
      <c r="S620" s="19">
        <f>IF(I620="","",IF(AND(I620="Gasto",K620="Variable",J620&lt;&gt;"Trading",O620&gt;0,O620&lt;=Umbral),1,0))</f>
        <v/>
      </c>
      <c r="T620" s="20">
        <f>IF(OR(I620="",E620=""),"",IF(OR(I620="Gasto",I620="Transferencia",I620="Pago tarjeta"),-1,1)*C620)</f>
        <v/>
      </c>
      <c r="U620" s="20">
        <f>IF(OR(G620="",AND(I620&lt;&gt;"Transferencia",I620&lt;&gt;"Pago tarjeta")),"",IF(IFERROR(INDEX(ctaMon,MATCH(G620,ctaNom,0))&amp;"","DOP")=N620,C620,IF(N620="USD",C620*TasaUSD,C620/TasaUSD)))</f>
        <v/>
      </c>
      <c r="V620" s="20">
        <f>IF(I620="","",IF(IFERROR(INDEX(ctaLiq,MATCH(E620,ctaNom,0))="Sí",FALSE),IF(OR(I620="Gasto",I620="Transferencia",I620="Pago tarjeta"),-1,1)*O620,0)+IF(AND(U620&lt;&gt;"",IFERROR(INDEX(ctaLiq,MATCH(G620,ctaNom,0))="Sí",FALSE)),O620,0))</f>
        <v/>
      </c>
      <c r="W620" s="19">
        <f>IF(OR(F620="",I620=""),"",IF(COUNTIFS(F$6:F620,F620,I$6:I620,"?*")=1,MAX(W$5:W619)+1,""))</f>
        <v/>
      </c>
    </row>
    <row r="621">
      <c r="B621" s="15" t="n"/>
      <c r="C621" s="16" t="n"/>
      <c r="D621" s="17" t="n"/>
      <c r="E621" s="17" t="n"/>
      <c r="F621" s="17" t="n"/>
      <c r="G621" s="17" t="n"/>
      <c r="H621" s="18">
        <f>IF(AND(B621="",C621="",D621="",E621=""),"",IF(B621="","⚠ Falta fecha",IF(C621="","⚠ Falta monto",IF(D621="","⚠ Falta categoría",IF(ISNA(MATCH(D621,catNom,0)),"⚠ Categoría no existe",IF(E621="","⚠ Falta cuenta",IF(ISNA(MATCH(E621,ctaNom,0)),"⚠ Cuenta no existe",IF(AND(OR(I621="Transferencia",I621="Pago tarjeta"),G621=""),"⚠ Indica la cuenta «Hacia»",IF(AND(G621&lt;&gt;"",G621=E621),"⚠ «Hacia» igual a la cuenta",IF(AND(G621&lt;&gt;"",ISNA(MATCH(G621,ctaNom,0))),"⚠ «Hacia» no existe",IF(AND(I621="Pago tarjeta",IFERROR(INDEX(ctaTipo,MATCH(G621,ctaNom,0)),"")&lt;&gt;"Tarjeta de crédito"),"⚠ «Hacia» debe ser la tarjeta",IF(AND(I621="Trading",IFERROR(INDEX(ctaTipo,MATCH(E621,ctaNom,0)),"")&lt;&gt;"Cuenta de trading"),"⚠ Usa la cuenta de trading","✓"))))))))))))</f>
        <v/>
      </c>
      <c r="I621" s="19">
        <f>IF(OR(B621="",C621="",D621=""),"",IFERROR(INDEX(catTipo,MATCH(D621,catNom,0))&amp;"",""))</f>
        <v/>
      </c>
      <c r="J621" s="19">
        <f>IF(I621="","",IFERROR(INDEX(catGrupo,MATCH(D621,catNom,0))&amp;"",""))</f>
        <v/>
      </c>
      <c r="K621" s="19">
        <f>IF(I621="Gasto",IF(IFERROR(INDEX(catClas,MATCH(D621,catNom,0))&amp;"","")="","Variable",IFERROR(INDEX(catClas,MATCH(D621,catNom,0))&amp;"","")),"")</f>
        <v/>
      </c>
      <c r="L621" s="19">
        <f>IF(I621="","",IFERROR(INDEX(catAlim,MATCH(D621,catNom,0))&amp;"",""))</f>
        <v/>
      </c>
      <c r="M621" s="19">
        <f>IF(I621="","",IFERROR(INDEX(catComida,MATCH(D621,catNom,0))&amp;"",""))</f>
        <v/>
      </c>
      <c r="N621" s="19">
        <f>IF(I621="","",IFERROR(INDEX(ctaMon,MATCH(E621,ctaNom,0))&amp;"","DOP"))</f>
        <v/>
      </c>
      <c r="O621" s="20">
        <f>IF(I621="","",C621*IF(N621="USD",TasaUSD,1))</f>
        <v/>
      </c>
      <c r="P621" s="20">
        <f>IF(I621="","",IF(I621="Gasto",O621,0))</f>
        <v/>
      </c>
      <c r="Q621" s="20">
        <f>IF(I621="","",IF(I621="Ingreso",O621,0))</f>
        <v/>
      </c>
      <c r="R621" s="20">
        <f>IF(I621="","",IF(I621="Trading",O621,0))</f>
        <v/>
      </c>
      <c r="S621" s="19">
        <f>IF(I621="","",IF(AND(I621="Gasto",K621="Variable",J621&lt;&gt;"Trading",O621&gt;0,O621&lt;=Umbral),1,0))</f>
        <v/>
      </c>
      <c r="T621" s="20">
        <f>IF(OR(I621="",E621=""),"",IF(OR(I621="Gasto",I621="Transferencia",I621="Pago tarjeta"),-1,1)*C621)</f>
        <v/>
      </c>
      <c r="U621" s="20">
        <f>IF(OR(G621="",AND(I621&lt;&gt;"Transferencia",I621&lt;&gt;"Pago tarjeta")),"",IF(IFERROR(INDEX(ctaMon,MATCH(G621,ctaNom,0))&amp;"","DOP")=N621,C621,IF(N621="USD",C621*TasaUSD,C621/TasaUSD)))</f>
        <v/>
      </c>
      <c r="V621" s="20">
        <f>IF(I621="","",IF(IFERROR(INDEX(ctaLiq,MATCH(E621,ctaNom,0))="Sí",FALSE),IF(OR(I621="Gasto",I621="Transferencia",I621="Pago tarjeta"),-1,1)*O621,0)+IF(AND(U621&lt;&gt;"",IFERROR(INDEX(ctaLiq,MATCH(G621,ctaNom,0))="Sí",FALSE)),O621,0))</f>
        <v/>
      </c>
      <c r="W621" s="19">
        <f>IF(OR(F621="",I621=""),"",IF(COUNTIFS(F$6:F621,F621,I$6:I621,"?*")=1,MAX(W$5:W620)+1,""))</f>
        <v/>
      </c>
    </row>
    <row r="622">
      <c r="B622" s="15" t="n"/>
      <c r="C622" s="16" t="n"/>
      <c r="D622" s="17" t="n"/>
      <c r="E622" s="17" t="n"/>
      <c r="F622" s="17" t="n"/>
      <c r="G622" s="17" t="n"/>
      <c r="H622" s="18">
        <f>IF(AND(B622="",C622="",D622="",E622=""),"",IF(B622="","⚠ Falta fecha",IF(C622="","⚠ Falta monto",IF(D622="","⚠ Falta categoría",IF(ISNA(MATCH(D622,catNom,0)),"⚠ Categoría no existe",IF(E622="","⚠ Falta cuenta",IF(ISNA(MATCH(E622,ctaNom,0)),"⚠ Cuenta no existe",IF(AND(OR(I622="Transferencia",I622="Pago tarjeta"),G622=""),"⚠ Indica la cuenta «Hacia»",IF(AND(G622&lt;&gt;"",G622=E622),"⚠ «Hacia» igual a la cuenta",IF(AND(G622&lt;&gt;"",ISNA(MATCH(G622,ctaNom,0))),"⚠ «Hacia» no existe",IF(AND(I622="Pago tarjeta",IFERROR(INDEX(ctaTipo,MATCH(G622,ctaNom,0)),"")&lt;&gt;"Tarjeta de crédito"),"⚠ «Hacia» debe ser la tarjeta",IF(AND(I622="Trading",IFERROR(INDEX(ctaTipo,MATCH(E622,ctaNom,0)),"")&lt;&gt;"Cuenta de trading"),"⚠ Usa la cuenta de trading","✓"))))))))))))</f>
        <v/>
      </c>
      <c r="I622" s="19">
        <f>IF(OR(B622="",C622="",D622=""),"",IFERROR(INDEX(catTipo,MATCH(D622,catNom,0))&amp;"",""))</f>
        <v/>
      </c>
      <c r="J622" s="19">
        <f>IF(I622="","",IFERROR(INDEX(catGrupo,MATCH(D622,catNom,0))&amp;"",""))</f>
        <v/>
      </c>
      <c r="K622" s="19">
        <f>IF(I622="Gasto",IF(IFERROR(INDEX(catClas,MATCH(D622,catNom,0))&amp;"","")="","Variable",IFERROR(INDEX(catClas,MATCH(D622,catNom,0))&amp;"","")),"")</f>
        <v/>
      </c>
      <c r="L622" s="19">
        <f>IF(I622="","",IFERROR(INDEX(catAlim,MATCH(D622,catNom,0))&amp;"",""))</f>
        <v/>
      </c>
      <c r="M622" s="19">
        <f>IF(I622="","",IFERROR(INDEX(catComida,MATCH(D622,catNom,0))&amp;"",""))</f>
        <v/>
      </c>
      <c r="N622" s="19">
        <f>IF(I622="","",IFERROR(INDEX(ctaMon,MATCH(E622,ctaNom,0))&amp;"","DOP"))</f>
        <v/>
      </c>
      <c r="O622" s="20">
        <f>IF(I622="","",C622*IF(N622="USD",TasaUSD,1))</f>
        <v/>
      </c>
      <c r="P622" s="20">
        <f>IF(I622="","",IF(I622="Gasto",O622,0))</f>
        <v/>
      </c>
      <c r="Q622" s="20">
        <f>IF(I622="","",IF(I622="Ingreso",O622,0))</f>
        <v/>
      </c>
      <c r="R622" s="20">
        <f>IF(I622="","",IF(I622="Trading",O622,0))</f>
        <v/>
      </c>
      <c r="S622" s="19">
        <f>IF(I622="","",IF(AND(I622="Gasto",K622="Variable",J622&lt;&gt;"Trading",O622&gt;0,O622&lt;=Umbral),1,0))</f>
        <v/>
      </c>
      <c r="T622" s="20">
        <f>IF(OR(I622="",E622=""),"",IF(OR(I622="Gasto",I622="Transferencia",I622="Pago tarjeta"),-1,1)*C622)</f>
        <v/>
      </c>
      <c r="U622" s="20">
        <f>IF(OR(G622="",AND(I622&lt;&gt;"Transferencia",I622&lt;&gt;"Pago tarjeta")),"",IF(IFERROR(INDEX(ctaMon,MATCH(G622,ctaNom,0))&amp;"","DOP")=N622,C622,IF(N622="USD",C622*TasaUSD,C622/TasaUSD)))</f>
        <v/>
      </c>
      <c r="V622" s="20">
        <f>IF(I622="","",IF(IFERROR(INDEX(ctaLiq,MATCH(E622,ctaNom,0))="Sí",FALSE),IF(OR(I622="Gasto",I622="Transferencia",I622="Pago tarjeta"),-1,1)*O622,0)+IF(AND(U622&lt;&gt;"",IFERROR(INDEX(ctaLiq,MATCH(G622,ctaNom,0))="Sí",FALSE)),O622,0))</f>
        <v/>
      </c>
      <c r="W622" s="19">
        <f>IF(OR(F622="",I622=""),"",IF(COUNTIFS(F$6:F622,F622,I$6:I622,"?*")=1,MAX(W$5:W621)+1,""))</f>
        <v/>
      </c>
    </row>
    <row r="623">
      <c r="B623" s="15" t="n"/>
      <c r="C623" s="16" t="n"/>
      <c r="D623" s="17" t="n"/>
      <c r="E623" s="17" t="n"/>
      <c r="F623" s="17" t="n"/>
      <c r="G623" s="17" t="n"/>
      <c r="H623" s="18">
        <f>IF(AND(B623="",C623="",D623="",E623=""),"",IF(B623="","⚠ Falta fecha",IF(C623="","⚠ Falta monto",IF(D623="","⚠ Falta categoría",IF(ISNA(MATCH(D623,catNom,0)),"⚠ Categoría no existe",IF(E623="","⚠ Falta cuenta",IF(ISNA(MATCH(E623,ctaNom,0)),"⚠ Cuenta no existe",IF(AND(OR(I623="Transferencia",I623="Pago tarjeta"),G623=""),"⚠ Indica la cuenta «Hacia»",IF(AND(G623&lt;&gt;"",G623=E623),"⚠ «Hacia» igual a la cuenta",IF(AND(G623&lt;&gt;"",ISNA(MATCH(G623,ctaNom,0))),"⚠ «Hacia» no existe",IF(AND(I623="Pago tarjeta",IFERROR(INDEX(ctaTipo,MATCH(G623,ctaNom,0)),"")&lt;&gt;"Tarjeta de crédito"),"⚠ «Hacia» debe ser la tarjeta",IF(AND(I623="Trading",IFERROR(INDEX(ctaTipo,MATCH(E623,ctaNom,0)),"")&lt;&gt;"Cuenta de trading"),"⚠ Usa la cuenta de trading","✓"))))))))))))</f>
        <v/>
      </c>
      <c r="I623" s="19">
        <f>IF(OR(B623="",C623="",D623=""),"",IFERROR(INDEX(catTipo,MATCH(D623,catNom,0))&amp;"",""))</f>
        <v/>
      </c>
      <c r="J623" s="19">
        <f>IF(I623="","",IFERROR(INDEX(catGrupo,MATCH(D623,catNom,0))&amp;"",""))</f>
        <v/>
      </c>
      <c r="K623" s="19">
        <f>IF(I623="Gasto",IF(IFERROR(INDEX(catClas,MATCH(D623,catNom,0))&amp;"","")="","Variable",IFERROR(INDEX(catClas,MATCH(D623,catNom,0))&amp;"","")),"")</f>
        <v/>
      </c>
      <c r="L623" s="19">
        <f>IF(I623="","",IFERROR(INDEX(catAlim,MATCH(D623,catNom,0))&amp;"",""))</f>
        <v/>
      </c>
      <c r="M623" s="19">
        <f>IF(I623="","",IFERROR(INDEX(catComida,MATCH(D623,catNom,0))&amp;"",""))</f>
        <v/>
      </c>
      <c r="N623" s="19">
        <f>IF(I623="","",IFERROR(INDEX(ctaMon,MATCH(E623,ctaNom,0))&amp;"","DOP"))</f>
        <v/>
      </c>
      <c r="O623" s="20">
        <f>IF(I623="","",C623*IF(N623="USD",TasaUSD,1))</f>
        <v/>
      </c>
      <c r="P623" s="20">
        <f>IF(I623="","",IF(I623="Gasto",O623,0))</f>
        <v/>
      </c>
      <c r="Q623" s="20">
        <f>IF(I623="","",IF(I623="Ingreso",O623,0))</f>
        <v/>
      </c>
      <c r="R623" s="20">
        <f>IF(I623="","",IF(I623="Trading",O623,0))</f>
        <v/>
      </c>
      <c r="S623" s="19">
        <f>IF(I623="","",IF(AND(I623="Gasto",K623="Variable",J623&lt;&gt;"Trading",O623&gt;0,O623&lt;=Umbral),1,0))</f>
        <v/>
      </c>
      <c r="T623" s="20">
        <f>IF(OR(I623="",E623=""),"",IF(OR(I623="Gasto",I623="Transferencia",I623="Pago tarjeta"),-1,1)*C623)</f>
        <v/>
      </c>
      <c r="U623" s="20">
        <f>IF(OR(G623="",AND(I623&lt;&gt;"Transferencia",I623&lt;&gt;"Pago tarjeta")),"",IF(IFERROR(INDEX(ctaMon,MATCH(G623,ctaNom,0))&amp;"","DOP")=N623,C623,IF(N623="USD",C623*TasaUSD,C623/TasaUSD)))</f>
        <v/>
      </c>
      <c r="V623" s="20">
        <f>IF(I623="","",IF(IFERROR(INDEX(ctaLiq,MATCH(E623,ctaNom,0))="Sí",FALSE),IF(OR(I623="Gasto",I623="Transferencia",I623="Pago tarjeta"),-1,1)*O623,0)+IF(AND(U623&lt;&gt;"",IFERROR(INDEX(ctaLiq,MATCH(G623,ctaNom,0))="Sí",FALSE)),O623,0))</f>
        <v/>
      </c>
      <c r="W623" s="19">
        <f>IF(OR(F623="",I623=""),"",IF(COUNTIFS(F$6:F623,F623,I$6:I623,"?*")=1,MAX(W$5:W622)+1,""))</f>
        <v/>
      </c>
    </row>
    <row r="624">
      <c r="B624" s="15" t="n"/>
      <c r="C624" s="16" t="n"/>
      <c r="D624" s="17" t="n"/>
      <c r="E624" s="17" t="n"/>
      <c r="F624" s="17" t="n"/>
      <c r="G624" s="17" t="n"/>
      <c r="H624" s="18">
        <f>IF(AND(B624="",C624="",D624="",E624=""),"",IF(B624="","⚠ Falta fecha",IF(C624="","⚠ Falta monto",IF(D624="","⚠ Falta categoría",IF(ISNA(MATCH(D624,catNom,0)),"⚠ Categoría no existe",IF(E624="","⚠ Falta cuenta",IF(ISNA(MATCH(E624,ctaNom,0)),"⚠ Cuenta no existe",IF(AND(OR(I624="Transferencia",I624="Pago tarjeta"),G624=""),"⚠ Indica la cuenta «Hacia»",IF(AND(G624&lt;&gt;"",G624=E624),"⚠ «Hacia» igual a la cuenta",IF(AND(G624&lt;&gt;"",ISNA(MATCH(G624,ctaNom,0))),"⚠ «Hacia» no existe",IF(AND(I624="Pago tarjeta",IFERROR(INDEX(ctaTipo,MATCH(G624,ctaNom,0)),"")&lt;&gt;"Tarjeta de crédito"),"⚠ «Hacia» debe ser la tarjeta",IF(AND(I624="Trading",IFERROR(INDEX(ctaTipo,MATCH(E624,ctaNom,0)),"")&lt;&gt;"Cuenta de trading"),"⚠ Usa la cuenta de trading","✓"))))))))))))</f>
        <v/>
      </c>
      <c r="I624" s="19">
        <f>IF(OR(B624="",C624="",D624=""),"",IFERROR(INDEX(catTipo,MATCH(D624,catNom,0))&amp;"",""))</f>
        <v/>
      </c>
      <c r="J624" s="19">
        <f>IF(I624="","",IFERROR(INDEX(catGrupo,MATCH(D624,catNom,0))&amp;"",""))</f>
        <v/>
      </c>
      <c r="K624" s="19">
        <f>IF(I624="Gasto",IF(IFERROR(INDEX(catClas,MATCH(D624,catNom,0))&amp;"","")="","Variable",IFERROR(INDEX(catClas,MATCH(D624,catNom,0))&amp;"","")),"")</f>
        <v/>
      </c>
      <c r="L624" s="19">
        <f>IF(I624="","",IFERROR(INDEX(catAlim,MATCH(D624,catNom,0))&amp;"",""))</f>
        <v/>
      </c>
      <c r="M624" s="19">
        <f>IF(I624="","",IFERROR(INDEX(catComida,MATCH(D624,catNom,0))&amp;"",""))</f>
        <v/>
      </c>
      <c r="N624" s="19">
        <f>IF(I624="","",IFERROR(INDEX(ctaMon,MATCH(E624,ctaNom,0))&amp;"","DOP"))</f>
        <v/>
      </c>
      <c r="O624" s="20">
        <f>IF(I624="","",C624*IF(N624="USD",TasaUSD,1))</f>
        <v/>
      </c>
      <c r="P624" s="20">
        <f>IF(I624="","",IF(I624="Gasto",O624,0))</f>
        <v/>
      </c>
      <c r="Q624" s="20">
        <f>IF(I624="","",IF(I624="Ingreso",O624,0))</f>
        <v/>
      </c>
      <c r="R624" s="20">
        <f>IF(I624="","",IF(I624="Trading",O624,0))</f>
        <v/>
      </c>
      <c r="S624" s="19">
        <f>IF(I624="","",IF(AND(I624="Gasto",K624="Variable",J624&lt;&gt;"Trading",O624&gt;0,O624&lt;=Umbral),1,0))</f>
        <v/>
      </c>
      <c r="T624" s="20">
        <f>IF(OR(I624="",E624=""),"",IF(OR(I624="Gasto",I624="Transferencia",I624="Pago tarjeta"),-1,1)*C624)</f>
        <v/>
      </c>
      <c r="U624" s="20">
        <f>IF(OR(G624="",AND(I624&lt;&gt;"Transferencia",I624&lt;&gt;"Pago tarjeta")),"",IF(IFERROR(INDEX(ctaMon,MATCH(G624,ctaNom,0))&amp;"","DOP")=N624,C624,IF(N624="USD",C624*TasaUSD,C624/TasaUSD)))</f>
        <v/>
      </c>
      <c r="V624" s="20">
        <f>IF(I624="","",IF(IFERROR(INDEX(ctaLiq,MATCH(E624,ctaNom,0))="Sí",FALSE),IF(OR(I624="Gasto",I624="Transferencia",I624="Pago tarjeta"),-1,1)*O624,0)+IF(AND(U624&lt;&gt;"",IFERROR(INDEX(ctaLiq,MATCH(G624,ctaNom,0))="Sí",FALSE)),O624,0))</f>
        <v/>
      </c>
      <c r="W624" s="19">
        <f>IF(OR(F624="",I624=""),"",IF(COUNTIFS(F$6:F624,F624,I$6:I624,"?*")=1,MAX(W$5:W623)+1,""))</f>
        <v/>
      </c>
    </row>
    <row r="625">
      <c r="B625" s="15" t="n"/>
      <c r="C625" s="16" t="n"/>
      <c r="D625" s="17" t="n"/>
      <c r="E625" s="17" t="n"/>
      <c r="F625" s="17" t="n"/>
      <c r="G625" s="17" t="n"/>
      <c r="H625" s="18">
        <f>IF(AND(B625="",C625="",D625="",E625=""),"",IF(B625="","⚠ Falta fecha",IF(C625="","⚠ Falta monto",IF(D625="","⚠ Falta categoría",IF(ISNA(MATCH(D625,catNom,0)),"⚠ Categoría no existe",IF(E625="","⚠ Falta cuenta",IF(ISNA(MATCH(E625,ctaNom,0)),"⚠ Cuenta no existe",IF(AND(OR(I625="Transferencia",I625="Pago tarjeta"),G625=""),"⚠ Indica la cuenta «Hacia»",IF(AND(G625&lt;&gt;"",G625=E625),"⚠ «Hacia» igual a la cuenta",IF(AND(G625&lt;&gt;"",ISNA(MATCH(G625,ctaNom,0))),"⚠ «Hacia» no existe",IF(AND(I625="Pago tarjeta",IFERROR(INDEX(ctaTipo,MATCH(G625,ctaNom,0)),"")&lt;&gt;"Tarjeta de crédito"),"⚠ «Hacia» debe ser la tarjeta",IF(AND(I625="Trading",IFERROR(INDEX(ctaTipo,MATCH(E625,ctaNom,0)),"")&lt;&gt;"Cuenta de trading"),"⚠ Usa la cuenta de trading","✓"))))))))))))</f>
        <v/>
      </c>
      <c r="I625" s="19">
        <f>IF(OR(B625="",C625="",D625=""),"",IFERROR(INDEX(catTipo,MATCH(D625,catNom,0))&amp;"",""))</f>
        <v/>
      </c>
      <c r="J625" s="19">
        <f>IF(I625="","",IFERROR(INDEX(catGrupo,MATCH(D625,catNom,0))&amp;"",""))</f>
        <v/>
      </c>
      <c r="K625" s="19">
        <f>IF(I625="Gasto",IF(IFERROR(INDEX(catClas,MATCH(D625,catNom,0))&amp;"","")="","Variable",IFERROR(INDEX(catClas,MATCH(D625,catNom,0))&amp;"","")),"")</f>
        <v/>
      </c>
      <c r="L625" s="19">
        <f>IF(I625="","",IFERROR(INDEX(catAlim,MATCH(D625,catNom,0))&amp;"",""))</f>
        <v/>
      </c>
      <c r="M625" s="19">
        <f>IF(I625="","",IFERROR(INDEX(catComida,MATCH(D625,catNom,0))&amp;"",""))</f>
        <v/>
      </c>
      <c r="N625" s="19">
        <f>IF(I625="","",IFERROR(INDEX(ctaMon,MATCH(E625,ctaNom,0))&amp;"","DOP"))</f>
        <v/>
      </c>
      <c r="O625" s="20">
        <f>IF(I625="","",C625*IF(N625="USD",TasaUSD,1))</f>
        <v/>
      </c>
      <c r="P625" s="20">
        <f>IF(I625="","",IF(I625="Gasto",O625,0))</f>
        <v/>
      </c>
      <c r="Q625" s="20">
        <f>IF(I625="","",IF(I625="Ingreso",O625,0))</f>
        <v/>
      </c>
      <c r="R625" s="20">
        <f>IF(I625="","",IF(I625="Trading",O625,0))</f>
        <v/>
      </c>
      <c r="S625" s="19">
        <f>IF(I625="","",IF(AND(I625="Gasto",K625="Variable",J625&lt;&gt;"Trading",O625&gt;0,O625&lt;=Umbral),1,0))</f>
        <v/>
      </c>
      <c r="T625" s="20">
        <f>IF(OR(I625="",E625=""),"",IF(OR(I625="Gasto",I625="Transferencia",I625="Pago tarjeta"),-1,1)*C625)</f>
        <v/>
      </c>
      <c r="U625" s="20">
        <f>IF(OR(G625="",AND(I625&lt;&gt;"Transferencia",I625&lt;&gt;"Pago tarjeta")),"",IF(IFERROR(INDEX(ctaMon,MATCH(G625,ctaNom,0))&amp;"","DOP")=N625,C625,IF(N625="USD",C625*TasaUSD,C625/TasaUSD)))</f>
        <v/>
      </c>
      <c r="V625" s="20">
        <f>IF(I625="","",IF(IFERROR(INDEX(ctaLiq,MATCH(E625,ctaNom,0))="Sí",FALSE),IF(OR(I625="Gasto",I625="Transferencia",I625="Pago tarjeta"),-1,1)*O625,0)+IF(AND(U625&lt;&gt;"",IFERROR(INDEX(ctaLiq,MATCH(G625,ctaNom,0))="Sí",FALSE)),O625,0))</f>
        <v/>
      </c>
      <c r="W625" s="19">
        <f>IF(OR(F625="",I625=""),"",IF(COUNTIFS(F$6:F625,F625,I$6:I625,"?*")=1,MAX(W$5:W624)+1,""))</f>
        <v/>
      </c>
    </row>
    <row r="626">
      <c r="B626" s="15" t="n"/>
      <c r="C626" s="16" t="n"/>
      <c r="D626" s="17" t="n"/>
      <c r="E626" s="17" t="n"/>
      <c r="F626" s="17" t="n"/>
      <c r="G626" s="17" t="n"/>
      <c r="H626" s="18">
        <f>IF(AND(B626="",C626="",D626="",E626=""),"",IF(B626="","⚠ Falta fecha",IF(C626="","⚠ Falta monto",IF(D626="","⚠ Falta categoría",IF(ISNA(MATCH(D626,catNom,0)),"⚠ Categoría no existe",IF(E626="","⚠ Falta cuenta",IF(ISNA(MATCH(E626,ctaNom,0)),"⚠ Cuenta no existe",IF(AND(OR(I626="Transferencia",I626="Pago tarjeta"),G626=""),"⚠ Indica la cuenta «Hacia»",IF(AND(G626&lt;&gt;"",G626=E626),"⚠ «Hacia» igual a la cuenta",IF(AND(G626&lt;&gt;"",ISNA(MATCH(G626,ctaNom,0))),"⚠ «Hacia» no existe",IF(AND(I626="Pago tarjeta",IFERROR(INDEX(ctaTipo,MATCH(G626,ctaNom,0)),"")&lt;&gt;"Tarjeta de crédito"),"⚠ «Hacia» debe ser la tarjeta",IF(AND(I626="Trading",IFERROR(INDEX(ctaTipo,MATCH(E626,ctaNom,0)),"")&lt;&gt;"Cuenta de trading"),"⚠ Usa la cuenta de trading","✓"))))))))))))</f>
        <v/>
      </c>
      <c r="I626" s="19">
        <f>IF(OR(B626="",C626="",D626=""),"",IFERROR(INDEX(catTipo,MATCH(D626,catNom,0))&amp;"",""))</f>
        <v/>
      </c>
      <c r="J626" s="19">
        <f>IF(I626="","",IFERROR(INDEX(catGrupo,MATCH(D626,catNom,0))&amp;"",""))</f>
        <v/>
      </c>
      <c r="K626" s="19">
        <f>IF(I626="Gasto",IF(IFERROR(INDEX(catClas,MATCH(D626,catNom,0))&amp;"","")="","Variable",IFERROR(INDEX(catClas,MATCH(D626,catNom,0))&amp;"","")),"")</f>
        <v/>
      </c>
      <c r="L626" s="19">
        <f>IF(I626="","",IFERROR(INDEX(catAlim,MATCH(D626,catNom,0))&amp;"",""))</f>
        <v/>
      </c>
      <c r="M626" s="19">
        <f>IF(I626="","",IFERROR(INDEX(catComida,MATCH(D626,catNom,0))&amp;"",""))</f>
        <v/>
      </c>
      <c r="N626" s="19">
        <f>IF(I626="","",IFERROR(INDEX(ctaMon,MATCH(E626,ctaNom,0))&amp;"","DOP"))</f>
        <v/>
      </c>
      <c r="O626" s="20">
        <f>IF(I626="","",C626*IF(N626="USD",TasaUSD,1))</f>
        <v/>
      </c>
      <c r="P626" s="20">
        <f>IF(I626="","",IF(I626="Gasto",O626,0))</f>
        <v/>
      </c>
      <c r="Q626" s="20">
        <f>IF(I626="","",IF(I626="Ingreso",O626,0))</f>
        <v/>
      </c>
      <c r="R626" s="20">
        <f>IF(I626="","",IF(I626="Trading",O626,0))</f>
        <v/>
      </c>
      <c r="S626" s="19">
        <f>IF(I626="","",IF(AND(I626="Gasto",K626="Variable",J626&lt;&gt;"Trading",O626&gt;0,O626&lt;=Umbral),1,0))</f>
        <v/>
      </c>
      <c r="T626" s="20">
        <f>IF(OR(I626="",E626=""),"",IF(OR(I626="Gasto",I626="Transferencia",I626="Pago tarjeta"),-1,1)*C626)</f>
        <v/>
      </c>
      <c r="U626" s="20">
        <f>IF(OR(G626="",AND(I626&lt;&gt;"Transferencia",I626&lt;&gt;"Pago tarjeta")),"",IF(IFERROR(INDEX(ctaMon,MATCH(G626,ctaNom,0))&amp;"","DOP")=N626,C626,IF(N626="USD",C626*TasaUSD,C626/TasaUSD)))</f>
        <v/>
      </c>
      <c r="V626" s="20">
        <f>IF(I626="","",IF(IFERROR(INDEX(ctaLiq,MATCH(E626,ctaNom,0))="Sí",FALSE),IF(OR(I626="Gasto",I626="Transferencia",I626="Pago tarjeta"),-1,1)*O626,0)+IF(AND(U626&lt;&gt;"",IFERROR(INDEX(ctaLiq,MATCH(G626,ctaNom,0))="Sí",FALSE)),O626,0))</f>
        <v/>
      </c>
      <c r="W626" s="19">
        <f>IF(OR(F626="",I626=""),"",IF(COUNTIFS(F$6:F626,F626,I$6:I626,"?*")=1,MAX(W$5:W625)+1,""))</f>
        <v/>
      </c>
    </row>
    <row r="627">
      <c r="B627" s="15" t="n"/>
      <c r="C627" s="16" t="n"/>
      <c r="D627" s="17" t="n"/>
      <c r="E627" s="17" t="n"/>
      <c r="F627" s="17" t="n"/>
      <c r="G627" s="17" t="n"/>
      <c r="H627" s="18">
        <f>IF(AND(B627="",C627="",D627="",E627=""),"",IF(B627="","⚠ Falta fecha",IF(C627="","⚠ Falta monto",IF(D627="","⚠ Falta categoría",IF(ISNA(MATCH(D627,catNom,0)),"⚠ Categoría no existe",IF(E627="","⚠ Falta cuenta",IF(ISNA(MATCH(E627,ctaNom,0)),"⚠ Cuenta no existe",IF(AND(OR(I627="Transferencia",I627="Pago tarjeta"),G627=""),"⚠ Indica la cuenta «Hacia»",IF(AND(G627&lt;&gt;"",G627=E627),"⚠ «Hacia» igual a la cuenta",IF(AND(G627&lt;&gt;"",ISNA(MATCH(G627,ctaNom,0))),"⚠ «Hacia» no existe",IF(AND(I627="Pago tarjeta",IFERROR(INDEX(ctaTipo,MATCH(G627,ctaNom,0)),"")&lt;&gt;"Tarjeta de crédito"),"⚠ «Hacia» debe ser la tarjeta",IF(AND(I627="Trading",IFERROR(INDEX(ctaTipo,MATCH(E627,ctaNom,0)),"")&lt;&gt;"Cuenta de trading"),"⚠ Usa la cuenta de trading","✓"))))))))))))</f>
        <v/>
      </c>
      <c r="I627" s="19">
        <f>IF(OR(B627="",C627="",D627=""),"",IFERROR(INDEX(catTipo,MATCH(D627,catNom,0))&amp;"",""))</f>
        <v/>
      </c>
      <c r="J627" s="19">
        <f>IF(I627="","",IFERROR(INDEX(catGrupo,MATCH(D627,catNom,0))&amp;"",""))</f>
        <v/>
      </c>
      <c r="K627" s="19">
        <f>IF(I627="Gasto",IF(IFERROR(INDEX(catClas,MATCH(D627,catNom,0))&amp;"","")="","Variable",IFERROR(INDEX(catClas,MATCH(D627,catNom,0))&amp;"","")),"")</f>
        <v/>
      </c>
      <c r="L627" s="19">
        <f>IF(I627="","",IFERROR(INDEX(catAlim,MATCH(D627,catNom,0))&amp;"",""))</f>
        <v/>
      </c>
      <c r="M627" s="19">
        <f>IF(I627="","",IFERROR(INDEX(catComida,MATCH(D627,catNom,0))&amp;"",""))</f>
        <v/>
      </c>
      <c r="N627" s="19">
        <f>IF(I627="","",IFERROR(INDEX(ctaMon,MATCH(E627,ctaNom,0))&amp;"","DOP"))</f>
        <v/>
      </c>
      <c r="O627" s="20">
        <f>IF(I627="","",C627*IF(N627="USD",TasaUSD,1))</f>
        <v/>
      </c>
      <c r="P627" s="20">
        <f>IF(I627="","",IF(I627="Gasto",O627,0))</f>
        <v/>
      </c>
      <c r="Q627" s="20">
        <f>IF(I627="","",IF(I627="Ingreso",O627,0))</f>
        <v/>
      </c>
      <c r="R627" s="20">
        <f>IF(I627="","",IF(I627="Trading",O627,0))</f>
        <v/>
      </c>
      <c r="S627" s="19">
        <f>IF(I627="","",IF(AND(I627="Gasto",K627="Variable",J627&lt;&gt;"Trading",O627&gt;0,O627&lt;=Umbral),1,0))</f>
        <v/>
      </c>
      <c r="T627" s="20">
        <f>IF(OR(I627="",E627=""),"",IF(OR(I627="Gasto",I627="Transferencia",I627="Pago tarjeta"),-1,1)*C627)</f>
        <v/>
      </c>
      <c r="U627" s="20">
        <f>IF(OR(G627="",AND(I627&lt;&gt;"Transferencia",I627&lt;&gt;"Pago tarjeta")),"",IF(IFERROR(INDEX(ctaMon,MATCH(G627,ctaNom,0))&amp;"","DOP")=N627,C627,IF(N627="USD",C627*TasaUSD,C627/TasaUSD)))</f>
        <v/>
      </c>
      <c r="V627" s="20">
        <f>IF(I627="","",IF(IFERROR(INDEX(ctaLiq,MATCH(E627,ctaNom,0))="Sí",FALSE),IF(OR(I627="Gasto",I627="Transferencia",I627="Pago tarjeta"),-1,1)*O627,0)+IF(AND(U627&lt;&gt;"",IFERROR(INDEX(ctaLiq,MATCH(G627,ctaNom,0))="Sí",FALSE)),O627,0))</f>
        <v/>
      </c>
      <c r="W627" s="19">
        <f>IF(OR(F627="",I627=""),"",IF(COUNTIFS(F$6:F627,F627,I$6:I627,"?*")=1,MAX(W$5:W626)+1,""))</f>
        <v/>
      </c>
    </row>
    <row r="628">
      <c r="B628" s="15" t="n"/>
      <c r="C628" s="16" t="n"/>
      <c r="D628" s="17" t="n"/>
      <c r="E628" s="17" t="n"/>
      <c r="F628" s="17" t="n"/>
      <c r="G628" s="17" t="n"/>
      <c r="H628" s="18">
        <f>IF(AND(B628="",C628="",D628="",E628=""),"",IF(B628="","⚠ Falta fecha",IF(C628="","⚠ Falta monto",IF(D628="","⚠ Falta categoría",IF(ISNA(MATCH(D628,catNom,0)),"⚠ Categoría no existe",IF(E628="","⚠ Falta cuenta",IF(ISNA(MATCH(E628,ctaNom,0)),"⚠ Cuenta no existe",IF(AND(OR(I628="Transferencia",I628="Pago tarjeta"),G628=""),"⚠ Indica la cuenta «Hacia»",IF(AND(G628&lt;&gt;"",G628=E628),"⚠ «Hacia» igual a la cuenta",IF(AND(G628&lt;&gt;"",ISNA(MATCH(G628,ctaNom,0))),"⚠ «Hacia» no existe",IF(AND(I628="Pago tarjeta",IFERROR(INDEX(ctaTipo,MATCH(G628,ctaNom,0)),"")&lt;&gt;"Tarjeta de crédito"),"⚠ «Hacia» debe ser la tarjeta",IF(AND(I628="Trading",IFERROR(INDEX(ctaTipo,MATCH(E628,ctaNom,0)),"")&lt;&gt;"Cuenta de trading"),"⚠ Usa la cuenta de trading","✓"))))))))))))</f>
        <v/>
      </c>
      <c r="I628" s="19">
        <f>IF(OR(B628="",C628="",D628=""),"",IFERROR(INDEX(catTipo,MATCH(D628,catNom,0))&amp;"",""))</f>
        <v/>
      </c>
      <c r="J628" s="19">
        <f>IF(I628="","",IFERROR(INDEX(catGrupo,MATCH(D628,catNom,0))&amp;"",""))</f>
        <v/>
      </c>
      <c r="K628" s="19">
        <f>IF(I628="Gasto",IF(IFERROR(INDEX(catClas,MATCH(D628,catNom,0))&amp;"","")="","Variable",IFERROR(INDEX(catClas,MATCH(D628,catNom,0))&amp;"","")),"")</f>
        <v/>
      </c>
      <c r="L628" s="19">
        <f>IF(I628="","",IFERROR(INDEX(catAlim,MATCH(D628,catNom,0))&amp;"",""))</f>
        <v/>
      </c>
      <c r="M628" s="19">
        <f>IF(I628="","",IFERROR(INDEX(catComida,MATCH(D628,catNom,0))&amp;"",""))</f>
        <v/>
      </c>
      <c r="N628" s="19">
        <f>IF(I628="","",IFERROR(INDEX(ctaMon,MATCH(E628,ctaNom,0))&amp;"","DOP"))</f>
        <v/>
      </c>
      <c r="O628" s="20">
        <f>IF(I628="","",C628*IF(N628="USD",TasaUSD,1))</f>
        <v/>
      </c>
      <c r="P628" s="20">
        <f>IF(I628="","",IF(I628="Gasto",O628,0))</f>
        <v/>
      </c>
      <c r="Q628" s="20">
        <f>IF(I628="","",IF(I628="Ingreso",O628,0))</f>
        <v/>
      </c>
      <c r="R628" s="20">
        <f>IF(I628="","",IF(I628="Trading",O628,0))</f>
        <v/>
      </c>
      <c r="S628" s="19">
        <f>IF(I628="","",IF(AND(I628="Gasto",K628="Variable",J628&lt;&gt;"Trading",O628&gt;0,O628&lt;=Umbral),1,0))</f>
        <v/>
      </c>
      <c r="T628" s="20">
        <f>IF(OR(I628="",E628=""),"",IF(OR(I628="Gasto",I628="Transferencia",I628="Pago tarjeta"),-1,1)*C628)</f>
        <v/>
      </c>
      <c r="U628" s="20">
        <f>IF(OR(G628="",AND(I628&lt;&gt;"Transferencia",I628&lt;&gt;"Pago tarjeta")),"",IF(IFERROR(INDEX(ctaMon,MATCH(G628,ctaNom,0))&amp;"","DOP")=N628,C628,IF(N628="USD",C628*TasaUSD,C628/TasaUSD)))</f>
        <v/>
      </c>
      <c r="V628" s="20">
        <f>IF(I628="","",IF(IFERROR(INDEX(ctaLiq,MATCH(E628,ctaNom,0))="Sí",FALSE),IF(OR(I628="Gasto",I628="Transferencia",I628="Pago tarjeta"),-1,1)*O628,0)+IF(AND(U628&lt;&gt;"",IFERROR(INDEX(ctaLiq,MATCH(G628,ctaNom,0))="Sí",FALSE)),O628,0))</f>
        <v/>
      </c>
      <c r="W628" s="19">
        <f>IF(OR(F628="",I628=""),"",IF(COUNTIFS(F$6:F628,F628,I$6:I628,"?*")=1,MAX(W$5:W627)+1,""))</f>
        <v/>
      </c>
    </row>
    <row r="629">
      <c r="B629" s="15" t="n"/>
      <c r="C629" s="16" t="n"/>
      <c r="D629" s="17" t="n"/>
      <c r="E629" s="17" t="n"/>
      <c r="F629" s="17" t="n"/>
      <c r="G629" s="17" t="n"/>
      <c r="H629" s="18">
        <f>IF(AND(B629="",C629="",D629="",E629=""),"",IF(B629="","⚠ Falta fecha",IF(C629="","⚠ Falta monto",IF(D629="","⚠ Falta categoría",IF(ISNA(MATCH(D629,catNom,0)),"⚠ Categoría no existe",IF(E629="","⚠ Falta cuenta",IF(ISNA(MATCH(E629,ctaNom,0)),"⚠ Cuenta no existe",IF(AND(OR(I629="Transferencia",I629="Pago tarjeta"),G629=""),"⚠ Indica la cuenta «Hacia»",IF(AND(G629&lt;&gt;"",G629=E629),"⚠ «Hacia» igual a la cuenta",IF(AND(G629&lt;&gt;"",ISNA(MATCH(G629,ctaNom,0))),"⚠ «Hacia» no existe",IF(AND(I629="Pago tarjeta",IFERROR(INDEX(ctaTipo,MATCH(G629,ctaNom,0)),"")&lt;&gt;"Tarjeta de crédito"),"⚠ «Hacia» debe ser la tarjeta",IF(AND(I629="Trading",IFERROR(INDEX(ctaTipo,MATCH(E629,ctaNom,0)),"")&lt;&gt;"Cuenta de trading"),"⚠ Usa la cuenta de trading","✓"))))))))))))</f>
        <v/>
      </c>
      <c r="I629" s="19">
        <f>IF(OR(B629="",C629="",D629=""),"",IFERROR(INDEX(catTipo,MATCH(D629,catNom,0))&amp;"",""))</f>
        <v/>
      </c>
      <c r="J629" s="19">
        <f>IF(I629="","",IFERROR(INDEX(catGrupo,MATCH(D629,catNom,0))&amp;"",""))</f>
        <v/>
      </c>
      <c r="K629" s="19">
        <f>IF(I629="Gasto",IF(IFERROR(INDEX(catClas,MATCH(D629,catNom,0))&amp;"","")="","Variable",IFERROR(INDEX(catClas,MATCH(D629,catNom,0))&amp;"","")),"")</f>
        <v/>
      </c>
      <c r="L629" s="19">
        <f>IF(I629="","",IFERROR(INDEX(catAlim,MATCH(D629,catNom,0))&amp;"",""))</f>
        <v/>
      </c>
      <c r="M629" s="19">
        <f>IF(I629="","",IFERROR(INDEX(catComida,MATCH(D629,catNom,0))&amp;"",""))</f>
        <v/>
      </c>
      <c r="N629" s="19">
        <f>IF(I629="","",IFERROR(INDEX(ctaMon,MATCH(E629,ctaNom,0))&amp;"","DOP"))</f>
        <v/>
      </c>
      <c r="O629" s="20">
        <f>IF(I629="","",C629*IF(N629="USD",TasaUSD,1))</f>
        <v/>
      </c>
      <c r="P629" s="20">
        <f>IF(I629="","",IF(I629="Gasto",O629,0))</f>
        <v/>
      </c>
      <c r="Q629" s="20">
        <f>IF(I629="","",IF(I629="Ingreso",O629,0))</f>
        <v/>
      </c>
      <c r="R629" s="20">
        <f>IF(I629="","",IF(I629="Trading",O629,0))</f>
        <v/>
      </c>
      <c r="S629" s="19">
        <f>IF(I629="","",IF(AND(I629="Gasto",K629="Variable",J629&lt;&gt;"Trading",O629&gt;0,O629&lt;=Umbral),1,0))</f>
        <v/>
      </c>
      <c r="T629" s="20">
        <f>IF(OR(I629="",E629=""),"",IF(OR(I629="Gasto",I629="Transferencia",I629="Pago tarjeta"),-1,1)*C629)</f>
        <v/>
      </c>
      <c r="U629" s="20">
        <f>IF(OR(G629="",AND(I629&lt;&gt;"Transferencia",I629&lt;&gt;"Pago tarjeta")),"",IF(IFERROR(INDEX(ctaMon,MATCH(G629,ctaNom,0))&amp;"","DOP")=N629,C629,IF(N629="USD",C629*TasaUSD,C629/TasaUSD)))</f>
        <v/>
      </c>
      <c r="V629" s="20">
        <f>IF(I629="","",IF(IFERROR(INDEX(ctaLiq,MATCH(E629,ctaNom,0))="Sí",FALSE),IF(OR(I629="Gasto",I629="Transferencia",I629="Pago tarjeta"),-1,1)*O629,0)+IF(AND(U629&lt;&gt;"",IFERROR(INDEX(ctaLiq,MATCH(G629,ctaNom,0))="Sí",FALSE)),O629,0))</f>
        <v/>
      </c>
      <c r="W629" s="19">
        <f>IF(OR(F629="",I629=""),"",IF(COUNTIFS(F$6:F629,F629,I$6:I629,"?*")=1,MAX(W$5:W628)+1,""))</f>
        <v/>
      </c>
    </row>
    <row r="630">
      <c r="B630" s="15" t="n"/>
      <c r="C630" s="16" t="n"/>
      <c r="D630" s="17" t="n"/>
      <c r="E630" s="17" t="n"/>
      <c r="F630" s="17" t="n"/>
      <c r="G630" s="17" t="n"/>
      <c r="H630" s="18">
        <f>IF(AND(B630="",C630="",D630="",E630=""),"",IF(B630="","⚠ Falta fecha",IF(C630="","⚠ Falta monto",IF(D630="","⚠ Falta categoría",IF(ISNA(MATCH(D630,catNom,0)),"⚠ Categoría no existe",IF(E630="","⚠ Falta cuenta",IF(ISNA(MATCH(E630,ctaNom,0)),"⚠ Cuenta no existe",IF(AND(OR(I630="Transferencia",I630="Pago tarjeta"),G630=""),"⚠ Indica la cuenta «Hacia»",IF(AND(G630&lt;&gt;"",G630=E630),"⚠ «Hacia» igual a la cuenta",IF(AND(G630&lt;&gt;"",ISNA(MATCH(G630,ctaNom,0))),"⚠ «Hacia» no existe",IF(AND(I630="Pago tarjeta",IFERROR(INDEX(ctaTipo,MATCH(G630,ctaNom,0)),"")&lt;&gt;"Tarjeta de crédito"),"⚠ «Hacia» debe ser la tarjeta",IF(AND(I630="Trading",IFERROR(INDEX(ctaTipo,MATCH(E630,ctaNom,0)),"")&lt;&gt;"Cuenta de trading"),"⚠ Usa la cuenta de trading","✓"))))))))))))</f>
        <v/>
      </c>
      <c r="I630" s="19">
        <f>IF(OR(B630="",C630="",D630=""),"",IFERROR(INDEX(catTipo,MATCH(D630,catNom,0))&amp;"",""))</f>
        <v/>
      </c>
      <c r="J630" s="19">
        <f>IF(I630="","",IFERROR(INDEX(catGrupo,MATCH(D630,catNom,0))&amp;"",""))</f>
        <v/>
      </c>
      <c r="K630" s="19">
        <f>IF(I630="Gasto",IF(IFERROR(INDEX(catClas,MATCH(D630,catNom,0))&amp;"","")="","Variable",IFERROR(INDEX(catClas,MATCH(D630,catNom,0))&amp;"","")),"")</f>
        <v/>
      </c>
      <c r="L630" s="19">
        <f>IF(I630="","",IFERROR(INDEX(catAlim,MATCH(D630,catNom,0))&amp;"",""))</f>
        <v/>
      </c>
      <c r="M630" s="19">
        <f>IF(I630="","",IFERROR(INDEX(catComida,MATCH(D630,catNom,0))&amp;"",""))</f>
        <v/>
      </c>
      <c r="N630" s="19">
        <f>IF(I630="","",IFERROR(INDEX(ctaMon,MATCH(E630,ctaNom,0))&amp;"","DOP"))</f>
        <v/>
      </c>
      <c r="O630" s="20">
        <f>IF(I630="","",C630*IF(N630="USD",TasaUSD,1))</f>
        <v/>
      </c>
      <c r="P630" s="20">
        <f>IF(I630="","",IF(I630="Gasto",O630,0))</f>
        <v/>
      </c>
      <c r="Q630" s="20">
        <f>IF(I630="","",IF(I630="Ingreso",O630,0))</f>
        <v/>
      </c>
      <c r="R630" s="20">
        <f>IF(I630="","",IF(I630="Trading",O630,0))</f>
        <v/>
      </c>
      <c r="S630" s="19">
        <f>IF(I630="","",IF(AND(I630="Gasto",K630="Variable",J630&lt;&gt;"Trading",O630&gt;0,O630&lt;=Umbral),1,0))</f>
        <v/>
      </c>
      <c r="T630" s="20">
        <f>IF(OR(I630="",E630=""),"",IF(OR(I630="Gasto",I630="Transferencia",I630="Pago tarjeta"),-1,1)*C630)</f>
        <v/>
      </c>
      <c r="U630" s="20">
        <f>IF(OR(G630="",AND(I630&lt;&gt;"Transferencia",I630&lt;&gt;"Pago tarjeta")),"",IF(IFERROR(INDEX(ctaMon,MATCH(G630,ctaNom,0))&amp;"","DOP")=N630,C630,IF(N630="USD",C630*TasaUSD,C630/TasaUSD)))</f>
        <v/>
      </c>
      <c r="V630" s="20">
        <f>IF(I630="","",IF(IFERROR(INDEX(ctaLiq,MATCH(E630,ctaNom,0))="Sí",FALSE),IF(OR(I630="Gasto",I630="Transferencia",I630="Pago tarjeta"),-1,1)*O630,0)+IF(AND(U630&lt;&gt;"",IFERROR(INDEX(ctaLiq,MATCH(G630,ctaNom,0))="Sí",FALSE)),O630,0))</f>
        <v/>
      </c>
      <c r="W630" s="19">
        <f>IF(OR(F630="",I630=""),"",IF(COUNTIFS(F$6:F630,F630,I$6:I630,"?*")=1,MAX(W$5:W629)+1,""))</f>
        <v/>
      </c>
    </row>
    <row r="631">
      <c r="B631" s="15" t="n"/>
      <c r="C631" s="16" t="n"/>
      <c r="D631" s="17" t="n"/>
      <c r="E631" s="17" t="n"/>
      <c r="F631" s="17" t="n"/>
      <c r="G631" s="17" t="n"/>
      <c r="H631" s="18">
        <f>IF(AND(B631="",C631="",D631="",E631=""),"",IF(B631="","⚠ Falta fecha",IF(C631="","⚠ Falta monto",IF(D631="","⚠ Falta categoría",IF(ISNA(MATCH(D631,catNom,0)),"⚠ Categoría no existe",IF(E631="","⚠ Falta cuenta",IF(ISNA(MATCH(E631,ctaNom,0)),"⚠ Cuenta no existe",IF(AND(OR(I631="Transferencia",I631="Pago tarjeta"),G631=""),"⚠ Indica la cuenta «Hacia»",IF(AND(G631&lt;&gt;"",G631=E631),"⚠ «Hacia» igual a la cuenta",IF(AND(G631&lt;&gt;"",ISNA(MATCH(G631,ctaNom,0))),"⚠ «Hacia» no existe",IF(AND(I631="Pago tarjeta",IFERROR(INDEX(ctaTipo,MATCH(G631,ctaNom,0)),"")&lt;&gt;"Tarjeta de crédito"),"⚠ «Hacia» debe ser la tarjeta",IF(AND(I631="Trading",IFERROR(INDEX(ctaTipo,MATCH(E631,ctaNom,0)),"")&lt;&gt;"Cuenta de trading"),"⚠ Usa la cuenta de trading","✓"))))))))))))</f>
        <v/>
      </c>
      <c r="I631" s="19">
        <f>IF(OR(B631="",C631="",D631=""),"",IFERROR(INDEX(catTipo,MATCH(D631,catNom,0))&amp;"",""))</f>
        <v/>
      </c>
      <c r="J631" s="19">
        <f>IF(I631="","",IFERROR(INDEX(catGrupo,MATCH(D631,catNom,0))&amp;"",""))</f>
        <v/>
      </c>
      <c r="K631" s="19">
        <f>IF(I631="Gasto",IF(IFERROR(INDEX(catClas,MATCH(D631,catNom,0))&amp;"","")="","Variable",IFERROR(INDEX(catClas,MATCH(D631,catNom,0))&amp;"","")),"")</f>
        <v/>
      </c>
      <c r="L631" s="19">
        <f>IF(I631="","",IFERROR(INDEX(catAlim,MATCH(D631,catNom,0))&amp;"",""))</f>
        <v/>
      </c>
      <c r="M631" s="19">
        <f>IF(I631="","",IFERROR(INDEX(catComida,MATCH(D631,catNom,0))&amp;"",""))</f>
        <v/>
      </c>
      <c r="N631" s="19">
        <f>IF(I631="","",IFERROR(INDEX(ctaMon,MATCH(E631,ctaNom,0))&amp;"","DOP"))</f>
        <v/>
      </c>
      <c r="O631" s="20">
        <f>IF(I631="","",C631*IF(N631="USD",TasaUSD,1))</f>
        <v/>
      </c>
      <c r="P631" s="20">
        <f>IF(I631="","",IF(I631="Gasto",O631,0))</f>
        <v/>
      </c>
      <c r="Q631" s="20">
        <f>IF(I631="","",IF(I631="Ingreso",O631,0))</f>
        <v/>
      </c>
      <c r="R631" s="20">
        <f>IF(I631="","",IF(I631="Trading",O631,0))</f>
        <v/>
      </c>
      <c r="S631" s="19">
        <f>IF(I631="","",IF(AND(I631="Gasto",K631="Variable",J631&lt;&gt;"Trading",O631&gt;0,O631&lt;=Umbral),1,0))</f>
        <v/>
      </c>
      <c r="T631" s="20">
        <f>IF(OR(I631="",E631=""),"",IF(OR(I631="Gasto",I631="Transferencia",I631="Pago tarjeta"),-1,1)*C631)</f>
        <v/>
      </c>
      <c r="U631" s="20">
        <f>IF(OR(G631="",AND(I631&lt;&gt;"Transferencia",I631&lt;&gt;"Pago tarjeta")),"",IF(IFERROR(INDEX(ctaMon,MATCH(G631,ctaNom,0))&amp;"","DOP")=N631,C631,IF(N631="USD",C631*TasaUSD,C631/TasaUSD)))</f>
        <v/>
      </c>
      <c r="V631" s="20">
        <f>IF(I631="","",IF(IFERROR(INDEX(ctaLiq,MATCH(E631,ctaNom,0))="Sí",FALSE),IF(OR(I631="Gasto",I631="Transferencia",I631="Pago tarjeta"),-1,1)*O631,0)+IF(AND(U631&lt;&gt;"",IFERROR(INDEX(ctaLiq,MATCH(G631,ctaNom,0))="Sí",FALSE)),O631,0))</f>
        <v/>
      </c>
      <c r="W631" s="19">
        <f>IF(OR(F631="",I631=""),"",IF(COUNTIFS(F$6:F631,F631,I$6:I631,"?*")=1,MAX(W$5:W630)+1,""))</f>
        <v/>
      </c>
    </row>
    <row r="632">
      <c r="B632" s="15" t="n"/>
      <c r="C632" s="16" t="n"/>
      <c r="D632" s="17" t="n"/>
      <c r="E632" s="17" t="n"/>
      <c r="F632" s="17" t="n"/>
      <c r="G632" s="17" t="n"/>
      <c r="H632" s="18">
        <f>IF(AND(B632="",C632="",D632="",E632=""),"",IF(B632="","⚠ Falta fecha",IF(C632="","⚠ Falta monto",IF(D632="","⚠ Falta categoría",IF(ISNA(MATCH(D632,catNom,0)),"⚠ Categoría no existe",IF(E632="","⚠ Falta cuenta",IF(ISNA(MATCH(E632,ctaNom,0)),"⚠ Cuenta no existe",IF(AND(OR(I632="Transferencia",I632="Pago tarjeta"),G632=""),"⚠ Indica la cuenta «Hacia»",IF(AND(G632&lt;&gt;"",G632=E632),"⚠ «Hacia» igual a la cuenta",IF(AND(G632&lt;&gt;"",ISNA(MATCH(G632,ctaNom,0))),"⚠ «Hacia» no existe",IF(AND(I632="Pago tarjeta",IFERROR(INDEX(ctaTipo,MATCH(G632,ctaNom,0)),"")&lt;&gt;"Tarjeta de crédito"),"⚠ «Hacia» debe ser la tarjeta",IF(AND(I632="Trading",IFERROR(INDEX(ctaTipo,MATCH(E632,ctaNom,0)),"")&lt;&gt;"Cuenta de trading"),"⚠ Usa la cuenta de trading","✓"))))))))))))</f>
        <v/>
      </c>
      <c r="I632" s="19">
        <f>IF(OR(B632="",C632="",D632=""),"",IFERROR(INDEX(catTipo,MATCH(D632,catNom,0))&amp;"",""))</f>
        <v/>
      </c>
      <c r="J632" s="19">
        <f>IF(I632="","",IFERROR(INDEX(catGrupo,MATCH(D632,catNom,0))&amp;"",""))</f>
        <v/>
      </c>
      <c r="K632" s="19">
        <f>IF(I632="Gasto",IF(IFERROR(INDEX(catClas,MATCH(D632,catNom,0))&amp;"","")="","Variable",IFERROR(INDEX(catClas,MATCH(D632,catNom,0))&amp;"","")),"")</f>
        <v/>
      </c>
      <c r="L632" s="19">
        <f>IF(I632="","",IFERROR(INDEX(catAlim,MATCH(D632,catNom,0))&amp;"",""))</f>
        <v/>
      </c>
      <c r="M632" s="19">
        <f>IF(I632="","",IFERROR(INDEX(catComida,MATCH(D632,catNom,0))&amp;"",""))</f>
        <v/>
      </c>
      <c r="N632" s="19">
        <f>IF(I632="","",IFERROR(INDEX(ctaMon,MATCH(E632,ctaNom,0))&amp;"","DOP"))</f>
        <v/>
      </c>
      <c r="O632" s="20">
        <f>IF(I632="","",C632*IF(N632="USD",TasaUSD,1))</f>
        <v/>
      </c>
      <c r="P632" s="20">
        <f>IF(I632="","",IF(I632="Gasto",O632,0))</f>
        <v/>
      </c>
      <c r="Q632" s="20">
        <f>IF(I632="","",IF(I632="Ingreso",O632,0))</f>
        <v/>
      </c>
      <c r="R632" s="20">
        <f>IF(I632="","",IF(I632="Trading",O632,0))</f>
        <v/>
      </c>
      <c r="S632" s="19">
        <f>IF(I632="","",IF(AND(I632="Gasto",K632="Variable",J632&lt;&gt;"Trading",O632&gt;0,O632&lt;=Umbral),1,0))</f>
        <v/>
      </c>
      <c r="T632" s="20">
        <f>IF(OR(I632="",E632=""),"",IF(OR(I632="Gasto",I632="Transferencia",I632="Pago tarjeta"),-1,1)*C632)</f>
        <v/>
      </c>
      <c r="U632" s="20">
        <f>IF(OR(G632="",AND(I632&lt;&gt;"Transferencia",I632&lt;&gt;"Pago tarjeta")),"",IF(IFERROR(INDEX(ctaMon,MATCH(G632,ctaNom,0))&amp;"","DOP")=N632,C632,IF(N632="USD",C632*TasaUSD,C632/TasaUSD)))</f>
        <v/>
      </c>
      <c r="V632" s="20">
        <f>IF(I632="","",IF(IFERROR(INDEX(ctaLiq,MATCH(E632,ctaNom,0))="Sí",FALSE),IF(OR(I632="Gasto",I632="Transferencia",I632="Pago tarjeta"),-1,1)*O632,0)+IF(AND(U632&lt;&gt;"",IFERROR(INDEX(ctaLiq,MATCH(G632,ctaNom,0))="Sí",FALSE)),O632,0))</f>
        <v/>
      </c>
      <c r="W632" s="19">
        <f>IF(OR(F632="",I632=""),"",IF(COUNTIFS(F$6:F632,F632,I$6:I632,"?*")=1,MAX(W$5:W631)+1,""))</f>
        <v/>
      </c>
    </row>
    <row r="633">
      <c r="B633" s="15" t="n"/>
      <c r="C633" s="16" t="n"/>
      <c r="D633" s="17" t="n"/>
      <c r="E633" s="17" t="n"/>
      <c r="F633" s="17" t="n"/>
      <c r="G633" s="17" t="n"/>
      <c r="H633" s="18">
        <f>IF(AND(B633="",C633="",D633="",E633=""),"",IF(B633="","⚠ Falta fecha",IF(C633="","⚠ Falta monto",IF(D633="","⚠ Falta categoría",IF(ISNA(MATCH(D633,catNom,0)),"⚠ Categoría no existe",IF(E633="","⚠ Falta cuenta",IF(ISNA(MATCH(E633,ctaNom,0)),"⚠ Cuenta no existe",IF(AND(OR(I633="Transferencia",I633="Pago tarjeta"),G633=""),"⚠ Indica la cuenta «Hacia»",IF(AND(G633&lt;&gt;"",G633=E633),"⚠ «Hacia» igual a la cuenta",IF(AND(G633&lt;&gt;"",ISNA(MATCH(G633,ctaNom,0))),"⚠ «Hacia» no existe",IF(AND(I633="Pago tarjeta",IFERROR(INDEX(ctaTipo,MATCH(G633,ctaNom,0)),"")&lt;&gt;"Tarjeta de crédito"),"⚠ «Hacia» debe ser la tarjeta",IF(AND(I633="Trading",IFERROR(INDEX(ctaTipo,MATCH(E633,ctaNom,0)),"")&lt;&gt;"Cuenta de trading"),"⚠ Usa la cuenta de trading","✓"))))))))))))</f>
        <v/>
      </c>
      <c r="I633" s="19">
        <f>IF(OR(B633="",C633="",D633=""),"",IFERROR(INDEX(catTipo,MATCH(D633,catNom,0))&amp;"",""))</f>
        <v/>
      </c>
      <c r="J633" s="19">
        <f>IF(I633="","",IFERROR(INDEX(catGrupo,MATCH(D633,catNom,0))&amp;"",""))</f>
        <v/>
      </c>
      <c r="K633" s="19">
        <f>IF(I633="Gasto",IF(IFERROR(INDEX(catClas,MATCH(D633,catNom,0))&amp;"","")="","Variable",IFERROR(INDEX(catClas,MATCH(D633,catNom,0))&amp;"","")),"")</f>
        <v/>
      </c>
      <c r="L633" s="19">
        <f>IF(I633="","",IFERROR(INDEX(catAlim,MATCH(D633,catNom,0))&amp;"",""))</f>
        <v/>
      </c>
      <c r="M633" s="19">
        <f>IF(I633="","",IFERROR(INDEX(catComida,MATCH(D633,catNom,0))&amp;"",""))</f>
        <v/>
      </c>
      <c r="N633" s="19">
        <f>IF(I633="","",IFERROR(INDEX(ctaMon,MATCH(E633,ctaNom,0))&amp;"","DOP"))</f>
        <v/>
      </c>
      <c r="O633" s="20">
        <f>IF(I633="","",C633*IF(N633="USD",TasaUSD,1))</f>
        <v/>
      </c>
      <c r="P633" s="20">
        <f>IF(I633="","",IF(I633="Gasto",O633,0))</f>
        <v/>
      </c>
      <c r="Q633" s="20">
        <f>IF(I633="","",IF(I633="Ingreso",O633,0))</f>
        <v/>
      </c>
      <c r="R633" s="20">
        <f>IF(I633="","",IF(I633="Trading",O633,0))</f>
        <v/>
      </c>
      <c r="S633" s="19">
        <f>IF(I633="","",IF(AND(I633="Gasto",K633="Variable",J633&lt;&gt;"Trading",O633&gt;0,O633&lt;=Umbral),1,0))</f>
        <v/>
      </c>
      <c r="T633" s="20">
        <f>IF(OR(I633="",E633=""),"",IF(OR(I633="Gasto",I633="Transferencia",I633="Pago tarjeta"),-1,1)*C633)</f>
        <v/>
      </c>
      <c r="U633" s="20">
        <f>IF(OR(G633="",AND(I633&lt;&gt;"Transferencia",I633&lt;&gt;"Pago tarjeta")),"",IF(IFERROR(INDEX(ctaMon,MATCH(G633,ctaNom,0))&amp;"","DOP")=N633,C633,IF(N633="USD",C633*TasaUSD,C633/TasaUSD)))</f>
        <v/>
      </c>
      <c r="V633" s="20">
        <f>IF(I633="","",IF(IFERROR(INDEX(ctaLiq,MATCH(E633,ctaNom,0))="Sí",FALSE),IF(OR(I633="Gasto",I633="Transferencia",I633="Pago tarjeta"),-1,1)*O633,0)+IF(AND(U633&lt;&gt;"",IFERROR(INDEX(ctaLiq,MATCH(G633,ctaNom,0))="Sí",FALSE)),O633,0))</f>
        <v/>
      </c>
      <c r="W633" s="19">
        <f>IF(OR(F633="",I633=""),"",IF(COUNTIFS(F$6:F633,F633,I$6:I633,"?*")=1,MAX(W$5:W632)+1,""))</f>
        <v/>
      </c>
    </row>
    <row r="634">
      <c r="B634" s="15" t="n"/>
      <c r="C634" s="16" t="n"/>
      <c r="D634" s="17" t="n"/>
      <c r="E634" s="17" t="n"/>
      <c r="F634" s="17" t="n"/>
      <c r="G634" s="17" t="n"/>
      <c r="H634" s="18">
        <f>IF(AND(B634="",C634="",D634="",E634=""),"",IF(B634="","⚠ Falta fecha",IF(C634="","⚠ Falta monto",IF(D634="","⚠ Falta categoría",IF(ISNA(MATCH(D634,catNom,0)),"⚠ Categoría no existe",IF(E634="","⚠ Falta cuenta",IF(ISNA(MATCH(E634,ctaNom,0)),"⚠ Cuenta no existe",IF(AND(OR(I634="Transferencia",I634="Pago tarjeta"),G634=""),"⚠ Indica la cuenta «Hacia»",IF(AND(G634&lt;&gt;"",G634=E634),"⚠ «Hacia» igual a la cuenta",IF(AND(G634&lt;&gt;"",ISNA(MATCH(G634,ctaNom,0))),"⚠ «Hacia» no existe",IF(AND(I634="Pago tarjeta",IFERROR(INDEX(ctaTipo,MATCH(G634,ctaNom,0)),"")&lt;&gt;"Tarjeta de crédito"),"⚠ «Hacia» debe ser la tarjeta",IF(AND(I634="Trading",IFERROR(INDEX(ctaTipo,MATCH(E634,ctaNom,0)),"")&lt;&gt;"Cuenta de trading"),"⚠ Usa la cuenta de trading","✓"))))))))))))</f>
        <v/>
      </c>
      <c r="I634" s="19">
        <f>IF(OR(B634="",C634="",D634=""),"",IFERROR(INDEX(catTipo,MATCH(D634,catNom,0))&amp;"",""))</f>
        <v/>
      </c>
      <c r="J634" s="19">
        <f>IF(I634="","",IFERROR(INDEX(catGrupo,MATCH(D634,catNom,0))&amp;"",""))</f>
        <v/>
      </c>
      <c r="K634" s="19">
        <f>IF(I634="Gasto",IF(IFERROR(INDEX(catClas,MATCH(D634,catNom,0))&amp;"","")="","Variable",IFERROR(INDEX(catClas,MATCH(D634,catNom,0))&amp;"","")),"")</f>
        <v/>
      </c>
      <c r="L634" s="19">
        <f>IF(I634="","",IFERROR(INDEX(catAlim,MATCH(D634,catNom,0))&amp;"",""))</f>
        <v/>
      </c>
      <c r="M634" s="19">
        <f>IF(I634="","",IFERROR(INDEX(catComida,MATCH(D634,catNom,0))&amp;"",""))</f>
        <v/>
      </c>
      <c r="N634" s="19">
        <f>IF(I634="","",IFERROR(INDEX(ctaMon,MATCH(E634,ctaNom,0))&amp;"","DOP"))</f>
        <v/>
      </c>
      <c r="O634" s="20">
        <f>IF(I634="","",C634*IF(N634="USD",TasaUSD,1))</f>
        <v/>
      </c>
      <c r="P634" s="20">
        <f>IF(I634="","",IF(I634="Gasto",O634,0))</f>
        <v/>
      </c>
      <c r="Q634" s="20">
        <f>IF(I634="","",IF(I634="Ingreso",O634,0))</f>
        <v/>
      </c>
      <c r="R634" s="20">
        <f>IF(I634="","",IF(I634="Trading",O634,0))</f>
        <v/>
      </c>
      <c r="S634" s="19">
        <f>IF(I634="","",IF(AND(I634="Gasto",K634="Variable",J634&lt;&gt;"Trading",O634&gt;0,O634&lt;=Umbral),1,0))</f>
        <v/>
      </c>
      <c r="T634" s="20">
        <f>IF(OR(I634="",E634=""),"",IF(OR(I634="Gasto",I634="Transferencia",I634="Pago tarjeta"),-1,1)*C634)</f>
        <v/>
      </c>
      <c r="U634" s="20">
        <f>IF(OR(G634="",AND(I634&lt;&gt;"Transferencia",I634&lt;&gt;"Pago tarjeta")),"",IF(IFERROR(INDEX(ctaMon,MATCH(G634,ctaNom,0))&amp;"","DOP")=N634,C634,IF(N634="USD",C634*TasaUSD,C634/TasaUSD)))</f>
        <v/>
      </c>
      <c r="V634" s="20">
        <f>IF(I634="","",IF(IFERROR(INDEX(ctaLiq,MATCH(E634,ctaNom,0))="Sí",FALSE),IF(OR(I634="Gasto",I634="Transferencia",I634="Pago tarjeta"),-1,1)*O634,0)+IF(AND(U634&lt;&gt;"",IFERROR(INDEX(ctaLiq,MATCH(G634,ctaNom,0))="Sí",FALSE)),O634,0))</f>
        <v/>
      </c>
      <c r="W634" s="19">
        <f>IF(OR(F634="",I634=""),"",IF(COUNTIFS(F$6:F634,F634,I$6:I634,"?*")=1,MAX(W$5:W633)+1,""))</f>
        <v/>
      </c>
    </row>
    <row r="635">
      <c r="B635" s="15" t="n"/>
      <c r="C635" s="16" t="n"/>
      <c r="D635" s="17" t="n"/>
      <c r="E635" s="17" t="n"/>
      <c r="F635" s="17" t="n"/>
      <c r="G635" s="17" t="n"/>
      <c r="H635" s="18">
        <f>IF(AND(B635="",C635="",D635="",E635=""),"",IF(B635="","⚠ Falta fecha",IF(C635="","⚠ Falta monto",IF(D635="","⚠ Falta categoría",IF(ISNA(MATCH(D635,catNom,0)),"⚠ Categoría no existe",IF(E635="","⚠ Falta cuenta",IF(ISNA(MATCH(E635,ctaNom,0)),"⚠ Cuenta no existe",IF(AND(OR(I635="Transferencia",I635="Pago tarjeta"),G635=""),"⚠ Indica la cuenta «Hacia»",IF(AND(G635&lt;&gt;"",G635=E635),"⚠ «Hacia» igual a la cuenta",IF(AND(G635&lt;&gt;"",ISNA(MATCH(G635,ctaNom,0))),"⚠ «Hacia» no existe",IF(AND(I635="Pago tarjeta",IFERROR(INDEX(ctaTipo,MATCH(G635,ctaNom,0)),"")&lt;&gt;"Tarjeta de crédito"),"⚠ «Hacia» debe ser la tarjeta",IF(AND(I635="Trading",IFERROR(INDEX(ctaTipo,MATCH(E635,ctaNom,0)),"")&lt;&gt;"Cuenta de trading"),"⚠ Usa la cuenta de trading","✓"))))))))))))</f>
        <v/>
      </c>
      <c r="I635" s="19">
        <f>IF(OR(B635="",C635="",D635=""),"",IFERROR(INDEX(catTipo,MATCH(D635,catNom,0))&amp;"",""))</f>
        <v/>
      </c>
      <c r="J635" s="19">
        <f>IF(I635="","",IFERROR(INDEX(catGrupo,MATCH(D635,catNom,0))&amp;"",""))</f>
        <v/>
      </c>
      <c r="K635" s="19">
        <f>IF(I635="Gasto",IF(IFERROR(INDEX(catClas,MATCH(D635,catNom,0))&amp;"","")="","Variable",IFERROR(INDEX(catClas,MATCH(D635,catNom,0))&amp;"","")),"")</f>
        <v/>
      </c>
      <c r="L635" s="19">
        <f>IF(I635="","",IFERROR(INDEX(catAlim,MATCH(D635,catNom,0))&amp;"",""))</f>
        <v/>
      </c>
      <c r="M635" s="19">
        <f>IF(I635="","",IFERROR(INDEX(catComida,MATCH(D635,catNom,0))&amp;"",""))</f>
        <v/>
      </c>
      <c r="N635" s="19">
        <f>IF(I635="","",IFERROR(INDEX(ctaMon,MATCH(E635,ctaNom,0))&amp;"","DOP"))</f>
        <v/>
      </c>
      <c r="O635" s="20">
        <f>IF(I635="","",C635*IF(N635="USD",TasaUSD,1))</f>
        <v/>
      </c>
      <c r="P635" s="20">
        <f>IF(I635="","",IF(I635="Gasto",O635,0))</f>
        <v/>
      </c>
      <c r="Q635" s="20">
        <f>IF(I635="","",IF(I635="Ingreso",O635,0))</f>
        <v/>
      </c>
      <c r="R635" s="20">
        <f>IF(I635="","",IF(I635="Trading",O635,0))</f>
        <v/>
      </c>
      <c r="S635" s="19">
        <f>IF(I635="","",IF(AND(I635="Gasto",K635="Variable",J635&lt;&gt;"Trading",O635&gt;0,O635&lt;=Umbral),1,0))</f>
        <v/>
      </c>
      <c r="T635" s="20">
        <f>IF(OR(I635="",E635=""),"",IF(OR(I635="Gasto",I635="Transferencia",I635="Pago tarjeta"),-1,1)*C635)</f>
        <v/>
      </c>
      <c r="U635" s="20">
        <f>IF(OR(G635="",AND(I635&lt;&gt;"Transferencia",I635&lt;&gt;"Pago tarjeta")),"",IF(IFERROR(INDEX(ctaMon,MATCH(G635,ctaNom,0))&amp;"","DOP")=N635,C635,IF(N635="USD",C635*TasaUSD,C635/TasaUSD)))</f>
        <v/>
      </c>
      <c r="V635" s="20">
        <f>IF(I635="","",IF(IFERROR(INDEX(ctaLiq,MATCH(E635,ctaNom,0))="Sí",FALSE),IF(OR(I635="Gasto",I635="Transferencia",I635="Pago tarjeta"),-1,1)*O635,0)+IF(AND(U635&lt;&gt;"",IFERROR(INDEX(ctaLiq,MATCH(G635,ctaNom,0))="Sí",FALSE)),O635,0))</f>
        <v/>
      </c>
      <c r="W635" s="19">
        <f>IF(OR(F635="",I635=""),"",IF(COUNTIFS(F$6:F635,F635,I$6:I635,"?*")=1,MAX(W$5:W634)+1,""))</f>
        <v/>
      </c>
    </row>
    <row r="636">
      <c r="B636" s="15" t="n"/>
      <c r="C636" s="16" t="n"/>
      <c r="D636" s="17" t="n"/>
      <c r="E636" s="17" t="n"/>
      <c r="F636" s="17" t="n"/>
      <c r="G636" s="17" t="n"/>
      <c r="H636" s="18">
        <f>IF(AND(B636="",C636="",D636="",E636=""),"",IF(B636="","⚠ Falta fecha",IF(C636="","⚠ Falta monto",IF(D636="","⚠ Falta categoría",IF(ISNA(MATCH(D636,catNom,0)),"⚠ Categoría no existe",IF(E636="","⚠ Falta cuenta",IF(ISNA(MATCH(E636,ctaNom,0)),"⚠ Cuenta no existe",IF(AND(OR(I636="Transferencia",I636="Pago tarjeta"),G636=""),"⚠ Indica la cuenta «Hacia»",IF(AND(G636&lt;&gt;"",G636=E636),"⚠ «Hacia» igual a la cuenta",IF(AND(G636&lt;&gt;"",ISNA(MATCH(G636,ctaNom,0))),"⚠ «Hacia» no existe",IF(AND(I636="Pago tarjeta",IFERROR(INDEX(ctaTipo,MATCH(G636,ctaNom,0)),"")&lt;&gt;"Tarjeta de crédito"),"⚠ «Hacia» debe ser la tarjeta",IF(AND(I636="Trading",IFERROR(INDEX(ctaTipo,MATCH(E636,ctaNom,0)),"")&lt;&gt;"Cuenta de trading"),"⚠ Usa la cuenta de trading","✓"))))))))))))</f>
        <v/>
      </c>
      <c r="I636" s="19">
        <f>IF(OR(B636="",C636="",D636=""),"",IFERROR(INDEX(catTipo,MATCH(D636,catNom,0))&amp;"",""))</f>
        <v/>
      </c>
      <c r="J636" s="19">
        <f>IF(I636="","",IFERROR(INDEX(catGrupo,MATCH(D636,catNom,0))&amp;"",""))</f>
        <v/>
      </c>
      <c r="K636" s="19">
        <f>IF(I636="Gasto",IF(IFERROR(INDEX(catClas,MATCH(D636,catNom,0))&amp;"","")="","Variable",IFERROR(INDEX(catClas,MATCH(D636,catNom,0))&amp;"","")),"")</f>
        <v/>
      </c>
      <c r="L636" s="19">
        <f>IF(I636="","",IFERROR(INDEX(catAlim,MATCH(D636,catNom,0))&amp;"",""))</f>
        <v/>
      </c>
      <c r="M636" s="19">
        <f>IF(I636="","",IFERROR(INDEX(catComida,MATCH(D636,catNom,0))&amp;"",""))</f>
        <v/>
      </c>
      <c r="N636" s="19">
        <f>IF(I636="","",IFERROR(INDEX(ctaMon,MATCH(E636,ctaNom,0))&amp;"","DOP"))</f>
        <v/>
      </c>
      <c r="O636" s="20">
        <f>IF(I636="","",C636*IF(N636="USD",TasaUSD,1))</f>
        <v/>
      </c>
      <c r="P636" s="20">
        <f>IF(I636="","",IF(I636="Gasto",O636,0))</f>
        <v/>
      </c>
      <c r="Q636" s="20">
        <f>IF(I636="","",IF(I636="Ingreso",O636,0))</f>
        <v/>
      </c>
      <c r="R636" s="20">
        <f>IF(I636="","",IF(I636="Trading",O636,0))</f>
        <v/>
      </c>
      <c r="S636" s="19">
        <f>IF(I636="","",IF(AND(I636="Gasto",K636="Variable",J636&lt;&gt;"Trading",O636&gt;0,O636&lt;=Umbral),1,0))</f>
        <v/>
      </c>
      <c r="T636" s="20">
        <f>IF(OR(I636="",E636=""),"",IF(OR(I636="Gasto",I636="Transferencia",I636="Pago tarjeta"),-1,1)*C636)</f>
        <v/>
      </c>
      <c r="U636" s="20">
        <f>IF(OR(G636="",AND(I636&lt;&gt;"Transferencia",I636&lt;&gt;"Pago tarjeta")),"",IF(IFERROR(INDEX(ctaMon,MATCH(G636,ctaNom,0))&amp;"","DOP")=N636,C636,IF(N636="USD",C636*TasaUSD,C636/TasaUSD)))</f>
        <v/>
      </c>
      <c r="V636" s="20">
        <f>IF(I636="","",IF(IFERROR(INDEX(ctaLiq,MATCH(E636,ctaNom,0))="Sí",FALSE),IF(OR(I636="Gasto",I636="Transferencia",I636="Pago tarjeta"),-1,1)*O636,0)+IF(AND(U636&lt;&gt;"",IFERROR(INDEX(ctaLiq,MATCH(G636,ctaNom,0))="Sí",FALSE)),O636,0))</f>
        <v/>
      </c>
      <c r="W636" s="19">
        <f>IF(OR(F636="",I636=""),"",IF(COUNTIFS(F$6:F636,F636,I$6:I636,"?*")=1,MAX(W$5:W635)+1,""))</f>
        <v/>
      </c>
    </row>
    <row r="637">
      <c r="B637" s="15" t="n"/>
      <c r="C637" s="16" t="n"/>
      <c r="D637" s="17" t="n"/>
      <c r="E637" s="17" t="n"/>
      <c r="F637" s="17" t="n"/>
      <c r="G637" s="17" t="n"/>
      <c r="H637" s="18">
        <f>IF(AND(B637="",C637="",D637="",E637=""),"",IF(B637="","⚠ Falta fecha",IF(C637="","⚠ Falta monto",IF(D637="","⚠ Falta categoría",IF(ISNA(MATCH(D637,catNom,0)),"⚠ Categoría no existe",IF(E637="","⚠ Falta cuenta",IF(ISNA(MATCH(E637,ctaNom,0)),"⚠ Cuenta no existe",IF(AND(OR(I637="Transferencia",I637="Pago tarjeta"),G637=""),"⚠ Indica la cuenta «Hacia»",IF(AND(G637&lt;&gt;"",G637=E637),"⚠ «Hacia» igual a la cuenta",IF(AND(G637&lt;&gt;"",ISNA(MATCH(G637,ctaNom,0))),"⚠ «Hacia» no existe",IF(AND(I637="Pago tarjeta",IFERROR(INDEX(ctaTipo,MATCH(G637,ctaNom,0)),"")&lt;&gt;"Tarjeta de crédito"),"⚠ «Hacia» debe ser la tarjeta",IF(AND(I637="Trading",IFERROR(INDEX(ctaTipo,MATCH(E637,ctaNom,0)),"")&lt;&gt;"Cuenta de trading"),"⚠ Usa la cuenta de trading","✓"))))))))))))</f>
        <v/>
      </c>
      <c r="I637" s="19">
        <f>IF(OR(B637="",C637="",D637=""),"",IFERROR(INDEX(catTipo,MATCH(D637,catNom,0))&amp;"",""))</f>
        <v/>
      </c>
      <c r="J637" s="19">
        <f>IF(I637="","",IFERROR(INDEX(catGrupo,MATCH(D637,catNom,0))&amp;"",""))</f>
        <v/>
      </c>
      <c r="K637" s="19">
        <f>IF(I637="Gasto",IF(IFERROR(INDEX(catClas,MATCH(D637,catNom,0))&amp;"","")="","Variable",IFERROR(INDEX(catClas,MATCH(D637,catNom,0))&amp;"","")),"")</f>
        <v/>
      </c>
      <c r="L637" s="19">
        <f>IF(I637="","",IFERROR(INDEX(catAlim,MATCH(D637,catNom,0))&amp;"",""))</f>
        <v/>
      </c>
      <c r="M637" s="19">
        <f>IF(I637="","",IFERROR(INDEX(catComida,MATCH(D637,catNom,0))&amp;"",""))</f>
        <v/>
      </c>
      <c r="N637" s="19">
        <f>IF(I637="","",IFERROR(INDEX(ctaMon,MATCH(E637,ctaNom,0))&amp;"","DOP"))</f>
        <v/>
      </c>
      <c r="O637" s="20">
        <f>IF(I637="","",C637*IF(N637="USD",TasaUSD,1))</f>
        <v/>
      </c>
      <c r="P637" s="20">
        <f>IF(I637="","",IF(I637="Gasto",O637,0))</f>
        <v/>
      </c>
      <c r="Q637" s="20">
        <f>IF(I637="","",IF(I637="Ingreso",O637,0))</f>
        <v/>
      </c>
      <c r="R637" s="20">
        <f>IF(I637="","",IF(I637="Trading",O637,0))</f>
        <v/>
      </c>
      <c r="S637" s="19">
        <f>IF(I637="","",IF(AND(I637="Gasto",K637="Variable",J637&lt;&gt;"Trading",O637&gt;0,O637&lt;=Umbral),1,0))</f>
        <v/>
      </c>
      <c r="T637" s="20">
        <f>IF(OR(I637="",E637=""),"",IF(OR(I637="Gasto",I637="Transferencia",I637="Pago tarjeta"),-1,1)*C637)</f>
        <v/>
      </c>
      <c r="U637" s="20">
        <f>IF(OR(G637="",AND(I637&lt;&gt;"Transferencia",I637&lt;&gt;"Pago tarjeta")),"",IF(IFERROR(INDEX(ctaMon,MATCH(G637,ctaNom,0))&amp;"","DOP")=N637,C637,IF(N637="USD",C637*TasaUSD,C637/TasaUSD)))</f>
        <v/>
      </c>
      <c r="V637" s="20">
        <f>IF(I637="","",IF(IFERROR(INDEX(ctaLiq,MATCH(E637,ctaNom,0))="Sí",FALSE),IF(OR(I637="Gasto",I637="Transferencia",I637="Pago tarjeta"),-1,1)*O637,0)+IF(AND(U637&lt;&gt;"",IFERROR(INDEX(ctaLiq,MATCH(G637,ctaNom,0))="Sí",FALSE)),O637,0))</f>
        <v/>
      </c>
      <c r="W637" s="19">
        <f>IF(OR(F637="",I637=""),"",IF(COUNTIFS(F$6:F637,F637,I$6:I637,"?*")=1,MAX(W$5:W636)+1,""))</f>
        <v/>
      </c>
    </row>
    <row r="638">
      <c r="B638" s="15" t="n"/>
      <c r="C638" s="16" t="n"/>
      <c r="D638" s="17" t="n"/>
      <c r="E638" s="17" t="n"/>
      <c r="F638" s="17" t="n"/>
      <c r="G638" s="17" t="n"/>
      <c r="H638" s="18">
        <f>IF(AND(B638="",C638="",D638="",E638=""),"",IF(B638="","⚠ Falta fecha",IF(C638="","⚠ Falta monto",IF(D638="","⚠ Falta categoría",IF(ISNA(MATCH(D638,catNom,0)),"⚠ Categoría no existe",IF(E638="","⚠ Falta cuenta",IF(ISNA(MATCH(E638,ctaNom,0)),"⚠ Cuenta no existe",IF(AND(OR(I638="Transferencia",I638="Pago tarjeta"),G638=""),"⚠ Indica la cuenta «Hacia»",IF(AND(G638&lt;&gt;"",G638=E638),"⚠ «Hacia» igual a la cuenta",IF(AND(G638&lt;&gt;"",ISNA(MATCH(G638,ctaNom,0))),"⚠ «Hacia» no existe",IF(AND(I638="Pago tarjeta",IFERROR(INDEX(ctaTipo,MATCH(G638,ctaNom,0)),"")&lt;&gt;"Tarjeta de crédito"),"⚠ «Hacia» debe ser la tarjeta",IF(AND(I638="Trading",IFERROR(INDEX(ctaTipo,MATCH(E638,ctaNom,0)),"")&lt;&gt;"Cuenta de trading"),"⚠ Usa la cuenta de trading","✓"))))))))))))</f>
        <v/>
      </c>
      <c r="I638" s="19">
        <f>IF(OR(B638="",C638="",D638=""),"",IFERROR(INDEX(catTipo,MATCH(D638,catNom,0))&amp;"",""))</f>
        <v/>
      </c>
      <c r="J638" s="19">
        <f>IF(I638="","",IFERROR(INDEX(catGrupo,MATCH(D638,catNom,0))&amp;"",""))</f>
        <v/>
      </c>
      <c r="K638" s="19">
        <f>IF(I638="Gasto",IF(IFERROR(INDEX(catClas,MATCH(D638,catNom,0))&amp;"","")="","Variable",IFERROR(INDEX(catClas,MATCH(D638,catNom,0))&amp;"","")),"")</f>
        <v/>
      </c>
      <c r="L638" s="19">
        <f>IF(I638="","",IFERROR(INDEX(catAlim,MATCH(D638,catNom,0))&amp;"",""))</f>
        <v/>
      </c>
      <c r="M638" s="19">
        <f>IF(I638="","",IFERROR(INDEX(catComida,MATCH(D638,catNom,0))&amp;"",""))</f>
        <v/>
      </c>
      <c r="N638" s="19">
        <f>IF(I638="","",IFERROR(INDEX(ctaMon,MATCH(E638,ctaNom,0))&amp;"","DOP"))</f>
        <v/>
      </c>
      <c r="O638" s="20">
        <f>IF(I638="","",C638*IF(N638="USD",TasaUSD,1))</f>
        <v/>
      </c>
      <c r="P638" s="20">
        <f>IF(I638="","",IF(I638="Gasto",O638,0))</f>
        <v/>
      </c>
      <c r="Q638" s="20">
        <f>IF(I638="","",IF(I638="Ingreso",O638,0))</f>
        <v/>
      </c>
      <c r="R638" s="20">
        <f>IF(I638="","",IF(I638="Trading",O638,0))</f>
        <v/>
      </c>
      <c r="S638" s="19">
        <f>IF(I638="","",IF(AND(I638="Gasto",K638="Variable",J638&lt;&gt;"Trading",O638&gt;0,O638&lt;=Umbral),1,0))</f>
        <v/>
      </c>
      <c r="T638" s="20">
        <f>IF(OR(I638="",E638=""),"",IF(OR(I638="Gasto",I638="Transferencia",I638="Pago tarjeta"),-1,1)*C638)</f>
        <v/>
      </c>
      <c r="U638" s="20">
        <f>IF(OR(G638="",AND(I638&lt;&gt;"Transferencia",I638&lt;&gt;"Pago tarjeta")),"",IF(IFERROR(INDEX(ctaMon,MATCH(G638,ctaNom,0))&amp;"","DOP")=N638,C638,IF(N638="USD",C638*TasaUSD,C638/TasaUSD)))</f>
        <v/>
      </c>
      <c r="V638" s="20">
        <f>IF(I638="","",IF(IFERROR(INDEX(ctaLiq,MATCH(E638,ctaNom,0))="Sí",FALSE),IF(OR(I638="Gasto",I638="Transferencia",I638="Pago tarjeta"),-1,1)*O638,0)+IF(AND(U638&lt;&gt;"",IFERROR(INDEX(ctaLiq,MATCH(G638,ctaNom,0))="Sí",FALSE)),O638,0))</f>
        <v/>
      </c>
      <c r="W638" s="19">
        <f>IF(OR(F638="",I638=""),"",IF(COUNTIFS(F$6:F638,F638,I$6:I638,"?*")=1,MAX(W$5:W637)+1,""))</f>
        <v/>
      </c>
    </row>
    <row r="639">
      <c r="B639" s="15" t="n"/>
      <c r="C639" s="16" t="n"/>
      <c r="D639" s="17" t="n"/>
      <c r="E639" s="17" t="n"/>
      <c r="F639" s="17" t="n"/>
      <c r="G639" s="17" t="n"/>
      <c r="H639" s="18">
        <f>IF(AND(B639="",C639="",D639="",E639=""),"",IF(B639="","⚠ Falta fecha",IF(C639="","⚠ Falta monto",IF(D639="","⚠ Falta categoría",IF(ISNA(MATCH(D639,catNom,0)),"⚠ Categoría no existe",IF(E639="","⚠ Falta cuenta",IF(ISNA(MATCH(E639,ctaNom,0)),"⚠ Cuenta no existe",IF(AND(OR(I639="Transferencia",I639="Pago tarjeta"),G639=""),"⚠ Indica la cuenta «Hacia»",IF(AND(G639&lt;&gt;"",G639=E639),"⚠ «Hacia» igual a la cuenta",IF(AND(G639&lt;&gt;"",ISNA(MATCH(G639,ctaNom,0))),"⚠ «Hacia» no existe",IF(AND(I639="Pago tarjeta",IFERROR(INDEX(ctaTipo,MATCH(G639,ctaNom,0)),"")&lt;&gt;"Tarjeta de crédito"),"⚠ «Hacia» debe ser la tarjeta",IF(AND(I639="Trading",IFERROR(INDEX(ctaTipo,MATCH(E639,ctaNom,0)),"")&lt;&gt;"Cuenta de trading"),"⚠ Usa la cuenta de trading","✓"))))))))))))</f>
        <v/>
      </c>
      <c r="I639" s="19">
        <f>IF(OR(B639="",C639="",D639=""),"",IFERROR(INDEX(catTipo,MATCH(D639,catNom,0))&amp;"",""))</f>
        <v/>
      </c>
      <c r="J639" s="19">
        <f>IF(I639="","",IFERROR(INDEX(catGrupo,MATCH(D639,catNom,0))&amp;"",""))</f>
        <v/>
      </c>
      <c r="K639" s="19">
        <f>IF(I639="Gasto",IF(IFERROR(INDEX(catClas,MATCH(D639,catNom,0))&amp;"","")="","Variable",IFERROR(INDEX(catClas,MATCH(D639,catNom,0))&amp;"","")),"")</f>
        <v/>
      </c>
      <c r="L639" s="19">
        <f>IF(I639="","",IFERROR(INDEX(catAlim,MATCH(D639,catNom,0))&amp;"",""))</f>
        <v/>
      </c>
      <c r="M639" s="19">
        <f>IF(I639="","",IFERROR(INDEX(catComida,MATCH(D639,catNom,0))&amp;"",""))</f>
        <v/>
      </c>
      <c r="N639" s="19">
        <f>IF(I639="","",IFERROR(INDEX(ctaMon,MATCH(E639,ctaNom,0))&amp;"","DOP"))</f>
        <v/>
      </c>
      <c r="O639" s="20">
        <f>IF(I639="","",C639*IF(N639="USD",TasaUSD,1))</f>
        <v/>
      </c>
      <c r="P639" s="20">
        <f>IF(I639="","",IF(I639="Gasto",O639,0))</f>
        <v/>
      </c>
      <c r="Q639" s="20">
        <f>IF(I639="","",IF(I639="Ingreso",O639,0))</f>
        <v/>
      </c>
      <c r="R639" s="20">
        <f>IF(I639="","",IF(I639="Trading",O639,0))</f>
        <v/>
      </c>
      <c r="S639" s="19">
        <f>IF(I639="","",IF(AND(I639="Gasto",K639="Variable",J639&lt;&gt;"Trading",O639&gt;0,O639&lt;=Umbral),1,0))</f>
        <v/>
      </c>
      <c r="T639" s="20">
        <f>IF(OR(I639="",E639=""),"",IF(OR(I639="Gasto",I639="Transferencia",I639="Pago tarjeta"),-1,1)*C639)</f>
        <v/>
      </c>
      <c r="U639" s="20">
        <f>IF(OR(G639="",AND(I639&lt;&gt;"Transferencia",I639&lt;&gt;"Pago tarjeta")),"",IF(IFERROR(INDEX(ctaMon,MATCH(G639,ctaNom,0))&amp;"","DOP")=N639,C639,IF(N639="USD",C639*TasaUSD,C639/TasaUSD)))</f>
        <v/>
      </c>
      <c r="V639" s="20">
        <f>IF(I639="","",IF(IFERROR(INDEX(ctaLiq,MATCH(E639,ctaNom,0))="Sí",FALSE),IF(OR(I639="Gasto",I639="Transferencia",I639="Pago tarjeta"),-1,1)*O639,0)+IF(AND(U639&lt;&gt;"",IFERROR(INDEX(ctaLiq,MATCH(G639,ctaNom,0))="Sí",FALSE)),O639,0))</f>
        <v/>
      </c>
      <c r="W639" s="19">
        <f>IF(OR(F639="",I639=""),"",IF(COUNTIFS(F$6:F639,F639,I$6:I639,"?*")=1,MAX(W$5:W638)+1,""))</f>
        <v/>
      </c>
    </row>
    <row r="640">
      <c r="B640" s="15" t="n"/>
      <c r="C640" s="16" t="n"/>
      <c r="D640" s="17" t="n"/>
      <c r="E640" s="17" t="n"/>
      <c r="F640" s="17" t="n"/>
      <c r="G640" s="17" t="n"/>
      <c r="H640" s="18">
        <f>IF(AND(B640="",C640="",D640="",E640=""),"",IF(B640="","⚠ Falta fecha",IF(C640="","⚠ Falta monto",IF(D640="","⚠ Falta categoría",IF(ISNA(MATCH(D640,catNom,0)),"⚠ Categoría no existe",IF(E640="","⚠ Falta cuenta",IF(ISNA(MATCH(E640,ctaNom,0)),"⚠ Cuenta no existe",IF(AND(OR(I640="Transferencia",I640="Pago tarjeta"),G640=""),"⚠ Indica la cuenta «Hacia»",IF(AND(G640&lt;&gt;"",G640=E640),"⚠ «Hacia» igual a la cuenta",IF(AND(G640&lt;&gt;"",ISNA(MATCH(G640,ctaNom,0))),"⚠ «Hacia» no existe",IF(AND(I640="Pago tarjeta",IFERROR(INDEX(ctaTipo,MATCH(G640,ctaNom,0)),"")&lt;&gt;"Tarjeta de crédito"),"⚠ «Hacia» debe ser la tarjeta",IF(AND(I640="Trading",IFERROR(INDEX(ctaTipo,MATCH(E640,ctaNom,0)),"")&lt;&gt;"Cuenta de trading"),"⚠ Usa la cuenta de trading","✓"))))))))))))</f>
        <v/>
      </c>
      <c r="I640" s="19">
        <f>IF(OR(B640="",C640="",D640=""),"",IFERROR(INDEX(catTipo,MATCH(D640,catNom,0))&amp;"",""))</f>
        <v/>
      </c>
      <c r="J640" s="19">
        <f>IF(I640="","",IFERROR(INDEX(catGrupo,MATCH(D640,catNom,0))&amp;"",""))</f>
        <v/>
      </c>
      <c r="K640" s="19">
        <f>IF(I640="Gasto",IF(IFERROR(INDEX(catClas,MATCH(D640,catNom,0))&amp;"","")="","Variable",IFERROR(INDEX(catClas,MATCH(D640,catNom,0))&amp;"","")),"")</f>
        <v/>
      </c>
      <c r="L640" s="19">
        <f>IF(I640="","",IFERROR(INDEX(catAlim,MATCH(D640,catNom,0))&amp;"",""))</f>
        <v/>
      </c>
      <c r="M640" s="19">
        <f>IF(I640="","",IFERROR(INDEX(catComida,MATCH(D640,catNom,0))&amp;"",""))</f>
        <v/>
      </c>
      <c r="N640" s="19">
        <f>IF(I640="","",IFERROR(INDEX(ctaMon,MATCH(E640,ctaNom,0))&amp;"","DOP"))</f>
        <v/>
      </c>
      <c r="O640" s="20">
        <f>IF(I640="","",C640*IF(N640="USD",TasaUSD,1))</f>
        <v/>
      </c>
      <c r="P640" s="20">
        <f>IF(I640="","",IF(I640="Gasto",O640,0))</f>
        <v/>
      </c>
      <c r="Q640" s="20">
        <f>IF(I640="","",IF(I640="Ingreso",O640,0))</f>
        <v/>
      </c>
      <c r="R640" s="20">
        <f>IF(I640="","",IF(I640="Trading",O640,0))</f>
        <v/>
      </c>
      <c r="S640" s="19">
        <f>IF(I640="","",IF(AND(I640="Gasto",K640="Variable",J640&lt;&gt;"Trading",O640&gt;0,O640&lt;=Umbral),1,0))</f>
        <v/>
      </c>
      <c r="T640" s="20">
        <f>IF(OR(I640="",E640=""),"",IF(OR(I640="Gasto",I640="Transferencia",I640="Pago tarjeta"),-1,1)*C640)</f>
        <v/>
      </c>
      <c r="U640" s="20">
        <f>IF(OR(G640="",AND(I640&lt;&gt;"Transferencia",I640&lt;&gt;"Pago tarjeta")),"",IF(IFERROR(INDEX(ctaMon,MATCH(G640,ctaNom,0))&amp;"","DOP")=N640,C640,IF(N640="USD",C640*TasaUSD,C640/TasaUSD)))</f>
        <v/>
      </c>
      <c r="V640" s="20">
        <f>IF(I640="","",IF(IFERROR(INDEX(ctaLiq,MATCH(E640,ctaNom,0))="Sí",FALSE),IF(OR(I640="Gasto",I640="Transferencia",I640="Pago tarjeta"),-1,1)*O640,0)+IF(AND(U640&lt;&gt;"",IFERROR(INDEX(ctaLiq,MATCH(G640,ctaNom,0))="Sí",FALSE)),O640,0))</f>
        <v/>
      </c>
      <c r="W640" s="19">
        <f>IF(OR(F640="",I640=""),"",IF(COUNTIFS(F$6:F640,F640,I$6:I640,"?*")=1,MAX(W$5:W639)+1,""))</f>
        <v/>
      </c>
    </row>
    <row r="641">
      <c r="B641" s="15" t="n"/>
      <c r="C641" s="16" t="n"/>
      <c r="D641" s="17" t="n"/>
      <c r="E641" s="17" t="n"/>
      <c r="F641" s="17" t="n"/>
      <c r="G641" s="17" t="n"/>
      <c r="H641" s="18">
        <f>IF(AND(B641="",C641="",D641="",E641=""),"",IF(B641="","⚠ Falta fecha",IF(C641="","⚠ Falta monto",IF(D641="","⚠ Falta categoría",IF(ISNA(MATCH(D641,catNom,0)),"⚠ Categoría no existe",IF(E641="","⚠ Falta cuenta",IF(ISNA(MATCH(E641,ctaNom,0)),"⚠ Cuenta no existe",IF(AND(OR(I641="Transferencia",I641="Pago tarjeta"),G641=""),"⚠ Indica la cuenta «Hacia»",IF(AND(G641&lt;&gt;"",G641=E641),"⚠ «Hacia» igual a la cuenta",IF(AND(G641&lt;&gt;"",ISNA(MATCH(G641,ctaNom,0))),"⚠ «Hacia» no existe",IF(AND(I641="Pago tarjeta",IFERROR(INDEX(ctaTipo,MATCH(G641,ctaNom,0)),"")&lt;&gt;"Tarjeta de crédito"),"⚠ «Hacia» debe ser la tarjeta",IF(AND(I641="Trading",IFERROR(INDEX(ctaTipo,MATCH(E641,ctaNom,0)),"")&lt;&gt;"Cuenta de trading"),"⚠ Usa la cuenta de trading","✓"))))))))))))</f>
        <v/>
      </c>
      <c r="I641" s="19">
        <f>IF(OR(B641="",C641="",D641=""),"",IFERROR(INDEX(catTipo,MATCH(D641,catNom,0))&amp;"",""))</f>
        <v/>
      </c>
      <c r="J641" s="19">
        <f>IF(I641="","",IFERROR(INDEX(catGrupo,MATCH(D641,catNom,0))&amp;"",""))</f>
        <v/>
      </c>
      <c r="K641" s="19">
        <f>IF(I641="Gasto",IF(IFERROR(INDEX(catClas,MATCH(D641,catNom,0))&amp;"","")="","Variable",IFERROR(INDEX(catClas,MATCH(D641,catNom,0))&amp;"","")),"")</f>
        <v/>
      </c>
      <c r="L641" s="19">
        <f>IF(I641="","",IFERROR(INDEX(catAlim,MATCH(D641,catNom,0))&amp;"",""))</f>
        <v/>
      </c>
      <c r="M641" s="19">
        <f>IF(I641="","",IFERROR(INDEX(catComida,MATCH(D641,catNom,0))&amp;"",""))</f>
        <v/>
      </c>
      <c r="N641" s="19">
        <f>IF(I641="","",IFERROR(INDEX(ctaMon,MATCH(E641,ctaNom,0))&amp;"","DOP"))</f>
        <v/>
      </c>
      <c r="O641" s="20">
        <f>IF(I641="","",C641*IF(N641="USD",TasaUSD,1))</f>
        <v/>
      </c>
      <c r="P641" s="20">
        <f>IF(I641="","",IF(I641="Gasto",O641,0))</f>
        <v/>
      </c>
      <c r="Q641" s="20">
        <f>IF(I641="","",IF(I641="Ingreso",O641,0))</f>
        <v/>
      </c>
      <c r="R641" s="20">
        <f>IF(I641="","",IF(I641="Trading",O641,0))</f>
        <v/>
      </c>
      <c r="S641" s="19">
        <f>IF(I641="","",IF(AND(I641="Gasto",K641="Variable",J641&lt;&gt;"Trading",O641&gt;0,O641&lt;=Umbral),1,0))</f>
        <v/>
      </c>
      <c r="T641" s="20">
        <f>IF(OR(I641="",E641=""),"",IF(OR(I641="Gasto",I641="Transferencia",I641="Pago tarjeta"),-1,1)*C641)</f>
        <v/>
      </c>
      <c r="U641" s="20">
        <f>IF(OR(G641="",AND(I641&lt;&gt;"Transferencia",I641&lt;&gt;"Pago tarjeta")),"",IF(IFERROR(INDEX(ctaMon,MATCH(G641,ctaNom,0))&amp;"","DOP")=N641,C641,IF(N641="USD",C641*TasaUSD,C641/TasaUSD)))</f>
        <v/>
      </c>
      <c r="V641" s="20">
        <f>IF(I641="","",IF(IFERROR(INDEX(ctaLiq,MATCH(E641,ctaNom,0))="Sí",FALSE),IF(OR(I641="Gasto",I641="Transferencia",I641="Pago tarjeta"),-1,1)*O641,0)+IF(AND(U641&lt;&gt;"",IFERROR(INDEX(ctaLiq,MATCH(G641,ctaNom,0))="Sí",FALSE)),O641,0))</f>
        <v/>
      </c>
      <c r="W641" s="19">
        <f>IF(OR(F641="",I641=""),"",IF(COUNTIFS(F$6:F641,F641,I$6:I641,"?*")=1,MAX(W$5:W640)+1,""))</f>
        <v/>
      </c>
    </row>
    <row r="642">
      <c r="B642" s="15" t="n"/>
      <c r="C642" s="16" t="n"/>
      <c r="D642" s="17" t="n"/>
      <c r="E642" s="17" t="n"/>
      <c r="F642" s="17" t="n"/>
      <c r="G642" s="17" t="n"/>
      <c r="H642" s="18">
        <f>IF(AND(B642="",C642="",D642="",E642=""),"",IF(B642="","⚠ Falta fecha",IF(C642="","⚠ Falta monto",IF(D642="","⚠ Falta categoría",IF(ISNA(MATCH(D642,catNom,0)),"⚠ Categoría no existe",IF(E642="","⚠ Falta cuenta",IF(ISNA(MATCH(E642,ctaNom,0)),"⚠ Cuenta no existe",IF(AND(OR(I642="Transferencia",I642="Pago tarjeta"),G642=""),"⚠ Indica la cuenta «Hacia»",IF(AND(G642&lt;&gt;"",G642=E642),"⚠ «Hacia» igual a la cuenta",IF(AND(G642&lt;&gt;"",ISNA(MATCH(G642,ctaNom,0))),"⚠ «Hacia» no existe",IF(AND(I642="Pago tarjeta",IFERROR(INDEX(ctaTipo,MATCH(G642,ctaNom,0)),"")&lt;&gt;"Tarjeta de crédito"),"⚠ «Hacia» debe ser la tarjeta",IF(AND(I642="Trading",IFERROR(INDEX(ctaTipo,MATCH(E642,ctaNom,0)),"")&lt;&gt;"Cuenta de trading"),"⚠ Usa la cuenta de trading","✓"))))))))))))</f>
        <v/>
      </c>
      <c r="I642" s="19">
        <f>IF(OR(B642="",C642="",D642=""),"",IFERROR(INDEX(catTipo,MATCH(D642,catNom,0))&amp;"",""))</f>
        <v/>
      </c>
      <c r="J642" s="19">
        <f>IF(I642="","",IFERROR(INDEX(catGrupo,MATCH(D642,catNom,0))&amp;"",""))</f>
        <v/>
      </c>
      <c r="K642" s="19">
        <f>IF(I642="Gasto",IF(IFERROR(INDEX(catClas,MATCH(D642,catNom,0))&amp;"","")="","Variable",IFERROR(INDEX(catClas,MATCH(D642,catNom,0))&amp;"","")),"")</f>
        <v/>
      </c>
      <c r="L642" s="19">
        <f>IF(I642="","",IFERROR(INDEX(catAlim,MATCH(D642,catNom,0))&amp;"",""))</f>
        <v/>
      </c>
      <c r="M642" s="19">
        <f>IF(I642="","",IFERROR(INDEX(catComida,MATCH(D642,catNom,0))&amp;"",""))</f>
        <v/>
      </c>
      <c r="N642" s="19">
        <f>IF(I642="","",IFERROR(INDEX(ctaMon,MATCH(E642,ctaNom,0))&amp;"","DOP"))</f>
        <v/>
      </c>
      <c r="O642" s="20">
        <f>IF(I642="","",C642*IF(N642="USD",TasaUSD,1))</f>
        <v/>
      </c>
      <c r="P642" s="20">
        <f>IF(I642="","",IF(I642="Gasto",O642,0))</f>
        <v/>
      </c>
      <c r="Q642" s="20">
        <f>IF(I642="","",IF(I642="Ingreso",O642,0))</f>
        <v/>
      </c>
      <c r="R642" s="20">
        <f>IF(I642="","",IF(I642="Trading",O642,0))</f>
        <v/>
      </c>
      <c r="S642" s="19">
        <f>IF(I642="","",IF(AND(I642="Gasto",K642="Variable",J642&lt;&gt;"Trading",O642&gt;0,O642&lt;=Umbral),1,0))</f>
        <v/>
      </c>
      <c r="T642" s="20">
        <f>IF(OR(I642="",E642=""),"",IF(OR(I642="Gasto",I642="Transferencia",I642="Pago tarjeta"),-1,1)*C642)</f>
        <v/>
      </c>
      <c r="U642" s="20">
        <f>IF(OR(G642="",AND(I642&lt;&gt;"Transferencia",I642&lt;&gt;"Pago tarjeta")),"",IF(IFERROR(INDEX(ctaMon,MATCH(G642,ctaNom,0))&amp;"","DOP")=N642,C642,IF(N642="USD",C642*TasaUSD,C642/TasaUSD)))</f>
        <v/>
      </c>
      <c r="V642" s="20">
        <f>IF(I642="","",IF(IFERROR(INDEX(ctaLiq,MATCH(E642,ctaNom,0))="Sí",FALSE),IF(OR(I642="Gasto",I642="Transferencia",I642="Pago tarjeta"),-1,1)*O642,0)+IF(AND(U642&lt;&gt;"",IFERROR(INDEX(ctaLiq,MATCH(G642,ctaNom,0))="Sí",FALSE)),O642,0))</f>
        <v/>
      </c>
      <c r="W642" s="19">
        <f>IF(OR(F642="",I642=""),"",IF(COUNTIFS(F$6:F642,F642,I$6:I642,"?*")=1,MAX(W$5:W641)+1,""))</f>
        <v/>
      </c>
    </row>
    <row r="643">
      <c r="B643" s="15" t="n"/>
      <c r="C643" s="16" t="n"/>
      <c r="D643" s="17" t="n"/>
      <c r="E643" s="17" t="n"/>
      <c r="F643" s="17" t="n"/>
      <c r="G643" s="17" t="n"/>
      <c r="H643" s="18">
        <f>IF(AND(B643="",C643="",D643="",E643=""),"",IF(B643="","⚠ Falta fecha",IF(C643="","⚠ Falta monto",IF(D643="","⚠ Falta categoría",IF(ISNA(MATCH(D643,catNom,0)),"⚠ Categoría no existe",IF(E643="","⚠ Falta cuenta",IF(ISNA(MATCH(E643,ctaNom,0)),"⚠ Cuenta no existe",IF(AND(OR(I643="Transferencia",I643="Pago tarjeta"),G643=""),"⚠ Indica la cuenta «Hacia»",IF(AND(G643&lt;&gt;"",G643=E643),"⚠ «Hacia» igual a la cuenta",IF(AND(G643&lt;&gt;"",ISNA(MATCH(G643,ctaNom,0))),"⚠ «Hacia» no existe",IF(AND(I643="Pago tarjeta",IFERROR(INDEX(ctaTipo,MATCH(G643,ctaNom,0)),"")&lt;&gt;"Tarjeta de crédito"),"⚠ «Hacia» debe ser la tarjeta",IF(AND(I643="Trading",IFERROR(INDEX(ctaTipo,MATCH(E643,ctaNom,0)),"")&lt;&gt;"Cuenta de trading"),"⚠ Usa la cuenta de trading","✓"))))))))))))</f>
        <v/>
      </c>
      <c r="I643" s="19">
        <f>IF(OR(B643="",C643="",D643=""),"",IFERROR(INDEX(catTipo,MATCH(D643,catNom,0))&amp;"",""))</f>
        <v/>
      </c>
      <c r="J643" s="19">
        <f>IF(I643="","",IFERROR(INDEX(catGrupo,MATCH(D643,catNom,0))&amp;"",""))</f>
        <v/>
      </c>
      <c r="K643" s="19">
        <f>IF(I643="Gasto",IF(IFERROR(INDEX(catClas,MATCH(D643,catNom,0))&amp;"","")="","Variable",IFERROR(INDEX(catClas,MATCH(D643,catNom,0))&amp;"","")),"")</f>
        <v/>
      </c>
      <c r="L643" s="19">
        <f>IF(I643="","",IFERROR(INDEX(catAlim,MATCH(D643,catNom,0))&amp;"",""))</f>
        <v/>
      </c>
      <c r="M643" s="19">
        <f>IF(I643="","",IFERROR(INDEX(catComida,MATCH(D643,catNom,0))&amp;"",""))</f>
        <v/>
      </c>
      <c r="N643" s="19">
        <f>IF(I643="","",IFERROR(INDEX(ctaMon,MATCH(E643,ctaNom,0))&amp;"","DOP"))</f>
        <v/>
      </c>
      <c r="O643" s="20">
        <f>IF(I643="","",C643*IF(N643="USD",TasaUSD,1))</f>
        <v/>
      </c>
      <c r="P643" s="20">
        <f>IF(I643="","",IF(I643="Gasto",O643,0))</f>
        <v/>
      </c>
      <c r="Q643" s="20">
        <f>IF(I643="","",IF(I643="Ingreso",O643,0))</f>
        <v/>
      </c>
      <c r="R643" s="20">
        <f>IF(I643="","",IF(I643="Trading",O643,0))</f>
        <v/>
      </c>
      <c r="S643" s="19">
        <f>IF(I643="","",IF(AND(I643="Gasto",K643="Variable",J643&lt;&gt;"Trading",O643&gt;0,O643&lt;=Umbral),1,0))</f>
        <v/>
      </c>
      <c r="T643" s="20">
        <f>IF(OR(I643="",E643=""),"",IF(OR(I643="Gasto",I643="Transferencia",I643="Pago tarjeta"),-1,1)*C643)</f>
        <v/>
      </c>
      <c r="U643" s="20">
        <f>IF(OR(G643="",AND(I643&lt;&gt;"Transferencia",I643&lt;&gt;"Pago tarjeta")),"",IF(IFERROR(INDEX(ctaMon,MATCH(G643,ctaNom,0))&amp;"","DOP")=N643,C643,IF(N643="USD",C643*TasaUSD,C643/TasaUSD)))</f>
        <v/>
      </c>
      <c r="V643" s="20">
        <f>IF(I643="","",IF(IFERROR(INDEX(ctaLiq,MATCH(E643,ctaNom,0))="Sí",FALSE),IF(OR(I643="Gasto",I643="Transferencia",I643="Pago tarjeta"),-1,1)*O643,0)+IF(AND(U643&lt;&gt;"",IFERROR(INDEX(ctaLiq,MATCH(G643,ctaNom,0))="Sí",FALSE)),O643,0))</f>
        <v/>
      </c>
      <c r="W643" s="19">
        <f>IF(OR(F643="",I643=""),"",IF(COUNTIFS(F$6:F643,F643,I$6:I643,"?*")=1,MAX(W$5:W642)+1,""))</f>
        <v/>
      </c>
    </row>
    <row r="644">
      <c r="B644" s="15" t="n"/>
      <c r="C644" s="16" t="n"/>
      <c r="D644" s="17" t="n"/>
      <c r="E644" s="17" t="n"/>
      <c r="F644" s="17" t="n"/>
      <c r="G644" s="17" t="n"/>
      <c r="H644" s="18">
        <f>IF(AND(B644="",C644="",D644="",E644=""),"",IF(B644="","⚠ Falta fecha",IF(C644="","⚠ Falta monto",IF(D644="","⚠ Falta categoría",IF(ISNA(MATCH(D644,catNom,0)),"⚠ Categoría no existe",IF(E644="","⚠ Falta cuenta",IF(ISNA(MATCH(E644,ctaNom,0)),"⚠ Cuenta no existe",IF(AND(OR(I644="Transferencia",I644="Pago tarjeta"),G644=""),"⚠ Indica la cuenta «Hacia»",IF(AND(G644&lt;&gt;"",G644=E644),"⚠ «Hacia» igual a la cuenta",IF(AND(G644&lt;&gt;"",ISNA(MATCH(G644,ctaNom,0))),"⚠ «Hacia» no existe",IF(AND(I644="Pago tarjeta",IFERROR(INDEX(ctaTipo,MATCH(G644,ctaNom,0)),"")&lt;&gt;"Tarjeta de crédito"),"⚠ «Hacia» debe ser la tarjeta",IF(AND(I644="Trading",IFERROR(INDEX(ctaTipo,MATCH(E644,ctaNom,0)),"")&lt;&gt;"Cuenta de trading"),"⚠ Usa la cuenta de trading","✓"))))))))))))</f>
        <v/>
      </c>
      <c r="I644" s="19">
        <f>IF(OR(B644="",C644="",D644=""),"",IFERROR(INDEX(catTipo,MATCH(D644,catNom,0))&amp;"",""))</f>
        <v/>
      </c>
      <c r="J644" s="19">
        <f>IF(I644="","",IFERROR(INDEX(catGrupo,MATCH(D644,catNom,0))&amp;"",""))</f>
        <v/>
      </c>
      <c r="K644" s="19">
        <f>IF(I644="Gasto",IF(IFERROR(INDEX(catClas,MATCH(D644,catNom,0))&amp;"","")="","Variable",IFERROR(INDEX(catClas,MATCH(D644,catNom,0))&amp;"","")),"")</f>
        <v/>
      </c>
      <c r="L644" s="19">
        <f>IF(I644="","",IFERROR(INDEX(catAlim,MATCH(D644,catNom,0))&amp;"",""))</f>
        <v/>
      </c>
      <c r="M644" s="19">
        <f>IF(I644="","",IFERROR(INDEX(catComida,MATCH(D644,catNom,0))&amp;"",""))</f>
        <v/>
      </c>
      <c r="N644" s="19">
        <f>IF(I644="","",IFERROR(INDEX(ctaMon,MATCH(E644,ctaNom,0))&amp;"","DOP"))</f>
        <v/>
      </c>
      <c r="O644" s="20">
        <f>IF(I644="","",C644*IF(N644="USD",TasaUSD,1))</f>
        <v/>
      </c>
      <c r="P644" s="20">
        <f>IF(I644="","",IF(I644="Gasto",O644,0))</f>
        <v/>
      </c>
      <c r="Q644" s="20">
        <f>IF(I644="","",IF(I644="Ingreso",O644,0))</f>
        <v/>
      </c>
      <c r="R644" s="20">
        <f>IF(I644="","",IF(I644="Trading",O644,0))</f>
        <v/>
      </c>
      <c r="S644" s="19">
        <f>IF(I644="","",IF(AND(I644="Gasto",K644="Variable",J644&lt;&gt;"Trading",O644&gt;0,O644&lt;=Umbral),1,0))</f>
        <v/>
      </c>
      <c r="T644" s="20">
        <f>IF(OR(I644="",E644=""),"",IF(OR(I644="Gasto",I644="Transferencia",I644="Pago tarjeta"),-1,1)*C644)</f>
        <v/>
      </c>
      <c r="U644" s="20">
        <f>IF(OR(G644="",AND(I644&lt;&gt;"Transferencia",I644&lt;&gt;"Pago tarjeta")),"",IF(IFERROR(INDEX(ctaMon,MATCH(G644,ctaNom,0))&amp;"","DOP")=N644,C644,IF(N644="USD",C644*TasaUSD,C644/TasaUSD)))</f>
        <v/>
      </c>
      <c r="V644" s="20">
        <f>IF(I644="","",IF(IFERROR(INDEX(ctaLiq,MATCH(E644,ctaNom,0))="Sí",FALSE),IF(OR(I644="Gasto",I644="Transferencia",I644="Pago tarjeta"),-1,1)*O644,0)+IF(AND(U644&lt;&gt;"",IFERROR(INDEX(ctaLiq,MATCH(G644,ctaNom,0))="Sí",FALSE)),O644,0))</f>
        <v/>
      </c>
      <c r="W644" s="19">
        <f>IF(OR(F644="",I644=""),"",IF(COUNTIFS(F$6:F644,F644,I$6:I644,"?*")=1,MAX(W$5:W643)+1,""))</f>
        <v/>
      </c>
    </row>
    <row r="645">
      <c r="B645" s="15" t="n"/>
      <c r="C645" s="16" t="n"/>
      <c r="D645" s="17" t="n"/>
      <c r="E645" s="17" t="n"/>
      <c r="F645" s="17" t="n"/>
      <c r="G645" s="17" t="n"/>
      <c r="H645" s="18">
        <f>IF(AND(B645="",C645="",D645="",E645=""),"",IF(B645="","⚠ Falta fecha",IF(C645="","⚠ Falta monto",IF(D645="","⚠ Falta categoría",IF(ISNA(MATCH(D645,catNom,0)),"⚠ Categoría no existe",IF(E645="","⚠ Falta cuenta",IF(ISNA(MATCH(E645,ctaNom,0)),"⚠ Cuenta no existe",IF(AND(OR(I645="Transferencia",I645="Pago tarjeta"),G645=""),"⚠ Indica la cuenta «Hacia»",IF(AND(G645&lt;&gt;"",G645=E645),"⚠ «Hacia» igual a la cuenta",IF(AND(G645&lt;&gt;"",ISNA(MATCH(G645,ctaNom,0))),"⚠ «Hacia» no existe",IF(AND(I645="Pago tarjeta",IFERROR(INDEX(ctaTipo,MATCH(G645,ctaNom,0)),"")&lt;&gt;"Tarjeta de crédito"),"⚠ «Hacia» debe ser la tarjeta",IF(AND(I645="Trading",IFERROR(INDEX(ctaTipo,MATCH(E645,ctaNom,0)),"")&lt;&gt;"Cuenta de trading"),"⚠ Usa la cuenta de trading","✓"))))))))))))</f>
        <v/>
      </c>
      <c r="I645" s="19">
        <f>IF(OR(B645="",C645="",D645=""),"",IFERROR(INDEX(catTipo,MATCH(D645,catNom,0))&amp;"",""))</f>
        <v/>
      </c>
      <c r="J645" s="19">
        <f>IF(I645="","",IFERROR(INDEX(catGrupo,MATCH(D645,catNom,0))&amp;"",""))</f>
        <v/>
      </c>
      <c r="K645" s="19">
        <f>IF(I645="Gasto",IF(IFERROR(INDEX(catClas,MATCH(D645,catNom,0))&amp;"","")="","Variable",IFERROR(INDEX(catClas,MATCH(D645,catNom,0))&amp;"","")),"")</f>
        <v/>
      </c>
      <c r="L645" s="19">
        <f>IF(I645="","",IFERROR(INDEX(catAlim,MATCH(D645,catNom,0))&amp;"",""))</f>
        <v/>
      </c>
      <c r="M645" s="19">
        <f>IF(I645="","",IFERROR(INDEX(catComida,MATCH(D645,catNom,0))&amp;"",""))</f>
        <v/>
      </c>
      <c r="N645" s="19">
        <f>IF(I645="","",IFERROR(INDEX(ctaMon,MATCH(E645,ctaNom,0))&amp;"","DOP"))</f>
        <v/>
      </c>
      <c r="O645" s="20">
        <f>IF(I645="","",C645*IF(N645="USD",TasaUSD,1))</f>
        <v/>
      </c>
      <c r="P645" s="20">
        <f>IF(I645="","",IF(I645="Gasto",O645,0))</f>
        <v/>
      </c>
      <c r="Q645" s="20">
        <f>IF(I645="","",IF(I645="Ingreso",O645,0))</f>
        <v/>
      </c>
      <c r="R645" s="20">
        <f>IF(I645="","",IF(I645="Trading",O645,0))</f>
        <v/>
      </c>
      <c r="S645" s="19">
        <f>IF(I645="","",IF(AND(I645="Gasto",K645="Variable",J645&lt;&gt;"Trading",O645&gt;0,O645&lt;=Umbral),1,0))</f>
        <v/>
      </c>
      <c r="T645" s="20">
        <f>IF(OR(I645="",E645=""),"",IF(OR(I645="Gasto",I645="Transferencia",I645="Pago tarjeta"),-1,1)*C645)</f>
        <v/>
      </c>
      <c r="U645" s="20">
        <f>IF(OR(G645="",AND(I645&lt;&gt;"Transferencia",I645&lt;&gt;"Pago tarjeta")),"",IF(IFERROR(INDEX(ctaMon,MATCH(G645,ctaNom,0))&amp;"","DOP")=N645,C645,IF(N645="USD",C645*TasaUSD,C645/TasaUSD)))</f>
        <v/>
      </c>
      <c r="V645" s="20">
        <f>IF(I645="","",IF(IFERROR(INDEX(ctaLiq,MATCH(E645,ctaNom,0))="Sí",FALSE),IF(OR(I645="Gasto",I645="Transferencia",I645="Pago tarjeta"),-1,1)*O645,0)+IF(AND(U645&lt;&gt;"",IFERROR(INDEX(ctaLiq,MATCH(G645,ctaNom,0))="Sí",FALSE)),O645,0))</f>
        <v/>
      </c>
      <c r="W645" s="19">
        <f>IF(OR(F645="",I645=""),"",IF(COUNTIFS(F$6:F645,F645,I$6:I645,"?*")=1,MAX(W$5:W644)+1,""))</f>
        <v/>
      </c>
    </row>
    <row r="646">
      <c r="B646" s="15" t="n"/>
      <c r="C646" s="16" t="n"/>
      <c r="D646" s="17" t="n"/>
      <c r="E646" s="17" t="n"/>
      <c r="F646" s="17" t="n"/>
      <c r="G646" s="17" t="n"/>
      <c r="H646" s="18">
        <f>IF(AND(B646="",C646="",D646="",E646=""),"",IF(B646="","⚠ Falta fecha",IF(C646="","⚠ Falta monto",IF(D646="","⚠ Falta categoría",IF(ISNA(MATCH(D646,catNom,0)),"⚠ Categoría no existe",IF(E646="","⚠ Falta cuenta",IF(ISNA(MATCH(E646,ctaNom,0)),"⚠ Cuenta no existe",IF(AND(OR(I646="Transferencia",I646="Pago tarjeta"),G646=""),"⚠ Indica la cuenta «Hacia»",IF(AND(G646&lt;&gt;"",G646=E646),"⚠ «Hacia» igual a la cuenta",IF(AND(G646&lt;&gt;"",ISNA(MATCH(G646,ctaNom,0))),"⚠ «Hacia» no existe",IF(AND(I646="Pago tarjeta",IFERROR(INDEX(ctaTipo,MATCH(G646,ctaNom,0)),"")&lt;&gt;"Tarjeta de crédito"),"⚠ «Hacia» debe ser la tarjeta",IF(AND(I646="Trading",IFERROR(INDEX(ctaTipo,MATCH(E646,ctaNom,0)),"")&lt;&gt;"Cuenta de trading"),"⚠ Usa la cuenta de trading","✓"))))))))))))</f>
        <v/>
      </c>
      <c r="I646" s="19">
        <f>IF(OR(B646="",C646="",D646=""),"",IFERROR(INDEX(catTipo,MATCH(D646,catNom,0))&amp;"",""))</f>
        <v/>
      </c>
      <c r="J646" s="19">
        <f>IF(I646="","",IFERROR(INDEX(catGrupo,MATCH(D646,catNom,0))&amp;"",""))</f>
        <v/>
      </c>
      <c r="K646" s="19">
        <f>IF(I646="Gasto",IF(IFERROR(INDEX(catClas,MATCH(D646,catNom,0))&amp;"","")="","Variable",IFERROR(INDEX(catClas,MATCH(D646,catNom,0))&amp;"","")),"")</f>
        <v/>
      </c>
      <c r="L646" s="19">
        <f>IF(I646="","",IFERROR(INDEX(catAlim,MATCH(D646,catNom,0))&amp;"",""))</f>
        <v/>
      </c>
      <c r="M646" s="19">
        <f>IF(I646="","",IFERROR(INDEX(catComida,MATCH(D646,catNom,0))&amp;"",""))</f>
        <v/>
      </c>
      <c r="N646" s="19">
        <f>IF(I646="","",IFERROR(INDEX(ctaMon,MATCH(E646,ctaNom,0))&amp;"","DOP"))</f>
        <v/>
      </c>
      <c r="O646" s="20">
        <f>IF(I646="","",C646*IF(N646="USD",TasaUSD,1))</f>
        <v/>
      </c>
      <c r="P646" s="20">
        <f>IF(I646="","",IF(I646="Gasto",O646,0))</f>
        <v/>
      </c>
      <c r="Q646" s="20">
        <f>IF(I646="","",IF(I646="Ingreso",O646,0))</f>
        <v/>
      </c>
      <c r="R646" s="20">
        <f>IF(I646="","",IF(I646="Trading",O646,0))</f>
        <v/>
      </c>
      <c r="S646" s="19">
        <f>IF(I646="","",IF(AND(I646="Gasto",K646="Variable",J646&lt;&gt;"Trading",O646&gt;0,O646&lt;=Umbral),1,0))</f>
        <v/>
      </c>
      <c r="T646" s="20">
        <f>IF(OR(I646="",E646=""),"",IF(OR(I646="Gasto",I646="Transferencia",I646="Pago tarjeta"),-1,1)*C646)</f>
        <v/>
      </c>
      <c r="U646" s="20">
        <f>IF(OR(G646="",AND(I646&lt;&gt;"Transferencia",I646&lt;&gt;"Pago tarjeta")),"",IF(IFERROR(INDEX(ctaMon,MATCH(G646,ctaNom,0))&amp;"","DOP")=N646,C646,IF(N646="USD",C646*TasaUSD,C646/TasaUSD)))</f>
        <v/>
      </c>
      <c r="V646" s="20">
        <f>IF(I646="","",IF(IFERROR(INDEX(ctaLiq,MATCH(E646,ctaNom,0))="Sí",FALSE),IF(OR(I646="Gasto",I646="Transferencia",I646="Pago tarjeta"),-1,1)*O646,0)+IF(AND(U646&lt;&gt;"",IFERROR(INDEX(ctaLiq,MATCH(G646,ctaNom,0))="Sí",FALSE)),O646,0))</f>
        <v/>
      </c>
      <c r="W646" s="19">
        <f>IF(OR(F646="",I646=""),"",IF(COUNTIFS(F$6:F646,F646,I$6:I646,"?*")=1,MAX(W$5:W645)+1,""))</f>
        <v/>
      </c>
    </row>
    <row r="647">
      <c r="B647" s="15" t="n"/>
      <c r="C647" s="16" t="n"/>
      <c r="D647" s="17" t="n"/>
      <c r="E647" s="17" t="n"/>
      <c r="F647" s="17" t="n"/>
      <c r="G647" s="17" t="n"/>
      <c r="H647" s="18">
        <f>IF(AND(B647="",C647="",D647="",E647=""),"",IF(B647="","⚠ Falta fecha",IF(C647="","⚠ Falta monto",IF(D647="","⚠ Falta categoría",IF(ISNA(MATCH(D647,catNom,0)),"⚠ Categoría no existe",IF(E647="","⚠ Falta cuenta",IF(ISNA(MATCH(E647,ctaNom,0)),"⚠ Cuenta no existe",IF(AND(OR(I647="Transferencia",I647="Pago tarjeta"),G647=""),"⚠ Indica la cuenta «Hacia»",IF(AND(G647&lt;&gt;"",G647=E647),"⚠ «Hacia» igual a la cuenta",IF(AND(G647&lt;&gt;"",ISNA(MATCH(G647,ctaNom,0))),"⚠ «Hacia» no existe",IF(AND(I647="Pago tarjeta",IFERROR(INDEX(ctaTipo,MATCH(G647,ctaNom,0)),"")&lt;&gt;"Tarjeta de crédito"),"⚠ «Hacia» debe ser la tarjeta",IF(AND(I647="Trading",IFERROR(INDEX(ctaTipo,MATCH(E647,ctaNom,0)),"")&lt;&gt;"Cuenta de trading"),"⚠ Usa la cuenta de trading","✓"))))))))))))</f>
        <v/>
      </c>
      <c r="I647" s="19">
        <f>IF(OR(B647="",C647="",D647=""),"",IFERROR(INDEX(catTipo,MATCH(D647,catNom,0))&amp;"",""))</f>
        <v/>
      </c>
      <c r="J647" s="19">
        <f>IF(I647="","",IFERROR(INDEX(catGrupo,MATCH(D647,catNom,0))&amp;"",""))</f>
        <v/>
      </c>
      <c r="K647" s="19">
        <f>IF(I647="Gasto",IF(IFERROR(INDEX(catClas,MATCH(D647,catNom,0))&amp;"","")="","Variable",IFERROR(INDEX(catClas,MATCH(D647,catNom,0))&amp;"","")),"")</f>
        <v/>
      </c>
      <c r="L647" s="19">
        <f>IF(I647="","",IFERROR(INDEX(catAlim,MATCH(D647,catNom,0))&amp;"",""))</f>
        <v/>
      </c>
      <c r="M647" s="19">
        <f>IF(I647="","",IFERROR(INDEX(catComida,MATCH(D647,catNom,0))&amp;"",""))</f>
        <v/>
      </c>
      <c r="N647" s="19">
        <f>IF(I647="","",IFERROR(INDEX(ctaMon,MATCH(E647,ctaNom,0))&amp;"","DOP"))</f>
        <v/>
      </c>
      <c r="O647" s="20">
        <f>IF(I647="","",C647*IF(N647="USD",TasaUSD,1))</f>
        <v/>
      </c>
      <c r="P647" s="20">
        <f>IF(I647="","",IF(I647="Gasto",O647,0))</f>
        <v/>
      </c>
      <c r="Q647" s="20">
        <f>IF(I647="","",IF(I647="Ingreso",O647,0))</f>
        <v/>
      </c>
      <c r="R647" s="20">
        <f>IF(I647="","",IF(I647="Trading",O647,0))</f>
        <v/>
      </c>
      <c r="S647" s="19">
        <f>IF(I647="","",IF(AND(I647="Gasto",K647="Variable",J647&lt;&gt;"Trading",O647&gt;0,O647&lt;=Umbral),1,0))</f>
        <v/>
      </c>
      <c r="T647" s="20">
        <f>IF(OR(I647="",E647=""),"",IF(OR(I647="Gasto",I647="Transferencia",I647="Pago tarjeta"),-1,1)*C647)</f>
        <v/>
      </c>
      <c r="U647" s="20">
        <f>IF(OR(G647="",AND(I647&lt;&gt;"Transferencia",I647&lt;&gt;"Pago tarjeta")),"",IF(IFERROR(INDEX(ctaMon,MATCH(G647,ctaNom,0))&amp;"","DOP")=N647,C647,IF(N647="USD",C647*TasaUSD,C647/TasaUSD)))</f>
        <v/>
      </c>
      <c r="V647" s="20">
        <f>IF(I647="","",IF(IFERROR(INDEX(ctaLiq,MATCH(E647,ctaNom,0))="Sí",FALSE),IF(OR(I647="Gasto",I647="Transferencia",I647="Pago tarjeta"),-1,1)*O647,0)+IF(AND(U647&lt;&gt;"",IFERROR(INDEX(ctaLiq,MATCH(G647,ctaNom,0))="Sí",FALSE)),O647,0))</f>
        <v/>
      </c>
      <c r="W647" s="19">
        <f>IF(OR(F647="",I647=""),"",IF(COUNTIFS(F$6:F647,F647,I$6:I647,"?*")=1,MAX(W$5:W646)+1,""))</f>
        <v/>
      </c>
    </row>
    <row r="648">
      <c r="B648" s="15" t="n"/>
      <c r="C648" s="16" t="n"/>
      <c r="D648" s="17" t="n"/>
      <c r="E648" s="17" t="n"/>
      <c r="F648" s="17" t="n"/>
      <c r="G648" s="17" t="n"/>
      <c r="H648" s="18">
        <f>IF(AND(B648="",C648="",D648="",E648=""),"",IF(B648="","⚠ Falta fecha",IF(C648="","⚠ Falta monto",IF(D648="","⚠ Falta categoría",IF(ISNA(MATCH(D648,catNom,0)),"⚠ Categoría no existe",IF(E648="","⚠ Falta cuenta",IF(ISNA(MATCH(E648,ctaNom,0)),"⚠ Cuenta no existe",IF(AND(OR(I648="Transferencia",I648="Pago tarjeta"),G648=""),"⚠ Indica la cuenta «Hacia»",IF(AND(G648&lt;&gt;"",G648=E648),"⚠ «Hacia» igual a la cuenta",IF(AND(G648&lt;&gt;"",ISNA(MATCH(G648,ctaNom,0))),"⚠ «Hacia» no existe",IF(AND(I648="Pago tarjeta",IFERROR(INDEX(ctaTipo,MATCH(G648,ctaNom,0)),"")&lt;&gt;"Tarjeta de crédito"),"⚠ «Hacia» debe ser la tarjeta",IF(AND(I648="Trading",IFERROR(INDEX(ctaTipo,MATCH(E648,ctaNom,0)),"")&lt;&gt;"Cuenta de trading"),"⚠ Usa la cuenta de trading","✓"))))))))))))</f>
        <v/>
      </c>
      <c r="I648" s="19">
        <f>IF(OR(B648="",C648="",D648=""),"",IFERROR(INDEX(catTipo,MATCH(D648,catNom,0))&amp;"",""))</f>
        <v/>
      </c>
      <c r="J648" s="19">
        <f>IF(I648="","",IFERROR(INDEX(catGrupo,MATCH(D648,catNom,0))&amp;"",""))</f>
        <v/>
      </c>
      <c r="K648" s="19">
        <f>IF(I648="Gasto",IF(IFERROR(INDEX(catClas,MATCH(D648,catNom,0))&amp;"","")="","Variable",IFERROR(INDEX(catClas,MATCH(D648,catNom,0))&amp;"","")),"")</f>
        <v/>
      </c>
      <c r="L648" s="19">
        <f>IF(I648="","",IFERROR(INDEX(catAlim,MATCH(D648,catNom,0))&amp;"",""))</f>
        <v/>
      </c>
      <c r="M648" s="19">
        <f>IF(I648="","",IFERROR(INDEX(catComida,MATCH(D648,catNom,0))&amp;"",""))</f>
        <v/>
      </c>
      <c r="N648" s="19">
        <f>IF(I648="","",IFERROR(INDEX(ctaMon,MATCH(E648,ctaNom,0))&amp;"","DOP"))</f>
        <v/>
      </c>
      <c r="O648" s="20">
        <f>IF(I648="","",C648*IF(N648="USD",TasaUSD,1))</f>
        <v/>
      </c>
      <c r="P648" s="20">
        <f>IF(I648="","",IF(I648="Gasto",O648,0))</f>
        <v/>
      </c>
      <c r="Q648" s="20">
        <f>IF(I648="","",IF(I648="Ingreso",O648,0))</f>
        <v/>
      </c>
      <c r="R648" s="20">
        <f>IF(I648="","",IF(I648="Trading",O648,0))</f>
        <v/>
      </c>
      <c r="S648" s="19">
        <f>IF(I648="","",IF(AND(I648="Gasto",K648="Variable",J648&lt;&gt;"Trading",O648&gt;0,O648&lt;=Umbral),1,0))</f>
        <v/>
      </c>
      <c r="T648" s="20">
        <f>IF(OR(I648="",E648=""),"",IF(OR(I648="Gasto",I648="Transferencia",I648="Pago tarjeta"),-1,1)*C648)</f>
        <v/>
      </c>
      <c r="U648" s="20">
        <f>IF(OR(G648="",AND(I648&lt;&gt;"Transferencia",I648&lt;&gt;"Pago tarjeta")),"",IF(IFERROR(INDEX(ctaMon,MATCH(G648,ctaNom,0))&amp;"","DOP")=N648,C648,IF(N648="USD",C648*TasaUSD,C648/TasaUSD)))</f>
        <v/>
      </c>
      <c r="V648" s="20">
        <f>IF(I648="","",IF(IFERROR(INDEX(ctaLiq,MATCH(E648,ctaNom,0))="Sí",FALSE),IF(OR(I648="Gasto",I648="Transferencia",I648="Pago tarjeta"),-1,1)*O648,0)+IF(AND(U648&lt;&gt;"",IFERROR(INDEX(ctaLiq,MATCH(G648,ctaNom,0))="Sí",FALSE)),O648,0))</f>
        <v/>
      </c>
      <c r="W648" s="19">
        <f>IF(OR(F648="",I648=""),"",IF(COUNTIFS(F$6:F648,F648,I$6:I648,"?*")=1,MAX(W$5:W647)+1,""))</f>
        <v/>
      </c>
    </row>
    <row r="649">
      <c r="B649" s="15" t="n"/>
      <c r="C649" s="16" t="n"/>
      <c r="D649" s="17" t="n"/>
      <c r="E649" s="17" t="n"/>
      <c r="F649" s="17" t="n"/>
      <c r="G649" s="17" t="n"/>
      <c r="H649" s="18">
        <f>IF(AND(B649="",C649="",D649="",E649=""),"",IF(B649="","⚠ Falta fecha",IF(C649="","⚠ Falta monto",IF(D649="","⚠ Falta categoría",IF(ISNA(MATCH(D649,catNom,0)),"⚠ Categoría no existe",IF(E649="","⚠ Falta cuenta",IF(ISNA(MATCH(E649,ctaNom,0)),"⚠ Cuenta no existe",IF(AND(OR(I649="Transferencia",I649="Pago tarjeta"),G649=""),"⚠ Indica la cuenta «Hacia»",IF(AND(G649&lt;&gt;"",G649=E649),"⚠ «Hacia» igual a la cuenta",IF(AND(G649&lt;&gt;"",ISNA(MATCH(G649,ctaNom,0))),"⚠ «Hacia» no existe",IF(AND(I649="Pago tarjeta",IFERROR(INDEX(ctaTipo,MATCH(G649,ctaNom,0)),"")&lt;&gt;"Tarjeta de crédito"),"⚠ «Hacia» debe ser la tarjeta",IF(AND(I649="Trading",IFERROR(INDEX(ctaTipo,MATCH(E649,ctaNom,0)),"")&lt;&gt;"Cuenta de trading"),"⚠ Usa la cuenta de trading","✓"))))))))))))</f>
        <v/>
      </c>
      <c r="I649" s="19">
        <f>IF(OR(B649="",C649="",D649=""),"",IFERROR(INDEX(catTipo,MATCH(D649,catNom,0))&amp;"",""))</f>
        <v/>
      </c>
      <c r="J649" s="19">
        <f>IF(I649="","",IFERROR(INDEX(catGrupo,MATCH(D649,catNom,0))&amp;"",""))</f>
        <v/>
      </c>
      <c r="K649" s="19">
        <f>IF(I649="Gasto",IF(IFERROR(INDEX(catClas,MATCH(D649,catNom,0))&amp;"","")="","Variable",IFERROR(INDEX(catClas,MATCH(D649,catNom,0))&amp;"","")),"")</f>
        <v/>
      </c>
      <c r="L649" s="19">
        <f>IF(I649="","",IFERROR(INDEX(catAlim,MATCH(D649,catNom,0))&amp;"",""))</f>
        <v/>
      </c>
      <c r="M649" s="19">
        <f>IF(I649="","",IFERROR(INDEX(catComida,MATCH(D649,catNom,0))&amp;"",""))</f>
        <v/>
      </c>
      <c r="N649" s="19">
        <f>IF(I649="","",IFERROR(INDEX(ctaMon,MATCH(E649,ctaNom,0))&amp;"","DOP"))</f>
        <v/>
      </c>
      <c r="O649" s="20">
        <f>IF(I649="","",C649*IF(N649="USD",TasaUSD,1))</f>
        <v/>
      </c>
      <c r="P649" s="20">
        <f>IF(I649="","",IF(I649="Gasto",O649,0))</f>
        <v/>
      </c>
      <c r="Q649" s="20">
        <f>IF(I649="","",IF(I649="Ingreso",O649,0))</f>
        <v/>
      </c>
      <c r="R649" s="20">
        <f>IF(I649="","",IF(I649="Trading",O649,0))</f>
        <v/>
      </c>
      <c r="S649" s="19">
        <f>IF(I649="","",IF(AND(I649="Gasto",K649="Variable",J649&lt;&gt;"Trading",O649&gt;0,O649&lt;=Umbral),1,0))</f>
        <v/>
      </c>
      <c r="T649" s="20">
        <f>IF(OR(I649="",E649=""),"",IF(OR(I649="Gasto",I649="Transferencia",I649="Pago tarjeta"),-1,1)*C649)</f>
        <v/>
      </c>
      <c r="U649" s="20">
        <f>IF(OR(G649="",AND(I649&lt;&gt;"Transferencia",I649&lt;&gt;"Pago tarjeta")),"",IF(IFERROR(INDEX(ctaMon,MATCH(G649,ctaNom,0))&amp;"","DOP")=N649,C649,IF(N649="USD",C649*TasaUSD,C649/TasaUSD)))</f>
        <v/>
      </c>
      <c r="V649" s="20">
        <f>IF(I649="","",IF(IFERROR(INDEX(ctaLiq,MATCH(E649,ctaNom,0))="Sí",FALSE),IF(OR(I649="Gasto",I649="Transferencia",I649="Pago tarjeta"),-1,1)*O649,0)+IF(AND(U649&lt;&gt;"",IFERROR(INDEX(ctaLiq,MATCH(G649,ctaNom,0))="Sí",FALSE)),O649,0))</f>
        <v/>
      </c>
      <c r="W649" s="19">
        <f>IF(OR(F649="",I649=""),"",IF(COUNTIFS(F$6:F649,F649,I$6:I649,"?*")=1,MAX(W$5:W648)+1,""))</f>
        <v/>
      </c>
    </row>
    <row r="650">
      <c r="B650" s="15" t="n"/>
      <c r="C650" s="16" t="n"/>
      <c r="D650" s="17" t="n"/>
      <c r="E650" s="17" t="n"/>
      <c r="F650" s="17" t="n"/>
      <c r="G650" s="17" t="n"/>
      <c r="H650" s="18">
        <f>IF(AND(B650="",C650="",D650="",E650=""),"",IF(B650="","⚠ Falta fecha",IF(C650="","⚠ Falta monto",IF(D650="","⚠ Falta categoría",IF(ISNA(MATCH(D650,catNom,0)),"⚠ Categoría no existe",IF(E650="","⚠ Falta cuenta",IF(ISNA(MATCH(E650,ctaNom,0)),"⚠ Cuenta no existe",IF(AND(OR(I650="Transferencia",I650="Pago tarjeta"),G650=""),"⚠ Indica la cuenta «Hacia»",IF(AND(G650&lt;&gt;"",G650=E650),"⚠ «Hacia» igual a la cuenta",IF(AND(G650&lt;&gt;"",ISNA(MATCH(G650,ctaNom,0))),"⚠ «Hacia» no existe",IF(AND(I650="Pago tarjeta",IFERROR(INDEX(ctaTipo,MATCH(G650,ctaNom,0)),"")&lt;&gt;"Tarjeta de crédito"),"⚠ «Hacia» debe ser la tarjeta",IF(AND(I650="Trading",IFERROR(INDEX(ctaTipo,MATCH(E650,ctaNom,0)),"")&lt;&gt;"Cuenta de trading"),"⚠ Usa la cuenta de trading","✓"))))))))))))</f>
        <v/>
      </c>
      <c r="I650" s="19">
        <f>IF(OR(B650="",C650="",D650=""),"",IFERROR(INDEX(catTipo,MATCH(D650,catNom,0))&amp;"",""))</f>
        <v/>
      </c>
      <c r="J650" s="19">
        <f>IF(I650="","",IFERROR(INDEX(catGrupo,MATCH(D650,catNom,0))&amp;"",""))</f>
        <v/>
      </c>
      <c r="K650" s="19">
        <f>IF(I650="Gasto",IF(IFERROR(INDEX(catClas,MATCH(D650,catNom,0))&amp;"","")="","Variable",IFERROR(INDEX(catClas,MATCH(D650,catNom,0))&amp;"","")),"")</f>
        <v/>
      </c>
      <c r="L650" s="19">
        <f>IF(I650="","",IFERROR(INDEX(catAlim,MATCH(D650,catNom,0))&amp;"",""))</f>
        <v/>
      </c>
      <c r="M650" s="19">
        <f>IF(I650="","",IFERROR(INDEX(catComida,MATCH(D650,catNom,0))&amp;"",""))</f>
        <v/>
      </c>
      <c r="N650" s="19">
        <f>IF(I650="","",IFERROR(INDEX(ctaMon,MATCH(E650,ctaNom,0))&amp;"","DOP"))</f>
        <v/>
      </c>
      <c r="O650" s="20">
        <f>IF(I650="","",C650*IF(N650="USD",TasaUSD,1))</f>
        <v/>
      </c>
      <c r="P650" s="20">
        <f>IF(I650="","",IF(I650="Gasto",O650,0))</f>
        <v/>
      </c>
      <c r="Q650" s="20">
        <f>IF(I650="","",IF(I650="Ingreso",O650,0))</f>
        <v/>
      </c>
      <c r="R650" s="20">
        <f>IF(I650="","",IF(I650="Trading",O650,0))</f>
        <v/>
      </c>
      <c r="S650" s="19">
        <f>IF(I650="","",IF(AND(I650="Gasto",K650="Variable",J650&lt;&gt;"Trading",O650&gt;0,O650&lt;=Umbral),1,0))</f>
        <v/>
      </c>
      <c r="T650" s="20">
        <f>IF(OR(I650="",E650=""),"",IF(OR(I650="Gasto",I650="Transferencia",I650="Pago tarjeta"),-1,1)*C650)</f>
        <v/>
      </c>
      <c r="U650" s="20">
        <f>IF(OR(G650="",AND(I650&lt;&gt;"Transferencia",I650&lt;&gt;"Pago tarjeta")),"",IF(IFERROR(INDEX(ctaMon,MATCH(G650,ctaNom,0))&amp;"","DOP")=N650,C650,IF(N650="USD",C650*TasaUSD,C650/TasaUSD)))</f>
        <v/>
      </c>
      <c r="V650" s="20">
        <f>IF(I650="","",IF(IFERROR(INDEX(ctaLiq,MATCH(E650,ctaNom,0))="Sí",FALSE),IF(OR(I650="Gasto",I650="Transferencia",I650="Pago tarjeta"),-1,1)*O650,0)+IF(AND(U650&lt;&gt;"",IFERROR(INDEX(ctaLiq,MATCH(G650,ctaNom,0))="Sí",FALSE)),O650,0))</f>
        <v/>
      </c>
      <c r="W650" s="19">
        <f>IF(OR(F650="",I650=""),"",IF(COUNTIFS(F$6:F650,F650,I$6:I650,"?*")=1,MAX(W$5:W649)+1,""))</f>
        <v/>
      </c>
    </row>
    <row r="651">
      <c r="B651" s="15" t="n"/>
      <c r="C651" s="16" t="n"/>
      <c r="D651" s="17" t="n"/>
      <c r="E651" s="17" t="n"/>
      <c r="F651" s="17" t="n"/>
      <c r="G651" s="17" t="n"/>
      <c r="H651" s="18">
        <f>IF(AND(B651="",C651="",D651="",E651=""),"",IF(B651="","⚠ Falta fecha",IF(C651="","⚠ Falta monto",IF(D651="","⚠ Falta categoría",IF(ISNA(MATCH(D651,catNom,0)),"⚠ Categoría no existe",IF(E651="","⚠ Falta cuenta",IF(ISNA(MATCH(E651,ctaNom,0)),"⚠ Cuenta no existe",IF(AND(OR(I651="Transferencia",I651="Pago tarjeta"),G651=""),"⚠ Indica la cuenta «Hacia»",IF(AND(G651&lt;&gt;"",G651=E651),"⚠ «Hacia» igual a la cuenta",IF(AND(G651&lt;&gt;"",ISNA(MATCH(G651,ctaNom,0))),"⚠ «Hacia» no existe",IF(AND(I651="Pago tarjeta",IFERROR(INDEX(ctaTipo,MATCH(G651,ctaNom,0)),"")&lt;&gt;"Tarjeta de crédito"),"⚠ «Hacia» debe ser la tarjeta",IF(AND(I651="Trading",IFERROR(INDEX(ctaTipo,MATCH(E651,ctaNom,0)),"")&lt;&gt;"Cuenta de trading"),"⚠ Usa la cuenta de trading","✓"))))))))))))</f>
        <v/>
      </c>
      <c r="I651" s="19">
        <f>IF(OR(B651="",C651="",D651=""),"",IFERROR(INDEX(catTipo,MATCH(D651,catNom,0))&amp;"",""))</f>
        <v/>
      </c>
      <c r="J651" s="19">
        <f>IF(I651="","",IFERROR(INDEX(catGrupo,MATCH(D651,catNom,0))&amp;"",""))</f>
        <v/>
      </c>
      <c r="K651" s="19">
        <f>IF(I651="Gasto",IF(IFERROR(INDEX(catClas,MATCH(D651,catNom,0))&amp;"","")="","Variable",IFERROR(INDEX(catClas,MATCH(D651,catNom,0))&amp;"","")),"")</f>
        <v/>
      </c>
      <c r="L651" s="19">
        <f>IF(I651="","",IFERROR(INDEX(catAlim,MATCH(D651,catNom,0))&amp;"",""))</f>
        <v/>
      </c>
      <c r="M651" s="19">
        <f>IF(I651="","",IFERROR(INDEX(catComida,MATCH(D651,catNom,0))&amp;"",""))</f>
        <v/>
      </c>
      <c r="N651" s="19">
        <f>IF(I651="","",IFERROR(INDEX(ctaMon,MATCH(E651,ctaNom,0))&amp;"","DOP"))</f>
        <v/>
      </c>
      <c r="O651" s="20">
        <f>IF(I651="","",C651*IF(N651="USD",TasaUSD,1))</f>
        <v/>
      </c>
      <c r="P651" s="20">
        <f>IF(I651="","",IF(I651="Gasto",O651,0))</f>
        <v/>
      </c>
      <c r="Q651" s="20">
        <f>IF(I651="","",IF(I651="Ingreso",O651,0))</f>
        <v/>
      </c>
      <c r="R651" s="20">
        <f>IF(I651="","",IF(I651="Trading",O651,0))</f>
        <v/>
      </c>
      <c r="S651" s="19">
        <f>IF(I651="","",IF(AND(I651="Gasto",K651="Variable",J651&lt;&gt;"Trading",O651&gt;0,O651&lt;=Umbral),1,0))</f>
        <v/>
      </c>
      <c r="T651" s="20">
        <f>IF(OR(I651="",E651=""),"",IF(OR(I651="Gasto",I651="Transferencia",I651="Pago tarjeta"),-1,1)*C651)</f>
        <v/>
      </c>
      <c r="U651" s="20">
        <f>IF(OR(G651="",AND(I651&lt;&gt;"Transferencia",I651&lt;&gt;"Pago tarjeta")),"",IF(IFERROR(INDEX(ctaMon,MATCH(G651,ctaNom,0))&amp;"","DOP")=N651,C651,IF(N651="USD",C651*TasaUSD,C651/TasaUSD)))</f>
        <v/>
      </c>
      <c r="V651" s="20">
        <f>IF(I651="","",IF(IFERROR(INDEX(ctaLiq,MATCH(E651,ctaNom,0))="Sí",FALSE),IF(OR(I651="Gasto",I651="Transferencia",I651="Pago tarjeta"),-1,1)*O651,0)+IF(AND(U651&lt;&gt;"",IFERROR(INDEX(ctaLiq,MATCH(G651,ctaNom,0))="Sí",FALSE)),O651,0))</f>
        <v/>
      </c>
      <c r="W651" s="19">
        <f>IF(OR(F651="",I651=""),"",IF(COUNTIFS(F$6:F651,F651,I$6:I651,"?*")=1,MAX(W$5:W650)+1,""))</f>
        <v/>
      </c>
    </row>
    <row r="652">
      <c r="B652" s="15" t="n"/>
      <c r="C652" s="16" t="n"/>
      <c r="D652" s="17" t="n"/>
      <c r="E652" s="17" t="n"/>
      <c r="F652" s="17" t="n"/>
      <c r="G652" s="17" t="n"/>
      <c r="H652" s="18">
        <f>IF(AND(B652="",C652="",D652="",E652=""),"",IF(B652="","⚠ Falta fecha",IF(C652="","⚠ Falta monto",IF(D652="","⚠ Falta categoría",IF(ISNA(MATCH(D652,catNom,0)),"⚠ Categoría no existe",IF(E652="","⚠ Falta cuenta",IF(ISNA(MATCH(E652,ctaNom,0)),"⚠ Cuenta no existe",IF(AND(OR(I652="Transferencia",I652="Pago tarjeta"),G652=""),"⚠ Indica la cuenta «Hacia»",IF(AND(G652&lt;&gt;"",G652=E652),"⚠ «Hacia» igual a la cuenta",IF(AND(G652&lt;&gt;"",ISNA(MATCH(G652,ctaNom,0))),"⚠ «Hacia» no existe",IF(AND(I652="Pago tarjeta",IFERROR(INDEX(ctaTipo,MATCH(G652,ctaNom,0)),"")&lt;&gt;"Tarjeta de crédito"),"⚠ «Hacia» debe ser la tarjeta",IF(AND(I652="Trading",IFERROR(INDEX(ctaTipo,MATCH(E652,ctaNom,0)),"")&lt;&gt;"Cuenta de trading"),"⚠ Usa la cuenta de trading","✓"))))))))))))</f>
        <v/>
      </c>
      <c r="I652" s="19">
        <f>IF(OR(B652="",C652="",D652=""),"",IFERROR(INDEX(catTipo,MATCH(D652,catNom,0))&amp;"",""))</f>
        <v/>
      </c>
      <c r="J652" s="19">
        <f>IF(I652="","",IFERROR(INDEX(catGrupo,MATCH(D652,catNom,0))&amp;"",""))</f>
        <v/>
      </c>
      <c r="K652" s="19">
        <f>IF(I652="Gasto",IF(IFERROR(INDEX(catClas,MATCH(D652,catNom,0))&amp;"","")="","Variable",IFERROR(INDEX(catClas,MATCH(D652,catNom,0))&amp;"","")),"")</f>
        <v/>
      </c>
      <c r="L652" s="19">
        <f>IF(I652="","",IFERROR(INDEX(catAlim,MATCH(D652,catNom,0))&amp;"",""))</f>
        <v/>
      </c>
      <c r="M652" s="19">
        <f>IF(I652="","",IFERROR(INDEX(catComida,MATCH(D652,catNom,0))&amp;"",""))</f>
        <v/>
      </c>
      <c r="N652" s="19">
        <f>IF(I652="","",IFERROR(INDEX(ctaMon,MATCH(E652,ctaNom,0))&amp;"","DOP"))</f>
        <v/>
      </c>
      <c r="O652" s="20">
        <f>IF(I652="","",C652*IF(N652="USD",TasaUSD,1))</f>
        <v/>
      </c>
      <c r="P652" s="20">
        <f>IF(I652="","",IF(I652="Gasto",O652,0))</f>
        <v/>
      </c>
      <c r="Q652" s="20">
        <f>IF(I652="","",IF(I652="Ingreso",O652,0))</f>
        <v/>
      </c>
      <c r="R652" s="20">
        <f>IF(I652="","",IF(I652="Trading",O652,0))</f>
        <v/>
      </c>
      <c r="S652" s="19">
        <f>IF(I652="","",IF(AND(I652="Gasto",K652="Variable",J652&lt;&gt;"Trading",O652&gt;0,O652&lt;=Umbral),1,0))</f>
        <v/>
      </c>
      <c r="T652" s="20">
        <f>IF(OR(I652="",E652=""),"",IF(OR(I652="Gasto",I652="Transferencia",I652="Pago tarjeta"),-1,1)*C652)</f>
        <v/>
      </c>
      <c r="U652" s="20">
        <f>IF(OR(G652="",AND(I652&lt;&gt;"Transferencia",I652&lt;&gt;"Pago tarjeta")),"",IF(IFERROR(INDEX(ctaMon,MATCH(G652,ctaNom,0))&amp;"","DOP")=N652,C652,IF(N652="USD",C652*TasaUSD,C652/TasaUSD)))</f>
        <v/>
      </c>
      <c r="V652" s="20">
        <f>IF(I652="","",IF(IFERROR(INDEX(ctaLiq,MATCH(E652,ctaNom,0))="Sí",FALSE),IF(OR(I652="Gasto",I652="Transferencia",I652="Pago tarjeta"),-1,1)*O652,0)+IF(AND(U652&lt;&gt;"",IFERROR(INDEX(ctaLiq,MATCH(G652,ctaNom,0))="Sí",FALSE)),O652,0))</f>
        <v/>
      </c>
      <c r="W652" s="19">
        <f>IF(OR(F652="",I652=""),"",IF(COUNTIFS(F$6:F652,F652,I$6:I652,"?*")=1,MAX(W$5:W651)+1,""))</f>
        <v/>
      </c>
    </row>
    <row r="653">
      <c r="B653" s="15" t="n"/>
      <c r="C653" s="16" t="n"/>
      <c r="D653" s="17" t="n"/>
      <c r="E653" s="17" t="n"/>
      <c r="F653" s="17" t="n"/>
      <c r="G653" s="17" t="n"/>
      <c r="H653" s="18">
        <f>IF(AND(B653="",C653="",D653="",E653=""),"",IF(B653="","⚠ Falta fecha",IF(C653="","⚠ Falta monto",IF(D653="","⚠ Falta categoría",IF(ISNA(MATCH(D653,catNom,0)),"⚠ Categoría no existe",IF(E653="","⚠ Falta cuenta",IF(ISNA(MATCH(E653,ctaNom,0)),"⚠ Cuenta no existe",IF(AND(OR(I653="Transferencia",I653="Pago tarjeta"),G653=""),"⚠ Indica la cuenta «Hacia»",IF(AND(G653&lt;&gt;"",G653=E653),"⚠ «Hacia» igual a la cuenta",IF(AND(G653&lt;&gt;"",ISNA(MATCH(G653,ctaNom,0))),"⚠ «Hacia» no existe",IF(AND(I653="Pago tarjeta",IFERROR(INDEX(ctaTipo,MATCH(G653,ctaNom,0)),"")&lt;&gt;"Tarjeta de crédito"),"⚠ «Hacia» debe ser la tarjeta",IF(AND(I653="Trading",IFERROR(INDEX(ctaTipo,MATCH(E653,ctaNom,0)),"")&lt;&gt;"Cuenta de trading"),"⚠ Usa la cuenta de trading","✓"))))))))))))</f>
        <v/>
      </c>
      <c r="I653" s="19">
        <f>IF(OR(B653="",C653="",D653=""),"",IFERROR(INDEX(catTipo,MATCH(D653,catNom,0))&amp;"",""))</f>
        <v/>
      </c>
      <c r="J653" s="19">
        <f>IF(I653="","",IFERROR(INDEX(catGrupo,MATCH(D653,catNom,0))&amp;"",""))</f>
        <v/>
      </c>
      <c r="K653" s="19">
        <f>IF(I653="Gasto",IF(IFERROR(INDEX(catClas,MATCH(D653,catNom,0))&amp;"","")="","Variable",IFERROR(INDEX(catClas,MATCH(D653,catNom,0))&amp;"","")),"")</f>
        <v/>
      </c>
      <c r="L653" s="19">
        <f>IF(I653="","",IFERROR(INDEX(catAlim,MATCH(D653,catNom,0))&amp;"",""))</f>
        <v/>
      </c>
      <c r="M653" s="19">
        <f>IF(I653="","",IFERROR(INDEX(catComida,MATCH(D653,catNom,0))&amp;"",""))</f>
        <v/>
      </c>
      <c r="N653" s="19">
        <f>IF(I653="","",IFERROR(INDEX(ctaMon,MATCH(E653,ctaNom,0))&amp;"","DOP"))</f>
        <v/>
      </c>
      <c r="O653" s="20">
        <f>IF(I653="","",C653*IF(N653="USD",TasaUSD,1))</f>
        <v/>
      </c>
      <c r="P653" s="20">
        <f>IF(I653="","",IF(I653="Gasto",O653,0))</f>
        <v/>
      </c>
      <c r="Q653" s="20">
        <f>IF(I653="","",IF(I653="Ingreso",O653,0))</f>
        <v/>
      </c>
      <c r="R653" s="20">
        <f>IF(I653="","",IF(I653="Trading",O653,0))</f>
        <v/>
      </c>
      <c r="S653" s="19">
        <f>IF(I653="","",IF(AND(I653="Gasto",K653="Variable",J653&lt;&gt;"Trading",O653&gt;0,O653&lt;=Umbral),1,0))</f>
        <v/>
      </c>
      <c r="T653" s="20">
        <f>IF(OR(I653="",E653=""),"",IF(OR(I653="Gasto",I653="Transferencia",I653="Pago tarjeta"),-1,1)*C653)</f>
        <v/>
      </c>
      <c r="U653" s="20">
        <f>IF(OR(G653="",AND(I653&lt;&gt;"Transferencia",I653&lt;&gt;"Pago tarjeta")),"",IF(IFERROR(INDEX(ctaMon,MATCH(G653,ctaNom,0))&amp;"","DOP")=N653,C653,IF(N653="USD",C653*TasaUSD,C653/TasaUSD)))</f>
        <v/>
      </c>
      <c r="V653" s="20">
        <f>IF(I653="","",IF(IFERROR(INDEX(ctaLiq,MATCH(E653,ctaNom,0))="Sí",FALSE),IF(OR(I653="Gasto",I653="Transferencia",I653="Pago tarjeta"),-1,1)*O653,0)+IF(AND(U653&lt;&gt;"",IFERROR(INDEX(ctaLiq,MATCH(G653,ctaNom,0))="Sí",FALSE)),O653,0))</f>
        <v/>
      </c>
      <c r="W653" s="19">
        <f>IF(OR(F653="",I653=""),"",IF(COUNTIFS(F$6:F653,F653,I$6:I653,"?*")=1,MAX(W$5:W652)+1,""))</f>
        <v/>
      </c>
    </row>
    <row r="654">
      <c r="B654" s="15" t="n"/>
      <c r="C654" s="16" t="n"/>
      <c r="D654" s="17" t="n"/>
      <c r="E654" s="17" t="n"/>
      <c r="F654" s="17" t="n"/>
      <c r="G654" s="17" t="n"/>
      <c r="H654" s="18">
        <f>IF(AND(B654="",C654="",D654="",E654=""),"",IF(B654="","⚠ Falta fecha",IF(C654="","⚠ Falta monto",IF(D654="","⚠ Falta categoría",IF(ISNA(MATCH(D654,catNom,0)),"⚠ Categoría no existe",IF(E654="","⚠ Falta cuenta",IF(ISNA(MATCH(E654,ctaNom,0)),"⚠ Cuenta no existe",IF(AND(OR(I654="Transferencia",I654="Pago tarjeta"),G654=""),"⚠ Indica la cuenta «Hacia»",IF(AND(G654&lt;&gt;"",G654=E654),"⚠ «Hacia» igual a la cuenta",IF(AND(G654&lt;&gt;"",ISNA(MATCH(G654,ctaNom,0))),"⚠ «Hacia» no existe",IF(AND(I654="Pago tarjeta",IFERROR(INDEX(ctaTipo,MATCH(G654,ctaNom,0)),"")&lt;&gt;"Tarjeta de crédito"),"⚠ «Hacia» debe ser la tarjeta",IF(AND(I654="Trading",IFERROR(INDEX(ctaTipo,MATCH(E654,ctaNom,0)),"")&lt;&gt;"Cuenta de trading"),"⚠ Usa la cuenta de trading","✓"))))))))))))</f>
        <v/>
      </c>
      <c r="I654" s="19">
        <f>IF(OR(B654="",C654="",D654=""),"",IFERROR(INDEX(catTipo,MATCH(D654,catNom,0))&amp;"",""))</f>
        <v/>
      </c>
      <c r="J654" s="19">
        <f>IF(I654="","",IFERROR(INDEX(catGrupo,MATCH(D654,catNom,0))&amp;"",""))</f>
        <v/>
      </c>
      <c r="K654" s="19">
        <f>IF(I654="Gasto",IF(IFERROR(INDEX(catClas,MATCH(D654,catNom,0))&amp;"","")="","Variable",IFERROR(INDEX(catClas,MATCH(D654,catNom,0))&amp;"","")),"")</f>
        <v/>
      </c>
      <c r="L654" s="19">
        <f>IF(I654="","",IFERROR(INDEX(catAlim,MATCH(D654,catNom,0))&amp;"",""))</f>
        <v/>
      </c>
      <c r="M654" s="19">
        <f>IF(I654="","",IFERROR(INDEX(catComida,MATCH(D654,catNom,0))&amp;"",""))</f>
        <v/>
      </c>
      <c r="N654" s="19">
        <f>IF(I654="","",IFERROR(INDEX(ctaMon,MATCH(E654,ctaNom,0))&amp;"","DOP"))</f>
        <v/>
      </c>
      <c r="O654" s="20">
        <f>IF(I654="","",C654*IF(N654="USD",TasaUSD,1))</f>
        <v/>
      </c>
      <c r="P654" s="20">
        <f>IF(I654="","",IF(I654="Gasto",O654,0))</f>
        <v/>
      </c>
      <c r="Q654" s="20">
        <f>IF(I654="","",IF(I654="Ingreso",O654,0))</f>
        <v/>
      </c>
      <c r="R654" s="20">
        <f>IF(I654="","",IF(I654="Trading",O654,0))</f>
        <v/>
      </c>
      <c r="S654" s="19">
        <f>IF(I654="","",IF(AND(I654="Gasto",K654="Variable",J654&lt;&gt;"Trading",O654&gt;0,O654&lt;=Umbral),1,0))</f>
        <v/>
      </c>
      <c r="T654" s="20">
        <f>IF(OR(I654="",E654=""),"",IF(OR(I654="Gasto",I654="Transferencia",I654="Pago tarjeta"),-1,1)*C654)</f>
        <v/>
      </c>
      <c r="U654" s="20">
        <f>IF(OR(G654="",AND(I654&lt;&gt;"Transferencia",I654&lt;&gt;"Pago tarjeta")),"",IF(IFERROR(INDEX(ctaMon,MATCH(G654,ctaNom,0))&amp;"","DOP")=N654,C654,IF(N654="USD",C654*TasaUSD,C654/TasaUSD)))</f>
        <v/>
      </c>
      <c r="V654" s="20">
        <f>IF(I654="","",IF(IFERROR(INDEX(ctaLiq,MATCH(E654,ctaNom,0))="Sí",FALSE),IF(OR(I654="Gasto",I654="Transferencia",I654="Pago tarjeta"),-1,1)*O654,0)+IF(AND(U654&lt;&gt;"",IFERROR(INDEX(ctaLiq,MATCH(G654,ctaNom,0))="Sí",FALSE)),O654,0))</f>
        <v/>
      </c>
      <c r="W654" s="19">
        <f>IF(OR(F654="",I654=""),"",IF(COUNTIFS(F$6:F654,F654,I$6:I654,"?*")=1,MAX(W$5:W653)+1,""))</f>
        <v/>
      </c>
    </row>
    <row r="655">
      <c r="B655" s="15" t="n"/>
      <c r="C655" s="16" t="n"/>
      <c r="D655" s="17" t="n"/>
      <c r="E655" s="17" t="n"/>
      <c r="F655" s="17" t="n"/>
      <c r="G655" s="17" t="n"/>
      <c r="H655" s="18">
        <f>IF(AND(B655="",C655="",D655="",E655=""),"",IF(B655="","⚠ Falta fecha",IF(C655="","⚠ Falta monto",IF(D655="","⚠ Falta categoría",IF(ISNA(MATCH(D655,catNom,0)),"⚠ Categoría no existe",IF(E655="","⚠ Falta cuenta",IF(ISNA(MATCH(E655,ctaNom,0)),"⚠ Cuenta no existe",IF(AND(OR(I655="Transferencia",I655="Pago tarjeta"),G655=""),"⚠ Indica la cuenta «Hacia»",IF(AND(G655&lt;&gt;"",G655=E655),"⚠ «Hacia» igual a la cuenta",IF(AND(G655&lt;&gt;"",ISNA(MATCH(G655,ctaNom,0))),"⚠ «Hacia» no existe",IF(AND(I655="Pago tarjeta",IFERROR(INDEX(ctaTipo,MATCH(G655,ctaNom,0)),"")&lt;&gt;"Tarjeta de crédito"),"⚠ «Hacia» debe ser la tarjeta",IF(AND(I655="Trading",IFERROR(INDEX(ctaTipo,MATCH(E655,ctaNom,0)),"")&lt;&gt;"Cuenta de trading"),"⚠ Usa la cuenta de trading","✓"))))))))))))</f>
        <v/>
      </c>
      <c r="I655" s="19">
        <f>IF(OR(B655="",C655="",D655=""),"",IFERROR(INDEX(catTipo,MATCH(D655,catNom,0))&amp;"",""))</f>
        <v/>
      </c>
      <c r="J655" s="19">
        <f>IF(I655="","",IFERROR(INDEX(catGrupo,MATCH(D655,catNom,0))&amp;"",""))</f>
        <v/>
      </c>
      <c r="K655" s="19">
        <f>IF(I655="Gasto",IF(IFERROR(INDEX(catClas,MATCH(D655,catNom,0))&amp;"","")="","Variable",IFERROR(INDEX(catClas,MATCH(D655,catNom,0))&amp;"","")),"")</f>
        <v/>
      </c>
      <c r="L655" s="19">
        <f>IF(I655="","",IFERROR(INDEX(catAlim,MATCH(D655,catNom,0))&amp;"",""))</f>
        <v/>
      </c>
      <c r="M655" s="19">
        <f>IF(I655="","",IFERROR(INDEX(catComida,MATCH(D655,catNom,0))&amp;"",""))</f>
        <v/>
      </c>
      <c r="N655" s="19">
        <f>IF(I655="","",IFERROR(INDEX(ctaMon,MATCH(E655,ctaNom,0))&amp;"","DOP"))</f>
        <v/>
      </c>
      <c r="O655" s="20">
        <f>IF(I655="","",C655*IF(N655="USD",TasaUSD,1))</f>
        <v/>
      </c>
      <c r="P655" s="20">
        <f>IF(I655="","",IF(I655="Gasto",O655,0))</f>
        <v/>
      </c>
      <c r="Q655" s="20">
        <f>IF(I655="","",IF(I655="Ingreso",O655,0))</f>
        <v/>
      </c>
      <c r="R655" s="20">
        <f>IF(I655="","",IF(I655="Trading",O655,0))</f>
        <v/>
      </c>
      <c r="S655" s="19">
        <f>IF(I655="","",IF(AND(I655="Gasto",K655="Variable",J655&lt;&gt;"Trading",O655&gt;0,O655&lt;=Umbral),1,0))</f>
        <v/>
      </c>
      <c r="T655" s="20">
        <f>IF(OR(I655="",E655=""),"",IF(OR(I655="Gasto",I655="Transferencia",I655="Pago tarjeta"),-1,1)*C655)</f>
        <v/>
      </c>
      <c r="U655" s="20">
        <f>IF(OR(G655="",AND(I655&lt;&gt;"Transferencia",I655&lt;&gt;"Pago tarjeta")),"",IF(IFERROR(INDEX(ctaMon,MATCH(G655,ctaNom,0))&amp;"","DOP")=N655,C655,IF(N655="USD",C655*TasaUSD,C655/TasaUSD)))</f>
        <v/>
      </c>
      <c r="V655" s="20">
        <f>IF(I655="","",IF(IFERROR(INDEX(ctaLiq,MATCH(E655,ctaNom,0))="Sí",FALSE),IF(OR(I655="Gasto",I655="Transferencia",I655="Pago tarjeta"),-1,1)*O655,0)+IF(AND(U655&lt;&gt;"",IFERROR(INDEX(ctaLiq,MATCH(G655,ctaNom,0))="Sí",FALSE)),O655,0))</f>
        <v/>
      </c>
      <c r="W655" s="19">
        <f>IF(OR(F655="",I655=""),"",IF(COUNTIFS(F$6:F655,F655,I$6:I655,"?*")=1,MAX(W$5:W654)+1,""))</f>
        <v/>
      </c>
    </row>
    <row r="656">
      <c r="B656" s="15" t="n"/>
      <c r="C656" s="16" t="n"/>
      <c r="D656" s="17" t="n"/>
      <c r="E656" s="17" t="n"/>
      <c r="F656" s="17" t="n"/>
      <c r="G656" s="17" t="n"/>
      <c r="H656" s="18">
        <f>IF(AND(B656="",C656="",D656="",E656=""),"",IF(B656="","⚠ Falta fecha",IF(C656="","⚠ Falta monto",IF(D656="","⚠ Falta categoría",IF(ISNA(MATCH(D656,catNom,0)),"⚠ Categoría no existe",IF(E656="","⚠ Falta cuenta",IF(ISNA(MATCH(E656,ctaNom,0)),"⚠ Cuenta no existe",IF(AND(OR(I656="Transferencia",I656="Pago tarjeta"),G656=""),"⚠ Indica la cuenta «Hacia»",IF(AND(G656&lt;&gt;"",G656=E656),"⚠ «Hacia» igual a la cuenta",IF(AND(G656&lt;&gt;"",ISNA(MATCH(G656,ctaNom,0))),"⚠ «Hacia» no existe",IF(AND(I656="Pago tarjeta",IFERROR(INDEX(ctaTipo,MATCH(G656,ctaNom,0)),"")&lt;&gt;"Tarjeta de crédito"),"⚠ «Hacia» debe ser la tarjeta",IF(AND(I656="Trading",IFERROR(INDEX(ctaTipo,MATCH(E656,ctaNom,0)),"")&lt;&gt;"Cuenta de trading"),"⚠ Usa la cuenta de trading","✓"))))))))))))</f>
        <v/>
      </c>
      <c r="I656" s="19">
        <f>IF(OR(B656="",C656="",D656=""),"",IFERROR(INDEX(catTipo,MATCH(D656,catNom,0))&amp;"",""))</f>
        <v/>
      </c>
      <c r="J656" s="19">
        <f>IF(I656="","",IFERROR(INDEX(catGrupo,MATCH(D656,catNom,0))&amp;"",""))</f>
        <v/>
      </c>
      <c r="K656" s="19">
        <f>IF(I656="Gasto",IF(IFERROR(INDEX(catClas,MATCH(D656,catNom,0))&amp;"","")="","Variable",IFERROR(INDEX(catClas,MATCH(D656,catNom,0))&amp;"","")),"")</f>
        <v/>
      </c>
      <c r="L656" s="19">
        <f>IF(I656="","",IFERROR(INDEX(catAlim,MATCH(D656,catNom,0))&amp;"",""))</f>
        <v/>
      </c>
      <c r="M656" s="19">
        <f>IF(I656="","",IFERROR(INDEX(catComida,MATCH(D656,catNom,0))&amp;"",""))</f>
        <v/>
      </c>
      <c r="N656" s="19">
        <f>IF(I656="","",IFERROR(INDEX(ctaMon,MATCH(E656,ctaNom,0))&amp;"","DOP"))</f>
        <v/>
      </c>
      <c r="O656" s="20">
        <f>IF(I656="","",C656*IF(N656="USD",TasaUSD,1))</f>
        <v/>
      </c>
      <c r="P656" s="20">
        <f>IF(I656="","",IF(I656="Gasto",O656,0))</f>
        <v/>
      </c>
      <c r="Q656" s="20">
        <f>IF(I656="","",IF(I656="Ingreso",O656,0))</f>
        <v/>
      </c>
      <c r="R656" s="20">
        <f>IF(I656="","",IF(I656="Trading",O656,0))</f>
        <v/>
      </c>
      <c r="S656" s="19">
        <f>IF(I656="","",IF(AND(I656="Gasto",K656="Variable",J656&lt;&gt;"Trading",O656&gt;0,O656&lt;=Umbral),1,0))</f>
        <v/>
      </c>
      <c r="T656" s="20">
        <f>IF(OR(I656="",E656=""),"",IF(OR(I656="Gasto",I656="Transferencia",I656="Pago tarjeta"),-1,1)*C656)</f>
        <v/>
      </c>
      <c r="U656" s="20">
        <f>IF(OR(G656="",AND(I656&lt;&gt;"Transferencia",I656&lt;&gt;"Pago tarjeta")),"",IF(IFERROR(INDEX(ctaMon,MATCH(G656,ctaNom,0))&amp;"","DOP")=N656,C656,IF(N656="USD",C656*TasaUSD,C656/TasaUSD)))</f>
        <v/>
      </c>
      <c r="V656" s="20">
        <f>IF(I656="","",IF(IFERROR(INDEX(ctaLiq,MATCH(E656,ctaNom,0))="Sí",FALSE),IF(OR(I656="Gasto",I656="Transferencia",I656="Pago tarjeta"),-1,1)*O656,0)+IF(AND(U656&lt;&gt;"",IFERROR(INDEX(ctaLiq,MATCH(G656,ctaNom,0))="Sí",FALSE)),O656,0))</f>
        <v/>
      </c>
      <c r="W656" s="19">
        <f>IF(OR(F656="",I656=""),"",IF(COUNTIFS(F$6:F656,F656,I$6:I656,"?*")=1,MAX(W$5:W655)+1,""))</f>
        <v/>
      </c>
    </row>
    <row r="657">
      <c r="B657" s="15" t="n"/>
      <c r="C657" s="16" t="n"/>
      <c r="D657" s="17" t="n"/>
      <c r="E657" s="17" t="n"/>
      <c r="F657" s="17" t="n"/>
      <c r="G657" s="17" t="n"/>
      <c r="H657" s="18">
        <f>IF(AND(B657="",C657="",D657="",E657=""),"",IF(B657="","⚠ Falta fecha",IF(C657="","⚠ Falta monto",IF(D657="","⚠ Falta categoría",IF(ISNA(MATCH(D657,catNom,0)),"⚠ Categoría no existe",IF(E657="","⚠ Falta cuenta",IF(ISNA(MATCH(E657,ctaNom,0)),"⚠ Cuenta no existe",IF(AND(OR(I657="Transferencia",I657="Pago tarjeta"),G657=""),"⚠ Indica la cuenta «Hacia»",IF(AND(G657&lt;&gt;"",G657=E657),"⚠ «Hacia» igual a la cuenta",IF(AND(G657&lt;&gt;"",ISNA(MATCH(G657,ctaNom,0))),"⚠ «Hacia» no existe",IF(AND(I657="Pago tarjeta",IFERROR(INDEX(ctaTipo,MATCH(G657,ctaNom,0)),"")&lt;&gt;"Tarjeta de crédito"),"⚠ «Hacia» debe ser la tarjeta",IF(AND(I657="Trading",IFERROR(INDEX(ctaTipo,MATCH(E657,ctaNom,0)),"")&lt;&gt;"Cuenta de trading"),"⚠ Usa la cuenta de trading","✓"))))))))))))</f>
        <v/>
      </c>
      <c r="I657" s="19">
        <f>IF(OR(B657="",C657="",D657=""),"",IFERROR(INDEX(catTipo,MATCH(D657,catNom,0))&amp;"",""))</f>
        <v/>
      </c>
      <c r="J657" s="19">
        <f>IF(I657="","",IFERROR(INDEX(catGrupo,MATCH(D657,catNom,0))&amp;"",""))</f>
        <v/>
      </c>
      <c r="K657" s="19">
        <f>IF(I657="Gasto",IF(IFERROR(INDEX(catClas,MATCH(D657,catNom,0))&amp;"","")="","Variable",IFERROR(INDEX(catClas,MATCH(D657,catNom,0))&amp;"","")),"")</f>
        <v/>
      </c>
      <c r="L657" s="19">
        <f>IF(I657="","",IFERROR(INDEX(catAlim,MATCH(D657,catNom,0))&amp;"",""))</f>
        <v/>
      </c>
      <c r="M657" s="19">
        <f>IF(I657="","",IFERROR(INDEX(catComida,MATCH(D657,catNom,0))&amp;"",""))</f>
        <v/>
      </c>
      <c r="N657" s="19">
        <f>IF(I657="","",IFERROR(INDEX(ctaMon,MATCH(E657,ctaNom,0))&amp;"","DOP"))</f>
        <v/>
      </c>
      <c r="O657" s="20">
        <f>IF(I657="","",C657*IF(N657="USD",TasaUSD,1))</f>
        <v/>
      </c>
      <c r="P657" s="20">
        <f>IF(I657="","",IF(I657="Gasto",O657,0))</f>
        <v/>
      </c>
      <c r="Q657" s="20">
        <f>IF(I657="","",IF(I657="Ingreso",O657,0))</f>
        <v/>
      </c>
      <c r="R657" s="20">
        <f>IF(I657="","",IF(I657="Trading",O657,0))</f>
        <v/>
      </c>
      <c r="S657" s="19">
        <f>IF(I657="","",IF(AND(I657="Gasto",K657="Variable",J657&lt;&gt;"Trading",O657&gt;0,O657&lt;=Umbral),1,0))</f>
        <v/>
      </c>
      <c r="T657" s="20">
        <f>IF(OR(I657="",E657=""),"",IF(OR(I657="Gasto",I657="Transferencia",I657="Pago tarjeta"),-1,1)*C657)</f>
        <v/>
      </c>
      <c r="U657" s="20">
        <f>IF(OR(G657="",AND(I657&lt;&gt;"Transferencia",I657&lt;&gt;"Pago tarjeta")),"",IF(IFERROR(INDEX(ctaMon,MATCH(G657,ctaNom,0))&amp;"","DOP")=N657,C657,IF(N657="USD",C657*TasaUSD,C657/TasaUSD)))</f>
        <v/>
      </c>
      <c r="V657" s="20">
        <f>IF(I657="","",IF(IFERROR(INDEX(ctaLiq,MATCH(E657,ctaNom,0))="Sí",FALSE),IF(OR(I657="Gasto",I657="Transferencia",I657="Pago tarjeta"),-1,1)*O657,0)+IF(AND(U657&lt;&gt;"",IFERROR(INDEX(ctaLiq,MATCH(G657,ctaNom,0))="Sí",FALSE)),O657,0))</f>
        <v/>
      </c>
      <c r="W657" s="19">
        <f>IF(OR(F657="",I657=""),"",IF(COUNTIFS(F$6:F657,F657,I$6:I657,"?*")=1,MAX(W$5:W656)+1,""))</f>
        <v/>
      </c>
    </row>
    <row r="658">
      <c r="B658" s="15" t="n"/>
      <c r="C658" s="16" t="n"/>
      <c r="D658" s="17" t="n"/>
      <c r="E658" s="17" t="n"/>
      <c r="F658" s="17" t="n"/>
      <c r="G658" s="17" t="n"/>
      <c r="H658" s="18">
        <f>IF(AND(B658="",C658="",D658="",E658=""),"",IF(B658="","⚠ Falta fecha",IF(C658="","⚠ Falta monto",IF(D658="","⚠ Falta categoría",IF(ISNA(MATCH(D658,catNom,0)),"⚠ Categoría no existe",IF(E658="","⚠ Falta cuenta",IF(ISNA(MATCH(E658,ctaNom,0)),"⚠ Cuenta no existe",IF(AND(OR(I658="Transferencia",I658="Pago tarjeta"),G658=""),"⚠ Indica la cuenta «Hacia»",IF(AND(G658&lt;&gt;"",G658=E658),"⚠ «Hacia» igual a la cuenta",IF(AND(G658&lt;&gt;"",ISNA(MATCH(G658,ctaNom,0))),"⚠ «Hacia» no existe",IF(AND(I658="Pago tarjeta",IFERROR(INDEX(ctaTipo,MATCH(G658,ctaNom,0)),"")&lt;&gt;"Tarjeta de crédito"),"⚠ «Hacia» debe ser la tarjeta",IF(AND(I658="Trading",IFERROR(INDEX(ctaTipo,MATCH(E658,ctaNom,0)),"")&lt;&gt;"Cuenta de trading"),"⚠ Usa la cuenta de trading","✓"))))))))))))</f>
        <v/>
      </c>
      <c r="I658" s="19">
        <f>IF(OR(B658="",C658="",D658=""),"",IFERROR(INDEX(catTipo,MATCH(D658,catNom,0))&amp;"",""))</f>
        <v/>
      </c>
      <c r="J658" s="19">
        <f>IF(I658="","",IFERROR(INDEX(catGrupo,MATCH(D658,catNom,0))&amp;"",""))</f>
        <v/>
      </c>
      <c r="K658" s="19">
        <f>IF(I658="Gasto",IF(IFERROR(INDEX(catClas,MATCH(D658,catNom,0))&amp;"","")="","Variable",IFERROR(INDEX(catClas,MATCH(D658,catNom,0))&amp;"","")),"")</f>
        <v/>
      </c>
      <c r="L658" s="19">
        <f>IF(I658="","",IFERROR(INDEX(catAlim,MATCH(D658,catNom,0))&amp;"",""))</f>
        <v/>
      </c>
      <c r="M658" s="19">
        <f>IF(I658="","",IFERROR(INDEX(catComida,MATCH(D658,catNom,0))&amp;"",""))</f>
        <v/>
      </c>
      <c r="N658" s="19">
        <f>IF(I658="","",IFERROR(INDEX(ctaMon,MATCH(E658,ctaNom,0))&amp;"","DOP"))</f>
        <v/>
      </c>
      <c r="O658" s="20">
        <f>IF(I658="","",C658*IF(N658="USD",TasaUSD,1))</f>
        <v/>
      </c>
      <c r="P658" s="20">
        <f>IF(I658="","",IF(I658="Gasto",O658,0))</f>
        <v/>
      </c>
      <c r="Q658" s="20">
        <f>IF(I658="","",IF(I658="Ingreso",O658,0))</f>
        <v/>
      </c>
      <c r="R658" s="20">
        <f>IF(I658="","",IF(I658="Trading",O658,0))</f>
        <v/>
      </c>
      <c r="S658" s="19">
        <f>IF(I658="","",IF(AND(I658="Gasto",K658="Variable",J658&lt;&gt;"Trading",O658&gt;0,O658&lt;=Umbral),1,0))</f>
        <v/>
      </c>
      <c r="T658" s="20">
        <f>IF(OR(I658="",E658=""),"",IF(OR(I658="Gasto",I658="Transferencia",I658="Pago tarjeta"),-1,1)*C658)</f>
        <v/>
      </c>
      <c r="U658" s="20">
        <f>IF(OR(G658="",AND(I658&lt;&gt;"Transferencia",I658&lt;&gt;"Pago tarjeta")),"",IF(IFERROR(INDEX(ctaMon,MATCH(G658,ctaNom,0))&amp;"","DOP")=N658,C658,IF(N658="USD",C658*TasaUSD,C658/TasaUSD)))</f>
        <v/>
      </c>
      <c r="V658" s="20">
        <f>IF(I658="","",IF(IFERROR(INDEX(ctaLiq,MATCH(E658,ctaNom,0))="Sí",FALSE),IF(OR(I658="Gasto",I658="Transferencia",I658="Pago tarjeta"),-1,1)*O658,0)+IF(AND(U658&lt;&gt;"",IFERROR(INDEX(ctaLiq,MATCH(G658,ctaNom,0))="Sí",FALSE)),O658,0))</f>
        <v/>
      </c>
      <c r="W658" s="19">
        <f>IF(OR(F658="",I658=""),"",IF(COUNTIFS(F$6:F658,F658,I$6:I658,"?*")=1,MAX(W$5:W657)+1,""))</f>
        <v/>
      </c>
    </row>
    <row r="659">
      <c r="B659" s="15" t="n"/>
      <c r="C659" s="16" t="n"/>
      <c r="D659" s="17" t="n"/>
      <c r="E659" s="17" t="n"/>
      <c r="F659" s="17" t="n"/>
      <c r="G659" s="17" t="n"/>
      <c r="H659" s="18">
        <f>IF(AND(B659="",C659="",D659="",E659=""),"",IF(B659="","⚠ Falta fecha",IF(C659="","⚠ Falta monto",IF(D659="","⚠ Falta categoría",IF(ISNA(MATCH(D659,catNom,0)),"⚠ Categoría no existe",IF(E659="","⚠ Falta cuenta",IF(ISNA(MATCH(E659,ctaNom,0)),"⚠ Cuenta no existe",IF(AND(OR(I659="Transferencia",I659="Pago tarjeta"),G659=""),"⚠ Indica la cuenta «Hacia»",IF(AND(G659&lt;&gt;"",G659=E659),"⚠ «Hacia» igual a la cuenta",IF(AND(G659&lt;&gt;"",ISNA(MATCH(G659,ctaNom,0))),"⚠ «Hacia» no existe",IF(AND(I659="Pago tarjeta",IFERROR(INDEX(ctaTipo,MATCH(G659,ctaNom,0)),"")&lt;&gt;"Tarjeta de crédito"),"⚠ «Hacia» debe ser la tarjeta",IF(AND(I659="Trading",IFERROR(INDEX(ctaTipo,MATCH(E659,ctaNom,0)),"")&lt;&gt;"Cuenta de trading"),"⚠ Usa la cuenta de trading","✓"))))))))))))</f>
        <v/>
      </c>
      <c r="I659" s="19">
        <f>IF(OR(B659="",C659="",D659=""),"",IFERROR(INDEX(catTipo,MATCH(D659,catNom,0))&amp;"",""))</f>
        <v/>
      </c>
      <c r="J659" s="19">
        <f>IF(I659="","",IFERROR(INDEX(catGrupo,MATCH(D659,catNom,0))&amp;"",""))</f>
        <v/>
      </c>
      <c r="K659" s="19">
        <f>IF(I659="Gasto",IF(IFERROR(INDEX(catClas,MATCH(D659,catNom,0))&amp;"","")="","Variable",IFERROR(INDEX(catClas,MATCH(D659,catNom,0))&amp;"","")),"")</f>
        <v/>
      </c>
      <c r="L659" s="19">
        <f>IF(I659="","",IFERROR(INDEX(catAlim,MATCH(D659,catNom,0))&amp;"",""))</f>
        <v/>
      </c>
      <c r="M659" s="19">
        <f>IF(I659="","",IFERROR(INDEX(catComida,MATCH(D659,catNom,0))&amp;"",""))</f>
        <v/>
      </c>
      <c r="N659" s="19">
        <f>IF(I659="","",IFERROR(INDEX(ctaMon,MATCH(E659,ctaNom,0))&amp;"","DOP"))</f>
        <v/>
      </c>
      <c r="O659" s="20">
        <f>IF(I659="","",C659*IF(N659="USD",TasaUSD,1))</f>
        <v/>
      </c>
      <c r="P659" s="20">
        <f>IF(I659="","",IF(I659="Gasto",O659,0))</f>
        <v/>
      </c>
      <c r="Q659" s="20">
        <f>IF(I659="","",IF(I659="Ingreso",O659,0))</f>
        <v/>
      </c>
      <c r="R659" s="20">
        <f>IF(I659="","",IF(I659="Trading",O659,0))</f>
        <v/>
      </c>
      <c r="S659" s="19">
        <f>IF(I659="","",IF(AND(I659="Gasto",K659="Variable",J659&lt;&gt;"Trading",O659&gt;0,O659&lt;=Umbral),1,0))</f>
        <v/>
      </c>
      <c r="T659" s="20">
        <f>IF(OR(I659="",E659=""),"",IF(OR(I659="Gasto",I659="Transferencia",I659="Pago tarjeta"),-1,1)*C659)</f>
        <v/>
      </c>
      <c r="U659" s="20">
        <f>IF(OR(G659="",AND(I659&lt;&gt;"Transferencia",I659&lt;&gt;"Pago tarjeta")),"",IF(IFERROR(INDEX(ctaMon,MATCH(G659,ctaNom,0))&amp;"","DOP")=N659,C659,IF(N659="USD",C659*TasaUSD,C659/TasaUSD)))</f>
        <v/>
      </c>
      <c r="V659" s="20">
        <f>IF(I659="","",IF(IFERROR(INDEX(ctaLiq,MATCH(E659,ctaNom,0))="Sí",FALSE),IF(OR(I659="Gasto",I659="Transferencia",I659="Pago tarjeta"),-1,1)*O659,0)+IF(AND(U659&lt;&gt;"",IFERROR(INDEX(ctaLiq,MATCH(G659,ctaNom,0))="Sí",FALSE)),O659,0))</f>
        <v/>
      </c>
      <c r="W659" s="19">
        <f>IF(OR(F659="",I659=""),"",IF(COUNTIFS(F$6:F659,F659,I$6:I659,"?*")=1,MAX(W$5:W658)+1,""))</f>
        <v/>
      </c>
    </row>
    <row r="660">
      <c r="B660" s="15" t="n"/>
      <c r="C660" s="16" t="n"/>
      <c r="D660" s="17" t="n"/>
      <c r="E660" s="17" t="n"/>
      <c r="F660" s="17" t="n"/>
      <c r="G660" s="17" t="n"/>
      <c r="H660" s="18">
        <f>IF(AND(B660="",C660="",D660="",E660=""),"",IF(B660="","⚠ Falta fecha",IF(C660="","⚠ Falta monto",IF(D660="","⚠ Falta categoría",IF(ISNA(MATCH(D660,catNom,0)),"⚠ Categoría no existe",IF(E660="","⚠ Falta cuenta",IF(ISNA(MATCH(E660,ctaNom,0)),"⚠ Cuenta no existe",IF(AND(OR(I660="Transferencia",I660="Pago tarjeta"),G660=""),"⚠ Indica la cuenta «Hacia»",IF(AND(G660&lt;&gt;"",G660=E660),"⚠ «Hacia» igual a la cuenta",IF(AND(G660&lt;&gt;"",ISNA(MATCH(G660,ctaNom,0))),"⚠ «Hacia» no existe",IF(AND(I660="Pago tarjeta",IFERROR(INDEX(ctaTipo,MATCH(G660,ctaNom,0)),"")&lt;&gt;"Tarjeta de crédito"),"⚠ «Hacia» debe ser la tarjeta",IF(AND(I660="Trading",IFERROR(INDEX(ctaTipo,MATCH(E660,ctaNom,0)),"")&lt;&gt;"Cuenta de trading"),"⚠ Usa la cuenta de trading","✓"))))))))))))</f>
        <v/>
      </c>
      <c r="I660" s="19">
        <f>IF(OR(B660="",C660="",D660=""),"",IFERROR(INDEX(catTipo,MATCH(D660,catNom,0))&amp;"",""))</f>
        <v/>
      </c>
      <c r="J660" s="19">
        <f>IF(I660="","",IFERROR(INDEX(catGrupo,MATCH(D660,catNom,0))&amp;"",""))</f>
        <v/>
      </c>
      <c r="K660" s="19">
        <f>IF(I660="Gasto",IF(IFERROR(INDEX(catClas,MATCH(D660,catNom,0))&amp;"","")="","Variable",IFERROR(INDEX(catClas,MATCH(D660,catNom,0))&amp;"","")),"")</f>
        <v/>
      </c>
      <c r="L660" s="19">
        <f>IF(I660="","",IFERROR(INDEX(catAlim,MATCH(D660,catNom,0))&amp;"",""))</f>
        <v/>
      </c>
      <c r="M660" s="19">
        <f>IF(I660="","",IFERROR(INDEX(catComida,MATCH(D660,catNom,0))&amp;"",""))</f>
        <v/>
      </c>
      <c r="N660" s="19">
        <f>IF(I660="","",IFERROR(INDEX(ctaMon,MATCH(E660,ctaNom,0))&amp;"","DOP"))</f>
        <v/>
      </c>
      <c r="O660" s="20">
        <f>IF(I660="","",C660*IF(N660="USD",TasaUSD,1))</f>
        <v/>
      </c>
      <c r="P660" s="20">
        <f>IF(I660="","",IF(I660="Gasto",O660,0))</f>
        <v/>
      </c>
      <c r="Q660" s="20">
        <f>IF(I660="","",IF(I660="Ingreso",O660,0))</f>
        <v/>
      </c>
      <c r="R660" s="20">
        <f>IF(I660="","",IF(I660="Trading",O660,0))</f>
        <v/>
      </c>
      <c r="S660" s="19">
        <f>IF(I660="","",IF(AND(I660="Gasto",K660="Variable",J660&lt;&gt;"Trading",O660&gt;0,O660&lt;=Umbral),1,0))</f>
        <v/>
      </c>
      <c r="T660" s="20">
        <f>IF(OR(I660="",E660=""),"",IF(OR(I660="Gasto",I660="Transferencia",I660="Pago tarjeta"),-1,1)*C660)</f>
        <v/>
      </c>
      <c r="U660" s="20">
        <f>IF(OR(G660="",AND(I660&lt;&gt;"Transferencia",I660&lt;&gt;"Pago tarjeta")),"",IF(IFERROR(INDEX(ctaMon,MATCH(G660,ctaNom,0))&amp;"","DOP")=N660,C660,IF(N660="USD",C660*TasaUSD,C660/TasaUSD)))</f>
        <v/>
      </c>
      <c r="V660" s="20">
        <f>IF(I660="","",IF(IFERROR(INDEX(ctaLiq,MATCH(E660,ctaNom,0))="Sí",FALSE),IF(OR(I660="Gasto",I660="Transferencia",I660="Pago tarjeta"),-1,1)*O660,0)+IF(AND(U660&lt;&gt;"",IFERROR(INDEX(ctaLiq,MATCH(G660,ctaNom,0))="Sí",FALSE)),O660,0))</f>
        <v/>
      </c>
      <c r="W660" s="19">
        <f>IF(OR(F660="",I660=""),"",IF(COUNTIFS(F$6:F660,F660,I$6:I660,"?*")=1,MAX(W$5:W659)+1,""))</f>
        <v/>
      </c>
    </row>
    <row r="661">
      <c r="B661" s="15" t="n"/>
      <c r="C661" s="16" t="n"/>
      <c r="D661" s="17" t="n"/>
      <c r="E661" s="17" t="n"/>
      <c r="F661" s="17" t="n"/>
      <c r="G661" s="17" t="n"/>
      <c r="H661" s="18">
        <f>IF(AND(B661="",C661="",D661="",E661=""),"",IF(B661="","⚠ Falta fecha",IF(C661="","⚠ Falta monto",IF(D661="","⚠ Falta categoría",IF(ISNA(MATCH(D661,catNom,0)),"⚠ Categoría no existe",IF(E661="","⚠ Falta cuenta",IF(ISNA(MATCH(E661,ctaNom,0)),"⚠ Cuenta no existe",IF(AND(OR(I661="Transferencia",I661="Pago tarjeta"),G661=""),"⚠ Indica la cuenta «Hacia»",IF(AND(G661&lt;&gt;"",G661=E661),"⚠ «Hacia» igual a la cuenta",IF(AND(G661&lt;&gt;"",ISNA(MATCH(G661,ctaNom,0))),"⚠ «Hacia» no existe",IF(AND(I661="Pago tarjeta",IFERROR(INDEX(ctaTipo,MATCH(G661,ctaNom,0)),"")&lt;&gt;"Tarjeta de crédito"),"⚠ «Hacia» debe ser la tarjeta",IF(AND(I661="Trading",IFERROR(INDEX(ctaTipo,MATCH(E661,ctaNom,0)),"")&lt;&gt;"Cuenta de trading"),"⚠ Usa la cuenta de trading","✓"))))))))))))</f>
        <v/>
      </c>
      <c r="I661" s="19">
        <f>IF(OR(B661="",C661="",D661=""),"",IFERROR(INDEX(catTipo,MATCH(D661,catNom,0))&amp;"",""))</f>
        <v/>
      </c>
      <c r="J661" s="19">
        <f>IF(I661="","",IFERROR(INDEX(catGrupo,MATCH(D661,catNom,0))&amp;"",""))</f>
        <v/>
      </c>
      <c r="K661" s="19">
        <f>IF(I661="Gasto",IF(IFERROR(INDEX(catClas,MATCH(D661,catNom,0))&amp;"","")="","Variable",IFERROR(INDEX(catClas,MATCH(D661,catNom,0))&amp;"","")),"")</f>
        <v/>
      </c>
      <c r="L661" s="19">
        <f>IF(I661="","",IFERROR(INDEX(catAlim,MATCH(D661,catNom,0))&amp;"",""))</f>
        <v/>
      </c>
      <c r="M661" s="19">
        <f>IF(I661="","",IFERROR(INDEX(catComida,MATCH(D661,catNom,0))&amp;"",""))</f>
        <v/>
      </c>
      <c r="N661" s="19">
        <f>IF(I661="","",IFERROR(INDEX(ctaMon,MATCH(E661,ctaNom,0))&amp;"","DOP"))</f>
        <v/>
      </c>
      <c r="O661" s="20">
        <f>IF(I661="","",C661*IF(N661="USD",TasaUSD,1))</f>
        <v/>
      </c>
      <c r="P661" s="20">
        <f>IF(I661="","",IF(I661="Gasto",O661,0))</f>
        <v/>
      </c>
      <c r="Q661" s="20">
        <f>IF(I661="","",IF(I661="Ingreso",O661,0))</f>
        <v/>
      </c>
      <c r="R661" s="20">
        <f>IF(I661="","",IF(I661="Trading",O661,0))</f>
        <v/>
      </c>
      <c r="S661" s="19">
        <f>IF(I661="","",IF(AND(I661="Gasto",K661="Variable",J661&lt;&gt;"Trading",O661&gt;0,O661&lt;=Umbral),1,0))</f>
        <v/>
      </c>
      <c r="T661" s="20">
        <f>IF(OR(I661="",E661=""),"",IF(OR(I661="Gasto",I661="Transferencia",I661="Pago tarjeta"),-1,1)*C661)</f>
        <v/>
      </c>
      <c r="U661" s="20">
        <f>IF(OR(G661="",AND(I661&lt;&gt;"Transferencia",I661&lt;&gt;"Pago tarjeta")),"",IF(IFERROR(INDEX(ctaMon,MATCH(G661,ctaNom,0))&amp;"","DOP")=N661,C661,IF(N661="USD",C661*TasaUSD,C661/TasaUSD)))</f>
        <v/>
      </c>
      <c r="V661" s="20">
        <f>IF(I661="","",IF(IFERROR(INDEX(ctaLiq,MATCH(E661,ctaNom,0))="Sí",FALSE),IF(OR(I661="Gasto",I661="Transferencia",I661="Pago tarjeta"),-1,1)*O661,0)+IF(AND(U661&lt;&gt;"",IFERROR(INDEX(ctaLiq,MATCH(G661,ctaNom,0))="Sí",FALSE)),O661,0))</f>
        <v/>
      </c>
      <c r="W661" s="19">
        <f>IF(OR(F661="",I661=""),"",IF(COUNTIFS(F$6:F661,F661,I$6:I661,"?*")=1,MAX(W$5:W660)+1,""))</f>
        <v/>
      </c>
    </row>
    <row r="662">
      <c r="B662" s="15" t="n"/>
      <c r="C662" s="16" t="n"/>
      <c r="D662" s="17" t="n"/>
      <c r="E662" s="17" t="n"/>
      <c r="F662" s="17" t="n"/>
      <c r="G662" s="17" t="n"/>
      <c r="H662" s="18">
        <f>IF(AND(B662="",C662="",D662="",E662=""),"",IF(B662="","⚠ Falta fecha",IF(C662="","⚠ Falta monto",IF(D662="","⚠ Falta categoría",IF(ISNA(MATCH(D662,catNom,0)),"⚠ Categoría no existe",IF(E662="","⚠ Falta cuenta",IF(ISNA(MATCH(E662,ctaNom,0)),"⚠ Cuenta no existe",IF(AND(OR(I662="Transferencia",I662="Pago tarjeta"),G662=""),"⚠ Indica la cuenta «Hacia»",IF(AND(G662&lt;&gt;"",G662=E662),"⚠ «Hacia» igual a la cuenta",IF(AND(G662&lt;&gt;"",ISNA(MATCH(G662,ctaNom,0))),"⚠ «Hacia» no existe",IF(AND(I662="Pago tarjeta",IFERROR(INDEX(ctaTipo,MATCH(G662,ctaNom,0)),"")&lt;&gt;"Tarjeta de crédito"),"⚠ «Hacia» debe ser la tarjeta",IF(AND(I662="Trading",IFERROR(INDEX(ctaTipo,MATCH(E662,ctaNom,0)),"")&lt;&gt;"Cuenta de trading"),"⚠ Usa la cuenta de trading","✓"))))))))))))</f>
        <v/>
      </c>
      <c r="I662" s="19">
        <f>IF(OR(B662="",C662="",D662=""),"",IFERROR(INDEX(catTipo,MATCH(D662,catNom,0))&amp;"",""))</f>
        <v/>
      </c>
      <c r="J662" s="19">
        <f>IF(I662="","",IFERROR(INDEX(catGrupo,MATCH(D662,catNom,0))&amp;"",""))</f>
        <v/>
      </c>
      <c r="K662" s="19">
        <f>IF(I662="Gasto",IF(IFERROR(INDEX(catClas,MATCH(D662,catNom,0))&amp;"","")="","Variable",IFERROR(INDEX(catClas,MATCH(D662,catNom,0))&amp;"","")),"")</f>
        <v/>
      </c>
      <c r="L662" s="19">
        <f>IF(I662="","",IFERROR(INDEX(catAlim,MATCH(D662,catNom,0))&amp;"",""))</f>
        <v/>
      </c>
      <c r="M662" s="19">
        <f>IF(I662="","",IFERROR(INDEX(catComida,MATCH(D662,catNom,0))&amp;"",""))</f>
        <v/>
      </c>
      <c r="N662" s="19">
        <f>IF(I662="","",IFERROR(INDEX(ctaMon,MATCH(E662,ctaNom,0))&amp;"","DOP"))</f>
        <v/>
      </c>
      <c r="O662" s="20">
        <f>IF(I662="","",C662*IF(N662="USD",TasaUSD,1))</f>
        <v/>
      </c>
      <c r="P662" s="20">
        <f>IF(I662="","",IF(I662="Gasto",O662,0))</f>
        <v/>
      </c>
      <c r="Q662" s="20">
        <f>IF(I662="","",IF(I662="Ingreso",O662,0))</f>
        <v/>
      </c>
      <c r="R662" s="20">
        <f>IF(I662="","",IF(I662="Trading",O662,0))</f>
        <v/>
      </c>
      <c r="S662" s="19">
        <f>IF(I662="","",IF(AND(I662="Gasto",K662="Variable",J662&lt;&gt;"Trading",O662&gt;0,O662&lt;=Umbral),1,0))</f>
        <v/>
      </c>
      <c r="T662" s="20">
        <f>IF(OR(I662="",E662=""),"",IF(OR(I662="Gasto",I662="Transferencia",I662="Pago tarjeta"),-1,1)*C662)</f>
        <v/>
      </c>
      <c r="U662" s="20">
        <f>IF(OR(G662="",AND(I662&lt;&gt;"Transferencia",I662&lt;&gt;"Pago tarjeta")),"",IF(IFERROR(INDEX(ctaMon,MATCH(G662,ctaNom,0))&amp;"","DOP")=N662,C662,IF(N662="USD",C662*TasaUSD,C662/TasaUSD)))</f>
        <v/>
      </c>
      <c r="V662" s="20">
        <f>IF(I662="","",IF(IFERROR(INDEX(ctaLiq,MATCH(E662,ctaNom,0))="Sí",FALSE),IF(OR(I662="Gasto",I662="Transferencia",I662="Pago tarjeta"),-1,1)*O662,0)+IF(AND(U662&lt;&gt;"",IFERROR(INDEX(ctaLiq,MATCH(G662,ctaNom,0))="Sí",FALSE)),O662,0))</f>
        <v/>
      </c>
      <c r="W662" s="19">
        <f>IF(OR(F662="",I662=""),"",IF(COUNTIFS(F$6:F662,F662,I$6:I662,"?*")=1,MAX(W$5:W661)+1,""))</f>
        <v/>
      </c>
    </row>
    <row r="663">
      <c r="B663" s="15" t="n"/>
      <c r="C663" s="16" t="n"/>
      <c r="D663" s="17" t="n"/>
      <c r="E663" s="17" t="n"/>
      <c r="F663" s="17" t="n"/>
      <c r="G663" s="17" t="n"/>
      <c r="H663" s="18">
        <f>IF(AND(B663="",C663="",D663="",E663=""),"",IF(B663="","⚠ Falta fecha",IF(C663="","⚠ Falta monto",IF(D663="","⚠ Falta categoría",IF(ISNA(MATCH(D663,catNom,0)),"⚠ Categoría no existe",IF(E663="","⚠ Falta cuenta",IF(ISNA(MATCH(E663,ctaNom,0)),"⚠ Cuenta no existe",IF(AND(OR(I663="Transferencia",I663="Pago tarjeta"),G663=""),"⚠ Indica la cuenta «Hacia»",IF(AND(G663&lt;&gt;"",G663=E663),"⚠ «Hacia» igual a la cuenta",IF(AND(G663&lt;&gt;"",ISNA(MATCH(G663,ctaNom,0))),"⚠ «Hacia» no existe",IF(AND(I663="Pago tarjeta",IFERROR(INDEX(ctaTipo,MATCH(G663,ctaNom,0)),"")&lt;&gt;"Tarjeta de crédito"),"⚠ «Hacia» debe ser la tarjeta",IF(AND(I663="Trading",IFERROR(INDEX(ctaTipo,MATCH(E663,ctaNom,0)),"")&lt;&gt;"Cuenta de trading"),"⚠ Usa la cuenta de trading","✓"))))))))))))</f>
        <v/>
      </c>
      <c r="I663" s="19">
        <f>IF(OR(B663="",C663="",D663=""),"",IFERROR(INDEX(catTipo,MATCH(D663,catNom,0))&amp;"",""))</f>
        <v/>
      </c>
      <c r="J663" s="19">
        <f>IF(I663="","",IFERROR(INDEX(catGrupo,MATCH(D663,catNom,0))&amp;"",""))</f>
        <v/>
      </c>
      <c r="K663" s="19">
        <f>IF(I663="Gasto",IF(IFERROR(INDEX(catClas,MATCH(D663,catNom,0))&amp;"","")="","Variable",IFERROR(INDEX(catClas,MATCH(D663,catNom,0))&amp;"","")),"")</f>
        <v/>
      </c>
      <c r="L663" s="19">
        <f>IF(I663="","",IFERROR(INDEX(catAlim,MATCH(D663,catNom,0))&amp;"",""))</f>
        <v/>
      </c>
      <c r="M663" s="19">
        <f>IF(I663="","",IFERROR(INDEX(catComida,MATCH(D663,catNom,0))&amp;"",""))</f>
        <v/>
      </c>
      <c r="N663" s="19">
        <f>IF(I663="","",IFERROR(INDEX(ctaMon,MATCH(E663,ctaNom,0))&amp;"","DOP"))</f>
        <v/>
      </c>
      <c r="O663" s="20">
        <f>IF(I663="","",C663*IF(N663="USD",TasaUSD,1))</f>
        <v/>
      </c>
      <c r="P663" s="20">
        <f>IF(I663="","",IF(I663="Gasto",O663,0))</f>
        <v/>
      </c>
      <c r="Q663" s="20">
        <f>IF(I663="","",IF(I663="Ingreso",O663,0))</f>
        <v/>
      </c>
      <c r="R663" s="20">
        <f>IF(I663="","",IF(I663="Trading",O663,0))</f>
        <v/>
      </c>
      <c r="S663" s="19">
        <f>IF(I663="","",IF(AND(I663="Gasto",K663="Variable",J663&lt;&gt;"Trading",O663&gt;0,O663&lt;=Umbral),1,0))</f>
        <v/>
      </c>
      <c r="T663" s="20">
        <f>IF(OR(I663="",E663=""),"",IF(OR(I663="Gasto",I663="Transferencia",I663="Pago tarjeta"),-1,1)*C663)</f>
        <v/>
      </c>
      <c r="U663" s="20">
        <f>IF(OR(G663="",AND(I663&lt;&gt;"Transferencia",I663&lt;&gt;"Pago tarjeta")),"",IF(IFERROR(INDEX(ctaMon,MATCH(G663,ctaNom,0))&amp;"","DOP")=N663,C663,IF(N663="USD",C663*TasaUSD,C663/TasaUSD)))</f>
        <v/>
      </c>
      <c r="V663" s="20">
        <f>IF(I663="","",IF(IFERROR(INDEX(ctaLiq,MATCH(E663,ctaNom,0))="Sí",FALSE),IF(OR(I663="Gasto",I663="Transferencia",I663="Pago tarjeta"),-1,1)*O663,0)+IF(AND(U663&lt;&gt;"",IFERROR(INDEX(ctaLiq,MATCH(G663,ctaNom,0))="Sí",FALSE)),O663,0))</f>
        <v/>
      </c>
      <c r="W663" s="19">
        <f>IF(OR(F663="",I663=""),"",IF(COUNTIFS(F$6:F663,F663,I$6:I663,"?*")=1,MAX(W$5:W662)+1,""))</f>
        <v/>
      </c>
    </row>
    <row r="664">
      <c r="B664" s="15" t="n"/>
      <c r="C664" s="16" t="n"/>
      <c r="D664" s="17" t="n"/>
      <c r="E664" s="17" t="n"/>
      <c r="F664" s="17" t="n"/>
      <c r="G664" s="17" t="n"/>
      <c r="H664" s="18">
        <f>IF(AND(B664="",C664="",D664="",E664=""),"",IF(B664="","⚠ Falta fecha",IF(C664="","⚠ Falta monto",IF(D664="","⚠ Falta categoría",IF(ISNA(MATCH(D664,catNom,0)),"⚠ Categoría no existe",IF(E664="","⚠ Falta cuenta",IF(ISNA(MATCH(E664,ctaNom,0)),"⚠ Cuenta no existe",IF(AND(OR(I664="Transferencia",I664="Pago tarjeta"),G664=""),"⚠ Indica la cuenta «Hacia»",IF(AND(G664&lt;&gt;"",G664=E664),"⚠ «Hacia» igual a la cuenta",IF(AND(G664&lt;&gt;"",ISNA(MATCH(G664,ctaNom,0))),"⚠ «Hacia» no existe",IF(AND(I664="Pago tarjeta",IFERROR(INDEX(ctaTipo,MATCH(G664,ctaNom,0)),"")&lt;&gt;"Tarjeta de crédito"),"⚠ «Hacia» debe ser la tarjeta",IF(AND(I664="Trading",IFERROR(INDEX(ctaTipo,MATCH(E664,ctaNom,0)),"")&lt;&gt;"Cuenta de trading"),"⚠ Usa la cuenta de trading","✓"))))))))))))</f>
        <v/>
      </c>
      <c r="I664" s="19">
        <f>IF(OR(B664="",C664="",D664=""),"",IFERROR(INDEX(catTipo,MATCH(D664,catNom,0))&amp;"",""))</f>
        <v/>
      </c>
      <c r="J664" s="19">
        <f>IF(I664="","",IFERROR(INDEX(catGrupo,MATCH(D664,catNom,0))&amp;"",""))</f>
        <v/>
      </c>
      <c r="K664" s="19">
        <f>IF(I664="Gasto",IF(IFERROR(INDEX(catClas,MATCH(D664,catNom,0))&amp;"","")="","Variable",IFERROR(INDEX(catClas,MATCH(D664,catNom,0))&amp;"","")),"")</f>
        <v/>
      </c>
      <c r="L664" s="19">
        <f>IF(I664="","",IFERROR(INDEX(catAlim,MATCH(D664,catNom,0))&amp;"",""))</f>
        <v/>
      </c>
      <c r="M664" s="19">
        <f>IF(I664="","",IFERROR(INDEX(catComida,MATCH(D664,catNom,0))&amp;"",""))</f>
        <v/>
      </c>
      <c r="N664" s="19">
        <f>IF(I664="","",IFERROR(INDEX(ctaMon,MATCH(E664,ctaNom,0))&amp;"","DOP"))</f>
        <v/>
      </c>
      <c r="O664" s="20">
        <f>IF(I664="","",C664*IF(N664="USD",TasaUSD,1))</f>
        <v/>
      </c>
      <c r="P664" s="20">
        <f>IF(I664="","",IF(I664="Gasto",O664,0))</f>
        <v/>
      </c>
      <c r="Q664" s="20">
        <f>IF(I664="","",IF(I664="Ingreso",O664,0))</f>
        <v/>
      </c>
      <c r="R664" s="20">
        <f>IF(I664="","",IF(I664="Trading",O664,0))</f>
        <v/>
      </c>
      <c r="S664" s="19">
        <f>IF(I664="","",IF(AND(I664="Gasto",K664="Variable",J664&lt;&gt;"Trading",O664&gt;0,O664&lt;=Umbral),1,0))</f>
        <v/>
      </c>
      <c r="T664" s="20">
        <f>IF(OR(I664="",E664=""),"",IF(OR(I664="Gasto",I664="Transferencia",I664="Pago tarjeta"),-1,1)*C664)</f>
        <v/>
      </c>
      <c r="U664" s="20">
        <f>IF(OR(G664="",AND(I664&lt;&gt;"Transferencia",I664&lt;&gt;"Pago tarjeta")),"",IF(IFERROR(INDEX(ctaMon,MATCH(G664,ctaNom,0))&amp;"","DOP")=N664,C664,IF(N664="USD",C664*TasaUSD,C664/TasaUSD)))</f>
        <v/>
      </c>
      <c r="V664" s="20">
        <f>IF(I664="","",IF(IFERROR(INDEX(ctaLiq,MATCH(E664,ctaNom,0))="Sí",FALSE),IF(OR(I664="Gasto",I664="Transferencia",I664="Pago tarjeta"),-1,1)*O664,0)+IF(AND(U664&lt;&gt;"",IFERROR(INDEX(ctaLiq,MATCH(G664,ctaNom,0))="Sí",FALSE)),O664,0))</f>
        <v/>
      </c>
      <c r="W664" s="19">
        <f>IF(OR(F664="",I664=""),"",IF(COUNTIFS(F$6:F664,F664,I$6:I664,"?*")=1,MAX(W$5:W663)+1,""))</f>
        <v/>
      </c>
    </row>
    <row r="665">
      <c r="B665" s="15" t="n"/>
      <c r="C665" s="16" t="n"/>
      <c r="D665" s="17" t="n"/>
      <c r="E665" s="17" t="n"/>
      <c r="F665" s="17" t="n"/>
      <c r="G665" s="17" t="n"/>
      <c r="H665" s="18">
        <f>IF(AND(B665="",C665="",D665="",E665=""),"",IF(B665="","⚠ Falta fecha",IF(C665="","⚠ Falta monto",IF(D665="","⚠ Falta categoría",IF(ISNA(MATCH(D665,catNom,0)),"⚠ Categoría no existe",IF(E665="","⚠ Falta cuenta",IF(ISNA(MATCH(E665,ctaNom,0)),"⚠ Cuenta no existe",IF(AND(OR(I665="Transferencia",I665="Pago tarjeta"),G665=""),"⚠ Indica la cuenta «Hacia»",IF(AND(G665&lt;&gt;"",G665=E665),"⚠ «Hacia» igual a la cuenta",IF(AND(G665&lt;&gt;"",ISNA(MATCH(G665,ctaNom,0))),"⚠ «Hacia» no existe",IF(AND(I665="Pago tarjeta",IFERROR(INDEX(ctaTipo,MATCH(G665,ctaNom,0)),"")&lt;&gt;"Tarjeta de crédito"),"⚠ «Hacia» debe ser la tarjeta",IF(AND(I665="Trading",IFERROR(INDEX(ctaTipo,MATCH(E665,ctaNom,0)),"")&lt;&gt;"Cuenta de trading"),"⚠ Usa la cuenta de trading","✓"))))))))))))</f>
        <v/>
      </c>
      <c r="I665" s="19">
        <f>IF(OR(B665="",C665="",D665=""),"",IFERROR(INDEX(catTipo,MATCH(D665,catNom,0))&amp;"",""))</f>
        <v/>
      </c>
      <c r="J665" s="19">
        <f>IF(I665="","",IFERROR(INDEX(catGrupo,MATCH(D665,catNom,0))&amp;"",""))</f>
        <v/>
      </c>
      <c r="K665" s="19">
        <f>IF(I665="Gasto",IF(IFERROR(INDEX(catClas,MATCH(D665,catNom,0))&amp;"","")="","Variable",IFERROR(INDEX(catClas,MATCH(D665,catNom,0))&amp;"","")),"")</f>
        <v/>
      </c>
      <c r="L665" s="19">
        <f>IF(I665="","",IFERROR(INDEX(catAlim,MATCH(D665,catNom,0))&amp;"",""))</f>
        <v/>
      </c>
      <c r="M665" s="19">
        <f>IF(I665="","",IFERROR(INDEX(catComida,MATCH(D665,catNom,0))&amp;"",""))</f>
        <v/>
      </c>
      <c r="N665" s="19">
        <f>IF(I665="","",IFERROR(INDEX(ctaMon,MATCH(E665,ctaNom,0))&amp;"","DOP"))</f>
        <v/>
      </c>
      <c r="O665" s="20">
        <f>IF(I665="","",C665*IF(N665="USD",TasaUSD,1))</f>
        <v/>
      </c>
      <c r="P665" s="20">
        <f>IF(I665="","",IF(I665="Gasto",O665,0))</f>
        <v/>
      </c>
      <c r="Q665" s="20">
        <f>IF(I665="","",IF(I665="Ingreso",O665,0))</f>
        <v/>
      </c>
      <c r="R665" s="20">
        <f>IF(I665="","",IF(I665="Trading",O665,0))</f>
        <v/>
      </c>
      <c r="S665" s="19">
        <f>IF(I665="","",IF(AND(I665="Gasto",K665="Variable",J665&lt;&gt;"Trading",O665&gt;0,O665&lt;=Umbral),1,0))</f>
        <v/>
      </c>
      <c r="T665" s="20">
        <f>IF(OR(I665="",E665=""),"",IF(OR(I665="Gasto",I665="Transferencia",I665="Pago tarjeta"),-1,1)*C665)</f>
        <v/>
      </c>
      <c r="U665" s="20">
        <f>IF(OR(G665="",AND(I665&lt;&gt;"Transferencia",I665&lt;&gt;"Pago tarjeta")),"",IF(IFERROR(INDEX(ctaMon,MATCH(G665,ctaNom,0))&amp;"","DOP")=N665,C665,IF(N665="USD",C665*TasaUSD,C665/TasaUSD)))</f>
        <v/>
      </c>
      <c r="V665" s="20">
        <f>IF(I665="","",IF(IFERROR(INDEX(ctaLiq,MATCH(E665,ctaNom,0))="Sí",FALSE),IF(OR(I665="Gasto",I665="Transferencia",I665="Pago tarjeta"),-1,1)*O665,0)+IF(AND(U665&lt;&gt;"",IFERROR(INDEX(ctaLiq,MATCH(G665,ctaNom,0))="Sí",FALSE)),O665,0))</f>
        <v/>
      </c>
      <c r="W665" s="19">
        <f>IF(OR(F665="",I665=""),"",IF(COUNTIFS(F$6:F665,F665,I$6:I665,"?*")=1,MAX(W$5:W664)+1,""))</f>
        <v/>
      </c>
    </row>
    <row r="666">
      <c r="B666" s="15" t="n"/>
      <c r="C666" s="16" t="n"/>
      <c r="D666" s="17" t="n"/>
      <c r="E666" s="17" t="n"/>
      <c r="F666" s="17" t="n"/>
      <c r="G666" s="17" t="n"/>
      <c r="H666" s="18">
        <f>IF(AND(B666="",C666="",D666="",E666=""),"",IF(B666="","⚠ Falta fecha",IF(C666="","⚠ Falta monto",IF(D666="","⚠ Falta categoría",IF(ISNA(MATCH(D666,catNom,0)),"⚠ Categoría no existe",IF(E666="","⚠ Falta cuenta",IF(ISNA(MATCH(E666,ctaNom,0)),"⚠ Cuenta no existe",IF(AND(OR(I666="Transferencia",I666="Pago tarjeta"),G666=""),"⚠ Indica la cuenta «Hacia»",IF(AND(G666&lt;&gt;"",G666=E666),"⚠ «Hacia» igual a la cuenta",IF(AND(G666&lt;&gt;"",ISNA(MATCH(G666,ctaNom,0))),"⚠ «Hacia» no existe",IF(AND(I666="Pago tarjeta",IFERROR(INDEX(ctaTipo,MATCH(G666,ctaNom,0)),"")&lt;&gt;"Tarjeta de crédito"),"⚠ «Hacia» debe ser la tarjeta",IF(AND(I666="Trading",IFERROR(INDEX(ctaTipo,MATCH(E666,ctaNom,0)),"")&lt;&gt;"Cuenta de trading"),"⚠ Usa la cuenta de trading","✓"))))))))))))</f>
        <v/>
      </c>
      <c r="I666" s="19">
        <f>IF(OR(B666="",C666="",D666=""),"",IFERROR(INDEX(catTipo,MATCH(D666,catNom,0))&amp;"",""))</f>
        <v/>
      </c>
      <c r="J666" s="19">
        <f>IF(I666="","",IFERROR(INDEX(catGrupo,MATCH(D666,catNom,0))&amp;"",""))</f>
        <v/>
      </c>
      <c r="K666" s="19">
        <f>IF(I666="Gasto",IF(IFERROR(INDEX(catClas,MATCH(D666,catNom,0))&amp;"","")="","Variable",IFERROR(INDEX(catClas,MATCH(D666,catNom,0))&amp;"","")),"")</f>
        <v/>
      </c>
      <c r="L666" s="19">
        <f>IF(I666="","",IFERROR(INDEX(catAlim,MATCH(D666,catNom,0))&amp;"",""))</f>
        <v/>
      </c>
      <c r="M666" s="19">
        <f>IF(I666="","",IFERROR(INDEX(catComida,MATCH(D666,catNom,0))&amp;"",""))</f>
        <v/>
      </c>
      <c r="N666" s="19">
        <f>IF(I666="","",IFERROR(INDEX(ctaMon,MATCH(E666,ctaNom,0))&amp;"","DOP"))</f>
        <v/>
      </c>
      <c r="O666" s="20">
        <f>IF(I666="","",C666*IF(N666="USD",TasaUSD,1))</f>
        <v/>
      </c>
      <c r="P666" s="20">
        <f>IF(I666="","",IF(I666="Gasto",O666,0))</f>
        <v/>
      </c>
      <c r="Q666" s="20">
        <f>IF(I666="","",IF(I666="Ingreso",O666,0))</f>
        <v/>
      </c>
      <c r="R666" s="20">
        <f>IF(I666="","",IF(I666="Trading",O666,0))</f>
        <v/>
      </c>
      <c r="S666" s="19">
        <f>IF(I666="","",IF(AND(I666="Gasto",K666="Variable",J666&lt;&gt;"Trading",O666&gt;0,O666&lt;=Umbral),1,0))</f>
        <v/>
      </c>
      <c r="T666" s="20">
        <f>IF(OR(I666="",E666=""),"",IF(OR(I666="Gasto",I666="Transferencia",I666="Pago tarjeta"),-1,1)*C666)</f>
        <v/>
      </c>
      <c r="U666" s="20">
        <f>IF(OR(G666="",AND(I666&lt;&gt;"Transferencia",I666&lt;&gt;"Pago tarjeta")),"",IF(IFERROR(INDEX(ctaMon,MATCH(G666,ctaNom,0))&amp;"","DOP")=N666,C666,IF(N666="USD",C666*TasaUSD,C666/TasaUSD)))</f>
        <v/>
      </c>
      <c r="V666" s="20">
        <f>IF(I666="","",IF(IFERROR(INDEX(ctaLiq,MATCH(E666,ctaNom,0))="Sí",FALSE),IF(OR(I666="Gasto",I666="Transferencia",I666="Pago tarjeta"),-1,1)*O666,0)+IF(AND(U666&lt;&gt;"",IFERROR(INDEX(ctaLiq,MATCH(G666,ctaNom,0))="Sí",FALSE)),O666,0))</f>
        <v/>
      </c>
      <c r="W666" s="19">
        <f>IF(OR(F666="",I666=""),"",IF(COUNTIFS(F$6:F666,F666,I$6:I666,"?*")=1,MAX(W$5:W665)+1,""))</f>
        <v/>
      </c>
    </row>
    <row r="667">
      <c r="B667" s="15" t="n"/>
      <c r="C667" s="16" t="n"/>
      <c r="D667" s="17" t="n"/>
      <c r="E667" s="17" t="n"/>
      <c r="F667" s="17" t="n"/>
      <c r="G667" s="17" t="n"/>
      <c r="H667" s="18">
        <f>IF(AND(B667="",C667="",D667="",E667=""),"",IF(B667="","⚠ Falta fecha",IF(C667="","⚠ Falta monto",IF(D667="","⚠ Falta categoría",IF(ISNA(MATCH(D667,catNom,0)),"⚠ Categoría no existe",IF(E667="","⚠ Falta cuenta",IF(ISNA(MATCH(E667,ctaNom,0)),"⚠ Cuenta no existe",IF(AND(OR(I667="Transferencia",I667="Pago tarjeta"),G667=""),"⚠ Indica la cuenta «Hacia»",IF(AND(G667&lt;&gt;"",G667=E667),"⚠ «Hacia» igual a la cuenta",IF(AND(G667&lt;&gt;"",ISNA(MATCH(G667,ctaNom,0))),"⚠ «Hacia» no existe",IF(AND(I667="Pago tarjeta",IFERROR(INDEX(ctaTipo,MATCH(G667,ctaNom,0)),"")&lt;&gt;"Tarjeta de crédito"),"⚠ «Hacia» debe ser la tarjeta",IF(AND(I667="Trading",IFERROR(INDEX(ctaTipo,MATCH(E667,ctaNom,0)),"")&lt;&gt;"Cuenta de trading"),"⚠ Usa la cuenta de trading","✓"))))))))))))</f>
        <v/>
      </c>
      <c r="I667" s="19">
        <f>IF(OR(B667="",C667="",D667=""),"",IFERROR(INDEX(catTipo,MATCH(D667,catNom,0))&amp;"",""))</f>
        <v/>
      </c>
      <c r="J667" s="19">
        <f>IF(I667="","",IFERROR(INDEX(catGrupo,MATCH(D667,catNom,0))&amp;"",""))</f>
        <v/>
      </c>
      <c r="K667" s="19">
        <f>IF(I667="Gasto",IF(IFERROR(INDEX(catClas,MATCH(D667,catNom,0))&amp;"","")="","Variable",IFERROR(INDEX(catClas,MATCH(D667,catNom,0))&amp;"","")),"")</f>
        <v/>
      </c>
      <c r="L667" s="19">
        <f>IF(I667="","",IFERROR(INDEX(catAlim,MATCH(D667,catNom,0))&amp;"",""))</f>
        <v/>
      </c>
      <c r="M667" s="19">
        <f>IF(I667="","",IFERROR(INDEX(catComida,MATCH(D667,catNom,0))&amp;"",""))</f>
        <v/>
      </c>
      <c r="N667" s="19">
        <f>IF(I667="","",IFERROR(INDEX(ctaMon,MATCH(E667,ctaNom,0))&amp;"","DOP"))</f>
        <v/>
      </c>
      <c r="O667" s="20">
        <f>IF(I667="","",C667*IF(N667="USD",TasaUSD,1))</f>
        <v/>
      </c>
      <c r="P667" s="20">
        <f>IF(I667="","",IF(I667="Gasto",O667,0))</f>
        <v/>
      </c>
      <c r="Q667" s="20">
        <f>IF(I667="","",IF(I667="Ingreso",O667,0))</f>
        <v/>
      </c>
      <c r="R667" s="20">
        <f>IF(I667="","",IF(I667="Trading",O667,0))</f>
        <v/>
      </c>
      <c r="S667" s="19">
        <f>IF(I667="","",IF(AND(I667="Gasto",K667="Variable",J667&lt;&gt;"Trading",O667&gt;0,O667&lt;=Umbral),1,0))</f>
        <v/>
      </c>
      <c r="T667" s="20">
        <f>IF(OR(I667="",E667=""),"",IF(OR(I667="Gasto",I667="Transferencia",I667="Pago tarjeta"),-1,1)*C667)</f>
        <v/>
      </c>
      <c r="U667" s="20">
        <f>IF(OR(G667="",AND(I667&lt;&gt;"Transferencia",I667&lt;&gt;"Pago tarjeta")),"",IF(IFERROR(INDEX(ctaMon,MATCH(G667,ctaNom,0))&amp;"","DOP")=N667,C667,IF(N667="USD",C667*TasaUSD,C667/TasaUSD)))</f>
        <v/>
      </c>
      <c r="V667" s="20">
        <f>IF(I667="","",IF(IFERROR(INDEX(ctaLiq,MATCH(E667,ctaNom,0))="Sí",FALSE),IF(OR(I667="Gasto",I667="Transferencia",I667="Pago tarjeta"),-1,1)*O667,0)+IF(AND(U667&lt;&gt;"",IFERROR(INDEX(ctaLiq,MATCH(G667,ctaNom,0))="Sí",FALSE)),O667,0))</f>
        <v/>
      </c>
      <c r="W667" s="19">
        <f>IF(OR(F667="",I667=""),"",IF(COUNTIFS(F$6:F667,F667,I$6:I667,"?*")=1,MAX(W$5:W666)+1,""))</f>
        <v/>
      </c>
    </row>
    <row r="668">
      <c r="B668" s="15" t="n"/>
      <c r="C668" s="16" t="n"/>
      <c r="D668" s="17" t="n"/>
      <c r="E668" s="17" t="n"/>
      <c r="F668" s="17" t="n"/>
      <c r="G668" s="17" t="n"/>
      <c r="H668" s="18">
        <f>IF(AND(B668="",C668="",D668="",E668=""),"",IF(B668="","⚠ Falta fecha",IF(C668="","⚠ Falta monto",IF(D668="","⚠ Falta categoría",IF(ISNA(MATCH(D668,catNom,0)),"⚠ Categoría no existe",IF(E668="","⚠ Falta cuenta",IF(ISNA(MATCH(E668,ctaNom,0)),"⚠ Cuenta no existe",IF(AND(OR(I668="Transferencia",I668="Pago tarjeta"),G668=""),"⚠ Indica la cuenta «Hacia»",IF(AND(G668&lt;&gt;"",G668=E668),"⚠ «Hacia» igual a la cuenta",IF(AND(G668&lt;&gt;"",ISNA(MATCH(G668,ctaNom,0))),"⚠ «Hacia» no existe",IF(AND(I668="Pago tarjeta",IFERROR(INDEX(ctaTipo,MATCH(G668,ctaNom,0)),"")&lt;&gt;"Tarjeta de crédito"),"⚠ «Hacia» debe ser la tarjeta",IF(AND(I668="Trading",IFERROR(INDEX(ctaTipo,MATCH(E668,ctaNom,0)),"")&lt;&gt;"Cuenta de trading"),"⚠ Usa la cuenta de trading","✓"))))))))))))</f>
        <v/>
      </c>
      <c r="I668" s="19">
        <f>IF(OR(B668="",C668="",D668=""),"",IFERROR(INDEX(catTipo,MATCH(D668,catNom,0))&amp;"",""))</f>
        <v/>
      </c>
      <c r="J668" s="19">
        <f>IF(I668="","",IFERROR(INDEX(catGrupo,MATCH(D668,catNom,0))&amp;"",""))</f>
        <v/>
      </c>
      <c r="K668" s="19">
        <f>IF(I668="Gasto",IF(IFERROR(INDEX(catClas,MATCH(D668,catNom,0))&amp;"","")="","Variable",IFERROR(INDEX(catClas,MATCH(D668,catNom,0))&amp;"","")),"")</f>
        <v/>
      </c>
      <c r="L668" s="19">
        <f>IF(I668="","",IFERROR(INDEX(catAlim,MATCH(D668,catNom,0))&amp;"",""))</f>
        <v/>
      </c>
      <c r="M668" s="19">
        <f>IF(I668="","",IFERROR(INDEX(catComida,MATCH(D668,catNom,0))&amp;"",""))</f>
        <v/>
      </c>
      <c r="N668" s="19">
        <f>IF(I668="","",IFERROR(INDEX(ctaMon,MATCH(E668,ctaNom,0))&amp;"","DOP"))</f>
        <v/>
      </c>
      <c r="O668" s="20">
        <f>IF(I668="","",C668*IF(N668="USD",TasaUSD,1))</f>
        <v/>
      </c>
      <c r="P668" s="20">
        <f>IF(I668="","",IF(I668="Gasto",O668,0))</f>
        <v/>
      </c>
      <c r="Q668" s="20">
        <f>IF(I668="","",IF(I668="Ingreso",O668,0))</f>
        <v/>
      </c>
      <c r="R668" s="20">
        <f>IF(I668="","",IF(I668="Trading",O668,0))</f>
        <v/>
      </c>
      <c r="S668" s="19">
        <f>IF(I668="","",IF(AND(I668="Gasto",K668="Variable",J668&lt;&gt;"Trading",O668&gt;0,O668&lt;=Umbral),1,0))</f>
        <v/>
      </c>
      <c r="T668" s="20">
        <f>IF(OR(I668="",E668=""),"",IF(OR(I668="Gasto",I668="Transferencia",I668="Pago tarjeta"),-1,1)*C668)</f>
        <v/>
      </c>
      <c r="U668" s="20">
        <f>IF(OR(G668="",AND(I668&lt;&gt;"Transferencia",I668&lt;&gt;"Pago tarjeta")),"",IF(IFERROR(INDEX(ctaMon,MATCH(G668,ctaNom,0))&amp;"","DOP")=N668,C668,IF(N668="USD",C668*TasaUSD,C668/TasaUSD)))</f>
        <v/>
      </c>
      <c r="V668" s="20">
        <f>IF(I668="","",IF(IFERROR(INDEX(ctaLiq,MATCH(E668,ctaNom,0))="Sí",FALSE),IF(OR(I668="Gasto",I668="Transferencia",I668="Pago tarjeta"),-1,1)*O668,0)+IF(AND(U668&lt;&gt;"",IFERROR(INDEX(ctaLiq,MATCH(G668,ctaNom,0))="Sí",FALSE)),O668,0))</f>
        <v/>
      </c>
      <c r="W668" s="19">
        <f>IF(OR(F668="",I668=""),"",IF(COUNTIFS(F$6:F668,F668,I$6:I668,"?*")=1,MAX(W$5:W667)+1,""))</f>
        <v/>
      </c>
    </row>
    <row r="669">
      <c r="B669" s="15" t="n"/>
      <c r="C669" s="16" t="n"/>
      <c r="D669" s="17" t="n"/>
      <c r="E669" s="17" t="n"/>
      <c r="F669" s="17" t="n"/>
      <c r="G669" s="17" t="n"/>
      <c r="H669" s="18">
        <f>IF(AND(B669="",C669="",D669="",E669=""),"",IF(B669="","⚠ Falta fecha",IF(C669="","⚠ Falta monto",IF(D669="","⚠ Falta categoría",IF(ISNA(MATCH(D669,catNom,0)),"⚠ Categoría no existe",IF(E669="","⚠ Falta cuenta",IF(ISNA(MATCH(E669,ctaNom,0)),"⚠ Cuenta no existe",IF(AND(OR(I669="Transferencia",I669="Pago tarjeta"),G669=""),"⚠ Indica la cuenta «Hacia»",IF(AND(G669&lt;&gt;"",G669=E669),"⚠ «Hacia» igual a la cuenta",IF(AND(G669&lt;&gt;"",ISNA(MATCH(G669,ctaNom,0))),"⚠ «Hacia» no existe",IF(AND(I669="Pago tarjeta",IFERROR(INDEX(ctaTipo,MATCH(G669,ctaNom,0)),"")&lt;&gt;"Tarjeta de crédito"),"⚠ «Hacia» debe ser la tarjeta",IF(AND(I669="Trading",IFERROR(INDEX(ctaTipo,MATCH(E669,ctaNom,0)),"")&lt;&gt;"Cuenta de trading"),"⚠ Usa la cuenta de trading","✓"))))))))))))</f>
        <v/>
      </c>
      <c r="I669" s="19">
        <f>IF(OR(B669="",C669="",D669=""),"",IFERROR(INDEX(catTipo,MATCH(D669,catNom,0))&amp;"",""))</f>
        <v/>
      </c>
      <c r="J669" s="19">
        <f>IF(I669="","",IFERROR(INDEX(catGrupo,MATCH(D669,catNom,0))&amp;"",""))</f>
        <v/>
      </c>
      <c r="K669" s="19">
        <f>IF(I669="Gasto",IF(IFERROR(INDEX(catClas,MATCH(D669,catNom,0))&amp;"","")="","Variable",IFERROR(INDEX(catClas,MATCH(D669,catNom,0))&amp;"","")),"")</f>
        <v/>
      </c>
      <c r="L669" s="19">
        <f>IF(I669="","",IFERROR(INDEX(catAlim,MATCH(D669,catNom,0))&amp;"",""))</f>
        <v/>
      </c>
      <c r="M669" s="19">
        <f>IF(I669="","",IFERROR(INDEX(catComida,MATCH(D669,catNom,0))&amp;"",""))</f>
        <v/>
      </c>
      <c r="N669" s="19">
        <f>IF(I669="","",IFERROR(INDEX(ctaMon,MATCH(E669,ctaNom,0))&amp;"","DOP"))</f>
        <v/>
      </c>
      <c r="O669" s="20">
        <f>IF(I669="","",C669*IF(N669="USD",TasaUSD,1))</f>
        <v/>
      </c>
      <c r="P669" s="20">
        <f>IF(I669="","",IF(I669="Gasto",O669,0))</f>
        <v/>
      </c>
      <c r="Q669" s="20">
        <f>IF(I669="","",IF(I669="Ingreso",O669,0))</f>
        <v/>
      </c>
      <c r="R669" s="20">
        <f>IF(I669="","",IF(I669="Trading",O669,0))</f>
        <v/>
      </c>
      <c r="S669" s="19">
        <f>IF(I669="","",IF(AND(I669="Gasto",K669="Variable",J669&lt;&gt;"Trading",O669&gt;0,O669&lt;=Umbral),1,0))</f>
        <v/>
      </c>
      <c r="T669" s="20">
        <f>IF(OR(I669="",E669=""),"",IF(OR(I669="Gasto",I669="Transferencia",I669="Pago tarjeta"),-1,1)*C669)</f>
        <v/>
      </c>
      <c r="U669" s="20">
        <f>IF(OR(G669="",AND(I669&lt;&gt;"Transferencia",I669&lt;&gt;"Pago tarjeta")),"",IF(IFERROR(INDEX(ctaMon,MATCH(G669,ctaNom,0))&amp;"","DOP")=N669,C669,IF(N669="USD",C669*TasaUSD,C669/TasaUSD)))</f>
        <v/>
      </c>
      <c r="V669" s="20">
        <f>IF(I669="","",IF(IFERROR(INDEX(ctaLiq,MATCH(E669,ctaNom,0))="Sí",FALSE),IF(OR(I669="Gasto",I669="Transferencia",I669="Pago tarjeta"),-1,1)*O669,0)+IF(AND(U669&lt;&gt;"",IFERROR(INDEX(ctaLiq,MATCH(G669,ctaNom,0))="Sí",FALSE)),O669,0))</f>
        <v/>
      </c>
      <c r="W669" s="19">
        <f>IF(OR(F669="",I669=""),"",IF(COUNTIFS(F$6:F669,F669,I$6:I669,"?*")=1,MAX(W$5:W668)+1,""))</f>
        <v/>
      </c>
    </row>
    <row r="670">
      <c r="B670" s="15" t="n"/>
      <c r="C670" s="16" t="n"/>
      <c r="D670" s="17" t="n"/>
      <c r="E670" s="17" t="n"/>
      <c r="F670" s="17" t="n"/>
      <c r="G670" s="17" t="n"/>
      <c r="H670" s="18">
        <f>IF(AND(B670="",C670="",D670="",E670=""),"",IF(B670="","⚠ Falta fecha",IF(C670="","⚠ Falta monto",IF(D670="","⚠ Falta categoría",IF(ISNA(MATCH(D670,catNom,0)),"⚠ Categoría no existe",IF(E670="","⚠ Falta cuenta",IF(ISNA(MATCH(E670,ctaNom,0)),"⚠ Cuenta no existe",IF(AND(OR(I670="Transferencia",I670="Pago tarjeta"),G670=""),"⚠ Indica la cuenta «Hacia»",IF(AND(G670&lt;&gt;"",G670=E670),"⚠ «Hacia» igual a la cuenta",IF(AND(G670&lt;&gt;"",ISNA(MATCH(G670,ctaNom,0))),"⚠ «Hacia» no existe",IF(AND(I670="Pago tarjeta",IFERROR(INDEX(ctaTipo,MATCH(G670,ctaNom,0)),"")&lt;&gt;"Tarjeta de crédito"),"⚠ «Hacia» debe ser la tarjeta",IF(AND(I670="Trading",IFERROR(INDEX(ctaTipo,MATCH(E670,ctaNom,0)),"")&lt;&gt;"Cuenta de trading"),"⚠ Usa la cuenta de trading","✓"))))))))))))</f>
        <v/>
      </c>
      <c r="I670" s="19">
        <f>IF(OR(B670="",C670="",D670=""),"",IFERROR(INDEX(catTipo,MATCH(D670,catNom,0))&amp;"",""))</f>
        <v/>
      </c>
      <c r="J670" s="19">
        <f>IF(I670="","",IFERROR(INDEX(catGrupo,MATCH(D670,catNom,0))&amp;"",""))</f>
        <v/>
      </c>
      <c r="K670" s="19">
        <f>IF(I670="Gasto",IF(IFERROR(INDEX(catClas,MATCH(D670,catNom,0))&amp;"","")="","Variable",IFERROR(INDEX(catClas,MATCH(D670,catNom,0))&amp;"","")),"")</f>
        <v/>
      </c>
      <c r="L670" s="19">
        <f>IF(I670="","",IFERROR(INDEX(catAlim,MATCH(D670,catNom,0))&amp;"",""))</f>
        <v/>
      </c>
      <c r="M670" s="19">
        <f>IF(I670="","",IFERROR(INDEX(catComida,MATCH(D670,catNom,0))&amp;"",""))</f>
        <v/>
      </c>
      <c r="N670" s="19">
        <f>IF(I670="","",IFERROR(INDEX(ctaMon,MATCH(E670,ctaNom,0))&amp;"","DOP"))</f>
        <v/>
      </c>
      <c r="O670" s="20">
        <f>IF(I670="","",C670*IF(N670="USD",TasaUSD,1))</f>
        <v/>
      </c>
      <c r="P670" s="20">
        <f>IF(I670="","",IF(I670="Gasto",O670,0))</f>
        <v/>
      </c>
      <c r="Q670" s="20">
        <f>IF(I670="","",IF(I670="Ingreso",O670,0))</f>
        <v/>
      </c>
      <c r="R670" s="20">
        <f>IF(I670="","",IF(I670="Trading",O670,0))</f>
        <v/>
      </c>
      <c r="S670" s="19">
        <f>IF(I670="","",IF(AND(I670="Gasto",K670="Variable",J670&lt;&gt;"Trading",O670&gt;0,O670&lt;=Umbral),1,0))</f>
        <v/>
      </c>
      <c r="T670" s="20">
        <f>IF(OR(I670="",E670=""),"",IF(OR(I670="Gasto",I670="Transferencia",I670="Pago tarjeta"),-1,1)*C670)</f>
        <v/>
      </c>
      <c r="U670" s="20">
        <f>IF(OR(G670="",AND(I670&lt;&gt;"Transferencia",I670&lt;&gt;"Pago tarjeta")),"",IF(IFERROR(INDEX(ctaMon,MATCH(G670,ctaNom,0))&amp;"","DOP")=N670,C670,IF(N670="USD",C670*TasaUSD,C670/TasaUSD)))</f>
        <v/>
      </c>
      <c r="V670" s="20">
        <f>IF(I670="","",IF(IFERROR(INDEX(ctaLiq,MATCH(E670,ctaNom,0))="Sí",FALSE),IF(OR(I670="Gasto",I670="Transferencia",I670="Pago tarjeta"),-1,1)*O670,0)+IF(AND(U670&lt;&gt;"",IFERROR(INDEX(ctaLiq,MATCH(G670,ctaNom,0))="Sí",FALSE)),O670,0))</f>
        <v/>
      </c>
      <c r="W670" s="19">
        <f>IF(OR(F670="",I670=""),"",IF(COUNTIFS(F$6:F670,F670,I$6:I670,"?*")=1,MAX(W$5:W669)+1,""))</f>
        <v/>
      </c>
    </row>
    <row r="671">
      <c r="B671" s="15" t="n"/>
      <c r="C671" s="16" t="n"/>
      <c r="D671" s="17" t="n"/>
      <c r="E671" s="17" t="n"/>
      <c r="F671" s="17" t="n"/>
      <c r="G671" s="17" t="n"/>
      <c r="H671" s="18">
        <f>IF(AND(B671="",C671="",D671="",E671=""),"",IF(B671="","⚠ Falta fecha",IF(C671="","⚠ Falta monto",IF(D671="","⚠ Falta categoría",IF(ISNA(MATCH(D671,catNom,0)),"⚠ Categoría no existe",IF(E671="","⚠ Falta cuenta",IF(ISNA(MATCH(E671,ctaNom,0)),"⚠ Cuenta no existe",IF(AND(OR(I671="Transferencia",I671="Pago tarjeta"),G671=""),"⚠ Indica la cuenta «Hacia»",IF(AND(G671&lt;&gt;"",G671=E671),"⚠ «Hacia» igual a la cuenta",IF(AND(G671&lt;&gt;"",ISNA(MATCH(G671,ctaNom,0))),"⚠ «Hacia» no existe",IF(AND(I671="Pago tarjeta",IFERROR(INDEX(ctaTipo,MATCH(G671,ctaNom,0)),"")&lt;&gt;"Tarjeta de crédito"),"⚠ «Hacia» debe ser la tarjeta",IF(AND(I671="Trading",IFERROR(INDEX(ctaTipo,MATCH(E671,ctaNom,0)),"")&lt;&gt;"Cuenta de trading"),"⚠ Usa la cuenta de trading","✓"))))))))))))</f>
        <v/>
      </c>
      <c r="I671" s="19">
        <f>IF(OR(B671="",C671="",D671=""),"",IFERROR(INDEX(catTipo,MATCH(D671,catNom,0))&amp;"",""))</f>
        <v/>
      </c>
      <c r="J671" s="19">
        <f>IF(I671="","",IFERROR(INDEX(catGrupo,MATCH(D671,catNom,0))&amp;"",""))</f>
        <v/>
      </c>
      <c r="K671" s="19">
        <f>IF(I671="Gasto",IF(IFERROR(INDEX(catClas,MATCH(D671,catNom,0))&amp;"","")="","Variable",IFERROR(INDEX(catClas,MATCH(D671,catNom,0))&amp;"","")),"")</f>
        <v/>
      </c>
      <c r="L671" s="19">
        <f>IF(I671="","",IFERROR(INDEX(catAlim,MATCH(D671,catNom,0))&amp;"",""))</f>
        <v/>
      </c>
      <c r="M671" s="19">
        <f>IF(I671="","",IFERROR(INDEX(catComida,MATCH(D671,catNom,0))&amp;"",""))</f>
        <v/>
      </c>
      <c r="N671" s="19">
        <f>IF(I671="","",IFERROR(INDEX(ctaMon,MATCH(E671,ctaNom,0))&amp;"","DOP"))</f>
        <v/>
      </c>
      <c r="O671" s="20">
        <f>IF(I671="","",C671*IF(N671="USD",TasaUSD,1))</f>
        <v/>
      </c>
      <c r="P671" s="20">
        <f>IF(I671="","",IF(I671="Gasto",O671,0))</f>
        <v/>
      </c>
      <c r="Q671" s="20">
        <f>IF(I671="","",IF(I671="Ingreso",O671,0))</f>
        <v/>
      </c>
      <c r="R671" s="20">
        <f>IF(I671="","",IF(I671="Trading",O671,0))</f>
        <v/>
      </c>
      <c r="S671" s="19">
        <f>IF(I671="","",IF(AND(I671="Gasto",K671="Variable",J671&lt;&gt;"Trading",O671&gt;0,O671&lt;=Umbral),1,0))</f>
        <v/>
      </c>
      <c r="T671" s="20">
        <f>IF(OR(I671="",E671=""),"",IF(OR(I671="Gasto",I671="Transferencia",I671="Pago tarjeta"),-1,1)*C671)</f>
        <v/>
      </c>
      <c r="U671" s="20">
        <f>IF(OR(G671="",AND(I671&lt;&gt;"Transferencia",I671&lt;&gt;"Pago tarjeta")),"",IF(IFERROR(INDEX(ctaMon,MATCH(G671,ctaNom,0))&amp;"","DOP")=N671,C671,IF(N671="USD",C671*TasaUSD,C671/TasaUSD)))</f>
        <v/>
      </c>
      <c r="V671" s="20">
        <f>IF(I671="","",IF(IFERROR(INDEX(ctaLiq,MATCH(E671,ctaNom,0))="Sí",FALSE),IF(OR(I671="Gasto",I671="Transferencia",I671="Pago tarjeta"),-1,1)*O671,0)+IF(AND(U671&lt;&gt;"",IFERROR(INDEX(ctaLiq,MATCH(G671,ctaNom,0))="Sí",FALSE)),O671,0))</f>
        <v/>
      </c>
      <c r="W671" s="19">
        <f>IF(OR(F671="",I671=""),"",IF(COUNTIFS(F$6:F671,F671,I$6:I671,"?*")=1,MAX(W$5:W670)+1,""))</f>
        <v/>
      </c>
    </row>
    <row r="672">
      <c r="B672" s="15" t="n"/>
      <c r="C672" s="16" t="n"/>
      <c r="D672" s="17" t="n"/>
      <c r="E672" s="17" t="n"/>
      <c r="F672" s="17" t="n"/>
      <c r="G672" s="17" t="n"/>
      <c r="H672" s="18">
        <f>IF(AND(B672="",C672="",D672="",E672=""),"",IF(B672="","⚠ Falta fecha",IF(C672="","⚠ Falta monto",IF(D672="","⚠ Falta categoría",IF(ISNA(MATCH(D672,catNom,0)),"⚠ Categoría no existe",IF(E672="","⚠ Falta cuenta",IF(ISNA(MATCH(E672,ctaNom,0)),"⚠ Cuenta no existe",IF(AND(OR(I672="Transferencia",I672="Pago tarjeta"),G672=""),"⚠ Indica la cuenta «Hacia»",IF(AND(G672&lt;&gt;"",G672=E672),"⚠ «Hacia» igual a la cuenta",IF(AND(G672&lt;&gt;"",ISNA(MATCH(G672,ctaNom,0))),"⚠ «Hacia» no existe",IF(AND(I672="Pago tarjeta",IFERROR(INDEX(ctaTipo,MATCH(G672,ctaNom,0)),"")&lt;&gt;"Tarjeta de crédito"),"⚠ «Hacia» debe ser la tarjeta",IF(AND(I672="Trading",IFERROR(INDEX(ctaTipo,MATCH(E672,ctaNom,0)),"")&lt;&gt;"Cuenta de trading"),"⚠ Usa la cuenta de trading","✓"))))))))))))</f>
        <v/>
      </c>
      <c r="I672" s="19">
        <f>IF(OR(B672="",C672="",D672=""),"",IFERROR(INDEX(catTipo,MATCH(D672,catNom,0))&amp;"",""))</f>
        <v/>
      </c>
      <c r="J672" s="19">
        <f>IF(I672="","",IFERROR(INDEX(catGrupo,MATCH(D672,catNom,0))&amp;"",""))</f>
        <v/>
      </c>
      <c r="K672" s="19">
        <f>IF(I672="Gasto",IF(IFERROR(INDEX(catClas,MATCH(D672,catNom,0))&amp;"","")="","Variable",IFERROR(INDEX(catClas,MATCH(D672,catNom,0))&amp;"","")),"")</f>
        <v/>
      </c>
      <c r="L672" s="19">
        <f>IF(I672="","",IFERROR(INDEX(catAlim,MATCH(D672,catNom,0))&amp;"",""))</f>
        <v/>
      </c>
      <c r="M672" s="19">
        <f>IF(I672="","",IFERROR(INDEX(catComida,MATCH(D672,catNom,0))&amp;"",""))</f>
        <v/>
      </c>
      <c r="N672" s="19">
        <f>IF(I672="","",IFERROR(INDEX(ctaMon,MATCH(E672,ctaNom,0))&amp;"","DOP"))</f>
        <v/>
      </c>
      <c r="O672" s="20">
        <f>IF(I672="","",C672*IF(N672="USD",TasaUSD,1))</f>
        <v/>
      </c>
      <c r="P672" s="20">
        <f>IF(I672="","",IF(I672="Gasto",O672,0))</f>
        <v/>
      </c>
      <c r="Q672" s="20">
        <f>IF(I672="","",IF(I672="Ingreso",O672,0))</f>
        <v/>
      </c>
      <c r="R672" s="20">
        <f>IF(I672="","",IF(I672="Trading",O672,0))</f>
        <v/>
      </c>
      <c r="S672" s="19">
        <f>IF(I672="","",IF(AND(I672="Gasto",K672="Variable",J672&lt;&gt;"Trading",O672&gt;0,O672&lt;=Umbral),1,0))</f>
        <v/>
      </c>
      <c r="T672" s="20">
        <f>IF(OR(I672="",E672=""),"",IF(OR(I672="Gasto",I672="Transferencia",I672="Pago tarjeta"),-1,1)*C672)</f>
        <v/>
      </c>
      <c r="U672" s="20">
        <f>IF(OR(G672="",AND(I672&lt;&gt;"Transferencia",I672&lt;&gt;"Pago tarjeta")),"",IF(IFERROR(INDEX(ctaMon,MATCH(G672,ctaNom,0))&amp;"","DOP")=N672,C672,IF(N672="USD",C672*TasaUSD,C672/TasaUSD)))</f>
        <v/>
      </c>
      <c r="V672" s="20">
        <f>IF(I672="","",IF(IFERROR(INDEX(ctaLiq,MATCH(E672,ctaNom,0))="Sí",FALSE),IF(OR(I672="Gasto",I672="Transferencia",I672="Pago tarjeta"),-1,1)*O672,0)+IF(AND(U672&lt;&gt;"",IFERROR(INDEX(ctaLiq,MATCH(G672,ctaNom,0))="Sí",FALSE)),O672,0))</f>
        <v/>
      </c>
      <c r="W672" s="19">
        <f>IF(OR(F672="",I672=""),"",IF(COUNTIFS(F$6:F672,F672,I$6:I672,"?*")=1,MAX(W$5:W671)+1,""))</f>
        <v/>
      </c>
    </row>
    <row r="673">
      <c r="B673" s="15" t="n"/>
      <c r="C673" s="16" t="n"/>
      <c r="D673" s="17" t="n"/>
      <c r="E673" s="17" t="n"/>
      <c r="F673" s="17" t="n"/>
      <c r="G673" s="17" t="n"/>
      <c r="H673" s="18">
        <f>IF(AND(B673="",C673="",D673="",E673=""),"",IF(B673="","⚠ Falta fecha",IF(C673="","⚠ Falta monto",IF(D673="","⚠ Falta categoría",IF(ISNA(MATCH(D673,catNom,0)),"⚠ Categoría no existe",IF(E673="","⚠ Falta cuenta",IF(ISNA(MATCH(E673,ctaNom,0)),"⚠ Cuenta no existe",IF(AND(OR(I673="Transferencia",I673="Pago tarjeta"),G673=""),"⚠ Indica la cuenta «Hacia»",IF(AND(G673&lt;&gt;"",G673=E673),"⚠ «Hacia» igual a la cuenta",IF(AND(G673&lt;&gt;"",ISNA(MATCH(G673,ctaNom,0))),"⚠ «Hacia» no existe",IF(AND(I673="Pago tarjeta",IFERROR(INDEX(ctaTipo,MATCH(G673,ctaNom,0)),"")&lt;&gt;"Tarjeta de crédito"),"⚠ «Hacia» debe ser la tarjeta",IF(AND(I673="Trading",IFERROR(INDEX(ctaTipo,MATCH(E673,ctaNom,0)),"")&lt;&gt;"Cuenta de trading"),"⚠ Usa la cuenta de trading","✓"))))))))))))</f>
        <v/>
      </c>
      <c r="I673" s="19">
        <f>IF(OR(B673="",C673="",D673=""),"",IFERROR(INDEX(catTipo,MATCH(D673,catNom,0))&amp;"",""))</f>
        <v/>
      </c>
      <c r="J673" s="19">
        <f>IF(I673="","",IFERROR(INDEX(catGrupo,MATCH(D673,catNom,0))&amp;"",""))</f>
        <v/>
      </c>
      <c r="K673" s="19">
        <f>IF(I673="Gasto",IF(IFERROR(INDEX(catClas,MATCH(D673,catNom,0))&amp;"","")="","Variable",IFERROR(INDEX(catClas,MATCH(D673,catNom,0))&amp;"","")),"")</f>
        <v/>
      </c>
      <c r="L673" s="19">
        <f>IF(I673="","",IFERROR(INDEX(catAlim,MATCH(D673,catNom,0))&amp;"",""))</f>
        <v/>
      </c>
      <c r="M673" s="19">
        <f>IF(I673="","",IFERROR(INDEX(catComida,MATCH(D673,catNom,0))&amp;"",""))</f>
        <v/>
      </c>
      <c r="N673" s="19">
        <f>IF(I673="","",IFERROR(INDEX(ctaMon,MATCH(E673,ctaNom,0))&amp;"","DOP"))</f>
        <v/>
      </c>
      <c r="O673" s="20">
        <f>IF(I673="","",C673*IF(N673="USD",TasaUSD,1))</f>
        <v/>
      </c>
      <c r="P673" s="20">
        <f>IF(I673="","",IF(I673="Gasto",O673,0))</f>
        <v/>
      </c>
      <c r="Q673" s="20">
        <f>IF(I673="","",IF(I673="Ingreso",O673,0))</f>
        <v/>
      </c>
      <c r="R673" s="20">
        <f>IF(I673="","",IF(I673="Trading",O673,0))</f>
        <v/>
      </c>
      <c r="S673" s="19">
        <f>IF(I673="","",IF(AND(I673="Gasto",K673="Variable",J673&lt;&gt;"Trading",O673&gt;0,O673&lt;=Umbral),1,0))</f>
        <v/>
      </c>
      <c r="T673" s="20">
        <f>IF(OR(I673="",E673=""),"",IF(OR(I673="Gasto",I673="Transferencia",I673="Pago tarjeta"),-1,1)*C673)</f>
        <v/>
      </c>
      <c r="U673" s="20">
        <f>IF(OR(G673="",AND(I673&lt;&gt;"Transferencia",I673&lt;&gt;"Pago tarjeta")),"",IF(IFERROR(INDEX(ctaMon,MATCH(G673,ctaNom,0))&amp;"","DOP")=N673,C673,IF(N673="USD",C673*TasaUSD,C673/TasaUSD)))</f>
        <v/>
      </c>
      <c r="V673" s="20">
        <f>IF(I673="","",IF(IFERROR(INDEX(ctaLiq,MATCH(E673,ctaNom,0))="Sí",FALSE),IF(OR(I673="Gasto",I673="Transferencia",I673="Pago tarjeta"),-1,1)*O673,0)+IF(AND(U673&lt;&gt;"",IFERROR(INDEX(ctaLiq,MATCH(G673,ctaNom,0))="Sí",FALSE)),O673,0))</f>
        <v/>
      </c>
      <c r="W673" s="19">
        <f>IF(OR(F673="",I673=""),"",IF(COUNTIFS(F$6:F673,F673,I$6:I673,"?*")=1,MAX(W$5:W672)+1,""))</f>
        <v/>
      </c>
    </row>
    <row r="674">
      <c r="B674" s="15" t="n"/>
      <c r="C674" s="16" t="n"/>
      <c r="D674" s="17" t="n"/>
      <c r="E674" s="17" t="n"/>
      <c r="F674" s="17" t="n"/>
      <c r="G674" s="17" t="n"/>
      <c r="H674" s="18">
        <f>IF(AND(B674="",C674="",D674="",E674=""),"",IF(B674="","⚠ Falta fecha",IF(C674="","⚠ Falta monto",IF(D674="","⚠ Falta categoría",IF(ISNA(MATCH(D674,catNom,0)),"⚠ Categoría no existe",IF(E674="","⚠ Falta cuenta",IF(ISNA(MATCH(E674,ctaNom,0)),"⚠ Cuenta no existe",IF(AND(OR(I674="Transferencia",I674="Pago tarjeta"),G674=""),"⚠ Indica la cuenta «Hacia»",IF(AND(G674&lt;&gt;"",G674=E674),"⚠ «Hacia» igual a la cuenta",IF(AND(G674&lt;&gt;"",ISNA(MATCH(G674,ctaNom,0))),"⚠ «Hacia» no existe",IF(AND(I674="Pago tarjeta",IFERROR(INDEX(ctaTipo,MATCH(G674,ctaNom,0)),"")&lt;&gt;"Tarjeta de crédito"),"⚠ «Hacia» debe ser la tarjeta",IF(AND(I674="Trading",IFERROR(INDEX(ctaTipo,MATCH(E674,ctaNom,0)),"")&lt;&gt;"Cuenta de trading"),"⚠ Usa la cuenta de trading","✓"))))))))))))</f>
        <v/>
      </c>
      <c r="I674" s="19">
        <f>IF(OR(B674="",C674="",D674=""),"",IFERROR(INDEX(catTipo,MATCH(D674,catNom,0))&amp;"",""))</f>
        <v/>
      </c>
      <c r="J674" s="19">
        <f>IF(I674="","",IFERROR(INDEX(catGrupo,MATCH(D674,catNom,0))&amp;"",""))</f>
        <v/>
      </c>
      <c r="K674" s="19">
        <f>IF(I674="Gasto",IF(IFERROR(INDEX(catClas,MATCH(D674,catNom,0))&amp;"","")="","Variable",IFERROR(INDEX(catClas,MATCH(D674,catNom,0))&amp;"","")),"")</f>
        <v/>
      </c>
      <c r="L674" s="19">
        <f>IF(I674="","",IFERROR(INDEX(catAlim,MATCH(D674,catNom,0))&amp;"",""))</f>
        <v/>
      </c>
      <c r="M674" s="19">
        <f>IF(I674="","",IFERROR(INDEX(catComida,MATCH(D674,catNom,0))&amp;"",""))</f>
        <v/>
      </c>
      <c r="N674" s="19">
        <f>IF(I674="","",IFERROR(INDEX(ctaMon,MATCH(E674,ctaNom,0))&amp;"","DOP"))</f>
        <v/>
      </c>
      <c r="O674" s="20">
        <f>IF(I674="","",C674*IF(N674="USD",TasaUSD,1))</f>
        <v/>
      </c>
      <c r="P674" s="20">
        <f>IF(I674="","",IF(I674="Gasto",O674,0))</f>
        <v/>
      </c>
      <c r="Q674" s="20">
        <f>IF(I674="","",IF(I674="Ingreso",O674,0))</f>
        <v/>
      </c>
      <c r="R674" s="20">
        <f>IF(I674="","",IF(I674="Trading",O674,0))</f>
        <v/>
      </c>
      <c r="S674" s="19">
        <f>IF(I674="","",IF(AND(I674="Gasto",K674="Variable",J674&lt;&gt;"Trading",O674&gt;0,O674&lt;=Umbral),1,0))</f>
        <v/>
      </c>
      <c r="T674" s="20">
        <f>IF(OR(I674="",E674=""),"",IF(OR(I674="Gasto",I674="Transferencia",I674="Pago tarjeta"),-1,1)*C674)</f>
        <v/>
      </c>
      <c r="U674" s="20">
        <f>IF(OR(G674="",AND(I674&lt;&gt;"Transferencia",I674&lt;&gt;"Pago tarjeta")),"",IF(IFERROR(INDEX(ctaMon,MATCH(G674,ctaNom,0))&amp;"","DOP")=N674,C674,IF(N674="USD",C674*TasaUSD,C674/TasaUSD)))</f>
        <v/>
      </c>
      <c r="V674" s="20">
        <f>IF(I674="","",IF(IFERROR(INDEX(ctaLiq,MATCH(E674,ctaNom,0))="Sí",FALSE),IF(OR(I674="Gasto",I674="Transferencia",I674="Pago tarjeta"),-1,1)*O674,0)+IF(AND(U674&lt;&gt;"",IFERROR(INDEX(ctaLiq,MATCH(G674,ctaNom,0))="Sí",FALSE)),O674,0))</f>
        <v/>
      </c>
      <c r="W674" s="19">
        <f>IF(OR(F674="",I674=""),"",IF(COUNTIFS(F$6:F674,F674,I$6:I674,"?*")=1,MAX(W$5:W673)+1,""))</f>
        <v/>
      </c>
    </row>
    <row r="675">
      <c r="B675" s="15" t="n"/>
      <c r="C675" s="16" t="n"/>
      <c r="D675" s="17" t="n"/>
      <c r="E675" s="17" t="n"/>
      <c r="F675" s="17" t="n"/>
      <c r="G675" s="17" t="n"/>
      <c r="H675" s="18">
        <f>IF(AND(B675="",C675="",D675="",E675=""),"",IF(B675="","⚠ Falta fecha",IF(C675="","⚠ Falta monto",IF(D675="","⚠ Falta categoría",IF(ISNA(MATCH(D675,catNom,0)),"⚠ Categoría no existe",IF(E675="","⚠ Falta cuenta",IF(ISNA(MATCH(E675,ctaNom,0)),"⚠ Cuenta no existe",IF(AND(OR(I675="Transferencia",I675="Pago tarjeta"),G675=""),"⚠ Indica la cuenta «Hacia»",IF(AND(G675&lt;&gt;"",G675=E675),"⚠ «Hacia» igual a la cuenta",IF(AND(G675&lt;&gt;"",ISNA(MATCH(G675,ctaNom,0))),"⚠ «Hacia» no existe",IF(AND(I675="Pago tarjeta",IFERROR(INDEX(ctaTipo,MATCH(G675,ctaNom,0)),"")&lt;&gt;"Tarjeta de crédito"),"⚠ «Hacia» debe ser la tarjeta",IF(AND(I675="Trading",IFERROR(INDEX(ctaTipo,MATCH(E675,ctaNom,0)),"")&lt;&gt;"Cuenta de trading"),"⚠ Usa la cuenta de trading","✓"))))))))))))</f>
        <v/>
      </c>
      <c r="I675" s="19">
        <f>IF(OR(B675="",C675="",D675=""),"",IFERROR(INDEX(catTipo,MATCH(D675,catNom,0))&amp;"",""))</f>
        <v/>
      </c>
      <c r="J675" s="19">
        <f>IF(I675="","",IFERROR(INDEX(catGrupo,MATCH(D675,catNom,0))&amp;"",""))</f>
        <v/>
      </c>
      <c r="K675" s="19">
        <f>IF(I675="Gasto",IF(IFERROR(INDEX(catClas,MATCH(D675,catNom,0))&amp;"","")="","Variable",IFERROR(INDEX(catClas,MATCH(D675,catNom,0))&amp;"","")),"")</f>
        <v/>
      </c>
      <c r="L675" s="19">
        <f>IF(I675="","",IFERROR(INDEX(catAlim,MATCH(D675,catNom,0))&amp;"",""))</f>
        <v/>
      </c>
      <c r="M675" s="19">
        <f>IF(I675="","",IFERROR(INDEX(catComida,MATCH(D675,catNom,0))&amp;"",""))</f>
        <v/>
      </c>
      <c r="N675" s="19">
        <f>IF(I675="","",IFERROR(INDEX(ctaMon,MATCH(E675,ctaNom,0))&amp;"","DOP"))</f>
        <v/>
      </c>
      <c r="O675" s="20">
        <f>IF(I675="","",C675*IF(N675="USD",TasaUSD,1))</f>
        <v/>
      </c>
      <c r="P675" s="20">
        <f>IF(I675="","",IF(I675="Gasto",O675,0))</f>
        <v/>
      </c>
      <c r="Q675" s="20">
        <f>IF(I675="","",IF(I675="Ingreso",O675,0))</f>
        <v/>
      </c>
      <c r="R675" s="20">
        <f>IF(I675="","",IF(I675="Trading",O675,0))</f>
        <v/>
      </c>
      <c r="S675" s="19">
        <f>IF(I675="","",IF(AND(I675="Gasto",K675="Variable",J675&lt;&gt;"Trading",O675&gt;0,O675&lt;=Umbral),1,0))</f>
        <v/>
      </c>
      <c r="T675" s="20">
        <f>IF(OR(I675="",E675=""),"",IF(OR(I675="Gasto",I675="Transferencia",I675="Pago tarjeta"),-1,1)*C675)</f>
        <v/>
      </c>
      <c r="U675" s="20">
        <f>IF(OR(G675="",AND(I675&lt;&gt;"Transferencia",I675&lt;&gt;"Pago tarjeta")),"",IF(IFERROR(INDEX(ctaMon,MATCH(G675,ctaNom,0))&amp;"","DOP")=N675,C675,IF(N675="USD",C675*TasaUSD,C675/TasaUSD)))</f>
        <v/>
      </c>
      <c r="V675" s="20">
        <f>IF(I675="","",IF(IFERROR(INDEX(ctaLiq,MATCH(E675,ctaNom,0))="Sí",FALSE),IF(OR(I675="Gasto",I675="Transferencia",I675="Pago tarjeta"),-1,1)*O675,0)+IF(AND(U675&lt;&gt;"",IFERROR(INDEX(ctaLiq,MATCH(G675,ctaNom,0))="Sí",FALSE)),O675,0))</f>
        <v/>
      </c>
      <c r="W675" s="19">
        <f>IF(OR(F675="",I675=""),"",IF(COUNTIFS(F$6:F675,F675,I$6:I675,"?*")=1,MAX(W$5:W674)+1,""))</f>
        <v/>
      </c>
    </row>
    <row r="676">
      <c r="B676" s="15" t="n"/>
      <c r="C676" s="16" t="n"/>
      <c r="D676" s="17" t="n"/>
      <c r="E676" s="17" t="n"/>
      <c r="F676" s="17" t="n"/>
      <c r="G676" s="17" t="n"/>
      <c r="H676" s="18">
        <f>IF(AND(B676="",C676="",D676="",E676=""),"",IF(B676="","⚠ Falta fecha",IF(C676="","⚠ Falta monto",IF(D676="","⚠ Falta categoría",IF(ISNA(MATCH(D676,catNom,0)),"⚠ Categoría no existe",IF(E676="","⚠ Falta cuenta",IF(ISNA(MATCH(E676,ctaNom,0)),"⚠ Cuenta no existe",IF(AND(OR(I676="Transferencia",I676="Pago tarjeta"),G676=""),"⚠ Indica la cuenta «Hacia»",IF(AND(G676&lt;&gt;"",G676=E676),"⚠ «Hacia» igual a la cuenta",IF(AND(G676&lt;&gt;"",ISNA(MATCH(G676,ctaNom,0))),"⚠ «Hacia» no existe",IF(AND(I676="Pago tarjeta",IFERROR(INDEX(ctaTipo,MATCH(G676,ctaNom,0)),"")&lt;&gt;"Tarjeta de crédito"),"⚠ «Hacia» debe ser la tarjeta",IF(AND(I676="Trading",IFERROR(INDEX(ctaTipo,MATCH(E676,ctaNom,0)),"")&lt;&gt;"Cuenta de trading"),"⚠ Usa la cuenta de trading","✓"))))))))))))</f>
        <v/>
      </c>
      <c r="I676" s="19">
        <f>IF(OR(B676="",C676="",D676=""),"",IFERROR(INDEX(catTipo,MATCH(D676,catNom,0))&amp;"",""))</f>
        <v/>
      </c>
      <c r="J676" s="19">
        <f>IF(I676="","",IFERROR(INDEX(catGrupo,MATCH(D676,catNom,0))&amp;"",""))</f>
        <v/>
      </c>
      <c r="K676" s="19">
        <f>IF(I676="Gasto",IF(IFERROR(INDEX(catClas,MATCH(D676,catNom,0))&amp;"","")="","Variable",IFERROR(INDEX(catClas,MATCH(D676,catNom,0))&amp;"","")),"")</f>
        <v/>
      </c>
      <c r="L676" s="19">
        <f>IF(I676="","",IFERROR(INDEX(catAlim,MATCH(D676,catNom,0))&amp;"",""))</f>
        <v/>
      </c>
      <c r="M676" s="19">
        <f>IF(I676="","",IFERROR(INDEX(catComida,MATCH(D676,catNom,0))&amp;"",""))</f>
        <v/>
      </c>
      <c r="N676" s="19">
        <f>IF(I676="","",IFERROR(INDEX(ctaMon,MATCH(E676,ctaNom,0))&amp;"","DOP"))</f>
        <v/>
      </c>
      <c r="O676" s="20">
        <f>IF(I676="","",C676*IF(N676="USD",TasaUSD,1))</f>
        <v/>
      </c>
      <c r="P676" s="20">
        <f>IF(I676="","",IF(I676="Gasto",O676,0))</f>
        <v/>
      </c>
      <c r="Q676" s="20">
        <f>IF(I676="","",IF(I676="Ingreso",O676,0))</f>
        <v/>
      </c>
      <c r="R676" s="20">
        <f>IF(I676="","",IF(I676="Trading",O676,0))</f>
        <v/>
      </c>
      <c r="S676" s="19">
        <f>IF(I676="","",IF(AND(I676="Gasto",K676="Variable",J676&lt;&gt;"Trading",O676&gt;0,O676&lt;=Umbral),1,0))</f>
        <v/>
      </c>
      <c r="T676" s="20">
        <f>IF(OR(I676="",E676=""),"",IF(OR(I676="Gasto",I676="Transferencia",I676="Pago tarjeta"),-1,1)*C676)</f>
        <v/>
      </c>
      <c r="U676" s="20">
        <f>IF(OR(G676="",AND(I676&lt;&gt;"Transferencia",I676&lt;&gt;"Pago tarjeta")),"",IF(IFERROR(INDEX(ctaMon,MATCH(G676,ctaNom,0))&amp;"","DOP")=N676,C676,IF(N676="USD",C676*TasaUSD,C676/TasaUSD)))</f>
        <v/>
      </c>
      <c r="V676" s="20">
        <f>IF(I676="","",IF(IFERROR(INDEX(ctaLiq,MATCH(E676,ctaNom,0))="Sí",FALSE),IF(OR(I676="Gasto",I676="Transferencia",I676="Pago tarjeta"),-1,1)*O676,0)+IF(AND(U676&lt;&gt;"",IFERROR(INDEX(ctaLiq,MATCH(G676,ctaNom,0))="Sí",FALSE)),O676,0))</f>
        <v/>
      </c>
      <c r="W676" s="19">
        <f>IF(OR(F676="",I676=""),"",IF(COUNTIFS(F$6:F676,F676,I$6:I676,"?*")=1,MAX(W$5:W675)+1,""))</f>
        <v/>
      </c>
    </row>
    <row r="677">
      <c r="B677" s="15" t="n"/>
      <c r="C677" s="16" t="n"/>
      <c r="D677" s="17" t="n"/>
      <c r="E677" s="17" t="n"/>
      <c r="F677" s="17" t="n"/>
      <c r="G677" s="17" t="n"/>
      <c r="H677" s="18">
        <f>IF(AND(B677="",C677="",D677="",E677=""),"",IF(B677="","⚠ Falta fecha",IF(C677="","⚠ Falta monto",IF(D677="","⚠ Falta categoría",IF(ISNA(MATCH(D677,catNom,0)),"⚠ Categoría no existe",IF(E677="","⚠ Falta cuenta",IF(ISNA(MATCH(E677,ctaNom,0)),"⚠ Cuenta no existe",IF(AND(OR(I677="Transferencia",I677="Pago tarjeta"),G677=""),"⚠ Indica la cuenta «Hacia»",IF(AND(G677&lt;&gt;"",G677=E677),"⚠ «Hacia» igual a la cuenta",IF(AND(G677&lt;&gt;"",ISNA(MATCH(G677,ctaNom,0))),"⚠ «Hacia» no existe",IF(AND(I677="Pago tarjeta",IFERROR(INDEX(ctaTipo,MATCH(G677,ctaNom,0)),"")&lt;&gt;"Tarjeta de crédito"),"⚠ «Hacia» debe ser la tarjeta",IF(AND(I677="Trading",IFERROR(INDEX(ctaTipo,MATCH(E677,ctaNom,0)),"")&lt;&gt;"Cuenta de trading"),"⚠ Usa la cuenta de trading","✓"))))))))))))</f>
        <v/>
      </c>
      <c r="I677" s="19">
        <f>IF(OR(B677="",C677="",D677=""),"",IFERROR(INDEX(catTipo,MATCH(D677,catNom,0))&amp;"",""))</f>
        <v/>
      </c>
      <c r="J677" s="19">
        <f>IF(I677="","",IFERROR(INDEX(catGrupo,MATCH(D677,catNom,0))&amp;"",""))</f>
        <v/>
      </c>
      <c r="K677" s="19">
        <f>IF(I677="Gasto",IF(IFERROR(INDEX(catClas,MATCH(D677,catNom,0))&amp;"","")="","Variable",IFERROR(INDEX(catClas,MATCH(D677,catNom,0))&amp;"","")),"")</f>
        <v/>
      </c>
      <c r="L677" s="19">
        <f>IF(I677="","",IFERROR(INDEX(catAlim,MATCH(D677,catNom,0))&amp;"",""))</f>
        <v/>
      </c>
      <c r="M677" s="19">
        <f>IF(I677="","",IFERROR(INDEX(catComida,MATCH(D677,catNom,0))&amp;"",""))</f>
        <v/>
      </c>
      <c r="N677" s="19">
        <f>IF(I677="","",IFERROR(INDEX(ctaMon,MATCH(E677,ctaNom,0))&amp;"","DOP"))</f>
        <v/>
      </c>
      <c r="O677" s="20">
        <f>IF(I677="","",C677*IF(N677="USD",TasaUSD,1))</f>
        <v/>
      </c>
      <c r="P677" s="20">
        <f>IF(I677="","",IF(I677="Gasto",O677,0))</f>
        <v/>
      </c>
      <c r="Q677" s="20">
        <f>IF(I677="","",IF(I677="Ingreso",O677,0))</f>
        <v/>
      </c>
      <c r="R677" s="20">
        <f>IF(I677="","",IF(I677="Trading",O677,0))</f>
        <v/>
      </c>
      <c r="S677" s="19">
        <f>IF(I677="","",IF(AND(I677="Gasto",K677="Variable",J677&lt;&gt;"Trading",O677&gt;0,O677&lt;=Umbral),1,0))</f>
        <v/>
      </c>
      <c r="T677" s="20">
        <f>IF(OR(I677="",E677=""),"",IF(OR(I677="Gasto",I677="Transferencia",I677="Pago tarjeta"),-1,1)*C677)</f>
        <v/>
      </c>
      <c r="U677" s="20">
        <f>IF(OR(G677="",AND(I677&lt;&gt;"Transferencia",I677&lt;&gt;"Pago tarjeta")),"",IF(IFERROR(INDEX(ctaMon,MATCH(G677,ctaNom,0))&amp;"","DOP")=N677,C677,IF(N677="USD",C677*TasaUSD,C677/TasaUSD)))</f>
        <v/>
      </c>
      <c r="V677" s="20">
        <f>IF(I677="","",IF(IFERROR(INDEX(ctaLiq,MATCH(E677,ctaNom,0))="Sí",FALSE),IF(OR(I677="Gasto",I677="Transferencia",I677="Pago tarjeta"),-1,1)*O677,0)+IF(AND(U677&lt;&gt;"",IFERROR(INDEX(ctaLiq,MATCH(G677,ctaNom,0))="Sí",FALSE)),O677,0))</f>
        <v/>
      </c>
      <c r="W677" s="19">
        <f>IF(OR(F677="",I677=""),"",IF(COUNTIFS(F$6:F677,F677,I$6:I677,"?*")=1,MAX(W$5:W676)+1,""))</f>
        <v/>
      </c>
    </row>
    <row r="678">
      <c r="B678" s="15" t="n"/>
      <c r="C678" s="16" t="n"/>
      <c r="D678" s="17" t="n"/>
      <c r="E678" s="17" t="n"/>
      <c r="F678" s="17" t="n"/>
      <c r="G678" s="17" t="n"/>
      <c r="H678" s="18">
        <f>IF(AND(B678="",C678="",D678="",E678=""),"",IF(B678="","⚠ Falta fecha",IF(C678="","⚠ Falta monto",IF(D678="","⚠ Falta categoría",IF(ISNA(MATCH(D678,catNom,0)),"⚠ Categoría no existe",IF(E678="","⚠ Falta cuenta",IF(ISNA(MATCH(E678,ctaNom,0)),"⚠ Cuenta no existe",IF(AND(OR(I678="Transferencia",I678="Pago tarjeta"),G678=""),"⚠ Indica la cuenta «Hacia»",IF(AND(G678&lt;&gt;"",G678=E678),"⚠ «Hacia» igual a la cuenta",IF(AND(G678&lt;&gt;"",ISNA(MATCH(G678,ctaNom,0))),"⚠ «Hacia» no existe",IF(AND(I678="Pago tarjeta",IFERROR(INDEX(ctaTipo,MATCH(G678,ctaNom,0)),"")&lt;&gt;"Tarjeta de crédito"),"⚠ «Hacia» debe ser la tarjeta",IF(AND(I678="Trading",IFERROR(INDEX(ctaTipo,MATCH(E678,ctaNom,0)),"")&lt;&gt;"Cuenta de trading"),"⚠ Usa la cuenta de trading","✓"))))))))))))</f>
        <v/>
      </c>
      <c r="I678" s="19">
        <f>IF(OR(B678="",C678="",D678=""),"",IFERROR(INDEX(catTipo,MATCH(D678,catNom,0))&amp;"",""))</f>
        <v/>
      </c>
      <c r="J678" s="19">
        <f>IF(I678="","",IFERROR(INDEX(catGrupo,MATCH(D678,catNom,0))&amp;"",""))</f>
        <v/>
      </c>
      <c r="K678" s="19">
        <f>IF(I678="Gasto",IF(IFERROR(INDEX(catClas,MATCH(D678,catNom,0))&amp;"","")="","Variable",IFERROR(INDEX(catClas,MATCH(D678,catNom,0))&amp;"","")),"")</f>
        <v/>
      </c>
      <c r="L678" s="19">
        <f>IF(I678="","",IFERROR(INDEX(catAlim,MATCH(D678,catNom,0))&amp;"",""))</f>
        <v/>
      </c>
      <c r="M678" s="19">
        <f>IF(I678="","",IFERROR(INDEX(catComida,MATCH(D678,catNom,0))&amp;"",""))</f>
        <v/>
      </c>
      <c r="N678" s="19">
        <f>IF(I678="","",IFERROR(INDEX(ctaMon,MATCH(E678,ctaNom,0))&amp;"","DOP"))</f>
        <v/>
      </c>
      <c r="O678" s="20">
        <f>IF(I678="","",C678*IF(N678="USD",TasaUSD,1))</f>
        <v/>
      </c>
      <c r="P678" s="20">
        <f>IF(I678="","",IF(I678="Gasto",O678,0))</f>
        <v/>
      </c>
      <c r="Q678" s="20">
        <f>IF(I678="","",IF(I678="Ingreso",O678,0))</f>
        <v/>
      </c>
      <c r="R678" s="20">
        <f>IF(I678="","",IF(I678="Trading",O678,0))</f>
        <v/>
      </c>
      <c r="S678" s="19">
        <f>IF(I678="","",IF(AND(I678="Gasto",K678="Variable",J678&lt;&gt;"Trading",O678&gt;0,O678&lt;=Umbral),1,0))</f>
        <v/>
      </c>
      <c r="T678" s="20">
        <f>IF(OR(I678="",E678=""),"",IF(OR(I678="Gasto",I678="Transferencia",I678="Pago tarjeta"),-1,1)*C678)</f>
        <v/>
      </c>
      <c r="U678" s="20">
        <f>IF(OR(G678="",AND(I678&lt;&gt;"Transferencia",I678&lt;&gt;"Pago tarjeta")),"",IF(IFERROR(INDEX(ctaMon,MATCH(G678,ctaNom,0))&amp;"","DOP")=N678,C678,IF(N678="USD",C678*TasaUSD,C678/TasaUSD)))</f>
        <v/>
      </c>
      <c r="V678" s="20">
        <f>IF(I678="","",IF(IFERROR(INDEX(ctaLiq,MATCH(E678,ctaNom,0))="Sí",FALSE),IF(OR(I678="Gasto",I678="Transferencia",I678="Pago tarjeta"),-1,1)*O678,0)+IF(AND(U678&lt;&gt;"",IFERROR(INDEX(ctaLiq,MATCH(G678,ctaNom,0))="Sí",FALSE)),O678,0))</f>
        <v/>
      </c>
      <c r="W678" s="19">
        <f>IF(OR(F678="",I678=""),"",IF(COUNTIFS(F$6:F678,F678,I$6:I678,"?*")=1,MAX(W$5:W677)+1,""))</f>
        <v/>
      </c>
    </row>
    <row r="679">
      <c r="B679" s="15" t="n"/>
      <c r="C679" s="16" t="n"/>
      <c r="D679" s="17" t="n"/>
      <c r="E679" s="17" t="n"/>
      <c r="F679" s="17" t="n"/>
      <c r="G679" s="17" t="n"/>
      <c r="H679" s="18">
        <f>IF(AND(B679="",C679="",D679="",E679=""),"",IF(B679="","⚠ Falta fecha",IF(C679="","⚠ Falta monto",IF(D679="","⚠ Falta categoría",IF(ISNA(MATCH(D679,catNom,0)),"⚠ Categoría no existe",IF(E679="","⚠ Falta cuenta",IF(ISNA(MATCH(E679,ctaNom,0)),"⚠ Cuenta no existe",IF(AND(OR(I679="Transferencia",I679="Pago tarjeta"),G679=""),"⚠ Indica la cuenta «Hacia»",IF(AND(G679&lt;&gt;"",G679=E679),"⚠ «Hacia» igual a la cuenta",IF(AND(G679&lt;&gt;"",ISNA(MATCH(G679,ctaNom,0))),"⚠ «Hacia» no existe",IF(AND(I679="Pago tarjeta",IFERROR(INDEX(ctaTipo,MATCH(G679,ctaNom,0)),"")&lt;&gt;"Tarjeta de crédito"),"⚠ «Hacia» debe ser la tarjeta",IF(AND(I679="Trading",IFERROR(INDEX(ctaTipo,MATCH(E679,ctaNom,0)),"")&lt;&gt;"Cuenta de trading"),"⚠ Usa la cuenta de trading","✓"))))))))))))</f>
        <v/>
      </c>
      <c r="I679" s="19">
        <f>IF(OR(B679="",C679="",D679=""),"",IFERROR(INDEX(catTipo,MATCH(D679,catNom,0))&amp;"",""))</f>
        <v/>
      </c>
      <c r="J679" s="19">
        <f>IF(I679="","",IFERROR(INDEX(catGrupo,MATCH(D679,catNom,0))&amp;"",""))</f>
        <v/>
      </c>
      <c r="K679" s="19">
        <f>IF(I679="Gasto",IF(IFERROR(INDEX(catClas,MATCH(D679,catNom,0))&amp;"","")="","Variable",IFERROR(INDEX(catClas,MATCH(D679,catNom,0))&amp;"","")),"")</f>
        <v/>
      </c>
      <c r="L679" s="19">
        <f>IF(I679="","",IFERROR(INDEX(catAlim,MATCH(D679,catNom,0))&amp;"",""))</f>
        <v/>
      </c>
      <c r="M679" s="19">
        <f>IF(I679="","",IFERROR(INDEX(catComida,MATCH(D679,catNom,0))&amp;"",""))</f>
        <v/>
      </c>
      <c r="N679" s="19">
        <f>IF(I679="","",IFERROR(INDEX(ctaMon,MATCH(E679,ctaNom,0))&amp;"","DOP"))</f>
        <v/>
      </c>
      <c r="O679" s="20">
        <f>IF(I679="","",C679*IF(N679="USD",TasaUSD,1))</f>
        <v/>
      </c>
      <c r="P679" s="20">
        <f>IF(I679="","",IF(I679="Gasto",O679,0))</f>
        <v/>
      </c>
      <c r="Q679" s="20">
        <f>IF(I679="","",IF(I679="Ingreso",O679,0))</f>
        <v/>
      </c>
      <c r="R679" s="20">
        <f>IF(I679="","",IF(I679="Trading",O679,0))</f>
        <v/>
      </c>
      <c r="S679" s="19">
        <f>IF(I679="","",IF(AND(I679="Gasto",K679="Variable",J679&lt;&gt;"Trading",O679&gt;0,O679&lt;=Umbral),1,0))</f>
        <v/>
      </c>
      <c r="T679" s="20">
        <f>IF(OR(I679="",E679=""),"",IF(OR(I679="Gasto",I679="Transferencia",I679="Pago tarjeta"),-1,1)*C679)</f>
        <v/>
      </c>
      <c r="U679" s="20">
        <f>IF(OR(G679="",AND(I679&lt;&gt;"Transferencia",I679&lt;&gt;"Pago tarjeta")),"",IF(IFERROR(INDEX(ctaMon,MATCH(G679,ctaNom,0))&amp;"","DOP")=N679,C679,IF(N679="USD",C679*TasaUSD,C679/TasaUSD)))</f>
        <v/>
      </c>
      <c r="V679" s="20">
        <f>IF(I679="","",IF(IFERROR(INDEX(ctaLiq,MATCH(E679,ctaNom,0))="Sí",FALSE),IF(OR(I679="Gasto",I679="Transferencia",I679="Pago tarjeta"),-1,1)*O679,0)+IF(AND(U679&lt;&gt;"",IFERROR(INDEX(ctaLiq,MATCH(G679,ctaNom,0))="Sí",FALSE)),O679,0))</f>
        <v/>
      </c>
      <c r="W679" s="19">
        <f>IF(OR(F679="",I679=""),"",IF(COUNTIFS(F$6:F679,F679,I$6:I679,"?*")=1,MAX(W$5:W678)+1,""))</f>
        <v/>
      </c>
    </row>
    <row r="680">
      <c r="B680" s="15" t="n"/>
      <c r="C680" s="16" t="n"/>
      <c r="D680" s="17" t="n"/>
      <c r="E680" s="17" t="n"/>
      <c r="F680" s="17" t="n"/>
      <c r="G680" s="17" t="n"/>
      <c r="H680" s="18">
        <f>IF(AND(B680="",C680="",D680="",E680=""),"",IF(B680="","⚠ Falta fecha",IF(C680="","⚠ Falta monto",IF(D680="","⚠ Falta categoría",IF(ISNA(MATCH(D680,catNom,0)),"⚠ Categoría no existe",IF(E680="","⚠ Falta cuenta",IF(ISNA(MATCH(E680,ctaNom,0)),"⚠ Cuenta no existe",IF(AND(OR(I680="Transferencia",I680="Pago tarjeta"),G680=""),"⚠ Indica la cuenta «Hacia»",IF(AND(G680&lt;&gt;"",G680=E680),"⚠ «Hacia» igual a la cuenta",IF(AND(G680&lt;&gt;"",ISNA(MATCH(G680,ctaNom,0))),"⚠ «Hacia» no existe",IF(AND(I680="Pago tarjeta",IFERROR(INDEX(ctaTipo,MATCH(G680,ctaNom,0)),"")&lt;&gt;"Tarjeta de crédito"),"⚠ «Hacia» debe ser la tarjeta",IF(AND(I680="Trading",IFERROR(INDEX(ctaTipo,MATCH(E680,ctaNom,0)),"")&lt;&gt;"Cuenta de trading"),"⚠ Usa la cuenta de trading","✓"))))))))))))</f>
        <v/>
      </c>
      <c r="I680" s="19">
        <f>IF(OR(B680="",C680="",D680=""),"",IFERROR(INDEX(catTipo,MATCH(D680,catNom,0))&amp;"",""))</f>
        <v/>
      </c>
      <c r="J680" s="19">
        <f>IF(I680="","",IFERROR(INDEX(catGrupo,MATCH(D680,catNom,0))&amp;"",""))</f>
        <v/>
      </c>
      <c r="K680" s="19">
        <f>IF(I680="Gasto",IF(IFERROR(INDEX(catClas,MATCH(D680,catNom,0))&amp;"","")="","Variable",IFERROR(INDEX(catClas,MATCH(D680,catNom,0))&amp;"","")),"")</f>
        <v/>
      </c>
      <c r="L680" s="19">
        <f>IF(I680="","",IFERROR(INDEX(catAlim,MATCH(D680,catNom,0))&amp;"",""))</f>
        <v/>
      </c>
      <c r="M680" s="19">
        <f>IF(I680="","",IFERROR(INDEX(catComida,MATCH(D680,catNom,0))&amp;"",""))</f>
        <v/>
      </c>
      <c r="N680" s="19">
        <f>IF(I680="","",IFERROR(INDEX(ctaMon,MATCH(E680,ctaNom,0))&amp;"","DOP"))</f>
        <v/>
      </c>
      <c r="O680" s="20">
        <f>IF(I680="","",C680*IF(N680="USD",TasaUSD,1))</f>
        <v/>
      </c>
      <c r="P680" s="20">
        <f>IF(I680="","",IF(I680="Gasto",O680,0))</f>
        <v/>
      </c>
      <c r="Q680" s="20">
        <f>IF(I680="","",IF(I680="Ingreso",O680,0))</f>
        <v/>
      </c>
      <c r="R680" s="20">
        <f>IF(I680="","",IF(I680="Trading",O680,0))</f>
        <v/>
      </c>
      <c r="S680" s="19">
        <f>IF(I680="","",IF(AND(I680="Gasto",K680="Variable",J680&lt;&gt;"Trading",O680&gt;0,O680&lt;=Umbral),1,0))</f>
        <v/>
      </c>
      <c r="T680" s="20">
        <f>IF(OR(I680="",E680=""),"",IF(OR(I680="Gasto",I680="Transferencia",I680="Pago tarjeta"),-1,1)*C680)</f>
        <v/>
      </c>
      <c r="U680" s="20">
        <f>IF(OR(G680="",AND(I680&lt;&gt;"Transferencia",I680&lt;&gt;"Pago tarjeta")),"",IF(IFERROR(INDEX(ctaMon,MATCH(G680,ctaNom,0))&amp;"","DOP")=N680,C680,IF(N680="USD",C680*TasaUSD,C680/TasaUSD)))</f>
        <v/>
      </c>
      <c r="V680" s="20">
        <f>IF(I680="","",IF(IFERROR(INDEX(ctaLiq,MATCH(E680,ctaNom,0))="Sí",FALSE),IF(OR(I680="Gasto",I680="Transferencia",I680="Pago tarjeta"),-1,1)*O680,0)+IF(AND(U680&lt;&gt;"",IFERROR(INDEX(ctaLiq,MATCH(G680,ctaNom,0))="Sí",FALSE)),O680,0))</f>
        <v/>
      </c>
      <c r="W680" s="19">
        <f>IF(OR(F680="",I680=""),"",IF(COUNTIFS(F$6:F680,F680,I$6:I680,"?*")=1,MAX(W$5:W679)+1,""))</f>
        <v/>
      </c>
    </row>
    <row r="681">
      <c r="B681" s="15" t="n"/>
      <c r="C681" s="16" t="n"/>
      <c r="D681" s="17" t="n"/>
      <c r="E681" s="17" t="n"/>
      <c r="F681" s="17" t="n"/>
      <c r="G681" s="17" t="n"/>
      <c r="H681" s="18">
        <f>IF(AND(B681="",C681="",D681="",E681=""),"",IF(B681="","⚠ Falta fecha",IF(C681="","⚠ Falta monto",IF(D681="","⚠ Falta categoría",IF(ISNA(MATCH(D681,catNom,0)),"⚠ Categoría no existe",IF(E681="","⚠ Falta cuenta",IF(ISNA(MATCH(E681,ctaNom,0)),"⚠ Cuenta no existe",IF(AND(OR(I681="Transferencia",I681="Pago tarjeta"),G681=""),"⚠ Indica la cuenta «Hacia»",IF(AND(G681&lt;&gt;"",G681=E681),"⚠ «Hacia» igual a la cuenta",IF(AND(G681&lt;&gt;"",ISNA(MATCH(G681,ctaNom,0))),"⚠ «Hacia» no existe",IF(AND(I681="Pago tarjeta",IFERROR(INDEX(ctaTipo,MATCH(G681,ctaNom,0)),"")&lt;&gt;"Tarjeta de crédito"),"⚠ «Hacia» debe ser la tarjeta",IF(AND(I681="Trading",IFERROR(INDEX(ctaTipo,MATCH(E681,ctaNom,0)),"")&lt;&gt;"Cuenta de trading"),"⚠ Usa la cuenta de trading","✓"))))))))))))</f>
        <v/>
      </c>
      <c r="I681" s="19">
        <f>IF(OR(B681="",C681="",D681=""),"",IFERROR(INDEX(catTipo,MATCH(D681,catNom,0))&amp;"",""))</f>
        <v/>
      </c>
      <c r="J681" s="19">
        <f>IF(I681="","",IFERROR(INDEX(catGrupo,MATCH(D681,catNom,0))&amp;"",""))</f>
        <v/>
      </c>
      <c r="K681" s="19">
        <f>IF(I681="Gasto",IF(IFERROR(INDEX(catClas,MATCH(D681,catNom,0))&amp;"","")="","Variable",IFERROR(INDEX(catClas,MATCH(D681,catNom,0))&amp;"","")),"")</f>
        <v/>
      </c>
      <c r="L681" s="19">
        <f>IF(I681="","",IFERROR(INDEX(catAlim,MATCH(D681,catNom,0))&amp;"",""))</f>
        <v/>
      </c>
      <c r="M681" s="19">
        <f>IF(I681="","",IFERROR(INDEX(catComida,MATCH(D681,catNom,0))&amp;"",""))</f>
        <v/>
      </c>
      <c r="N681" s="19">
        <f>IF(I681="","",IFERROR(INDEX(ctaMon,MATCH(E681,ctaNom,0))&amp;"","DOP"))</f>
        <v/>
      </c>
      <c r="O681" s="20">
        <f>IF(I681="","",C681*IF(N681="USD",TasaUSD,1))</f>
        <v/>
      </c>
      <c r="P681" s="20">
        <f>IF(I681="","",IF(I681="Gasto",O681,0))</f>
        <v/>
      </c>
      <c r="Q681" s="20">
        <f>IF(I681="","",IF(I681="Ingreso",O681,0))</f>
        <v/>
      </c>
      <c r="R681" s="20">
        <f>IF(I681="","",IF(I681="Trading",O681,0))</f>
        <v/>
      </c>
      <c r="S681" s="19">
        <f>IF(I681="","",IF(AND(I681="Gasto",K681="Variable",J681&lt;&gt;"Trading",O681&gt;0,O681&lt;=Umbral),1,0))</f>
        <v/>
      </c>
      <c r="T681" s="20">
        <f>IF(OR(I681="",E681=""),"",IF(OR(I681="Gasto",I681="Transferencia",I681="Pago tarjeta"),-1,1)*C681)</f>
        <v/>
      </c>
      <c r="U681" s="20">
        <f>IF(OR(G681="",AND(I681&lt;&gt;"Transferencia",I681&lt;&gt;"Pago tarjeta")),"",IF(IFERROR(INDEX(ctaMon,MATCH(G681,ctaNom,0))&amp;"","DOP")=N681,C681,IF(N681="USD",C681*TasaUSD,C681/TasaUSD)))</f>
        <v/>
      </c>
      <c r="V681" s="20">
        <f>IF(I681="","",IF(IFERROR(INDEX(ctaLiq,MATCH(E681,ctaNom,0))="Sí",FALSE),IF(OR(I681="Gasto",I681="Transferencia",I681="Pago tarjeta"),-1,1)*O681,0)+IF(AND(U681&lt;&gt;"",IFERROR(INDEX(ctaLiq,MATCH(G681,ctaNom,0))="Sí",FALSE)),O681,0))</f>
        <v/>
      </c>
      <c r="W681" s="19">
        <f>IF(OR(F681="",I681=""),"",IF(COUNTIFS(F$6:F681,F681,I$6:I681,"?*")=1,MAX(W$5:W680)+1,""))</f>
        <v/>
      </c>
    </row>
    <row r="682">
      <c r="B682" s="15" t="n"/>
      <c r="C682" s="16" t="n"/>
      <c r="D682" s="17" t="n"/>
      <c r="E682" s="17" t="n"/>
      <c r="F682" s="17" t="n"/>
      <c r="G682" s="17" t="n"/>
      <c r="H682" s="18">
        <f>IF(AND(B682="",C682="",D682="",E682=""),"",IF(B682="","⚠ Falta fecha",IF(C682="","⚠ Falta monto",IF(D682="","⚠ Falta categoría",IF(ISNA(MATCH(D682,catNom,0)),"⚠ Categoría no existe",IF(E682="","⚠ Falta cuenta",IF(ISNA(MATCH(E682,ctaNom,0)),"⚠ Cuenta no existe",IF(AND(OR(I682="Transferencia",I682="Pago tarjeta"),G682=""),"⚠ Indica la cuenta «Hacia»",IF(AND(G682&lt;&gt;"",G682=E682),"⚠ «Hacia» igual a la cuenta",IF(AND(G682&lt;&gt;"",ISNA(MATCH(G682,ctaNom,0))),"⚠ «Hacia» no existe",IF(AND(I682="Pago tarjeta",IFERROR(INDEX(ctaTipo,MATCH(G682,ctaNom,0)),"")&lt;&gt;"Tarjeta de crédito"),"⚠ «Hacia» debe ser la tarjeta",IF(AND(I682="Trading",IFERROR(INDEX(ctaTipo,MATCH(E682,ctaNom,0)),"")&lt;&gt;"Cuenta de trading"),"⚠ Usa la cuenta de trading","✓"))))))))))))</f>
        <v/>
      </c>
      <c r="I682" s="19">
        <f>IF(OR(B682="",C682="",D682=""),"",IFERROR(INDEX(catTipo,MATCH(D682,catNom,0))&amp;"",""))</f>
        <v/>
      </c>
      <c r="J682" s="19">
        <f>IF(I682="","",IFERROR(INDEX(catGrupo,MATCH(D682,catNom,0))&amp;"",""))</f>
        <v/>
      </c>
      <c r="K682" s="19">
        <f>IF(I682="Gasto",IF(IFERROR(INDEX(catClas,MATCH(D682,catNom,0))&amp;"","")="","Variable",IFERROR(INDEX(catClas,MATCH(D682,catNom,0))&amp;"","")),"")</f>
        <v/>
      </c>
      <c r="L682" s="19">
        <f>IF(I682="","",IFERROR(INDEX(catAlim,MATCH(D682,catNom,0))&amp;"",""))</f>
        <v/>
      </c>
      <c r="M682" s="19">
        <f>IF(I682="","",IFERROR(INDEX(catComida,MATCH(D682,catNom,0))&amp;"",""))</f>
        <v/>
      </c>
      <c r="N682" s="19">
        <f>IF(I682="","",IFERROR(INDEX(ctaMon,MATCH(E682,ctaNom,0))&amp;"","DOP"))</f>
        <v/>
      </c>
      <c r="O682" s="20">
        <f>IF(I682="","",C682*IF(N682="USD",TasaUSD,1))</f>
        <v/>
      </c>
      <c r="P682" s="20">
        <f>IF(I682="","",IF(I682="Gasto",O682,0))</f>
        <v/>
      </c>
      <c r="Q682" s="20">
        <f>IF(I682="","",IF(I682="Ingreso",O682,0))</f>
        <v/>
      </c>
      <c r="R682" s="20">
        <f>IF(I682="","",IF(I682="Trading",O682,0))</f>
        <v/>
      </c>
      <c r="S682" s="19">
        <f>IF(I682="","",IF(AND(I682="Gasto",K682="Variable",J682&lt;&gt;"Trading",O682&gt;0,O682&lt;=Umbral),1,0))</f>
        <v/>
      </c>
      <c r="T682" s="20">
        <f>IF(OR(I682="",E682=""),"",IF(OR(I682="Gasto",I682="Transferencia",I682="Pago tarjeta"),-1,1)*C682)</f>
        <v/>
      </c>
      <c r="U682" s="20">
        <f>IF(OR(G682="",AND(I682&lt;&gt;"Transferencia",I682&lt;&gt;"Pago tarjeta")),"",IF(IFERROR(INDEX(ctaMon,MATCH(G682,ctaNom,0))&amp;"","DOP")=N682,C682,IF(N682="USD",C682*TasaUSD,C682/TasaUSD)))</f>
        <v/>
      </c>
      <c r="V682" s="20">
        <f>IF(I682="","",IF(IFERROR(INDEX(ctaLiq,MATCH(E682,ctaNom,0))="Sí",FALSE),IF(OR(I682="Gasto",I682="Transferencia",I682="Pago tarjeta"),-1,1)*O682,0)+IF(AND(U682&lt;&gt;"",IFERROR(INDEX(ctaLiq,MATCH(G682,ctaNom,0))="Sí",FALSE)),O682,0))</f>
        <v/>
      </c>
      <c r="W682" s="19">
        <f>IF(OR(F682="",I682=""),"",IF(COUNTIFS(F$6:F682,F682,I$6:I682,"?*")=1,MAX(W$5:W681)+1,""))</f>
        <v/>
      </c>
    </row>
    <row r="683">
      <c r="B683" s="15" t="n"/>
      <c r="C683" s="16" t="n"/>
      <c r="D683" s="17" t="n"/>
      <c r="E683" s="17" t="n"/>
      <c r="F683" s="17" t="n"/>
      <c r="G683" s="17" t="n"/>
      <c r="H683" s="18">
        <f>IF(AND(B683="",C683="",D683="",E683=""),"",IF(B683="","⚠ Falta fecha",IF(C683="","⚠ Falta monto",IF(D683="","⚠ Falta categoría",IF(ISNA(MATCH(D683,catNom,0)),"⚠ Categoría no existe",IF(E683="","⚠ Falta cuenta",IF(ISNA(MATCH(E683,ctaNom,0)),"⚠ Cuenta no existe",IF(AND(OR(I683="Transferencia",I683="Pago tarjeta"),G683=""),"⚠ Indica la cuenta «Hacia»",IF(AND(G683&lt;&gt;"",G683=E683),"⚠ «Hacia» igual a la cuenta",IF(AND(G683&lt;&gt;"",ISNA(MATCH(G683,ctaNom,0))),"⚠ «Hacia» no existe",IF(AND(I683="Pago tarjeta",IFERROR(INDEX(ctaTipo,MATCH(G683,ctaNom,0)),"")&lt;&gt;"Tarjeta de crédito"),"⚠ «Hacia» debe ser la tarjeta",IF(AND(I683="Trading",IFERROR(INDEX(ctaTipo,MATCH(E683,ctaNom,0)),"")&lt;&gt;"Cuenta de trading"),"⚠ Usa la cuenta de trading","✓"))))))))))))</f>
        <v/>
      </c>
      <c r="I683" s="19">
        <f>IF(OR(B683="",C683="",D683=""),"",IFERROR(INDEX(catTipo,MATCH(D683,catNom,0))&amp;"",""))</f>
        <v/>
      </c>
      <c r="J683" s="19">
        <f>IF(I683="","",IFERROR(INDEX(catGrupo,MATCH(D683,catNom,0))&amp;"",""))</f>
        <v/>
      </c>
      <c r="K683" s="19">
        <f>IF(I683="Gasto",IF(IFERROR(INDEX(catClas,MATCH(D683,catNom,0))&amp;"","")="","Variable",IFERROR(INDEX(catClas,MATCH(D683,catNom,0))&amp;"","")),"")</f>
        <v/>
      </c>
      <c r="L683" s="19">
        <f>IF(I683="","",IFERROR(INDEX(catAlim,MATCH(D683,catNom,0))&amp;"",""))</f>
        <v/>
      </c>
      <c r="M683" s="19">
        <f>IF(I683="","",IFERROR(INDEX(catComida,MATCH(D683,catNom,0))&amp;"",""))</f>
        <v/>
      </c>
      <c r="N683" s="19">
        <f>IF(I683="","",IFERROR(INDEX(ctaMon,MATCH(E683,ctaNom,0))&amp;"","DOP"))</f>
        <v/>
      </c>
      <c r="O683" s="20">
        <f>IF(I683="","",C683*IF(N683="USD",TasaUSD,1))</f>
        <v/>
      </c>
      <c r="P683" s="20">
        <f>IF(I683="","",IF(I683="Gasto",O683,0))</f>
        <v/>
      </c>
      <c r="Q683" s="20">
        <f>IF(I683="","",IF(I683="Ingreso",O683,0))</f>
        <v/>
      </c>
      <c r="R683" s="20">
        <f>IF(I683="","",IF(I683="Trading",O683,0))</f>
        <v/>
      </c>
      <c r="S683" s="19">
        <f>IF(I683="","",IF(AND(I683="Gasto",K683="Variable",J683&lt;&gt;"Trading",O683&gt;0,O683&lt;=Umbral),1,0))</f>
        <v/>
      </c>
      <c r="T683" s="20">
        <f>IF(OR(I683="",E683=""),"",IF(OR(I683="Gasto",I683="Transferencia",I683="Pago tarjeta"),-1,1)*C683)</f>
        <v/>
      </c>
      <c r="U683" s="20">
        <f>IF(OR(G683="",AND(I683&lt;&gt;"Transferencia",I683&lt;&gt;"Pago tarjeta")),"",IF(IFERROR(INDEX(ctaMon,MATCH(G683,ctaNom,0))&amp;"","DOP")=N683,C683,IF(N683="USD",C683*TasaUSD,C683/TasaUSD)))</f>
        <v/>
      </c>
      <c r="V683" s="20">
        <f>IF(I683="","",IF(IFERROR(INDEX(ctaLiq,MATCH(E683,ctaNom,0))="Sí",FALSE),IF(OR(I683="Gasto",I683="Transferencia",I683="Pago tarjeta"),-1,1)*O683,0)+IF(AND(U683&lt;&gt;"",IFERROR(INDEX(ctaLiq,MATCH(G683,ctaNom,0))="Sí",FALSE)),O683,0))</f>
        <v/>
      </c>
      <c r="W683" s="19">
        <f>IF(OR(F683="",I683=""),"",IF(COUNTIFS(F$6:F683,F683,I$6:I683,"?*")=1,MAX(W$5:W682)+1,""))</f>
        <v/>
      </c>
    </row>
    <row r="684">
      <c r="B684" s="15" t="n"/>
      <c r="C684" s="16" t="n"/>
      <c r="D684" s="17" t="n"/>
      <c r="E684" s="17" t="n"/>
      <c r="F684" s="17" t="n"/>
      <c r="G684" s="17" t="n"/>
      <c r="H684" s="18">
        <f>IF(AND(B684="",C684="",D684="",E684=""),"",IF(B684="","⚠ Falta fecha",IF(C684="","⚠ Falta monto",IF(D684="","⚠ Falta categoría",IF(ISNA(MATCH(D684,catNom,0)),"⚠ Categoría no existe",IF(E684="","⚠ Falta cuenta",IF(ISNA(MATCH(E684,ctaNom,0)),"⚠ Cuenta no existe",IF(AND(OR(I684="Transferencia",I684="Pago tarjeta"),G684=""),"⚠ Indica la cuenta «Hacia»",IF(AND(G684&lt;&gt;"",G684=E684),"⚠ «Hacia» igual a la cuenta",IF(AND(G684&lt;&gt;"",ISNA(MATCH(G684,ctaNom,0))),"⚠ «Hacia» no existe",IF(AND(I684="Pago tarjeta",IFERROR(INDEX(ctaTipo,MATCH(G684,ctaNom,0)),"")&lt;&gt;"Tarjeta de crédito"),"⚠ «Hacia» debe ser la tarjeta",IF(AND(I684="Trading",IFERROR(INDEX(ctaTipo,MATCH(E684,ctaNom,0)),"")&lt;&gt;"Cuenta de trading"),"⚠ Usa la cuenta de trading","✓"))))))))))))</f>
        <v/>
      </c>
      <c r="I684" s="19">
        <f>IF(OR(B684="",C684="",D684=""),"",IFERROR(INDEX(catTipo,MATCH(D684,catNom,0))&amp;"",""))</f>
        <v/>
      </c>
      <c r="J684" s="19">
        <f>IF(I684="","",IFERROR(INDEX(catGrupo,MATCH(D684,catNom,0))&amp;"",""))</f>
        <v/>
      </c>
      <c r="K684" s="19">
        <f>IF(I684="Gasto",IF(IFERROR(INDEX(catClas,MATCH(D684,catNom,0))&amp;"","")="","Variable",IFERROR(INDEX(catClas,MATCH(D684,catNom,0))&amp;"","")),"")</f>
        <v/>
      </c>
      <c r="L684" s="19">
        <f>IF(I684="","",IFERROR(INDEX(catAlim,MATCH(D684,catNom,0))&amp;"",""))</f>
        <v/>
      </c>
      <c r="M684" s="19">
        <f>IF(I684="","",IFERROR(INDEX(catComida,MATCH(D684,catNom,0))&amp;"",""))</f>
        <v/>
      </c>
      <c r="N684" s="19">
        <f>IF(I684="","",IFERROR(INDEX(ctaMon,MATCH(E684,ctaNom,0))&amp;"","DOP"))</f>
        <v/>
      </c>
      <c r="O684" s="20">
        <f>IF(I684="","",C684*IF(N684="USD",TasaUSD,1))</f>
        <v/>
      </c>
      <c r="P684" s="20">
        <f>IF(I684="","",IF(I684="Gasto",O684,0))</f>
        <v/>
      </c>
      <c r="Q684" s="20">
        <f>IF(I684="","",IF(I684="Ingreso",O684,0))</f>
        <v/>
      </c>
      <c r="R684" s="20">
        <f>IF(I684="","",IF(I684="Trading",O684,0))</f>
        <v/>
      </c>
      <c r="S684" s="19">
        <f>IF(I684="","",IF(AND(I684="Gasto",K684="Variable",J684&lt;&gt;"Trading",O684&gt;0,O684&lt;=Umbral),1,0))</f>
        <v/>
      </c>
      <c r="T684" s="20">
        <f>IF(OR(I684="",E684=""),"",IF(OR(I684="Gasto",I684="Transferencia",I684="Pago tarjeta"),-1,1)*C684)</f>
        <v/>
      </c>
      <c r="U684" s="20">
        <f>IF(OR(G684="",AND(I684&lt;&gt;"Transferencia",I684&lt;&gt;"Pago tarjeta")),"",IF(IFERROR(INDEX(ctaMon,MATCH(G684,ctaNom,0))&amp;"","DOP")=N684,C684,IF(N684="USD",C684*TasaUSD,C684/TasaUSD)))</f>
        <v/>
      </c>
      <c r="V684" s="20">
        <f>IF(I684="","",IF(IFERROR(INDEX(ctaLiq,MATCH(E684,ctaNom,0))="Sí",FALSE),IF(OR(I684="Gasto",I684="Transferencia",I684="Pago tarjeta"),-1,1)*O684,0)+IF(AND(U684&lt;&gt;"",IFERROR(INDEX(ctaLiq,MATCH(G684,ctaNom,0))="Sí",FALSE)),O684,0))</f>
        <v/>
      </c>
      <c r="W684" s="19">
        <f>IF(OR(F684="",I684=""),"",IF(COUNTIFS(F$6:F684,F684,I$6:I684,"?*")=1,MAX(W$5:W683)+1,""))</f>
        <v/>
      </c>
    </row>
    <row r="685">
      <c r="B685" s="15" t="n"/>
      <c r="C685" s="16" t="n"/>
      <c r="D685" s="17" t="n"/>
      <c r="E685" s="17" t="n"/>
      <c r="F685" s="17" t="n"/>
      <c r="G685" s="17" t="n"/>
      <c r="H685" s="18">
        <f>IF(AND(B685="",C685="",D685="",E685=""),"",IF(B685="","⚠ Falta fecha",IF(C685="","⚠ Falta monto",IF(D685="","⚠ Falta categoría",IF(ISNA(MATCH(D685,catNom,0)),"⚠ Categoría no existe",IF(E685="","⚠ Falta cuenta",IF(ISNA(MATCH(E685,ctaNom,0)),"⚠ Cuenta no existe",IF(AND(OR(I685="Transferencia",I685="Pago tarjeta"),G685=""),"⚠ Indica la cuenta «Hacia»",IF(AND(G685&lt;&gt;"",G685=E685),"⚠ «Hacia» igual a la cuenta",IF(AND(G685&lt;&gt;"",ISNA(MATCH(G685,ctaNom,0))),"⚠ «Hacia» no existe",IF(AND(I685="Pago tarjeta",IFERROR(INDEX(ctaTipo,MATCH(G685,ctaNom,0)),"")&lt;&gt;"Tarjeta de crédito"),"⚠ «Hacia» debe ser la tarjeta",IF(AND(I685="Trading",IFERROR(INDEX(ctaTipo,MATCH(E685,ctaNom,0)),"")&lt;&gt;"Cuenta de trading"),"⚠ Usa la cuenta de trading","✓"))))))))))))</f>
        <v/>
      </c>
      <c r="I685" s="19">
        <f>IF(OR(B685="",C685="",D685=""),"",IFERROR(INDEX(catTipo,MATCH(D685,catNom,0))&amp;"",""))</f>
        <v/>
      </c>
      <c r="J685" s="19">
        <f>IF(I685="","",IFERROR(INDEX(catGrupo,MATCH(D685,catNom,0))&amp;"",""))</f>
        <v/>
      </c>
      <c r="K685" s="19">
        <f>IF(I685="Gasto",IF(IFERROR(INDEX(catClas,MATCH(D685,catNom,0))&amp;"","")="","Variable",IFERROR(INDEX(catClas,MATCH(D685,catNom,0))&amp;"","")),"")</f>
        <v/>
      </c>
      <c r="L685" s="19">
        <f>IF(I685="","",IFERROR(INDEX(catAlim,MATCH(D685,catNom,0))&amp;"",""))</f>
        <v/>
      </c>
      <c r="M685" s="19">
        <f>IF(I685="","",IFERROR(INDEX(catComida,MATCH(D685,catNom,0))&amp;"",""))</f>
        <v/>
      </c>
      <c r="N685" s="19">
        <f>IF(I685="","",IFERROR(INDEX(ctaMon,MATCH(E685,ctaNom,0))&amp;"","DOP"))</f>
        <v/>
      </c>
      <c r="O685" s="20">
        <f>IF(I685="","",C685*IF(N685="USD",TasaUSD,1))</f>
        <v/>
      </c>
      <c r="P685" s="20">
        <f>IF(I685="","",IF(I685="Gasto",O685,0))</f>
        <v/>
      </c>
      <c r="Q685" s="20">
        <f>IF(I685="","",IF(I685="Ingreso",O685,0))</f>
        <v/>
      </c>
      <c r="R685" s="20">
        <f>IF(I685="","",IF(I685="Trading",O685,0))</f>
        <v/>
      </c>
      <c r="S685" s="19">
        <f>IF(I685="","",IF(AND(I685="Gasto",K685="Variable",J685&lt;&gt;"Trading",O685&gt;0,O685&lt;=Umbral),1,0))</f>
        <v/>
      </c>
      <c r="T685" s="20">
        <f>IF(OR(I685="",E685=""),"",IF(OR(I685="Gasto",I685="Transferencia",I685="Pago tarjeta"),-1,1)*C685)</f>
        <v/>
      </c>
      <c r="U685" s="20">
        <f>IF(OR(G685="",AND(I685&lt;&gt;"Transferencia",I685&lt;&gt;"Pago tarjeta")),"",IF(IFERROR(INDEX(ctaMon,MATCH(G685,ctaNom,0))&amp;"","DOP")=N685,C685,IF(N685="USD",C685*TasaUSD,C685/TasaUSD)))</f>
        <v/>
      </c>
      <c r="V685" s="20">
        <f>IF(I685="","",IF(IFERROR(INDEX(ctaLiq,MATCH(E685,ctaNom,0))="Sí",FALSE),IF(OR(I685="Gasto",I685="Transferencia",I685="Pago tarjeta"),-1,1)*O685,0)+IF(AND(U685&lt;&gt;"",IFERROR(INDEX(ctaLiq,MATCH(G685,ctaNom,0))="Sí",FALSE)),O685,0))</f>
        <v/>
      </c>
      <c r="W685" s="19">
        <f>IF(OR(F685="",I685=""),"",IF(COUNTIFS(F$6:F685,F685,I$6:I685,"?*")=1,MAX(W$5:W684)+1,""))</f>
        <v/>
      </c>
    </row>
    <row r="686">
      <c r="B686" s="15" t="n"/>
      <c r="C686" s="16" t="n"/>
      <c r="D686" s="17" t="n"/>
      <c r="E686" s="17" t="n"/>
      <c r="F686" s="17" t="n"/>
      <c r="G686" s="17" t="n"/>
      <c r="H686" s="18">
        <f>IF(AND(B686="",C686="",D686="",E686=""),"",IF(B686="","⚠ Falta fecha",IF(C686="","⚠ Falta monto",IF(D686="","⚠ Falta categoría",IF(ISNA(MATCH(D686,catNom,0)),"⚠ Categoría no existe",IF(E686="","⚠ Falta cuenta",IF(ISNA(MATCH(E686,ctaNom,0)),"⚠ Cuenta no existe",IF(AND(OR(I686="Transferencia",I686="Pago tarjeta"),G686=""),"⚠ Indica la cuenta «Hacia»",IF(AND(G686&lt;&gt;"",G686=E686),"⚠ «Hacia» igual a la cuenta",IF(AND(G686&lt;&gt;"",ISNA(MATCH(G686,ctaNom,0))),"⚠ «Hacia» no existe",IF(AND(I686="Pago tarjeta",IFERROR(INDEX(ctaTipo,MATCH(G686,ctaNom,0)),"")&lt;&gt;"Tarjeta de crédito"),"⚠ «Hacia» debe ser la tarjeta",IF(AND(I686="Trading",IFERROR(INDEX(ctaTipo,MATCH(E686,ctaNom,0)),"")&lt;&gt;"Cuenta de trading"),"⚠ Usa la cuenta de trading","✓"))))))))))))</f>
        <v/>
      </c>
      <c r="I686" s="19">
        <f>IF(OR(B686="",C686="",D686=""),"",IFERROR(INDEX(catTipo,MATCH(D686,catNom,0))&amp;"",""))</f>
        <v/>
      </c>
      <c r="J686" s="19">
        <f>IF(I686="","",IFERROR(INDEX(catGrupo,MATCH(D686,catNom,0))&amp;"",""))</f>
        <v/>
      </c>
      <c r="K686" s="19">
        <f>IF(I686="Gasto",IF(IFERROR(INDEX(catClas,MATCH(D686,catNom,0))&amp;"","")="","Variable",IFERROR(INDEX(catClas,MATCH(D686,catNom,0))&amp;"","")),"")</f>
        <v/>
      </c>
      <c r="L686" s="19">
        <f>IF(I686="","",IFERROR(INDEX(catAlim,MATCH(D686,catNom,0))&amp;"",""))</f>
        <v/>
      </c>
      <c r="M686" s="19">
        <f>IF(I686="","",IFERROR(INDEX(catComida,MATCH(D686,catNom,0))&amp;"",""))</f>
        <v/>
      </c>
      <c r="N686" s="19">
        <f>IF(I686="","",IFERROR(INDEX(ctaMon,MATCH(E686,ctaNom,0))&amp;"","DOP"))</f>
        <v/>
      </c>
      <c r="O686" s="20">
        <f>IF(I686="","",C686*IF(N686="USD",TasaUSD,1))</f>
        <v/>
      </c>
      <c r="P686" s="20">
        <f>IF(I686="","",IF(I686="Gasto",O686,0))</f>
        <v/>
      </c>
      <c r="Q686" s="20">
        <f>IF(I686="","",IF(I686="Ingreso",O686,0))</f>
        <v/>
      </c>
      <c r="R686" s="20">
        <f>IF(I686="","",IF(I686="Trading",O686,0))</f>
        <v/>
      </c>
      <c r="S686" s="19">
        <f>IF(I686="","",IF(AND(I686="Gasto",K686="Variable",J686&lt;&gt;"Trading",O686&gt;0,O686&lt;=Umbral),1,0))</f>
        <v/>
      </c>
      <c r="T686" s="20">
        <f>IF(OR(I686="",E686=""),"",IF(OR(I686="Gasto",I686="Transferencia",I686="Pago tarjeta"),-1,1)*C686)</f>
        <v/>
      </c>
      <c r="U686" s="20">
        <f>IF(OR(G686="",AND(I686&lt;&gt;"Transferencia",I686&lt;&gt;"Pago tarjeta")),"",IF(IFERROR(INDEX(ctaMon,MATCH(G686,ctaNom,0))&amp;"","DOP")=N686,C686,IF(N686="USD",C686*TasaUSD,C686/TasaUSD)))</f>
        <v/>
      </c>
      <c r="V686" s="20">
        <f>IF(I686="","",IF(IFERROR(INDEX(ctaLiq,MATCH(E686,ctaNom,0))="Sí",FALSE),IF(OR(I686="Gasto",I686="Transferencia",I686="Pago tarjeta"),-1,1)*O686,0)+IF(AND(U686&lt;&gt;"",IFERROR(INDEX(ctaLiq,MATCH(G686,ctaNom,0))="Sí",FALSE)),O686,0))</f>
        <v/>
      </c>
      <c r="W686" s="19">
        <f>IF(OR(F686="",I686=""),"",IF(COUNTIFS(F$6:F686,F686,I$6:I686,"?*")=1,MAX(W$5:W685)+1,""))</f>
        <v/>
      </c>
    </row>
    <row r="687">
      <c r="B687" s="15" t="n"/>
      <c r="C687" s="16" t="n"/>
      <c r="D687" s="17" t="n"/>
      <c r="E687" s="17" t="n"/>
      <c r="F687" s="17" t="n"/>
      <c r="G687" s="17" t="n"/>
      <c r="H687" s="18">
        <f>IF(AND(B687="",C687="",D687="",E687=""),"",IF(B687="","⚠ Falta fecha",IF(C687="","⚠ Falta monto",IF(D687="","⚠ Falta categoría",IF(ISNA(MATCH(D687,catNom,0)),"⚠ Categoría no existe",IF(E687="","⚠ Falta cuenta",IF(ISNA(MATCH(E687,ctaNom,0)),"⚠ Cuenta no existe",IF(AND(OR(I687="Transferencia",I687="Pago tarjeta"),G687=""),"⚠ Indica la cuenta «Hacia»",IF(AND(G687&lt;&gt;"",G687=E687),"⚠ «Hacia» igual a la cuenta",IF(AND(G687&lt;&gt;"",ISNA(MATCH(G687,ctaNom,0))),"⚠ «Hacia» no existe",IF(AND(I687="Pago tarjeta",IFERROR(INDEX(ctaTipo,MATCH(G687,ctaNom,0)),"")&lt;&gt;"Tarjeta de crédito"),"⚠ «Hacia» debe ser la tarjeta",IF(AND(I687="Trading",IFERROR(INDEX(ctaTipo,MATCH(E687,ctaNom,0)),"")&lt;&gt;"Cuenta de trading"),"⚠ Usa la cuenta de trading","✓"))))))))))))</f>
        <v/>
      </c>
      <c r="I687" s="19">
        <f>IF(OR(B687="",C687="",D687=""),"",IFERROR(INDEX(catTipo,MATCH(D687,catNom,0))&amp;"",""))</f>
        <v/>
      </c>
      <c r="J687" s="19">
        <f>IF(I687="","",IFERROR(INDEX(catGrupo,MATCH(D687,catNom,0))&amp;"",""))</f>
        <v/>
      </c>
      <c r="K687" s="19">
        <f>IF(I687="Gasto",IF(IFERROR(INDEX(catClas,MATCH(D687,catNom,0))&amp;"","")="","Variable",IFERROR(INDEX(catClas,MATCH(D687,catNom,0))&amp;"","")),"")</f>
        <v/>
      </c>
      <c r="L687" s="19">
        <f>IF(I687="","",IFERROR(INDEX(catAlim,MATCH(D687,catNom,0))&amp;"",""))</f>
        <v/>
      </c>
      <c r="M687" s="19">
        <f>IF(I687="","",IFERROR(INDEX(catComida,MATCH(D687,catNom,0))&amp;"",""))</f>
        <v/>
      </c>
      <c r="N687" s="19">
        <f>IF(I687="","",IFERROR(INDEX(ctaMon,MATCH(E687,ctaNom,0))&amp;"","DOP"))</f>
        <v/>
      </c>
      <c r="O687" s="20">
        <f>IF(I687="","",C687*IF(N687="USD",TasaUSD,1))</f>
        <v/>
      </c>
      <c r="P687" s="20">
        <f>IF(I687="","",IF(I687="Gasto",O687,0))</f>
        <v/>
      </c>
      <c r="Q687" s="20">
        <f>IF(I687="","",IF(I687="Ingreso",O687,0))</f>
        <v/>
      </c>
      <c r="R687" s="20">
        <f>IF(I687="","",IF(I687="Trading",O687,0))</f>
        <v/>
      </c>
      <c r="S687" s="19">
        <f>IF(I687="","",IF(AND(I687="Gasto",K687="Variable",J687&lt;&gt;"Trading",O687&gt;0,O687&lt;=Umbral),1,0))</f>
        <v/>
      </c>
      <c r="T687" s="20">
        <f>IF(OR(I687="",E687=""),"",IF(OR(I687="Gasto",I687="Transferencia",I687="Pago tarjeta"),-1,1)*C687)</f>
        <v/>
      </c>
      <c r="U687" s="20">
        <f>IF(OR(G687="",AND(I687&lt;&gt;"Transferencia",I687&lt;&gt;"Pago tarjeta")),"",IF(IFERROR(INDEX(ctaMon,MATCH(G687,ctaNom,0))&amp;"","DOP")=N687,C687,IF(N687="USD",C687*TasaUSD,C687/TasaUSD)))</f>
        <v/>
      </c>
      <c r="V687" s="20">
        <f>IF(I687="","",IF(IFERROR(INDEX(ctaLiq,MATCH(E687,ctaNom,0))="Sí",FALSE),IF(OR(I687="Gasto",I687="Transferencia",I687="Pago tarjeta"),-1,1)*O687,0)+IF(AND(U687&lt;&gt;"",IFERROR(INDEX(ctaLiq,MATCH(G687,ctaNom,0))="Sí",FALSE)),O687,0))</f>
        <v/>
      </c>
      <c r="W687" s="19">
        <f>IF(OR(F687="",I687=""),"",IF(COUNTIFS(F$6:F687,F687,I$6:I687,"?*")=1,MAX(W$5:W686)+1,""))</f>
        <v/>
      </c>
    </row>
    <row r="688">
      <c r="B688" s="15" t="n"/>
      <c r="C688" s="16" t="n"/>
      <c r="D688" s="17" t="n"/>
      <c r="E688" s="17" t="n"/>
      <c r="F688" s="17" t="n"/>
      <c r="G688" s="17" t="n"/>
      <c r="H688" s="18">
        <f>IF(AND(B688="",C688="",D688="",E688=""),"",IF(B688="","⚠ Falta fecha",IF(C688="","⚠ Falta monto",IF(D688="","⚠ Falta categoría",IF(ISNA(MATCH(D688,catNom,0)),"⚠ Categoría no existe",IF(E688="","⚠ Falta cuenta",IF(ISNA(MATCH(E688,ctaNom,0)),"⚠ Cuenta no existe",IF(AND(OR(I688="Transferencia",I688="Pago tarjeta"),G688=""),"⚠ Indica la cuenta «Hacia»",IF(AND(G688&lt;&gt;"",G688=E688),"⚠ «Hacia» igual a la cuenta",IF(AND(G688&lt;&gt;"",ISNA(MATCH(G688,ctaNom,0))),"⚠ «Hacia» no existe",IF(AND(I688="Pago tarjeta",IFERROR(INDEX(ctaTipo,MATCH(G688,ctaNom,0)),"")&lt;&gt;"Tarjeta de crédito"),"⚠ «Hacia» debe ser la tarjeta",IF(AND(I688="Trading",IFERROR(INDEX(ctaTipo,MATCH(E688,ctaNom,0)),"")&lt;&gt;"Cuenta de trading"),"⚠ Usa la cuenta de trading","✓"))))))))))))</f>
        <v/>
      </c>
      <c r="I688" s="19">
        <f>IF(OR(B688="",C688="",D688=""),"",IFERROR(INDEX(catTipo,MATCH(D688,catNom,0))&amp;"",""))</f>
        <v/>
      </c>
      <c r="J688" s="19">
        <f>IF(I688="","",IFERROR(INDEX(catGrupo,MATCH(D688,catNom,0))&amp;"",""))</f>
        <v/>
      </c>
      <c r="K688" s="19">
        <f>IF(I688="Gasto",IF(IFERROR(INDEX(catClas,MATCH(D688,catNom,0))&amp;"","")="","Variable",IFERROR(INDEX(catClas,MATCH(D688,catNom,0))&amp;"","")),"")</f>
        <v/>
      </c>
      <c r="L688" s="19">
        <f>IF(I688="","",IFERROR(INDEX(catAlim,MATCH(D688,catNom,0))&amp;"",""))</f>
        <v/>
      </c>
      <c r="M688" s="19">
        <f>IF(I688="","",IFERROR(INDEX(catComida,MATCH(D688,catNom,0))&amp;"",""))</f>
        <v/>
      </c>
      <c r="N688" s="19">
        <f>IF(I688="","",IFERROR(INDEX(ctaMon,MATCH(E688,ctaNom,0))&amp;"","DOP"))</f>
        <v/>
      </c>
      <c r="O688" s="20">
        <f>IF(I688="","",C688*IF(N688="USD",TasaUSD,1))</f>
        <v/>
      </c>
      <c r="P688" s="20">
        <f>IF(I688="","",IF(I688="Gasto",O688,0))</f>
        <v/>
      </c>
      <c r="Q688" s="20">
        <f>IF(I688="","",IF(I688="Ingreso",O688,0))</f>
        <v/>
      </c>
      <c r="R688" s="20">
        <f>IF(I688="","",IF(I688="Trading",O688,0))</f>
        <v/>
      </c>
      <c r="S688" s="19">
        <f>IF(I688="","",IF(AND(I688="Gasto",K688="Variable",J688&lt;&gt;"Trading",O688&gt;0,O688&lt;=Umbral),1,0))</f>
        <v/>
      </c>
      <c r="T688" s="20">
        <f>IF(OR(I688="",E688=""),"",IF(OR(I688="Gasto",I688="Transferencia",I688="Pago tarjeta"),-1,1)*C688)</f>
        <v/>
      </c>
      <c r="U688" s="20">
        <f>IF(OR(G688="",AND(I688&lt;&gt;"Transferencia",I688&lt;&gt;"Pago tarjeta")),"",IF(IFERROR(INDEX(ctaMon,MATCH(G688,ctaNom,0))&amp;"","DOP")=N688,C688,IF(N688="USD",C688*TasaUSD,C688/TasaUSD)))</f>
        <v/>
      </c>
      <c r="V688" s="20">
        <f>IF(I688="","",IF(IFERROR(INDEX(ctaLiq,MATCH(E688,ctaNom,0))="Sí",FALSE),IF(OR(I688="Gasto",I688="Transferencia",I688="Pago tarjeta"),-1,1)*O688,0)+IF(AND(U688&lt;&gt;"",IFERROR(INDEX(ctaLiq,MATCH(G688,ctaNom,0))="Sí",FALSE)),O688,0))</f>
        <v/>
      </c>
      <c r="W688" s="19">
        <f>IF(OR(F688="",I688=""),"",IF(COUNTIFS(F$6:F688,F688,I$6:I688,"?*")=1,MAX(W$5:W687)+1,""))</f>
        <v/>
      </c>
    </row>
    <row r="689">
      <c r="B689" s="15" t="n"/>
      <c r="C689" s="16" t="n"/>
      <c r="D689" s="17" t="n"/>
      <c r="E689" s="17" t="n"/>
      <c r="F689" s="17" t="n"/>
      <c r="G689" s="17" t="n"/>
      <c r="H689" s="18">
        <f>IF(AND(B689="",C689="",D689="",E689=""),"",IF(B689="","⚠ Falta fecha",IF(C689="","⚠ Falta monto",IF(D689="","⚠ Falta categoría",IF(ISNA(MATCH(D689,catNom,0)),"⚠ Categoría no existe",IF(E689="","⚠ Falta cuenta",IF(ISNA(MATCH(E689,ctaNom,0)),"⚠ Cuenta no existe",IF(AND(OR(I689="Transferencia",I689="Pago tarjeta"),G689=""),"⚠ Indica la cuenta «Hacia»",IF(AND(G689&lt;&gt;"",G689=E689),"⚠ «Hacia» igual a la cuenta",IF(AND(G689&lt;&gt;"",ISNA(MATCH(G689,ctaNom,0))),"⚠ «Hacia» no existe",IF(AND(I689="Pago tarjeta",IFERROR(INDEX(ctaTipo,MATCH(G689,ctaNom,0)),"")&lt;&gt;"Tarjeta de crédito"),"⚠ «Hacia» debe ser la tarjeta",IF(AND(I689="Trading",IFERROR(INDEX(ctaTipo,MATCH(E689,ctaNom,0)),"")&lt;&gt;"Cuenta de trading"),"⚠ Usa la cuenta de trading","✓"))))))))))))</f>
        <v/>
      </c>
      <c r="I689" s="19">
        <f>IF(OR(B689="",C689="",D689=""),"",IFERROR(INDEX(catTipo,MATCH(D689,catNom,0))&amp;"",""))</f>
        <v/>
      </c>
      <c r="J689" s="19">
        <f>IF(I689="","",IFERROR(INDEX(catGrupo,MATCH(D689,catNom,0))&amp;"",""))</f>
        <v/>
      </c>
      <c r="K689" s="19">
        <f>IF(I689="Gasto",IF(IFERROR(INDEX(catClas,MATCH(D689,catNom,0))&amp;"","")="","Variable",IFERROR(INDEX(catClas,MATCH(D689,catNom,0))&amp;"","")),"")</f>
        <v/>
      </c>
      <c r="L689" s="19">
        <f>IF(I689="","",IFERROR(INDEX(catAlim,MATCH(D689,catNom,0))&amp;"",""))</f>
        <v/>
      </c>
      <c r="M689" s="19">
        <f>IF(I689="","",IFERROR(INDEX(catComida,MATCH(D689,catNom,0))&amp;"",""))</f>
        <v/>
      </c>
      <c r="N689" s="19">
        <f>IF(I689="","",IFERROR(INDEX(ctaMon,MATCH(E689,ctaNom,0))&amp;"","DOP"))</f>
        <v/>
      </c>
      <c r="O689" s="20">
        <f>IF(I689="","",C689*IF(N689="USD",TasaUSD,1))</f>
        <v/>
      </c>
      <c r="P689" s="20">
        <f>IF(I689="","",IF(I689="Gasto",O689,0))</f>
        <v/>
      </c>
      <c r="Q689" s="20">
        <f>IF(I689="","",IF(I689="Ingreso",O689,0))</f>
        <v/>
      </c>
      <c r="R689" s="20">
        <f>IF(I689="","",IF(I689="Trading",O689,0))</f>
        <v/>
      </c>
      <c r="S689" s="19">
        <f>IF(I689="","",IF(AND(I689="Gasto",K689="Variable",J689&lt;&gt;"Trading",O689&gt;0,O689&lt;=Umbral),1,0))</f>
        <v/>
      </c>
      <c r="T689" s="20">
        <f>IF(OR(I689="",E689=""),"",IF(OR(I689="Gasto",I689="Transferencia",I689="Pago tarjeta"),-1,1)*C689)</f>
        <v/>
      </c>
      <c r="U689" s="20">
        <f>IF(OR(G689="",AND(I689&lt;&gt;"Transferencia",I689&lt;&gt;"Pago tarjeta")),"",IF(IFERROR(INDEX(ctaMon,MATCH(G689,ctaNom,0))&amp;"","DOP")=N689,C689,IF(N689="USD",C689*TasaUSD,C689/TasaUSD)))</f>
        <v/>
      </c>
      <c r="V689" s="20">
        <f>IF(I689="","",IF(IFERROR(INDEX(ctaLiq,MATCH(E689,ctaNom,0))="Sí",FALSE),IF(OR(I689="Gasto",I689="Transferencia",I689="Pago tarjeta"),-1,1)*O689,0)+IF(AND(U689&lt;&gt;"",IFERROR(INDEX(ctaLiq,MATCH(G689,ctaNom,0))="Sí",FALSE)),O689,0))</f>
        <v/>
      </c>
      <c r="W689" s="19">
        <f>IF(OR(F689="",I689=""),"",IF(COUNTIFS(F$6:F689,F689,I$6:I689,"?*")=1,MAX(W$5:W688)+1,""))</f>
        <v/>
      </c>
    </row>
    <row r="690">
      <c r="B690" s="15" t="n"/>
      <c r="C690" s="16" t="n"/>
      <c r="D690" s="17" t="n"/>
      <c r="E690" s="17" t="n"/>
      <c r="F690" s="17" t="n"/>
      <c r="G690" s="17" t="n"/>
      <c r="H690" s="18">
        <f>IF(AND(B690="",C690="",D690="",E690=""),"",IF(B690="","⚠ Falta fecha",IF(C690="","⚠ Falta monto",IF(D690="","⚠ Falta categoría",IF(ISNA(MATCH(D690,catNom,0)),"⚠ Categoría no existe",IF(E690="","⚠ Falta cuenta",IF(ISNA(MATCH(E690,ctaNom,0)),"⚠ Cuenta no existe",IF(AND(OR(I690="Transferencia",I690="Pago tarjeta"),G690=""),"⚠ Indica la cuenta «Hacia»",IF(AND(G690&lt;&gt;"",G690=E690),"⚠ «Hacia» igual a la cuenta",IF(AND(G690&lt;&gt;"",ISNA(MATCH(G690,ctaNom,0))),"⚠ «Hacia» no existe",IF(AND(I690="Pago tarjeta",IFERROR(INDEX(ctaTipo,MATCH(G690,ctaNom,0)),"")&lt;&gt;"Tarjeta de crédito"),"⚠ «Hacia» debe ser la tarjeta",IF(AND(I690="Trading",IFERROR(INDEX(ctaTipo,MATCH(E690,ctaNom,0)),"")&lt;&gt;"Cuenta de trading"),"⚠ Usa la cuenta de trading","✓"))))))))))))</f>
        <v/>
      </c>
      <c r="I690" s="19">
        <f>IF(OR(B690="",C690="",D690=""),"",IFERROR(INDEX(catTipo,MATCH(D690,catNom,0))&amp;"",""))</f>
        <v/>
      </c>
      <c r="J690" s="19">
        <f>IF(I690="","",IFERROR(INDEX(catGrupo,MATCH(D690,catNom,0))&amp;"",""))</f>
        <v/>
      </c>
      <c r="K690" s="19">
        <f>IF(I690="Gasto",IF(IFERROR(INDEX(catClas,MATCH(D690,catNom,0))&amp;"","")="","Variable",IFERROR(INDEX(catClas,MATCH(D690,catNom,0))&amp;"","")),"")</f>
        <v/>
      </c>
      <c r="L690" s="19">
        <f>IF(I690="","",IFERROR(INDEX(catAlim,MATCH(D690,catNom,0))&amp;"",""))</f>
        <v/>
      </c>
      <c r="M690" s="19">
        <f>IF(I690="","",IFERROR(INDEX(catComida,MATCH(D690,catNom,0))&amp;"",""))</f>
        <v/>
      </c>
      <c r="N690" s="19">
        <f>IF(I690="","",IFERROR(INDEX(ctaMon,MATCH(E690,ctaNom,0))&amp;"","DOP"))</f>
        <v/>
      </c>
      <c r="O690" s="20">
        <f>IF(I690="","",C690*IF(N690="USD",TasaUSD,1))</f>
        <v/>
      </c>
      <c r="P690" s="20">
        <f>IF(I690="","",IF(I690="Gasto",O690,0))</f>
        <v/>
      </c>
      <c r="Q690" s="20">
        <f>IF(I690="","",IF(I690="Ingreso",O690,0))</f>
        <v/>
      </c>
      <c r="R690" s="20">
        <f>IF(I690="","",IF(I690="Trading",O690,0))</f>
        <v/>
      </c>
      <c r="S690" s="19">
        <f>IF(I690="","",IF(AND(I690="Gasto",K690="Variable",J690&lt;&gt;"Trading",O690&gt;0,O690&lt;=Umbral),1,0))</f>
        <v/>
      </c>
      <c r="T690" s="20">
        <f>IF(OR(I690="",E690=""),"",IF(OR(I690="Gasto",I690="Transferencia",I690="Pago tarjeta"),-1,1)*C690)</f>
        <v/>
      </c>
      <c r="U690" s="20">
        <f>IF(OR(G690="",AND(I690&lt;&gt;"Transferencia",I690&lt;&gt;"Pago tarjeta")),"",IF(IFERROR(INDEX(ctaMon,MATCH(G690,ctaNom,0))&amp;"","DOP")=N690,C690,IF(N690="USD",C690*TasaUSD,C690/TasaUSD)))</f>
        <v/>
      </c>
      <c r="V690" s="20">
        <f>IF(I690="","",IF(IFERROR(INDEX(ctaLiq,MATCH(E690,ctaNom,0))="Sí",FALSE),IF(OR(I690="Gasto",I690="Transferencia",I690="Pago tarjeta"),-1,1)*O690,0)+IF(AND(U690&lt;&gt;"",IFERROR(INDEX(ctaLiq,MATCH(G690,ctaNom,0))="Sí",FALSE)),O690,0))</f>
        <v/>
      </c>
      <c r="W690" s="19">
        <f>IF(OR(F690="",I690=""),"",IF(COUNTIFS(F$6:F690,F690,I$6:I690,"?*")=1,MAX(W$5:W689)+1,""))</f>
        <v/>
      </c>
    </row>
    <row r="691">
      <c r="B691" s="15" t="n"/>
      <c r="C691" s="16" t="n"/>
      <c r="D691" s="17" t="n"/>
      <c r="E691" s="17" t="n"/>
      <c r="F691" s="17" t="n"/>
      <c r="G691" s="17" t="n"/>
      <c r="H691" s="18">
        <f>IF(AND(B691="",C691="",D691="",E691=""),"",IF(B691="","⚠ Falta fecha",IF(C691="","⚠ Falta monto",IF(D691="","⚠ Falta categoría",IF(ISNA(MATCH(D691,catNom,0)),"⚠ Categoría no existe",IF(E691="","⚠ Falta cuenta",IF(ISNA(MATCH(E691,ctaNom,0)),"⚠ Cuenta no existe",IF(AND(OR(I691="Transferencia",I691="Pago tarjeta"),G691=""),"⚠ Indica la cuenta «Hacia»",IF(AND(G691&lt;&gt;"",G691=E691),"⚠ «Hacia» igual a la cuenta",IF(AND(G691&lt;&gt;"",ISNA(MATCH(G691,ctaNom,0))),"⚠ «Hacia» no existe",IF(AND(I691="Pago tarjeta",IFERROR(INDEX(ctaTipo,MATCH(G691,ctaNom,0)),"")&lt;&gt;"Tarjeta de crédito"),"⚠ «Hacia» debe ser la tarjeta",IF(AND(I691="Trading",IFERROR(INDEX(ctaTipo,MATCH(E691,ctaNom,0)),"")&lt;&gt;"Cuenta de trading"),"⚠ Usa la cuenta de trading","✓"))))))))))))</f>
        <v/>
      </c>
      <c r="I691" s="19">
        <f>IF(OR(B691="",C691="",D691=""),"",IFERROR(INDEX(catTipo,MATCH(D691,catNom,0))&amp;"",""))</f>
        <v/>
      </c>
      <c r="J691" s="19">
        <f>IF(I691="","",IFERROR(INDEX(catGrupo,MATCH(D691,catNom,0))&amp;"",""))</f>
        <v/>
      </c>
      <c r="K691" s="19">
        <f>IF(I691="Gasto",IF(IFERROR(INDEX(catClas,MATCH(D691,catNom,0))&amp;"","")="","Variable",IFERROR(INDEX(catClas,MATCH(D691,catNom,0))&amp;"","")),"")</f>
        <v/>
      </c>
      <c r="L691" s="19">
        <f>IF(I691="","",IFERROR(INDEX(catAlim,MATCH(D691,catNom,0))&amp;"",""))</f>
        <v/>
      </c>
      <c r="M691" s="19">
        <f>IF(I691="","",IFERROR(INDEX(catComida,MATCH(D691,catNom,0))&amp;"",""))</f>
        <v/>
      </c>
      <c r="N691" s="19">
        <f>IF(I691="","",IFERROR(INDEX(ctaMon,MATCH(E691,ctaNom,0))&amp;"","DOP"))</f>
        <v/>
      </c>
      <c r="O691" s="20">
        <f>IF(I691="","",C691*IF(N691="USD",TasaUSD,1))</f>
        <v/>
      </c>
      <c r="P691" s="20">
        <f>IF(I691="","",IF(I691="Gasto",O691,0))</f>
        <v/>
      </c>
      <c r="Q691" s="20">
        <f>IF(I691="","",IF(I691="Ingreso",O691,0))</f>
        <v/>
      </c>
      <c r="R691" s="20">
        <f>IF(I691="","",IF(I691="Trading",O691,0))</f>
        <v/>
      </c>
      <c r="S691" s="19">
        <f>IF(I691="","",IF(AND(I691="Gasto",K691="Variable",J691&lt;&gt;"Trading",O691&gt;0,O691&lt;=Umbral),1,0))</f>
        <v/>
      </c>
      <c r="T691" s="20">
        <f>IF(OR(I691="",E691=""),"",IF(OR(I691="Gasto",I691="Transferencia",I691="Pago tarjeta"),-1,1)*C691)</f>
        <v/>
      </c>
      <c r="U691" s="20">
        <f>IF(OR(G691="",AND(I691&lt;&gt;"Transferencia",I691&lt;&gt;"Pago tarjeta")),"",IF(IFERROR(INDEX(ctaMon,MATCH(G691,ctaNom,0))&amp;"","DOP")=N691,C691,IF(N691="USD",C691*TasaUSD,C691/TasaUSD)))</f>
        <v/>
      </c>
      <c r="V691" s="20">
        <f>IF(I691="","",IF(IFERROR(INDEX(ctaLiq,MATCH(E691,ctaNom,0))="Sí",FALSE),IF(OR(I691="Gasto",I691="Transferencia",I691="Pago tarjeta"),-1,1)*O691,0)+IF(AND(U691&lt;&gt;"",IFERROR(INDEX(ctaLiq,MATCH(G691,ctaNom,0))="Sí",FALSE)),O691,0))</f>
        <v/>
      </c>
      <c r="W691" s="19">
        <f>IF(OR(F691="",I691=""),"",IF(COUNTIFS(F$6:F691,F691,I$6:I691,"?*")=1,MAX(W$5:W690)+1,""))</f>
        <v/>
      </c>
    </row>
    <row r="692">
      <c r="B692" s="15" t="n"/>
      <c r="C692" s="16" t="n"/>
      <c r="D692" s="17" t="n"/>
      <c r="E692" s="17" t="n"/>
      <c r="F692" s="17" t="n"/>
      <c r="G692" s="17" t="n"/>
      <c r="H692" s="18">
        <f>IF(AND(B692="",C692="",D692="",E692=""),"",IF(B692="","⚠ Falta fecha",IF(C692="","⚠ Falta monto",IF(D692="","⚠ Falta categoría",IF(ISNA(MATCH(D692,catNom,0)),"⚠ Categoría no existe",IF(E692="","⚠ Falta cuenta",IF(ISNA(MATCH(E692,ctaNom,0)),"⚠ Cuenta no existe",IF(AND(OR(I692="Transferencia",I692="Pago tarjeta"),G692=""),"⚠ Indica la cuenta «Hacia»",IF(AND(G692&lt;&gt;"",G692=E692),"⚠ «Hacia» igual a la cuenta",IF(AND(G692&lt;&gt;"",ISNA(MATCH(G692,ctaNom,0))),"⚠ «Hacia» no existe",IF(AND(I692="Pago tarjeta",IFERROR(INDEX(ctaTipo,MATCH(G692,ctaNom,0)),"")&lt;&gt;"Tarjeta de crédito"),"⚠ «Hacia» debe ser la tarjeta",IF(AND(I692="Trading",IFERROR(INDEX(ctaTipo,MATCH(E692,ctaNom,0)),"")&lt;&gt;"Cuenta de trading"),"⚠ Usa la cuenta de trading","✓"))))))))))))</f>
        <v/>
      </c>
      <c r="I692" s="19">
        <f>IF(OR(B692="",C692="",D692=""),"",IFERROR(INDEX(catTipo,MATCH(D692,catNom,0))&amp;"",""))</f>
        <v/>
      </c>
      <c r="J692" s="19">
        <f>IF(I692="","",IFERROR(INDEX(catGrupo,MATCH(D692,catNom,0))&amp;"",""))</f>
        <v/>
      </c>
      <c r="K692" s="19">
        <f>IF(I692="Gasto",IF(IFERROR(INDEX(catClas,MATCH(D692,catNom,0))&amp;"","")="","Variable",IFERROR(INDEX(catClas,MATCH(D692,catNom,0))&amp;"","")),"")</f>
        <v/>
      </c>
      <c r="L692" s="19">
        <f>IF(I692="","",IFERROR(INDEX(catAlim,MATCH(D692,catNom,0))&amp;"",""))</f>
        <v/>
      </c>
      <c r="M692" s="19">
        <f>IF(I692="","",IFERROR(INDEX(catComida,MATCH(D692,catNom,0))&amp;"",""))</f>
        <v/>
      </c>
      <c r="N692" s="19">
        <f>IF(I692="","",IFERROR(INDEX(ctaMon,MATCH(E692,ctaNom,0))&amp;"","DOP"))</f>
        <v/>
      </c>
      <c r="O692" s="20">
        <f>IF(I692="","",C692*IF(N692="USD",TasaUSD,1))</f>
        <v/>
      </c>
      <c r="P692" s="20">
        <f>IF(I692="","",IF(I692="Gasto",O692,0))</f>
        <v/>
      </c>
      <c r="Q692" s="20">
        <f>IF(I692="","",IF(I692="Ingreso",O692,0))</f>
        <v/>
      </c>
      <c r="R692" s="20">
        <f>IF(I692="","",IF(I692="Trading",O692,0))</f>
        <v/>
      </c>
      <c r="S692" s="19">
        <f>IF(I692="","",IF(AND(I692="Gasto",K692="Variable",J692&lt;&gt;"Trading",O692&gt;0,O692&lt;=Umbral),1,0))</f>
        <v/>
      </c>
      <c r="T692" s="20">
        <f>IF(OR(I692="",E692=""),"",IF(OR(I692="Gasto",I692="Transferencia",I692="Pago tarjeta"),-1,1)*C692)</f>
        <v/>
      </c>
      <c r="U692" s="20">
        <f>IF(OR(G692="",AND(I692&lt;&gt;"Transferencia",I692&lt;&gt;"Pago tarjeta")),"",IF(IFERROR(INDEX(ctaMon,MATCH(G692,ctaNom,0))&amp;"","DOP")=N692,C692,IF(N692="USD",C692*TasaUSD,C692/TasaUSD)))</f>
        <v/>
      </c>
      <c r="V692" s="20">
        <f>IF(I692="","",IF(IFERROR(INDEX(ctaLiq,MATCH(E692,ctaNom,0))="Sí",FALSE),IF(OR(I692="Gasto",I692="Transferencia",I692="Pago tarjeta"),-1,1)*O692,0)+IF(AND(U692&lt;&gt;"",IFERROR(INDEX(ctaLiq,MATCH(G692,ctaNom,0))="Sí",FALSE)),O692,0))</f>
        <v/>
      </c>
      <c r="W692" s="19">
        <f>IF(OR(F692="",I692=""),"",IF(COUNTIFS(F$6:F692,F692,I$6:I692,"?*")=1,MAX(W$5:W691)+1,""))</f>
        <v/>
      </c>
    </row>
    <row r="693">
      <c r="B693" s="15" t="n"/>
      <c r="C693" s="16" t="n"/>
      <c r="D693" s="17" t="n"/>
      <c r="E693" s="17" t="n"/>
      <c r="F693" s="17" t="n"/>
      <c r="G693" s="17" t="n"/>
      <c r="H693" s="18">
        <f>IF(AND(B693="",C693="",D693="",E693=""),"",IF(B693="","⚠ Falta fecha",IF(C693="","⚠ Falta monto",IF(D693="","⚠ Falta categoría",IF(ISNA(MATCH(D693,catNom,0)),"⚠ Categoría no existe",IF(E693="","⚠ Falta cuenta",IF(ISNA(MATCH(E693,ctaNom,0)),"⚠ Cuenta no existe",IF(AND(OR(I693="Transferencia",I693="Pago tarjeta"),G693=""),"⚠ Indica la cuenta «Hacia»",IF(AND(G693&lt;&gt;"",G693=E693),"⚠ «Hacia» igual a la cuenta",IF(AND(G693&lt;&gt;"",ISNA(MATCH(G693,ctaNom,0))),"⚠ «Hacia» no existe",IF(AND(I693="Pago tarjeta",IFERROR(INDEX(ctaTipo,MATCH(G693,ctaNom,0)),"")&lt;&gt;"Tarjeta de crédito"),"⚠ «Hacia» debe ser la tarjeta",IF(AND(I693="Trading",IFERROR(INDEX(ctaTipo,MATCH(E693,ctaNom,0)),"")&lt;&gt;"Cuenta de trading"),"⚠ Usa la cuenta de trading","✓"))))))))))))</f>
        <v/>
      </c>
      <c r="I693" s="19">
        <f>IF(OR(B693="",C693="",D693=""),"",IFERROR(INDEX(catTipo,MATCH(D693,catNom,0))&amp;"",""))</f>
        <v/>
      </c>
      <c r="J693" s="19">
        <f>IF(I693="","",IFERROR(INDEX(catGrupo,MATCH(D693,catNom,0))&amp;"",""))</f>
        <v/>
      </c>
      <c r="K693" s="19">
        <f>IF(I693="Gasto",IF(IFERROR(INDEX(catClas,MATCH(D693,catNom,0))&amp;"","")="","Variable",IFERROR(INDEX(catClas,MATCH(D693,catNom,0))&amp;"","")),"")</f>
        <v/>
      </c>
      <c r="L693" s="19">
        <f>IF(I693="","",IFERROR(INDEX(catAlim,MATCH(D693,catNom,0))&amp;"",""))</f>
        <v/>
      </c>
      <c r="M693" s="19">
        <f>IF(I693="","",IFERROR(INDEX(catComida,MATCH(D693,catNom,0))&amp;"",""))</f>
        <v/>
      </c>
      <c r="N693" s="19">
        <f>IF(I693="","",IFERROR(INDEX(ctaMon,MATCH(E693,ctaNom,0))&amp;"","DOP"))</f>
        <v/>
      </c>
      <c r="O693" s="20">
        <f>IF(I693="","",C693*IF(N693="USD",TasaUSD,1))</f>
        <v/>
      </c>
      <c r="P693" s="20">
        <f>IF(I693="","",IF(I693="Gasto",O693,0))</f>
        <v/>
      </c>
      <c r="Q693" s="20">
        <f>IF(I693="","",IF(I693="Ingreso",O693,0))</f>
        <v/>
      </c>
      <c r="R693" s="20">
        <f>IF(I693="","",IF(I693="Trading",O693,0))</f>
        <v/>
      </c>
      <c r="S693" s="19">
        <f>IF(I693="","",IF(AND(I693="Gasto",K693="Variable",J693&lt;&gt;"Trading",O693&gt;0,O693&lt;=Umbral),1,0))</f>
        <v/>
      </c>
      <c r="T693" s="20">
        <f>IF(OR(I693="",E693=""),"",IF(OR(I693="Gasto",I693="Transferencia",I693="Pago tarjeta"),-1,1)*C693)</f>
        <v/>
      </c>
      <c r="U693" s="20">
        <f>IF(OR(G693="",AND(I693&lt;&gt;"Transferencia",I693&lt;&gt;"Pago tarjeta")),"",IF(IFERROR(INDEX(ctaMon,MATCH(G693,ctaNom,0))&amp;"","DOP")=N693,C693,IF(N693="USD",C693*TasaUSD,C693/TasaUSD)))</f>
        <v/>
      </c>
      <c r="V693" s="20">
        <f>IF(I693="","",IF(IFERROR(INDEX(ctaLiq,MATCH(E693,ctaNom,0))="Sí",FALSE),IF(OR(I693="Gasto",I693="Transferencia",I693="Pago tarjeta"),-1,1)*O693,0)+IF(AND(U693&lt;&gt;"",IFERROR(INDEX(ctaLiq,MATCH(G693,ctaNom,0))="Sí",FALSE)),O693,0))</f>
        <v/>
      </c>
      <c r="W693" s="19">
        <f>IF(OR(F693="",I693=""),"",IF(COUNTIFS(F$6:F693,F693,I$6:I693,"?*")=1,MAX(W$5:W692)+1,""))</f>
        <v/>
      </c>
    </row>
    <row r="694">
      <c r="B694" s="15" t="n"/>
      <c r="C694" s="16" t="n"/>
      <c r="D694" s="17" t="n"/>
      <c r="E694" s="17" t="n"/>
      <c r="F694" s="17" t="n"/>
      <c r="G694" s="17" t="n"/>
      <c r="H694" s="18">
        <f>IF(AND(B694="",C694="",D694="",E694=""),"",IF(B694="","⚠ Falta fecha",IF(C694="","⚠ Falta monto",IF(D694="","⚠ Falta categoría",IF(ISNA(MATCH(D694,catNom,0)),"⚠ Categoría no existe",IF(E694="","⚠ Falta cuenta",IF(ISNA(MATCH(E694,ctaNom,0)),"⚠ Cuenta no existe",IF(AND(OR(I694="Transferencia",I694="Pago tarjeta"),G694=""),"⚠ Indica la cuenta «Hacia»",IF(AND(G694&lt;&gt;"",G694=E694),"⚠ «Hacia» igual a la cuenta",IF(AND(G694&lt;&gt;"",ISNA(MATCH(G694,ctaNom,0))),"⚠ «Hacia» no existe",IF(AND(I694="Pago tarjeta",IFERROR(INDEX(ctaTipo,MATCH(G694,ctaNom,0)),"")&lt;&gt;"Tarjeta de crédito"),"⚠ «Hacia» debe ser la tarjeta",IF(AND(I694="Trading",IFERROR(INDEX(ctaTipo,MATCH(E694,ctaNom,0)),"")&lt;&gt;"Cuenta de trading"),"⚠ Usa la cuenta de trading","✓"))))))))))))</f>
        <v/>
      </c>
      <c r="I694" s="19">
        <f>IF(OR(B694="",C694="",D694=""),"",IFERROR(INDEX(catTipo,MATCH(D694,catNom,0))&amp;"",""))</f>
        <v/>
      </c>
      <c r="J694" s="19">
        <f>IF(I694="","",IFERROR(INDEX(catGrupo,MATCH(D694,catNom,0))&amp;"",""))</f>
        <v/>
      </c>
      <c r="K694" s="19">
        <f>IF(I694="Gasto",IF(IFERROR(INDEX(catClas,MATCH(D694,catNom,0))&amp;"","")="","Variable",IFERROR(INDEX(catClas,MATCH(D694,catNom,0))&amp;"","")),"")</f>
        <v/>
      </c>
      <c r="L694" s="19">
        <f>IF(I694="","",IFERROR(INDEX(catAlim,MATCH(D694,catNom,0))&amp;"",""))</f>
        <v/>
      </c>
      <c r="M694" s="19">
        <f>IF(I694="","",IFERROR(INDEX(catComida,MATCH(D694,catNom,0))&amp;"",""))</f>
        <v/>
      </c>
      <c r="N694" s="19">
        <f>IF(I694="","",IFERROR(INDEX(ctaMon,MATCH(E694,ctaNom,0))&amp;"","DOP"))</f>
        <v/>
      </c>
      <c r="O694" s="20">
        <f>IF(I694="","",C694*IF(N694="USD",TasaUSD,1))</f>
        <v/>
      </c>
      <c r="P694" s="20">
        <f>IF(I694="","",IF(I694="Gasto",O694,0))</f>
        <v/>
      </c>
      <c r="Q694" s="20">
        <f>IF(I694="","",IF(I694="Ingreso",O694,0))</f>
        <v/>
      </c>
      <c r="R694" s="20">
        <f>IF(I694="","",IF(I694="Trading",O694,0))</f>
        <v/>
      </c>
      <c r="S694" s="19">
        <f>IF(I694="","",IF(AND(I694="Gasto",K694="Variable",J694&lt;&gt;"Trading",O694&gt;0,O694&lt;=Umbral),1,0))</f>
        <v/>
      </c>
      <c r="T694" s="20">
        <f>IF(OR(I694="",E694=""),"",IF(OR(I694="Gasto",I694="Transferencia",I694="Pago tarjeta"),-1,1)*C694)</f>
        <v/>
      </c>
      <c r="U694" s="20">
        <f>IF(OR(G694="",AND(I694&lt;&gt;"Transferencia",I694&lt;&gt;"Pago tarjeta")),"",IF(IFERROR(INDEX(ctaMon,MATCH(G694,ctaNom,0))&amp;"","DOP")=N694,C694,IF(N694="USD",C694*TasaUSD,C694/TasaUSD)))</f>
        <v/>
      </c>
      <c r="V694" s="20">
        <f>IF(I694="","",IF(IFERROR(INDEX(ctaLiq,MATCH(E694,ctaNom,0))="Sí",FALSE),IF(OR(I694="Gasto",I694="Transferencia",I694="Pago tarjeta"),-1,1)*O694,0)+IF(AND(U694&lt;&gt;"",IFERROR(INDEX(ctaLiq,MATCH(G694,ctaNom,0))="Sí",FALSE)),O694,0))</f>
        <v/>
      </c>
      <c r="W694" s="19">
        <f>IF(OR(F694="",I694=""),"",IF(COUNTIFS(F$6:F694,F694,I$6:I694,"?*")=1,MAX(W$5:W693)+1,""))</f>
        <v/>
      </c>
    </row>
    <row r="695">
      <c r="B695" s="15" t="n"/>
      <c r="C695" s="16" t="n"/>
      <c r="D695" s="17" t="n"/>
      <c r="E695" s="17" t="n"/>
      <c r="F695" s="17" t="n"/>
      <c r="G695" s="17" t="n"/>
      <c r="H695" s="18">
        <f>IF(AND(B695="",C695="",D695="",E695=""),"",IF(B695="","⚠ Falta fecha",IF(C695="","⚠ Falta monto",IF(D695="","⚠ Falta categoría",IF(ISNA(MATCH(D695,catNom,0)),"⚠ Categoría no existe",IF(E695="","⚠ Falta cuenta",IF(ISNA(MATCH(E695,ctaNom,0)),"⚠ Cuenta no existe",IF(AND(OR(I695="Transferencia",I695="Pago tarjeta"),G695=""),"⚠ Indica la cuenta «Hacia»",IF(AND(G695&lt;&gt;"",G695=E695),"⚠ «Hacia» igual a la cuenta",IF(AND(G695&lt;&gt;"",ISNA(MATCH(G695,ctaNom,0))),"⚠ «Hacia» no existe",IF(AND(I695="Pago tarjeta",IFERROR(INDEX(ctaTipo,MATCH(G695,ctaNom,0)),"")&lt;&gt;"Tarjeta de crédito"),"⚠ «Hacia» debe ser la tarjeta",IF(AND(I695="Trading",IFERROR(INDEX(ctaTipo,MATCH(E695,ctaNom,0)),"")&lt;&gt;"Cuenta de trading"),"⚠ Usa la cuenta de trading","✓"))))))))))))</f>
        <v/>
      </c>
      <c r="I695" s="19">
        <f>IF(OR(B695="",C695="",D695=""),"",IFERROR(INDEX(catTipo,MATCH(D695,catNom,0))&amp;"",""))</f>
        <v/>
      </c>
      <c r="J695" s="19">
        <f>IF(I695="","",IFERROR(INDEX(catGrupo,MATCH(D695,catNom,0))&amp;"",""))</f>
        <v/>
      </c>
      <c r="K695" s="19">
        <f>IF(I695="Gasto",IF(IFERROR(INDEX(catClas,MATCH(D695,catNom,0))&amp;"","")="","Variable",IFERROR(INDEX(catClas,MATCH(D695,catNom,0))&amp;"","")),"")</f>
        <v/>
      </c>
      <c r="L695" s="19">
        <f>IF(I695="","",IFERROR(INDEX(catAlim,MATCH(D695,catNom,0))&amp;"",""))</f>
        <v/>
      </c>
      <c r="M695" s="19">
        <f>IF(I695="","",IFERROR(INDEX(catComida,MATCH(D695,catNom,0))&amp;"",""))</f>
        <v/>
      </c>
      <c r="N695" s="19">
        <f>IF(I695="","",IFERROR(INDEX(ctaMon,MATCH(E695,ctaNom,0))&amp;"","DOP"))</f>
        <v/>
      </c>
      <c r="O695" s="20">
        <f>IF(I695="","",C695*IF(N695="USD",TasaUSD,1))</f>
        <v/>
      </c>
      <c r="P695" s="20">
        <f>IF(I695="","",IF(I695="Gasto",O695,0))</f>
        <v/>
      </c>
      <c r="Q695" s="20">
        <f>IF(I695="","",IF(I695="Ingreso",O695,0))</f>
        <v/>
      </c>
      <c r="R695" s="20">
        <f>IF(I695="","",IF(I695="Trading",O695,0))</f>
        <v/>
      </c>
      <c r="S695" s="19">
        <f>IF(I695="","",IF(AND(I695="Gasto",K695="Variable",J695&lt;&gt;"Trading",O695&gt;0,O695&lt;=Umbral),1,0))</f>
        <v/>
      </c>
      <c r="T695" s="20">
        <f>IF(OR(I695="",E695=""),"",IF(OR(I695="Gasto",I695="Transferencia",I695="Pago tarjeta"),-1,1)*C695)</f>
        <v/>
      </c>
      <c r="U695" s="20">
        <f>IF(OR(G695="",AND(I695&lt;&gt;"Transferencia",I695&lt;&gt;"Pago tarjeta")),"",IF(IFERROR(INDEX(ctaMon,MATCH(G695,ctaNom,0))&amp;"","DOP")=N695,C695,IF(N695="USD",C695*TasaUSD,C695/TasaUSD)))</f>
        <v/>
      </c>
      <c r="V695" s="20">
        <f>IF(I695="","",IF(IFERROR(INDEX(ctaLiq,MATCH(E695,ctaNom,0))="Sí",FALSE),IF(OR(I695="Gasto",I695="Transferencia",I695="Pago tarjeta"),-1,1)*O695,0)+IF(AND(U695&lt;&gt;"",IFERROR(INDEX(ctaLiq,MATCH(G695,ctaNom,0))="Sí",FALSE)),O695,0))</f>
        <v/>
      </c>
      <c r="W695" s="19">
        <f>IF(OR(F695="",I695=""),"",IF(COUNTIFS(F$6:F695,F695,I$6:I695,"?*")=1,MAX(W$5:W694)+1,""))</f>
        <v/>
      </c>
    </row>
    <row r="696">
      <c r="B696" s="15" t="n"/>
      <c r="C696" s="16" t="n"/>
      <c r="D696" s="17" t="n"/>
      <c r="E696" s="17" t="n"/>
      <c r="F696" s="17" t="n"/>
      <c r="G696" s="17" t="n"/>
      <c r="H696" s="18">
        <f>IF(AND(B696="",C696="",D696="",E696=""),"",IF(B696="","⚠ Falta fecha",IF(C696="","⚠ Falta monto",IF(D696="","⚠ Falta categoría",IF(ISNA(MATCH(D696,catNom,0)),"⚠ Categoría no existe",IF(E696="","⚠ Falta cuenta",IF(ISNA(MATCH(E696,ctaNom,0)),"⚠ Cuenta no existe",IF(AND(OR(I696="Transferencia",I696="Pago tarjeta"),G696=""),"⚠ Indica la cuenta «Hacia»",IF(AND(G696&lt;&gt;"",G696=E696),"⚠ «Hacia» igual a la cuenta",IF(AND(G696&lt;&gt;"",ISNA(MATCH(G696,ctaNom,0))),"⚠ «Hacia» no existe",IF(AND(I696="Pago tarjeta",IFERROR(INDEX(ctaTipo,MATCH(G696,ctaNom,0)),"")&lt;&gt;"Tarjeta de crédito"),"⚠ «Hacia» debe ser la tarjeta",IF(AND(I696="Trading",IFERROR(INDEX(ctaTipo,MATCH(E696,ctaNom,0)),"")&lt;&gt;"Cuenta de trading"),"⚠ Usa la cuenta de trading","✓"))))))))))))</f>
        <v/>
      </c>
      <c r="I696" s="19">
        <f>IF(OR(B696="",C696="",D696=""),"",IFERROR(INDEX(catTipo,MATCH(D696,catNom,0))&amp;"",""))</f>
        <v/>
      </c>
      <c r="J696" s="19">
        <f>IF(I696="","",IFERROR(INDEX(catGrupo,MATCH(D696,catNom,0))&amp;"",""))</f>
        <v/>
      </c>
      <c r="K696" s="19">
        <f>IF(I696="Gasto",IF(IFERROR(INDEX(catClas,MATCH(D696,catNom,0))&amp;"","")="","Variable",IFERROR(INDEX(catClas,MATCH(D696,catNom,0))&amp;"","")),"")</f>
        <v/>
      </c>
      <c r="L696" s="19">
        <f>IF(I696="","",IFERROR(INDEX(catAlim,MATCH(D696,catNom,0))&amp;"",""))</f>
        <v/>
      </c>
      <c r="M696" s="19">
        <f>IF(I696="","",IFERROR(INDEX(catComida,MATCH(D696,catNom,0))&amp;"",""))</f>
        <v/>
      </c>
      <c r="N696" s="19">
        <f>IF(I696="","",IFERROR(INDEX(ctaMon,MATCH(E696,ctaNom,0))&amp;"","DOP"))</f>
        <v/>
      </c>
      <c r="O696" s="20">
        <f>IF(I696="","",C696*IF(N696="USD",TasaUSD,1))</f>
        <v/>
      </c>
      <c r="P696" s="20">
        <f>IF(I696="","",IF(I696="Gasto",O696,0))</f>
        <v/>
      </c>
      <c r="Q696" s="20">
        <f>IF(I696="","",IF(I696="Ingreso",O696,0))</f>
        <v/>
      </c>
      <c r="R696" s="20">
        <f>IF(I696="","",IF(I696="Trading",O696,0))</f>
        <v/>
      </c>
      <c r="S696" s="19">
        <f>IF(I696="","",IF(AND(I696="Gasto",K696="Variable",J696&lt;&gt;"Trading",O696&gt;0,O696&lt;=Umbral),1,0))</f>
        <v/>
      </c>
      <c r="T696" s="20">
        <f>IF(OR(I696="",E696=""),"",IF(OR(I696="Gasto",I696="Transferencia",I696="Pago tarjeta"),-1,1)*C696)</f>
        <v/>
      </c>
      <c r="U696" s="20">
        <f>IF(OR(G696="",AND(I696&lt;&gt;"Transferencia",I696&lt;&gt;"Pago tarjeta")),"",IF(IFERROR(INDEX(ctaMon,MATCH(G696,ctaNom,0))&amp;"","DOP")=N696,C696,IF(N696="USD",C696*TasaUSD,C696/TasaUSD)))</f>
        <v/>
      </c>
      <c r="V696" s="20">
        <f>IF(I696="","",IF(IFERROR(INDEX(ctaLiq,MATCH(E696,ctaNom,0))="Sí",FALSE),IF(OR(I696="Gasto",I696="Transferencia",I696="Pago tarjeta"),-1,1)*O696,0)+IF(AND(U696&lt;&gt;"",IFERROR(INDEX(ctaLiq,MATCH(G696,ctaNom,0))="Sí",FALSE)),O696,0))</f>
        <v/>
      </c>
      <c r="W696" s="19">
        <f>IF(OR(F696="",I696=""),"",IF(COUNTIFS(F$6:F696,F696,I$6:I696,"?*")=1,MAX(W$5:W695)+1,""))</f>
        <v/>
      </c>
    </row>
    <row r="697">
      <c r="B697" s="15" t="n"/>
      <c r="C697" s="16" t="n"/>
      <c r="D697" s="17" t="n"/>
      <c r="E697" s="17" t="n"/>
      <c r="F697" s="17" t="n"/>
      <c r="G697" s="17" t="n"/>
      <c r="H697" s="18">
        <f>IF(AND(B697="",C697="",D697="",E697=""),"",IF(B697="","⚠ Falta fecha",IF(C697="","⚠ Falta monto",IF(D697="","⚠ Falta categoría",IF(ISNA(MATCH(D697,catNom,0)),"⚠ Categoría no existe",IF(E697="","⚠ Falta cuenta",IF(ISNA(MATCH(E697,ctaNom,0)),"⚠ Cuenta no existe",IF(AND(OR(I697="Transferencia",I697="Pago tarjeta"),G697=""),"⚠ Indica la cuenta «Hacia»",IF(AND(G697&lt;&gt;"",G697=E697),"⚠ «Hacia» igual a la cuenta",IF(AND(G697&lt;&gt;"",ISNA(MATCH(G697,ctaNom,0))),"⚠ «Hacia» no existe",IF(AND(I697="Pago tarjeta",IFERROR(INDEX(ctaTipo,MATCH(G697,ctaNom,0)),"")&lt;&gt;"Tarjeta de crédito"),"⚠ «Hacia» debe ser la tarjeta",IF(AND(I697="Trading",IFERROR(INDEX(ctaTipo,MATCH(E697,ctaNom,0)),"")&lt;&gt;"Cuenta de trading"),"⚠ Usa la cuenta de trading","✓"))))))))))))</f>
        <v/>
      </c>
      <c r="I697" s="19">
        <f>IF(OR(B697="",C697="",D697=""),"",IFERROR(INDEX(catTipo,MATCH(D697,catNom,0))&amp;"",""))</f>
        <v/>
      </c>
      <c r="J697" s="19">
        <f>IF(I697="","",IFERROR(INDEX(catGrupo,MATCH(D697,catNom,0))&amp;"",""))</f>
        <v/>
      </c>
      <c r="K697" s="19">
        <f>IF(I697="Gasto",IF(IFERROR(INDEX(catClas,MATCH(D697,catNom,0))&amp;"","")="","Variable",IFERROR(INDEX(catClas,MATCH(D697,catNom,0))&amp;"","")),"")</f>
        <v/>
      </c>
      <c r="L697" s="19">
        <f>IF(I697="","",IFERROR(INDEX(catAlim,MATCH(D697,catNom,0))&amp;"",""))</f>
        <v/>
      </c>
      <c r="M697" s="19">
        <f>IF(I697="","",IFERROR(INDEX(catComida,MATCH(D697,catNom,0))&amp;"",""))</f>
        <v/>
      </c>
      <c r="N697" s="19">
        <f>IF(I697="","",IFERROR(INDEX(ctaMon,MATCH(E697,ctaNom,0))&amp;"","DOP"))</f>
        <v/>
      </c>
      <c r="O697" s="20">
        <f>IF(I697="","",C697*IF(N697="USD",TasaUSD,1))</f>
        <v/>
      </c>
      <c r="P697" s="20">
        <f>IF(I697="","",IF(I697="Gasto",O697,0))</f>
        <v/>
      </c>
      <c r="Q697" s="20">
        <f>IF(I697="","",IF(I697="Ingreso",O697,0))</f>
        <v/>
      </c>
      <c r="R697" s="20">
        <f>IF(I697="","",IF(I697="Trading",O697,0))</f>
        <v/>
      </c>
      <c r="S697" s="19">
        <f>IF(I697="","",IF(AND(I697="Gasto",K697="Variable",J697&lt;&gt;"Trading",O697&gt;0,O697&lt;=Umbral),1,0))</f>
        <v/>
      </c>
      <c r="T697" s="20">
        <f>IF(OR(I697="",E697=""),"",IF(OR(I697="Gasto",I697="Transferencia",I697="Pago tarjeta"),-1,1)*C697)</f>
        <v/>
      </c>
      <c r="U697" s="20">
        <f>IF(OR(G697="",AND(I697&lt;&gt;"Transferencia",I697&lt;&gt;"Pago tarjeta")),"",IF(IFERROR(INDEX(ctaMon,MATCH(G697,ctaNom,0))&amp;"","DOP")=N697,C697,IF(N697="USD",C697*TasaUSD,C697/TasaUSD)))</f>
        <v/>
      </c>
      <c r="V697" s="20">
        <f>IF(I697="","",IF(IFERROR(INDEX(ctaLiq,MATCH(E697,ctaNom,0))="Sí",FALSE),IF(OR(I697="Gasto",I697="Transferencia",I697="Pago tarjeta"),-1,1)*O697,0)+IF(AND(U697&lt;&gt;"",IFERROR(INDEX(ctaLiq,MATCH(G697,ctaNom,0))="Sí",FALSE)),O697,0))</f>
        <v/>
      </c>
      <c r="W697" s="19">
        <f>IF(OR(F697="",I697=""),"",IF(COUNTIFS(F$6:F697,F697,I$6:I697,"?*")=1,MAX(W$5:W696)+1,""))</f>
        <v/>
      </c>
    </row>
    <row r="698">
      <c r="B698" s="15" t="n"/>
      <c r="C698" s="16" t="n"/>
      <c r="D698" s="17" t="n"/>
      <c r="E698" s="17" t="n"/>
      <c r="F698" s="17" t="n"/>
      <c r="G698" s="17" t="n"/>
      <c r="H698" s="18">
        <f>IF(AND(B698="",C698="",D698="",E698=""),"",IF(B698="","⚠ Falta fecha",IF(C698="","⚠ Falta monto",IF(D698="","⚠ Falta categoría",IF(ISNA(MATCH(D698,catNom,0)),"⚠ Categoría no existe",IF(E698="","⚠ Falta cuenta",IF(ISNA(MATCH(E698,ctaNom,0)),"⚠ Cuenta no existe",IF(AND(OR(I698="Transferencia",I698="Pago tarjeta"),G698=""),"⚠ Indica la cuenta «Hacia»",IF(AND(G698&lt;&gt;"",G698=E698),"⚠ «Hacia» igual a la cuenta",IF(AND(G698&lt;&gt;"",ISNA(MATCH(G698,ctaNom,0))),"⚠ «Hacia» no existe",IF(AND(I698="Pago tarjeta",IFERROR(INDEX(ctaTipo,MATCH(G698,ctaNom,0)),"")&lt;&gt;"Tarjeta de crédito"),"⚠ «Hacia» debe ser la tarjeta",IF(AND(I698="Trading",IFERROR(INDEX(ctaTipo,MATCH(E698,ctaNom,0)),"")&lt;&gt;"Cuenta de trading"),"⚠ Usa la cuenta de trading","✓"))))))))))))</f>
        <v/>
      </c>
      <c r="I698" s="19">
        <f>IF(OR(B698="",C698="",D698=""),"",IFERROR(INDEX(catTipo,MATCH(D698,catNom,0))&amp;"",""))</f>
        <v/>
      </c>
      <c r="J698" s="19">
        <f>IF(I698="","",IFERROR(INDEX(catGrupo,MATCH(D698,catNom,0))&amp;"",""))</f>
        <v/>
      </c>
      <c r="K698" s="19">
        <f>IF(I698="Gasto",IF(IFERROR(INDEX(catClas,MATCH(D698,catNom,0))&amp;"","")="","Variable",IFERROR(INDEX(catClas,MATCH(D698,catNom,0))&amp;"","")),"")</f>
        <v/>
      </c>
      <c r="L698" s="19">
        <f>IF(I698="","",IFERROR(INDEX(catAlim,MATCH(D698,catNom,0))&amp;"",""))</f>
        <v/>
      </c>
      <c r="M698" s="19">
        <f>IF(I698="","",IFERROR(INDEX(catComida,MATCH(D698,catNom,0))&amp;"",""))</f>
        <v/>
      </c>
      <c r="N698" s="19">
        <f>IF(I698="","",IFERROR(INDEX(ctaMon,MATCH(E698,ctaNom,0))&amp;"","DOP"))</f>
        <v/>
      </c>
      <c r="O698" s="20">
        <f>IF(I698="","",C698*IF(N698="USD",TasaUSD,1))</f>
        <v/>
      </c>
      <c r="P698" s="20">
        <f>IF(I698="","",IF(I698="Gasto",O698,0))</f>
        <v/>
      </c>
      <c r="Q698" s="20">
        <f>IF(I698="","",IF(I698="Ingreso",O698,0))</f>
        <v/>
      </c>
      <c r="R698" s="20">
        <f>IF(I698="","",IF(I698="Trading",O698,0))</f>
        <v/>
      </c>
      <c r="S698" s="19">
        <f>IF(I698="","",IF(AND(I698="Gasto",K698="Variable",J698&lt;&gt;"Trading",O698&gt;0,O698&lt;=Umbral),1,0))</f>
        <v/>
      </c>
      <c r="T698" s="20">
        <f>IF(OR(I698="",E698=""),"",IF(OR(I698="Gasto",I698="Transferencia",I698="Pago tarjeta"),-1,1)*C698)</f>
        <v/>
      </c>
      <c r="U698" s="20">
        <f>IF(OR(G698="",AND(I698&lt;&gt;"Transferencia",I698&lt;&gt;"Pago tarjeta")),"",IF(IFERROR(INDEX(ctaMon,MATCH(G698,ctaNom,0))&amp;"","DOP")=N698,C698,IF(N698="USD",C698*TasaUSD,C698/TasaUSD)))</f>
        <v/>
      </c>
      <c r="V698" s="20">
        <f>IF(I698="","",IF(IFERROR(INDEX(ctaLiq,MATCH(E698,ctaNom,0))="Sí",FALSE),IF(OR(I698="Gasto",I698="Transferencia",I698="Pago tarjeta"),-1,1)*O698,0)+IF(AND(U698&lt;&gt;"",IFERROR(INDEX(ctaLiq,MATCH(G698,ctaNom,0))="Sí",FALSE)),O698,0))</f>
        <v/>
      </c>
      <c r="W698" s="19">
        <f>IF(OR(F698="",I698=""),"",IF(COUNTIFS(F$6:F698,F698,I$6:I698,"?*")=1,MAX(W$5:W697)+1,""))</f>
        <v/>
      </c>
    </row>
    <row r="699">
      <c r="B699" s="15" t="n"/>
      <c r="C699" s="16" t="n"/>
      <c r="D699" s="17" t="n"/>
      <c r="E699" s="17" t="n"/>
      <c r="F699" s="17" t="n"/>
      <c r="G699" s="17" t="n"/>
      <c r="H699" s="18">
        <f>IF(AND(B699="",C699="",D699="",E699=""),"",IF(B699="","⚠ Falta fecha",IF(C699="","⚠ Falta monto",IF(D699="","⚠ Falta categoría",IF(ISNA(MATCH(D699,catNom,0)),"⚠ Categoría no existe",IF(E699="","⚠ Falta cuenta",IF(ISNA(MATCH(E699,ctaNom,0)),"⚠ Cuenta no existe",IF(AND(OR(I699="Transferencia",I699="Pago tarjeta"),G699=""),"⚠ Indica la cuenta «Hacia»",IF(AND(G699&lt;&gt;"",G699=E699),"⚠ «Hacia» igual a la cuenta",IF(AND(G699&lt;&gt;"",ISNA(MATCH(G699,ctaNom,0))),"⚠ «Hacia» no existe",IF(AND(I699="Pago tarjeta",IFERROR(INDEX(ctaTipo,MATCH(G699,ctaNom,0)),"")&lt;&gt;"Tarjeta de crédito"),"⚠ «Hacia» debe ser la tarjeta",IF(AND(I699="Trading",IFERROR(INDEX(ctaTipo,MATCH(E699,ctaNom,0)),"")&lt;&gt;"Cuenta de trading"),"⚠ Usa la cuenta de trading","✓"))))))))))))</f>
        <v/>
      </c>
      <c r="I699" s="19">
        <f>IF(OR(B699="",C699="",D699=""),"",IFERROR(INDEX(catTipo,MATCH(D699,catNom,0))&amp;"",""))</f>
        <v/>
      </c>
      <c r="J699" s="19">
        <f>IF(I699="","",IFERROR(INDEX(catGrupo,MATCH(D699,catNom,0))&amp;"",""))</f>
        <v/>
      </c>
      <c r="K699" s="19">
        <f>IF(I699="Gasto",IF(IFERROR(INDEX(catClas,MATCH(D699,catNom,0))&amp;"","")="","Variable",IFERROR(INDEX(catClas,MATCH(D699,catNom,0))&amp;"","")),"")</f>
        <v/>
      </c>
      <c r="L699" s="19">
        <f>IF(I699="","",IFERROR(INDEX(catAlim,MATCH(D699,catNom,0))&amp;"",""))</f>
        <v/>
      </c>
      <c r="M699" s="19">
        <f>IF(I699="","",IFERROR(INDEX(catComida,MATCH(D699,catNom,0))&amp;"",""))</f>
        <v/>
      </c>
      <c r="N699" s="19">
        <f>IF(I699="","",IFERROR(INDEX(ctaMon,MATCH(E699,ctaNom,0))&amp;"","DOP"))</f>
        <v/>
      </c>
      <c r="O699" s="20">
        <f>IF(I699="","",C699*IF(N699="USD",TasaUSD,1))</f>
        <v/>
      </c>
      <c r="P699" s="20">
        <f>IF(I699="","",IF(I699="Gasto",O699,0))</f>
        <v/>
      </c>
      <c r="Q699" s="20">
        <f>IF(I699="","",IF(I699="Ingreso",O699,0))</f>
        <v/>
      </c>
      <c r="R699" s="20">
        <f>IF(I699="","",IF(I699="Trading",O699,0))</f>
        <v/>
      </c>
      <c r="S699" s="19">
        <f>IF(I699="","",IF(AND(I699="Gasto",K699="Variable",J699&lt;&gt;"Trading",O699&gt;0,O699&lt;=Umbral),1,0))</f>
        <v/>
      </c>
      <c r="T699" s="20">
        <f>IF(OR(I699="",E699=""),"",IF(OR(I699="Gasto",I699="Transferencia",I699="Pago tarjeta"),-1,1)*C699)</f>
        <v/>
      </c>
      <c r="U699" s="20">
        <f>IF(OR(G699="",AND(I699&lt;&gt;"Transferencia",I699&lt;&gt;"Pago tarjeta")),"",IF(IFERROR(INDEX(ctaMon,MATCH(G699,ctaNom,0))&amp;"","DOP")=N699,C699,IF(N699="USD",C699*TasaUSD,C699/TasaUSD)))</f>
        <v/>
      </c>
      <c r="V699" s="20">
        <f>IF(I699="","",IF(IFERROR(INDEX(ctaLiq,MATCH(E699,ctaNom,0))="Sí",FALSE),IF(OR(I699="Gasto",I699="Transferencia",I699="Pago tarjeta"),-1,1)*O699,0)+IF(AND(U699&lt;&gt;"",IFERROR(INDEX(ctaLiq,MATCH(G699,ctaNom,0))="Sí",FALSE)),O699,0))</f>
        <v/>
      </c>
      <c r="W699" s="19">
        <f>IF(OR(F699="",I699=""),"",IF(COUNTIFS(F$6:F699,F699,I$6:I699,"?*")=1,MAX(W$5:W698)+1,""))</f>
        <v/>
      </c>
    </row>
    <row r="700">
      <c r="B700" s="15" t="n"/>
      <c r="C700" s="16" t="n"/>
      <c r="D700" s="17" t="n"/>
      <c r="E700" s="17" t="n"/>
      <c r="F700" s="17" t="n"/>
      <c r="G700" s="17" t="n"/>
      <c r="H700" s="18">
        <f>IF(AND(B700="",C700="",D700="",E700=""),"",IF(B700="","⚠ Falta fecha",IF(C700="","⚠ Falta monto",IF(D700="","⚠ Falta categoría",IF(ISNA(MATCH(D700,catNom,0)),"⚠ Categoría no existe",IF(E700="","⚠ Falta cuenta",IF(ISNA(MATCH(E700,ctaNom,0)),"⚠ Cuenta no existe",IF(AND(OR(I700="Transferencia",I700="Pago tarjeta"),G700=""),"⚠ Indica la cuenta «Hacia»",IF(AND(G700&lt;&gt;"",G700=E700),"⚠ «Hacia» igual a la cuenta",IF(AND(G700&lt;&gt;"",ISNA(MATCH(G700,ctaNom,0))),"⚠ «Hacia» no existe",IF(AND(I700="Pago tarjeta",IFERROR(INDEX(ctaTipo,MATCH(G700,ctaNom,0)),"")&lt;&gt;"Tarjeta de crédito"),"⚠ «Hacia» debe ser la tarjeta",IF(AND(I700="Trading",IFERROR(INDEX(ctaTipo,MATCH(E700,ctaNom,0)),"")&lt;&gt;"Cuenta de trading"),"⚠ Usa la cuenta de trading","✓"))))))))))))</f>
        <v/>
      </c>
      <c r="I700" s="19">
        <f>IF(OR(B700="",C700="",D700=""),"",IFERROR(INDEX(catTipo,MATCH(D700,catNom,0))&amp;"",""))</f>
        <v/>
      </c>
      <c r="J700" s="19">
        <f>IF(I700="","",IFERROR(INDEX(catGrupo,MATCH(D700,catNom,0))&amp;"",""))</f>
        <v/>
      </c>
      <c r="K700" s="19">
        <f>IF(I700="Gasto",IF(IFERROR(INDEX(catClas,MATCH(D700,catNom,0))&amp;"","")="","Variable",IFERROR(INDEX(catClas,MATCH(D700,catNom,0))&amp;"","")),"")</f>
        <v/>
      </c>
      <c r="L700" s="19">
        <f>IF(I700="","",IFERROR(INDEX(catAlim,MATCH(D700,catNom,0))&amp;"",""))</f>
        <v/>
      </c>
      <c r="M700" s="19">
        <f>IF(I700="","",IFERROR(INDEX(catComida,MATCH(D700,catNom,0))&amp;"",""))</f>
        <v/>
      </c>
      <c r="N700" s="19">
        <f>IF(I700="","",IFERROR(INDEX(ctaMon,MATCH(E700,ctaNom,0))&amp;"","DOP"))</f>
        <v/>
      </c>
      <c r="O700" s="20">
        <f>IF(I700="","",C700*IF(N700="USD",TasaUSD,1))</f>
        <v/>
      </c>
      <c r="P700" s="20">
        <f>IF(I700="","",IF(I700="Gasto",O700,0))</f>
        <v/>
      </c>
      <c r="Q700" s="20">
        <f>IF(I700="","",IF(I700="Ingreso",O700,0))</f>
        <v/>
      </c>
      <c r="R700" s="20">
        <f>IF(I700="","",IF(I700="Trading",O700,0))</f>
        <v/>
      </c>
      <c r="S700" s="19">
        <f>IF(I700="","",IF(AND(I700="Gasto",K700="Variable",J700&lt;&gt;"Trading",O700&gt;0,O700&lt;=Umbral),1,0))</f>
        <v/>
      </c>
      <c r="T700" s="20">
        <f>IF(OR(I700="",E700=""),"",IF(OR(I700="Gasto",I700="Transferencia",I700="Pago tarjeta"),-1,1)*C700)</f>
        <v/>
      </c>
      <c r="U700" s="20">
        <f>IF(OR(G700="",AND(I700&lt;&gt;"Transferencia",I700&lt;&gt;"Pago tarjeta")),"",IF(IFERROR(INDEX(ctaMon,MATCH(G700,ctaNom,0))&amp;"","DOP")=N700,C700,IF(N700="USD",C700*TasaUSD,C700/TasaUSD)))</f>
        <v/>
      </c>
      <c r="V700" s="20">
        <f>IF(I700="","",IF(IFERROR(INDEX(ctaLiq,MATCH(E700,ctaNom,0))="Sí",FALSE),IF(OR(I700="Gasto",I700="Transferencia",I700="Pago tarjeta"),-1,1)*O700,0)+IF(AND(U700&lt;&gt;"",IFERROR(INDEX(ctaLiq,MATCH(G700,ctaNom,0))="Sí",FALSE)),O700,0))</f>
        <v/>
      </c>
      <c r="W700" s="19">
        <f>IF(OR(F700="",I700=""),"",IF(COUNTIFS(F$6:F700,F700,I$6:I700,"?*")=1,MAX(W$5:W699)+1,""))</f>
        <v/>
      </c>
    </row>
    <row r="701">
      <c r="B701" s="15" t="n"/>
      <c r="C701" s="16" t="n"/>
      <c r="D701" s="17" t="n"/>
      <c r="E701" s="17" t="n"/>
      <c r="F701" s="17" t="n"/>
      <c r="G701" s="17" t="n"/>
      <c r="H701" s="18">
        <f>IF(AND(B701="",C701="",D701="",E701=""),"",IF(B701="","⚠ Falta fecha",IF(C701="","⚠ Falta monto",IF(D701="","⚠ Falta categoría",IF(ISNA(MATCH(D701,catNom,0)),"⚠ Categoría no existe",IF(E701="","⚠ Falta cuenta",IF(ISNA(MATCH(E701,ctaNom,0)),"⚠ Cuenta no existe",IF(AND(OR(I701="Transferencia",I701="Pago tarjeta"),G701=""),"⚠ Indica la cuenta «Hacia»",IF(AND(G701&lt;&gt;"",G701=E701),"⚠ «Hacia» igual a la cuenta",IF(AND(G701&lt;&gt;"",ISNA(MATCH(G701,ctaNom,0))),"⚠ «Hacia» no existe",IF(AND(I701="Pago tarjeta",IFERROR(INDEX(ctaTipo,MATCH(G701,ctaNom,0)),"")&lt;&gt;"Tarjeta de crédito"),"⚠ «Hacia» debe ser la tarjeta",IF(AND(I701="Trading",IFERROR(INDEX(ctaTipo,MATCH(E701,ctaNom,0)),"")&lt;&gt;"Cuenta de trading"),"⚠ Usa la cuenta de trading","✓"))))))))))))</f>
        <v/>
      </c>
      <c r="I701" s="19">
        <f>IF(OR(B701="",C701="",D701=""),"",IFERROR(INDEX(catTipo,MATCH(D701,catNom,0))&amp;"",""))</f>
        <v/>
      </c>
      <c r="J701" s="19">
        <f>IF(I701="","",IFERROR(INDEX(catGrupo,MATCH(D701,catNom,0))&amp;"",""))</f>
        <v/>
      </c>
      <c r="K701" s="19">
        <f>IF(I701="Gasto",IF(IFERROR(INDEX(catClas,MATCH(D701,catNom,0))&amp;"","")="","Variable",IFERROR(INDEX(catClas,MATCH(D701,catNom,0))&amp;"","")),"")</f>
        <v/>
      </c>
      <c r="L701" s="19">
        <f>IF(I701="","",IFERROR(INDEX(catAlim,MATCH(D701,catNom,0))&amp;"",""))</f>
        <v/>
      </c>
      <c r="M701" s="19">
        <f>IF(I701="","",IFERROR(INDEX(catComida,MATCH(D701,catNom,0))&amp;"",""))</f>
        <v/>
      </c>
      <c r="N701" s="19">
        <f>IF(I701="","",IFERROR(INDEX(ctaMon,MATCH(E701,ctaNom,0))&amp;"","DOP"))</f>
        <v/>
      </c>
      <c r="O701" s="20">
        <f>IF(I701="","",C701*IF(N701="USD",TasaUSD,1))</f>
        <v/>
      </c>
      <c r="P701" s="20">
        <f>IF(I701="","",IF(I701="Gasto",O701,0))</f>
        <v/>
      </c>
      <c r="Q701" s="20">
        <f>IF(I701="","",IF(I701="Ingreso",O701,0))</f>
        <v/>
      </c>
      <c r="R701" s="20">
        <f>IF(I701="","",IF(I701="Trading",O701,0))</f>
        <v/>
      </c>
      <c r="S701" s="19">
        <f>IF(I701="","",IF(AND(I701="Gasto",K701="Variable",J701&lt;&gt;"Trading",O701&gt;0,O701&lt;=Umbral),1,0))</f>
        <v/>
      </c>
      <c r="T701" s="20">
        <f>IF(OR(I701="",E701=""),"",IF(OR(I701="Gasto",I701="Transferencia",I701="Pago tarjeta"),-1,1)*C701)</f>
        <v/>
      </c>
      <c r="U701" s="20">
        <f>IF(OR(G701="",AND(I701&lt;&gt;"Transferencia",I701&lt;&gt;"Pago tarjeta")),"",IF(IFERROR(INDEX(ctaMon,MATCH(G701,ctaNom,0))&amp;"","DOP")=N701,C701,IF(N701="USD",C701*TasaUSD,C701/TasaUSD)))</f>
        <v/>
      </c>
      <c r="V701" s="20">
        <f>IF(I701="","",IF(IFERROR(INDEX(ctaLiq,MATCH(E701,ctaNom,0))="Sí",FALSE),IF(OR(I701="Gasto",I701="Transferencia",I701="Pago tarjeta"),-1,1)*O701,0)+IF(AND(U701&lt;&gt;"",IFERROR(INDEX(ctaLiq,MATCH(G701,ctaNom,0))="Sí",FALSE)),O701,0))</f>
        <v/>
      </c>
      <c r="W701" s="19">
        <f>IF(OR(F701="",I701=""),"",IF(COUNTIFS(F$6:F701,F701,I$6:I701,"?*")=1,MAX(W$5:W700)+1,""))</f>
        <v/>
      </c>
    </row>
    <row r="702">
      <c r="B702" s="15" t="n"/>
      <c r="C702" s="16" t="n"/>
      <c r="D702" s="17" t="n"/>
      <c r="E702" s="17" t="n"/>
      <c r="F702" s="17" t="n"/>
      <c r="G702" s="17" t="n"/>
      <c r="H702" s="18">
        <f>IF(AND(B702="",C702="",D702="",E702=""),"",IF(B702="","⚠ Falta fecha",IF(C702="","⚠ Falta monto",IF(D702="","⚠ Falta categoría",IF(ISNA(MATCH(D702,catNom,0)),"⚠ Categoría no existe",IF(E702="","⚠ Falta cuenta",IF(ISNA(MATCH(E702,ctaNom,0)),"⚠ Cuenta no existe",IF(AND(OR(I702="Transferencia",I702="Pago tarjeta"),G702=""),"⚠ Indica la cuenta «Hacia»",IF(AND(G702&lt;&gt;"",G702=E702),"⚠ «Hacia» igual a la cuenta",IF(AND(G702&lt;&gt;"",ISNA(MATCH(G702,ctaNom,0))),"⚠ «Hacia» no existe",IF(AND(I702="Pago tarjeta",IFERROR(INDEX(ctaTipo,MATCH(G702,ctaNom,0)),"")&lt;&gt;"Tarjeta de crédito"),"⚠ «Hacia» debe ser la tarjeta",IF(AND(I702="Trading",IFERROR(INDEX(ctaTipo,MATCH(E702,ctaNom,0)),"")&lt;&gt;"Cuenta de trading"),"⚠ Usa la cuenta de trading","✓"))))))))))))</f>
        <v/>
      </c>
      <c r="I702" s="19">
        <f>IF(OR(B702="",C702="",D702=""),"",IFERROR(INDEX(catTipo,MATCH(D702,catNom,0))&amp;"",""))</f>
        <v/>
      </c>
      <c r="J702" s="19">
        <f>IF(I702="","",IFERROR(INDEX(catGrupo,MATCH(D702,catNom,0))&amp;"",""))</f>
        <v/>
      </c>
      <c r="K702" s="19">
        <f>IF(I702="Gasto",IF(IFERROR(INDEX(catClas,MATCH(D702,catNom,0))&amp;"","")="","Variable",IFERROR(INDEX(catClas,MATCH(D702,catNom,0))&amp;"","")),"")</f>
        <v/>
      </c>
      <c r="L702" s="19">
        <f>IF(I702="","",IFERROR(INDEX(catAlim,MATCH(D702,catNom,0))&amp;"",""))</f>
        <v/>
      </c>
      <c r="M702" s="19">
        <f>IF(I702="","",IFERROR(INDEX(catComida,MATCH(D702,catNom,0))&amp;"",""))</f>
        <v/>
      </c>
      <c r="N702" s="19">
        <f>IF(I702="","",IFERROR(INDEX(ctaMon,MATCH(E702,ctaNom,0))&amp;"","DOP"))</f>
        <v/>
      </c>
      <c r="O702" s="20">
        <f>IF(I702="","",C702*IF(N702="USD",TasaUSD,1))</f>
        <v/>
      </c>
      <c r="P702" s="20">
        <f>IF(I702="","",IF(I702="Gasto",O702,0))</f>
        <v/>
      </c>
      <c r="Q702" s="20">
        <f>IF(I702="","",IF(I702="Ingreso",O702,0))</f>
        <v/>
      </c>
      <c r="R702" s="20">
        <f>IF(I702="","",IF(I702="Trading",O702,0))</f>
        <v/>
      </c>
      <c r="S702" s="19">
        <f>IF(I702="","",IF(AND(I702="Gasto",K702="Variable",J702&lt;&gt;"Trading",O702&gt;0,O702&lt;=Umbral),1,0))</f>
        <v/>
      </c>
      <c r="T702" s="20">
        <f>IF(OR(I702="",E702=""),"",IF(OR(I702="Gasto",I702="Transferencia",I702="Pago tarjeta"),-1,1)*C702)</f>
        <v/>
      </c>
      <c r="U702" s="20">
        <f>IF(OR(G702="",AND(I702&lt;&gt;"Transferencia",I702&lt;&gt;"Pago tarjeta")),"",IF(IFERROR(INDEX(ctaMon,MATCH(G702,ctaNom,0))&amp;"","DOP")=N702,C702,IF(N702="USD",C702*TasaUSD,C702/TasaUSD)))</f>
        <v/>
      </c>
      <c r="V702" s="20">
        <f>IF(I702="","",IF(IFERROR(INDEX(ctaLiq,MATCH(E702,ctaNom,0))="Sí",FALSE),IF(OR(I702="Gasto",I702="Transferencia",I702="Pago tarjeta"),-1,1)*O702,0)+IF(AND(U702&lt;&gt;"",IFERROR(INDEX(ctaLiq,MATCH(G702,ctaNom,0))="Sí",FALSE)),O702,0))</f>
        <v/>
      </c>
      <c r="W702" s="19">
        <f>IF(OR(F702="",I702=""),"",IF(COUNTIFS(F$6:F702,F702,I$6:I702,"?*")=1,MAX(W$5:W701)+1,""))</f>
        <v/>
      </c>
    </row>
    <row r="703">
      <c r="B703" s="15" t="n"/>
      <c r="C703" s="16" t="n"/>
      <c r="D703" s="17" t="n"/>
      <c r="E703" s="17" t="n"/>
      <c r="F703" s="17" t="n"/>
      <c r="G703" s="17" t="n"/>
      <c r="H703" s="18">
        <f>IF(AND(B703="",C703="",D703="",E703=""),"",IF(B703="","⚠ Falta fecha",IF(C703="","⚠ Falta monto",IF(D703="","⚠ Falta categoría",IF(ISNA(MATCH(D703,catNom,0)),"⚠ Categoría no existe",IF(E703="","⚠ Falta cuenta",IF(ISNA(MATCH(E703,ctaNom,0)),"⚠ Cuenta no existe",IF(AND(OR(I703="Transferencia",I703="Pago tarjeta"),G703=""),"⚠ Indica la cuenta «Hacia»",IF(AND(G703&lt;&gt;"",G703=E703),"⚠ «Hacia» igual a la cuenta",IF(AND(G703&lt;&gt;"",ISNA(MATCH(G703,ctaNom,0))),"⚠ «Hacia» no existe",IF(AND(I703="Pago tarjeta",IFERROR(INDEX(ctaTipo,MATCH(G703,ctaNom,0)),"")&lt;&gt;"Tarjeta de crédito"),"⚠ «Hacia» debe ser la tarjeta",IF(AND(I703="Trading",IFERROR(INDEX(ctaTipo,MATCH(E703,ctaNom,0)),"")&lt;&gt;"Cuenta de trading"),"⚠ Usa la cuenta de trading","✓"))))))))))))</f>
        <v/>
      </c>
      <c r="I703" s="19">
        <f>IF(OR(B703="",C703="",D703=""),"",IFERROR(INDEX(catTipo,MATCH(D703,catNom,0))&amp;"",""))</f>
        <v/>
      </c>
      <c r="J703" s="19">
        <f>IF(I703="","",IFERROR(INDEX(catGrupo,MATCH(D703,catNom,0))&amp;"",""))</f>
        <v/>
      </c>
      <c r="K703" s="19">
        <f>IF(I703="Gasto",IF(IFERROR(INDEX(catClas,MATCH(D703,catNom,0))&amp;"","")="","Variable",IFERROR(INDEX(catClas,MATCH(D703,catNom,0))&amp;"","")),"")</f>
        <v/>
      </c>
      <c r="L703" s="19">
        <f>IF(I703="","",IFERROR(INDEX(catAlim,MATCH(D703,catNom,0))&amp;"",""))</f>
        <v/>
      </c>
      <c r="M703" s="19">
        <f>IF(I703="","",IFERROR(INDEX(catComida,MATCH(D703,catNom,0))&amp;"",""))</f>
        <v/>
      </c>
      <c r="N703" s="19">
        <f>IF(I703="","",IFERROR(INDEX(ctaMon,MATCH(E703,ctaNom,0))&amp;"","DOP"))</f>
        <v/>
      </c>
      <c r="O703" s="20">
        <f>IF(I703="","",C703*IF(N703="USD",TasaUSD,1))</f>
        <v/>
      </c>
      <c r="P703" s="20">
        <f>IF(I703="","",IF(I703="Gasto",O703,0))</f>
        <v/>
      </c>
      <c r="Q703" s="20">
        <f>IF(I703="","",IF(I703="Ingreso",O703,0))</f>
        <v/>
      </c>
      <c r="R703" s="20">
        <f>IF(I703="","",IF(I703="Trading",O703,0))</f>
        <v/>
      </c>
      <c r="S703" s="19">
        <f>IF(I703="","",IF(AND(I703="Gasto",K703="Variable",J703&lt;&gt;"Trading",O703&gt;0,O703&lt;=Umbral),1,0))</f>
        <v/>
      </c>
      <c r="T703" s="20">
        <f>IF(OR(I703="",E703=""),"",IF(OR(I703="Gasto",I703="Transferencia",I703="Pago tarjeta"),-1,1)*C703)</f>
        <v/>
      </c>
      <c r="U703" s="20">
        <f>IF(OR(G703="",AND(I703&lt;&gt;"Transferencia",I703&lt;&gt;"Pago tarjeta")),"",IF(IFERROR(INDEX(ctaMon,MATCH(G703,ctaNom,0))&amp;"","DOP")=N703,C703,IF(N703="USD",C703*TasaUSD,C703/TasaUSD)))</f>
        <v/>
      </c>
      <c r="V703" s="20">
        <f>IF(I703="","",IF(IFERROR(INDEX(ctaLiq,MATCH(E703,ctaNom,0))="Sí",FALSE),IF(OR(I703="Gasto",I703="Transferencia",I703="Pago tarjeta"),-1,1)*O703,0)+IF(AND(U703&lt;&gt;"",IFERROR(INDEX(ctaLiq,MATCH(G703,ctaNom,0))="Sí",FALSE)),O703,0))</f>
        <v/>
      </c>
      <c r="W703" s="19">
        <f>IF(OR(F703="",I703=""),"",IF(COUNTIFS(F$6:F703,F703,I$6:I703,"?*")=1,MAX(W$5:W702)+1,""))</f>
        <v/>
      </c>
    </row>
    <row r="704">
      <c r="B704" s="15" t="n"/>
      <c r="C704" s="16" t="n"/>
      <c r="D704" s="17" t="n"/>
      <c r="E704" s="17" t="n"/>
      <c r="F704" s="17" t="n"/>
      <c r="G704" s="17" t="n"/>
      <c r="H704" s="18">
        <f>IF(AND(B704="",C704="",D704="",E704=""),"",IF(B704="","⚠ Falta fecha",IF(C704="","⚠ Falta monto",IF(D704="","⚠ Falta categoría",IF(ISNA(MATCH(D704,catNom,0)),"⚠ Categoría no existe",IF(E704="","⚠ Falta cuenta",IF(ISNA(MATCH(E704,ctaNom,0)),"⚠ Cuenta no existe",IF(AND(OR(I704="Transferencia",I704="Pago tarjeta"),G704=""),"⚠ Indica la cuenta «Hacia»",IF(AND(G704&lt;&gt;"",G704=E704),"⚠ «Hacia» igual a la cuenta",IF(AND(G704&lt;&gt;"",ISNA(MATCH(G704,ctaNom,0))),"⚠ «Hacia» no existe",IF(AND(I704="Pago tarjeta",IFERROR(INDEX(ctaTipo,MATCH(G704,ctaNom,0)),"")&lt;&gt;"Tarjeta de crédito"),"⚠ «Hacia» debe ser la tarjeta",IF(AND(I704="Trading",IFERROR(INDEX(ctaTipo,MATCH(E704,ctaNom,0)),"")&lt;&gt;"Cuenta de trading"),"⚠ Usa la cuenta de trading","✓"))))))))))))</f>
        <v/>
      </c>
      <c r="I704" s="19">
        <f>IF(OR(B704="",C704="",D704=""),"",IFERROR(INDEX(catTipo,MATCH(D704,catNom,0))&amp;"",""))</f>
        <v/>
      </c>
      <c r="J704" s="19">
        <f>IF(I704="","",IFERROR(INDEX(catGrupo,MATCH(D704,catNom,0))&amp;"",""))</f>
        <v/>
      </c>
      <c r="K704" s="19">
        <f>IF(I704="Gasto",IF(IFERROR(INDEX(catClas,MATCH(D704,catNom,0))&amp;"","")="","Variable",IFERROR(INDEX(catClas,MATCH(D704,catNom,0))&amp;"","")),"")</f>
        <v/>
      </c>
      <c r="L704" s="19">
        <f>IF(I704="","",IFERROR(INDEX(catAlim,MATCH(D704,catNom,0))&amp;"",""))</f>
        <v/>
      </c>
      <c r="M704" s="19">
        <f>IF(I704="","",IFERROR(INDEX(catComida,MATCH(D704,catNom,0))&amp;"",""))</f>
        <v/>
      </c>
      <c r="N704" s="19">
        <f>IF(I704="","",IFERROR(INDEX(ctaMon,MATCH(E704,ctaNom,0))&amp;"","DOP"))</f>
        <v/>
      </c>
      <c r="O704" s="20">
        <f>IF(I704="","",C704*IF(N704="USD",TasaUSD,1))</f>
        <v/>
      </c>
      <c r="P704" s="20">
        <f>IF(I704="","",IF(I704="Gasto",O704,0))</f>
        <v/>
      </c>
      <c r="Q704" s="20">
        <f>IF(I704="","",IF(I704="Ingreso",O704,0))</f>
        <v/>
      </c>
      <c r="R704" s="20">
        <f>IF(I704="","",IF(I704="Trading",O704,0))</f>
        <v/>
      </c>
      <c r="S704" s="19">
        <f>IF(I704="","",IF(AND(I704="Gasto",K704="Variable",J704&lt;&gt;"Trading",O704&gt;0,O704&lt;=Umbral),1,0))</f>
        <v/>
      </c>
      <c r="T704" s="20">
        <f>IF(OR(I704="",E704=""),"",IF(OR(I704="Gasto",I704="Transferencia",I704="Pago tarjeta"),-1,1)*C704)</f>
        <v/>
      </c>
      <c r="U704" s="20">
        <f>IF(OR(G704="",AND(I704&lt;&gt;"Transferencia",I704&lt;&gt;"Pago tarjeta")),"",IF(IFERROR(INDEX(ctaMon,MATCH(G704,ctaNom,0))&amp;"","DOP")=N704,C704,IF(N704="USD",C704*TasaUSD,C704/TasaUSD)))</f>
        <v/>
      </c>
      <c r="V704" s="20">
        <f>IF(I704="","",IF(IFERROR(INDEX(ctaLiq,MATCH(E704,ctaNom,0))="Sí",FALSE),IF(OR(I704="Gasto",I704="Transferencia",I704="Pago tarjeta"),-1,1)*O704,0)+IF(AND(U704&lt;&gt;"",IFERROR(INDEX(ctaLiq,MATCH(G704,ctaNom,0))="Sí",FALSE)),O704,0))</f>
        <v/>
      </c>
      <c r="W704" s="19">
        <f>IF(OR(F704="",I704=""),"",IF(COUNTIFS(F$6:F704,F704,I$6:I704,"?*")=1,MAX(W$5:W703)+1,""))</f>
        <v/>
      </c>
    </row>
    <row r="705">
      <c r="B705" s="15" t="n"/>
      <c r="C705" s="16" t="n"/>
      <c r="D705" s="17" t="n"/>
      <c r="E705" s="17" t="n"/>
      <c r="F705" s="17" t="n"/>
      <c r="G705" s="17" t="n"/>
      <c r="H705" s="18">
        <f>IF(AND(B705="",C705="",D705="",E705=""),"",IF(B705="","⚠ Falta fecha",IF(C705="","⚠ Falta monto",IF(D705="","⚠ Falta categoría",IF(ISNA(MATCH(D705,catNom,0)),"⚠ Categoría no existe",IF(E705="","⚠ Falta cuenta",IF(ISNA(MATCH(E705,ctaNom,0)),"⚠ Cuenta no existe",IF(AND(OR(I705="Transferencia",I705="Pago tarjeta"),G705=""),"⚠ Indica la cuenta «Hacia»",IF(AND(G705&lt;&gt;"",G705=E705),"⚠ «Hacia» igual a la cuenta",IF(AND(G705&lt;&gt;"",ISNA(MATCH(G705,ctaNom,0))),"⚠ «Hacia» no existe",IF(AND(I705="Pago tarjeta",IFERROR(INDEX(ctaTipo,MATCH(G705,ctaNom,0)),"")&lt;&gt;"Tarjeta de crédito"),"⚠ «Hacia» debe ser la tarjeta",IF(AND(I705="Trading",IFERROR(INDEX(ctaTipo,MATCH(E705,ctaNom,0)),"")&lt;&gt;"Cuenta de trading"),"⚠ Usa la cuenta de trading","✓"))))))))))))</f>
        <v/>
      </c>
      <c r="I705" s="19">
        <f>IF(OR(B705="",C705="",D705=""),"",IFERROR(INDEX(catTipo,MATCH(D705,catNom,0))&amp;"",""))</f>
        <v/>
      </c>
      <c r="J705" s="19">
        <f>IF(I705="","",IFERROR(INDEX(catGrupo,MATCH(D705,catNom,0))&amp;"",""))</f>
        <v/>
      </c>
      <c r="K705" s="19">
        <f>IF(I705="Gasto",IF(IFERROR(INDEX(catClas,MATCH(D705,catNom,0))&amp;"","")="","Variable",IFERROR(INDEX(catClas,MATCH(D705,catNom,0))&amp;"","")),"")</f>
        <v/>
      </c>
      <c r="L705" s="19">
        <f>IF(I705="","",IFERROR(INDEX(catAlim,MATCH(D705,catNom,0))&amp;"",""))</f>
        <v/>
      </c>
      <c r="M705" s="19">
        <f>IF(I705="","",IFERROR(INDEX(catComida,MATCH(D705,catNom,0))&amp;"",""))</f>
        <v/>
      </c>
      <c r="N705" s="19">
        <f>IF(I705="","",IFERROR(INDEX(ctaMon,MATCH(E705,ctaNom,0))&amp;"","DOP"))</f>
        <v/>
      </c>
      <c r="O705" s="20">
        <f>IF(I705="","",C705*IF(N705="USD",TasaUSD,1))</f>
        <v/>
      </c>
      <c r="P705" s="20">
        <f>IF(I705="","",IF(I705="Gasto",O705,0))</f>
        <v/>
      </c>
      <c r="Q705" s="20">
        <f>IF(I705="","",IF(I705="Ingreso",O705,0))</f>
        <v/>
      </c>
      <c r="R705" s="20">
        <f>IF(I705="","",IF(I705="Trading",O705,0))</f>
        <v/>
      </c>
      <c r="S705" s="19">
        <f>IF(I705="","",IF(AND(I705="Gasto",K705="Variable",J705&lt;&gt;"Trading",O705&gt;0,O705&lt;=Umbral),1,0))</f>
        <v/>
      </c>
      <c r="T705" s="20">
        <f>IF(OR(I705="",E705=""),"",IF(OR(I705="Gasto",I705="Transferencia",I705="Pago tarjeta"),-1,1)*C705)</f>
        <v/>
      </c>
      <c r="U705" s="20">
        <f>IF(OR(G705="",AND(I705&lt;&gt;"Transferencia",I705&lt;&gt;"Pago tarjeta")),"",IF(IFERROR(INDEX(ctaMon,MATCH(G705,ctaNom,0))&amp;"","DOP")=N705,C705,IF(N705="USD",C705*TasaUSD,C705/TasaUSD)))</f>
        <v/>
      </c>
      <c r="V705" s="20">
        <f>IF(I705="","",IF(IFERROR(INDEX(ctaLiq,MATCH(E705,ctaNom,0))="Sí",FALSE),IF(OR(I705="Gasto",I705="Transferencia",I705="Pago tarjeta"),-1,1)*O705,0)+IF(AND(U705&lt;&gt;"",IFERROR(INDEX(ctaLiq,MATCH(G705,ctaNom,0))="Sí",FALSE)),O705,0))</f>
        <v/>
      </c>
      <c r="W705" s="19">
        <f>IF(OR(F705="",I705=""),"",IF(COUNTIFS(F$6:F705,F705,I$6:I705,"?*")=1,MAX(W$5:W704)+1,""))</f>
        <v/>
      </c>
    </row>
    <row r="706">
      <c r="B706" s="15" t="n"/>
      <c r="C706" s="16" t="n"/>
      <c r="D706" s="17" t="n"/>
      <c r="E706" s="17" t="n"/>
      <c r="F706" s="17" t="n"/>
      <c r="G706" s="17" t="n"/>
      <c r="H706" s="18">
        <f>IF(AND(B706="",C706="",D706="",E706=""),"",IF(B706="","⚠ Falta fecha",IF(C706="","⚠ Falta monto",IF(D706="","⚠ Falta categoría",IF(ISNA(MATCH(D706,catNom,0)),"⚠ Categoría no existe",IF(E706="","⚠ Falta cuenta",IF(ISNA(MATCH(E706,ctaNom,0)),"⚠ Cuenta no existe",IF(AND(OR(I706="Transferencia",I706="Pago tarjeta"),G706=""),"⚠ Indica la cuenta «Hacia»",IF(AND(G706&lt;&gt;"",G706=E706),"⚠ «Hacia» igual a la cuenta",IF(AND(G706&lt;&gt;"",ISNA(MATCH(G706,ctaNom,0))),"⚠ «Hacia» no existe",IF(AND(I706="Pago tarjeta",IFERROR(INDEX(ctaTipo,MATCH(G706,ctaNom,0)),"")&lt;&gt;"Tarjeta de crédito"),"⚠ «Hacia» debe ser la tarjeta",IF(AND(I706="Trading",IFERROR(INDEX(ctaTipo,MATCH(E706,ctaNom,0)),"")&lt;&gt;"Cuenta de trading"),"⚠ Usa la cuenta de trading","✓"))))))))))))</f>
        <v/>
      </c>
      <c r="I706" s="19">
        <f>IF(OR(B706="",C706="",D706=""),"",IFERROR(INDEX(catTipo,MATCH(D706,catNom,0))&amp;"",""))</f>
        <v/>
      </c>
      <c r="J706" s="19">
        <f>IF(I706="","",IFERROR(INDEX(catGrupo,MATCH(D706,catNom,0))&amp;"",""))</f>
        <v/>
      </c>
      <c r="K706" s="19">
        <f>IF(I706="Gasto",IF(IFERROR(INDEX(catClas,MATCH(D706,catNom,0))&amp;"","")="","Variable",IFERROR(INDEX(catClas,MATCH(D706,catNom,0))&amp;"","")),"")</f>
        <v/>
      </c>
      <c r="L706" s="19">
        <f>IF(I706="","",IFERROR(INDEX(catAlim,MATCH(D706,catNom,0))&amp;"",""))</f>
        <v/>
      </c>
      <c r="M706" s="19">
        <f>IF(I706="","",IFERROR(INDEX(catComida,MATCH(D706,catNom,0))&amp;"",""))</f>
        <v/>
      </c>
      <c r="N706" s="19">
        <f>IF(I706="","",IFERROR(INDEX(ctaMon,MATCH(E706,ctaNom,0))&amp;"","DOP"))</f>
        <v/>
      </c>
      <c r="O706" s="20">
        <f>IF(I706="","",C706*IF(N706="USD",TasaUSD,1))</f>
        <v/>
      </c>
      <c r="P706" s="20">
        <f>IF(I706="","",IF(I706="Gasto",O706,0))</f>
        <v/>
      </c>
      <c r="Q706" s="20">
        <f>IF(I706="","",IF(I706="Ingreso",O706,0))</f>
        <v/>
      </c>
      <c r="R706" s="20">
        <f>IF(I706="","",IF(I706="Trading",O706,0))</f>
        <v/>
      </c>
      <c r="S706" s="19">
        <f>IF(I706="","",IF(AND(I706="Gasto",K706="Variable",J706&lt;&gt;"Trading",O706&gt;0,O706&lt;=Umbral),1,0))</f>
        <v/>
      </c>
      <c r="T706" s="20">
        <f>IF(OR(I706="",E706=""),"",IF(OR(I706="Gasto",I706="Transferencia",I706="Pago tarjeta"),-1,1)*C706)</f>
        <v/>
      </c>
      <c r="U706" s="20">
        <f>IF(OR(G706="",AND(I706&lt;&gt;"Transferencia",I706&lt;&gt;"Pago tarjeta")),"",IF(IFERROR(INDEX(ctaMon,MATCH(G706,ctaNom,0))&amp;"","DOP")=N706,C706,IF(N706="USD",C706*TasaUSD,C706/TasaUSD)))</f>
        <v/>
      </c>
      <c r="V706" s="20">
        <f>IF(I706="","",IF(IFERROR(INDEX(ctaLiq,MATCH(E706,ctaNom,0))="Sí",FALSE),IF(OR(I706="Gasto",I706="Transferencia",I706="Pago tarjeta"),-1,1)*O706,0)+IF(AND(U706&lt;&gt;"",IFERROR(INDEX(ctaLiq,MATCH(G706,ctaNom,0))="Sí",FALSE)),O706,0))</f>
        <v/>
      </c>
      <c r="W706" s="19">
        <f>IF(OR(F706="",I706=""),"",IF(COUNTIFS(F$6:F706,F706,I$6:I706,"?*")=1,MAX(W$5:W705)+1,""))</f>
        <v/>
      </c>
    </row>
    <row r="707">
      <c r="B707" s="15" t="n"/>
      <c r="C707" s="16" t="n"/>
      <c r="D707" s="17" t="n"/>
      <c r="E707" s="17" t="n"/>
      <c r="F707" s="17" t="n"/>
      <c r="G707" s="17" t="n"/>
      <c r="H707" s="18">
        <f>IF(AND(B707="",C707="",D707="",E707=""),"",IF(B707="","⚠ Falta fecha",IF(C707="","⚠ Falta monto",IF(D707="","⚠ Falta categoría",IF(ISNA(MATCH(D707,catNom,0)),"⚠ Categoría no existe",IF(E707="","⚠ Falta cuenta",IF(ISNA(MATCH(E707,ctaNom,0)),"⚠ Cuenta no existe",IF(AND(OR(I707="Transferencia",I707="Pago tarjeta"),G707=""),"⚠ Indica la cuenta «Hacia»",IF(AND(G707&lt;&gt;"",G707=E707),"⚠ «Hacia» igual a la cuenta",IF(AND(G707&lt;&gt;"",ISNA(MATCH(G707,ctaNom,0))),"⚠ «Hacia» no existe",IF(AND(I707="Pago tarjeta",IFERROR(INDEX(ctaTipo,MATCH(G707,ctaNom,0)),"")&lt;&gt;"Tarjeta de crédito"),"⚠ «Hacia» debe ser la tarjeta",IF(AND(I707="Trading",IFERROR(INDEX(ctaTipo,MATCH(E707,ctaNom,0)),"")&lt;&gt;"Cuenta de trading"),"⚠ Usa la cuenta de trading","✓"))))))))))))</f>
        <v/>
      </c>
      <c r="I707" s="19">
        <f>IF(OR(B707="",C707="",D707=""),"",IFERROR(INDEX(catTipo,MATCH(D707,catNom,0))&amp;"",""))</f>
        <v/>
      </c>
      <c r="J707" s="19">
        <f>IF(I707="","",IFERROR(INDEX(catGrupo,MATCH(D707,catNom,0))&amp;"",""))</f>
        <v/>
      </c>
      <c r="K707" s="19">
        <f>IF(I707="Gasto",IF(IFERROR(INDEX(catClas,MATCH(D707,catNom,0))&amp;"","")="","Variable",IFERROR(INDEX(catClas,MATCH(D707,catNom,0))&amp;"","")),"")</f>
        <v/>
      </c>
      <c r="L707" s="19">
        <f>IF(I707="","",IFERROR(INDEX(catAlim,MATCH(D707,catNom,0))&amp;"",""))</f>
        <v/>
      </c>
      <c r="M707" s="19">
        <f>IF(I707="","",IFERROR(INDEX(catComida,MATCH(D707,catNom,0))&amp;"",""))</f>
        <v/>
      </c>
      <c r="N707" s="19">
        <f>IF(I707="","",IFERROR(INDEX(ctaMon,MATCH(E707,ctaNom,0))&amp;"","DOP"))</f>
        <v/>
      </c>
      <c r="O707" s="20">
        <f>IF(I707="","",C707*IF(N707="USD",TasaUSD,1))</f>
        <v/>
      </c>
      <c r="P707" s="20">
        <f>IF(I707="","",IF(I707="Gasto",O707,0))</f>
        <v/>
      </c>
      <c r="Q707" s="20">
        <f>IF(I707="","",IF(I707="Ingreso",O707,0))</f>
        <v/>
      </c>
      <c r="R707" s="20">
        <f>IF(I707="","",IF(I707="Trading",O707,0))</f>
        <v/>
      </c>
      <c r="S707" s="19">
        <f>IF(I707="","",IF(AND(I707="Gasto",K707="Variable",J707&lt;&gt;"Trading",O707&gt;0,O707&lt;=Umbral),1,0))</f>
        <v/>
      </c>
      <c r="T707" s="20">
        <f>IF(OR(I707="",E707=""),"",IF(OR(I707="Gasto",I707="Transferencia",I707="Pago tarjeta"),-1,1)*C707)</f>
        <v/>
      </c>
      <c r="U707" s="20">
        <f>IF(OR(G707="",AND(I707&lt;&gt;"Transferencia",I707&lt;&gt;"Pago tarjeta")),"",IF(IFERROR(INDEX(ctaMon,MATCH(G707,ctaNom,0))&amp;"","DOP")=N707,C707,IF(N707="USD",C707*TasaUSD,C707/TasaUSD)))</f>
        <v/>
      </c>
      <c r="V707" s="20">
        <f>IF(I707="","",IF(IFERROR(INDEX(ctaLiq,MATCH(E707,ctaNom,0))="Sí",FALSE),IF(OR(I707="Gasto",I707="Transferencia",I707="Pago tarjeta"),-1,1)*O707,0)+IF(AND(U707&lt;&gt;"",IFERROR(INDEX(ctaLiq,MATCH(G707,ctaNom,0))="Sí",FALSE)),O707,0))</f>
        <v/>
      </c>
      <c r="W707" s="19">
        <f>IF(OR(F707="",I707=""),"",IF(COUNTIFS(F$6:F707,F707,I$6:I707,"?*")=1,MAX(W$5:W706)+1,""))</f>
        <v/>
      </c>
    </row>
    <row r="708">
      <c r="B708" s="15" t="n"/>
      <c r="C708" s="16" t="n"/>
      <c r="D708" s="17" t="n"/>
      <c r="E708" s="17" t="n"/>
      <c r="F708" s="17" t="n"/>
      <c r="G708" s="17" t="n"/>
      <c r="H708" s="18">
        <f>IF(AND(B708="",C708="",D708="",E708=""),"",IF(B708="","⚠ Falta fecha",IF(C708="","⚠ Falta monto",IF(D708="","⚠ Falta categoría",IF(ISNA(MATCH(D708,catNom,0)),"⚠ Categoría no existe",IF(E708="","⚠ Falta cuenta",IF(ISNA(MATCH(E708,ctaNom,0)),"⚠ Cuenta no existe",IF(AND(OR(I708="Transferencia",I708="Pago tarjeta"),G708=""),"⚠ Indica la cuenta «Hacia»",IF(AND(G708&lt;&gt;"",G708=E708),"⚠ «Hacia» igual a la cuenta",IF(AND(G708&lt;&gt;"",ISNA(MATCH(G708,ctaNom,0))),"⚠ «Hacia» no existe",IF(AND(I708="Pago tarjeta",IFERROR(INDEX(ctaTipo,MATCH(G708,ctaNom,0)),"")&lt;&gt;"Tarjeta de crédito"),"⚠ «Hacia» debe ser la tarjeta",IF(AND(I708="Trading",IFERROR(INDEX(ctaTipo,MATCH(E708,ctaNom,0)),"")&lt;&gt;"Cuenta de trading"),"⚠ Usa la cuenta de trading","✓"))))))))))))</f>
        <v/>
      </c>
      <c r="I708" s="19">
        <f>IF(OR(B708="",C708="",D708=""),"",IFERROR(INDEX(catTipo,MATCH(D708,catNom,0))&amp;"",""))</f>
        <v/>
      </c>
      <c r="J708" s="19">
        <f>IF(I708="","",IFERROR(INDEX(catGrupo,MATCH(D708,catNom,0))&amp;"",""))</f>
        <v/>
      </c>
      <c r="K708" s="19">
        <f>IF(I708="Gasto",IF(IFERROR(INDEX(catClas,MATCH(D708,catNom,0))&amp;"","")="","Variable",IFERROR(INDEX(catClas,MATCH(D708,catNom,0))&amp;"","")),"")</f>
        <v/>
      </c>
      <c r="L708" s="19">
        <f>IF(I708="","",IFERROR(INDEX(catAlim,MATCH(D708,catNom,0))&amp;"",""))</f>
        <v/>
      </c>
      <c r="M708" s="19">
        <f>IF(I708="","",IFERROR(INDEX(catComida,MATCH(D708,catNom,0))&amp;"",""))</f>
        <v/>
      </c>
      <c r="N708" s="19">
        <f>IF(I708="","",IFERROR(INDEX(ctaMon,MATCH(E708,ctaNom,0))&amp;"","DOP"))</f>
        <v/>
      </c>
      <c r="O708" s="20">
        <f>IF(I708="","",C708*IF(N708="USD",TasaUSD,1))</f>
        <v/>
      </c>
      <c r="P708" s="20">
        <f>IF(I708="","",IF(I708="Gasto",O708,0))</f>
        <v/>
      </c>
      <c r="Q708" s="20">
        <f>IF(I708="","",IF(I708="Ingreso",O708,0))</f>
        <v/>
      </c>
      <c r="R708" s="20">
        <f>IF(I708="","",IF(I708="Trading",O708,0))</f>
        <v/>
      </c>
      <c r="S708" s="19">
        <f>IF(I708="","",IF(AND(I708="Gasto",K708="Variable",J708&lt;&gt;"Trading",O708&gt;0,O708&lt;=Umbral),1,0))</f>
        <v/>
      </c>
      <c r="T708" s="20">
        <f>IF(OR(I708="",E708=""),"",IF(OR(I708="Gasto",I708="Transferencia",I708="Pago tarjeta"),-1,1)*C708)</f>
        <v/>
      </c>
      <c r="U708" s="20">
        <f>IF(OR(G708="",AND(I708&lt;&gt;"Transferencia",I708&lt;&gt;"Pago tarjeta")),"",IF(IFERROR(INDEX(ctaMon,MATCH(G708,ctaNom,0))&amp;"","DOP")=N708,C708,IF(N708="USD",C708*TasaUSD,C708/TasaUSD)))</f>
        <v/>
      </c>
      <c r="V708" s="20">
        <f>IF(I708="","",IF(IFERROR(INDEX(ctaLiq,MATCH(E708,ctaNom,0))="Sí",FALSE),IF(OR(I708="Gasto",I708="Transferencia",I708="Pago tarjeta"),-1,1)*O708,0)+IF(AND(U708&lt;&gt;"",IFERROR(INDEX(ctaLiq,MATCH(G708,ctaNom,0))="Sí",FALSE)),O708,0))</f>
        <v/>
      </c>
      <c r="W708" s="19">
        <f>IF(OR(F708="",I708=""),"",IF(COUNTIFS(F$6:F708,F708,I$6:I708,"?*")=1,MAX(W$5:W707)+1,""))</f>
        <v/>
      </c>
    </row>
    <row r="709">
      <c r="B709" s="15" t="n"/>
      <c r="C709" s="16" t="n"/>
      <c r="D709" s="17" t="n"/>
      <c r="E709" s="17" t="n"/>
      <c r="F709" s="17" t="n"/>
      <c r="G709" s="17" t="n"/>
      <c r="H709" s="18">
        <f>IF(AND(B709="",C709="",D709="",E709=""),"",IF(B709="","⚠ Falta fecha",IF(C709="","⚠ Falta monto",IF(D709="","⚠ Falta categoría",IF(ISNA(MATCH(D709,catNom,0)),"⚠ Categoría no existe",IF(E709="","⚠ Falta cuenta",IF(ISNA(MATCH(E709,ctaNom,0)),"⚠ Cuenta no existe",IF(AND(OR(I709="Transferencia",I709="Pago tarjeta"),G709=""),"⚠ Indica la cuenta «Hacia»",IF(AND(G709&lt;&gt;"",G709=E709),"⚠ «Hacia» igual a la cuenta",IF(AND(G709&lt;&gt;"",ISNA(MATCH(G709,ctaNom,0))),"⚠ «Hacia» no existe",IF(AND(I709="Pago tarjeta",IFERROR(INDEX(ctaTipo,MATCH(G709,ctaNom,0)),"")&lt;&gt;"Tarjeta de crédito"),"⚠ «Hacia» debe ser la tarjeta",IF(AND(I709="Trading",IFERROR(INDEX(ctaTipo,MATCH(E709,ctaNom,0)),"")&lt;&gt;"Cuenta de trading"),"⚠ Usa la cuenta de trading","✓"))))))))))))</f>
        <v/>
      </c>
      <c r="I709" s="19">
        <f>IF(OR(B709="",C709="",D709=""),"",IFERROR(INDEX(catTipo,MATCH(D709,catNom,0))&amp;"",""))</f>
        <v/>
      </c>
      <c r="J709" s="19">
        <f>IF(I709="","",IFERROR(INDEX(catGrupo,MATCH(D709,catNom,0))&amp;"",""))</f>
        <v/>
      </c>
      <c r="K709" s="19">
        <f>IF(I709="Gasto",IF(IFERROR(INDEX(catClas,MATCH(D709,catNom,0))&amp;"","")="","Variable",IFERROR(INDEX(catClas,MATCH(D709,catNom,0))&amp;"","")),"")</f>
        <v/>
      </c>
      <c r="L709" s="19">
        <f>IF(I709="","",IFERROR(INDEX(catAlim,MATCH(D709,catNom,0))&amp;"",""))</f>
        <v/>
      </c>
      <c r="M709" s="19">
        <f>IF(I709="","",IFERROR(INDEX(catComida,MATCH(D709,catNom,0))&amp;"",""))</f>
        <v/>
      </c>
      <c r="N709" s="19">
        <f>IF(I709="","",IFERROR(INDEX(ctaMon,MATCH(E709,ctaNom,0))&amp;"","DOP"))</f>
        <v/>
      </c>
      <c r="O709" s="20">
        <f>IF(I709="","",C709*IF(N709="USD",TasaUSD,1))</f>
        <v/>
      </c>
      <c r="P709" s="20">
        <f>IF(I709="","",IF(I709="Gasto",O709,0))</f>
        <v/>
      </c>
      <c r="Q709" s="20">
        <f>IF(I709="","",IF(I709="Ingreso",O709,0))</f>
        <v/>
      </c>
      <c r="R709" s="20">
        <f>IF(I709="","",IF(I709="Trading",O709,0))</f>
        <v/>
      </c>
      <c r="S709" s="19">
        <f>IF(I709="","",IF(AND(I709="Gasto",K709="Variable",J709&lt;&gt;"Trading",O709&gt;0,O709&lt;=Umbral),1,0))</f>
        <v/>
      </c>
      <c r="T709" s="20">
        <f>IF(OR(I709="",E709=""),"",IF(OR(I709="Gasto",I709="Transferencia",I709="Pago tarjeta"),-1,1)*C709)</f>
        <v/>
      </c>
      <c r="U709" s="20">
        <f>IF(OR(G709="",AND(I709&lt;&gt;"Transferencia",I709&lt;&gt;"Pago tarjeta")),"",IF(IFERROR(INDEX(ctaMon,MATCH(G709,ctaNom,0))&amp;"","DOP")=N709,C709,IF(N709="USD",C709*TasaUSD,C709/TasaUSD)))</f>
        <v/>
      </c>
      <c r="V709" s="20">
        <f>IF(I709="","",IF(IFERROR(INDEX(ctaLiq,MATCH(E709,ctaNom,0))="Sí",FALSE),IF(OR(I709="Gasto",I709="Transferencia",I709="Pago tarjeta"),-1,1)*O709,0)+IF(AND(U709&lt;&gt;"",IFERROR(INDEX(ctaLiq,MATCH(G709,ctaNom,0))="Sí",FALSE)),O709,0))</f>
        <v/>
      </c>
      <c r="W709" s="19">
        <f>IF(OR(F709="",I709=""),"",IF(COUNTIFS(F$6:F709,F709,I$6:I709,"?*")=1,MAX(W$5:W708)+1,""))</f>
        <v/>
      </c>
    </row>
    <row r="710">
      <c r="B710" s="15" t="n"/>
      <c r="C710" s="16" t="n"/>
      <c r="D710" s="17" t="n"/>
      <c r="E710" s="17" t="n"/>
      <c r="F710" s="17" t="n"/>
      <c r="G710" s="17" t="n"/>
      <c r="H710" s="18">
        <f>IF(AND(B710="",C710="",D710="",E710=""),"",IF(B710="","⚠ Falta fecha",IF(C710="","⚠ Falta monto",IF(D710="","⚠ Falta categoría",IF(ISNA(MATCH(D710,catNom,0)),"⚠ Categoría no existe",IF(E710="","⚠ Falta cuenta",IF(ISNA(MATCH(E710,ctaNom,0)),"⚠ Cuenta no existe",IF(AND(OR(I710="Transferencia",I710="Pago tarjeta"),G710=""),"⚠ Indica la cuenta «Hacia»",IF(AND(G710&lt;&gt;"",G710=E710),"⚠ «Hacia» igual a la cuenta",IF(AND(G710&lt;&gt;"",ISNA(MATCH(G710,ctaNom,0))),"⚠ «Hacia» no existe",IF(AND(I710="Pago tarjeta",IFERROR(INDEX(ctaTipo,MATCH(G710,ctaNom,0)),"")&lt;&gt;"Tarjeta de crédito"),"⚠ «Hacia» debe ser la tarjeta",IF(AND(I710="Trading",IFERROR(INDEX(ctaTipo,MATCH(E710,ctaNom,0)),"")&lt;&gt;"Cuenta de trading"),"⚠ Usa la cuenta de trading","✓"))))))))))))</f>
        <v/>
      </c>
      <c r="I710" s="19">
        <f>IF(OR(B710="",C710="",D710=""),"",IFERROR(INDEX(catTipo,MATCH(D710,catNom,0))&amp;"",""))</f>
        <v/>
      </c>
      <c r="J710" s="19">
        <f>IF(I710="","",IFERROR(INDEX(catGrupo,MATCH(D710,catNom,0))&amp;"",""))</f>
        <v/>
      </c>
      <c r="K710" s="19">
        <f>IF(I710="Gasto",IF(IFERROR(INDEX(catClas,MATCH(D710,catNom,0))&amp;"","")="","Variable",IFERROR(INDEX(catClas,MATCH(D710,catNom,0))&amp;"","")),"")</f>
        <v/>
      </c>
      <c r="L710" s="19">
        <f>IF(I710="","",IFERROR(INDEX(catAlim,MATCH(D710,catNom,0))&amp;"",""))</f>
        <v/>
      </c>
      <c r="M710" s="19">
        <f>IF(I710="","",IFERROR(INDEX(catComida,MATCH(D710,catNom,0))&amp;"",""))</f>
        <v/>
      </c>
      <c r="N710" s="19">
        <f>IF(I710="","",IFERROR(INDEX(ctaMon,MATCH(E710,ctaNom,0))&amp;"","DOP"))</f>
        <v/>
      </c>
      <c r="O710" s="20">
        <f>IF(I710="","",C710*IF(N710="USD",TasaUSD,1))</f>
        <v/>
      </c>
      <c r="P710" s="20">
        <f>IF(I710="","",IF(I710="Gasto",O710,0))</f>
        <v/>
      </c>
      <c r="Q710" s="20">
        <f>IF(I710="","",IF(I710="Ingreso",O710,0))</f>
        <v/>
      </c>
      <c r="R710" s="20">
        <f>IF(I710="","",IF(I710="Trading",O710,0))</f>
        <v/>
      </c>
      <c r="S710" s="19">
        <f>IF(I710="","",IF(AND(I710="Gasto",K710="Variable",J710&lt;&gt;"Trading",O710&gt;0,O710&lt;=Umbral),1,0))</f>
        <v/>
      </c>
      <c r="T710" s="20">
        <f>IF(OR(I710="",E710=""),"",IF(OR(I710="Gasto",I710="Transferencia",I710="Pago tarjeta"),-1,1)*C710)</f>
        <v/>
      </c>
      <c r="U710" s="20">
        <f>IF(OR(G710="",AND(I710&lt;&gt;"Transferencia",I710&lt;&gt;"Pago tarjeta")),"",IF(IFERROR(INDEX(ctaMon,MATCH(G710,ctaNom,0))&amp;"","DOP")=N710,C710,IF(N710="USD",C710*TasaUSD,C710/TasaUSD)))</f>
        <v/>
      </c>
      <c r="V710" s="20">
        <f>IF(I710="","",IF(IFERROR(INDEX(ctaLiq,MATCH(E710,ctaNom,0))="Sí",FALSE),IF(OR(I710="Gasto",I710="Transferencia",I710="Pago tarjeta"),-1,1)*O710,0)+IF(AND(U710&lt;&gt;"",IFERROR(INDEX(ctaLiq,MATCH(G710,ctaNom,0))="Sí",FALSE)),O710,0))</f>
        <v/>
      </c>
      <c r="W710" s="19">
        <f>IF(OR(F710="",I710=""),"",IF(COUNTIFS(F$6:F710,F710,I$6:I710,"?*")=1,MAX(W$5:W709)+1,""))</f>
        <v/>
      </c>
    </row>
    <row r="711">
      <c r="B711" s="15" t="n"/>
      <c r="C711" s="16" t="n"/>
      <c r="D711" s="17" t="n"/>
      <c r="E711" s="17" t="n"/>
      <c r="F711" s="17" t="n"/>
      <c r="G711" s="17" t="n"/>
      <c r="H711" s="18">
        <f>IF(AND(B711="",C711="",D711="",E711=""),"",IF(B711="","⚠ Falta fecha",IF(C711="","⚠ Falta monto",IF(D711="","⚠ Falta categoría",IF(ISNA(MATCH(D711,catNom,0)),"⚠ Categoría no existe",IF(E711="","⚠ Falta cuenta",IF(ISNA(MATCH(E711,ctaNom,0)),"⚠ Cuenta no existe",IF(AND(OR(I711="Transferencia",I711="Pago tarjeta"),G711=""),"⚠ Indica la cuenta «Hacia»",IF(AND(G711&lt;&gt;"",G711=E711),"⚠ «Hacia» igual a la cuenta",IF(AND(G711&lt;&gt;"",ISNA(MATCH(G711,ctaNom,0))),"⚠ «Hacia» no existe",IF(AND(I711="Pago tarjeta",IFERROR(INDEX(ctaTipo,MATCH(G711,ctaNom,0)),"")&lt;&gt;"Tarjeta de crédito"),"⚠ «Hacia» debe ser la tarjeta",IF(AND(I711="Trading",IFERROR(INDEX(ctaTipo,MATCH(E711,ctaNom,0)),"")&lt;&gt;"Cuenta de trading"),"⚠ Usa la cuenta de trading","✓"))))))))))))</f>
        <v/>
      </c>
      <c r="I711" s="19">
        <f>IF(OR(B711="",C711="",D711=""),"",IFERROR(INDEX(catTipo,MATCH(D711,catNom,0))&amp;"",""))</f>
        <v/>
      </c>
      <c r="J711" s="19">
        <f>IF(I711="","",IFERROR(INDEX(catGrupo,MATCH(D711,catNom,0))&amp;"",""))</f>
        <v/>
      </c>
      <c r="K711" s="19">
        <f>IF(I711="Gasto",IF(IFERROR(INDEX(catClas,MATCH(D711,catNom,0))&amp;"","")="","Variable",IFERROR(INDEX(catClas,MATCH(D711,catNom,0))&amp;"","")),"")</f>
        <v/>
      </c>
      <c r="L711" s="19">
        <f>IF(I711="","",IFERROR(INDEX(catAlim,MATCH(D711,catNom,0))&amp;"",""))</f>
        <v/>
      </c>
      <c r="M711" s="19">
        <f>IF(I711="","",IFERROR(INDEX(catComida,MATCH(D711,catNom,0))&amp;"",""))</f>
        <v/>
      </c>
      <c r="N711" s="19">
        <f>IF(I711="","",IFERROR(INDEX(ctaMon,MATCH(E711,ctaNom,0))&amp;"","DOP"))</f>
        <v/>
      </c>
      <c r="O711" s="20">
        <f>IF(I711="","",C711*IF(N711="USD",TasaUSD,1))</f>
        <v/>
      </c>
      <c r="P711" s="20">
        <f>IF(I711="","",IF(I711="Gasto",O711,0))</f>
        <v/>
      </c>
      <c r="Q711" s="20">
        <f>IF(I711="","",IF(I711="Ingreso",O711,0))</f>
        <v/>
      </c>
      <c r="R711" s="20">
        <f>IF(I711="","",IF(I711="Trading",O711,0))</f>
        <v/>
      </c>
      <c r="S711" s="19">
        <f>IF(I711="","",IF(AND(I711="Gasto",K711="Variable",J711&lt;&gt;"Trading",O711&gt;0,O711&lt;=Umbral),1,0))</f>
        <v/>
      </c>
      <c r="T711" s="20">
        <f>IF(OR(I711="",E711=""),"",IF(OR(I711="Gasto",I711="Transferencia",I711="Pago tarjeta"),-1,1)*C711)</f>
        <v/>
      </c>
      <c r="U711" s="20">
        <f>IF(OR(G711="",AND(I711&lt;&gt;"Transferencia",I711&lt;&gt;"Pago tarjeta")),"",IF(IFERROR(INDEX(ctaMon,MATCH(G711,ctaNom,0))&amp;"","DOP")=N711,C711,IF(N711="USD",C711*TasaUSD,C711/TasaUSD)))</f>
        <v/>
      </c>
      <c r="V711" s="20">
        <f>IF(I711="","",IF(IFERROR(INDEX(ctaLiq,MATCH(E711,ctaNom,0))="Sí",FALSE),IF(OR(I711="Gasto",I711="Transferencia",I711="Pago tarjeta"),-1,1)*O711,0)+IF(AND(U711&lt;&gt;"",IFERROR(INDEX(ctaLiq,MATCH(G711,ctaNom,0))="Sí",FALSE)),O711,0))</f>
        <v/>
      </c>
      <c r="W711" s="19">
        <f>IF(OR(F711="",I711=""),"",IF(COUNTIFS(F$6:F711,F711,I$6:I711,"?*")=1,MAX(W$5:W710)+1,""))</f>
        <v/>
      </c>
    </row>
    <row r="712">
      <c r="B712" s="15" t="n"/>
      <c r="C712" s="16" t="n"/>
      <c r="D712" s="17" t="n"/>
      <c r="E712" s="17" t="n"/>
      <c r="F712" s="17" t="n"/>
      <c r="G712" s="17" t="n"/>
      <c r="H712" s="18">
        <f>IF(AND(B712="",C712="",D712="",E712=""),"",IF(B712="","⚠ Falta fecha",IF(C712="","⚠ Falta monto",IF(D712="","⚠ Falta categoría",IF(ISNA(MATCH(D712,catNom,0)),"⚠ Categoría no existe",IF(E712="","⚠ Falta cuenta",IF(ISNA(MATCH(E712,ctaNom,0)),"⚠ Cuenta no existe",IF(AND(OR(I712="Transferencia",I712="Pago tarjeta"),G712=""),"⚠ Indica la cuenta «Hacia»",IF(AND(G712&lt;&gt;"",G712=E712),"⚠ «Hacia» igual a la cuenta",IF(AND(G712&lt;&gt;"",ISNA(MATCH(G712,ctaNom,0))),"⚠ «Hacia» no existe",IF(AND(I712="Pago tarjeta",IFERROR(INDEX(ctaTipo,MATCH(G712,ctaNom,0)),"")&lt;&gt;"Tarjeta de crédito"),"⚠ «Hacia» debe ser la tarjeta",IF(AND(I712="Trading",IFERROR(INDEX(ctaTipo,MATCH(E712,ctaNom,0)),"")&lt;&gt;"Cuenta de trading"),"⚠ Usa la cuenta de trading","✓"))))))))))))</f>
        <v/>
      </c>
      <c r="I712" s="19">
        <f>IF(OR(B712="",C712="",D712=""),"",IFERROR(INDEX(catTipo,MATCH(D712,catNom,0))&amp;"",""))</f>
        <v/>
      </c>
      <c r="J712" s="19">
        <f>IF(I712="","",IFERROR(INDEX(catGrupo,MATCH(D712,catNom,0))&amp;"",""))</f>
        <v/>
      </c>
      <c r="K712" s="19">
        <f>IF(I712="Gasto",IF(IFERROR(INDEX(catClas,MATCH(D712,catNom,0))&amp;"","")="","Variable",IFERROR(INDEX(catClas,MATCH(D712,catNom,0))&amp;"","")),"")</f>
        <v/>
      </c>
      <c r="L712" s="19">
        <f>IF(I712="","",IFERROR(INDEX(catAlim,MATCH(D712,catNom,0))&amp;"",""))</f>
        <v/>
      </c>
      <c r="M712" s="19">
        <f>IF(I712="","",IFERROR(INDEX(catComida,MATCH(D712,catNom,0))&amp;"",""))</f>
        <v/>
      </c>
      <c r="N712" s="19">
        <f>IF(I712="","",IFERROR(INDEX(ctaMon,MATCH(E712,ctaNom,0))&amp;"","DOP"))</f>
        <v/>
      </c>
      <c r="O712" s="20">
        <f>IF(I712="","",C712*IF(N712="USD",TasaUSD,1))</f>
        <v/>
      </c>
      <c r="P712" s="20">
        <f>IF(I712="","",IF(I712="Gasto",O712,0))</f>
        <v/>
      </c>
      <c r="Q712" s="20">
        <f>IF(I712="","",IF(I712="Ingreso",O712,0))</f>
        <v/>
      </c>
      <c r="R712" s="20">
        <f>IF(I712="","",IF(I712="Trading",O712,0))</f>
        <v/>
      </c>
      <c r="S712" s="19">
        <f>IF(I712="","",IF(AND(I712="Gasto",K712="Variable",J712&lt;&gt;"Trading",O712&gt;0,O712&lt;=Umbral),1,0))</f>
        <v/>
      </c>
      <c r="T712" s="20">
        <f>IF(OR(I712="",E712=""),"",IF(OR(I712="Gasto",I712="Transferencia",I712="Pago tarjeta"),-1,1)*C712)</f>
        <v/>
      </c>
      <c r="U712" s="20">
        <f>IF(OR(G712="",AND(I712&lt;&gt;"Transferencia",I712&lt;&gt;"Pago tarjeta")),"",IF(IFERROR(INDEX(ctaMon,MATCH(G712,ctaNom,0))&amp;"","DOP")=N712,C712,IF(N712="USD",C712*TasaUSD,C712/TasaUSD)))</f>
        <v/>
      </c>
      <c r="V712" s="20">
        <f>IF(I712="","",IF(IFERROR(INDEX(ctaLiq,MATCH(E712,ctaNom,0))="Sí",FALSE),IF(OR(I712="Gasto",I712="Transferencia",I712="Pago tarjeta"),-1,1)*O712,0)+IF(AND(U712&lt;&gt;"",IFERROR(INDEX(ctaLiq,MATCH(G712,ctaNom,0))="Sí",FALSE)),O712,0))</f>
        <v/>
      </c>
      <c r="W712" s="19">
        <f>IF(OR(F712="",I712=""),"",IF(COUNTIFS(F$6:F712,F712,I$6:I712,"?*")=1,MAX(W$5:W711)+1,""))</f>
        <v/>
      </c>
    </row>
    <row r="713">
      <c r="B713" s="15" t="n"/>
      <c r="C713" s="16" t="n"/>
      <c r="D713" s="17" t="n"/>
      <c r="E713" s="17" t="n"/>
      <c r="F713" s="17" t="n"/>
      <c r="G713" s="17" t="n"/>
      <c r="H713" s="18">
        <f>IF(AND(B713="",C713="",D713="",E713=""),"",IF(B713="","⚠ Falta fecha",IF(C713="","⚠ Falta monto",IF(D713="","⚠ Falta categoría",IF(ISNA(MATCH(D713,catNom,0)),"⚠ Categoría no existe",IF(E713="","⚠ Falta cuenta",IF(ISNA(MATCH(E713,ctaNom,0)),"⚠ Cuenta no existe",IF(AND(OR(I713="Transferencia",I713="Pago tarjeta"),G713=""),"⚠ Indica la cuenta «Hacia»",IF(AND(G713&lt;&gt;"",G713=E713),"⚠ «Hacia» igual a la cuenta",IF(AND(G713&lt;&gt;"",ISNA(MATCH(G713,ctaNom,0))),"⚠ «Hacia» no existe",IF(AND(I713="Pago tarjeta",IFERROR(INDEX(ctaTipo,MATCH(G713,ctaNom,0)),"")&lt;&gt;"Tarjeta de crédito"),"⚠ «Hacia» debe ser la tarjeta",IF(AND(I713="Trading",IFERROR(INDEX(ctaTipo,MATCH(E713,ctaNom,0)),"")&lt;&gt;"Cuenta de trading"),"⚠ Usa la cuenta de trading","✓"))))))))))))</f>
        <v/>
      </c>
      <c r="I713" s="19">
        <f>IF(OR(B713="",C713="",D713=""),"",IFERROR(INDEX(catTipo,MATCH(D713,catNom,0))&amp;"",""))</f>
        <v/>
      </c>
      <c r="J713" s="19">
        <f>IF(I713="","",IFERROR(INDEX(catGrupo,MATCH(D713,catNom,0))&amp;"",""))</f>
        <v/>
      </c>
      <c r="K713" s="19">
        <f>IF(I713="Gasto",IF(IFERROR(INDEX(catClas,MATCH(D713,catNom,0))&amp;"","")="","Variable",IFERROR(INDEX(catClas,MATCH(D713,catNom,0))&amp;"","")),"")</f>
        <v/>
      </c>
      <c r="L713" s="19">
        <f>IF(I713="","",IFERROR(INDEX(catAlim,MATCH(D713,catNom,0))&amp;"",""))</f>
        <v/>
      </c>
      <c r="M713" s="19">
        <f>IF(I713="","",IFERROR(INDEX(catComida,MATCH(D713,catNom,0))&amp;"",""))</f>
        <v/>
      </c>
      <c r="N713" s="19">
        <f>IF(I713="","",IFERROR(INDEX(ctaMon,MATCH(E713,ctaNom,0))&amp;"","DOP"))</f>
        <v/>
      </c>
      <c r="O713" s="20">
        <f>IF(I713="","",C713*IF(N713="USD",TasaUSD,1))</f>
        <v/>
      </c>
      <c r="P713" s="20">
        <f>IF(I713="","",IF(I713="Gasto",O713,0))</f>
        <v/>
      </c>
      <c r="Q713" s="20">
        <f>IF(I713="","",IF(I713="Ingreso",O713,0))</f>
        <v/>
      </c>
      <c r="R713" s="20">
        <f>IF(I713="","",IF(I713="Trading",O713,0))</f>
        <v/>
      </c>
      <c r="S713" s="19">
        <f>IF(I713="","",IF(AND(I713="Gasto",K713="Variable",J713&lt;&gt;"Trading",O713&gt;0,O713&lt;=Umbral),1,0))</f>
        <v/>
      </c>
      <c r="T713" s="20">
        <f>IF(OR(I713="",E713=""),"",IF(OR(I713="Gasto",I713="Transferencia",I713="Pago tarjeta"),-1,1)*C713)</f>
        <v/>
      </c>
      <c r="U713" s="20">
        <f>IF(OR(G713="",AND(I713&lt;&gt;"Transferencia",I713&lt;&gt;"Pago tarjeta")),"",IF(IFERROR(INDEX(ctaMon,MATCH(G713,ctaNom,0))&amp;"","DOP")=N713,C713,IF(N713="USD",C713*TasaUSD,C713/TasaUSD)))</f>
        <v/>
      </c>
      <c r="V713" s="20">
        <f>IF(I713="","",IF(IFERROR(INDEX(ctaLiq,MATCH(E713,ctaNom,0))="Sí",FALSE),IF(OR(I713="Gasto",I713="Transferencia",I713="Pago tarjeta"),-1,1)*O713,0)+IF(AND(U713&lt;&gt;"",IFERROR(INDEX(ctaLiq,MATCH(G713,ctaNom,0))="Sí",FALSE)),O713,0))</f>
        <v/>
      </c>
      <c r="W713" s="19">
        <f>IF(OR(F713="",I713=""),"",IF(COUNTIFS(F$6:F713,F713,I$6:I713,"?*")=1,MAX(W$5:W712)+1,""))</f>
        <v/>
      </c>
    </row>
    <row r="714">
      <c r="B714" s="15" t="n"/>
      <c r="C714" s="16" t="n"/>
      <c r="D714" s="17" t="n"/>
      <c r="E714" s="17" t="n"/>
      <c r="F714" s="17" t="n"/>
      <c r="G714" s="17" t="n"/>
      <c r="H714" s="18">
        <f>IF(AND(B714="",C714="",D714="",E714=""),"",IF(B714="","⚠ Falta fecha",IF(C714="","⚠ Falta monto",IF(D714="","⚠ Falta categoría",IF(ISNA(MATCH(D714,catNom,0)),"⚠ Categoría no existe",IF(E714="","⚠ Falta cuenta",IF(ISNA(MATCH(E714,ctaNom,0)),"⚠ Cuenta no existe",IF(AND(OR(I714="Transferencia",I714="Pago tarjeta"),G714=""),"⚠ Indica la cuenta «Hacia»",IF(AND(G714&lt;&gt;"",G714=E714),"⚠ «Hacia» igual a la cuenta",IF(AND(G714&lt;&gt;"",ISNA(MATCH(G714,ctaNom,0))),"⚠ «Hacia» no existe",IF(AND(I714="Pago tarjeta",IFERROR(INDEX(ctaTipo,MATCH(G714,ctaNom,0)),"")&lt;&gt;"Tarjeta de crédito"),"⚠ «Hacia» debe ser la tarjeta",IF(AND(I714="Trading",IFERROR(INDEX(ctaTipo,MATCH(E714,ctaNom,0)),"")&lt;&gt;"Cuenta de trading"),"⚠ Usa la cuenta de trading","✓"))))))))))))</f>
        <v/>
      </c>
      <c r="I714" s="19">
        <f>IF(OR(B714="",C714="",D714=""),"",IFERROR(INDEX(catTipo,MATCH(D714,catNom,0))&amp;"",""))</f>
        <v/>
      </c>
      <c r="J714" s="19">
        <f>IF(I714="","",IFERROR(INDEX(catGrupo,MATCH(D714,catNom,0))&amp;"",""))</f>
        <v/>
      </c>
      <c r="K714" s="19">
        <f>IF(I714="Gasto",IF(IFERROR(INDEX(catClas,MATCH(D714,catNom,0))&amp;"","")="","Variable",IFERROR(INDEX(catClas,MATCH(D714,catNom,0))&amp;"","")),"")</f>
        <v/>
      </c>
      <c r="L714" s="19">
        <f>IF(I714="","",IFERROR(INDEX(catAlim,MATCH(D714,catNom,0))&amp;"",""))</f>
        <v/>
      </c>
      <c r="M714" s="19">
        <f>IF(I714="","",IFERROR(INDEX(catComida,MATCH(D714,catNom,0))&amp;"",""))</f>
        <v/>
      </c>
      <c r="N714" s="19">
        <f>IF(I714="","",IFERROR(INDEX(ctaMon,MATCH(E714,ctaNom,0))&amp;"","DOP"))</f>
        <v/>
      </c>
      <c r="O714" s="20">
        <f>IF(I714="","",C714*IF(N714="USD",TasaUSD,1))</f>
        <v/>
      </c>
      <c r="P714" s="20">
        <f>IF(I714="","",IF(I714="Gasto",O714,0))</f>
        <v/>
      </c>
      <c r="Q714" s="20">
        <f>IF(I714="","",IF(I714="Ingreso",O714,0))</f>
        <v/>
      </c>
      <c r="R714" s="20">
        <f>IF(I714="","",IF(I714="Trading",O714,0))</f>
        <v/>
      </c>
      <c r="S714" s="19">
        <f>IF(I714="","",IF(AND(I714="Gasto",K714="Variable",J714&lt;&gt;"Trading",O714&gt;0,O714&lt;=Umbral),1,0))</f>
        <v/>
      </c>
      <c r="T714" s="20">
        <f>IF(OR(I714="",E714=""),"",IF(OR(I714="Gasto",I714="Transferencia",I714="Pago tarjeta"),-1,1)*C714)</f>
        <v/>
      </c>
      <c r="U714" s="20">
        <f>IF(OR(G714="",AND(I714&lt;&gt;"Transferencia",I714&lt;&gt;"Pago tarjeta")),"",IF(IFERROR(INDEX(ctaMon,MATCH(G714,ctaNom,0))&amp;"","DOP")=N714,C714,IF(N714="USD",C714*TasaUSD,C714/TasaUSD)))</f>
        <v/>
      </c>
      <c r="V714" s="20">
        <f>IF(I714="","",IF(IFERROR(INDEX(ctaLiq,MATCH(E714,ctaNom,0))="Sí",FALSE),IF(OR(I714="Gasto",I714="Transferencia",I714="Pago tarjeta"),-1,1)*O714,0)+IF(AND(U714&lt;&gt;"",IFERROR(INDEX(ctaLiq,MATCH(G714,ctaNom,0))="Sí",FALSE)),O714,0))</f>
        <v/>
      </c>
      <c r="W714" s="19">
        <f>IF(OR(F714="",I714=""),"",IF(COUNTIFS(F$6:F714,F714,I$6:I714,"?*")=1,MAX(W$5:W713)+1,""))</f>
        <v/>
      </c>
    </row>
    <row r="715">
      <c r="B715" s="15" t="n"/>
      <c r="C715" s="16" t="n"/>
      <c r="D715" s="17" t="n"/>
      <c r="E715" s="17" t="n"/>
      <c r="F715" s="17" t="n"/>
      <c r="G715" s="17" t="n"/>
      <c r="H715" s="18">
        <f>IF(AND(B715="",C715="",D715="",E715=""),"",IF(B715="","⚠ Falta fecha",IF(C715="","⚠ Falta monto",IF(D715="","⚠ Falta categoría",IF(ISNA(MATCH(D715,catNom,0)),"⚠ Categoría no existe",IF(E715="","⚠ Falta cuenta",IF(ISNA(MATCH(E715,ctaNom,0)),"⚠ Cuenta no existe",IF(AND(OR(I715="Transferencia",I715="Pago tarjeta"),G715=""),"⚠ Indica la cuenta «Hacia»",IF(AND(G715&lt;&gt;"",G715=E715),"⚠ «Hacia» igual a la cuenta",IF(AND(G715&lt;&gt;"",ISNA(MATCH(G715,ctaNom,0))),"⚠ «Hacia» no existe",IF(AND(I715="Pago tarjeta",IFERROR(INDEX(ctaTipo,MATCH(G715,ctaNom,0)),"")&lt;&gt;"Tarjeta de crédito"),"⚠ «Hacia» debe ser la tarjeta",IF(AND(I715="Trading",IFERROR(INDEX(ctaTipo,MATCH(E715,ctaNom,0)),"")&lt;&gt;"Cuenta de trading"),"⚠ Usa la cuenta de trading","✓"))))))))))))</f>
        <v/>
      </c>
      <c r="I715" s="19">
        <f>IF(OR(B715="",C715="",D715=""),"",IFERROR(INDEX(catTipo,MATCH(D715,catNom,0))&amp;"",""))</f>
        <v/>
      </c>
      <c r="J715" s="19">
        <f>IF(I715="","",IFERROR(INDEX(catGrupo,MATCH(D715,catNom,0))&amp;"",""))</f>
        <v/>
      </c>
      <c r="K715" s="19">
        <f>IF(I715="Gasto",IF(IFERROR(INDEX(catClas,MATCH(D715,catNom,0))&amp;"","")="","Variable",IFERROR(INDEX(catClas,MATCH(D715,catNom,0))&amp;"","")),"")</f>
        <v/>
      </c>
      <c r="L715" s="19">
        <f>IF(I715="","",IFERROR(INDEX(catAlim,MATCH(D715,catNom,0))&amp;"",""))</f>
        <v/>
      </c>
      <c r="M715" s="19">
        <f>IF(I715="","",IFERROR(INDEX(catComida,MATCH(D715,catNom,0))&amp;"",""))</f>
        <v/>
      </c>
      <c r="N715" s="19">
        <f>IF(I715="","",IFERROR(INDEX(ctaMon,MATCH(E715,ctaNom,0))&amp;"","DOP"))</f>
        <v/>
      </c>
      <c r="O715" s="20">
        <f>IF(I715="","",C715*IF(N715="USD",TasaUSD,1))</f>
        <v/>
      </c>
      <c r="P715" s="20">
        <f>IF(I715="","",IF(I715="Gasto",O715,0))</f>
        <v/>
      </c>
      <c r="Q715" s="20">
        <f>IF(I715="","",IF(I715="Ingreso",O715,0))</f>
        <v/>
      </c>
      <c r="R715" s="20">
        <f>IF(I715="","",IF(I715="Trading",O715,0))</f>
        <v/>
      </c>
      <c r="S715" s="19">
        <f>IF(I715="","",IF(AND(I715="Gasto",K715="Variable",J715&lt;&gt;"Trading",O715&gt;0,O715&lt;=Umbral),1,0))</f>
        <v/>
      </c>
      <c r="T715" s="20">
        <f>IF(OR(I715="",E715=""),"",IF(OR(I715="Gasto",I715="Transferencia",I715="Pago tarjeta"),-1,1)*C715)</f>
        <v/>
      </c>
      <c r="U715" s="20">
        <f>IF(OR(G715="",AND(I715&lt;&gt;"Transferencia",I715&lt;&gt;"Pago tarjeta")),"",IF(IFERROR(INDEX(ctaMon,MATCH(G715,ctaNom,0))&amp;"","DOP")=N715,C715,IF(N715="USD",C715*TasaUSD,C715/TasaUSD)))</f>
        <v/>
      </c>
      <c r="V715" s="20">
        <f>IF(I715="","",IF(IFERROR(INDEX(ctaLiq,MATCH(E715,ctaNom,0))="Sí",FALSE),IF(OR(I715="Gasto",I715="Transferencia",I715="Pago tarjeta"),-1,1)*O715,0)+IF(AND(U715&lt;&gt;"",IFERROR(INDEX(ctaLiq,MATCH(G715,ctaNom,0))="Sí",FALSE)),O715,0))</f>
        <v/>
      </c>
      <c r="W715" s="19">
        <f>IF(OR(F715="",I715=""),"",IF(COUNTIFS(F$6:F715,F715,I$6:I715,"?*")=1,MAX(W$5:W714)+1,""))</f>
        <v/>
      </c>
    </row>
    <row r="716">
      <c r="B716" s="15" t="n"/>
      <c r="C716" s="16" t="n"/>
      <c r="D716" s="17" t="n"/>
      <c r="E716" s="17" t="n"/>
      <c r="F716" s="17" t="n"/>
      <c r="G716" s="17" t="n"/>
      <c r="H716" s="18">
        <f>IF(AND(B716="",C716="",D716="",E716=""),"",IF(B716="","⚠ Falta fecha",IF(C716="","⚠ Falta monto",IF(D716="","⚠ Falta categoría",IF(ISNA(MATCH(D716,catNom,0)),"⚠ Categoría no existe",IF(E716="","⚠ Falta cuenta",IF(ISNA(MATCH(E716,ctaNom,0)),"⚠ Cuenta no existe",IF(AND(OR(I716="Transferencia",I716="Pago tarjeta"),G716=""),"⚠ Indica la cuenta «Hacia»",IF(AND(G716&lt;&gt;"",G716=E716),"⚠ «Hacia» igual a la cuenta",IF(AND(G716&lt;&gt;"",ISNA(MATCH(G716,ctaNom,0))),"⚠ «Hacia» no existe",IF(AND(I716="Pago tarjeta",IFERROR(INDEX(ctaTipo,MATCH(G716,ctaNom,0)),"")&lt;&gt;"Tarjeta de crédito"),"⚠ «Hacia» debe ser la tarjeta",IF(AND(I716="Trading",IFERROR(INDEX(ctaTipo,MATCH(E716,ctaNom,0)),"")&lt;&gt;"Cuenta de trading"),"⚠ Usa la cuenta de trading","✓"))))))))))))</f>
        <v/>
      </c>
      <c r="I716" s="19">
        <f>IF(OR(B716="",C716="",D716=""),"",IFERROR(INDEX(catTipo,MATCH(D716,catNom,0))&amp;"",""))</f>
        <v/>
      </c>
      <c r="J716" s="19">
        <f>IF(I716="","",IFERROR(INDEX(catGrupo,MATCH(D716,catNom,0))&amp;"",""))</f>
        <v/>
      </c>
      <c r="K716" s="19">
        <f>IF(I716="Gasto",IF(IFERROR(INDEX(catClas,MATCH(D716,catNom,0))&amp;"","")="","Variable",IFERROR(INDEX(catClas,MATCH(D716,catNom,0))&amp;"","")),"")</f>
        <v/>
      </c>
      <c r="L716" s="19">
        <f>IF(I716="","",IFERROR(INDEX(catAlim,MATCH(D716,catNom,0))&amp;"",""))</f>
        <v/>
      </c>
      <c r="M716" s="19">
        <f>IF(I716="","",IFERROR(INDEX(catComida,MATCH(D716,catNom,0))&amp;"",""))</f>
        <v/>
      </c>
      <c r="N716" s="19">
        <f>IF(I716="","",IFERROR(INDEX(ctaMon,MATCH(E716,ctaNom,0))&amp;"","DOP"))</f>
        <v/>
      </c>
      <c r="O716" s="20">
        <f>IF(I716="","",C716*IF(N716="USD",TasaUSD,1))</f>
        <v/>
      </c>
      <c r="P716" s="20">
        <f>IF(I716="","",IF(I716="Gasto",O716,0))</f>
        <v/>
      </c>
      <c r="Q716" s="20">
        <f>IF(I716="","",IF(I716="Ingreso",O716,0))</f>
        <v/>
      </c>
      <c r="R716" s="20">
        <f>IF(I716="","",IF(I716="Trading",O716,0))</f>
        <v/>
      </c>
      <c r="S716" s="19">
        <f>IF(I716="","",IF(AND(I716="Gasto",K716="Variable",J716&lt;&gt;"Trading",O716&gt;0,O716&lt;=Umbral),1,0))</f>
        <v/>
      </c>
      <c r="T716" s="20">
        <f>IF(OR(I716="",E716=""),"",IF(OR(I716="Gasto",I716="Transferencia",I716="Pago tarjeta"),-1,1)*C716)</f>
        <v/>
      </c>
      <c r="U716" s="20">
        <f>IF(OR(G716="",AND(I716&lt;&gt;"Transferencia",I716&lt;&gt;"Pago tarjeta")),"",IF(IFERROR(INDEX(ctaMon,MATCH(G716,ctaNom,0))&amp;"","DOP")=N716,C716,IF(N716="USD",C716*TasaUSD,C716/TasaUSD)))</f>
        <v/>
      </c>
      <c r="V716" s="20">
        <f>IF(I716="","",IF(IFERROR(INDEX(ctaLiq,MATCH(E716,ctaNom,0))="Sí",FALSE),IF(OR(I716="Gasto",I716="Transferencia",I716="Pago tarjeta"),-1,1)*O716,0)+IF(AND(U716&lt;&gt;"",IFERROR(INDEX(ctaLiq,MATCH(G716,ctaNom,0))="Sí",FALSE)),O716,0))</f>
        <v/>
      </c>
      <c r="W716" s="19">
        <f>IF(OR(F716="",I716=""),"",IF(COUNTIFS(F$6:F716,F716,I$6:I716,"?*")=1,MAX(W$5:W715)+1,""))</f>
        <v/>
      </c>
    </row>
    <row r="717">
      <c r="B717" s="15" t="n"/>
      <c r="C717" s="16" t="n"/>
      <c r="D717" s="17" t="n"/>
      <c r="E717" s="17" t="n"/>
      <c r="F717" s="17" t="n"/>
      <c r="G717" s="17" t="n"/>
      <c r="H717" s="18">
        <f>IF(AND(B717="",C717="",D717="",E717=""),"",IF(B717="","⚠ Falta fecha",IF(C717="","⚠ Falta monto",IF(D717="","⚠ Falta categoría",IF(ISNA(MATCH(D717,catNom,0)),"⚠ Categoría no existe",IF(E717="","⚠ Falta cuenta",IF(ISNA(MATCH(E717,ctaNom,0)),"⚠ Cuenta no existe",IF(AND(OR(I717="Transferencia",I717="Pago tarjeta"),G717=""),"⚠ Indica la cuenta «Hacia»",IF(AND(G717&lt;&gt;"",G717=E717),"⚠ «Hacia» igual a la cuenta",IF(AND(G717&lt;&gt;"",ISNA(MATCH(G717,ctaNom,0))),"⚠ «Hacia» no existe",IF(AND(I717="Pago tarjeta",IFERROR(INDEX(ctaTipo,MATCH(G717,ctaNom,0)),"")&lt;&gt;"Tarjeta de crédito"),"⚠ «Hacia» debe ser la tarjeta",IF(AND(I717="Trading",IFERROR(INDEX(ctaTipo,MATCH(E717,ctaNom,0)),"")&lt;&gt;"Cuenta de trading"),"⚠ Usa la cuenta de trading","✓"))))))))))))</f>
        <v/>
      </c>
      <c r="I717" s="19">
        <f>IF(OR(B717="",C717="",D717=""),"",IFERROR(INDEX(catTipo,MATCH(D717,catNom,0))&amp;"",""))</f>
        <v/>
      </c>
      <c r="J717" s="19">
        <f>IF(I717="","",IFERROR(INDEX(catGrupo,MATCH(D717,catNom,0))&amp;"",""))</f>
        <v/>
      </c>
      <c r="K717" s="19">
        <f>IF(I717="Gasto",IF(IFERROR(INDEX(catClas,MATCH(D717,catNom,0))&amp;"","")="","Variable",IFERROR(INDEX(catClas,MATCH(D717,catNom,0))&amp;"","")),"")</f>
        <v/>
      </c>
      <c r="L717" s="19">
        <f>IF(I717="","",IFERROR(INDEX(catAlim,MATCH(D717,catNom,0))&amp;"",""))</f>
        <v/>
      </c>
      <c r="M717" s="19">
        <f>IF(I717="","",IFERROR(INDEX(catComida,MATCH(D717,catNom,0))&amp;"",""))</f>
        <v/>
      </c>
      <c r="N717" s="19">
        <f>IF(I717="","",IFERROR(INDEX(ctaMon,MATCH(E717,ctaNom,0))&amp;"","DOP"))</f>
        <v/>
      </c>
      <c r="O717" s="20">
        <f>IF(I717="","",C717*IF(N717="USD",TasaUSD,1))</f>
        <v/>
      </c>
      <c r="P717" s="20">
        <f>IF(I717="","",IF(I717="Gasto",O717,0))</f>
        <v/>
      </c>
      <c r="Q717" s="20">
        <f>IF(I717="","",IF(I717="Ingreso",O717,0))</f>
        <v/>
      </c>
      <c r="R717" s="20">
        <f>IF(I717="","",IF(I717="Trading",O717,0))</f>
        <v/>
      </c>
      <c r="S717" s="19">
        <f>IF(I717="","",IF(AND(I717="Gasto",K717="Variable",J717&lt;&gt;"Trading",O717&gt;0,O717&lt;=Umbral),1,0))</f>
        <v/>
      </c>
      <c r="T717" s="20">
        <f>IF(OR(I717="",E717=""),"",IF(OR(I717="Gasto",I717="Transferencia",I717="Pago tarjeta"),-1,1)*C717)</f>
        <v/>
      </c>
      <c r="U717" s="20">
        <f>IF(OR(G717="",AND(I717&lt;&gt;"Transferencia",I717&lt;&gt;"Pago tarjeta")),"",IF(IFERROR(INDEX(ctaMon,MATCH(G717,ctaNom,0))&amp;"","DOP")=N717,C717,IF(N717="USD",C717*TasaUSD,C717/TasaUSD)))</f>
        <v/>
      </c>
      <c r="V717" s="20">
        <f>IF(I717="","",IF(IFERROR(INDEX(ctaLiq,MATCH(E717,ctaNom,0))="Sí",FALSE),IF(OR(I717="Gasto",I717="Transferencia",I717="Pago tarjeta"),-1,1)*O717,0)+IF(AND(U717&lt;&gt;"",IFERROR(INDEX(ctaLiq,MATCH(G717,ctaNom,0))="Sí",FALSE)),O717,0))</f>
        <v/>
      </c>
      <c r="W717" s="19">
        <f>IF(OR(F717="",I717=""),"",IF(COUNTIFS(F$6:F717,F717,I$6:I717,"?*")=1,MAX(W$5:W716)+1,""))</f>
        <v/>
      </c>
    </row>
    <row r="718">
      <c r="B718" s="15" t="n"/>
      <c r="C718" s="16" t="n"/>
      <c r="D718" s="17" t="n"/>
      <c r="E718" s="17" t="n"/>
      <c r="F718" s="17" t="n"/>
      <c r="G718" s="17" t="n"/>
      <c r="H718" s="18">
        <f>IF(AND(B718="",C718="",D718="",E718=""),"",IF(B718="","⚠ Falta fecha",IF(C718="","⚠ Falta monto",IF(D718="","⚠ Falta categoría",IF(ISNA(MATCH(D718,catNom,0)),"⚠ Categoría no existe",IF(E718="","⚠ Falta cuenta",IF(ISNA(MATCH(E718,ctaNom,0)),"⚠ Cuenta no existe",IF(AND(OR(I718="Transferencia",I718="Pago tarjeta"),G718=""),"⚠ Indica la cuenta «Hacia»",IF(AND(G718&lt;&gt;"",G718=E718),"⚠ «Hacia» igual a la cuenta",IF(AND(G718&lt;&gt;"",ISNA(MATCH(G718,ctaNom,0))),"⚠ «Hacia» no existe",IF(AND(I718="Pago tarjeta",IFERROR(INDEX(ctaTipo,MATCH(G718,ctaNom,0)),"")&lt;&gt;"Tarjeta de crédito"),"⚠ «Hacia» debe ser la tarjeta",IF(AND(I718="Trading",IFERROR(INDEX(ctaTipo,MATCH(E718,ctaNom,0)),"")&lt;&gt;"Cuenta de trading"),"⚠ Usa la cuenta de trading","✓"))))))))))))</f>
        <v/>
      </c>
      <c r="I718" s="19">
        <f>IF(OR(B718="",C718="",D718=""),"",IFERROR(INDEX(catTipo,MATCH(D718,catNom,0))&amp;"",""))</f>
        <v/>
      </c>
      <c r="J718" s="19">
        <f>IF(I718="","",IFERROR(INDEX(catGrupo,MATCH(D718,catNom,0))&amp;"",""))</f>
        <v/>
      </c>
      <c r="K718" s="19">
        <f>IF(I718="Gasto",IF(IFERROR(INDEX(catClas,MATCH(D718,catNom,0))&amp;"","")="","Variable",IFERROR(INDEX(catClas,MATCH(D718,catNom,0))&amp;"","")),"")</f>
        <v/>
      </c>
      <c r="L718" s="19">
        <f>IF(I718="","",IFERROR(INDEX(catAlim,MATCH(D718,catNom,0))&amp;"",""))</f>
        <v/>
      </c>
      <c r="M718" s="19">
        <f>IF(I718="","",IFERROR(INDEX(catComida,MATCH(D718,catNom,0))&amp;"",""))</f>
        <v/>
      </c>
      <c r="N718" s="19">
        <f>IF(I718="","",IFERROR(INDEX(ctaMon,MATCH(E718,ctaNom,0))&amp;"","DOP"))</f>
        <v/>
      </c>
      <c r="O718" s="20">
        <f>IF(I718="","",C718*IF(N718="USD",TasaUSD,1))</f>
        <v/>
      </c>
      <c r="P718" s="20">
        <f>IF(I718="","",IF(I718="Gasto",O718,0))</f>
        <v/>
      </c>
      <c r="Q718" s="20">
        <f>IF(I718="","",IF(I718="Ingreso",O718,0))</f>
        <v/>
      </c>
      <c r="R718" s="20">
        <f>IF(I718="","",IF(I718="Trading",O718,0))</f>
        <v/>
      </c>
      <c r="S718" s="19">
        <f>IF(I718="","",IF(AND(I718="Gasto",K718="Variable",J718&lt;&gt;"Trading",O718&gt;0,O718&lt;=Umbral),1,0))</f>
        <v/>
      </c>
      <c r="T718" s="20">
        <f>IF(OR(I718="",E718=""),"",IF(OR(I718="Gasto",I718="Transferencia",I718="Pago tarjeta"),-1,1)*C718)</f>
        <v/>
      </c>
      <c r="U718" s="20">
        <f>IF(OR(G718="",AND(I718&lt;&gt;"Transferencia",I718&lt;&gt;"Pago tarjeta")),"",IF(IFERROR(INDEX(ctaMon,MATCH(G718,ctaNom,0))&amp;"","DOP")=N718,C718,IF(N718="USD",C718*TasaUSD,C718/TasaUSD)))</f>
        <v/>
      </c>
      <c r="V718" s="20">
        <f>IF(I718="","",IF(IFERROR(INDEX(ctaLiq,MATCH(E718,ctaNom,0))="Sí",FALSE),IF(OR(I718="Gasto",I718="Transferencia",I718="Pago tarjeta"),-1,1)*O718,0)+IF(AND(U718&lt;&gt;"",IFERROR(INDEX(ctaLiq,MATCH(G718,ctaNom,0))="Sí",FALSE)),O718,0))</f>
        <v/>
      </c>
      <c r="W718" s="19">
        <f>IF(OR(F718="",I718=""),"",IF(COUNTIFS(F$6:F718,F718,I$6:I718,"?*")=1,MAX(W$5:W717)+1,""))</f>
        <v/>
      </c>
    </row>
    <row r="719">
      <c r="B719" s="15" t="n"/>
      <c r="C719" s="16" t="n"/>
      <c r="D719" s="17" t="n"/>
      <c r="E719" s="17" t="n"/>
      <c r="F719" s="17" t="n"/>
      <c r="G719" s="17" t="n"/>
      <c r="H719" s="18">
        <f>IF(AND(B719="",C719="",D719="",E719=""),"",IF(B719="","⚠ Falta fecha",IF(C719="","⚠ Falta monto",IF(D719="","⚠ Falta categoría",IF(ISNA(MATCH(D719,catNom,0)),"⚠ Categoría no existe",IF(E719="","⚠ Falta cuenta",IF(ISNA(MATCH(E719,ctaNom,0)),"⚠ Cuenta no existe",IF(AND(OR(I719="Transferencia",I719="Pago tarjeta"),G719=""),"⚠ Indica la cuenta «Hacia»",IF(AND(G719&lt;&gt;"",G719=E719),"⚠ «Hacia» igual a la cuenta",IF(AND(G719&lt;&gt;"",ISNA(MATCH(G719,ctaNom,0))),"⚠ «Hacia» no existe",IF(AND(I719="Pago tarjeta",IFERROR(INDEX(ctaTipo,MATCH(G719,ctaNom,0)),"")&lt;&gt;"Tarjeta de crédito"),"⚠ «Hacia» debe ser la tarjeta",IF(AND(I719="Trading",IFERROR(INDEX(ctaTipo,MATCH(E719,ctaNom,0)),"")&lt;&gt;"Cuenta de trading"),"⚠ Usa la cuenta de trading","✓"))))))))))))</f>
        <v/>
      </c>
      <c r="I719" s="19">
        <f>IF(OR(B719="",C719="",D719=""),"",IFERROR(INDEX(catTipo,MATCH(D719,catNom,0))&amp;"",""))</f>
        <v/>
      </c>
      <c r="J719" s="19">
        <f>IF(I719="","",IFERROR(INDEX(catGrupo,MATCH(D719,catNom,0))&amp;"",""))</f>
        <v/>
      </c>
      <c r="K719" s="19">
        <f>IF(I719="Gasto",IF(IFERROR(INDEX(catClas,MATCH(D719,catNom,0))&amp;"","")="","Variable",IFERROR(INDEX(catClas,MATCH(D719,catNom,0))&amp;"","")),"")</f>
        <v/>
      </c>
      <c r="L719" s="19">
        <f>IF(I719="","",IFERROR(INDEX(catAlim,MATCH(D719,catNom,0))&amp;"",""))</f>
        <v/>
      </c>
      <c r="M719" s="19">
        <f>IF(I719="","",IFERROR(INDEX(catComida,MATCH(D719,catNom,0))&amp;"",""))</f>
        <v/>
      </c>
      <c r="N719" s="19">
        <f>IF(I719="","",IFERROR(INDEX(ctaMon,MATCH(E719,ctaNom,0))&amp;"","DOP"))</f>
        <v/>
      </c>
      <c r="O719" s="20">
        <f>IF(I719="","",C719*IF(N719="USD",TasaUSD,1))</f>
        <v/>
      </c>
      <c r="P719" s="20">
        <f>IF(I719="","",IF(I719="Gasto",O719,0))</f>
        <v/>
      </c>
      <c r="Q719" s="20">
        <f>IF(I719="","",IF(I719="Ingreso",O719,0))</f>
        <v/>
      </c>
      <c r="R719" s="20">
        <f>IF(I719="","",IF(I719="Trading",O719,0))</f>
        <v/>
      </c>
      <c r="S719" s="19">
        <f>IF(I719="","",IF(AND(I719="Gasto",K719="Variable",J719&lt;&gt;"Trading",O719&gt;0,O719&lt;=Umbral),1,0))</f>
        <v/>
      </c>
      <c r="T719" s="20">
        <f>IF(OR(I719="",E719=""),"",IF(OR(I719="Gasto",I719="Transferencia",I719="Pago tarjeta"),-1,1)*C719)</f>
        <v/>
      </c>
      <c r="U719" s="20">
        <f>IF(OR(G719="",AND(I719&lt;&gt;"Transferencia",I719&lt;&gt;"Pago tarjeta")),"",IF(IFERROR(INDEX(ctaMon,MATCH(G719,ctaNom,0))&amp;"","DOP")=N719,C719,IF(N719="USD",C719*TasaUSD,C719/TasaUSD)))</f>
        <v/>
      </c>
      <c r="V719" s="20">
        <f>IF(I719="","",IF(IFERROR(INDEX(ctaLiq,MATCH(E719,ctaNom,0))="Sí",FALSE),IF(OR(I719="Gasto",I719="Transferencia",I719="Pago tarjeta"),-1,1)*O719,0)+IF(AND(U719&lt;&gt;"",IFERROR(INDEX(ctaLiq,MATCH(G719,ctaNom,0))="Sí",FALSE)),O719,0))</f>
        <v/>
      </c>
      <c r="W719" s="19">
        <f>IF(OR(F719="",I719=""),"",IF(COUNTIFS(F$6:F719,F719,I$6:I719,"?*")=1,MAX(W$5:W718)+1,""))</f>
        <v/>
      </c>
    </row>
    <row r="720">
      <c r="B720" s="15" t="n"/>
      <c r="C720" s="16" t="n"/>
      <c r="D720" s="17" t="n"/>
      <c r="E720" s="17" t="n"/>
      <c r="F720" s="17" t="n"/>
      <c r="G720" s="17" t="n"/>
      <c r="H720" s="18">
        <f>IF(AND(B720="",C720="",D720="",E720=""),"",IF(B720="","⚠ Falta fecha",IF(C720="","⚠ Falta monto",IF(D720="","⚠ Falta categoría",IF(ISNA(MATCH(D720,catNom,0)),"⚠ Categoría no existe",IF(E720="","⚠ Falta cuenta",IF(ISNA(MATCH(E720,ctaNom,0)),"⚠ Cuenta no existe",IF(AND(OR(I720="Transferencia",I720="Pago tarjeta"),G720=""),"⚠ Indica la cuenta «Hacia»",IF(AND(G720&lt;&gt;"",G720=E720),"⚠ «Hacia» igual a la cuenta",IF(AND(G720&lt;&gt;"",ISNA(MATCH(G720,ctaNom,0))),"⚠ «Hacia» no existe",IF(AND(I720="Pago tarjeta",IFERROR(INDEX(ctaTipo,MATCH(G720,ctaNom,0)),"")&lt;&gt;"Tarjeta de crédito"),"⚠ «Hacia» debe ser la tarjeta",IF(AND(I720="Trading",IFERROR(INDEX(ctaTipo,MATCH(E720,ctaNom,0)),"")&lt;&gt;"Cuenta de trading"),"⚠ Usa la cuenta de trading","✓"))))))))))))</f>
        <v/>
      </c>
      <c r="I720" s="19">
        <f>IF(OR(B720="",C720="",D720=""),"",IFERROR(INDEX(catTipo,MATCH(D720,catNom,0))&amp;"",""))</f>
        <v/>
      </c>
      <c r="J720" s="19">
        <f>IF(I720="","",IFERROR(INDEX(catGrupo,MATCH(D720,catNom,0))&amp;"",""))</f>
        <v/>
      </c>
      <c r="K720" s="19">
        <f>IF(I720="Gasto",IF(IFERROR(INDEX(catClas,MATCH(D720,catNom,0))&amp;"","")="","Variable",IFERROR(INDEX(catClas,MATCH(D720,catNom,0))&amp;"","")),"")</f>
        <v/>
      </c>
      <c r="L720" s="19">
        <f>IF(I720="","",IFERROR(INDEX(catAlim,MATCH(D720,catNom,0))&amp;"",""))</f>
        <v/>
      </c>
      <c r="M720" s="19">
        <f>IF(I720="","",IFERROR(INDEX(catComida,MATCH(D720,catNom,0))&amp;"",""))</f>
        <v/>
      </c>
      <c r="N720" s="19">
        <f>IF(I720="","",IFERROR(INDEX(ctaMon,MATCH(E720,ctaNom,0))&amp;"","DOP"))</f>
        <v/>
      </c>
      <c r="O720" s="20">
        <f>IF(I720="","",C720*IF(N720="USD",TasaUSD,1))</f>
        <v/>
      </c>
      <c r="P720" s="20">
        <f>IF(I720="","",IF(I720="Gasto",O720,0))</f>
        <v/>
      </c>
      <c r="Q720" s="20">
        <f>IF(I720="","",IF(I720="Ingreso",O720,0))</f>
        <v/>
      </c>
      <c r="R720" s="20">
        <f>IF(I720="","",IF(I720="Trading",O720,0))</f>
        <v/>
      </c>
      <c r="S720" s="19">
        <f>IF(I720="","",IF(AND(I720="Gasto",K720="Variable",J720&lt;&gt;"Trading",O720&gt;0,O720&lt;=Umbral),1,0))</f>
        <v/>
      </c>
      <c r="T720" s="20">
        <f>IF(OR(I720="",E720=""),"",IF(OR(I720="Gasto",I720="Transferencia",I720="Pago tarjeta"),-1,1)*C720)</f>
        <v/>
      </c>
      <c r="U720" s="20">
        <f>IF(OR(G720="",AND(I720&lt;&gt;"Transferencia",I720&lt;&gt;"Pago tarjeta")),"",IF(IFERROR(INDEX(ctaMon,MATCH(G720,ctaNom,0))&amp;"","DOP")=N720,C720,IF(N720="USD",C720*TasaUSD,C720/TasaUSD)))</f>
        <v/>
      </c>
      <c r="V720" s="20">
        <f>IF(I720="","",IF(IFERROR(INDEX(ctaLiq,MATCH(E720,ctaNom,0))="Sí",FALSE),IF(OR(I720="Gasto",I720="Transferencia",I720="Pago tarjeta"),-1,1)*O720,0)+IF(AND(U720&lt;&gt;"",IFERROR(INDEX(ctaLiq,MATCH(G720,ctaNom,0))="Sí",FALSE)),O720,0))</f>
        <v/>
      </c>
      <c r="W720" s="19">
        <f>IF(OR(F720="",I720=""),"",IF(COUNTIFS(F$6:F720,F720,I$6:I720,"?*")=1,MAX(W$5:W719)+1,""))</f>
        <v/>
      </c>
    </row>
    <row r="721">
      <c r="B721" s="15" t="n"/>
      <c r="C721" s="16" t="n"/>
      <c r="D721" s="17" t="n"/>
      <c r="E721" s="17" t="n"/>
      <c r="F721" s="17" t="n"/>
      <c r="G721" s="17" t="n"/>
      <c r="H721" s="18">
        <f>IF(AND(B721="",C721="",D721="",E721=""),"",IF(B721="","⚠ Falta fecha",IF(C721="","⚠ Falta monto",IF(D721="","⚠ Falta categoría",IF(ISNA(MATCH(D721,catNom,0)),"⚠ Categoría no existe",IF(E721="","⚠ Falta cuenta",IF(ISNA(MATCH(E721,ctaNom,0)),"⚠ Cuenta no existe",IF(AND(OR(I721="Transferencia",I721="Pago tarjeta"),G721=""),"⚠ Indica la cuenta «Hacia»",IF(AND(G721&lt;&gt;"",G721=E721),"⚠ «Hacia» igual a la cuenta",IF(AND(G721&lt;&gt;"",ISNA(MATCH(G721,ctaNom,0))),"⚠ «Hacia» no existe",IF(AND(I721="Pago tarjeta",IFERROR(INDEX(ctaTipo,MATCH(G721,ctaNom,0)),"")&lt;&gt;"Tarjeta de crédito"),"⚠ «Hacia» debe ser la tarjeta",IF(AND(I721="Trading",IFERROR(INDEX(ctaTipo,MATCH(E721,ctaNom,0)),"")&lt;&gt;"Cuenta de trading"),"⚠ Usa la cuenta de trading","✓"))))))))))))</f>
        <v/>
      </c>
      <c r="I721" s="19">
        <f>IF(OR(B721="",C721="",D721=""),"",IFERROR(INDEX(catTipo,MATCH(D721,catNom,0))&amp;"",""))</f>
        <v/>
      </c>
      <c r="J721" s="19">
        <f>IF(I721="","",IFERROR(INDEX(catGrupo,MATCH(D721,catNom,0))&amp;"",""))</f>
        <v/>
      </c>
      <c r="K721" s="19">
        <f>IF(I721="Gasto",IF(IFERROR(INDEX(catClas,MATCH(D721,catNom,0))&amp;"","")="","Variable",IFERROR(INDEX(catClas,MATCH(D721,catNom,0))&amp;"","")),"")</f>
        <v/>
      </c>
      <c r="L721" s="19">
        <f>IF(I721="","",IFERROR(INDEX(catAlim,MATCH(D721,catNom,0))&amp;"",""))</f>
        <v/>
      </c>
      <c r="M721" s="19">
        <f>IF(I721="","",IFERROR(INDEX(catComida,MATCH(D721,catNom,0))&amp;"",""))</f>
        <v/>
      </c>
      <c r="N721" s="19">
        <f>IF(I721="","",IFERROR(INDEX(ctaMon,MATCH(E721,ctaNom,0))&amp;"","DOP"))</f>
        <v/>
      </c>
      <c r="O721" s="20">
        <f>IF(I721="","",C721*IF(N721="USD",TasaUSD,1))</f>
        <v/>
      </c>
      <c r="P721" s="20">
        <f>IF(I721="","",IF(I721="Gasto",O721,0))</f>
        <v/>
      </c>
      <c r="Q721" s="20">
        <f>IF(I721="","",IF(I721="Ingreso",O721,0))</f>
        <v/>
      </c>
      <c r="R721" s="20">
        <f>IF(I721="","",IF(I721="Trading",O721,0))</f>
        <v/>
      </c>
      <c r="S721" s="19">
        <f>IF(I721="","",IF(AND(I721="Gasto",K721="Variable",J721&lt;&gt;"Trading",O721&gt;0,O721&lt;=Umbral),1,0))</f>
        <v/>
      </c>
      <c r="T721" s="20">
        <f>IF(OR(I721="",E721=""),"",IF(OR(I721="Gasto",I721="Transferencia",I721="Pago tarjeta"),-1,1)*C721)</f>
        <v/>
      </c>
      <c r="U721" s="20">
        <f>IF(OR(G721="",AND(I721&lt;&gt;"Transferencia",I721&lt;&gt;"Pago tarjeta")),"",IF(IFERROR(INDEX(ctaMon,MATCH(G721,ctaNom,0))&amp;"","DOP")=N721,C721,IF(N721="USD",C721*TasaUSD,C721/TasaUSD)))</f>
        <v/>
      </c>
      <c r="V721" s="20">
        <f>IF(I721="","",IF(IFERROR(INDEX(ctaLiq,MATCH(E721,ctaNom,0))="Sí",FALSE),IF(OR(I721="Gasto",I721="Transferencia",I721="Pago tarjeta"),-1,1)*O721,0)+IF(AND(U721&lt;&gt;"",IFERROR(INDEX(ctaLiq,MATCH(G721,ctaNom,0))="Sí",FALSE)),O721,0))</f>
        <v/>
      </c>
      <c r="W721" s="19">
        <f>IF(OR(F721="",I721=""),"",IF(COUNTIFS(F$6:F721,F721,I$6:I721,"?*")=1,MAX(W$5:W720)+1,""))</f>
        <v/>
      </c>
    </row>
    <row r="722">
      <c r="B722" s="15" t="n"/>
      <c r="C722" s="16" t="n"/>
      <c r="D722" s="17" t="n"/>
      <c r="E722" s="17" t="n"/>
      <c r="F722" s="17" t="n"/>
      <c r="G722" s="17" t="n"/>
      <c r="H722" s="18">
        <f>IF(AND(B722="",C722="",D722="",E722=""),"",IF(B722="","⚠ Falta fecha",IF(C722="","⚠ Falta monto",IF(D722="","⚠ Falta categoría",IF(ISNA(MATCH(D722,catNom,0)),"⚠ Categoría no existe",IF(E722="","⚠ Falta cuenta",IF(ISNA(MATCH(E722,ctaNom,0)),"⚠ Cuenta no existe",IF(AND(OR(I722="Transferencia",I722="Pago tarjeta"),G722=""),"⚠ Indica la cuenta «Hacia»",IF(AND(G722&lt;&gt;"",G722=E722),"⚠ «Hacia» igual a la cuenta",IF(AND(G722&lt;&gt;"",ISNA(MATCH(G722,ctaNom,0))),"⚠ «Hacia» no existe",IF(AND(I722="Pago tarjeta",IFERROR(INDEX(ctaTipo,MATCH(G722,ctaNom,0)),"")&lt;&gt;"Tarjeta de crédito"),"⚠ «Hacia» debe ser la tarjeta",IF(AND(I722="Trading",IFERROR(INDEX(ctaTipo,MATCH(E722,ctaNom,0)),"")&lt;&gt;"Cuenta de trading"),"⚠ Usa la cuenta de trading","✓"))))))))))))</f>
        <v/>
      </c>
      <c r="I722" s="19">
        <f>IF(OR(B722="",C722="",D722=""),"",IFERROR(INDEX(catTipo,MATCH(D722,catNom,0))&amp;"",""))</f>
        <v/>
      </c>
      <c r="J722" s="19">
        <f>IF(I722="","",IFERROR(INDEX(catGrupo,MATCH(D722,catNom,0))&amp;"",""))</f>
        <v/>
      </c>
      <c r="K722" s="19">
        <f>IF(I722="Gasto",IF(IFERROR(INDEX(catClas,MATCH(D722,catNom,0))&amp;"","")="","Variable",IFERROR(INDEX(catClas,MATCH(D722,catNom,0))&amp;"","")),"")</f>
        <v/>
      </c>
      <c r="L722" s="19">
        <f>IF(I722="","",IFERROR(INDEX(catAlim,MATCH(D722,catNom,0))&amp;"",""))</f>
        <v/>
      </c>
      <c r="M722" s="19">
        <f>IF(I722="","",IFERROR(INDEX(catComida,MATCH(D722,catNom,0))&amp;"",""))</f>
        <v/>
      </c>
      <c r="N722" s="19">
        <f>IF(I722="","",IFERROR(INDEX(ctaMon,MATCH(E722,ctaNom,0))&amp;"","DOP"))</f>
        <v/>
      </c>
      <c r="O722" s="20">
        <f>IF(I722="","",C722*IF(N722="USD",TasaUSD,1))</f>
        <v/>
      </c>
      <c r="P722" s="20">
        <f>IF(I722="","",IF(I722="Gasto",O722,0))</f>
        <v/>
      </c>
      <c r="Q722" s="20">
        <f>IF(I722="","",IF(I722="Ingreso",O722,0))</f>
        <v/>
      </c>
      <c r="R722" s="20">
        <f>IF(I722="","",IF(I722="Trading",O722,0))</f>
        <v/>
      </c>
      <c r="S722" s="19">
        <f>IF(I722="","",IF(AND(I722="Gasto",K722="Variable",J722&lt;&gt;"Trading",O722&gt;0,O722&lt;=Umbral),1,0))</f>
        <v/>
      </c>
      <c r="T722" s="20">
        <f>IF(OR(I722="",E722=""),"",IF(OR(I722="Gasto",I722="Transferencia",I722="Pago tarjeta"),-1,1)*C722)</f>
        <v/>
      </c>
      <c r="U722" s="20">
        <f>IF(OR(G722="",AND(I722&lt;&gt;"Transferencia",I722&lt;&gt;"Pago tarjeta")),"",IF(IFERROR(INDEX(ctaMon,MATCH(G722,ctaNom,0))&amp;"","DOP")=N722,C722,IF(N722="USD",C722*TasaUSD,C722/TasaUSD)))</f>
        <v/>
      </c>
      <c r="V722" s="20">
        <f>IF(I722="","",IF(IFERROR(INDEX(ctaLiq,MATCH(E722,ctaNom,0))="Sí",FALSE),IF(OR(I722="Gasto",I722="Transferencia",I722="Pago tarjeta"),-1,1)*O722,0)+IF(AND(U722&lt;&gt;"",IFERROR(INDEX(ctaLiq,MATCH(G722,ctaNom,0))="Sí",FALSE)),O722,0))</f>
        <v/>
      </c>
      <c r="W722" s="19">
        <f>IF(OR(F722="",I722=""),"",IF(COUNTIFS(F$6:F722,F722,I$6:I722,"?*")=1,MAX(W$5:W721)+1,""))</f>
        <v/>
      </c>
    </row>
    <row r="723">
      <c r="B723" s="15" t="n"/>
      <c r="C723" s="16" t="n"/>
      <c r="D723" s="17" t="n"/>
      <c r="E723" s="17" t="n"/>
      <c r="F723" s="17" t="n"/>
      <c r="G723" s="17" t="n"/>
      <c r="H723" s="18">
        <f>IF(AND(B723="",C723="",D723="",E723=""),"",IF(B723="","⚠ Falta fecha",IF(C723="","⚠ Falta monto",IF(D723="","⚠ Falta categoría",IF(ISNA(MATCH(D723,catNom,0)),"⚠ Categoría no existe",IF(E723="","⚠ Falta cuenta",IF(ISNA(MATCH(E723,ctaNom,0)),"⚠ Cuenta no existe",IF(AND(OR(I723="Transferencia",I723="Pago tarjeta"),G723=""),"⚠ Indica la cuenta «Hacia»",IF(AND(G723&lt;&gt;"",G723=E723),"⚠ «Hacia» igual a la cuenta",IF(AND(G723&lt;&gt;"",ISNA(MATCH(G723,ctaNom,0))),"⚠ «Hacia» no existe",IF(AND(I723="Pago tarjeta",IFERROR(INDEX(ctaTipo,MATCH(G723,ctaNom,0)),"")&lt;&gt;"Tarjeta de crédito"),"⚠ «Hacia» debe ser la tarjeta",IF(AND(I723="Trading",IFERROR(INDEX(ctaTipo,MATCH(E723,ctaNom,0)),"")&lt;&gt;"Cuenta de trading"),"⚠ Usa la cuenta de trading","✓"))))))))))))</f>
        <v/>
      </c>
      <c r="I723" s="19">
        <f>IF(OR(B723="",C723="",D723=""),"",IFERROR(INDEX(catTipo,MATCH(D723,catNom,0))&amp;"",""))</f>
        <v/>
      </c>
      <c r="J723" s="19">
        <f>IF(I723="","",IFERROR(INDEX(catGrupo,MATCH(D723,catNom,0))&amp;"",""))</f>
        <v/>
      </c>
      <c r="K723" s="19">
        <f>IF(I723="Gasto",IF(IFERROR(INDEX(catClas,MATCH(D723,catNom,0))&amp;"","")="","Variable",IFERROR(INDEX(catClas,MATCH(D723,catNom,0))&amp;"","")),"")</f>
        <v/>
      </c>
      <c r="L723" s="19">
        <f>IF(I723="","",IFERROR(INDEX(catAlim,MATCH(D723,catNom,0))&amp;"",""))</f>
        <v/>
      </c>
      <c r="M723" s="19">
        <f>IF(I723="","",IFERROR(INDEX(catComida,MATCH(D723,catNom,0))&amp;"",""))</f>
        <v/>
      </c>
      <c r="N723" s="19">
        <f>IF(I723="","",IFERROR(INDEX(ctaMon,MATCH(E723,ctaNom,0))&amp;"","DOP"))</f>
        <v/>
      </c>
      <c r="O723" s="20">
        <f>IF(I723="","",C723*IF(N723="USD",TasaUSD,1))</f>
        <v/>
      </c>
      <c r="P723" s="20">
        <f>IF(I723="","",IF(I723="Gasto",O723,0))</f>
        <v/>
      </c>
      <c r="Q723" s="20">
        <f>IF(I723="","",IF(I723="Ingreso",O723,0))</f>
        <v/>
      </c>
      <c r="R723" s="20">
        <f>IF(I723="","",IF(I723="Trading",O723,0))</f>
        <v/>
      </c>
      <c r="S723" s="19">
        <f>IF(I723="","",IF(AND(I723="Gasto",K723="Variable",J723&lt;&gt;"Trading",O723&gt;0,O723&lt;=Umbral),1,0))</f>
        <v/>
      </c>
      <c r="T723" s="20">
        <f>IF(OR(I723="",E723=""),"",IF(OR(I723="Gasto",I723="Transferencia",I723="Pago tarjeta"),-1,1)*C723)</f>
        <v/>
      </c>
      <c r="U723" s="20">
        <f>IF(OR(G723="",AND(I723&lt;&gt;"Transferencia",I723&lt;&gt;"Pago tarjeta")),"",IF(IFERROR(INDEX(ctaMon,MATCH(G723,ctaNom,0))&amp;"","DOP")=N723,C723,IF(N723="USD",C723*TasaUSD,C723/TasaUSD)))</f>
        <v/>
      </c>
      <c r="V723" s="20">
        <f>IF(I723="","",IF(IFERROR(INDEX(ctaLiq,MATCH(E723,ctaNom,0))="Sí",FALSE),IF(OR(I723="Gasto",I723="Transferencia",I723="Pago tarjeta"),-1,1)*O723,0)+IF(AND(U723&lt;&gt;"",IFERROR(INDEX(ctaLiq,MATCH(G723,ctaNom,0))="Sí",FALSE)),O723,0))</f>
        <v/>
      </c>
      <c r="W723" s="19">
        <f>IF(OR(F723="",I723=""),"",IF(COUNTIFS(F$6:F723,F723,I$6:I723,"?*")=1,MAX(W$5:W722)+1,""))</f>
        <v/>
      </c>
    </row>
    <row r="724">
      <c r="B724" s="15" t="n"/>
      <c r="C724" s="16" t="n"/>
      <c r="D724" s="17" t="n"/>
      <c r="E724" s="17" t="n"/>
      <c r="F724" s="17" t="n"/>
      <c r="G724" s="17" t="n"/>
      <c r="H724" s="18">
        <f>IF(AND(B724="",C724="",D724="",E724=""),"",IF(B724="","⚠ Falta fecha",IF(C724="","⚠ Falta monto",IF(D724="","⚠ Falta categoría",IF(ISNA(MATCH(D724,catNom,0)),"⚠ Categoría no existe",IF(E724="","⚠ Falta cuenta",IF(ISNA(MATCH(E724,ctaNom,0)),"⚠ Cuenta no existe",IF(AND(OR(I724="Transferencia",I724="Pago tarjeta"),G724=""),"⚠ Indica la cuenta «Hacia»",IF(AND(G724&lt;&gt;"",G724=E724),"⚠ «Hacia» igual a la cuenta",IF(AND(G724&lt;&gt;"",ISNA(MATCH(G724,ctaNom,0))),"⚠ «Hacia» no existe",IF(AND(I724="Pago tarjeta",IFERROR(INDEX(ctaTipo,MATCH(G724,ctaNom,0)),"")&lt;&gt;"Tarjeta de crédito"),"⚠ «Hacia» debe ser la tarjeta",IF(AND(I724="Trading",IFERROR(INDEX(ctaTipo,MATCH(E724,ctaNom,0)),"")&lt;&gt;"Cuenta de trading"),"⚠ Usa la cuenta de trading","✓"))))))))))))</f>
        <v/>
      </c>
      <c r="I724" s="19">
        <f>IF(OR(B724="",C724="",D724=""),"",IFERROR(INDEX(catTipo,MATCH(D724,catNom,0))&amp;"",""))</f>
        <v/>
      </c>
      <c r="J724" s="19">
        <f>IF(I724="","",IFERROR(INDEX(catGrupo,MATCH(D724,catNom,0))&amp;"",""))</f>
        <v/>
      </c>
      <c r="K724" s="19">
        <f>IF(I724="Gasto",IF(IFERROR(INDEX(catClas,MATCH(D724,catNom,0))&amp;"","")="","Variable",IFERROR(INDEX(catClas,MATCH(D724,catNom,0))&amp;"","")),"")</f>
        <v/>
      </c>
      <c r="L724" s="19">
        <f>IF(I724="","",IFERROR(INDEX(catAlim,MATCH(D724,catNom,0))&amp;"",""))</f>
        <v/>
      </c>
      <c r="M724" s="19">
        <f>IF(I724="","",IFERROR(INDEX(catComida,MATCH(D724,catNom,0))&amp;"",""))</f>
        <v/>
      </c>
      <c r="N724" s="19">
        <f>IF(I724="","",IFERROR(INDEX(ctaMon,MATCH(E724,ctaNom,0))&amp;"","DOP"))</f>
        <v/>
      </c>
      <c r="O724" s="20">
        <f>IF(I724="","",C724*IF(N724="USD",TasaUSD,1))</f>
        <v/>
      </c>
      <c r="P724" s="20">
        <f>IF(I724="","",IF(I724="Gasto",O724,0))</f>
        <v/>
      </c>
      <c r="Q724" s="20">
        <f>IF(I724="","",IF(I724="Ingreso",O724,0))</f>
        <v/>
      </c>
      <c r="R724" s="20">
        <f>IF(I724="","",IF(I724="Trading",O724,0))</f>
        <v/>
      </c>
      <c r="S724" s="19">
        <f>IF(I724="","",IF(AND(I724="Gasto",K724="Variable",J724&lt;&gt;"Trading",O724&gt;0,O724&lt;=Umbral),1,0))</f>
        <v/>
      </c>
      <c r="T724" s="20">
        <f>IF(OR(I724="",E724=""),"",IF(OR(I724="Gasto",I724="Transferencia",I724="Pago tarjeta"),-1,1)*C724)</f>
        <v/>
      </c>
      <c r="U724" s="20">
        <f>IF(OR(G724="",AND(I724&lt;&gt;"Transferencia",I724&lt;&gt;"Pago tarjeta")),"",IF(IFERROR(INDEX(ctaMon,MATCH(G724,ctaNom,0))&amp;"","DOP")=N724,C724,IF(N724="USD",C724*TasaUSD,C724/TasaUSD)))</f>
        <v/>
      </c>
      <c r="V724" s="20">
        <f>IF(I724="","",IF(IFERROR(INDEX(ctaLiq,MATCH(E724,ctaNom,0))="Sí",FALSE),IF(OR(I724="Gasto",I724="Transferencia",I724="Pago tarjeta"),-1,1)*O724,0)+IF(AND(U724&lt;&gt;"",IFERROR(INDEX(ctaLiq,MATCH(G724,ctaNom,0))="Sí",FALSE)),O724,0))</f>
        <v/>
      </c>
      <c r="W724" s="19">
        <f>IF(OR(F724="",I724=""),"",IF(COUNTIFS(F$6:F724,F724,I$6:I724,"?*")=1,MAX(W$5:W723)+1,""))</f>
        <v/>
      </c>
    </row>
    <row r="725">
      <c r="B725" s="15" t="n"/>
      <c r="C725" s="16" t="n"/>
      <c r="D725" s="17" t="n"/>
      <c r="E725" s="17" t="n"/>
      <c r="F725" s="17" t="n"/>
      <c r="G725" s="17" t="n"/>
      <c r="H725" s="18">
        <f>IF(AND(B725="",C725="",D725="",E725=""),"",IF(B725="","⚠ Falta fecha",IF(C725="","⚠ Falta monto",IF(D725="","⚠ Falta categoría",IF(ISNA(MATCH(D725,catNom,0)),"⚠ Categoría no existe",IF(E725="","⚠ Falta cuenta",IF(ISNA(MATCH(E725,ctaNom,0)),"⚠ Cuenta no existe",IF(AND(OR(I725="Transferencia",I725="Pago tarjeta"),G725=""),"⚠ Indica la cuenta «Hacia»",IF(AND(G725&lt;&gt;"",G725=E725),"⚠ «Hacia» igual a la cuenta",IF(AND(G725&lt;&gt;"",ISNA(MATCH(G725,ctaNom,0))),"⚠ «Hacia» no existe",IF(AND(I725="Pago tarjeta",IFERROR(INDEX(ctaTipo,MATCH(G725,ctaNom,0)),"")&lt;&gt;"Tarjeta de crédito"),"⚠ «Hacia» debe ser la tarjeta",IF(AND(I725="Trading",IFERROR(INDEX(ctaTipo,MATCH(E725,ctaNom,0)),"")&lt;&gt;"Cuenta de trading"),"⚠ Usa la cuenta de trading","✓"))))))))))))</f>
        <v/>
      </c>
      <c r="I725" s="19">
        <f>IF(OR(B725="",C725="",D725=""),"",IFERROR(INDEX(catTipo,MATCH(D725,catNom,0))&amp;"",""))</f>
        <v/>
      </c>
      <c r="J725" s="19">
        <f>IF(I725="","",IFERROR(INDEX(catGrupo,MATCH(D725,catNom,0))&amp;"",""))</f>
        <v/>
      </c>
      <c r="K725" s="19">
        <f>IF(I725="Gasto",IF(IFERROR(INDEX(catClas,MATCH(D725,catNom,0))&amp;"","")="","Variable",IFERROR(INDEX(catClas,MATCH(D725,catNom,0))&amp;"","")),"")</f>
        <v/>
      </c>
      <c r="L725" s="19">
        <f>IF(I725="","",IFERROR(INDEX(catAlim,MATCH(D725,catNom,0))&amp;"",""))</f>
        <v/>
      </c>
      <c r="M725" s="19">
        <f>IF(I725="","",IFERROR(INDEX(catComida,MATCH(D725,catNom,0))&amp;"",""))</f>
        <v/>
      </c>
      <c r="N725" s="19">
        <f>IF(I725="","",IFERROR(INDEX(ctaMon,MATCH(E725,ctaNom,0))&amp;"","DOP"))</f>
        <v/>
      </c>
      <c r="O725" s="20">
        <f>IF(I725="","",C725*IF(N725="USD",TasaUSD,1))</f>
        <v/>
      </c>
      <c r="P725" s="20">
        <f>IF(I725="","",IF(I725="Gasto",O725,0))</f>
        <v/>
      </c>
      <c r="Q725" s="20">
        <f>IF(I725="","",IF(I725="Ingreso",O725,0))</f>
        <v/>
      </c>
      <c r="R725" s="20">
        <f>IF(I725="","",IF(I725="Trading",O725,0))</f>
        <v/>
      </c>
      <c r="S725" s="19">
        <f>IF(I725="","",IF(AND(I725="Gasto",K725="Variable",J725&lt;&gt;"Trading",O725&gt;0,O725&lt;=Umbral),1,0))</f>
        <v/>
      </c>
      <c r="T725" s="20">
        <f>IF(OR(I725="",E725=""),"",IF(OR(I725="Gasto",I725="Transferencia",I725="Pago tarjeta"),-1,1)*C725)</f>
        <v/>
      </c>
      <c r="U725" s="20">
        <f>IF(OR(G725="",AND(I725&lt;&gt;"Transferencia",I725&lt;&gt;"Pago tarjeta")),"",IF(IFERROR(INDEX(ctaMon,MATCH(G725,ctaNom,0))&amp;"","DOP")=N725,C725,IF(N725="USD",C725*TasaUSD,C725/TasaUSD)))</f>
        <v/>
      </c>
      <c r="V725" s="20">
        <f>IF(I725="","",IF(IFERROR(INDEX(ctaLiq,MATCH(E725,ctaNom,0))="Sí",FALSE),IF(OR(I725="Gasto",I725="Transferencia",I725="Pago tarjeta"),-1,1)*O725,0)+IF(AND(U725&lt;&gt;"",IFERROR(INDEX(ctaLiq,MATCH(G725,ctaNom,0))="Sí",FALSE)),O725,0))</f>
        <v/>
      </c>
      <c r="W725" s="19">
        <f>IF(OR(F725="",I725=""),"",IF(COUNTIFS(F$6:F725,F725,I$6:I725,"?*")=1,MAX(W$5:W724)+1,""))</f>
        <v/>
      </c>
    </row>
    <row r="726">
      <c r="B726" s="15" t="n"/>
      <c r="C726" s="16" t="n"/>
      <c r="D726" s="17" t="n"/>
      <c r="E726" s="17" t="n"/>
      <c r="F726" s="17" t="n"/>
      <c r="G726" s="17" t="n"/>
      <c r="H726" s="18">
        <f>IF(AND(B726="",C726="",D726="",E726=""),"",IF(B726="","⚠ Falta fecha",IF(C726="","⚠ Falta monto",IF(D726="","⚠ Falta categoría",IF(ISNA(MATCH(D726,catNom,0)),"⚠ Categoría no existe",IF(E726="","⚠ Falta cuenta",IF(ISNA(MATCH(E726,ctaNom,0)),"⚠ Cuenta no existe",IF(AND(OR(I726="Transferencia",I726="Pago tarjeta"),G726=""),"⚠ Indica la cuenta «Hacia»",IF(AND(G726&lt;&gt;"",G726=E726),"⚠ «Hacia» igual a la cuenta",IF(AND(G726&lt;&gt;"",ISNA(MATCH(G726,ctaNom,0))),"⚠ «Hacia» no existe",IF(AND(I726="Pago tarjeta",IFERROR(INDEX(ctaTipo,MATCH(G726,ctaNom,0)),"")&lt;&gt;"Tarjeta de crédito"),"⚠ «Hacia» debe ser la tarjeta",IF(AND(I726="Trading",IFERROR(INDEX(ctaTipo,MATCH(E726,ctaNom,0)),"")&lt;&gt;"Cuenta de trading"),"⚠ Usa la cuenta de trading","✓"))))))))))))</f>
        <v/>
      </c>
      <c r="I726" s="19">
        <f>IF(OR(B726="",C726="",D726=""),"",IFERROR(INDEX(catTipo,MATCH(D726,catNom,0))&amp;"",""))</f>
        <v/>
      </c>
      <c r="J726" s="19">
        <f>IF(I726="","",IFERROR(INDEX(catGrupo,MATCH(D726,catNom,0))&amp;"",""))</f>
        <v/>
      </c>
      <c r="K726" s="19">
        <f>IF(I726="Gasto",IF(IFERROR(INDEX(catClas,MATCH(D726,catNom,0))&amp;"","")="","Variable",IFERROR(INDEX(catClas,MATCH(D726,catNom,0))&amp;"","")),"")</f>
        <v/>
      </c>
      <c r="L726" s="19">
        <f>IF(I726="","",IFERROR(INDEX(catAlim,MATCH(D726,catNom,0))&amp;"",""))</f>
        <v/>
      </c>
      <c r="M726" s="19">
        <f>IF(I726="","",IFERROR(INDEX(catComida,MATCH(D726,catNom,0))&amp;"",""))</f>
        <v/>
      </c>
      <c r="N726" s="19">
        <f>IF(I726="","",IFERROR(INDEX(ctaMon,MATCH(E726,ctaNom,0))&amp;"","DOP"))</f>
        <v/>
      </c>
      <c r="O726" s="20">
        <f>IF(I726="","",C726*IF(N726="USD",TasaUSD,1))</f>
        <v/>
      </c>
      <c r="P726" s="20">
        <f>IF(I726="","",IF(I726="Gasto",O726,0))</f>
        <v/>
      </c>
      <c r="Q726" s="20">
        <f>IF(I726="","",IF(I726="Ingreso",O726,0))</f>
        <v/>
      </c>
      <c r="R726" s="20">
        <f>IF(I726="","",IF(I726="Trading",O726,0))</f>
        <v/>
      </c>
      <c r="S726" s="19">
        <f>IF(I726="","",IF(AND(I726="Gasto",K726="Variable",J726&lt;&gt;"Trading",O726&gt;0,O726&lt;=Umbral),1,0))</f>
        <v/>
      </c>
      <c r="T726" s="20">
        <f>IF(OR(I726="",E726=""),"",IF(OR(I726="Gasto",I726="Transferencia",I726="Pago tarjeta"),-1,1)*C726)</f>
        <v/>
      </c>
      <c r="U726" s="20">
        <f>IF(OR(G726="",AND(I726&lt;&gt;"Transferencia",I726&lt;&gt;"Pago tarjeta")),"",IF(IFERROR(INDEX(ctaMon,MATCH(G726,ctaNom,0))&amp;"","DOP")=N726,C726,IF(N726="USD",C726*TasaUSD,C726/TasaUSD)))</f>
        <v/>
      </c>
      <c r="V726" s="20">
        <f>IF(I726="","",IF(IFERROR(INDEX(ctaLiq,MATCH(E726,ctaNom,0))="Sí",FALSE),IF(OR(I726="Gasto",I726="Transferencia",I726="Pago tarjeta"),-1,1)*O726,0)+IF(AND(U726&lt;&gt;"",IFERROR(INDEX(ctaLiq,MATCH(G726,ctaNom,0))="Sí",FALSE)),O726,0))</f>
        <v/>
      </c>
      <c r="W726" s="19">
        <f>IF(OR(F726="",I726=""),"",IF(COUNTIFS(F$6:F726,F726,I$6:I726,"?*")=1,MAX(W$5:W725)+1,""))</f>
        <v/>
      </c>
    </row>
    <row r="727">
      <c r="B727" s="15" t="n"/>
      <c r="C727" s="16" t="n"/>
      <c r="D727" s="17" t="n"/>
      <c r="E727" s="17" t="n"/>
      <c r="F727" s="17" t="n"/>
      <c r="G727" s="17" t="n"/>
      <c r="H727" s="18">
        <f>IF(AND(B727="",C727="",D727="",E727=""),"",IF(B727="","⚠ Falta fecha",IF(C727="","⚠ Falta monto",IF(D727="","⚠ Falta categoría",IF(ISNA(MATCH(D727,catNom,0)),"⚠ Categoría no existe",IF(E727="","⚠ Falta cuenta",IF(ISNA(MATCH(E727,ctaNom,0)),"⚠ Cuenta no existe",IF(AND(OR(I727="Transferencia",I727="Pago tarjeta"),G727=""),"⚠ Indica la cuenta «Hacia»",IF(AND(G727&lt;&gt;"",G727=E727),"⚠ «Hacia» igual a la cuenta",IF(AND(G727&lt;&gt;"",ISNA(MATCH(G727,ctaNom,0))),"⚠ «Hacia» no existe",IF(AND(I727="Pago tarjeta",IFERROR(INDEX(ctaTipo,MATCH(G727,ctaNom,0)),"")&lt;&gt;"Tarjeta de crédito"),"⚠ «Hacia» debe ser la tarjeta",IF(AND(I727="Trading",IFERROR(INDEX(ctaTipo,MATCH(E727,ctaNom,0)),"")&lt;&gt;"Cuenta de trading"),"⚠ Usa la cuenta de trading","✓"))))))))))))</f>
        <v/>
      </c>
      <c r="I727" s="19">
        <f>IF(OR(B727="",C727="",D727=""),"",IFERROR(INDEX(catTipo,MATCH(D727,catNom,0))&amp;"",""))</f>
        <v/>
      </c>
      <c r="J727" s="19">
        <f>IF(I727="","",IFERROR(INDEX(catGrupo,MATCH(D727,catNom,0))&amp;"",""))</f>
        <v/>
      </c>
      <c r="K727" s="19">
        <f>IF(I727="Gasto",IF(IFERROR(INDEX(catClas,MATCH(D727,catNom,0))&amp;"","")="","Variable",IFERROR(INDEX(catClas,MATCH(D727,catNom,0))&amp;"","")),"")</f>
        <v/>
      </c>
      <c r="L727" s="19">
        <f>IF(I727="","",IFERROR(INDEX(catAlim,MATCH(D727,catNom,0))&amp;"",""))</f>
        <v/>
      </c>
      <c r="M727" s="19">
        <f>IF(I727="","",IFERROR(INDEX(catComida,MATCH(D727,catNom,0))&amp;"",""))</f>
        <v/>
      </c>
      <c r="N727" s="19">
        <f>IF(I727="","",IFERROR(INDEX(ctaMon,MATCH(E727,ctaNom,0))&amp;"","DOP"))</f>
        <v/>
      </c>
      <c r="O727" s="20">
        <f>IF(I727="","",C727*IF(N727="USD",TasaUSD,1))</f>
        <v/>
      </c>
      <c r="P727" s="20">
        <f>IF(I727="","",IF(I727="Gasto",O727,0))</f>
        <v/>
      </c>
      <c r="Q727" s="20">
        <f>IF(I727="","",IF(I727="Ingreso",O727,0))</f>
        <v/>
      </c>
      <c r="R727" s="20">
        <f>IF(I727="","",IF(I727="Trading",O727,0))</f>
        <v/>
      </c>
      <c r="S727" s="19">
        <f>IF(I727="","",IF(AND(I727="Gasto",K727="Variable",J727&lt;&gt;"Trading",O727&gt;0,O727&lt;=Umbral),1,0))</f>
        <v/>
      </c>
      <c r="T727" s="20">
        <f>IF(OR(I727="",E727=""),"",IF(OR(I727="Gasto",I727="Transferencia",I727="Pago tarjeta"),-1,1)*C727)</f>
        <v/>
      </c>
      <c r="U727" s="20">
        <f>IF(OR(G727="",AND(I727&lt;&gt;"Transferencia",I727&lt;&gt;"Pago tarjeta")),"",IF(IFERROR(INDEX(ctaMon,MATCH(G727,ctaNom,0))&amp;"","DOP")=N727,C727,IF(N727="USD",C727*TasaUSD,C727/TasaUSD)))</f>
        <v/>
      </c>
      <c r="V727" s="20">
        <f>IF(I727="","",IF(IFERROR(INDEX(ctaLiq,MATCH(E727,ctaNom,0))="Sí",FALSE),IF(OR(I727="Gasto",I727="Transferencia",I727="Pago tarjeta"),-1,1)*O727,0)+IF(AND(U727&lt;&gt;"",IFERROR(INDEX(ctaLiq,MATCH(G727,ctaNom,0))="Sí",FALSE)),O727,0))</f>
        <v/>
      </c>
      <c r="W727" s="19">
        <f>IF(OR(F727="",I727=""),"",IF(COUNTIFS(F$6:F727,F727,I$6:I727,"?*")=1,MAX(W$5:W726)+1,""))</f>
        <v/>
      </c>
    </row>
    <row r="728">
      <c r="B728" s="15" t="n"/>
      <c r="C728" s="16" t="n"/>
      <c r="D728" s="17" t="n"/>
      <c r="E728" s="17" t="n"/>
      <c r="F728" s="17" t="n"/>
      <c r="G728" s="17" t="n"/>
      <c r="H728" s="18">
        <f>IF(AND(B728="",C728="",D728="",E728=""),"",IF(B728="","⚠ Falta fecha",IF(C728="","⚠ Falta monto",IF(D728="","⚠ Falta categoría",IF(ISNA(MATCH(D728,catNom,0)),"⚠ Categoría no existe",IF(E728="","⚠ Falta cuenta",IF(ISNA(MATCH(E728,ctaNom,0)),"⚠ Cuenta no existe",IF(AND(OR(I728="Transferencia",I728="Pago tarjeta"),G728=""),"⚠ Indica la cuenta «Hacia»",IF(AND(G728&lt;&gt;"",G728=E728),"⚠ «Hacia» igual a la cuenta",IF(AND(G728&lt;&gt;"",ISNA(MATCH(G728,ctaNom,0))),"⚠ «Hacia» no existe",IF(AND(I728="Pago tarjeta",IFERROR(INDEX(ctaTipo,MATCH(G728,ctaNom,0)),"")&lt;&gt;"Tarjeta de crédito"),"⚠ «Hacia» debe ser la tarjeta",IF(AND(I728="Trading",IFERROR(INDEX(ctaTipo,MATCH(E728,ctaNom,0)),"")&lt;&gt;"Cuenta de trading"),"⚠ Usa la cuenta de trading","✓"))))))))))))</f>
        <v/>
      </c>
      <c r="I728" s="19">
        <f>IF(OR(B728="",C728="",D728=""),"",IFERROR(INDEX(catTipo,MATCH(D728,catNom,0))&amp;"",""))</f>
        <v/>
      </c>
      <c r="J728" s="19">
        <f>IF(I728="","",IFERROR(INDEX(catGrupo,MATCH(D728,catNom,0))&amp;"",""))</f>
        <v/>
      </c>
      <c r="K728" s="19">
        <f>IF(I728="Gasto",IF(IFERROR(INDEX(catClas,MATCH(D728,catNom,0))&amp;"","")="","Variable",IFERROR(INDEX(catClas,MATCH(D728,catNom,0))&amp;"","")),"")</f>
        <v/>
      </c>
      <c r="L728" s="19">
        <f>IF(I728="","",IFERROR(INDEX(catAlim,MATCH(D728,catNom,0))&amp;"",""))</f>
        <v/>
      </c>
      <c r="M728" s="19">
        <f>IF(I728="","",IFERROR(INDEX(catComida,MATCH(D728,catNom,0))&amp;"",""))</f>
        <v/>
      </c>
      <c r="N728" s="19">
        <f>IF(I728="","",IFERROR(INDEX(ctaMon,MATCH(E728,ctaNom,0))&amp;"","DOP"))</f>
        <v/>
      </c>
      <c r="O728" s="20">
        <f>IF(I728="","",C728*IF(N728="USD",TasaUSD,1))</f>
        <v/>
      </c>
      <c r="P728" s="20">
        <f>IF(I728="","",IF(I728="Gasto",O728,0))</f>
        <v/>
      </c>
      <c r="Q728" s="20">
        <f>IF(I728="","",IF(I728="Ingreso",O728,0))</f>
        <v/>
      </c>
      <c r="R728" s="20">
        <f>IF(I728="","",IF(I728="Trading",O728,0))</f>
        <v/>
      </c>
      <c r="S728" s="19">
        <f>IF(I728="","",IF(AND(I728="Gasto",K728="Variable",J728&lt;&gt;"Trading",O728&gt;0,O728&lt;=Umbral),1,0))</f>
        <v/>
      </c>
      <c r="T728" s="20">
        <f>IF(OR(I728="",E728=""),"",IF(OR(I728="Gasto",I728="Transferencia",I728="Pago tarjeta"),-1,1)*C728)</f>
        <v/>
      </c>
      <c r="U728" s="20">
        <f>IF(OR(G728="",AND(I728&lt;&gt;"Transferencia",I728&lt;&gt;"Pago tarjeta")),"",IF(IFERROR(INDEX(ctaMon,MATCH(G728,ctaNom,0))&amp;"","DOP")=N728,C728,IF(N728="USD",C728*TasaUSD,C728/TasaUSD)))</f>
        <v/>
      </c>
      <c r="V728" s="20">
        <f>IF(I728="","",IF(IFERROR(INDEX(ctaLiq,MATCH(E728,ctaNom,0))="Sí",FALSE),IF(OR(I728="Gasto",I728="Transferencia",I728="Pago tarjeta"),-1,1)*O728,0)+IF(AND(U728&lt;&gt;"",IFERROR(INDEX(ctaLiq,MATCH(G728,ctaNom,0))="Sí",FALSE)),O728,0))</f>
        <v/>
      </c>
      <c r="W728" s="19">
        <f>IF(OR(F728="",I728=""),"",IF(COUNTIFS(F$6:F728,F728,I$6:I728,"?*")=1,MAX(W$5:W727)+1,""))</f>
        <v/>
      </c>
    </row>
    <row r="729">
      <c r="B729" s="15" t="n"/>
      <c r="C729" s="16" t="n"/>
      <c r="D729" s="17" t="n"/>
      <c r="E729" s="17" t="n"/>
      <c r="F729" s="17" t="n"/>
      <c r="G729" s="17" t="n"/>
      <c r="H729" s="18">
        <f>IF(AND(B729="",C729="",D729="",E729=""),"",IF(B729="","⚠ Falta fecha",IF(C729="","⚠ Falta monto",IF(D729="","⚠ Falta categoría",IF(ISNA(MATCH(D729,catNom,0)),"⚠ Categoría no existe",IF(E729="","⚠ Falta cuenta",IF(ISNA(MATCH(E729,ctaNom,0)),"⚠ Cuenta no existe",IF(AND(OR(I729="Transferencia",I729="Pago tarjeta"),G729=""),"⚠ Indica la cuenta «Hacia»",IF(AND(G729&lt;&gt;"",G729=E729),"⚠ «Hacia» igual a la cuenta",IF(AND(G729&lt;&gt;"",ISNA(MATCH(G729,ctaNom,0))),"⚠ «Hacia» no existe",IF(AND(I729="Pago tarjeta",IFERROR(INDEX(ctaTipo,MATCH(G729,ctaNom,0)),"")&lt;&gt;"Tarjeta de crédito"),"⚠ «Hacia» debe ser la tarjeta",IF(AND(I729="Trading",IFERROR(INDEX(ctaTipo,MATCH(E729,ctaNom,0)),"")&lt;&gt;"Cuenta de trading"),"⚠ Usa la cuenta de trading","✓"))))))))))))</f>
        <v/>
      </c>
      <c r="I729" s="19">
        <f>IF(OR(B729="",C729="",D729=""),"",IFERROR(INDEX(catTipo,MATCH(D729,catNom,0))&amp;"",""))</f>
        <v/>
      </c>
      <c r="J729" s="19">
        <f>IF(I729="","",IFERROR(INDEX(catGrupo,MATCH(D729,catNom,0))&amp;"",""))</f>
        <v/>
      </c>
      <c r="K729" s="19">
        <f>IF(I729="Gasto",IF(IFERROR(INDEX(catClas,MATCH(D729,catNom,0))&amp;"","")="","Variable",IFERROR(INDEX(catClas,MATCH(D729,catNom,0))&amp;"","")),"")</f>
        <v/>
      </c>
      <c r="L729" s="19">
        <f>IF(I729="","",IFERROR(INDEX(catAlim,MATCH(D729,catNom,0))&amp;"",""))</f>
        <v/>
      </c>
      <c r="M729" s="19">
        <f>IF(I729="","",IFERROR(INDEX(catComida,MATCH(D729,catNom,0))&amp;"",""))</f>
        <v/>
      </c>
      <c r="N729" s="19">
        <f>IF(I729="","",IFERROR(INDEX(ctaMon,MATCH(E729,ctaNom,0))&amp;"","DOP"))</f>
        <v/>
      </c>
      <c r="O729" s="20">
        <f>IF(I729="","",C729*IF(N729="USD",TasaUSD,1))</f>
        <v/>
      </c>
      <c r="P729" s="20">
        <f>IF(I729="","",IF(I729="Gasto",O729,0))</f>
        <v/>
      </c>
      <c r="Q729" s="20">
        <f>IF(I729="","",IF(I729="Ingreso",O729,0))</f>
        <v/>
      </c>
      <c r="R729" s="20">
        <f>IF(I729="","",IF(I729="Trading",O729,0))</f>
        <v/>
      </c>
      <c r="S729" s="19">
        <f>IF(I729="","",IF(AND(I729="Gasto",K729="Variable",J729&lt;&gt;"Trading",O729&gt;0,O729&lt;=Umbral),1,0))</f>
        <v/>
      </c>
      <c r="T729" s="20">
        <f>IF(OR(I729="",E729=""),"",IF(OR(I729="Gasto",I729="Transferencia",I729="Pago tarjeta"),-1,1)*C729)</f>
        <v/>
      </c>
      <c r="U729" s="20">
        <f>IF(OR(G729="",AND(I729&lt;&gt;"Transferencia",I729&lt;&gt;"Pago tarjeta")),"",IF(IFERROR(INDEX(ctaMon,MATCH(G729,ctaNom,0))&amp;"","DOP")=N729,C729,IF(N729="USD",C729*TasaUSD,C729/TasaUSD)))</f>
        <v/>
      </c>
      <c r="V729" s="20">
        <f>IF(I729="","",IF(IFERROR(INDEX(ctaLiq,MATCH(E729,ctaNom,0))="Sí",FALSE),IF(OR(I729="Gasto",I729="Transferencia",I729="Pago tarjeta"),-1,1)*O729,0)+IF(AND(U729&lt;&gt;"",IFERROR(INDEX(ctaLiq,MATCH(G729,ctaNom,0))="Sí",FALSE)),O729,0))</f>
        <v/>
      </c>
      <c r="W729" s="19">
        <f>IF(OR(F729="",I729=""),"",IF(COUNTIFS(F$6:F729,F729,I$6:I729,"?*")=1,MAX(W$5:W728)+1,""))</f>
        <v/>
      </c>
    </row>
    <row r="730">
      <c r="B730" s="15" t="n"/>
      <c r="C730" s="16" t="n"/>
      <c r="D730" s="17" t="n"/>
      <c r="E730" s="17" t="n"/>
      <c r="F730" s="17" t="n"/>
      <c r="G730" s="17" t="n"/>
      <c r="H730" s="18">
        <f>IF(AND(B730="",C730="",D730="",E730=""),"",IF(B730="","⚠ Falta fecha",IF(C730="","⚠ Falta monto",IF(D730="","⚠ Falta categoría",IF(ISNA(MATCH(D730,catNom,0)),"⚠ Categoría no existe",IF(E730="","⚠ Falta cuenta",IF(ISNA(MATCH(E730,ctaNom,0)),"⚠ Cuenta no existe",IF(AND(OR(I730="Transferencia",I730="Pago tarjeta"),G730=""),"⚠ Indica la cuenta «Hacia»",IF(AND(G730&lt;&gt;"",G730=E730),"⚠ «Hacia» igual a la cuenta",IF(AND(G730&lt;&gt;"",ISNA(MATCH(G730,ctaNom,0))),"⚠ «Hacia» no existe",IF(AND(I730="Pago tarjeta",IFERROR(INDEX(ctaTipo,MATCH(G730,ctaNom,0)),"")&lt;&gt;"Tarjeta de crédito"),"⚠ «Hacia» debe ser la tarjeta",IF(AND(I730="Trading",IFERROR(INDEX(ctaTipo,MATCH(E730,ctaNom,0)),"")&lt;&gt;"Cuenta de trading"),"⚠ Usa la cuenta de trading","✓"))))))))))))</f>
        <v/>
      </c>
      <c r="I730" s="19">
        <f>IF(OR(B730="",C730="",D730=""),"",IFERROR(INDEX(catTipo,MATCH(D730,catNom,0))&amp;"",""))</f>
        <v/>
      </c>
      <c r="J730" s="19">
        <f>IF(I730="","",IFERROR(INDEX(catGrupo,MATCH(D730,catNom,0))&amp;"",""))</f>
        <v/>
      </c>
      <c r="K730" s="19">
        <f>IF(I730="Gasto",IF(IFERROR(INDEX(catClas,MATCH(D730,catNom,0))&amp;"","")="","Variable",IFERROR(INDEX(catClas,MATCH(D730,catNom,0))&amp;"","")),"")</f>
        <v/>
      </c>
      <c r="L730" s="19">
        <f>IF(I730="","",IFERROR(INDEX(catAlim,MATCH(D730,catNom,0))&amp;"",""))</f>
        <v/>
      </c>
      <c r="M730" s="19">
        <f>IF(I730="","",IFERROR(INDEX(catComida,MATCH(D730,catNom,0))&amp;"",""))</f>
        <v/>
      </c>
      <c r="N730" s="19">
        <f>IF(I730="","",IFERROR(INDEX(ctaMon,MATCH(E730,ctaNom,0))&amp;"","DOP"))</f>
        <v/>
      </c>
      <c r="O730" s="20">
        <f>IF(I730="","",C730*IF(N730="USD",TasaUSD,1))</f>
        <v/>
      </c>
      <c r="P730" s="20">
        <f>IF(I730="","",IF(I730="Gasto",O730,0))</f>
        <v/>
      </c>
      <c r="Q730" s="20">
        <f>IF(I730="","",IF(I730="Ingreso",O730,0))</f>
        <v/>
      </c>
      <c r="R730" s="20">
        <f>IF(I730="","",IF(I730="Trading",O730,0))</f>
        <v/>
      </c>
      <c r="S730" s="19">
        <f>IF(I730="","",IF(AND(I730="Gasto",K730="Variable",J730&lt;&gt;"Trading",O730&gt;0,O730&lt;=Umbral),1,0))</f>
        <v/>
      </c>
      <c r="T730" s="20">
        <f>IF(OR(I730="",E730=""),"",IF(OR(I730="Gasto",I730="Transferencia",I730="Pago tarjeta"),-1,1)*C730)</f>
        <v/>
      </c>
      <c r="U730" s="20">
        <f>IF(OR(G730="",AND(I730&lt;&gt;"Transferencia",I730&lt;&gt;"Pago tarjeta")),"",IF(IFERROR(INDEX(ctaMon,MATCH(G730,ctaNom,0))&amp;"","DOP")=N730,C730,IF(N730="USD",C730*TasaUSD,C730/TasaUSD)))</f>
        <v/>
      </c>
      <c r="V730" s="20">
        <f>IF(I730="","",IF(IFERROR(INDEX(ctaLiq,MATCH(E730,ctaNom,0))="Sí",FALSE),IF(OR(I730="Gasto",I730="Transferencia",I730="Pago tarjeta"),-1,1)*O730,0)+IF(AND(U730&lt;&gt;"",IFERROR(INDEX(ctaLiq,MATCH(G730,ctaNom,0))="Sí",FALSE)),O730,0))</f>
        <v/>
      </c>
      <c r="W730" s="19">
        <f>IF(OR(F730="",I730=""),"",IF(COUNTIFS(F$6:F730,F730,I$6:I730,"?*")=1,MAX(W$5:W729)+1,""))</f>
        <v/>
      </c>
    </row>
    <row r="731">
      <c r="B731" s="15" t="n"/>
      <c r="C731" s="16" t="n"/>
      <c r="D731" s="17" t="n"/>
      <c r="E731" s="17" t="n"/>
      <c r="F731" s="17" t="n"/>
      <c r="G731" s="17" t="n"/>
      <c r="H731" s="18">
        <f>IF(AND(B731="",C731="",D731="",E731=""),"",IF(B731="","⚠ Falta fecha",IF(C731="","⚠ Falta monto",IF(D731="","⚠ Falta categoría",IF(ISNA(MATCH(D731,catNom,0)),"⚠ Categoría no existe",IF(E731="","⚠ Falta cuenta",IF(ISNA(MATCH(E731,ctaNom,0)),"⚠ Cuenta no existe",IF(AND(OR(I731="Transferencia",I731="Pago tarjeta"),G731=""),"⚠ Indica la cuenta «Hacia»",IF(AND(G731&lt;&gt;"",G731=E731),"⚠ «Hacia» igual a la cuenta",IF(AND(G731&lt;&gt;"",ISNA(MATCH(G731,ctaNom,0))),"⚠ «Hacia» no existe",IF(AND(I731="Pago tarjeta",IFERROR(INDEX(ctaTipo,MATCH(G731,ctaNom,0)),"")&lt;&gt;"Tarjeta de crédito"),"⚠ «Hacia» debe ser la tarjeta",IF(AND(I731="Trading",IFERROR(INDEX(ctaTipo,MATCH(E731,ctaNom,0)),"")&lt;&gt;"Cuenta de trading"),"⚠ Usa la cuenta de trading","✓"))))))))))))</f>
        <v/>
      </c>
      <c r="I731" s="19">
        <f>IF(OR(B731="",C731="",D731=""),"",IFERROR(INDEX(catTipo,MATCH(D731,catNom,0))&amp;"",""))</f>
        <v/>
      </c>
      <c r="J731" s="19">
        <f>IF(I731="","",IFERROR(INDEX(catGrupo,MATCH(D731,catNom,0))&amp;"",""))</f>
        <v/>
      </c>
      <c r="K731" s="19">
        <f>IF(I731="Gasto",IF(IFERROR(INDEX(catClas,MATCH(D731,catNom,0))&amp;"","")="","Variable",IFERROR(INDEX(catClas,MATCH(D731,catNom,0))&amp;"","")),"")</f>
        <v/>
      </c>
      <c r="L731" s="19">
        <f>IF(I731="","",IFERROR(INDEX(catAlim,MATCH(D731,catNom,0))&amp;"",""))</f>
        <v/>
      </c>
      <c r="M731" s="19">
        <f>IF(I731="","",IFERROR(INDEX(catComida,MATCH(D731,catNom,0))&amp;"",""))</f>
        <v/>
      </c>
      <c r="N731" s="19">
        <f>IF(I731="","",IFERROR(INDEX(ctaMon,MATCH(E731,ctaNom,0))&amp;"","DOP"))</f>
        <v/>
      </c>
      <c r="O731" s="20">
        <f>IF(I731="","",C731*IF(N731="USD",TasaUSD,1))</f>
        <v/>
      </c>
      <c r="P731" s="20">
        <f>IF(I731="","",IF(I731="Gasto",O731,0))</f>
        <v/>
      </c>
      <c r="Q731" s="20">
        <f>IF(I731="","",IF(I731="Ingreso",O731,0))</f>
        <v/>
      </c>
      <c r="R731" s="20">
        <f>IF(I731="","",IF(I731="Trading",O731,0))</f>
        <v/>
      </c>
      <c r="S731" s="19">
        <f>IF(I731="","",IF(AND(I731="Gasto",K731="Variable",J731&lt;&gt;"Trading",O731&gt;0,O731&lt;=Umbral),1,0))</f>
        <v/>
      </c>
      <c r="T731" s="20">
        <f>IF(OR(I731="",E731=""),"",IF(OR(I731="Gasto",I731="Transferencia",I731="Pago tarjeta"),-1,1)*C731)</f>
        <v/>
      </c>
      <c r="U731" s="20">
        <f>IF(OR(G731="",AND(I731&lt;&gt;"Transferencia",I731&lt;&gt;"Pago tarjeta")),"",IF(IFERROR(INDEX(ctaMon,MATCH(G731,ctaNom,0))&amp;"","DOP")=N731,C731,IF(N731="USD",C731*TasaUSD,C731/TasaUSD)))</f>
        <v/>
      </c>
      <c r="V731" s="20">
        <f>IF(I731="","",IF(IFERROR(INDEX(ctaLiq,MATCH(E731,ctaNom,0))="Sí",FALSE),IF(OR(I731="Gasto",I731="Transferencia",I731="Pago tarjeta"),-1,1)*O731,0)+IF(AND(U731&lt;&gt;"",IFERROR(INDEX(ctaLiq,MATCH(G731,ctaNom,0))="Sí",FALSE)),O731,0))</f>
        <v/>
      </c>
      <c r="W731" s="19">
        <f>IF(OR(F731="",I731=""),"",IF(COUNTIFS(F$6:F731,F731,I$6:I731,"?*")=1,MAX(W$5:W730)+1,""))</f>
        <v/>
      </c>
    </row>
    <row r="732">
      <c r="B732" s="15" t="n"/>
      <c r="C732" s="16" t="n"/>
      <c r="D732" s="17" t="n"/>
      <c r="E732" s="17" t="n"/>
      <c r="F732" s="17" t="n"/>
      <c r="G732" s="17" t="n"/>
      <c r="H732" s="18">
        <f>IF(AND(B732="",C732="",D732="",E732=""),"",IF(B732="","⚠ Falta fecha",IF(C732="","⚠ Falta monto",IF(D732="","⚠ Falta categoría",IF(ISNA(MATCH(D732,catNom,0)),"⚠ Categoría no existe",IF(E732="","⚠ Falta cuenta",IF(ISNA(MATCH(E732,ctaNom,0)),"⚠ Cuenta no existe",IF(AND(OR(I732="Transferencia",I732="Pago tarjeta"),G732=""),"⚠ Indica la cuenta «Hacia»",IF(AND(G732&lt;&gt;"",G732=E732),"⚠ «Hacia» igual a la cuenta",IF(AND(G732&lt;&gt;"",ISNA(MATCH(G732,ctaNom,0))),"⚠ «Hacia» no existe",IF(AND(I732="Pago tarjeta",IFERROR(INDEX(ctaTipo,MATCH(G732,ctaNom,0)),"")&lt;&gt;"Tarjeta de crédito"),"⚠ «Hacia» debe ser la tarjeta",IF(AND(I732="Trading",IFERROR(INDEX(ctaTipo,MATCH(E732,ctaNom,0)),"")&lt;&gt;"Cuenta de trading"),"⚠ Usa la cuenta de trading","✓"))))))))))))</f>
        <v/>
      </c>
      <c r="I732" s="19">
        <f>IF(OR(B732="",C732="",D732=""),"",IFERROR(INDEX(catTipo,MATCH(D732,catNom,0))&amp;"",""))</f>
        <v/>
      </c>
      <c r="J732" s="19">
        <f>IF(I732="","",IFERROR(INDEX(catGrupo,MATCH(D732,catNom,0))&amp;"",""))</f>
        <v/>
      </c>
      <c r="K732" s="19">
        <f>IF(I732="Gasto",IF(IFERROR(INDEX(catClas,MATCH(D732,catNom,0))&amp;"","")="","Variable",IFERROR(INDEX(catClas,MATCH(D732,catNom,0))&amp;"","")),"")</f>
        <v/>
      </c>
      <c r="L732" s="19">
        <f>IF(I732="","",IFERROR(INDEX(catAlim,MATCH(D732,catNom,0))&amp;"",""))</f>
        <v/>
      </c>
      <c r="M732" s="19">
        <f>IF(I732="","",IFERROR(INDEX(catComida,MATCH(D732,catNom,0))&amp;"",""))</f>
        <v/>
      </c>
      <c r="N732" s="19">
        <f>IF(I732="","",IFERROR(INDEX(ctaMon,MATCH(E732,ctaNom,0))&amp;"","DOP"))</f>
        <v/>
      </c>
      <c r="O732" s="20">
        <f>IF(I732="","",C732*IF(N732="USD",TasaUSD,1))</f>
        <v/>
      </c>
      <c r="P732" s="20">
        <f>IF(I732="","",IF(I732="Gasto",O732,0))</f>
        <v/>
      </c>
      <c r="Q732" s="20">
        <f>IF(I732="","",IF(I732="Ingreso",O732,0))</f>
        <v/>
      </c>
      <c r="R732" s="20">
        <f>IF(I732="","",IF(I732="Trading",O732,0))</f>
        <v/>
      </c>
      <c r="S732" s="19">
        <f>IF(I732="","",IF(AND(I732="Gasto",K732="Variable",J732&lt;&gt;"Trading",O732&gt;0,O732&lt;=Umbral),1,0))</f>
        <v/>
      </c>
      <c r="T732" s="20">
        <f>IF(OR(I732="",E732=""),"",IF(OR(I732="Gasto",I732="Transferencia",I732="Pago tarjeta"),-1,1)*C732)</f>
        <v/>
      </c>
      <c r="U732" s="20">
        <f>IF(OR(G732="",AND(I732&lt;&gt;"Transferencia",I732&lt;&gt;"Pago tarjeta")),"",IF(IFERROR(INDEX(ctaMon,MATCH(G732,ctaNom,0))&amp;"","DOP")=N732,C732,IF(N732="USD",C732*TasaUSD,C732/TasaUSD)))</f>
        <v/>
      </c>
      <c r="V732" s="20">
        <f>IF(I732="","",IF(IFERROR(INDEX(ctaLiq,MATCH(E732,ctaNom,0))="Sí",FALSE),IF(OR(I732="Gasto",I732="Transferencia",I732="Pago tarjeta"),-1,1)*O732,0)+IF(AND(U732&lt;&gt;"",IFERROR(INDEX(ctaLiq,MATCH(G732,ctaNom,0))="Sí",FALSE)),O732,0))</f>
        <v/>
      </c>
      <c r="W732" s="19">
        <f>IF(OR(F732="",I732=""),"",IF(COUNTIFS(F$6:F732,F732,I$6:I732,"?*")=1,MAX(W$5:W731)+1,""))</f>
        <v/>
      </c>
    </row>
    <row r="733">
      <c r="B733" s="15" t="n"/>
      <c r="C733" s="16" t="n"/>
      <c r="D733" s="17" t="n"/>
      <c r="E733" s="17" t="n"/>
      <c r="F733" s="17" t="n"/>
      <c r="G733" s="17" t="n"/>
      <c r="H733" s="18">
        <f>IF(AND(B733="",C733="",D733="",E733=""),"",IF(B733="","⚠ Falta fecha",IF(C733="","⚠ Falta monto",IF(D733="","⚠ Falta categoría",IF(ISNA(MATCH(D733,catNom,0)),"⚠ Categoría no existe",IF(E733="","⚠ Falta cuenta",IF(ISNA(MATCH(E733,ctaNom,0)),"⚠ Cuenta no existe",IF(AND(OR(I733="Transferencia",I733="Pago tarjeta"),G733=""),"⚠ Indica la cuenta «Hacia»",IF(AND(G733&lt;&gt;"",G733=E733),"⚠ «Hacia» igual a la cuenta",IF(AND(G733&lt;&gt;"",ISNA(MATCH(G733,ctaNom,0))),"⚠ «Hacia» no existe",IF(AND(I733="Pago tarjeta",IFERROR(INDEX(ctaTipo,MATCH(G733,ctaNom,0)),"")&lt;&gt;"Tarjeta de crédito"),"⚠ «Hacia» debe ser la tarjeta",IF(AND(I733="Trading",IFERROR(INDEX(ctaTipo,MATCH(E733,ctaNom,0)),"")&lt;&gt;"Cuenta de trading"),"⚠ Usa la cuenta de trading","✓"))))))))))))</f>
        <v/>
      </c>
      <c r="I733" s="19">
        <f>IF(OR(B733="",C733="",D733=""),"",IFERROR(INDEX(catTipo,MATCH(D733,catNom,0))&amp;"",""))</f>
        <v/>
      </c>
      <c r="J733" s="19">
        <f>IF(I733="","",IFERROR(INDEX(catGrupo,MATCH(D733,catNom,0))&amp;"",""))</f>
        <v/>
      </c>
      <c r="K733" s="19">
        <f>IF(I733="Gasto",IF(IFERROR(INDEX(catClas,MATCH(D733,catNom,0))&amp;"","")="","Variable",IFERROR(INDEX(catClas,MATCH(D733,catNom,0))&amp;"","")),"")</f>
        <v/>
      </c>
      <c r="L733" s="19">
        <f>IF(I733="","",IFERROR(INDEX(catAlim,MATCH(D733,catNom,0))&amp;"",""))</f>
        <v/>
      </c>
      <c r="M733" s="19">
        <f>IF(I733="","",IFERROR(INDEX(catComida,MATCH(D733,catNom,0))&amp;"",""))</f>
        <v/>
      </c>
      <c r="N733" s="19">
        <f>IF(I733="","",IFERROR(INDEX(ctaMon,MATCH(E733,ctaNom,0))&amp;"","DOP"))</f>
        <v/>
      </c>
      <c r="O733" s="20">
        <f>IF(I733="","",C733*IF(N733="USD",TasaUSD,1))</f>
        <v/>
      </c>
      <c r="P733" s="20">
        <f>IF(I733="","",IF(I733="Gasto",O733,0))</f>
        <v/>
      </c>
      <c r="Q733" s="20">
        <f>IF(I733="","",IF(I733="Ingreso",O733,0))</f>
        <v/>
      </c>
      <c r="R733" s="20">
        <f>IF(I733="","",IF(I733="Trading",O733,0))</f>
        <v/>
      </c>
      <c r="S733" s="19">
        <f>IF(I733="","",IF(AND(I733="Gasto",K733="Variable",J733&lt;&gt;"Trading",O733&gt;0,O733&lt;=Umbral),1,0))</f>
        <v/>
      </c>
      <c r="T733" s="20">
        <f>IF(OR(I733="",E733=""),"",IF(OR(I733="Gasto",I733="Transferencia",I733="Pago tarjeta"),-1,1)*C733)</f>
        <v/>
      </c>
      <c r="U733" s="20">
        <f>IF(OR(G733="",AND(I733&lt;&gt;"Transferencia",I733&lt;&gt;"Pago tarjeta")),"",IF(IFERROR(INDEX(ctaMon,MATCH(G733,ctaNom,0))&amp;"","DOP")=N733,C733,IF(N733="USD",C733*TasaUSD,C733/TasaUSD)))</f>
        <v/>
      </c>
      <c r="V733" s="20">
        <f>IF(I733="","",IF(IFERROR(INDEX(ctaLiq,MATCH(E733,ctaNom,0))="Sí",FALSE),IF(OR(I733="Gasto",I733="Transferencia",I733="Pago tarjeta"),-1,1)*O733,0)+IF(AND(U733&lt;&gt;"",IFERROR(INDEX(ctaLiq,MATCH(G733,ctaNom,0))="Sí",FALSE)),O733,0))</f>
        <v/>
      </c>
      <c r="W733" s="19">
        <f>IF(OR(F733="",I733=""),"",IF(COUNTIFS(F$6:F733,F733,I$6:I733,"?*")=1,MAX(W$5:W732)+1,""))</f>
        <v/>
      </c>
    </row>
    <row r="734">
      <c r="B734" s="15" t="n"/>
      <c r="C734" s="16" t="n"/>
      <c r="D734" s="17" t="n"/>
      <c r="E734" s="17" t="n"/>
      <c r="F734" s="17" t="n"/>
      <c r="G734" s="17" t="n"/>
      <c r="H734" s="18">
        <f>IF(AND(B734="",C734="",D734="",E734=""),"",IF(B734="","⚠ Falta fecha",IF(C734="","⚠ Falta monto",IF(D734="","⚠ Falta categoría",IF(ISNA(MATCH(D734,catNom,0)),"⚠ Categoría no existe",IF(E734="","⚠ Falta cuenta",IF(ISNA(MATCH(E734,ctaNom,0)),"⚠ Cuenta no existe",IF(AND(OR(I734="Transferencia",I734="Pago tarjeta"),G734=""),"⚠ Indica la cuenta «Hacia»",IF(AND(G734&lt;&gt;"",G734=E734),"⚠ «Hacia» igual a la cuenta",IF(AND(G734&lt;&gt;"",ISNA(MATCH(G734,ctaNom,0))),"⚠ «Hacia» no existe",IF(AND(I734="Pago tarjeta",IFERROR(INDEX(ctaTipo,MATCH(G734,ctaNom,0)),"")&lt;&gt;"Tarjeta de crédito"),"⚠ «Hacia» debe ser la tarjeta",IF(AND(I734="Trading",IFERROR(INDEX(ctaTipo,MATCH(E734,ctaNom,0)),"")&lt;&gt;"Cuenta de trading"),"⚠ Usa la cuenta de trading","✓"))))))))))))</f>
        <v/>
      </c>
      <c r="I734" s="19">
        <f>IF(OR(B734="",C734="",D734=""),"",IFERROR(INDEX(catTipo,MATCH(D734,catNom,0))&amp;"",""))</f>
        <v/>
      </c>
      <c r="J734" s="19">
        <f>IF(I734="","",IFERROR(INDEX(catGrupo,MATCH(D734,catNom,0))&amp;"",""))</f>
        <v/>
      </c>
      <c r="K734" s="19">
        <f>IF(I734="Gasto",IF(IFERROR(INDEX(catClas,MATCH(D734,catNom,0))&amp;"","")="","Variable",IFERROR(INDEX(catClas,MATCH(D734,catNom,0))&amp;"","")),"")</f>
        <v/>
      </c>
      <c r="L734" s="19">
        <f>IF(I734="","",IFERROR(INDEX(catAlim,MATCH(D734,catNom,0))&amp;"",""))</f>
        <v/>
      </c>
      <c r="M734" s="19">
        <f>IF(I734="","",IFERROR(INDEX(catComida,MATCH(D734,catNom,0))&amp;"",""))</f>
        <v/>
      </c>
      <c r="N734" s="19">
        <f>IF(I734="","",IFERROR(INDEX(ctaMon,MATCH(E734,ctaNom,0))&amp;"","DOP"))</f>
        <v/>
      </c>
      <c r="O734" s="20">
        <f>IF(I734="","",C734*IF(N734="USD",TasaUSD,1))</f>
        <v/>
      </c>
      <c r="P734" s="20">
        <f>IF(I734="","",IF(I734="Gasto",O734,0))</f>
        <v/>
      </c>
      <c r="Q734" s="20">
        <f>IF(I734="","",IF(I734="Ingreso",O734,0))</f>
        <v/>
      </c>
      <c r="R734" s="20">
        <f>IF(I734="","",IF(I734="Trading",O734,0))</f>
        <v/>
      </c>
      <c r="S734" s="19">
        <f>IF(I734="","",IF(AND(I734="Gasto",K734="Variable",J734&lt;&gt;"Trading",O734&gt;0,O734&lt;=Umbral),1,0))</f>
        <v/>
      </c>
      <c r="T734" s="20">
        <f>IF(OR(I734="",E734=""),"",IF(OR(I734="Gasto",I734="Transferencia",I734="Pago tarjeta"),-1,1)*C734)</f>
        <v/>
      </c>
      <c r="U734" s="20">
        <f>IF(OR(G734="",AND(I734&lt;&gt;"Transferencia",I734&lt;&gt;"Pago tarjeta")),"",IF(IFERROR(INDEX(ctaMon,MATCH(G734,ctaNom,0))&amp;"","DOP")=N734,C734,IF(N734="USD",C734*TasaUSD,C734/TasaUSD)))</f>
        <v/>
      </c>
      <c r="V734" s="20">
        <f>IF(I734="","",IF(IFERROR(INDEX(ctaLiq,MATCH(E734,ctaNom,0))="Sí",FALSE),IF(OR(I734="Gasto",I734="Transferencia",I734="Pago tarjeta"),-1,1)*O734,0)+IF(AND(U734&lt;&gt;"",IFERROR(INDEX(ctaLiq,MATCH(G734,ctaNom,0))="Sí",FALSE)),O734,0))</f>
        <v/>
      </c>
      <c r="W734" s="19">
        <f>IF(OR(F734="",I734=""),"",IF(COUNTIFS(F$6:F734,F734,I$6:I734,"?*")=1,MAX(W$5:W733)+1,""))</f>
        <v/>
      </c>
    </row>
    <row r="735">
      <c r="B735" s="15" t="n"/>
      <c r="C735" s="16" t="n"/>
      <c r="D735" s="17" t="n"/>
      <c r="E735" s="17" t="n"/>
      <c r="F735" s="17" t="n"/>
      <c r="G735" s="17" t="n"/>
      <c r="H735" s="18">
        <f>IF(AND(B735="",C735="",D735="",E735=""),"",IF(B735="","⚠ Falta fecha",IF(C735="","⚠ Falta monto",IF(D735="","⚠ Falta categoría",IF(ISNA(MATCH(D735,catNom,0)),"⚠ Categoría no existe",IF(E735="","⚠ Falta cuenta",IF(ISNA(MATCH(E735,ctaNom,0)),"⚠ Cuenta no existe",IF(AND(OR(I735="Transferencia",I735="Pago tarjeta"),G735=""),"⚠ Indica la cuenta «Hacia»",IF(AND(G735&lt;&gt;"",G735=E735),"⚠ «Hacia» igual a la cuenta",IF(AND(G735&lt;&gt;"",ISNA(MATCH(G735,ctaNom,0))),"⚠ «Hacia» no existe",IF(AND(I735="Pago tarjeta",IFERROR(INDEX(ctaTipo,MATCH(G735,ctaNom,0)),"")&lt;&gt;"Tarjeta de crédito"),"⚠ «Hacia» debe ser la tarjeta",IF(AND(I735="Trading",IFERROR(INDEX(ctaTipo,MATCH(E735,ctaNom,0)),"")&lt;&gt;"Cuenta de trading"),"⚠ Usa la cuenta de trading","✓"))))))))))))</f>
        <v/>
      </c>
      <c r="I735" s="19">
        <f>IF(OR(B735="",C735="",D735=""),"",IFERROR(INDEX(catTipo,MATCH(D735,catNom,0))&amp;"",""))</f>
        <v/>
      </c>
      <c r="J735" s="19">
        <f>IF(I735="","",IFERROR(INDEX(catGrupo,MATCH(D735,catNom,0))&amp;"",""))</f>
        <v/>
      </c>
      <c r="K735" s="19">
        <f>IF(I735="Gasto",IF(IFERROR(INDEX(catClas,MATCH(D735,catNom,0))&amp;"","")="","Variable",IFERROR(INDEX(catClas,MATCH(D735,catNom,0))&amp;"","")),"")</f>
        <v/>
      </c>
      <c r="L735" s="19">
        <f>IF(I735="","",IFERROR(INDEX(catAlim,MATCH(D735,catNom,0))&amp;"",""))</f>
        <v/>
      </c>
      <c r="M735" s="19">
        <f>IF(I735="","",IFERROR(INDEX(catComida,MATCH(D735,catNom,0))&amp;"",""))</f>
        <v/>
      </c>
      <c r="N735" s="19">
        <f>IF(I735="","",IFERROR(INDEX(ctaMon,MATCH(E735,ctaNom,0))&amp;"","DOP"))</f>
        <v/>
      </c>
      <c r="O735" s="20">
        <f>IF(I735="","",C735*IF(N735="USD",TasaUSD,1))</f>
        <v/>
      </c>
      <c r="P735" s="20">
        <f>IF(I735="","",IF(I735="Gasto",O735,0))</f>
        <v/>
      </c>
      <c r="Q735" s="20">
        <f>IF(I735="","",IF(I735="Ingreso",O735,0))</f>
        <v/>
      </c>
      <c r="R735" s="20">
        <f>IF(I735="","",IF(I735="Trading",O735,0))</f>
        <v/>
      </c>
      <c r="S735" s="19">
        <f>IF(I735="","",IF(AND(I735="Gasto",K735="Variable",J735&lt;&gt;"Trading",O735&gt;0,O735&lt;=Umbral),1,0))</f>
        <v/>
      </c>
      <c r="T735" s="20">
        <f>IF(OR(I735="",E735=""),"",IF(OR(I735="Gasto",I735="Transferencia",I735="Pago tarjeta"),-1,1)*C735)</f>
        <v/>
      </c>
      <c r="U735" s="20">
        <f>IF(OR(G735="",AND(I735&lt;&gt;"Transferencia",I735&lt;&gt;"Pago tarjeta")),"",IF(IFERROR(INDEX(ctaMon,MATCH(G735,ctaNom,0))&amp;"","DOP")=N735,C735,IF(N735="USD",C735*TasaUSD,C735/TasaUSD)))</f>
        <v/>
      </c>
      <c r="V735" s="20">
        <f>IF(I735="","",IF(IFERROR(INDEX(ctaLiq,MATCH(E735,ctaNom,0))="Sí",FALSE),IF(OR(I735="Gasto",I735="Transferencia",I735="Pago tarjeta"),-1,1)*O735,0)+IF(AND(U735&lt;&gt;"",IFERROR(INDEX(ctaLiq,MATCH(G735,ctaNom,0))="Sí",FALSE)),O735,0))</f>
        <v/>
      </c>
      <c r="W735" s="19">
        <f>IF(OR(F735="",I735=""),"",IF(COUNTIFS(F$6:F735,F735,I$6:I735,"?*")=1,MAX(W$5:W734)+1,""))</f>
        <v/>
      </c>
    </row>
    <row r="736">
      <c r="B736" s="15" t="n"/>
      <c r="C736" s="16" t="n"/>
      <c r="D736" s="17" t="n"/>
      <c r="E736" s="17" t="n"/>
      <c r="F736" s="17" t="n"/>
      <c r="G736" s="17" t="n"/>
      <c r="H736" s="18">
        <f>IF(AND(B736="",C736="",D736="",E736=""),"",IF(B736="","⚠ Falta fecha",IF(C736="","⚠ Falta monto",IF(D736="","⚠ Falta categoría",IF(ISNA(MATCH(D736,catNom,0)),"⚠ Categoría no existe",IF(E736="","⚠ Falta cuenta",IF(ISNA(MATCH(E736,ctaNom,0)),"⚠ Cuenta no existe",IF(AND(OR(I736="Transferencia",I736="Pago tarjeta"),G736=""),"⚠ Indica la cuenta «Hacia»",IF(AND(G736&lt;&gt;"",G736=E736),"⚠ «Hacia» igual a la cuenta",IF(AND(G736&lt;&gt;"",ISNA(MATCH(G736,ctaNom,0))),"⚠ «Hacia» no existe",IF(AND(I736="Pago tarjeta",IFERROR(INDEX(ctaTipo,MATCH(G736,ctaNom,0)),"")&lt;&gt;"Tarjeta de crédito"),"⚠ «Hacia» debe ser la tarjeta",IF(AND(I736="Trading",IFERROR(INDEX(ctaTipo,MATCH(E736,ctaNom,0)),"")&lt;&gt;"Cuenta de trading"),"⚠ Usa la cuenta de trading","✓"))))))))))))</f>
        <v/>
      </c>
      <c r="I736" s="19">
        <f>IF(OR(B736="",C736="",D736=""),"",IFERROR(INDEX(catTipo,MATCH(D736,catNom,0))&amp;"",""))</f>
        <v/>
      </c>
      <c r="J736" s="19">
        <f>IF(I736="","",IFERROR(INDEX(catGrupo,MATCH(D736,catNom,0))&amp;"",""))</f>
        <v/>
      </c>
      <c r="K736" s="19">
        <f>IF(I736="Gasto",IF(IFERROR(INDEX(catClas,MATCH(D736,catNom,0))&amp;"","")="","Variable",IFERROR(INDEX(catClas,MATCH(D736,catNom,0))&amp;"","")),"")</f>
        <v/>
      </c>
      <c r="L736" s="19">
        <f>IF(I736="","",IFERROR(INDEX(catAlim,MATCH(D736,catNom,0))&amp;"",""))</f>
        <v/>
      </c>
      <c r="M736" s="19">
        <f>IF(I736="","",IFERROR(INDEX(catComida,MATCH(D736,catNom,0))&amp;"",""))</f>
        <v/>
      </c>
      <c r="N736" s="19">
        <f>IF(I736="","",IFERROR(INDEX(ctaMon,MATCH(E736,ctaNom,0))&amp;"","DOP"))</f>
        <v/>
      </c>
      <c r="O736" s="20">
        <f>IF(I736="","",C736*IF(N736="USD",TasaUSD,1))</f>
        <v/>
      </c>
      <c r="P736" s="20">
        <f>IF(I736="","",IF(I736="Gasto",O736,0))</f>
        <v/>
      </c>
      <c r="Q736" s="20">
        <f>IF(I736="","",IF(I736="Ingreso",O736,0))</f>
        <v/>
      </c>
      <c r="R736" s="20">
        <f>IF(I736="","",IF(I736="Trading",O736,0))</f>
        <v/>
      </c>
      <c r="S736" s="19">
        <f>IF(I736="","",IF(AND(I736="Gasto",K736="Variable",J736&lt;&gt;"Trading",O736&gt;0,O736&lt;=Umbral),1,0))</f>
        <v/>
      </c>
      <c r="T736" s="20">
        <f>IF(OR(I736="",E736=""),"",IF(OR(I736="Gasto",I736="Transferencia",I736="Pago tarjeta"),-1,1)*C736)</f>
        <v/>
      </c>
      <c r="U736" s="20">
        <f>IF(OR(G736="",AND(I736&lt;&gt;"Transferencia",I736&lt;&gt;"Pago tarjeta")),"",IF(IFERROR(INDEX(ctaMon,MATCH(G736,ctaNom,0))&amp;"","DOP")=N736,C736,IF(N736="USD",C736*TasaUSD,C736/TasaUSD)))</f>
        <v/>
      </c>
      <c r="V736" s="20">
        <f>IF(I736="","",IF(IFERROR(INDEX(ctaLiq,MATCH(E736,ctaNom,0))="Sí",FALSE),IF(OR(I736="Gasto",I736="Transferencia",I736="Pago tarjeta"),-1,1)*O736,0)+IF(AND(U736&lt;&gt;"",IFERROR(INDEX(ctaLiq,MATCH(G736,ctaNom,0))="Sí",FALSE)),O736,0))</f>
        <v/>
      </c>
      <c r="W736" s="19">
        <f>IF(OR(F736="",I736=""),"",IF(COUNTIFS(F$6:F736,F736,I$6:I736,"?*")=1,MAX(W$5:W735)+1,""))</f>
        <v/>
      </c>
    </row>
    <row r="737">
      <c r="B737" s="15" t="n"/>
      <c r="C737" s="16" t="n"/>
      <c r="D737" s="17" t="n"/>
      <c r="E737" s="17" t="n"/>
      <c r="F737" s="17" t="n"/>
      <c r="G737" s="17" t="n"/>
      <c r="H737" s="18">
        <f>IF(AND(B737="",C737="",D737="",E737=""),"",IF(B737="","⚠ Falta fecha",IF(C737="","⚠ Falta monto",IF(D737="","⚠ Falta categoría",IF(ISNA(MATCH(D737,catNom,0)),"⚠ Categoría no existe",IF(E737="","⚠ Falta cuenta",IF(ISNA(MATCH(E737,ctaNom,0)),"⚠ Cuenta no existe",IF(AND(OR(I737="Transferencia",I737="Pago tarjeta"),G737=""),"⚠ Indica la cuenta «Hacia»",IF(AND(G737&lt;&gt;"",G737=E737),"⚠ «Hacia» igual a la cuenta",IF(AND(G737&lt;&gt;"",ISNA(MATCH(G737,ctaNom,0))),"⚠ «Hacia» no existe",IF(AND(I737="Pago tarjeta",IFERROR(INDEX(ctaTipo,MATCH(G737,ctaNom,0)),"")&lt;&gt;"Tarjeta de crédito"),"⚠ «Hacia» debe ser la tarjeta",IF(AND(I737="Trading",IFERROR(INDEX(ctaTipo,MATCH(E737,ctaNom,0)),"")&lt;&gt;"Cuenta de trading"),"⚠ Usa la cuenta de trading","✓"))))))))))))</f>
        <v/>
      </c>
      <c r="I737" s="19">
        <f>IF(OR(B737="",C737="",D737=""),"",IFERROR(INDEX(catTipo,MATCH(D737,catNom,0))&amp;"",""))</f>
        <v/>
      </c>
      <c r="J737" s="19">
        <f>IF(I737="","",IFERROR(INDEX(catGrupo,MATCH(D737,catNom,0))&amp;"",""))</f>
        <v/>
      </c>
      <c r="K737" s="19">
        <f>IF(I737="Gasto",IF(IFERROR(INDEX(catClas,MATCH(D737,catNom,0))&amp;"","")="","Variable",IFERROR(INDEX(catClas,MATCH(D737,catNom,0))&amp;"","")),"")</f>
        <v/>
      </c>
      <c r="L737" s="19">
        <f>IF(I737="","",IFERROR(INDEX(catAlim,MATCH(D737,catNom,0))&amp;"",""))</f>
        <v/>
      </c>
      <c r="M737" s="19">
        <f>IF(I737="","",IFERROR(INDEX(catComida,MATCH(D737,catNom,0))&amp;"",""))</f>
        <v/>
      </c>
      <c r="N737" s="19">
        <f>IF(I737="","",IFERROR(INDEX(ctaMon,MATCH(E737,ctaNom,0))&amp;"","DOP"))</f>
        <v/>
      </c>
      <c r="O737" s="20">
        <f>IF(I737="","",C737*IF(N737="USD",TasaUSD,1))</f>
        <v/>
      </c>
      <c r="P737" s="20">
        <f>IF(I737="","",IF(I737="Gasto",O737,0))</f>
        <v/>
      </c>
      <c r="Q737" s="20">
        <f>IF(I737="","",IF(I737="Ingreso",O737,0))</f>
        <v/>
      </c>
      <c r="R737" s="20">
        <f>IF(I737="","",IF(I737="Trading",O737,0))</f>
        <v/>
      </c>
      <c r="S737" s="19">
        <f>IF(I737="","",IF(AND(I737="Gasto",K737="Variable",J737&lt;&gt;"Trading",O737&gt;0,O737&lt;=Umbral),1,0))</f>
        <v/>
      </c>
      <c r="T737" s="20">
        <f>IF(OR(I737="",E737=""),"",IF(OR(I737="Gasto",I737="Transferencia",I737="Pago tarjeta"),-1,1)*C737)</f>
        <v/>
      </c>
      <c r="U737" s="20">
        <f>IF(OR(G737="",AND(I737&lt;&gt;"Transferencia",I737&lt;&gt;"Pago tarjeta")),"",IF(IFERROR(INDEX(ctaMon,MATCH(G737,ctaNom,0))&amp;"","DOP")=N737,C737,IF(N737="USD",C737*TasaUSD,C737/TasaUSD)))</f>
        <v/>
      </c>
      <c r="V737" s="20">
        <f>IF(I737="","",IF(IFERROR(INDEX(ctaLiq,MATCH(E737,ctaNom,0))="Sí",FALSE),IF(OR(I737="Gasto",I737="Transferencia",I737="Pago tarjeta"),-1,1)*O737,0)+IF(AND(U737&lt;&gt;"",IFERROR(INDEX(ctaLiq,MATCH(G737,ctaNom,0))="Sí",FALSE)),O737,0))</f>
        <v/>
      </c>
      <c r="W737" s="19">
        <f>IF(OR(F737="",I737=""),"",IF(COUNTIFS(F$6:F737,F737,I$6:I737,"?*")=1,MAX(W$5:W736)+1,""))</f>
        <v/>
      </c>
    </row>
    <row r="738">
      <c r="B738" s="15" t="n"/>
      <c r="C738" s="16" t="n"/>
      <c r="D738" s="17" t="n"/>
      <c r="E738" s="17" t="n"/>
      <c r="F738" s="17" t="n"/>
      <c r="G738" s="17" t="n"/>
      <c r="H738" s="18">
        <f>IF(AND(B738="",C738="",D738="",E738=""),"",IF(B738="","⚠ Falta fecha",IF(C738="","⚠ Falta monto",IF(D738="","⚠ Falta categoría",IF(ISNA(MATCH(D738,catNom,0)),"⚠ Categoría no existe",IF(E738="","⚠ Falta cuenta",IF(ISNA(MATCH(E738,ctaNom,0)),"⚠ Cuenta no existe",IF(AND(OR(I738="Transferencia",I738="Pago tarjeta"),G738=""),"⚠ Indica la cuenta «Hacia»",IF(AND(G738&lt;&gt;"",G738=E738),"⚠ «Hacia» igual a la cuenta",IF(AND(G738&lt;&gt;"",ISNA(MATCH(G738,ctaNom,0))),"⚠ «Hacia» no existe",IF(AND(I738="Pago tarjeta",IFERROR(INDEX(ctaTipo,MATCH(G738,ctaNom,0)),"")&lt;&gt;"Tarjeta de crédito"),"⚠ «Hacia» debe ser la tarjeta",IF(AND(I738="Trading",IFERROR(INDEX(ctaTipo,MATCH(E738,ctaNom,0)),"")&lt;&gt;"Cuenta de trading"),"⚠ Usa la cuenta de trading","✓"))))))))))))</f>
        <v/>
      </c>
      <c r="I738" s="19">
        <f>IF(OR(B738="",C738="",D738=""),"",IFERROR(INDEX(catTipo,MATCH(D738,catNom,0))&amp;"",""))</f>
        <v/>
      </c>
      <c r="J738" s="19">
        <f>IF(I738="","",IFERROR(INDEX(catGrupo,MATCH(D738,catNom,0))&amp;"",""))</f>
        <v/>
      </c>
      <c r="K738" s="19">
        <f>IF(I738="Gasto",IF(IFERROR(INDEX(catClas,MATCH(D738,catNom,0))&amp;"","")="","Variable",IFERROR(INDEX(catClas,MATCH(D738,catNom,0))&amp;"","")),"")</f>
        <v/>
      </c>
      <c r="L738" s="19">
        <f>IF(I738="","",IFERROR(INDEX(catAlim,MATCH(D738,catNom,0))&amp;"",""))</f>
        <v/>
      </c>
      <c r="M738" s="19">
        <f>IF(I738="","",IFERROR(INDEX(catComida,MATCH(D738,catNom,0))&amp;"",""))</f>
        <v/>
      </c>
      <c r="N738" s="19">
        <f>IF(I738="","",IFERROR(INDEX(ctaMon,MATCH(E738,ctaNom,0))&amp;"","DOP"))</f>
        <v/>
      </c>
      <c r="O738" s="20">
        <f>IF(I738="","",C738*IF(N738="USD",TasaUSD,1))</f>
        <v/>
      </c>
      <c r="P738" s="20">
        <f>IF(I738="","",IF(I738="Gasto",O738,0))</f>
        <v/>
      </c>
      <c r="Q738" s="20">
        <f>IF(I738="","",IF(I738="Ingreso",O738,0))</f>
        <v/>
      </c>
      <c r="R738" s="20">
        <f>IF(I738="","",IF(I738="Trading",O738,0))</f>
        <v/>
      </c>
      <c r="S738" s="19">
        <f>IF(I738="","",IF(AND(I738="Gasto",K738="Variable",J738&lt;&gt;"Trading",O738&gt;0,O738&lt;=Umbral),1,0))</f>
        <v/>
      </c>
      <c r="T738" s="20">
        <f>IF(OR(I738="",E738=""),"",IF(OR(I738="Gasto",I738="Transferencia",I738="Pago tarjeta"),-1,1)*C738)</f>
        <v/>
      </c>
      <c r="U738" s="20">
        <f>IF(OR(G738="",AND(I738&lt;&gt;"Transferencia",I738&lt;&gt;"Pago tarjeta")),"",IF(IFERROR(INDEX(ctaMon,MATCH(G738,ctaNom,0))&amp;"","DOP")=N738,C738,IF(N738="USD",C738*TasaUSD,C738/TasaUSD)))</f>
        <v/>
      </c>
      <c r="V738" s="20">
        <f>IF(I738="","",IF(IFERROR(INDEX(ctaLiq,MATCH(E738,ctaNom,0))="Sí",FALSE),IF(OR(I738="Gasto",I738="Transferencia",I738="Pago tarjeta"),-1,1)*O738,0)+IF(AND(U738&lt;&gt;"",IFERROR(INDEX(ctaLiq,MATCH(G738,ctaNom,0))="Sí",FALSE)),O738,0))</f>
        <v/>
      </c>
      <c r="W738" s="19">
        <f>IF(OR(F738="",I738=""),"",IF(COUNTIFS(F$6:F738,F738,I$6:I738,"?*")=1,MAX(W$5:W737)+1,""))</f>
        <v/>
      </c>
    </row>
    <row r="739">
      <c r="B739" s="15" t="n"/>
      <c r="C739" s="16" t="n"/>
      <c r="D739" s="17" t="n"/>
      <c r="E739" s="17" t="n"/>
      <c r="F739" s="17" t="n"/>
      <c r="G739" s="17" t="n"/>
      <c r="H739" s="18">
        <f>IF(AND(B739="",C739="",D739="",E739=""),"",IF(B739="","⚠ Falta fecha",IF(C739="","⚠ Falta monto",IF(D739="","⚠ Falta categoría",IF(ISNA(MATCH(D739,catNom,0)),"⚠ Categoría no existe",IF(E739="","⚠ Falta cuenta",IF(ISNA(MATCH(E739,ctaNom,0)),"⚠ Cuenta no existe",IF(AND(OR(I739="Transferencia",I739="Pago tarjeta"),G739=""),"⚠ Indica la cuenta «Hacia»",IF(AND(G739&lt;&gt;"",G739=E739),"⚠ «Hacia» igual a la cuenta",IF(AND(G739&lt;&gt;"",ISNA(MATCH(G739,ctaNom,0))),"⚠ «Hacia» no existe",IF(AND(I739="Pago tarjeta",IFERROR(INDEX(ctaTipo,MATCH(G739,ctaNom,0)),"")&lt;&gt;"Tarjeta de crédito"),"⚠ «Hacia» debe ser la tarjeta",IF(AND(I739="Trading",IFERROR(INDEX(ctaTipo,MATCH(E739,ctaNom,0)),"")&lt;&gt;"Cuenta de trading"),"⚠ Usa la cuenta de trading","✓"))))))))))))</f>
        <v/>
      </c>
      <c r="I739" s="19">
        <f>IF(OR(B739="",C739="",D739=""),"",IFERROR(INDEX(catTipo,MATCH(D739,catNom,0))&amp;"",""))</f>
        <v/>
      </c>
      <c r="J739" s="19">
        <f>IF(I739="","",IFERROR(INDEX(catGrupo,MATCH(D739,catNom,0))&amp;"",""))</f>
        <v/>
      </c>
      <c r="K739" s="19">
        <f>IF(I739="Gasto",IF(IFERROR(INDEX(catClas,MATCH(D739,catNom,0))&amp;"","")="","Variable",IFERROR(INDEX(catClas,MATCH(D739,catNom,0))&amp;"","")),"")</f>
        <v/>
      </c>
      <c r="L739" s="19">
        <f>IF(I739="","",IFERROR(INDEX(catAlim,MATCH(D739,catNom,0))&amp;"",""))</f>
        <v/>
      </c>
      <c r="M739" s="19">
        <f>IF(I739="","",IFERROR(INDEX(catComida,MATCH(D739,catNom,0))&amp;"",""))</f>
        <v/>
      </c>
      <c r="N739" s="19">
        <f>IF(I739="","",IFERROR(INDEX(ctaMon,MATCH(E739,ctaNom,0))&amp;"","DOP"))</f>
        <v/>
      </c>
      <c r="O739" s="20">
        <f>IF(I739="","",C739*IF(N739="USD",TasaUSD,1))</f>
        <v/>
      </c>
      <c r="P739" s="20">
        <f>IF(I739="","",IF(I739="Gasto",O739,0))</f>
        <v/>
      </c>
      <c r="Q739" s="20">
        <f>IF(I739="","",IF(I739="Ingreso",O739,0))</f>
        <v/>
      </c>
      <c r="R739" s="20">
        <f>IF(I739="","",IF(I739="Trading",O739,0))</f>
        <v/>
      </c>
      <c r="S739" s="19">
        <f>IF(I739="","",IF(AND(I739="Gasto",K739="Variable",J739&lt;&gt;"Trading",O739&gt;0,O739&lt;=Umbral),1,0))</f>
        <v/>
      </c>
      <c r="T739" s="20">
        <f>IF(OR(I739="",E739=""),"",IF(OR(I739="Gasto",I739="Transferencia",I739="Pago tarjeta"),-1,1)*C739)</f>
        <v/>
      </c>
      <c r="U739" s="20">
        <f>IF(OR(G739="",AND(I739&lt;&gt;"Transferencia",I739&lt;&gt;"Pago tarjeta")),"",IF(IFERROR(INDEX(ctaMon,MATCH(G739,ctaNom,0))&amp;"","DOP")=N739,C739,IF(N739="USD",C739*TasaUSD,C739/TasaUSD)))</f>
        <v/>
      </c>
      <c r="V739" s="20">
        <f>IF(I739="","",IF(IFERROR(INDEX(ctaLiq,MATCH(E739,ctaNom,0))="Sí",FALSE),IF(OR(I739="Gasto",I739="Transferencia",I739="Pago tarjeta"),-1,1)*O739,0)+IF(AND(U739&lt;&gt;"",IFERROR(INDEX(ctaLiq,MATCH(G739,ctaNom,0))="Sí",FALSE)),O739,0))</f>
        <v/>
      </c>
      <c r="W739" s="19">
        <f>IF(OR(F739="",I739=""),"",IF(COUNTIFS(F$6:F739,F739,I$6:I739,"?*")=1,MAX(W$5:W738)+1,""))</f>
        <v/>
      </c>
    </row>
    <row r="740">
      <c r="B740" s="15" t="n"/>
      <c r="C740" s="16" t="n"/>
      <c r="D740" s="17" t="n"/>
      <c r="E740" s="17" t="n"/>
      <c r="F740" s="17" t="n"/>
      <c r="G740" s="17" t="n"/>
      <c r="H740" s="18">
        <f>IF(AND(B740="",C740="",D740="",E740=""),"",IF(B740="","⚠ Falta fecha",IF(C740="","⚠ Falta monto",IF(D740="","⚠ Falta categoría",IF(ISNA(MATCH(D740,catNom,0)),"⚠ Categoría no existe",IF(E740="","⚠ Falta cuenta",IF(ISNA(MATCH(E740,ctaNom,0)),"⚠ Cuenta no existe",IF(AND(OR(I740="Transferencia",I740="Pago tarjeta"),G740=""),"⚠ Indica la cuenta «Hacia»",IF(AND(G740&lt;&gt;"",G740=E740),"⚠ «Hacia» igual a la cuenta",IF(AND(G740&lt;&gt;"",ISNA(MATCH(G740,ctaNom,0))),"⚠ «Hacia» no existe",IF(AND(I740="Pago tarjeta",IFERROR(INDEX(ctaTipo,MATCH(G740,ctaNom,0)),"")&lt;&gt;"Tarjeta de crédito"),"⚠ «Hacia» debe ser la tarjeta",IF(AND(I740="Trading",IFERROR(INDEX(ctaTipo,MATCH(E740,ctaNom,0)),"")&lt;&gt;"Cuenta de trading"),"⚠ Usa la cuenta de trading","✓"))))))))))))</f>
        <v/>
      </c>
      <c r="I740" s="19">
        <f>IF(OR(B740="",C740="",D740=""),"",IFERROR(INDEX(catTipo,MATCH(D740,catNom,0))&amp;"",""))</f>
        <v/>
      </c>
      <c r="J740" s="19">
        <f>IF(I740="","",IFERROR(INDEX(catGrupo,MATCH(D740,catNom,0))&amp;"",""))</f>
        <v/>
      </c>
      <c r="K740" s="19">
        <f>IF(I740="Gasto",IF(IFERROR(INDEX(catClas,MATCH(D740,catNom,0))&amp;"","")="","Variable",IFERROR(INDEX(catClas,MATCH(D740,catNom,0))&amp;"","")),"")</f>
        <v/>
      </c>
      <c r="L740" s="19">
        <f>IF(I740="","",IFERROR(INDEX(catAlim,MATCH(D740,catNom,0))&amp;"",""))</f>
        <v/>
      </c>
      <c r="M740" s="19">
        <f>IF(I740="","",IFERROR(INDEX(catComida,MATCH(D740,catNom,0))&amp;"",""))</f>
        <v/>
      </c>
      <c r="N740" s="19">
        <f>IF(I740="","",IFERROR(INDEX(ctaMon,MATCH(E740,ctaNom,0))&amp;"","DOP"))</f>
        <v/>
      </c>
      <c r="O740" s="20">
        <f>IF(I740="","",C740*IF(N740="USD",TasaUSD,1))</f>
        <v/>
      </c>
      <c r="P740" s="20">
        <f>IF(I740="","",IF(I740="Gasto",O740,0))</f>
        <v/>
      </c>
      <c r="Q740" s="20">
        <f>IF(I740="","",IF(I740="Ingreso",O740,0))</f>
        <v/>
      </c>
      <c r="R740" s="20">
        <f>IF(I740="","",IF(I740="Trading",O740,0))</f>
        <v/>
      </c>
      <c r="S740" s="19">
        <f>IF(I740="","",IF(AND(I740="Gasto",K740="Variable",J740&lt;&gt;"Trading",O740&gt;0,O740&lt;=Umbral),1,0))</f>
        <v/>
      </c>
      <c r="T740" s="20">
        <f>IF(OR(I740="",E740=""),"",IF(OR(I740="Gasto",I740="Transferencia",I740="Pago tarjeta"),-1,1)*C740)</f>
        <v/>
      </c>
      <c r="U740" s="20">
        <f>IF(OR(G740="",AND(I740&lt;&gt;"Transferencia",I740&lt;&gt;"Pago tarjeta")),"",IF(IFERROR(INDEX(ctaMon,MATCH(G740,ctaNom,0))&amp;"","DOP")=N740,C740,IF(N740="USD",C740*TasaUSD,C740/TasaUSD)))</f>
        <v/>
      </c>
      <c r="V740" s="20">
        <f>IF(I740="","",IF(IFERROR(INDEX(ctaLiq,MATCH(E740,ctaNom,0))="Sí",FALSE),IF(OR(I740="Gasto",I740="Transferencia",I740="Pago tarjeta"),-1,1)*O740,0)+IF(AND(U740&lt;&gt;"",IFERROR(INDEX(ctaLiq,MATCH(G740,ctaNom,0))="Sí",FALSE)),O740,0))</f>
        <v/>
      </c>
      <c r="W740" s="19">
        <f>IF(OR(F740="",I740=""),"",IF(COUNTIFS(F$6:F740,F740,I$6:I740,"?*")=1,MAX(W$5:W739)+1,""))</f>
        <v/>
      </c>
    </row>
    <row r="741">
      <c r="B741" s="15" t="n"/>
      <c r="C741" s="16" t="n"/>
      <c r="D741" s="17" t="n"/>
      <c r="E741" s="17" t="n"/>
      <c r="F741" s="17" t="n"/>
      <c r="G741" s="17" t="n"/>
      <c r="H741" s="18">
        <f>IF(AND(B741="",C741="",D741="",E741=""),"",IF(B741="","⚠ Falta fecha",IF(C741="","⚠ Falta monto",IF(D741="","⚠ Falta categoría",IF(ISNA(MATCH(D741,catNom,0)),"⚠ Categoría no existe",IF(E741="","⚠ Falta cuenta",IF(ISNA(MATCH(E741,ctaNom,0)),"⚠ Cuenta no existe",IF(AND(OR(I741="Transferencia",I741="Pago tarjeta"),G741=""),"⚠ Indica la cuenta «Hacia»",IF(AND(G741&lt;&gt;"",G741=E741),"⚠ «Hacia» igual a la cuenta",IF(AND(G741&lt;&gt;"",ISNA(MATCH(G741,ctaNom,0))),"⚠ «Hacia» no existe",IF(AND(I741="Pago tarjeta",IFERROR(INDEX(ctaTipo,MATCH(G741,ctaNom,0)),"")&lt;&gt;"Tarjeta de crédito"),"⚠ «Hacia» debe ser la tarjeta",IF(AND(I741="Trading",IFERROR(INDEX(ctaTipo,MATCH(E741,ctaNom,0)),"")&lt;&gt;"Cuenta de trading"),"⚠ Usa la cuenta de trading","✓"))))))))))))</f>
        <v/>
      </c>
      <c r="I741" s="19">
        <f>IF(OR(B741="",C741="",D741=""),"",IFERROR(INDEX(catTipo,MATCH(D741,catNom,0))&amp;"",""))</f>
        <v/>
      </c>
      <c r="J741" s="19">
        <f>IF(I741="","",IFERROR(INDEX(catGrupo,MATCH(D741,catNom,0))&amp;"",""))</f>
        <v/>
      </c>
      <c r="K741" s="19">
        <f>IF(I741="Gasto",IF(IFERROR(INDEX(catClas,MATCH(D741,catNom,0))&amp;"","")="","Variable",IFERROR(INDEX(catClas,MATCH(D741,catNom,0))&amp;"","")),"")</f>
        <v/>
      </c>
      <c r="L741" s="19">
        <f>IF(I741="","",IFERROR(INDEX(catAlim,MATCH(D741,catNom,0))&amp;"",""))</f>
        <v/>
      </c>
      <c r="M741" s="19">
        <f>IF(I741="","",IFERROR(INDEX(catComida,MATCH(D741,catNom,0))&amp;"",""))</f>
        <v/>
      </c>
      <c r="N741" s="19">
        <f>IF(I741="","",IFERROR(INDEX(ctaMon,MATCH(E741,ctaNom,0))&amp;"","DOP"))</f>
        <v/>
      </c>
      <c r="O741" s="20">
        <f>IF(I741="","",C741*IF(N741="USD",TasaUSD,1))</f>
        <v/>
      </c>
      <c r="P741" s="20">
        <f>IF(I741="","",IF(I741="Gasto",O741,0))</f>
        <v/>
      </c>
      <c r="Q741" s="20">
        <f>IF(I741="","",IF(I741="Ingreso",O741,0))</f>
        <v/>
      </c>
      <c r="R741" s="20">
        <f>IF(I741="","",IF(I741="Trading",O741,0))</f>
        <v/>
      </c>
      <c r="S741" s="19">
        <f>IF(I741="","",IF(AND(I741="Gasto",K741="Variable",J741&lt;&gt;"Trading",O741&gt;0,O741&lt;=Umbral),1,0))</f>
        <v/>
      </c>
      <c r="T741" s="20">
        <f>IF(OR(I741="",E741=""),"",IF(OR(I741="Gasto",I741="Transferencia",I741="Pago tarjeta"),-1,1)*C741)</f>
        <v/>
      </c>
      <c r="U741" s="20">
        <f>IF(OR(G741="",AND(I741&lt;&gt;"Transferencia",I741&lt;&gt;"Pago tarjeta")),"",IF(IFERROR(INDEX(ctaMon,MATCH(G741,ctaNom,0))&amp;"","DOP")=N741,C741,IF(N741="USD",C741*TasaUSD,C741/TasaUSD)))</f>
        <v/>
      </c>
      <c r="V741" s="20">
        <f>IF(I741="","",IF(IFERROR(INDEX(ctaLiq,MATCH(E741,ctaNom,0))="Sí",FALSE),IF(OR(I741="Gasto",I741="Transferencia",I741="Pago tarjeta"),-1,1)*O741,0)+IF(AND(U741&lt;&gt;"",IFERROR(INDEX(ctaLiq,MATCH(G741,ctaNom,0))="Sí",FALSE)),O741,0))</f>
        <v/>
      </c>
      <c r="W741" s="19">
        <f>IF(OR(F741="",I741=""),"",IF(COUNTIFS(F$6:F741,F741,I$6:I741,"?*")=1,MAX(W$5:W740)+1,""))</f>
        <v/>
      </c>
    </row>
    <row r="742">
      <c r="B742" s="15" t="n"/>
      <c r="C742" s="16" t="n"/>
      <c r="D742" s="17" t="n"/>
      <c r="E742" s="17" t="n"/>
      <c r="F742" s="17" t="n"/>
      <c r="G742" s="17" t="n"/>
      <c r="H742" s="18">
        <f>IF(AND(B742="",C742="",D742="",E742=""),"",IF(B742="","⚠ Falta fecha",IF(C742="","⚠ Falta monto",IF(D742="","⚠ Falta categoría",IF(ISNA(MATCH(D742,catNom,0)),"⚠ Categoría no existe",IF(E742="","⚠ Falta cuenta",IF(ISNA(MATCH(E742,ctaNom,0)),"⚠ Cuenta no existe",IF(AND(OR(I742="Transferencia",I742="Pago tarjeta"),G742=""),"⚠ Indica la cuenta «Hacia»",IF(AND(G742&lt;&gt;"",G742=E742),"⚠ «Hacia» igual a la cuenta",IF(AND(G742&lt;&gt;"",ISNA(MATCH(G742,ctaNom,0))),"⚠ «Hacia» no existe",IF(AND(I742="Pago tarjeta",IFERROR(INDEX(ctaTipo,MATCH(G742,ctaNom,0)),"")&lt;&gt;"Tarjeta de crédito"),"⚠ «Hacia» debe ser la tarjeta",IF(AND(I742="Trading",IFERROR(INDEX(ctaTipo,MATCH(E742,ctaNom,0)),"")&lt;&gt;"Cuenta de trading"),"⚠ Usa la cuenta de trading","✓"))))))))))))</f>
        <v/>
      </c>
      <c r="I742" s="19">
        <f>IF(OR(B742="",C742="",D742=""),"",IFERROR(INDEX(catTipo,MATCH(D742,catNom,0))&amp;"",""))</f>
        <v/>
      </c>
      <c r="J742" s="19">
        <f>IF(I742="","",IFERROR(INDEX(catGrupo,MATCH(D742,catNom,0))&amp;"",""))</f>
        <v/>
      </c>
      <c r="K742" s="19">
        <f>IF(I742="Gasto",IF(IFERROR(INDEX(catClas,MATCH(D742,catNom,0))&amp;"","")="","Variable",IFERROR(INDEX(catClas,MATCH(D742,catNom,0))&amp;"","")),"")</f>
        <v/>
      </c>
      <c r="L742" s="19">
        <f>IF(I742="","",IFERROR(INDEX(catAlim,MATCH(D742,catNom,0))&amp;"",""))</f>
        <v/>
      </c>
      <c r="M742" s="19">
        <f>IF(I742="","",IFERROR(INDEX(catComida,MATCH(D742,catNom,0))&amp;"",""))</f>
        <v/>
      </c>
      <c r="N742" s="19">
        <f>IF(I742="","",IFERROR(INDEX(ctaMon,MATCH(E742,ctaNom,0))&amp;"","DOP"))</f>
        <v/>
      </c>
      <c r="O742" s="20">
        <f>IF(I742="","",C742*IF(N742="USD",TasaUSD,1))</f>
        <v/>
      </c>
      <c r="P742" s="20">
        <f>IF(I742="","",IF(I742="Gasto",O742,0))</f>
        <v/>
      </c>
      <c r="Q742" s="20">
        <f>IF(I742="","",IF(I742="Ingreso",O742,0))</f>
        <v/>
      </c>
      <c r="R742" s="20">
        <f>IF(I742="","",IF(I742="Trading",O742,0))</f>
        <v/>
      </c>
      <c r="S742" s="19">
        <f>IF(I742="","",IF(AND(I742="Gasto",K742="Variable",J742&lt;&gt;"Trading",O742&gt;0,O742&lt;=Umbral),1,0))</f>
        <v/>
      </c>
      <c r="T742" s="20">
        <f>IF(OR(I742="",E742=""),"",IF(OR(I742="Gasto",I742="Transferencia",I742="Pago tarjeta"),-1,1)*C742)</f>
        <v/>
      </c>
      <c r="U742" s="20">
        <f>IF(OR(G742="",AND(I742&lt;&gt;"Transferencia",I742&lt;&gt;"Pago tarjeta")),"",IF(IFERROR(INDEX(ctaMon,MATCH(G742,ctaNom,0))&amp;"","DOP")=N742,C742,IF(N742="USD",C742*TasaUSD,C742/TasaUSD)))</f>
        <v/>
      </c>
      <c r="V742" s="20">
        <f>IF(I742="","",IF(IFERROR(INDEX(ctaLiq,MATCH(E742,ctaNom,0))="Sí",FALSE),IF(OR(I742="Gasto",I742="Transferencia",I742="Pago tarjeta"),-1,1)*O742,0)+IF(AND(U742&lt;&gt;"",IFERROR(INDEX(ctaLiq,MATCH(G742,ctaNom,0))="Sí",FALSE)),O742,0))</f>
        <v/>
      </c>
      <c r="W742" s="19">
        <f>IF(OR(F742="",I742=""),"",IF(COUNTIFS(F$6:F742,F742,I$6:I742,"?*")=1,MAX(W$5:W741)+1,""))</f>
        <v/>
      </c>
    </row>
    <row r="743">
      <c r="B743" s="15" t="n"/>
      <c r="C743" s="16" t="n"/>
      <c r="D743" s="17" t="n"/>
      <c r="E743" s="17" t="n"/>
      <c r="F743" s="17" t="n"/>
      <c r="G743" s="17" t="n"/>
      <c r="H743" s="18">
        <f>IF(AND(B743="",C743="",D743="",E743=""),"",IF(B743="","⚠ Falta fecha",IF(C743="","⚠ Falta monto",IF(D743="","⚠ Falta categoría",IF(ISNA(MATCH(D743,catNom,0)),"⚠ Categoría no existe",IF(E743="","⚠ Falta cuenta",IF(ISNA(MATCH(E743,ctaNom,0)),"⚠ Cuenta no existe",IF(AND(OR(I743="Transferencia",I743="Pago tarjeta"),G743=""),"⚠ Indica la cuenta «Hacia»",IF(AND(G743&lt;&gt;"",G743=E743),"⚠ «Hacia» igual a la cuenta",IF(AND(G743&lt;&gt;"",ISNA(MATCH(G743,ctaNom,0))),"⚠ «Hacia» no existe",IF(AND(I743="Pago tarjeta",IFERROR(INDEX(ctaTipo,MATCH(G743,ctaNom,0)),"")&lt;&gt;"Tarjeta de crédito"),"⚠ «Hacia» debe ser la tarjeta",IF(AND(I743="Trading",IFERROR(INDEX(ctaTipo,MATCH(E743,ctaNom,0)),"")&lt;&gt;"Cuenta de trading"),"⚠ Usa la cuenta de trading","✓"))))))))))))</f>
        <v/>
      </c>
      <c r="I743" s="19">
        <f>IF(OR(B743="",C743="",D743=""),"",IFERROR(INDEX(catTipo,MATCH(D743,catNom,0))&amp;"",""))</f>
        <v/>
      </c>
      <c r="J743" s="19">
        <f>IF(I743="","",IFERROR(INDEX(catGrupo,MATCH(D743,catNom,0))&amp;"",""))</f>
        <v/>
      </c>
      <c r="K743" s="19">
        <f>IF(I743="Gasto",IF(IFERROR(INDEX(catClas,MATCH(D743,catNom,0))&amp;"","")="","Variable",IFERROR(INDEX(catClas,MATCH(D743,catNom,0))&amp;"","")),"")</f>
        <v/>
      </c>
      <c r="L743" s="19">
        <f>IF(I743="","",IFERROR(INDEX(catAlim,MATCH(D743,catNom,0))&amp;"",""))</f>
        <v/>
      </c>
      <c r="M743" s="19">
        <f>IF(I743="","",IFERROR(INDEX(catComida,MATCH(D743,catNom,0))&amp;"",""))</f>
        <v/>
      </c>
      <c r="N743" s="19">
        <f>IF(I743="","",IFERROR(INDEX(ctaMon,MATCH(E743,ctaNom,0))&amp;"","DOP"))</f>
        <v/>
      </c>
      <c r="O743" s="20">
        <f>IF(I743="","",C743*IF(N743="USD",TasaUSD,1))</f>
        <v/>
      </c>
      <c r="P743" s="20">
        <f>IF(I743="","",IF(I743="Gasto",O743,0))</f>
        <v/>
      </c>
      <c r="Q743" s="20">
        <f>IF(I743="","",IF(I743="Ingreso",O743,0))</f>
        <v/>
      </c>
      <c r="R743" s="20">
        <f>IF(I743="","",IF(I743="Trading",O743,0))</f>
        <v/>
      </c>
      <c r="S743" s="19">
        <f>IF(I743="","",IF(AND(I743="Gasto",K743="Variable",J743&lt;&gt;"Trading",O743&gt;0,O743&lt;=Umbral),1,0))</f>
        <v/>
      </c>
      <c r="T743" s="20">
        <f>IF(OR(I743="",E743=""),"",IF(OR(I743="Gasto",I743="Transferencia",I743="Pago tarjeta"),-1,1)*C743)</f>
        <v/>
      </c>
      <c r="U743" s="20">
        <f>IF(OR(G743="",AND(I743&lt;&gt;"Transferencia",I743&lt;&gt;"Pago tarjeta")),"",IF(IFERROR(INDEX(ctaMon,MATCH(G743,ctaNom,0))&amp;"","DOP")=N743,C743,IF(N743="USD",C743*TasaUSD,C743/TasaUSD)))</f>
        <v/>
      </c>
      <c r="V743" s="20">
        <f>IF(I743="","",IF(IFERROR(INDEX(ctaLiq,MATCH(E743,ctaNom,0))="Sí",FALSE),IF(OR(I743="Gasto",I743="Transferencia",I743="Pago tarjeta"),-1,1)*O743,0)+IF(AND(U743&lt;&gt;"",IFERROR(INDEX(ctaLiq,MATCH(G743,ctaNom,0))="Sí",FALSE)),O743,0))</f>
        <v/>
      </c>
      <c r="W743" s="19">
        <f>IF(OR(F743="",I743=""),"",IF(COUNTIFS(F$6:F743,F743,I$6:I743,"?*")=1,MAX(W$5:W742)+1,""))</f>
        <v/>
      </c>
    </row>
    <row r="744">
      <c r="B744" s="15" t="n"/>
      <c r="C744" s="16" t="n"/>
      <c r="D744" s="17" t="n"/>
      <c r="E744" s="17" t="n"/>
      <c r="F744" s="17" t="n"/>
      <c r="G744" s="17" t="n"/>
      <c r="H744" s="18">
        <f>IF(AND(B744="",C744="",D744="",E744=""),"",IF(B744="","⚠ Falta fecha",IF(C744="","⚠ Falta monto",IF(D744="","⚠ Falta categoría",IF(ISNA(MATCH(D744,catNom,0)),"⚠ Categoría no existe",IF(E744="","⚠ Falta cuenta",IF(ISNA(MATCH(E744,ctaNom,0)),"⚠ Cuenta no existe",IF(AND(OR(I744="Transferencia",I744="Pago tarjeta"),G744=""),"⚠ Indica la cuenta «Hacia»",IF(AND(G744&lt;&gt;"",G744=E744),"⚠ «Hacia» igual a la cuenta",IF(AND(G744&lt;&gt;"",ISNA(MATCH(G744,ctaNom,0))),"⚠ «Hacia» no existe",IF(AND(I744="Pago tarjeta",IFERROR(INDEX(ctaTipo,MATCH(G744,ctaNom,0)),"")&lt;&gt;"Tarjeta de crédito"),"⚠ «Hacia» debe ser la tarjeta",IF(AND(I744="Trading",IFERROR(INDEX(ctaTipo,MATCH(E744,ctaNom,0)),"")&lt;&gt;"Cuenta de trading"),"⚠ Usa la cuenta de trading","✓"))))))))))))</f>
        <v/>
      </c>
      <c r="I744" s="19">
        <f>IF(OR(B744="",C744="",D744=""),"",IFERROR(INDEX(catTipo,MATCH(D744,catNom,0))&amp;"",""))</f>
        <v/>
      </c>
      <c r="J744" s="19">
        <f>IF(I744="","",IFERROR(INDEX(catGrupo,MATCH(D744,catNom,0))&amp;"",""))</f>
        <v/>
      </c>
      <c r="K744" s="19">
        <f>IF(I744="Gasto",IF(IFERROR(INDEX(catClas,MATCH(D744,catNom,0))&amp;"","")="","Variable",IFERROR(INDEX(catClas,MATCH(D744,catNom,0))&amp;"","")),"")</f>
        <v/>
      </c>
      <c r="L744" s="19">
        <f>IF(I744="","",IFERROR(INDEX(catAlim,MATCH(D744,catNom,0))&amp;"",""))</f>
        <v/>
      </c>
      <c r="M744" s="19">
        <f>IF(I744="","",IFERROR(INDEX(catComida,MATCH(D744,catNom,0))&amp;"",""))</f>
        <v/>
      </c>
      <c r="N744" s="19">
        <f>IF(I744="","",IFERROR(INDEX(ctaMon,MATCH(E744,ctaNom,0))&amp;"","DOP"))</f>
        <v/>
      </c>
      <c r="O744" s="20">
        <f>IF(I744="","",C744*IF(N744="USD",TasaUSD,1))</f>
        <v/>
      </c>
      <c r="P744" s="20">
        <f>IF(I744="","",IF(I744="Gasto",O744,0))</f>
        <v/>
      </c>
      <c r="Q744" s="20">
        <f>IF(I744="","",IF(I744="Ingreso",O744,0))</f>
        <v/>
      </c>
      <c r="R744" s="20">
        <f>IF(I744="","",IF(I744="Trading",O744,0))</f>
        <v/>
      </c>
      <c r="S744" s="19">
        <f>IF(I744="","",IF(AND(I744="Gasto",K744="Variable",J744&lt;&gt;"Trading",O744&gt;0,O744&lt;=Umbral),1,0))</f>
        <v/>
      </c>
      <c r="T744" s="20">
        <f>IF(OR(I744="",E744=""),"",IF(OR(I744="Gasto",I744="Transferencia",I744="Pago tarjeta"),-1,1)*C744)</f>
        <v/>
      </c>
      <c r="U744" s="20">
        <f>IF(OR(G744="",AND(I744&lt;&gt;"Transferencia",I744&lt;&gt;"Pago tarjeta")),"",IF(IFERROR(INDEX(ctaMon,MATCH(G744,ctaNom,0))&amp;"","DOP")=N744,C744,IF(N744="USD",C744*TasaUSD,C744/TasaUSD)))</f>
        <v/>
      </c>
      <c r="V744" s="20">
        <f>IF(I744="","",IF(IFERROR(INDEX(ctaLiq,MATCH(E744,ctaNom,0))="Sí",FALSE),IF(OR(I744="Gasto",I744="Transferencia",I744="Pago tarjeta"),-1,1)*O744,0)+IF(AND(U744&lt;&gt;"",IFERROR(INDEX(ctaLiq,MATCH(G744,ctaNom,0))="Sí",FALSE)),O744,0))</f>
        <v/>
      </c>
      <c r="W744" s="19">
        <f>IF(OR(F744="",I744=""),"",IF(COUNTIFS(F$6:F744,F744,I$6:I744,"?*")=1,MAX(W$5:W743)+1,""))</f>
        <v/>
      </c>
    </row>
    <row r="745">
      <c r="B745" s="15" t="n"/>
      <c r="C745" s="16" t="n"/>
      <c r="D745" s="17" t="n"/>
      <c r="E745" s="17" t="n"/>
      <c r="F745" s="17" t="n"/>
      <c r="G745" s="17" t="n"/>
      <c r="H745" s="18">
        <f>IF(AND(B745="",C745="",D745="",E745=""),"",IF(B745="","⚠ Falta fecha",IF(C745="","⚠ Falta monto",IF(D745="","⚠ Falta categoría",IF(ISNA(MATCH(D745,catNom,0)),"⚠ Categoría no existe",IF(E745="","⚠ Falta cuenta",IF(ISNA(MATCH(E745,ctaNom,0)),"⚠ Cuenta no existe",IF(AND(OR(I745="Transferencia",I745="Pago tarjeta"),G745=""),"⚠ Indica la cuenta «Hacia»",IF(AND(G745&lt;&gt;"",G745=E745),"⚠ «Hacia» igual a la cuenta",IF(AND(G745&lt;&gt;"",ISNA(MATCH(G745,ctaNom,0))),"⚠ «Hacia» no existe",IF(AND(I745="Pago tarjeta",IFERROR(INDEX(ctaTipo,MATCH(G745,ctaNom,0)),"")&lt;&gt;"Tarjeta de crédito"),"⚠ «Hacia» debe ser la tarjeta",IF(AND(I745="Trading",IFERROR(INDEX(ctaTipo,MATCH(E745,ctaNom,0)),"")&lt;&gt;"Cuenta de trading"),"⚠ Usa la cuenta de trading","✓"))))))))))))</f>
        <v/>
      </c>
      <c r="I745" s="19">
        <f>IF(OR(B745="",C745="",D745=""),"",IFERROR(INDEX(catTipo,MATCH(D745,catNom,0))&amp;"",""))</f>
        <v/>
      </c>
      <c r="J745" s="19">
        <f>IF(I745="","",IFERROR(INDEX(catGrupo,MATCH(D745,catNom,0))&amp;"",""))</f>
        <v/>
      </c>
      <c r="K745" s="19">
        <f>IF(I745="Gasto",IF(IFERROR(INDEX(catClas,MATCH(D745,catNom,0))&amp;"","")="","Variable",IFERROR(INDEX(catClas,MATCH(D745,catNom,0))&amp;"","")),"")</f>
        <v/>
      </c>
      <c r="L745" s="19">
        <f>IF(I745="","",IFERROR(INDEX(catAlim,MATCH(D745,catNom,0))&amp;"",""))</f>
        <v/>
      </c>
      <c r="M745" s="19">
        <f>IF(I745="","",IFERROR(INDEX(catComida,MATCH(D745,catNom,0))&amp;"",""))</f>
        <v/>
      </c>
      <c r="N745" s="19">
        <f>IF(I745="","",IFERROR(INDEX(ctaMon,MATCH(E745,ctaNom,0))&amp;"","DOP"))</f>
        <v/>
      </c>
      <c r="O745" s="20">
        <f>IF(I745="","",C745*IF(N745="USD",TasaUSD,1))</f>
        <v/>
      </c>
      <c r="P745" s="20">
        <f>IF(I745="","",IF(I745="Gasto",O745,0))</f>
        <v/>
      </c>
      <c r="Q745" s="20">
        <f>IF(I745="","",IF(I745="Ingreso",O745,0))</f>
        <v/>
      </c>
      <c r="R745" s="20">
        <f>IF(I745="","",IF(I745="Trading",O745,0))</f>
        <v/>
      </c>
      <c r="S745" s="19">
        <f>IF(I745="","",IF(AND(I745="Gasto",K745="Variable",J745&lt;&gt;"Trading",O745&gt;0,O745&lt;=Umbral),1,0))</f>
        <v/>
      </c>
      <c r="T745" s="20">
        <f>IF(OR(I745="",E745=""),"",IF(OR(I745="Gasto",I745="Transferencia",I745="Pago tarjeta"),-1,1)*C745)</f>
        <v/>
      </c>
      <c r="U745" s="20">
        <f>IF(OR(G745="",AND(I745&lt;&gt;"Transferencia",I745&lt;&gt;"Pago tarjeta")),"",IF(IFERROR(INDEX(ctaMon,MATCH(G745,ctaNom,0))&amp;"","DOP")=N745,C745,IF(N745="USD",C745*TasaUSD,C745/TasaUSD)))</f>
        <v/>
      </c>
      <c r="V745" s="20">
        <f>IF(I745="","",IF(IFERROR(INDEX(ctaLiq,MATCH(E745,ctaNom,0))="Sí",FALSE),IF(OR(I745="Gasto",I745="Transferencia",I745="Pago tarjeta"),-1,1)*O745,0)+IF(AND(U745&lt;&gt;"",IFERROR(INDEX(ctaLiq,MATCH(G745,ctaNom,0))="Sí",FALSE)),O745,0))</f>
        <v/>
      </c>
      <c r="W745" s="19">
        <f>IF(OR(F745="",I745=""),"",IF(COUNTIFS(F$6:F745,F745,I$6:I745,"?*")=1,MAX(W$5:W744)+1,""))</f>
        <v/>
      </c>
    </row>
    <row r="746">
      <c r="B746" s="15" t="n"/>
      <c r="C746" s="16" t="n"/>
      <c r="D746" s="17" t="n"/>
      <c r="E746" s="17" t="n"/>
      <c r="F746" s="17" t="n"/>
      <c r="G746" s="17" t="n"/>
      <c r="H746" s="18">
        <f>IF(AND(B746="",C746="",D746="",E746=""),"",IF(B746="","⚠ Falta fecha",IF(C746="","⚠ Falta monto",IF(D746="","⚠ Falta categoría",IF(ISNA(MATCH(D746,catNom,0)),"⚠ Categoría no existe",IF(E746="","⚠ Falta cuenta",IF(ISNA(MATCH(E746,ctaNom,0)),"⚠ Cuenta no existe",IF(AND(OR(I746="Transferencia",I746="Pago tarjeta"),G746=""),"⚠ Indica la cuenta «Hacia»",IF(AND(G746&lt;&gt;"",G746=E746),"⚠ «Hacia» igual a la cuenta",IF(AND(G746&lt;&gt;"",ISNA(MATCH(G746,ctaNom,0))),"⚠ «Hacia» no existe",IF(AND(I746="Pago tarjeta",IFERROR(INDEX(ctaTipo,MATCH(G746,ctaNom,0)),"")&lt;&gt;"Tarjeta de crédito"),"⚠ «Hacia» debe ser la tarjeta",IF(AND(I746="Trading",IFERROR(INDEX(ctaTipo,MATCH(E746,ctaNom,0)),"")&lt;&gt;"Cuenta de trading"),"⚠ Usa la cuenta de trading","✓"))))))))))))</f>
        <v/>
      </c>
      <c r="I746" s="19">
        <f>IF(OR(B746="",C746="",D746=""),"",IFERROR(INDEX(catTipo,MATCH(D746,catNom,0))&amp;"",""))</f>
        <v/>
      </c>
      <c r="J746" s="19">
        <f>IF(I746="","",IFERROR(INDEX(catGrupo,MATCH(D746,catNom,0))&amp;"",""))</f>
        <v/>
      </c>
      <c r="K746" s="19">
        <f>IF(I746="Gasto",IF(IFERROR(INDEX(catClas,MATCH(D746,catNom,0))&amp;"","")="","Variable",IFERROR(INDEX(catClas,MATCH(D746,catNom,0))&amp;"","")),"")</f>
        <v/>
      </c>
      <c r="L746" s="19">
        <f>IF(I746="","",IFERROR(INDEX(catAlim,MATCH(D746,catNom,0))&amp;"",""))</f>
        <v/>
      </c>
      <c r="M746" s="19">
        <f>IF(I746="","",IFERROR(INDEX(catComida,MATCH(D746,catNom,0))&amp;"",""))</f>
        <v/>
      </c>
      <c r="N746" s="19">
        <f>IF(I746="","",IFERROR(INDEX(ctaMon,MATCH(E746,ctaNom,0))&amp;"","DOP"))</f>
        <v/>
      </c>
      <c r="O746" s="20">
        <f>IF(I746="","",C746*IF(N746="USD",TasaUSD,1))</f>
        <v/>
      </c>
      <c r="P746" s="20">
        <f>IF(I746="","",IF(I746="Gasto",O746,0))</f>
        <v/>
      </c>
      <c r="Q746" s="20">
        <f>IF(I746="","",IF(I746="Ingreso",O746,0))</f>
        <v/>
      </c>
      <c r="R746" s="20">
        <f>IF(I746="","",IF(I746="Trading",O746,0))</f>
        <v/>
      </c>
      <c r="S746" s="19">
        <f>IF(I746="","",IF(AND(I746="Gasto",K746="Variable",J746&lt;&gt;"Trading",O746&gt;0,O746&lt;=Umbral),1,0))</f>
        <v/>
      </c>
      <c r="T746" s="20">
        <f>IF(OR(I746="",E746=""),"",IF(OR(I746="Gasto",I746="Transferencia",I746="Pago tarjeta"),-1,1)*C746)</f>
        <v/>
      </c>
      <c r="U746" s="20">
        <f>IF(OR(G746="",AND(I746&lt;&gt;"Transferencia",I746&lt;&gt;"Pago tarjeta")),"",IF(IFERROR(INDEX(ctaMon,MATCH(G746,ctaNom,0))&amp;"","DOP")=N746,C746,IF(N746="USD",C746*TasaUSD,C746/TasaUSD)))</f>
        <v/>
      </c>
      <c r="V746" s="20">
        <f>IF(I746="","",IF(IFERROR(INDEX(ctaLiq,MATCH(E746,ctaNom,0))="Sí",FALSE),IF(OR(I746="Gasto",I746="Transferencia",I746="Pago tarjeta"),-1,1)*O746,0)+IF(AND(U746&lt;&gt;"",IFERROR(INDEX(ctaLiq,MATCH(G746,ctaNom,0))="Sí",FALSE)),O746,0))</f>
        <v/>
      </c>
      <c r="W746" s="19">
        <f>IF(OR(F746="",I746=""),"",IF(COUNTIFS(F$6:F746,F746,I$6:I746,"?*")=1,MAX(W$5:W745)+1,""))</f>
        <v/>
      </c>
    </row>
    <row r="747">
      <c r="B747" s="15" t="n"/>
      <c r="C747" s="16" t="n"/>
      <c r="D747" s="17" t="n"/>
      <c r="E747" s="17" t="n"/>
      <c r="F747" s="17" t="n"/>
      <c r="G747" s="17" t="n"/>
      <c r="H747" s="18">
        <f>IF(AND(B747="",C747="",D747="",E747=""),"",IF(B747="","⚠ Falta fecha",IF(C747="","⚠ Falta monto",IF(D747="","⚠ Falta categoría",IF(ISNA(MATCH(D747,catNom,0)),"⚠ Categoría no existe",IF(E747="","⚠ Falta cuenta",IF(ISNA(MATCH(E747,ctaNom,0)),"⚠ Cuenta no existe",IF(AND(OR(I747="Transferencia",I747="Pago tarjeta"),G747=""),"⚠ Indica la cuenta «Hacia»",IF(AND(G747&lt;&gt;"",G747=E747),"⚠ «Hacia» igual a la cuenta",IF(AND(G747&lt;&gt;"",ISNA(MATCH(G747,ctaNom,0))),"⚠ «Hacia» no existe",IF(AND(I747="Pago tarjeta",IFERROR(INDEX(ctaTipo,MATCH(G747,ctaNom,0)),"")&lt;&gt;"Tarjeta de crédito"),"⚠ «Hacia» debe ser la tarjeta",IF(AND(I747="Trading",IFERROR(INDEX(ctaTipo,MATCH(E747,ctaNom,0)),"")&lt;&gt;"Cuenta de trading"),"⚠ Usa la cuenta de trading","✓"))))))))))))</f>
        <v/>
      </c>
      <c r="I747" s="19">
        <f>IF(OR(B747="",C747="",D747=""),"",IFERROR(INDEX(catTipo,MATCH(D747,catNom,0))&amp;"",""))</f>
        <v/>
      </c>
      <c r="J747" s="19">
        <f>IF(I747="","",IFERROR(INDEX(catGrupo,MATCH(D747,catNom,0))&amp;"",""))</f>
        <v/>
      </c>
      <c r="K747" s="19">
        <f>IF(I747="Gasto",IF(IFERROR(INDEX(catClas,MATCH(D747,catNom,0))&amp;"","")="","Variable",IFERROR(INDEX(catClas,MATCH(D747,catNom,0))&amp;"","")),"")</f>
        <v/>
      </c>
      <c r="L747" s="19">
        <f>IF(I747="","",IFERROR(INDEX(catAlim,MATCH(D747,catNom,0))&amp;"",""))</f>
        <v/>
      </c>
      <c r="M747" s="19">
        <f>IF(I747="","",IFERROR(INDEX(catComida,MATCH(D747,catNom,0))&amp;"",""))</f>
        <v/>
      </c>
      <c r="N747" s="19">
        <f>IF(I747="","",IFERROR(INDEX(ctaMon,MATCH(E747,ctaNom,0))&amp;"","DOP"))</f>
        <v/>
      </c>
      <c r="O747" s="20">
        <f>IF(I747="","",C747*IF(N747="USD",TasaUSD,1))</f>
        <v/>
      </c>
      <c r="P747" s="20">
        <f>IF(I747="","",IF(I747="Gasto",O747,0))</f>
        <v/>
      </c>
      <c r="Q747" s="20">
        <f>IF(I747="","",IF(I747="Ingreso",O747,0))</f>
        <v/>
      </c>
      <c r="R747" s="20">
        <f>IF(I747="","",IF(I747="Trading",O747,0))</f>
        <v/>
      </c>
      <c r="S747" s="19">
        <f>IF(I747="","",IF(AND(I747="Gasto",K747="Variable",J747&lt;&gt;"Trading",O747&gt;0,O747&lt;=Umbral),1,0))</f>
        <v/>
      </c>
      <c r="T747" s="20">
        <f>IF(OR(I747="",E747=""),"",IF(OR(I747="Gasto",I747="Transferencia",I747="Pago tarjeta"),-1,1)*C747)</f>
        <v/>
      </c>
      <c r="U747" s="20">
        <f>IF(OR(G747="",AND(I747&lt;&gt;"Transferencia",I747&lt;&gt;"Pago tarjeta")),"",IF(IFERROR(INDEX(ctaMon,MATCH(G747,ctaNom,0))&amp;"","DOP")=N747,C747,IF(N747="USD",C747*TasaUSD,C747/TasaUSD)))</f>
        <v/>
      </c>
      <c r="V747" s="20">
        <f>IF(I747="","",IF(IFERROR(INDEX(ctaLiq,MATCH(E747,ctaNom,0))="Sí",FALSE),IF(OR(I747="Gasto",I747="Transferencia",I747="Pago tarjeta"),-1,1)*O747,0)+IF(AND(U747&lt;&gt;"",IFERROR(INDEX(ctaLiq,MATCH(G747,ctaNom,0))="Sí",FALSE)),O747,0))</f>
        <v/>
      </c>
      <c r="W747" s="19">
        <f>IF(OR(F747="",I747=""),"",IF(COUNTIFS(F$6:F747,F747,I$6:I747,"?*")=1,MAX(W$5:W746)+1,""))</f>
        <v/>
      </c>
    </row>
    <row r="748">
      <c r="B748" s="15" t="n"/>
      <c r="C748" s="16" t="n"/>
      <c r="D748" s="17" t="n"/>
      <c r="E748" s="17" t="n"/>
      <c r="F748" s="17" t="n"/>
      <c r="G748" s="17" t="n"/>
      <c r="H748" s="18">
        <f>IF(AND(B748="",C748="",D748="",E748=""),"",IF(B748="","⚠ Falta fecha",IF(C748="","⚠ Falta monto",IF(D748="","⚠ Falta categoría",IF(ISNA(MATCH(D748,catNom,0)),"⚠ Categoría no existe",IF(E748="","⚠ Falta cuenta",IF(ISNA(MATCH(E748,ctaNom,0)),"⚠ Cuenta no existe",IF(AND(OR(I748="Transferencia",I748="Pago tarjeta"),G748=""),"⚠ Indica la cuenta «Hacia»",IF(AND(G748&lt;&gt;"",G748=E748),"⚠ «Hacia» igual a la cuenta",IF(AND(G748&lt;&gt;"",ISNA(MATCH(G748,ctaNom,0))),"⚠ «Hacia» no existe",IF(AND(I748="Pago tarjeta",IFERROR(INDEX(ctaTipo,MATCH(G748,ctaNom,0)),"")&lt;&gt;"Tarjeta de crédito"),"⚠ «Hacia» debe ser la tarjeta",IF(AND(I748="Trading",IFERROR(INDEX(ctaTipo,MATCH(E748,ctaNom,0)),"")&lt;&gt;"Cuenta de trading"),"⚠ Usa la cuenta de trading","✓"))))))))))))</f>
        <v/>
      </c>
      <c r="I748" s="19">
        <f>IF(OR(B748="",C748="",D748=""),"",IFERROR(INDEX(catTipo,MATCH(D748,catNom,0))&amp;"",""))</f>
        <v/>
      </c>
      <c r="J748" s="19">
        <f>IF(I748="","",IFERROR(INDEX(catGrupo,MATCH(D748,catNom,0))&amp;"",""))</f>
        <v/>
      </c>
      <c r="K748" s="19">
        <f>IF(I748="Gasto",IF(IFERROR(INDEX(catClas,MATCH(D748,catNom,0))&amp;"","")="","Variable",IFERROR(INDEX(catClas,MATCH(D748,catNom,0))&amp;"","")),"")</f>
        <v/>
      </c>
      <c r="L748" s="19">
        <f>IF(I748="","",IFERROR(INDEX(catAlim,MATCH(D748,catNom,0))&amp;"",""))</f>
        <v/>
      </c>
      <c r="M748" s="19">
        <f>IF(I748="","",IFERROR(INDEX(catComida,MATCH(D748,catNom,0))&amp;"",""))</f>
        <v/>
      </c>
      <c r="N748" s="19">
        <f>IF(I748="","",IFERROR(INDEX(ctaMon,MATCH(E748,ctaNom,0))&amp;"","DOP"))</f>
        <v/>
      </c>
      <c r="O748" s="20">
        <f>IF(I748="","",C748*IF(N748="USD",TasaUSD,1))</f>
        <v/>
      </c>
      <c r="P748" s="20">
        <f>IF(I748="","",IF(I748="Gasto",O748,0))</f>
        <v/>
      </c>
      <c r="Q748" s="20">
        <f>IF(I748="","",IF(I748="Ingreso",O748,0))</f>
        <v/>
      </c>
      <c r="R748" s="20">
        <f>IF(I748="","",IF(I748="Trading",O748,0))</f>
        <v/>
      </c>
      <c r="S748" s="19">
        <f>IF(I748="","",IF(AND(I748="Gasto",K748="Variable",J748&lt;&gt;"Trading",O748&gt;0,O748&lt;=Umbral),1,0))</f>
        <v/>
      </c>
      <c r="T748" s="20">
        <f>IF(OR(I748="",E748=""),"",IF(OR(I748="Gasto",I748="Transferencia",I748="Pago tarjeta"),-1,1)*C748)</f>
        <v/>
      </c>
      <c r="U748" s="20">
        <f>IF(OR(G748="",AND(I748&lt;&gt;"Transferencia",I748&lt;&gt;"Pago tarjeta")),"",IF(IFERROR(INDEX(ctaMon,MATCH(G748,ctaNom,0))&amp;"","DOP")=N748,C748,IF(N748="USD",C748*TasaUSD,C748/TasaUSD)))</f>
        <v/>
      </c>
      <c r="V748" s="20">
        <f>IF(I748="","",IF(IFERROR(INDEX(ctaLiq,MATCH(E748,ctaNom,0))="Sí",FALSE),IF(OR(I748="Gasto",I748="Transferencia",I748="Pago tarjeta"),-1,1)*O748,0)+IF(AND(U748&lt;&gt;"",IFERROR(INDEX(ctaLiq,MATCH(G748,ctaNom,0))="Sí",FALSE)),O748,0))</f>
        <v/>
      </c>
      <c r="W748" s="19">
        <f>IF(OR(F748="",I748=""),"",IF(COUNTIFS(F$6:F748,F748,I$6:I748,"?*")=1,MAX(W$5:W747)+1,""))</f>
        <v/>
      </c>
    </row>
    <row r="749">
      <c r="B749" s="15" t="n"/>
      <c r="C749" s="16" t="n"/>
      <c r="D749" s="17" t="n"/>
      <c r="E749" s="17" t="n"/>
      <c r="F749" s="17" t="n"/>
      <c r="G749" s="17" t="n"/>
      <c r="H749" s="18">
        <f>IF(AND(B749="",C749="",D749="",E749=""),"",IF(B749="","⚠ Falta fecha",IF(C749="","⚠ Falta monto",IF(D749="","⚠ Falta categoría",IF(ISNA(MATCH(D749,catNom,0)),"⚠ Categoría no existe",IF(E749="","⚠ Falta cuenta",IF(ISNA(MATCH(E749,ctaNom,0)),"⚠ Cuenta no existe",IF(AND(OR(I749="Transferencia",I749="Pago tarjeta"),G749=""),"⚠ Indica la cuenta «Hacia»",IF(AND(G749&lt;&gt;"",G749=E749),"⚠ «Hacia» igual a la cuenta",IF(AND(G749&lt;&gt;"",ISNA(MATCH(G749,ctaNom,0))),"⚠ «Hacia» no existe",IF(AND(I749="Pago tarjeta",IFERROR(INDEX(ctaTipo,MATCH(G749,ctaNom,0)),"")&lt;&gt;"Tarjeta de crédito"),"⚠ «Hacia» debe ser la tarjeta",IF(AND(I749="Trading",IFERROR(INDEX(ctaTipo,MATCH(E749,ctaNom,0)),"")&lt;&gt;"Cuenta de trading"),"⚠ Usa la cuenta de trading","✓"))))))))))))</f>
        <v/>
      </c>
      <c r="I749" s="19">
        <f>IF(OR(B749="",C749="",D749=""),"",IFERROR(INDEX(catTipo,MATCH(D749,catNom,0))&amp;"",""))</f>
        <v/>
      </c>
      <c r="J749" s="19">
        <f>IF(I749="","",IFERROR(INDEX(catGrupo,MATCH(D749,catNom,0))&amp;"",""))</f>
        <v/>
      </c>
      <c r="K749" s="19">
        <f>IF(I749="Gasto",IF(IFERROR(INDEX(catClas,MATCH(D749,catNom,0))&amp;"","")="","Variable",IFERROR(INDEX(catClas,MATCH(D749,catNom,0))&amp;"","")),"")</f>
        <v/>
      </c>
      <c r="L749" s="19">
        <f>IF(I749="","",IFERROR(INDEX(catAlim,MATCH(D749,catNom,0))&amp;"",""))</f>
        <v/>
      </c>
      <c r="M749" s="19">
        <f>IF(I749="","",IFERROR(INDEX(catComida,MATCH(D749,catNom,0))&amp;"",""))</f>
        <v/>
      </c>
      <c r="N749" s="19">
        <f>IF(I749="","",IFERROR(INDEX(ctaMon,MATCH(E749,ctaNom,0))&amp;"","DOP"))</f>
        <v/>
      </c>
      <c r="O749" s="20">
        <f>IF(I749="","",C749*IF(N749="USD",TasaUSD,1))</f>
        <v/>
      </c>
      <c r="P749" s="20">
        <f>IF(I749="","",IF(I749="Gasto",O749,0))</f>
        <v/>
      </c>
      <c r="Q749" s="20">
        <f>IF(I749="","",IF(I749="Ingreso",O749,0))</f>
        <v/>
      </c>
      <c r="R749" s="20">
        <f>IF(I749="","",IF(I749="Trading",O749,0))</f>
        <v/>
      </c>
      <c r="S749" s="19">
        <f>IF(I749="","",IF(AND(I749="Gasto",K749="Variable",J749&lt;&gt;"Trading",O749&gt;0,O749&lt;=Umbral),1,0))</f>
        <v/>
      </c>
      <c r="T749" s="20">
        <f>IF(OR(I749="",E749=""),"",IF(OR(I749="Gasto",I749="Transferencia",I749="Pago tarjeta"),-1,1)*C749)</f>
        <v/>
      </c>
      <c r="U749" s="20">
        <f>IF(OR(G749="",AND(I749&lt;&gt;"Transferencia",I749&lt;&gt;"Pago tarjeta")),"",IF(IFERROR(INDEX(ctaMon,MATCH(G749,ctaNom,0))&amp;"","DOP")=N749,C749,IF(N749="USD",C749*TasaUSD,C749/TasaUSD)))</f>
        <v/>
      </c>
      <c r="V749" s="20">
        <f>IF(I749="","",IF(IFERROR(INDEX(ctaLiq,MATCH(E749,ctaNom,0))="Sí",FALSE),IF(OR(I749="Gasto",I749="Transferencia",I749="Pago tarjeta"),-1,1)*O749,0)+IF(AND(U749&lt;&gt;"",IFERROR(INDEX(ctaLiq,MATCH(G749,ctaNom,0))="Sí",FALSE)),O749,0))</f>
        <v/>
      </c>
      <c r="W749" s="19">
        <f>IF(OR(F749="",I749=""),"",IF(COUNTIFS(F$6:F749,F749,I$6:I749,"?*")=1,MAX(W$5:W748)+1,""))</f>
        <v/>
      </c>
    </row>
    <row r="750">
      <c r="B750" s="15" t="n"/>
      <c r="C750" s="16" t="n"/>
      <c r="D750" s="17" t="n"/>
      <c r="E750" s="17" t="n"/>
      <c r="F750" s="17" t="n"/>
      <c r="G750" s="17" t="n"/>
      <c r="H750" s="18">
        <f>IF(AND(B750="",C750="",D750="",E750=""),"",IF(B750="","⚠ Falta fecha",IF(C750="","⚠ Falta monto",IF(D750="","⚠ Falta categoría",IF(ISNA(MATCH(D750,catNom,0)),"⚠ Categoría no existe",IF(E750="","⚠ Falta cuenta",IF(ISNA(MATCH(E750,ctaNom,0)),"⚠ Cuenta no existe",IF(AND(OR(I750="Transferencia",I750="Pago tarjeta"),G750=""),"⚠ Indica la cuenta «Hacia»",IF(AND(G750&lt;&gt;"",G750=E750),"⚠ «Hacia» igual a la cuenta",IF(AND(G750&lt;&gt;"",ISNA(MATCH(G750,ctaNom,0))),"⚠ «Hacia» no existe",IF(AND(I750="Pago tarjeta",IFERROR(INDEX(ctaTipo,MATCH(G750,ctaNom,0)),"")&lt;&gt;"Tarjeta de crédito"),"⚠ «Hacia» debe ser la tarjeta",IF(AND(I750="Trading",IFERROR(INDEX(ctaTipo,MATCH(E750,ctaNom,0)),"")&lt;&gt;"Cuenta de trading"),"⚠ Usa la cuenta de trading","✓"))))))))))))</f>
        <v/>
      </c>
      <c r="I750" s="19">
        <f>IF(OR(B750="",C750="",D750=""),"",IFERROR(INDEX(catTipo,MATCH(D750,catNom,0))&amp;"",""))</f>
        <v/>
      </c>
      <c r="J750" s="19">
        <f>IF(I750="","",IFERROR(INDEX(catGrupo,MATCH(D750,catNom,0))&amp;"",""))</f>
        <v/>
      </c>
      <c r="K750" s="19">
        <f>IF(I750="Gasto",IF(IFERROR(INDEX(catClas,MATCH(D750,catNom,0))&amp;"","")="","Variable",IFERROR(INDEX(catClas,MATCH(D750,catNom,0))&amp;"","")),"")</f>
        <v/>
      </c>
      <c r="L750" s="19">
        <f>IF(I750="","",IFERROR(INDEX(catAlim,MATCH(D750,catNom,0))&amp;"",""))</f>
        <v/>
      </c>
      <c r="M750" s="19">
        <f>IF(I750="","",IFERROR(INDEX(catComida,MATCH(D750,catNom,0))&amp;"",""))</f>
        <v/>
      </c>
      <c r="N750" s="19">
        <f>IF(I750="","",IFERROR(INDEX(ctaMon,MATCH(E750,ctaNom,0))&amp;"","DOP"))</f>
        <v/>
      </c>
      <c r="O750" s="20">
        <f>IF(I750="","",C750*IF(N750="USD",TasaUSD,1))</f>
        <v/>
      </c>
      <c r="P750" s="20">
        <f>IF(I750="","",IF(I750="Gasto",O750,0))</f>
        <v/>
      </c>
      <c r="Q750" s="20">
        <f>IF(I750="","",IF(I750="Ingreso",O750,0))</f>
        <v/>
      </c>
      <c r="R750" s="20">
        <f>IF(I750="","",IF(I750="Trading",O750,0))</f>
        <v/>
      </c>
      <c r="S750" s="19">
        <f>IF(I750="","",IF(AND(I750="Gasto",K750="Variable",J750&lt;&gt;"Trading",O750&gt;0,O750&lt;=Umbral),1,0))</f>
        <v/>
      </c>
      <c r="T750" s="20">
        <f>IF(OR(I750="",E750=""),"",IF(OR(I750="Gasto",I750="Transferencia",I750="Pago tarjeta"),-1,1)*C750)</f>
        <v/>
      </c>
      <c r="U750" s="20">
        <f>IF(OR(G750="",AND(I750&lt;&gt;"Transferencia",I750&lt;&gt;"Pago tarjeta")),"",IF(IFERROR(INDEX(ctaMon,MATCH(G750,ctaNom,0))&amp;"","DOP")=N750,C750,IF(N750="USD",C750*TasaUSD,C750/TasaUSD)))</f>
        <v/>
      </c>
      <c r="V750" s="20">
        <f>IF(I750="","",IF(IFERROR(INDEX(ctaLiq,MATCH(E750,ctaNom,0))="Sí",FALSE),IF(OR(I750="Gasto",I750="Transferencia",I750="Pago tarjeta"),-1,1)*O750,0)+IF(AND(U750&lt;&gt;"",IFERROR(INDEX(ctaLiq,MATCH(G750,ctaNom,0))="Sí",FALSE)),O750,0))</f>
        <v/>
      </c>
      <c r="W750" s="19">
        <f>IF(OR(F750="",I750=""),"",IF(COUNTIFS(F$6:F750,F750,I$6:I750,"?*")=1,MAX(W$5:W749)+1,""))</f>
        <v/>
      </c>
    </row>
    <row r="751">
      <c r="B751" s="15" t="n"/>
      <c r="C751" s="16" t="n"/>
      <c r="D751" s="17" t="n"/>
      <c r="E751" s="17" t="n"/>
      <c r="F751" s="17" t="n"/>
      <c r="G751" s="17" t="n"/>
      <c r="H751" s="18">
        <f>IF(AND(B751="",C751="",D751="",E751=""),"",IF(B751="","⚠ Falta fecha",IF(C751="","⚠ Falta monto",IF(D751="","⚠ Falta categoría",IF(ISNA(MATCH(D751,catNom,0)),"⚠ Categoría no existe",IF(E751="","⚠ Falta cuenta",IF(ISNA(MATCH(E751,ctaNom,0)),"⚠ Cuenta no existe",IF(AND(OR(I751="Transferencia",I751="Pago tarjeta"),G751=""),"⚠ Indica la cuenta «Hacia»",IF(AND(G751&lt;&gt;"",G751=E751),"⚠ «Hacia» igual a la cuenta",IF(AND(G751&lt;&gt;"",ISNA(MATCH(G751,ctaNom,0))),"⚠ «Hacia» no existe",IF(AND(I751="Pago tarjeta",IFERROR(INDEX(ctaTipo,MATCH(G751,ctaNom,0)),"")&lt;&gt;"Tarjeta de crédito"),"⚠ «Hacia» debe ser la tarjeta",IF(AND(I751="Trading",IFERROR(INDEX(ctaTipo,MATCH(E751,ctaNom,0)),"")&lt;&gt;"Cuenta de trading"),"⚠ Usa la cuenta de trading","✓"))))))))))))</f>
        <v/>
      </c>
      <c r="I751" s="19">
        <f>IF(OR(B751="",C751="",D751=""),"",IFERROR(INDEX(catTipo,MATCH(D751,catNom,0))&amp;"",""))</f>
        <v/>
      </c>
      <c r="J751" s="19">
        <f>IF(I751="","",IFERROR(INDEX(catGrupo,MATCH(D751,catNom,0))&amp;"",""))</f>
        <v/>
      </c>
      <c r="K751" s="19">
        <f>IF(I751="Gasto",IF(IFERROR(INDEX(catClas,MATCH(D751,catNom,0))&amp;"","")="","Variable",IFERROR(INDEX(catClas,MATCH(D751,catNom,0))&amp;"","")),"")</f>
        <v/>
      </c>
      <c r="L751" s="19">
        <f>IF(I751="","",IFERROR(INDEX(catAlim,MATCH(D751,catNom,0))&amp;"",""))</f>
        <v/>
      </c>
      <c r="M751" s="19">
        <f>IF(I751="","",IFERROR(INDEX(catComida,MATCH(D751,catNom,0))&amp;"",""))</f>
        <v/>
      </c>
      <c r="N751" s="19">
        <f>IF(I751="","",IFERROR(INDEX(ctaMon,MATCH(E751,ctaNom,0))&amp;"","DOP"))</f>
        <v/>
      </c>
      <c r="O751" s="20">
        <f>IF(I751="","",C751*IF(N751="USD",TasaUSD,1))</f>
        <v/>
      </c>
      <c r="P751" s="20">
        <f>IF(I751="","",IF(I751="Gasto",O751,0))</f>
        <v/>
      </c>
      <c r="Q751" s="20">
        <f>IF(I751="","",IF(I751="Ingreso",O751,0))</f>
        <v/>
      </c>
      <c r="R751" s="20">
        <f>IF(I751="","",IF(I751="Trading",O751,0))</f>
        <v/>
      </c>
      <c r="S751" s="19">
        <f>IF(I751="","",IF(AND(I751="Gasto",K751="Variable",J751&lt;&gt;"Trading",O751&gt;0,O751&lt;=Umbral),1,0))</f>
        <v/>
      </c>
      <c r="T751" s="20">
        <f>IF(OR(I751="",E751=""),"",IF(OR(I751="Gasto",I751="Transferencia",I751="Pago tarjeta"),-1,1)*C751)</f>
        <v/>
      </c>
      <c r="U751" s="20">
        <f>IF(OR(G751="",AND(I751&lt;&gt;"Transferencia",I751&lt;&gt;"Pago tarjeta")),"",IF(IFERROR(INDEX(ctaMon,MATCH(G751,ctaNom,0))&amp;"","DOP")=N751,C751,IF(N751="USD",C751*TasaUSD,C751/TasaUSD)))</f>
        <v/>
      </c>
      <c r="V751" s="20">
        <f>IF(I751="","",IF(IFERROR(INDEX(ctaLiq,MATCH(E751,ctaNom,0))="Sí",FALSE),IF(OR(I751="Gasto",I751="Transferencia",I751="Pago tarjeta"),-1,1)*O751,0)+IF(AND(U751&lt;&gt;"",IFERROR(INDEX(ctaLiq,MATCH(G751,ctaNom,0))="Sí",FALSE)),O751,0))</f>
        <v/>
      </c>
      <c r="W751" s="19">
        <f>IF(OR(F751="",I751=""),"",IF(COUNTIFS(F$6:F751,F751,I$6:I751,"?*")=1,MAX(W$5:W750)+1,""))</f>
        <v/>
      </c>
    </row>
    <row r="752">
      <c r="B752" s="15" t="n"/>
      <c r="C752" s="16" t="n"/>
      <c r="D752" s="17" t="n"/>
      <c r="E752" s="17" t="n"/>
      <c r="F752" s="17" t="n"/>
      <c r="G752" s="17" t="n"/>
      <c r="H752" s="18">
        <f>IF(AND(B752="",C752="",D752="",E752=""),"",IF(B752="","⚠ Falta fecha",IF(C752="","⚠ Falta monto",IF(D752="","⚠ Falta categoría",IF(ISNA(MATCH(D752,catNom,0)),"⚠ Categoría no existe",IF(E752="","⚠ Falta cuenta",IF(ISNA(MATCH(E752,ctaNom,0)),"⚠ Cuenta no existe",IF(AND(OR(I752="Transferencia",I752="Pago tarjeta"),G752=""),"⚠ Indica la cuenta «Hacia»",IF(AND(G752&lt;&gt;"",G752=E752),"⚠ «Hacia» igual a la cuenta",IF(AND(G752&lt;&gt;"",ISNA(MATCH(G752,ctaNom,0))),"⚠ «Hacia» no existe",IF(AND(I752="Pago tarjeta",IFERROR(INDEX(ctaTipo,MATCH(G752,ctaNom,0)),"")&lt;&gt;"Tarjeta de crédito"),"⚠ «Hacia» debe ser la tarjeta",IF(AND(I752="Trading",IFERROR(INDEX(ctaTipo,MATCH(E752,ctaNom,0)),"")&lt;&gt;"Cuenta de trading"),"⚠ Usa la cuenta de trading","✓"))))))))))))</f>
        <v/>
      </c>
      <c r="I752" s="19">
        <f>IF(OR(B752="",C752="",D752=""),"",IFERROR(INDEX(catTipo,MATCH(D752,catNom,0))&amp;"",""))</f>
        <v/>
      </c>
      <c r="J752" s="19">
        <f>IF(I752="","",IFERROR(INDEX(catGrupo,MATCH(D752,catNom,0))&amp;"",""))</f>
        <v/>
      </c>
      <c r="K752" s="19">
        <f>IF(I752="Gasto",IF(IFERROR(INDEX(catClas,MATCH(D752,catNom,0))&amp;"","")="","Variable",IFERROR(INDEX(catClas,MATCH(D752,catNom,0))&amp;"","")),"")</f>
        <v/>
      </c>
      <c r="L752" s="19">
        <f>IF(I752="","",IFERROR(INDEX(catAlim,MATCH(D752,catNom,0))&amp;"",""))</f>
        <v/>
      </c>
      <c r="M752" s="19">
        <f>IF(I752="","",IFERROR(INDEX(catComida,MATCH(D752,catNom,0))&amp;"",""))</f>
        <v/>
      </c>
      <c r="N752" s="19">
        <f>IF(I752="","",IFERROR(INDEX(ctaMon,MATCH(E752,ctaNom,0))&amp;"","DOP"))</f>
        <v/>
      </c>
      <c r="O752" s="20">
        <f>IF(I752="","",C752*IF(N752="USD",TasaUSD,1))</f>
        <v/>
      </c>
      <c r="P752" s="20">
        <f>IF(I752="","",IF(I752="Gasto",O752,0))</f>
        <v/>
      </c>
      <c r="Q752" s="20">
        <f>IF(I752="","",IF(I752="Ingreso",O752,0))</f>
        <v/>
      </c>
      <c r="R752" s="20">
        <f>IF(I752="","",IF(I752="Trading",O752,0))</f>
        <v/>
      </c>
      <c r="S752" s="19">
        <f>IF(I752="","",IF(AND(I752="Gasto",K752="Variable",J752&lt;&gt;"Trading",O752&gt;0,O752&lt;=Umbral),1,0))</f>
        <v/>
      </c>
      <c r="T752" s="20">
        <f>IF(OR(I752="",E752=""),"",IF(OR(I752="Gasto",I752="Transferencia",I752="Pago tarjeta"),-1,1)*C752)</f>
        <v/>
      </c>
      <c r="U752" s="20">
        <f>IF(OR(G752="",AND(I752&lt;&gt;"Transferencia",I752&lt;&gt;"Pago tarjeta")),"",IF(IFERROR(INDEX(ctaMon,MATCH(G752,ctaNom,0))&amp;"","DOP")=N752,C752,IF(N752="USD",C752*TasaUSD,C752/TasaUSD)))</f>
        <v/>
      </c>
      <c r="V752" s="20">
        <f>IF(I752="","",IF(IFERROR(INDEX(ctaLiq,MATCH(E752,ctaNom,0))="Sí",FALSE),IF(OR(I752="Gasto",I752="Transferencia",I752="Pago tarjeta"),-1,1)*O752,0)+IF(AND(U752&lt;&gt;"",IFERROR(INDEX(ctaLiq,MATCH(G752,ctaNom,0))="Sí",FALSE)),O752,0))</f>
        <v/>
      </c>
      <c r="W752" s="19">
        <f>IF(OR(F752="",I752=""),"",IF(COUNTIFS(F$6:F752,F752,I$6:I752,"?*")=1,MAX(W$5:W751)+1,""))</f>
        <v/>
      </c>
    </row>
    <row r="753">
      <c r="B753" s="15" t="n"/>
      <c r="C753" s="16" t="n"/>
      <c r="D753" s="17" t="n"/>
      <c r="E753" s="17" t="n"/>
      <c r="F753" s="17" t="n"/>
      <c r="G753" s="17" t="n"/>
      <c r="H753" s="18">
        <f>IF(AND(B753="",C753="",D753="",E753=""),"",IF(B753="","⚠ Falta fecha",IF(C753="","⚠ Falta monto",IF(D753="","⚠ Falta categoría",IF(ISNA(MATCH(D753,catNom,0)),"⚠ Categoría no existe",IF(E753="","⚠ Falta cuenta",IF(ISNA(MATCH(E753,ctaNom,0)),"⚠ Cuenta no existe",IF(AND(OR(I753="Transferencia",I753="Pago tarjeta"),G753=""),"⚠ Indica la cuenta «Hacia»",IF(AND(G753&lt;&gt;"",G753=E753),"⚠ «Hacia» igual a la cuenta",IF(AND(G753&lt;&gt;"",ISNA(MATCH(G753,ctaNom,0))),"⚠ «Hacia» no existe",IF(AND(I753="Pago tarjeta",IFERROR(INDEX(ctaTipo,MATCH(G753,ctaNom,0)),"")&lt;&gt;"Tarjeta de crédito"),"⚠ «Hacia» debe ser la tarjeta",IF(AND(I753="Trading",IFERROR(INDEX(ctaTipo,MATCH(E753,ctaNom,0)),"")&lt;&gt;"Cuenta de trading"),"⚠ Usa la cuenta de trading","✓"))))))))))))</f>
        <v/>
      </c>
      <c r="I753" s="19">
        <f>IF(OR(B753="",C753="",D753=""),"",IFERROR(INDEX(catTipo,MATCH(D753,catNom,0))&amp;"",""))</f>
        <v/>
      </c>
      <c r="J753" s="19">
        <f>IF(I753="","",IFERROR(INDEX(catGrupo,MATCH(D753,catNom,0))&amp;"",""))</f>
        <v/>
      </c>
      <c r="K753" s="19">
        <f>IF(I753="Gasto",IF(IFERROR(INDEX(catClas,MATCH(D753,catNom,0))&amp;"","")="","Variable",IFERROR(INDEX(catClas,MATCH(D753,catNom,0))&amp;"","")),"")</f>
        <v/>
      </c>
      <c r="L753" s="19">
        <f>IF(I753="","",IFERROR(INDEX(catAlim,MATCH(D753,catNom,0))&amp;"",""))</f>
        <v/>
      </c>
      <c r="M753" s="19">
        <f>IF(I753="","",IFERROR(INDEX(catComida,MATCH(D753,catNom,0))&amp;"",""))</f>
        <v/>
      </c>
      <c r="N753" s="19">
        <f>IF(I753="","",IFERROR(INDEX(ctaMon,MATCH(E753,ctaNom,0))&amp;"","DOP"))</f>
        <v/>
      </c>
      <c r="O753" s="20">
        <f>IF(I753="","",C753*IF(N753="USD",TasaUSD,1))</f>
        <v/>
      </c>
      <c r="P753" s="20">
        <f>IF(I753="","",IF(I753="Gasto",O753,0))</f>
        <v/>
      </c>
      <c r="Q753" s="20">
        <f>IF(I753="","",IF(I753="Ingreso",O753,0))</f>
        <v/>
      </c>
      <c r="R753" s="20">
        <f>IF(I753="","",IF(I753="Trading",O753,0))</f>
        <v/>
      </c>
      <c r="S753" s="19">
        <f>IF(I753="","",IF(AND(I753="Gasto",K753="Variable",J753&lt;&gt;"Trading",O753&gt;0,O753&lt;=Umbral),1,0))</f>
        <v/>
      </c>
      <c r="T753" s="20">
        <f>IF(OR(I753="",E753=""),"",IF(OR(I753="Gasto",I753="Transferencia",I753="Pago tarjeta"),-1,1)*C753)</f>
        <v/>
      </c>
      <c r="U753" s="20">
        <f>IF(OR(G753="",AND(I753&lt;&gt;"Transferencia",I753&lt;&gt;"Pago tarjeta")),"",IF(IFERROR(INDEX(ctaMon,MATCH(G753,ctaNom,0))&amp;"","DOP")=N753,C753,IF(N753="USD",C753*TasaUSD,C753/TasaUSD)))</f>
        <v/>
      </c>
      <c r="V753" s="20">
        <f>IF(I753="","",IF(IFERROR(INDEX(ctaLiq,MATCH(E753,ctaNom,0))="Sí",FALSE),IF(OR(I753="Gasto",I753="Transferencia",I753="Pago tarjeta"),-1,1)*O753,0)+IF(AND(U753&lt;&gt;"",IFERROR(INDEX(ctaLiq,MATCH(G753,ctaNom,0))="Sí",FALSE)),O753,0))</f>
        <v/>
      </c>
      <c r="W753" s="19">
        <f>IF(OR(F753="",I753=""),"",IF(COUNTIFS(F$6:F753,F753,I$6:I753,"?*")=1,MAX(W$5:W752)+1,""))</f>
        <v/>
      </c>
    </row>
    <row r="754">
      <c r="B754" s="15" t="n"/>
      <c r="C754" s="16" t="n"/>
      <c r="D754" s="17" t="n"/>
      <c r="E754" s="17" t="n"/>
      <c r="F754" s="17" t="n"/>
      <c r="G754" s="17" t="n"/>
      <c r="H754" s="18">
        <f>IF(AND(B754="",C754="",D754="",E754=""),"",IF(B754="","⚠ Falta fecha",IF(C754="","⚠ Falta monto",IF(D754="","⚠ Falta categoría",IF(ISNA(MATCH(D754,catNom,0)),"⚠ Categoría no existe",IF(E754="","⚠ Falta cuenta",IF(ISNA(MATCH(E754,ctaNom,0)),"⚠ Cuenta no existe",IF(AND(OR(I754="Transferencia",I754="Pago tarjeta"),G754=""),"⚠ Indica la cuenta «Hacia»",IF(AND(G754&lt;&gt;"",G754=E754),"⚠ «Hacia» igual a la cuenta",IF(AND(G754&lt;&gt;"",ISNA(MATCH(G754,ctaNom,0))),"⚠ «Hacia» no existe",IF(AND(I754="Pago tarjeta",IFERROR(INDEX(ctaTipo,MATCH(G754,ctaNom,0)),"")&lt;&gt;"Tarjeta de crédito"),"⚠ «Hacia» debe ser la tarjeta",IF(AND(I754="Trading",IFERROR(INDEX(ctaTipo,MATCH(E754,ctaNom,0)),"")&lt;&gt;"Cuenta de trading"),"⚠ Usa la cuenta de trading","✓"))))))))))))</f>
        <v/>
      </c>
      <c r="I754" s="19">
        <f>IF(OR(B754="",C754="",D754=""),"",IFERROR(INDEX(catTipo,MATCH(D754,catNom,0))&amp;"",""))</f>
        <v/>
      </c>
      <c r="J754" s="19">
        <f>IF(I754="","",IFERROR(INDEX(catGrupo,MATCH(D754,catNom,0))&amp;"",""))</f>
        <v/>
      </c>
      <c r="K754" s="19">
        <f>IF(I754="Gasto",IF(IFERROR(INDEX(catClas,MATCH(D754,catNom,0))&amp;"","")="","Variable",IFERROR(INDEX(catClas,MATCH(D754,catNom,0))&amp;"","")),"")</f>
        <v/>
      </c>
      <c r="L754" s="19">
        <f>IF(I754="","",IFERROR(INDEX(catAlim,MATCH(D754,catNom,0))&amp;"",""))</f>
        <v/>
      </c>
      <c r="M754" s="19">
        <f>IF(I754="","",IFERROR(INDEX(catComida,MATCH(D754,catNom,0))&amp;"",""))</f>
        <v/>
      </c>
      <c r="N754" s="19">
        <f>IF(I754="","",IFERROR(INDEX(ctaMon,MATCH(E754,ctaNom,0))&amp;"","DOP"))</f>
        <v/>
      </c>
      <c r="O754" s="20">
        <f>IF(I754="","",C754*IF(N754="USD",TasaUSD,1))</f>
        <v/>
      </c>
      <c r="P754" s="20">
        <f>IF(I754="","",IF(I754="Gasto",O754,0))</f>
        <v/>
      </c>
      <c r="Q754" s="20">
        <f>IF(I754="","",IF(I754="Ingreso",O754,0))</f>
        <v/>
      </c>
      <c r="R754" s="20">
        <f>IF(I754="","",IF(I754="Trading",O754,0))</f>
        <v/>
      </c>
      <c r="S754" s="19">
        <f>IF(I754="","",IF(AND(I754="Gasto",K754="Variable",J754&lt;&gt;"Trading",O754&gt;0,O754&lt;=Umbral),1,0))</f>
        <v/>
      </c>
      <c r="T754" s="20">
        <f>IF(OR(I754="",E754=""),"",IF(OR(I754="Gasto",I754="Transferencia",I754="Pago tarjeta"),-1,1)*C754)</f>
        <v/>
      </c>
      <c r="U754" s="20">
        <f>IF(OR(G754="",AND(I754&lt;&gt;"Transferencia",I754&lt;&gt;"Pago tarjeta")),"",IF(IFERROR(INDEX(ctaMon,MATCH(G754,ctaNom,0))&amp;"","DOP")=N754,C754,IF(N754="USD",C754*TasaUSD,C754/TasaUSD)))</f>
        <v/>
      </c>
      <c r="V754" s="20">
        <f>IF(I754="","",IF(IFERROR(INDEX(ctaLiq,MATCH(E754,ctaNom,0))="Sí",FALSE),IF(OR(I754="Gasto",I754="Transferencia",I754="Pago tarjeta"),-1,1)*O754,0)+IF(AND(U754&lt;&gt;"",IFERROR(INDEX(ctaLiq,MATCH(G754,ctaNom,0))="Sí",FALSE)),O754,0))</f>
        <v/>
      </c>
      <c r="W754" s="19">
        <f>IF(OR(F754="",I754=""),"",IF(COUNTIFS(F$6:F754,F754,I$6:I754,"?*")=1,MAX(W$5:W753)+1,""))</f>
        <v/>
      </c>
    </row>
    <row r="755">
      <c r="B755" s="15" t="n"/>
      <c r="C755" s="16" t="n"/>
      <c r="D755" s="17" t="n"/>
      <c r="E755" s="17" t="n"/>
      <c r="F755" s="17" t="n"/>
      <c r="G755" s="17" t="n"/>
      <c r="H755" s="18">
        <f>IF(AND(B755="",C755="",D755="",E755=""),"",IF(B755="","⚠ Falta fecha",IF(C755="","⚠ Falta monto",IF(D755="","⚠ Falta categoría",IF(ISNA(MATCH(D755,catNom,0)),"⚠ Categoría no existe",IF(E755="","⚠ Falta cuenta",IF(ISNA(MATCH(E755,ctaNom,0)),"⚠ Cuenta no existe",IF(AND(OR(I755="Transferencia",I755="Pago tarjeta"),G755=""),"⚠ Indica la cuenta «Hacia»",IF(AND(G755&lt;&gt;"",G755=E755),"⚠ «Hacia» igual a la cuenta",IF(AND(G755&lt;&gt;"",ISNA(MATCH(G755,ctaNom,0))),"⚠ «Hacia» no existe",IF(AND(I755="Pago tarjeta",IFERROR(INDEX(ctaTipo,MATCH(G755,ctaNom,0)),"")&lt;&gt;"Tarjeta de crédito"),"⚠ «Hacia» debe ser la tarjeta",IF(AND(I755="Trading",IFERROR(INDEX(ctaTipo,MATCH(E755,ctaNom,0)),"")&lt;&gt;"Cuenta de trading"),"⚠ Usa la cuenta de trading","✓"))))))))))))</f>
        <v/>
      </c>
      <c r="I755" s="19">
        <f>IF(OR(B755="",C755="",D755=""),"",IFERROR(INDEX(catTipo,MATCH(D755,catNom,0))&amp;"",""))</f>
        <v/>
      </c>
      <c r="J755" s="19">
        <f>IF(I755="","",IFERROR(INDEX(catGrupo,MATCH(D755,catNom,0))&amp;"",""))</f>
        <v/>
      </c>
      <c r="K755" s="19">
        <f>IF(I755="Gasto",IF(IFERROR(INDEX(catClas,MATCH(D755,catNom,0))&amp;"","")="","Variable",IFERROR(INDEX(catClas,MATCH(D755,catNom,0))&amp;"","")),"")</f>
        <v/>
      </c>
      <c r="L755" s="19">
        <f>IF(I755="","",IFERROR(INDEX(catAlim,MATCH(D755,catNom,0))&amp;"",""))</f>
        <v/>
      </c>
      <c r="M755" s="19">
        <f>IF(I755="","",IFERROR(INDEX(catComida,MATCH(D755,catNom,0))&amp;"",""))</f>
        <v/>
      </c>
      <c r="N755" s="19">
        <f>IF(I755="","",IFERROR(INDEX(ctaMon,MATCH(E755,ctaNom,0))&amp;"","DOP"))</f>
        <v/>
      </c>
      <c r="O755" s="20">
        <f>IF(I755="","",C755*IF(N755="USD",TasaUSD,1))</f>
        <v/>
      </c>
      <c r="P755" s="20">
        <f>IF(I755="","",IF(I755="Gasto",O755,0))</f>
        <v/>
      </c>
      <c r="Q755" s="20">
        <f>IF(I755="","",IF(I755="Ingreso",O755,0))</f>
        <v/>
      </c>
      <c r="R755" s="20">
        <f>IF(I755="","",IF(I755="Trading",O755,0))</f>
        <v/>
      </c>
      <c r="S755" s="19">
        <f>IF(I755="","",IF(AND(I755="Gasto",K755="Variable",J755&lt;&gt;"Trading",O755&gt;0,O755&lt;=Umbral),1,0))</f>
        <v/>
      </c>
      <c r="T755" s="20">
        <f>IF(OR(I755="",E755=""),"",IF(OR(I755="Gasto",I755="Transferencia",I755="Pago tarjeta"),-1,1)*C755)</f>
        <v/>
      </c>
      <c r="U755" s="20">
        <f>IF(OR(G755="",AND(I755&lt;&gt;"Transferencia",I755&lt;&gt;"Pago tarjeta")),"",IF(IFERROR(INDEX(ctaMon,MATCH(G755,ctaNom,0))&amp;"","DOP")=N755,C755,IF(N755="USD",C755*TasaUSD,C755/TasaUSD)))</f>
        <v/>
      </c>
      <c r="V755" s="20">
        <f>IF(I755="","",IF(IFERROR(INDEX(ctaLiq,MATCH(E755,ctaNom,0))="Sí",FALSE),IF(OR(I755="Gasto",I755="Transferencia",I755="Pago tarjeta"),-1,1)*O755,0)+IF(AND(U755&lt;&gt;"",IFERROR(INDEX(ctaLiq,MATCH(G755,ctaNom,0))="Sí",FALSE)),O755,0))</f>
        <v/>
      </c>
      <c r="W755" s="19">
        <f>IF(OR(F755="",I755=""),"",IF(COUNTIFS(F$6:F755,F755,I$6:I755,"?*")=1,MAX(W$5:W754)+1,""))</f>
        <v/>
      </c>
    </row>
    <row r="756">
      <c r="B756" s="15" t="n"/>
      <c r="C756" s="16" t="n"/>
      <c r="D756" s="17" t="n"/>
      <c r="E756" s="17" t="n"/>
      <c r="F756" s="17" t="n"/>
      <c r="G756" s="17" t="n"/>
      <c r="H756" s="18">
        <f>IF(AND(B756="",C756="",D756="",E756=""),"",IF(B756="","⚠ Falta fecha",IF(C756="","⚠ Falta monto",IF(D756="","⚠ Falta categoría",IF(ISNA(MATCH(D756,catNom,0)),"⚠ Categoría no existe",IF(E756="","⚠ Falta cuenta",IF(ISNA(MATCH(E756,ctaNom,0)),"⚠ Cuenta no existe",IF(AND(OR(I756="Transferencia",I756="Pago tarjeta"),G756=""),"⚠ Indica la cuenta «Hacia»",IF(AND(G756&lt;&gt;"",G756=E756),"⚠ «Hacia» igual a la cuenta",IF(AND(G756&lt;&gt;"",ISNA(MATCH(G756,ctaNom,0))),"⚠ «Hacia» no existe",IF(AND(I756="Pago tarjeta",IFERROR(INDEX(ctaTipo,MATCH(G756,ctaNom,0)),"")&lt;&gt;"Tarjeta de crédito"),"⚠ «Hacia» debe ser la tarjeta",IF(AND(I756="Trading",IFERROR(INDEX(ctaTipo,MATCH(E756,ctaNom,0)),"")&lt;&gt;"Cuenta de trading"),"⚠ Usa la cuenta de trading","✓"))))))))))))</f>
        <v/>
      </c>
      <c r="I756" s="19">
        <f>IF(OR(B756="",C756="",D756=""),"",IFERROR(INDEX(catTipo,MATCH(D756,catNom,0))&amp;"",""))</f>
        <v/>
      </c>
      <c r="J756" s="19">
        <f>IF(I756="","",IFERROR(INDEX(catGrupo,MATCH(D756,catNom,0))&amp;"",""))</f>
        <v/>
      </c>
      <c r="K756" s="19">
        <f>IF(I756="Gasto",IF(IFERROR(INDEX(catClas,MATCH(D756,catNom,0))&amp;"","")="","Variable",IFERROR(INDEX(catClas,MATCH(D756,catNom,0))&amp;"","")),"")</f>
        <v/>
      </c>
      <c r="L756" s="19">
        <f>IF(I756="","",IFERROR(INDEX(catAlim,MATCH(D756,catNom,0))&amp;"",""))</f>
        <v/>
      </c>
      <c r="M756" s="19">
        <f>IF(I756="","",IFERROR(INDEX(catComida,MATCH(D756,catNom,0))&amp;"",""))</f>
        <v/>
      </c>
      <c r="N756" s="19">
        <f>IF(I756="","",IFERROR(INDEX(ctaMon,MATCH(E756,ctaNom,0))&amp;"","DOP"))</f>
        <v/>
      </c>
      <c r="O756" s="20">
        <f>IF(I756="","",C756*IF(N756="USD",TasaUSD,1))</f>
        <v/>
      </c>
      <c r="P756" s="20">
        <f>IF(I756="","",IF(I756="Gasto",O756,0))</f>
        <v/>
      </c>
      <c r="Q756" s="20">
        <f>IF(I756="","",IF(I756="Ingreso",O756,0))</f>
        <v/>
      </c>
      <c r="R756" s="20">
        <f>IF(I756="","",IF(I756="Trading",O756,0))</f>
        <v/>
      </c>
      <c r="S756" s="19">
        <f>IF(I756="","",IF(AND(I756="Gasto",K756="Variable",J756&lt;&gt;"Trading",O756&gt;0,O756&lt;=Umbral),1,0))</f>
        <v/>
      </c>
      <c r="T756" s="20">
        <f>IF(OR(I756="",E756=""),"",IF(OR(I756="Gasto",I756="Transferencia",I756="Pago tarjeta"),-1,1)*C756)</f>
        <v/>
      </c>
      <c r="U756" s="20">
        <f>IF(OR(G756="",AND(I756&lt;&gt;"Transferencia",I756&lt;&gt;"Pago tarjeta")),"",IF(IFERROR(INDEX(ctaMon,MATCH(G756,ctaNom,0))&amp;"","DOP")=N756,C756,IF(N756="USD",C756*TasaUSD,C756/TasaUSD)))</f>
        <v/>
      </c>
      <c r="V756" s="20">
        <f>IF(I756="","",IF(IFERROR(INDEX(ctaLiq,MATCH(E756,ctaNom,0))="Sí",FALSE),IF(OR(I756="Gasto",I756="Transferencia",I756="Pago tarjeta"),-1,1)*O756,0)+IF(AND(U756&lt;&gt;"",IFERROR(INDEX(ctaLiq,MATCH(G756,ctaNom,0))="Sí",FALSE)),O756,0))</f>
        <v/>
      </c>
      <c r="W756" s="19">
        <f>IF(OR(F756="",I756=""),"",IF(COUNTIFS(F$6:F756,F756,I$6:I756,"?*")=1,MAX(W$5:W755)+1,""))</f>
        <v/>
      </c>
    </row>
    <row r="757">
      <c r="B757" s="15" t="n"/>
      <c r="C757" s="16" t="n"/>
      <c r="D757" s="17" t="n"/>
      <c r="E757" s="17" t="n"/>
      <c r="F757" s="17" t="n"/>
      <c r="G757" s="17" t="n"/>
      <c r="H757" s="18">
        <f>IF(AND(B757="",C757="",D757="",E757=""),"",IF(B757="","⚠ Falta fecha",IF(C757="","⚠ Falta monto",IF(D757="","⚠ Falta categoría",IF(ISNA(MATCH(D757,catNom,0)),"⚠ Categoría no existe",IF(E757="","⚠ Falta cuenta",IF(ISNA(MATCH(E757,ctaNom,0)),"⚠ Cuenta no existe",IF(AND(OR(I757="Transferencia",I757="Pago tarjeta"),G757=""),"⚠ Indica la cuenta «Hacia»",IF(AND(G757&lt;&gt;"",G757=E757),"⚠ «Hacia» igual a la cuenta",IF(AND(G757&lt;&gt;"",ISNA(MATCH(G757,ctaNom,0))),"⚠ «Hacia» no existe",IF(AND(I757="Pago tarjeta",IFERROR(INDEX(ctaTipo,MATCH(G757,ctaNom,0)),"")&lt;&gt;"Tarjeta de crédito"),"⚠ «Hacia» debe ser la tarjeta",IF(AND(I757="Trading",IFERROR(INDEX(ctaTipo,MATCH(E757,ctaNom,0)),"")&lt;&gt;"Cuenta de trading"),"⚠ Usa la cuenta de trading","✓"))))))))))))</f>
        <v/>
      </c>
      <c r="I757" s="19">
        <f>IF(OR(B757="",C757="",D757=""),"",IFERROR(INDEX(catTipo,MATCH(D757,catNom,0))&amp;"",""))</f>
        <v/>
      </c>
      <c r="J757" s="19">
        <f>IF(I757="","",IFERROR(INDEX(catGrupo,MATCH(D757,catNom,0))&amp;"",""))</f>
        <v/>
      </c>
      <c r="K757" s="19">
        <f>IF(I757="Gasto",IF(IFERROR(INDEX(catClas,MATCH(D757,catNom,0))&amp;"","")="","Variable",IFERROR(INDEX(catClas,MATCH(D757,catNom,0))&amp;"","")),"")</f>
        <v/>
      </c>
      <c r="L757" s="19">
        <f>IF(I757="","",IFERROR(INDEX(catAlim,MATCH(D757,catNom,0))&amp;"",""))</f>
        <v/>
      </c>
      <c r="M757" s="19">
        <f>IF(I757="","",IFERROR(INDEX(catComida,MATCH(D757,catNom,0))&amp;"",""))</f>
        <v/>
      </c>
      <c r="N757" s="19">
        <f>IF(I757="","",IFERROR(INDEX(ctaMon,MATCH(E757,ctaNom,0))&amp;"","DOP"))</f>
        <v/>
      </c>
      <c r="O757" s="20">
        <f>IF(I757="","",C757*IF(N757="USD",TasaUSD,1))</f>
        <v/>
      </c>
      <c r="P757" s="20">
        <f>IF(I757="","",IF(I757="Gasto",O757,0))</f>
        <v/>
      </c>
      <c r="Q757" s="20">
        <f>IF(I757="","",IF(I757="Ingreso",O757,0))</f>
        <v/>
      </c>
      <c r="R757" s="20">
        <f>IF(I757="","",IF(I757="Trading",O757,0))</f>
        <v/>
      </c>
      <c r="S757" s="19">
        <f>IF(I757="","",IF(AND(I757="Gasto",K757="Variable",J757&lt;&gt;"Trading",O757&gt;0,O757&lt;=Umbral),1,0))</f>
        <v/>
      </c>
      <c r="T757" s="20">
        <f>IF(OR(I757="",E757=""),"",IF(OR(I757="Gasto",I757="Transferencia",I757="Pago tarjeta"),-1,1)*C757)</f>
        <v/>
      </c>
      <c r="U757" s="20">
        <f>IF(OR(G757="",AND(I757&lt;&gt;"Transferencia",I757&lt;&gt;"Pago tarjeta")),"",IF(IFERROR(INDEX(ctaMon,MATCH(G757,ctaNom,0))&amp;"","DOP")=N757,C757,IF(N757="USD",C757*TasaUSD,C757/TasaUSD)))</f>
        <v/>
      </c>
      <c r="V757" s="20">
        <f>IF(I757="","",IF(IFERROR(INDEX(ctaLiq,MATCH(E757,ctaNom,0))="Sí",FALSE),IF(OR(I757="Gasto",I757="Transferencia",I757="Pago tarjeta"),-1,1)*O757,0)+IF(AND(U757&lt;&gt;"",IFERROR(INDEX(ctaLiq,MATCH(G757,ctaNom,0))="Sí",FALSE)),O757,0))</f>
        <v/>
      </c>
      <c r="W757" s="19">
        <f>IF(OR(F757="",I757=""),"",IF(COUNTIFS(F$6:F757,F757,I$6:I757,"?*")=1,MAX(W$5:W756)+1,""))</f>
        <v/>
      </c>
    </row>
    <row r="758">
      <c r="B758" s="15" t="n"/>
      <c r="C758" s="16" t="n"/>
      <c r="D758" s="17" t="n"/>
      <c r="E758" s="17" t="n"/>
      <c r="F758" s="17" t="n"/>
      <c r="G758" s="17" t="n"/>
      <c r="H758" s="18">
        <f>IF(AND(B758="",C758="",D758="",E758=""),"",IF(B758="","⚠ Falta fecha",IF(C758="","⚠ Falta monto",IF(D758="","⚠ Falta categoría",IF(ISNA(MATCH(D758,catNom,0)),"⚠ Categoría no existe",IF(E758="","⚠ Falta cuenta",IF(ISNA(MATCH(E758,ctaNom,0)),"⚠ Cuenta no existe",IF(AND(OR(I758="Transferencia",I758="Pago tarjeta"),G758=""),"⚠ Indica la cuenta «Hacia»",IF(AND(G758&lt;&gt;"",G758=E758),"⚠ «Hacia» igual a la cuenta",IF(AND(G758&lt;&gt;"",ISNA(MATCH(G758,ctaNom,0))),"⚠ «Hacia» no existe",IF(AND(I758="Pago tarjeta",IFERROR(INDEX(ctaTipo,MATCH(G758,ctaNom,0)),"")&lt;&gt;"Tarjeta de crédito"),"⚠ «Hacia» debe ser la tarjeta",IF(AND(I758="Trading",IFERROR(INDEX(ctaTipo,MATCH(E758,ctaNom,0)),"")&lt;&gt;"Cuenta de trading"),"⚠ Usa la cuenta de trading","✓"))))))))))))</f>
        <v/>
      </c>
      <c r="I758" s="19">
        <f>IF(OR(B758="",C758="",D758=""),"",IFERROR(INDEX(catTipo,MATCH(D758,catNom,0))&amp;"",""))</f>
        <v/>
      </c>
      <c r="J758" s="19">
        <f>IF(I758="","",IFERROR(INDEX(catGrupo,MATCH(D758,catNom,0))&amp;"",""))</f>
        <v/>
      </c>
      <c r="K758" s="19">
        <f>IF(I758="Gasto",IF(IFERROR(INDEX(catClas,MATCH(D758,catNom,0))&amp;"","")="","Variable",IFERROR(INDEX(catClas,MATCH(D758,catNom,0))&amp;"","")),"")</f>
        <v/>
      </c>
      <c r="L758" s="19">
        <f>IF(I758="","",IFERROR(INDEX(catAlim,MATCH(D758,catNom,0))&amp;"",""))</f>
        <v/>
      </c>
      <c r="M758" s="19">
        <f>IF(I758="","",IFERROR(INDEX(catComida,MATCH(D758,catNom,0))&amp;"",""))</f>
        <v/>
      </c>
      <c r="N758" s="19">
        <f>IF(I758="","",IFERROR(INDEX(ctaMon,MATCH(E758,ctaNom,0))&amp;"","DOP"))</f>
        <v/>
      </c>
      <c r="O758" s="20">
        <f>IF(I758="","",C758*IF(N758="USD",TasaUSD,1))</f>
        <v/>
      </c>
      <c r="P758" s="20">
        <f>IF(I758="","",IF(I758="Gasto",O758,0))</f>
        <v/>
      </c>
      <c r="Q758" s="20">
        <f>IF(I758="","",IF(I758="Ingreso",O758,0))</f>
        <v/>
      </c>
      <c r="R758" s="20">
        <f>IF(I758="","",IF(I758="Trading",O758,0))</f>
        <v/>
      </c>
      <c r="S758" s="19">
        <f>IF(I758="","",IF(AND(I758="Gasto",K758="Variable",J758&lt;&gt;"Trading",O758&gt;0,O758&lt;=Umbral),1,0))</f>
        <v/>
      </c>
      <c r="T758" s="20">
        <f>IF(OR(I758="",E758=""),"",IF(OR(I758="Gasto",I758="Transferencia",I758="Pago tarjeta"),-1,1)*C758)</f>
        <v/>
      </c>
      <c r="U758" s="20">
        <f>IF(OR(G758="",AND(I758&lt;&gt;"Transferencia",I758&lt;&gt;"Pago tarjeta")),"",IF(IFERROR(INDEX(ctaMon,MATCH(G758,ctaNom,0))&amp;"","DOP")=N758,C758,IF(N758="USD",C758*TasaUSD,C758/TasaUSD)))</f>
        <v/>
      </c>
      <c r="V758" s="20">
        <f>IF(I758="","",IF(IFERROR(INDEX(ctaLiq,MATCH(E758,ctaNom,0))="Sí",FALSE),IF(OR(I758="Gasto",I758="Transferencia",I758="Pago tarjeta"),-1,1)*O758,0)+IF(AND(U758&lt;&gt;"",IFERROR(INDEX(ctaLiq,MATCH(G758,ctaNom,0))="Sí",FALSE)),O758,0))</f>
        <v/>
      </c>
      <c r="W758" s="19">
        <f>IF(OR(F758="",I758=""),"",IF(COUNTIFS(F$6:F758,F758,I$6:I758,"?*")=1,MAX(W$5:W757)+1,""))</f>
        <v/>
      </c>
    </row>
    <row r="759">
      <c r="B759" s="15" t="n"/>
      <c r="C759" s="16" t="n"/>
      <c r="D759" s="17" t="n"/>
      <c r="E759" s="17" t="n"/>
      <c r="F759" s="17" t="n"/>
      <c r="G759" s="17" t="n"/>
      <c r="H759" s="18">
        <f>IF(AND(B759="",C759="",D759="",E759=""),"",IF(B759="","⚠ Falta fecha",IF(C759="","⚠ Falta monto",IF(D759="","⚠ Falta categoría",IF(ISNA(MATCH(D759,catNom,0)),"⚠ Categoría no existe",IF(E759="","⚠ Falta cuenta",IF(ISNA(MATCH(E759,ctaNom,0)),"⚠ Cuenta no existe",IF(AND(OR(I759="Transferencia",I759="Pago tarjeta"),G759=""),"⚠ Indica la cuenta «Hacia»",IF(AND(G759&lt;&gt;"",G759=E759),"⚠ «Hacia» igual a la cuenta",IF(AND(G759&lt;&gt;"",ISNA(MATCH(G759,ctaNom,0))),"⚠ «Hacia» no existe",IF(AND(I759="Pago tarjeta",IFERROR(INDEX(ctaTipo,MATCH(G759,ctaNom,0)),"")&lt;&gt;"Tarjeta de crédito"),"⚠ «Hacia» debe ser la tarjeta",IF(AND(I759="Trading",IFERROR(INDEX(ctaTipo,MATCH(E759,ctaNom,0)),"")&lt;&gt;"Cuenta de trading"),"⚠ Usa la cuenta de trading","✓"))))))))))))</f>
        <v/>
      </c>
      <c r="I759" s="19">
        <f>IF(OR(B759="",C759="",D759=""),"",IFERROR(INDEX(catTipo,MATCH(D759,catNom,0))&amp;"",""))</f>
        <v/>
      </c>
      <c r="J759" s="19">
        <f>IF(I759="","",IFERROR(INDEX(catGrupo,MATCH(D759,catNom,0))&amp;"",""))</f>
        <v/>
      </c>
      <c r="K759" s="19">
        <f>IF(I759="Gasto",IF(IFERROR(INDEX(catClas,MATCH(D759,catNom,0))&amp;"","")="","Variable",IFERROR(INDEX(catClas,MATCH(D759,catNom,0))&amp;"","")),"")</f>
        <v/>
      </c>
      <c r="L759" s="19">
        <f>IF(I759="","",IFERROR(INDEX(catAlim,MATCH(D759,catNom,0))&amp;"",""))</f>
        <v/>
      </c>
      <c r="M759" s="19">
        <f>IF(I759="","",IFERROR(INDEX(catComida,MATCH(D759,catNom,0))&amp;"",""))</f>
        <v/>
      </c>
      <c r="N759" s="19">
        <f>IF(I759="","",IFERROR(INDEX(ctaMon,MATCH(E759,ctaNom,0))&amp;"","DOP"))</f>
        <v/>
      </c>
      <c r="O759" s="20">
        <f>IF(I759="","",C759*IF(N759="USD",TasaUSD,1))</f>
        <v/>
      </c>
      <c r="P759" s="20">
        <f>IF(I759="","",IF(I759="Gasto",O759,0))</f>
        <v/>
      </c>
      <c r="Q759" s="20">
        <f>IF(I759="","",IF(I759="Ingreso",O759,0))</f>
        <v/>
      </c>
      <c r="R759" s="20">
        <f>IF(I759="","",IF(I759="Trading",O759,0))</f>
        <v/>
      </c>
      <c r="S759" s="19">
        <f>IF(I759="","",IF(AND(I759="Gasto",K759="Variable",J759&lt;&gt;"Trading",O759&gt;0,O759&lt;=Umbral),1,0))</f>
        <v/>
      </c>
      <c r="T759" s="20">
        <f>IF(OR(I759="",E759=""),"",IF(OR(I759="Gasto",I759="Transferencia",I759="Pago tarjeta"),-1,1)*C759)</f>
        <v/>
      </c>
      <c r="U759" s="20">
        <f>IF(OR(G759="",AND(I759&lt;&gt;"Transferencia",I759&lt;&gt;"Pago tarjeta")),"",IF(IFERROR(INDEX(ctaMon,MATCH(G759,ctaNom,0))&amp;"","DOP")=N759,C759,IF(N759="USD",C759*TasaUSD,C759/TasaUSD)))</f>
        <v/>
      </c>
      <c r="V759" s="20">
        <f>IF(I759="","",IF(IFERROR(INDEX(ctaLiq,MATCH(E759,ctaNom,0))="Sí",FALSE),IF(OR(I759="Gasto",I759="Transferencia",I759="Pago tarjeta"),-1,1)*O759,0)+IF(AND(U759&lt;&gt;"",IFERROR(INDEX(ctaLiq,MATCH(G759,ctaNom,0))="Sí",FALSE)),O759,0))</f>
        <v/>
      </c>
      <c r="W759" s="19">
        <f>IF(OR(F759="",I759=""),"",IF(COUNTIFS(F$6:F759,F759,I$6:I759,"?*")=1,MAX(W$5:W758)+1,""))</f>
        <v/>
      </c>
    </row>
    <row r="760">
      <c r="B760" s="15" t="n"/>
      <c r="C760" s="16" t="n"/>
      <c r="D760" s="17" t="n"/>
      <c r="E760" s="17" t="n"/>
      <c r="F760" s="17" t="n"/>
      <c r="G760" s="17" t="n"/>
      <c r="H760" s="18">
        <f>IF(AND(B760="",C760="",D760="",E760=""),"",IF(B760="","⚠ Falta fecha",IF(C760="","⚠ Falta monto",IF(D760="","⚠ Falta categoría",IF(ISNA(MATCH(D760,catNom,0)),"⚠ Categoría no existe",IF(E760="","⚠ Falta cuenta",IF(ISNA(MATCH(E760,ctaNom,0)),"⚠ Cuenta no existe",IF(AND(OR(I760="Transferencia",I760="Pago tarjeta"),G760=""),"⚠ Indica la cuenta «Hacia»",IF(AND(G760&lt;&gt;"",G760=E760),"⚠ «Hacia» igual a la cuenta",IF(AND(G760&lt;&gt;"",ISNA(MATCH(G760,ctaNom,0))),"⚠ «Hacia» no existe",IF(AND(I760="Pago tarjeta",IFERROR(INDEX(ctaTipo,MATCH(G760,ctaNom,0)),"")&lt;&gt;"Tarjeta de crédito"),"⚠ «Hacia» debe ser la tarjeta",IF(AND(I760="Trading",IFERROR(INDEX(ctaTipo,MATCH(E760,ctaNom,0)),"")&lt;&gt;"Cuenta de trading"),"⚠ Usa la cuenta de trading","✓"))))))))))))</f>
        <v/>
      </c>
      <c r="I760" s="19">
        <f>IF(OR(B760="",C760="",D760=""),"",IFERROR(INDEX(catTipo,MATCH(D760,catNom,0))&amp;"",""))</f>
        <v/>
      </c>
      <c r="J760" s="19">
        <f>IF(I760="","",IFERROR(INDEX(catGrupo,MATCH(D760,catNom,0))&amp;"",""))</f>
        <v/>
      </c>
      <c r="K760" s="19">
        <f>IF(I760="Gasto",IF(IFERROR(INDEX(catClas,MATCH(D760,catNom,0))&amp;"","")="","Variable",IFERROR(INDEX(catClas,MATCH(D760,catNom,0))&amp;"","")),"")</f>
        <v/>
      </c>
      <c r="L760" s="19">
        <f>IF(I760="","",IFERROR(INDEX(catAlim,MATCH(D760,catNom,0))&amp;"",""))</f>
        <v/>
      </c>
      <c r="M760" s="19">
        <f>IF(I760="","",IFERROR(INDEX(catComida,MATCH(D760,catNom,0))&amp;"",""))</f>
        <v/>
      </c>
      <c r="N760" s="19">
        <f>IF(I760="","",IFERROR(INDEX(ctaMon,MATCH(E760,ctaNom,0))&amp;"","DOP"))</f>
        <v/>
      </c>
      <c r="O760" s="20">
        <f>IF(I760="","",C760*IF(N760="USD",TasaUSD,1))</f>
        <v/>
      </c>
      <c r="P760" s="20">
        <f>IF(I760="","",IF(I760="Gasto",O760,0))</f>
        <v/>
      </c>
      <c r="Q760" s="20">
        <f>IF(I760="","",IF(I760="Ingreso",O760,0))</f>
        <v/>
      </c>
      <c r="R760" s="20">
        <f>IF(I760="","",IF(I760="Trading",O760,0))</f>
        <v/>
      </c>
      <c r="S760" s="19">
        <f>IF(I760="","",IF(AND(I760="Gasto",K760="Variable",J760&lt;&gt;"Trading",O760&gt;0,O760&lt;=Umbral),1,0))</f>
        <v/>
      </c>
      <c r="T760" s="20">
        <f>IF(OR(I760="",E760=""),"",IF(OR(I760="Gasto",I760="Transferencia",I760="Pago tarjeta"),-1,1)*C760)</f>
        <v/>
      </c>
      <c r="U760" s="20">
        <f>IF(OR(G760="",AND(I760&lt;&gt;"Transferencia",I760&lt;&gt;"Pago tarjeta")),"",IF(IFERROR(INDEX(ctaMon,MATCH(G760,ctaNom,0))&amp;"","DOP")=N760,C760,IF(N760="USD",C760*TasaUSD,C760/TasaUSD)))</f>
        <v/>
      </c>
      <c r="V760" s="20">
        <f>IF(I760="","",IF(IFERROR(INDEX(ctaLiq,MATCH(E760,ctaNom,0))="Sí",FALSE),IF(OR(I760="Gasto",I760="Transferencia",I760="Pago tarjeta"),-1,1)*O760,0)+IF(AND(U760&lt;&gt;"",IFERROR(INDEX(ctaLiq,MATCH(G760,ctaNom,0))="Sí",FALSE)),O760,0))</f>
        <v/>
      </c>
      <c r="W760" s="19">
        <f>IF(OR(F760="",I760=""),"",IF(COUNTIFS(F$6:F760,F760,I$6:I760,"?*")=1,MAX(W$5:W759)+1,""))</f>
        <v/>
      </c>
    </row>
    <row r="761">
      <c r="B761" s="15" t="n"/>
      <c r="C761" s="16" t="n"/>
      <c r="D761" s="17" t="n"/>
      <c r="E761" s="17" t="n"/>
      <c r="F761" s="17" t="n"/>
      <c r="G761" s="17" t="n"/>
      <c r="H761" s="18">
        <f>IF(AND(B761="",C761="",D761="",E761=""),"",IF(B761="","⚠ Falta fecha",IF(C761="","⚠ Falta monto",IF(D761="","⚠ Falta categoría",IF(ISNA(MATCH(D761,catNom,0)),"⚠ Categoría no existe",IF(E761="","⚠ Falta cuenta",IF(ISNA(MATCH(E761,ctaNom,0)),"⚠ Cuenta no existe",IF(AND(OR(I761="Transferencia",I761="Pago tarjeta"),G761=""),"⚠ Indica la cuenta «Hacia»",IF(AND(G761&lt;&gt;"",G761=E761),"⚠ «Hacia» igual a la cuenta",IF(AND(G761&lt;&gt;"",ISNA(MATCH(G761,ctaNom,0))),"⚠ «Hacia» no existe",IF(AND(I761="Pago tarjeta",IFERROR(INDEX(ctaTipo,MATCH(G761,ctaNom,0)),"")&lt;&gt;"Tarjeta de crédito"),"⚠ «Hacia» debe ser la tarjeta",IF(AND(I761="Trading",IFERROR(INDEX(ctaTipo,MATCH(E761,ctaNom,0)),"")&lt;&gt;"Cuenta de trading"),"⚠ Usa la cuenta de trading","✓"))))))))))))</f>
        <v/>
      </c>
      <c r="I761" s="19">
        <f>IF(OR(B761="",C761="",D761=""),"",IFERROR(INDEX(catTipo,MATCH(D761,catNom,0))&amp;"",""))</f>
        <v/>
      </c>
      <c r="J761" s="19">
        <f>IF(I761="","",IFERROR(INDEX(catGrupo,MATCH(D761,catNom,0))&amp;"",""))</f>
        <v/>
      </c>
      <c r="K761" s="19">
        <f>IF(I761="Gasto",IF(IFERROR(INDEX(catClas,MATCH(D761,catNom,0))&amp;"","")="","Variable",IFERROR(INDEX(catClas,MATCH(D761,catNom,0))&amp;"","")),"")</f>
        <v/>
      </c>
      <c r="L761" s="19">
        <f>IF(I761="","",IFERROR(INDEX(catAlim,MATCH(D761,catNom,0))&amp;"",""))</f>
        <v/>
      </c>
      <c r="M761" s="19">
        <f>IF(I761="","",IFERROR(INDEX(catComida,MATCH(D761,catNom,0))&amp;"",""))</f>
        <v/>
      </c>
      <c r="N761" s="19">
        <f>IF(I761="","",IFERROR(INDEX(ctaMon,MATCH(E761,ctaNom,0))&amp;"","DOP"))</f>
        <v/>
      </c>
      <c r="O761" s="20">
        <f>IF(I761="","",C761*IF(N761="USD",TasaUSD,1))</f>
        <v/>
      </c>
      <c r="P761" s="20">
        <f>IF(I761="","",IF(I761="Gasto",O761,0))</f>
        <v/>
      </c>
      <c r="Q761" s="20">
        <f>IF(I761="","",IF(I761="Ingreso",O761,0))</f>
        <v/>
      </c>
      <c r="R761" s="20">
        <f>IF(I761="","",IF(I761="Trading",O761,0))</f>
        <v/>
      </c>
      <c r="S761" s="19">
        <f>IF(I761="","",IF(AND(I761="Gasto",K761="Variable",J761&lt;&gt;"Trading",O761&gt;0,O761&lt;=Umbral),1,0))</f>
        <v/>
      </c>
      <c r="T761" s="20">
        <f>IF(OR(I761="",E761=""),"",IF(OR(I761="Gasto",I761="Transferencia",I761="Pago tarjeta"),-1,1)*C761)</f>
        <v/>
      </c>
      <c r="U761" s="20">
        <f>IF(OR(G761="",AND(I761&lt;&gt;"Transferencia",I761&lt;&gt;"Pago tarjeta")),"",IF(IFERROR(INDEX(ctaMon,MATCH(G761,ctaNom,0))&amp;"","DOP")=N761,C761,IF(N761="USD",C761*TasaUSD,C761/TasaUSD)))</f>
        <v/>
      </c>
      <c r="V761" s="20">
        <f>IF(I761="","",IF(IFERROR(INDEX(ctaLiq,MATCH(E761,ctaNom,0))="Sí",FALSE),IF(OR(I761="Gasto",I761="Transferencia",I761="Pago tarjeta"),-1,1)*O761,0)+IF(AND(U761&lt;&gt;"",IFERROR(INDEX(ctaLiq,MATCH(G761,ctaNom,0))="Sí",FALSE)),O761,0))</f>
        <v/>
      </c>
      <c r="W761" s="19">
        <f>IF(OR(F761="",I761=""),"",IF(COUNTIFS(F$6:F761,F761,I$6:I761,"?*")=1,MAX(W$5:W760)+1,""))</f>
        <v/>
      </c>
    </row>
    <row r="762">
      <c r="B762" s="15" t="n"/>
      <c r="C762" s="16" t="n"/>
      <c r="D762" s="17" t="n"/>
      <c r="E762" s="17" t="n"/>
      <c r="F762" s="17" t="n"/>
      <c r="G762" s="17" t="n"/>
      <c r="H762" s="18">
        <f>IF(AND(B762="",C762="",D762="",E762=""),"",IF(B762="","⚠ Falta fecha",IF(C762="","⚠ Falta monto",IF(D762="","⚠ Falta categoría",IF(ISNA(MATCH(D762,catNom,0)),"⚠ Categoría no existe",IF(E762="","⚠ Falta cuenta",IF(ISNA(MATCH(E762,ctaNom,0)),"⚠ Cuenta no existe",IF(AND(OR(I762="Transferencia",I762="Pago tarjeta"),G762=""),"⚠ Indica la cuenta «Hacia»",IF(AND(G762&lt;&gt;"",G762=E762),"⚠ «Hacia» igual a la cuenta",IF(AND(G762&lt;&gt;"",ISNA(MATCH(G762,ctaNom,0))),"⚠ «Hacia» no existe",IF(AND(I762="Pago tarjeta",IFERROR(INDEX(ctaTipo,MATCH(G762,ctaNom,0)),"")&lt;&gt;"Tarjeta de crédito"),"⚠ «Hacia» debe ser la tarjeta",IF(AND(I762="Trading",IFERROR(INDEX(ctaTipo,MATCH(E762,ctaNom,0)),"")&lt;&gt;"Cuenta de trading"),"⚠ Usa la cuenta de trading","✓"))))))))))))</f>
        <v/>
      </c>
      <c r="I762" s="19">
        <f>IF(OR(B762="",C762="",D762=""),"",IFERROR(INDEX(catTipo,MATCH(D762,catNom,0))&amp;"",""))</f>
        <v/>
      </c>
      <c r="J762" s="19">
        <f>IF(I762="","",IFERROR(INDEX(catGrupo,MATCH(D762,catNom,0))&amp;"",""))</f>
        <v/>
      </c>
      <c r="K762" s="19">
        <f>IF(I762="Gasto",IF(IFERROR(INDEX(catClas,MATCH(D762,catNom,0))&amp;"","")="","Variable",IFERROR(INDEX(catClas,MATCH(D762,catNom,0))&amp;"","")),"")</f>
        <v/>
      </c>
      <c r="L762" s="19">
        <f>IF(I762="","",IFERROR(INDEX(catAlim,MATCH(D762,catNom,0))&amp;"",""))</f>
        <v/>
      </c>
      <c r="M762" s="19">
        <f>IF(I762="","",IFERROR(INDEX(catComida,MATCH(D762,catNom,0))&amp;"",""))</f>
        <v/>
      </c>
      <c r="N762" s="19">
        <f>IF(I762="","",IFERROR(INDEX(ctaMon,MATCH(E762,ctaNom,0))&amp;"","DOP"))</f>
        <v/>
      </c>
      <c r="O762" s="20">
        <f>IF(I762="","",C762*IF(N762="USD",TasaUSD,1))</f>
        <v/>
      </c>
      <c r="P762" s="20">
        <f>IF(I762="","",IF(I762="Gasto",O762,0))</f>
        <v/>
      </c>
      <c r="Q762" s="20">
        <f>IF(I762="","",IF(I762="Ingreso",O762,0))</f>
        <v/>
      </c>
      <c r="R762" s="20">
        <f>IF(I762="","",IF(I762="Trading",O762,0))</f>
        <v/>
      </c>
      <c r="S762" s="19">
        <f>IF(I762="","",IF(AND(I762="Gasto",K762="Variable",J762&lt;&gt;"Trading",O762&gt;0,O762&lt;=Umbral),1,0))</f>
        <v/>
      </c>
      <c r="T762" s="20">
        <f>IF(OR(I762="",E762=""),"",IF(OR(I762="Gasto",I762="Transferencia",I762="Pago tarjeta"),-1,1)*C762)</f>
        <v/>
      </c>
      <c r="U762" s="20">
        <f>IF(OR(G762="",AND(I762&lt;&gt;"Transferencia",I762&lt;&gt;"Pago tarjeta")),"",IF(IFERROR(INDEX(ctaMon,MATCH(G762,ctaNom,0))&amp;"","DOP")=N762,C762,IF(N762="USD",C762*TasaUSD,C762/TasaUSD)))</f>
        <v/>
      </c>
      <c r="V762" s="20">
        <f>IF(I762="","",IF(IFERROR(INDEX(ctaLiq,MATCH(E762,ctaNom,0))="Sí",FALSE),IF(OR(I762="Gasto",I762="Transferencia",I762="Pago tarjeta"),-1,1)*O762,0)+IF(AND(U762&lt;&gt;"",IFERROR(INDEX(ctaLiq,MATCH(G762,ctaNom,0))="Sí",FALSE)),O762,0))</f>
        <v/>
      </c>
      <c r="W762" s="19">
        <f>IF(OR(F762="",I762=""),"",IF(COUNTIFS(F$6:F762,F762,I$6:I762,"?*")=1,MAX(W$5:W761)+1,""))</f>
        <v/>
      </c>
    </row>
    <row r="763">
      <c r="B763" s="15" t="n"/>
      <c r="C763" s="16" t="n"/>
      <c r="D763" s="17" t="n"/>
      <c r="E763" s="17" t="n"/>
      <c r="F763" s="17" t="n"/>
      <c r="G763" s="17" t="n"/>
      <c r="H763" s="18">
        <f>IF(AND(B763="",C763="",D763="",E763=""),"",IF(B763="","⚠ Falta fecha",IF(C763="","⚠ Falta monto",IF(D763="","⚠ Falta categoría",IF(ISNA(MATCH(D763,catNom,0)),"⚠ Categoría no existe",IF(E763="","⚠ Falta cuenta",IF(ISNA(MATCH(E763,ctaNom,0)),"⚠ Cuenta no existe",IF(AND(OR(I763="Transferencia",I763="Pago tarjeta"),G763=""),"⚠ Indica la cuenta «Hacia»",IF(AND(G763&lt;&gt;"",G763=E763),"⚠ «Hacia» igual a la cuenta",IF(AND(G763&lt;&gt;"",ISNA(MATCH(G763,ctaNom,0))),"⚠ «Hacia» no existe",IF(AND(I763="Pago tarjeta",IFERROR(INDEX(ctaTipo,MATCH(G763,ctaNom,0)),"")&lt;&gt;"Tarjeta de crédito"),"⚠ «Hacia» debe ser la tarjeta",IF(AND(I763="Trading",IFERROR(INDEX(ctaTipo,MATCH(E763,ctaNom,0)),"")&lt;&gt;"Cuenta de trading"),"⚠ Usa la cuenta de trading","✓"))))))))))))</f>
        <v/>
      </c>
      <c r="I763" s="19">
        <f>IF(OR(B763="",C763="",D763=""),"",IFERROR(INDEX(catTipo,MATCH(D763,catNom,0))&amp;"",""))</f>
        <v/>
      </c>
      <c r="J763" s="19">
        <f>IF(I763="","",IFERROR(INDEX(catGrupo,MATCH(D763,catNom,0))&amp;"",""))</f>
        <v/>
      </c>
      <c r="K763" s="19">
        <f>IF(I763="Gasto",IF(IFERROR(INDEX(catClas,MATCH(D763,catNom,0))&amp;"","")="","Variable",IFERROR(INDEX(catClas,MATCH(D763,catNom,0))&amp;"","")),"")</f>
        <v/>
      </c>
      <c r="L763" s="19">
        <f>IF(I763="","",IFERROR(INDEX(catAlim,MATCH(D763,catNom,0))&amp;"",""))</f>
        <v/>
      </c>
      <c r="M763" s="19">
        <f>IF(I763="","",IFERROR(INDEX(catComida,MATCH(D763,catNom,0))&amp;"",""))</f>
        <v/>
      </c>
      <c r="N763" s="19">
        <f>IF(I763="","",IFERROR(INDEX(ctaMon,MATCH(E763,ctaNom,0))&amp;"","DOP"))</f>
        <v/>
      </c>
      <c r="O763" s="20">
        <f>IF(I763="","",C763*IF(N763="USD",TasaUSD,1))</f>
        <v/>
      </c>
      <c r="P763" s="20">
        <f>IF(I763="","",IF(I763="Gasto",O763,0))</f>
        <v/>
      </c>
      <c r="Q763" s="20">
        <f>IF(I763="","",IF(I763="Ingreso",O763,0))</f>
        <v/>
      </c>
      <c r="R763" s="20">
        <f>IF(I763="","",IF(I763="Trading",O763,0))</f>
        <v/>
      </c>
      <c r="S763" s="19">
        <f>IF(I763="","",IF(AND(I763="Gasto",K763="Variable",J763&lt;&gt;"Trading",O763&gt;0,O763&lt;=Umbral),1,0))</f>
        <v/>
      </c>
      <c r="T763" s="20">
        <f>IF(OR(I763="",E763=""),"",IF(OR(I763="Gasto",I763="Transferencia",I763="Pago tarjeta"),-1,1)*C763)</f>
        <v/>
      </c>
      <c r="U763" s="20">
        <f>IF(OR(G763="",AND(I763&lt;&gt;"Transferencia",I763&lt;&gt;"Pago tarjeta")),"",IF(IFERROR(INDEX(ctaMon,MATCH(G763,ctaNom,0))&amp;"","DOP")=N763,C763,IF(N763="USD",C763*TasaUSD,C763/TasaUSD)))</f>
        <v/>
      </c>
      <c r="V763" s="20">
        <f>IF(I763="","",IF(IFERROR(INDEX(ctaLiq,MATCH(E763,ctaNom,0))="Sí",FALSE),IF(OR(I763="Gasto",I763="Transferencia",I763="Pago tarjeta"),-1,1)*O763,0)+IF(AND(U763&lt;&gt;"",IFERROR(INDEX(ctaLiq,MATCH(G763,ctaNom,0))="Sí",FALSE)),O763,0))</f>
        <v/>
      </c>
      <c r="W763" s="19">
        <f>IF(OR(F763="",I763=""),"",IF(COUNTIFS(F$6:F763,F763,I$6:I763,"?*")=1,MAX(W$5:W762)+1,""))</f>
        <v/>
      </c>
    </row>
    <row r="764">
      <c r="B764" s="15" t="n"/>
      <c r="C764" s="16" t="n"/>
      <c r="D764" s="17" t="n"/>
      <c r="E764" s="17" t="n"/>
      <c r="F764" s="17" t="n"/>
      <c r="G764" s="17" t="n"/>
      <c r="H764" s="18">
        <f>IF(AND(B764="",C764="",D764="",E764=""),"",IF(B764="","⚠ Falta fecha",IF(C764="","⚠ Falta monto",IF(D764="","⚠ Falta categoría",IF(ISNA(MATCH(D764,catNom,0)),"⚠ Categoría no existe",IF(E764="","⚠ Falta cuenta",IF(ISNA(MATCH(E764,ctaNom,0)),"⚠ Cuenta no existe",IF(AND(OR(I764="Transferencia",I764="Pago tarjeta"),G764=""),"⚠ Indica la cuenta «Hacia»",IF(AND(G764&lt;&gt;"",G764=E764),"⚠ «Hacia» igual a la cuenta",IF(AND(G764&lt;&gt;"",ISNA(MATCH(G764,ctaNom,0))),"⚠ «Hacia» no existe",IF(AND(I764="Pago tarjeta",IFERROR(INDEX(ctaTipo,MATCH(G764,ctaNom,0)),"")&lt;&gt;"Tarjeta de crédito"),"⚠ «Hacia» debe ser la tarjeta",IF(AND(I764="Trading",IFERROR(INDEX(ctaTipo,MATCH(E764,ctaNom,0)),"")&lt;&gt;"Cuenta de trading"),"⚠ Usa la cuenta de trading","✓"))))))))))))</f>
        <v/>
      </c>
      <c r="I764" s="19">
        <f>IF(OR(B764="",C764="",D764=""),"",IFERROR(INDEX(catTipo,MATCH(D764,catNom,0))&amp;"",""))</f>
        <v/>
      </c>
      <c r="J764" s="19">
        <f>IF(I764="","",IFERROR(INDEX(catGrupo,MATCH(D764,catNom,0))&amp;"",""))</f>
        <v/>
      </c>
      <c r="K764" s="19">
        <f>IF(I764="Gasto",IF(IFERROR(INDEX(catClas,MATCH(D764,catNom,0))&amp;"","")="","Variable",IFERROR(INDEX(catClas,MATCH(D764,catNom,0))&amp;"","")),"")</f>
        <v/>
      </c>
      <c r="L764" s="19">
        <f>IF(I764="","",IFERROR(INDEX(catAlim,MATCH(D764,catNom,0))&amp;"",""))</f>
        <v/>
      </c>
      <c r="M764" s="19">
        <f>IF(I764="","",IFERROR(INDEX(catComida,MATCH(D764,catNom,0))&amp;"",""))</f>
        <v/>
      </c>
      <c r="N764" s="19">
        <f>IF(I764="","",IFERROR(INDEX(ctaMon,MATCH(E764,ctaNom,0))&amp;"","DOP"))</f>
        <v/>
      </c>
      <c r="O764" s="20">
        <f>IF(I764="","",C764*IF(N764="USD",TasaUSD,1))</f>
        <v/>
      </c>
      <c r="P764" s="20">
        <f>IF(I764="","",IF(I764="Gasto",O764,0))</f>
        <v/>
      </c>
      <c r="Q764" s="20">
        <f>IF(I764="","",IF(I764="Ingreso",O764,0))</f>
        <v/>
      </c>
      <c r="R764" s="20">
        <f>IF(I764="","",IF(I764="Trading",O764,0))</f>
        <v/>
      </c>
      <c r="S764" s="19">
        <f>IF(I764="","",IF(AND(I764="Gasto",K764="Variable",J764&lt;&gt;"Trading",O764&gt;0,O764&lt;=Umbral),1,0))</f>
        <v/>
      </c>
      <c r="T764" s="20">
        <f>IF(OR(I764="",E764=""),"",IF(OR(I764="Gasto",I764="Transferencia",I764="Pago tarjeta"),-1,1)*C764)</f>
        <v/>
      </c>
      <c r="U764" s="20">
        <f>IF(OR(G764="",AND(I764&lt;&gt;"Transferencia",I764&lt;&gt;"Pago tarjeta")),"",IF(IFERROR(INDEX(ctaMon,MATCH(G764,ctaNom,0))&amp;"","DOP")=N764,C764,IF(N764="USD",C764*TasaUSD,C764/TasaUSD)))</f>
        <v/>
      </c>
      <c r="V764" s="20">
        <f>IF(I764="","",IF(IFERROR(INDEX(ctaLiq,MATCH(E764,ctaNom,0))="Sí",FALSE),IF(OR(I764="Gasto",I764="Transferencia",I764="Pago tarjeta"),-1,1)*O764,0)+IF(AND(U764&lt;&gt;"",IFERROR(INDEX(ctaLiq,MATCH(G764,ctaNom,0))="Sí",FALSE)),O764,0))</f>
        <v/>
      </c>
      <c r="W764" s="19">
        <f>IF(OR(F764="",I764=""),"",IF(COUNTIFS(F$6:F764,F764,I$6:I764,"?*")=1,MAX(W$5:W763)+1,""))</f>
        <v/>
      </c>
    </row>
    <row r="765">
      <c r="B765" s="15" t="n"/>
      <c r="C765" s="16" t="n"/>
      <c r="D765" s="17" t="n"/>
      <c r="E765" s="17" t="n"/>
      <c r="F765" s="17" t="n"/>
      <c r="G765" s="17" t="n"/>
      <c r="H765" s="18">
        <f>IF(AND(B765="",C765="",D765="",E765=""),"",IF(B765="","⚠ Falta fecha",IF(C765="","⚠ Falta monto",IF(D765="","⚠ Falta categoría",IF(ISNA(MATCH(D765,catNom,0)),"⚠ Categoría no existe",IF(E765="","⚠ Falta cuenta",IF(ISNA(MATCH(E765,ctaNom,0)),"⚠ Cuenta no existe",IF(AND(OR(I765="Transferencia",I765="Pago tarjeta"),G765=""),"⚠ Indica la cuenta «Hacia»",IF(AND(G765&lt;&gt;"",G765=E765),"⚠ «Hacia» igual a la cuenta",IF(AND(G765&lt;&gt;"",ISNA(MATCH(G765,ctaNom,0))),"⚠ «Hacia» no existe",IF(AND(I765="Pago tarjeta",IFERROR(INDEX(ctaTipo,MATCH(G765,ctaNom,0)),"")&lt;&gt;"Tarjeta de crédito"),"⚠ «Hacia» debe ser la tarjeta",IF(AND(I765="Trading",IFERROR(INDEX(ctaTipo,MATCH(E765,ctaNom,0)),"")&lt;&gt;"Cuenta de trading"),"⚠ Usa la cuenta de trading","✓"))))))))))))</f>
        <v/>
      </c>
      <c r="I765" s="19">
        <f>IF(OR(B765="",C765="",D765=""),"",IFERROR(INDEX(catTipo,MATCH(D765,catNom,0))&amp;"",""))</f>
        <v/>
      </c>
      <c r="J765" s="19">
        <f>IF(I765="","",IFERROR(INDEX(catGrupo,MATCH(D765,catNom,0))&amp;"",""))</f>
        <v/>
      </c>
      <c r="K765" s="19">
        <f>IF(I765="Gasto",IF(IFERROR(INDEX(catClas,MATCH(D765,catNom,0))&amp;"","")="","Variable",IFERROR(INDEX(catClas,MATCH(D765,catNom,0))&amp;"","")),"")</f>
        <v/>
      </c>
      <c r="L765" s="19">
        <f>IF(I765="","",IFERROR(INDEX(catAlim,MATCH(D765,catNom,0))&amp;"",""))</f>
        <v/>
      </c>
      <c r="M765" s="19">
        <f>IF(I765="","",IFERROR(INDEX(catComida,MATCH(D765,catNom,0))&amp;"",""))</f>
        <v/>
      </c>
      <c r="N765" s="19">
        <f>IF(I765="","",IFERROR(INDEX(ctaMon,MATCH(E765,ctaNom,0))&amp;"","DOP"))</f>
        <v/>
      </c>
      <c r="O765" s="20">
        <f>IF(I765="","",C765*IF(N765="USD",TasaUSD,1))</f>
        <v/>
      </c>
      <c r="P765" s="20">
        <f>IF(I765="","",IF(I765="Gasto",O765,0))</f>
        <v/>
      </c>
      <c r="Q765" s="20">
        <f>IF(I765="","",IF(I765="Ingreso",O765,0))</f>
        <v/>
      </c>
      <c r="R765" s="20">
        <f>IF(I765="","",IF(I765="Trading",O765,0))</f>
        <v/>
      </c>
      <c r="S765" s="19">
        <f>IF(I765="","",IF(AND(I765="Gasto",K765="Variable",J765&lt;&gt;"Trading",O765&gt;0,O765&lt;=Umbral),1,0))</f>
        <v/>
      </c>
      <c r="T765" s="20">
        <f>IF(OR(I765="",E765=""),"",IF(OR(I765="Gasto",I765="Transferencia",I765="Pago tarjeta"),-1,1)*C765)</f>
        <v/>
      </c>
      <c r="U765" s="20">
        <f>IF(OR(G765="",AND(I765&lt;&gt;"Transferencia",I765&lt;&gt;"Pago tarjeta")),"",IF(IFERROR(INDEX(ctaMon,MATCH(G765,ctaNom,0))&amp;"","DOP")=N765,C765,IF(N765="USD",C765*TasaUSD,C765/TasaUSD)))</f>
        <v/>
      </c>
      <c r="V765" s="20">
        <f>IF(I765="","",IF(IFERROR(INDEX(ctaLiq,MATCH(E765,ctaNom,0))="Sí",FALSE),IF(OR(I765="Gasto",I765="Transferencia",I765="Pago tarjeta"),-1,1)*O765,0)+IF(AND(U765&lt;&gt;"",IFERROR(INDEX(ctaLiq,MATCH(G765,ctaNom,0))="Sí",FALSE)),O765,0))</f>
        <v/>
      </c>
      <c r="W765" s="19">
        <f>IF(OR(F765="",I765=""),"",IF(COUNTIFS(F$6:F765,F765,I$6:I765,"?*")=1,MAX(W$5:W764)+1,""))</f>
        <v/>
      </c>
    </row>
    <row r="766">
      <c r="B766" s="15" t="n"/>
      <c r="C766" s="16" t="n"/>
      <c r="D766" s="17" t="n"/>
      <c r="E766" s="17" t="n"/>
      <c r="F766" s="17" t="n"/>
      <c r="G766" s="17" t="n"/>
      <c r="H766" s="18">
        <f>IF(AND(B766="",C766="",D766="",E766=""),"",IF(B766="","⚠ Falta fecha",IF(C766="","⚠ Falta monto",IF(D766="","⚠ Falta categoría",IF(ISNA(MATCH(D766,catNom,0)),"⚠ Categoría no existe",IF(E766="","⚠ Falta cuenta",IF(ISNA(MATCH(E766,ctaNom,0)),"⚠ Cuenta no existe",IF(AND(OR(I766="Transferencia",I766="Pago tarjeta"),G766=""),"⚠ Indica la cuenta «Hacia»",IF(AND(G766&lt;&gt;"",G766=E766),"⚠ «Hacia» igual a la cuenta",IF(AND(G766&lt;&gt;"",ISNA(MATCH(G766,ctaNom,0))),"⚠ «Hacia» no existe",IF(AND(I766="Pago tarjeta",IFERROR(INDEX(ctaTipo,MATCH(G766,ctaNom,0)),"")&lt;&gt;"Tarjeta de crédito"),"⚠ «Hacia» debe ser la tarjeta",IF(AND(I766="Trading",IFERROR(INDEX(ctaTipo,MATCH(E766,ctaNom,0)),"")&lt;&gt;"Cuenta de trading"),"⚠ Usa la cuenta de trading","✓"))))))))))))</f>
        <v/>
      </c>
      <c r="I766" s="19">
        <f>IF(OR(B766="",C766="",D766=""),"",IFERROR(INDEX(catTipo,MATCH(D766,catNom,0))&amp;"",""))</f>
        <v/>
      </c>
      <c r="J766" s="19">
        <f>IF(I766="","",IFERROR(INDEX(catGrupo,MATCH(D766,catNom,0))&amp;"",""))</f>
        <v/>
      </c>
      <c r="K766" s="19">
        <f>IF(I766="Gasto",IF(IFERROR(INDEX(catClas,MATCH(D766,catNom,0))&amp;"","")="","Variable",IFERROR(INDEX(catClas,MATCH(D766,catNom,0))&amp;"","")),"")</f>
        <v/>
      </c>
      <c r="L766" s="19">
        <f>IF(I766="","",IFERROR(INDEX(catAlim,MATCH(D766,catNom,0))&amp;"",""))</f>
        <v/>
      </c>
      <c r="M766" s="19">
        <f>IF(I766="","",IFERROR(INDEX(catComida,MATCH(D766,catNom,0))&amp;"",""))</f>
        <v/>
      </c>
      <c r="N766" s="19">
        <f>IF(I766="","",IFERROR(INDEX(ctaMon,MATCH(E766,ctaNom,0))&amp;"","DOP"))</f>
        <v/>
      </c>
      <c r="O766" s="20">
        <f>IF(I766="","",C766*IF(N766="USD",TasaUSD,1))</f>
        <v/>
      </c>
      <c r="P766" s="20">
        <f>IF(I766="","",IF(I766="Gasto",O766,0))</f>
        <v/>
      </c>
      <c r="Q766" s="20">
        <f>IF(I766="","",IF(I766="Ingreso",O766,0))</f>
        <v/>
      </c>
      <c r="R766" s="20">
        <f>IF(I766="","",IF(I766="Trading",O766,0))</f>
        <v/>
      </c>
      <c r="S766" s="19">
        <f>IF(I766="","",IF(AND(I766="Gasto",K766="Variable",J766&lt;&gt;"Trading",O766&gt;0,O766&lt;=Umbral),1,0))</f>
        <v/>
      </c>
      <c r="T766" s="20">
        <f>IF(OR(I766="",E766=""),"",IF(OR(I766="Gasto",I766="Transferencia",I766="Pago tarjeta"),-1,1)*C766)</f>
        <v/>
      </c>
      <c r="U766" s="20">
        <f>IF(OR(G766="",AND(I766&lt;&gt;"Transferencia",I766&lt;&gt;"Pago tarjeta")),"",IF(IFERROR(INDEX(ctaMon,MATCH(G766,ctaNom,0))&amp;"","DOP")=N766,C766,IF(N766="USD",C766*TasaUSD,C766/TasaUSD)))</f>
        <v/>
      </c>
      <c r="V766" s="20">
        <f>IF(I766="","",IF(IFERROR(INDEX(ctaLiq,MATCH(E766,ctaNom,0))="Sí",FALSE),IF(OR(I766="Gasto",I766="Transferencia",I766="Pago tarjeta"),-1,1)*O766,0)+IF(AND(U766&lt;&gt;"",IFERROR(INDEX(ctaLiq,MATCH(G766,ctaNom,0))="Sí",FALSE)),O766,0))</f>
        <v/>
      </c>
      <c r="W766" s="19">
        <f>IF(OR(F766="",I766=""),"",IF(COUNTIFS(F$6:F766,F766,I$6:I766,"?*")=1,MAX(W$5:W765)+1,""))</f>
        <v/>
      </c>
    </row>
    <row r="767">
      <c r="B767" s="15" t="n"/>
      <c r="C767" s="16" t="n"/>
      <c r="D767" s="17" t="n"/>
      <c r="E767" s="17" t="n"/>
      <c r="F767" s="17" t="n"/>
      <c r="G767" s="17" t="n"/>
      <c r="H767" s="18">
        <f>IF(AND(B767="",C767="",D767="",E767=""),"",IF(B767="","⚠ Falta fecha",IF(C767="","⚠ Falta monto",IF(D767="","⚠ Falta categoría",IF(ISNA(MATCH(D767,catNom,0)),"⚠ Categoría no existe",IF(E767="","⚠ Falta cuenta",IF(ISNA(MATCH(E767,ctaNom,0)),"⚠ Cuenta no existe",IF(AND(OR(I767="Transferencia",I767="Pago tarjeta"),G767=""),"⚠ Indica la cuenta «Hacia»",IF(AND(G767&lt;&gt;"",G767=E767),"⚠ «Hacia» igual a la cuenta",IF(AND(G767&lt;&gt;"",ISNA(MATCH(G767,ctaNom,0))),"⚠ «Hacia» no existe",IF(AND(I767="Pago tarjeta",IFERROR(INDEX(ctaTipo,MATCH(G767,ctaNom,0)),"")&lt;&gt;"Tarjeta de crédito"),"⚠ «Hacia» debe ser la tarjeta",IF(AND(I767="Trading",IFERROR(INDEX(ctaTipo,MATCH(E767,ctaNom,0)),"")&lt;&gt;"Cuenta de trading"),"⚠ Usa la cuenta de trading","✓"))))))))))))</f>
        <v/>
      </c>
      <c r="I767" s="19">
        <f>IF(OR(B767="",C767="",D767=""),"",IFERROR(INDEX(catTipo,MATCH(D767,catNom,0))&amp;"",""))</f>
        <v/>
      </c>
      <c r="J767" s="19">
        <f>IF(I767="","",IFERROR(INDEX(catGrupo,MATCH(D767,catNom,0))&amp;"",""))</f>
        <v/>
      </c>
      <c r="K767" s="19">
        <f>IF(I767="Gasto",IF(IFERROR(INDEX(catClas,MATCH(D767,catNom,0))&amp;"","")="","Variable",IFERROR(INDEX(catClas,MATCH(D767,catNom,0))&amp;"","")),"")</f>
        <v/>
      </c>
      <c r="L767" s="19">
        <f>IF(I767="","",IFERROR(INDEX(catAlim,MATCH(D767,catNom,0))&amp;"",""))</f>
        <v/>
      </c>
      <c r="M767" s="19">
        <f>IF(I767="","",IFERROR(INDEX(catComida,MATCH(D767,catNom,0))&amp;"",""))</f>
        <v/>
      </c>
      <c r="N767" s="19">
        <f>IF(I767="","",IFERROR(INDEX(ctaMon,MATCH(E767,ctaNom,0))&amp;"","DOP"))</f>
        <v/>
      </c>
      <c r="O767" s="20">
        <f>IF(I767="","",C767*IF(N767="USD",TasaUSD,1))</f>
        <v/>
      </c>
      <c r="P767" s="20">
        <f>IF(I767="","",IF(I767="Gasto",O767,0))</f>
        <v/>
      </c>
      <c r="Q767" s="20">
        <f>IF(I767="","",IF(I767="Ingreso",O767,0))</f>
        <v/>
      </c>
      <c r="R767" s="20">
        <f>IF(I767="","",IF(I767="Trading",O767,0))</f>
        <v/>
      </c>
      <c r="S767" s="19">
        <f>IF(I767="","",IF(AND(I767="Gasto",K767="Variable",J767&lt;&gt;"Trading",O767&gt;0,O767&lt;=Umbral),1,0))</f>
        <v/>
      </c>
      <c r="T767" s="20">
        <f>IF(OR(I767="",E767=""),"",IF(OR(I767="Gasto",I767="Transferencia",I767="Pago tarjeta"),-1,1)*C767)</f>
        <v/>
      </c>
      <c r="U767" s="20">
        <f>IF(OR(G767="",AND(I767&lt;&gt;"Transferencia",I767&lt;&gt;"Pago tarjeta")),"",IF(IFERROR(INDEX(ctaMon,MATCH(G767,ctaNom,0))&amp;"","DOP")=N767,C767,IF(N767="USD",C767*TasaUSD,C767/TasaUSD)))</f>
        <v/>
      </c>
      <c r="V767" s="20">
        <f>IF(I767="","",IF(IFERROR(INDEX(ctaLiq,MATCH(E767,ctaNom,0))="Sí",FALSE),IF(OR(I767="Gasto",I767="Transferencia",I767="Pago tarjeta"),-1,1)*O767,0)+IF(AND(U767&lt;&gt;"",IFERROR(INDEX(ctaLiq,MATCH(G767,ctaNom,0))="Sí",FALSE)),O767,0))</f>
        <v/>
      </c>
      <c r="W767" s="19">
        <f>IF(OR(F767="",I767=""),"",IF(COUNTIFS(F$6:F767,F767,I$6:I767,"?*")=1,MAX(W$5:W766)+1,""))</f>
        <v/>
      </c>
    </row>
    <row r="768">
      <c r="B768" s="15" t="n"/>
      <c r="C768" s="16" t="n"/>
      <c r="D768" s="17" t="n"/>
      <c r="E768" s="17" t="n"/>
      <c r="F768" s="17" t="n"/>
      <c r="G768" s="17" t="n"/>
      <c r="H768" s="18">
        <f>IF(AND(B768="",C768="",D768="",E768=""),"",IF(B768="","⚠ Falta fecha",IF(C768="","⚠ Falta monto",IF(D768="","⚠ Falta categoría",IF(ISNA(MATCH(D768,catNom,0)),"⚠ Categoría no existe",IF(E768="","⚠ Falta cuenta",IF(ISNA(MATCH(E768,ctaNom,0)),"⚠ Cuenta no existe",IF(AND(OR(I768="Transferencia",I768="Pago tarjeta"),G768=""),"⚠ Indica la cuenta «Hacia»",IF(AND(G768&lt;&gt;"",G768=E768),"⚠ «Hacia» igual a la cuenta",IF(AND(G768&lt;&gt;"",ISNA(MATCH(G768,ctaNom,0))),"⚠ «Hacia» no existe",IF(AND(I768="Pago tarjeta",IFERROR(INDEX(ctaTipo,MATCH(G768,ctaNom,0)),"")&lt;&gt;"Tarjeta de crédito"),"⚠ «Hacia» debe ser la tarjeta",IF(AND(I768="Trading",IFERROR(INDEX(ctaTipo,MATCH(E768,ctaNom,0)),"")&lt;&gt;"Cuenta de trading"),"⚠ Usa la cuenta de trading","✓"))))))))))))</f>
        <v/>
      </c>
      <c r="I768" s="19">
        <f>IF(OR(B768="",C768="",D768=""),"",IFERROR(INDEX(catTipo,MATCH(D768,catNom,0))&amp;"",""))</f>
        <v/>
      </c>
      <c r="J768" s="19">
        <f>IF(I768="","",IFERROR(INDEX(catGrupo,MATCH(D768,catNom,0))&amp;"",""))</f>
        <v/>
      </c>
      <c r="K768" s="19">
        <f>IF(I768="Gasto",IF(IFERROR(INDEX(catClas,MATCH(D768,catNom,0))&amp;"","")="","Variable",IFERROR(INDEX(catClas,MATCH(D768,catNom,0))&amp;"","")),"")</f>
        <v/>
      </c>
      <c r="L768" s="19">
        <f>IF(I768="","",IFERROR(INDEX(catAlim,MATCH(D768,catNom,0))&amp;"",""))</f>
        <v/>
      </c>
      <c r="M768" s="19">
        <f>IF(I768="","",IFERROR(INDEX(catComida,MATCH(D768,catNom,0))&amp;"",""))</f>
        <v/>
      </c>
      <c r="N768" s="19">
        <f>IF(I768="","",IFERROR(INDEX(ctaMon,MATCH(E768,ctaNom,0))&amp;"","DOP"))</f>
        <v/>
      </c>
      <c r="O768" s="20">
        <f>IF(I768="","",C768*IF(N768="USD",TasaUSD,1))</f>
        <v/>
      </c>
      <c r="P768" s="20">
        <f>IF(I768="","",IF(I768="Gasto",O768,0))</f>
        <v/>
      </c>
      <c r="Q768" s="20">
        <f>IF(I768="","",IF(I768="Ingreso",O768,0))</f>
        <v/>
      </c>
      <c r="R768" s="20">
        <f>IF(I768="","",IF(I768="Trading",O768,0))</f>
        <v/>
      </c>
      <c r="S768" s="19">
        <f>IF(I768="","",IF(AND(I768="Gasto",K768="Variable",J768&lt;&gt;"Trading",O768&gt;0,O768&lt;=Umbral),1,0))</f>
        <v/>
      </c>
      <c r="T768" s="20">
        <f>IF(OR(I768="",E768=""),"",IF(OR(I768="Gasto",I768="Transferencia",I768="Pago tarjeta"),-1,1)*C768)</f>
        <v/>
      </c>
      <c r="U768" s="20">
        <f>IF(OR(G768="",AND(I768&lt;&gt;"Transferencia",I768&lt;&gt;"Pago tarjeta")),"",IF(IFERROR(INDEX(ctaMon,MATCH(G768,ctaNom,0))&amp;"","DOP")=N768,C768,IF(N768="USD",C768*TasaUSD,C768/TasaUSD)))</f>
        <v/>
      </c>
      <c r="V768" s="20">
        <f>IF(I768="","",IF(IFERROR(INDEX(ctaLiq,MATCH(E768,ctaNom,0))="Sí",FALSE),IF(OR(I768="Gasto",I768="Transferencia",I768="Pago tarjeta"),-1,1)*O768,0)+IF(AND(U768&lt;&gt;"",IFERROR(INDEX(ctaLiq,MATCH(G768,ctaNom,0))="Sí",FALSE)),O768,0))</f>
        <v/>
      </c>
      <c r="W768" s="19">
        <f>IF(OR(F768="",I768=""),"",IF(COUNTIFS(F$6:F768,F768,I$6:I768,"?*")=1,MAX(W$5:W767)+1,""))</f>
        <v/>
      </c>
    </row>
    <row r="769">
      <c r="B769" s="15" t="n"/>
      <c r="C769" s="16" t="n"/>
      <c r="D769" s="17" t="n"/>
      <c r="E769" s="17" t="n"/>
      <c r="F769" s="17" t="n"/>
      <c r="G769" s="17" t="n"/>
      <c r="H769" s="18">
        <f>IF(AND(B769="",C769="",D769="",E769=""),"",IF(B769="","⚠ Falta fecha",IF(C769="","⚠ Falta monto",IF(D769="","⚠ Falta categoría",IF(ISNA(MATCH(D769,catNom,0)),"⚠ Categoría no existe",IF(E769="","⚠ Falta cuenta",IF(ISNA(MATCH(E769,ctaNom,0)),"⚠ Cuenta no existe",IF(AND(OR(I769="Transferencia",I769="Pago tarjeta"),G769=""),"⚠ Indica la cuenta «Hacia»",IF(AND(G769&lt;&gt;"",G769=E769),"⚠ «Hacia» igual a la cuenta",IF(AND(G769&lt;&gt;"",ISNA(MATCH(G769,ctaNom,0))),"⚠ «Hacia» no existe",IF(AND(I769="Pago tarjeta",IFERROR(INDEX(ctaTipo,MATCH(G769,ctaNom,0)),"")&lt;&gt;"Tarjeta de crédito"),"⚠ «Hacia» debe ser la tarjeta",IF(AND(I769="Trading",IFERROR(INDEX(ctaTipo,MATCH(E769,ctaNom,0)),"")&lt;&gt;"Cuenta de trading"),"⚠ Usa la cuenta de trading","✓"))))))))))))</f>
        <v/>
      </c>
      <c r="I769" s="19">
        <f>IF(OR(B769="",C769="",D769=""),"",IFERROR(INDEX(catTipo,MATCH(D769,catNom,0))&amp;"",""))</f>
        <v/>
      </c>
      <c r="J769" s="19">
        <f>IF(I769="","",IFERROR(INDEX(catGrupo,MATCH(D769,catNom,0))&amp;"",""))</f>
        <v/>
      </c>
      <c r="K769" s="19">
        <f>IF(I769="Gasto",IF(IFERROR(INDEX(catClas,MATCH(D769,catNom,0))&amp;"","")="","Variable",IFERROR(INDEX(catClas,MATCH(D769,catNom,0))&amp;"","")),"")</f>
        <v/>
      </c>
      <c r="L769" s="19">
        <f>IF(I769="","",IFERROR(INDEX(catAlim,MATCH(D769,catNom,0))&amp;"",""))</f>
        <v/>
      </c>
      <c r="M769" s="19">
        <f>IF(I769="","",IFERROR(INDEX(catComida,MATCH(D769,catNom,0))&amp;"",""))</f>
        <v/>
      </c>
      <c r="N769" s="19">
        <f>IF(I769="","",IFERROR(INDEX(ctaMon,MATCH(E769,ctaNom,0))&amp;"","DOP"))</f>
        <v/>
      </c>
      <c r="O769" s="20">
        <f>IF(I769="","",C769*IF(N769="USD",TasaUSD,1))</f>
        <v/>
      </c>
      <c r="P769" s="20">
        <f>IF(I769="","",IF(I769="Gasto",O769,0))</f>
        <v/>
      </c>
      <c r="Q769" s="20">
        <f>IF(I769="","",IF(I769="Ingreso",O769,0))</f>
        <v/>
      </c>
      <c r="R769" s="20">
        <f>IF(I769="","",IF(I769="Trading",O769,0))</f>
        <v/>
      </c>
      <c r="S769" s="19">
        <f>IF(I769="","",IF(AND(I769="Gasto",K769="Variable",J769&lt;&gt;"Trading",O769&gt;0,O769&lt;=Umbral),1,0))</f>
        <v/>
      </c>
      <c r="T769" s="20">
        <f>IF(OR(I769="",E769=""),"",IF(OR(I769="Gasto",I769="Transferencia",I769="Pago tarjeta"),-1,1)*C769)</f>
        <v/>
      </c>
      <c r="U769" s="20">
        <f>IF(OR(G769="",AND(I769&lt;&gt;"Transferencia",I769&lt;&gt;"Pago tarjeta")),"",IF(IFERROR(INDEX(ctaMon,MATCH(G769,ctaNom,0))&amp;"","DOP")=N769,C769,IF(N769="USD",C769*TasaUSD,C769/TasaUSD)))</f>
        <v/>
      </c>
      <c r="V769" s="20">
        <f>IF(I769="","",IF(IFERROR(INDEX(ctaLiq,MATCH(E769,ctaNom,0))="Sí",FALSE),IF(OR(I769="Gasto",I769="Transferencia",I769="Pago tarjeta"),-1,1)*O769,0)+IF(AND(U769&lt;&gt;"",IFERROR(INDEX(ctaLiq,MATCH(G769,ctaNom,0))="Sí",FALSE)),O769,0))</f>
        <v/>
      </c>
      <c r="W769" s="19">
        <f>IF(OR(F769="",I769=""),"",IF(COUNTIFS(F$6:F769,F769,I$6:I769,"?*")=1,MAX(W$5:W768)+1,""))</f>
        <v/>
      </c>
    </row>
    <row r="770">
      <c r="B770" s="15" t="n"/>
      <c r="C770" s="16" t="n"/>
      <c r="D770" s="17" t="n"/>
      <c r="E770" s="17" t="n"/>
      <c r="F770" s="17" t="n"/>
      <c r="G770" s="17" t="n"/>
      <c r="H770" s="18">
        <f>IF(AND(B770="",C770="",D770="",E770=""),"",IF(B770="","⚠ Falta fecha",IF(C770="","⚠ Falta monto",IF(D770="","⚠ Falta categoría",IF(ISNA(MATCH(D770,catNom,0)),"⚠ Categoría no existe",IF(E770="","⚠ Falta cuenta",IF(ISNA(MATCH(E770,ctaNom,0)),"⚠ Cuenta no existe",IF(AND(OR(I770="Transferencia",I770="Pago tarjeta"),G770=""),"⚠ Indica la cuenta «Hacia»",IF(AND(G770&lt;&gt;"",G770=E770),"⚠ «Hacia» igual a la cuenta",IF(AND(G770&lt;&gt;"",ISNA(MATCH(G770,ctaNom,0))),"⚠ «Hacia» no existe",IF(AND(I770="Pago tarjeta",IFERROR(INDEX(ctaTipo,MATCH(G770,ctaNom,0)),"")&lt;&gt;"Tarjeta de crédito"),"⚠ «Hacia» debe ser la tarjeta",IF(AND(I770="Trading",IFERROR(INDEX(ctaTipo,MATCH(E770,ctaNom,0)),"")&lt;&gt;"Cuenta de trading"),"⚠ Usa la cuenta de trading","✓"))))))))))))</f>
        <v/>
      </c>
      <c r="I770" s="19">
        <f>IF(OR(B770="",C770="",D770=""),"",IFERROR(INDEX(catTipo,MATCH(D770,catNom,0))&amp;"",""))</f>
        <v/>
      </c>
      <c r="J770" s="19">
        <f>IF(I770="","",IFERROR(INDEX(catGrupo,MATCH(D770,catNom,0))&amp;"",""))</f>
        <v/>
      </c>
      <c r="K770" s="19">
        <f>IF(I770="Gasto",IF(IFERROR(INDEX(catClas,MATCH(D770,catNom,0))&amp;"","")="","Variable",IFERROR(INDEX(catClas,MATCH(D770,catNom,0))&amp;"","")),"")</f>
        <v/>
      </c>
      <c r="L770" s="19">
        <f>IF(I770="","",IFERROR(INDEX(catAlim,MATCH(D770,catNom,0))&amp;"",""))</f>
        <v/>
      </c>
      <c r="M770" s="19">
        <f>IF(I770="","",IFERROR(INDEX(catComida,MATCH(D770,catNom,0))&amp;"",""))</f>
        <v/>
      </c>
      <c r="N770" s="19">
        <f>IF(I770="","",IFERROR(INDEX(ctaMon,MATCH(E770,ctaNom,0))&amp;"","DOP"))</f>
        <v/>
      </c>
      <c r="O770" s="20">
        <f>IF(I770="","",C770*IF(N770="USD",TasaUSD,1))</f>
        <v/>
      </c>
      <c r="P770" s="20">
        <f>IF(I770="","",IF(I770="Gasto",O770,0))</f>
        <v/>
      </c>
      <c r="Q770" s="20">
        <f>IF(I770="","",IF(I770="Ingreso",O770,0))</f>
        <v/>
      </c>
      <c r="R770" s="20">
        <f>IF(I770="","",IF(I770="Trading",O770,0))</f>
        <v/>
      </c>
      <c r="S770" s="19">
        <f>IF(I770="","",IF(AND(I770="Gasto",K770="Variable",J770&lt;&gt;"Trading",O770&gt;0,O770&lt;=Umbral),1,0))</f>
        <v/>
      </c>
      <c r="T770" s="20">
        <f>IF(OR(I770="",E770=""),"",IF(OR(I770="Gasto",I770="Transferencia",I770="Pago tarjeta"),-1,1)*C770)</f>
        <v/>
      </c>
      <c r="U770" s="20">
        <f>IF(OR(G770="",AND(I770&lt;&gt;"Transferencia",I770&lt;&gt;"Pago tarjeta")),"",IF(IFERROR(INDEX(ctaMon,MATCH(G770,ctaNom,0))&amp;"","DOP")=N770,C770,IF(N770="USD",C770*TasaUSD,C770/TasaUSD)))</f>
        <v/>
      </c>
      <c r="V770" s="20">
        <f>IF(I770="","",IF(IFERROR(INDEX(ctaLiq,MATCH(E770,ctaNom,0))="Sí",FALSE),IF(OR(I770="Gasto",I770="Transferencia",I770="Pago tarjeta"),-1,1)*O770,0)+IF(AND(U770&lt;&gt;"",IFERROR(INDEX(ctaLiq,MATCH(G770,ctaNom,0))="Sí",FALSE)),O770,0))</f>
        <v/>
      </c>
      <c r="W770" s="19">
        <f>IF(OR(F770="",I770=""),"",IF(COUNTIFS(F$6:F770,F770,I$6:I770,"?*")=1,MAX(W$5:W769)+1,""))</f>
        <v/>
      </c>
    </row>
    <row r="771">
      <c r="B771" s="15" t="n"/>
      <c r="C771" s="16" t="n"/>
      <c r="D771" s="17" t="n"/>
      <c r="E771" s="17" t="n"/>
      <c r="F771" s="17" t="n"/>
      <c r="G771" s="17" t="n"/>
      <c r="H771" s="18">
        <f>IF(AND(B771="",C771="",D771="",E771=""),"",IF(B771="","⚠ Falta fecha",IF(C771="","⚠ Falta monto",IF(D771="","⚠ Falta categoría",IF(ISNA(MATCH(D771,catNom,0)),"⚠ Categoría no existe",IF(E771="","⚠ Falta cuenta",IF(ISNA(MATCH(E771,ctaNom,0)),"⚠ Cuenta no existe",IF(AND(OR(I771="Transferencia",I771="Pago tarjeta"),G771=""),"⚠ Indica la cuenta «Hacia»",IF(AND(G771&lt;&gt;"",G771=E771),"⚠ «Hacia» igual a la cuenta",IF(AND(G771&lt;&gt;"",ISNA(MATCH(G771,ctaNom,0))),"⚠ «Hacia» no existe",IF(AND(I771="Pago tarjeta",IFERROR(INDEX(ctaTipo,MATCH(G771,ctaNom,0)),"")&lt;&gt;"Tarjeta de crédito"),"⚠ «Hacia» debe ser la tarjeta",IF(AND(I771="Trading",IFERROR(INDEX(ctaTipo,MATCH(E771,ctaNom,0)),"")&lt;&gt;"Cuenta de trading"),"⚠ Usa la cuenta de trading","✓"))))))))))))</f>
        <v/>
      </c>
      <c r="I771" s="19">
        <f>IF(OR(B771="",C771="",D771=""),"",IFERROR(INDEX(catTipo,MATCH(D771,catNom,0))&amp;"",""))</f>
        <v/>
      </c>
      <c r="J771" s="19">
        <f>IF(I771="","",IFERROR(INDEX(catGrupo,MATCH(D771,catNom,0))&amp;"",""))</f>
        <v/>
      </c>
      <c r="K771" s="19">
        <f>IF(I771="Gasto",IF(IFERROR(INDEX(catClas,MATCH(D771,catNom,0))&amp;"","")="","Variable",IFERROR(INDEX(catClas,MATCH(D771,catNom,0))&amp;"","")),"")</f>
        <v/>
      </c>
      <c r="L771" s="19">
        <f>IF(I771="","",IFERROR(INDEX(catAlim,MATCH(D771,catNom,0))&amp;"",""))</f>
        <v/>
      </c>
      <c r="M771" s="19">
        <f>IF(I771="","",IFERROR(INDEX(catComida,MATCH(D771,catNom,0))&amp;"",""))</f>
        <v/>
      </c>
      <c r="N771" s="19">
        <f>IF(I771="","",IFERROR(INDEX(ctaMon,MATCH(E771,ctaNom,0))&amp;"","DOP"))</f>
        <v/>
      </c>
      <c r="O771" s="20">
        <f>IF(I771="","",C771*IF(N771="USD",TasaUSD,1))</f>
        <v/>
      </c>
      <c r="P771" s="20">
        <f>IF(I771="","",IF(I771="Gasto",O771,0))</f>
        <v/>
      </c>
      <c r="Q771" s="20">
        <f>IF(I771="","",IF(I771="Ingreso",O771,0))</f>
        <v/>
      </c>
      <c r="R771" s="20">
        <f>IF(I771="","",IF(I771="Trading",O771,0))</f>
        <v/>
      </c>
      <c r="S771" s="19">
        <f>IF(I771="","",IF(AND(I771="Gasto",K771="Variable",J771&lt;&gt;"Trading",O771&gt;0,O771&lt;=Umbral),1,0))</f>
        <v/>
      </c>
      <c r="T771" s="20">
        <f>IF(OR(I771="",E771=""),"",IF(OR(I771="Gasto",I771="Transferencia",I771="Pago tarjeta"),-1,1)*C771)</f>
        <v/>
      </c>
      <c r="U771" s="20">
        <f>IF(OR(G771="",AND(I771&lt;&gt;"Transferencia",I771&lt;&gt;"Pago tarjeta")),"",IF(IFERROR(INDEX(ctaMon,MATCH(G771,ctaNom,0))&amp;"","DOP")=N771,C771,IF(N771="USD",C771*TasaUSD,C771/TasaUSD)))</f>
        <v/>
      </c>
      <c r="V771" s="20">
        <f>IF(I771="","",IF(IFERROR(INDEX(ctaLiq,MATCH(E771,ctaNom,0))="Sí",FALSE),IF(OR(I771="Gasto",I771="Transferencia",I771="Pago tarjeta"),-1,1)*O771,0)+IF(AND(U771&lt;&gt;"",IFERROR(INDEX(ctaLiq,MATCH(G771,ctaNom,0))="Sí",FALSE)),O771,0))</f>
        <v/>
      </c>
      <c r="W771" s="19">
        <f>IF(OR(F771="",I771=""),"",IF(COUNTIFS(F$6:F771,F771,I$6:I771,"?*")=1,MAX(W$5:W770)+1,""))</f>
        <v/>
      </c>
    </row>
    <row r="772">
      <c r="B772" s="15" t="n"/>
      <c r="C772" s="16" t="n"/>
      <c r="D772" s="17" t="n"/>
      <c r="E772" s="17" t="n"/>
      <c r="F772" s="17" t="n"/>
      <c r="G772" s="17" t="n"/>
      <c r="H772" s="18">
        <f>IF(AND(B772="",C772="",D772="",E772=""),"",IF(B772="","⚠ Falta fecha",IF(C772="","⚠ Falta monto",IF(D772="","⚠ Falta categoría",IF(ISNA(MATCH(D772,catNom,0)),"⚠ Categoría no existe",IF(E772="","⚠ Falta cuenta",IF(ISNA(MATCH(E772,ctaNom,0)),"⚠ Cuenta no existe",IF(AND(OR(I772="Transferencia",I772="Pago tarjeta"),G772=""),"⚠ Indica la cuenta «Hacia»",IF(AND(G772&lt;&gt;"",G772=E772),"⚠ «Hacia» igual a la cuenta",IF(AND(G772&lt;&gt;"",ISNA(MATCH(G772,ctaNom,0))),"⚠ «Hacia» no existe",IF(AND(I772="Pago tarjeta",IFERROR(INDEX(ctaTipo,MATCH(G772,ctaNom,0)),"")&lt;&gt;"Tarjeta de crédito"),"⚠ «Hacia» debe ser la tarjeta",IF(AND(I772="Trading",IFERROR(INDEX(ctaTipo,MATCH(E772,ctaNom,0)),"")&lt;&gt;"Cuenta de trading"),"⚠ Usa la cuenta de trading","✓"))))))))))))</f>
        <v/>
      </c>
      <c r="I772" s="19">
        <f>IF(OR(B772="",C772="",D772=""),"",IFERROR(INDEX(catTipo,MATCH(D772,catNom,0))&amp;"",""))</f>
        <v/>
      </c>
      <c r="J772" s="19">
        <f>IF(I772="","",IFERROR(INDEX(catGrupo,MATCH(D772,catNom,0))&amp;"",""))</f>
        <v/>
      </c>
      <c r="K772" s="19">
        <f>IF(I772="Gasto",IF(IFERROR(INDEX(catClas,MATCH(D772,catNom,0))&amp;"","")="","Variable",IFERROR(INDEX(catClas,MATCH(D772,catNom,0))&amp;"","")),"")</f>
        <v/>
      </c>
      <c r="L772" s="19">
        <f>IF(I772="","",IFERROR(INDEX(catAlim,MATCH(D772,catNom,0))&amp;"",""))</f>
        <v/>
      </c>
      <c r="M772" s="19">
        <f>IF(I772="","",IFERROR(INDEX(catComida,MATCH(D772,catNom,0))&amp;"",""))</f>
        <v/>
      </c>
      <c r="N772" s="19">
        <f>IF(I772="","",IFERROR(INDEX(ctaMon,MATCH(E772,ctaNom,0))&amp;"","DOP"))</f>
        <v/>
      </c>
      <c r="O772" s="20">
        <f>IF(I772="","",C772*IF(N772="USD",TasaUSD,1))</f>
        <v/>
      </c>
      <c r="P772" s="20">
        <f>IF(I772="","",IF(I772="Gasto",O772,0))</f>
        <v/>
      </c>
      <c r="Q772" s="20">
        <f>IF(I772="","",IF(I772="Ingreso",O772,0))</f>
        <v/>
      </c>
      <c r="R772" s="20">
        <f>IF(I772="","",IF(I772="Trading",O772,0))</f>
        <v/>
      </c>
      <c r="S772" s="19">
        <f>IF(I772="","",IF(AND(I772="Gasto",K772="Variable",J772&lt;&gt;"Trading",O772&gt;0,O772&lt;=Umbral),1,0))</f>
        <v/>
      </c>
      <c r="T772" s="20">
        <f>IF(OR(I772="",E772=""),"",IF(OR(I772="Gasto",I772="Transferencia",I772="Pago tarjeta"),-1,1)*C772)</f>
        <v/>
      </c>
      <c r="U772" s="20">
        <f>IF(OR(G772="",AND(I772&lt;&gt;"Transferencia",I772&lt;&gt;"Pago tarjeta")),"",IF(IFERROR(INDEX(ctaMon,MATCH(G772,ctaNom,0))&amp;"","DOP")=N772,C772,IF(N772="USD",C772*TasaUSD,C772/TasaUSD)))</f>
        <v/>
      </c>
      <c r="V772" s="20">
        <f>IF(I772="","",IF(IFERROR(INDEX(ctaLiq,MATCH(E772,ctaNom,0))="Sí",FALSE),IF(OR(I772="Gasto",I772="Transferencia",I772="Pago tarjeta"),-1,1)*O772,0)+IF(AND(U772&lt;&gt;"",IFERROR(INDEX(ctaLiq,MATCH(G772,ctaNom,0))="Sí",FALSE)),O772,0))</f>
        <v/>
      </c>
      <c r="W772" s="19">
        <f>IF(OR(F772="",I772=""),"",IF(COUNTIFS(F$6:F772,F772,I$6:I772,"?*")=1,MAX(W$5:W771)+1,""))</f>
        <v/>
      </c>
    </row>
    <row r="773">
      <c r="B773" s="15" t="n"/>
      <c r="C773" s="16" t="n"/>
      <c r="D773" s="17" t="n"/>
      <c r="E773" s="17" t="n"/>
      <c r="F773" s="17" t="n"/>
      <c r="G773" s="17" t="n"/>
      <c r="H773" s="18">
        <f>IF(AND(B773="",C773="",D773="",E773=""),"",IF(B773="","⚠ Falta fecha",IF(C773="","⚠ Falta monto",IF(D773="","⚠ Falta categoría",IF(ISNA(MATCH(D773,catNom,0)),"⚠ Categoría no existe",IF(E773="","⚠ Falta cuenta",IF(ISNA(MATCH(E773,ctaNom,0)),"⚠ Cuenta no existe",IF(AND(OR(I773="Transferencia",I773="Pago tarjeta"),G773=""),"⚠ Indica la cuenta «Hacia»",IF(AND(G773&lt;&gt;"",G773=E773),"⚠ «Hacia» igual a la cuenta",IF(AND(G773&lt;&gt;"",ISNA(MATCH(G773,ctaNom,0))),"⚠ «Hacia» no existe",IF(AND(I773="Pago tarjeta",IFERROR(INDEX(ctaTipo,MATCH(G773,ctaNom,0)),"")&lt;&gt;"Tarjeta de crédito"),"⚠ «Hacia» debe ser la tarjeta",IF(AND(I773="Trading",IFERROR(INDEX(ctaTipo,MATCH(E773,ctaNom,0)),"")&lt;&gt;"Cuenta de trading"),"⚠ Usa la cuenta de trading","✓"))))))))))))</f>
        <v/>
      </c>
      <c r="I773" s="19">
        <f>IF(OR(B773="",C773="",D773=""),"",IFERROR(INDEX(catTipo,MATCH(D773,catNom,0))&amp;"",""))</f>
        <v/>
      </c>
      <c r="J773" s="19">
        <f>IF(I773="","",IFERROR(INDEX(catGrupo,MATCH(D773,catNom,0))&amp;"",""))</f>
        <v/>
      </c>
      <c r="K773" s="19">
        <f>IF(I773="Gasto",IF(IFERROR(INDEX(catClas,MATCH(D773,catNom,0))&amp;"","")="","Variable",IFERROR(INDEX(catClas,MATCH(D773,catNom,0))&amp;"","")),"")</f>
        <v/>
      </c>
      <c r="L773" s="19">
        <f>IF(I773="","",IFERROR(INDEX(catAlim,MATCH(D773,catNom,0))&amp;"",""))</f>
        <v/>
      </c>
      <c r="M773" s="19">
        <f>IF(I773="","",IFERROR(INDEX(catComida,MATCH(D773,catNom,0))&amp;"",""))</f>
        <v/>
      </c>
      <c r="N773" s="19">
        <f>IF(I773="","",IFERROR(INDEX(ctaMon,MATCH(E773,ctaNom,0))&amp;"","DOP"))</f>
        <v/>
      </c>
      <c r="O773" s="20">
        <f>IF(I773="","",C773*IF(N773="USD",TasaUSD,1))</f>
        <v/>
      </c>
      <c r="P773" s="20">
        <f>IF(I773="","",IF(I773="Gasto",O773,0))</f>
        <v/>
      </c>
      <c r="Q773" s="20">
        <f>IF(I773="","",IF(I773="Ingreso",O773,0))</f>
        <v/>
      </c>
      <c r="R773" s="20">
        <f>IF(I773="","",IF(I773="Trading",O773,0))</f>
        <v/>
      </c>
      <c r="S773" s="19">
        <f>IF(I773="","",IF(AND(I773="Gasto",K773="Variable",J773&lt;&gt;"Trading",O773&gt;0,O773&lt;=Umbral),1,0))</f>
        <v/>
      </c>
      <c r="T773" s="20">
        <f>IF(OR(I773="",E773=""),"",IF(OR(I773="Gasto",I773="Transferencia",I773="Pago tarjeta"),-1,1)*C773)</f>
        <v/>
      </c>
      <c r="U773" s="20">
        <f>IF(OR(G773="",AND(I773&lt;&gt;"Transferencia",I773&lt;&gt;"Pago tarjeta")),"",IF(IFERROR(INDEX(ctaMon,MATCH(G773,ctaNom,0))&amp;"","DOP")=N773,C773,IF(N773="USD",C773*TasaUSD,C773/TasaUSD)))</f>
        <v/>
      </c>
      <c r="V773" s="20">
        <f>IF(I773="","",IF(IFERROR(INDEX(ctaLiq,MATCH(E773,ctaNom,0))="Sí",FALSE),IF(OR(I773="Gasto",I773="Transferencia",I773="Pago tarjeta"),-1,1)*O773,0)+IF(AND(U773&lt;&gt;"",IFERROR(INDEX(ctaLiq,MATCH(G773,ctaNom,0))="Sí",FALSE)),O773,0))</f>
        <v/>
      </c>
      <c r="W773" s="19">
        <f>IF(OR(F773="",I773=""),"",IF(COUNTIFS(F$6:F773,F773,I$6:I773,"?*")=1,MAX(W$5:W772)+1,""))</f>
        <v/>
      </c>
    </row>
    <row r="774">
      <c r="B774" s="15" t="n"/>
      <c r="C774" s="16" t="n"/>
      <c r="D774" s="17" t="n"/>
      <c r="E774" s="17" t="n"/>
      <c r="F774" s="17" t="n"/>
      <c r="G774" s="17" t="n"/>
      <c r="H774" s="18">
        <f>IF(AND(B774="",C774="",D774="",E774=""),"",IF(B774="","⚠ Falta fecha",IF(C774="","⚠ Falta monto",IF(D774="","⚠ Falta categoría",IF(ISNA(MATCH(D774,catNom,0)),"⚠ Categoría no existe",IF(E774="","⚠ Falta cuenta",IF(ISNA(MATCH(E774,ctaNom,0)),"⚠ Cuenta no existe",IF(AND(OR(I774="Transferencia",I774="Pago tarjeta"),G774=""),"⚠ Indica la cuenta «Hacia»",IF(AND(G774&lt;&gt;"",G774=E774),"⚠ «Hacia» igual a la cuenta",IF(AND(G774&lt;&gt;"",ISNA(MATCH(G774,ctaNom,0))),"⚠ «Hacia» no existe",IF(AND(I774="Pago tarjeta",IFERROR(INDEX(ctaTipo,MATCH(G774,ctaNom,0)),"")&lt;&gt;"Tarjeta de crédito"),"⚠ «Hacia» debe ser la tarjeta",IF(AND(I774="Trading",IFERROR(INDEX(ctaTipo,MATCH(E774,ctaNom,0)),"")&lt;&gt;"Cuenta de trading"),"⚠ Usa la cuenta de trading","✓"))))))))))))</f>
        <v/>
      </c>
      <c r="I774" s="19">
        <f>IF(OR(B774="",C774="",D774=""),"",IFERROR(INDEX(catTipo,MATCH(D774,catNom,0))&amp;"",""))</f>
        <v/>
      </c>
      <c r="J774" s="19">
        <f>IF(I774="","",IFERROR(INDEX(catGrupo,MATCH(D774,catNom,0))&amp;"",""))</f>
        <v/>
      </c>
      <c r="K774" s="19">
        <f>IF(I774="Gasto",IF(IFERROR(INDEX(catClas,MATCH(D774,catNom,0))&amp;"","")="","Variable",IFERROR(INDEX(catClas,MATCH(D774,catNom,0))&amp;"","")),"")</f>
        <v/>
      </c>
      <c r="L774" s="19">
        <f>IF(I774="","",IFERROR(INDEX(catAlim,MATCH(D774,catNom,0))&amp;"",""))</f>
        <v/>
      </c>
      <c r="M774" s="19">
        <f>IF(I774="","",IFERROR(INDEX(catComida,MATCH(D774,catNom,0))&amp;"",""))</f>
        <v/>
      </c>
      <c r="N774" s="19">
        <f>IF(I774="","",IFERROR(INDEX(ctaMon,MATCH(E774,ctaNom,0))&amp;"","DOP"))</f>
        <v/>
      </c>
      <c r="O774" s="20">
        <f>IF(I774="","",C774*IF(N774="USD",TasaUSD,1))</f>
        <v/>
      </c>
      <c r="P774" s="20">
        <f>IF(I774="","",IF(I774="Gasto",O774,0))</f>
        <v/>
      </c>
      <c r="Q774" s="20">
        <f>IF(I774="","",IF(I774="Ingreso",O774,0))</f>
        <v/>
      </c>
      <c r="R774" s="20">
        <f>IF(I774="","",IF(I774="Trading",O774,0))</f>
        <v/>
      </c>
      <c r="S774" s="19">
        <f>IF(I774="","",IF(AND(I774="Gasto",K774="Variable",J774&lt;&gt;"Trading",O774&gt;0,O774&lt;=Umbral),1,0))</f>
        <v/>
      </c>
      <c r="T774" s="20">
        <f>IF(OR(I774="",E774=""),"",IF(OR(I774="Gasto",I774="Transferencia",I774="Pago tarjeta"),-1,1)*C774)</f>
        <v/>
      </c>
      <c r="U774" s="20">
        <f>IF(OR(G774="",AND(I774&lt;&gt;"Transferencia",I774&lt;&gt;"Pago tarjeta")),"",IF(IFERROR(INDEX(ctaMon,MATCH(G774,ctaNom,0))&amp;"","DOP")=N774,C774,IF(N774="USD",C774*TasaUSD,C774/TasaUSD)))</f>
        <v/>
      </c>
      <c r="V774" s="20">
        <f>IF(I774="","",IF(IFERROR(INDEX(ctaLiq,MATCH(E774,ctaNom,0))="Sí",FALSE),IF(OR(I774="Gasto",I774="Transferencia",I774="Pago tarjeta"),-1,1)*O774,0)+IF(AND(U774&lt;&gt;"",IFERROR(INDEX(ctaLiq,MATCH(G774,ctaNom,0))="Sí",FALSE)),O774,0))</f>
        <v/>
      </c>
      <c r="W774" s="19">
        <f>IF(OR(F774="",I774=""),"",IF(COUNTIFS(F$6:F774,F774,I$6:I774,"?*")=1,MAX(W$5:W773)+1,""))</f>
        <v/>
      </c>
    </row>
    <row r="775">
      <c r="B775" s="15" t="n"/>
      <c r="C775" s="16" t="n"/>
      <c r="D775" s="17" t="n"/>
      <c r="E775" s="17" t="n"/>
      <c r="F775" s="17" t="n"/>
      <c r="G775" s="17" t="n"/>
      <c r="H775" s="18">
        <f>IF(AND(B775="",C775="",D775="",E775=""),"",IF(B775="","⚠ Falta fecha",IF(C775="","⚠ Falta monto",IF(D775="","⚠ Falta categoría",IF(ISNA(MATCH(D775,catNom,0)),"⚠ Categoría no existe",IF(E775="","⚠ Falta cuenta",IF(ISNA(MATCH(E775,ctaNom,0)),"⚠ Cuenta no existe",IF(AND(OR(I775="Transferencia",I775="Pago tarjeta"),G775=""),"⚠ Indica la cuenta «Hacia»",IF(AND(G775&lt;&gt;"",G775=E775),"⚠ «Hacia» igual a la cuenta",IF(AND(G775&lt;&gt;"",ISNA(MATCH(G775,ctaNom,0))),"⚠ «Hacia» no existe",IF(AND(I775="Pago tarjeta",IFERROR(INDEX(ctaTipo,MATCH(G775,ctaNom,0)),"")&lt;&gt;"Tarjeta de crédito"),"⚠ «Hacia» debe ser la tarjeta",IF(AND(I775="Trading",IFERROR(INDEX(ctaTipo,MATCH(E775,ctaNom,0)),"")&lt;&gt;"Cuenta de trading"),"⚠ Usa la cuenta de trading","✓"))))))))))))</f>
        <v/>
      </c>
      <c r="I775" s="19">
        <f>IF(OR(B775="",C775="",D775=""),"",IFERROR(INDEX(catTipo,MATCH(D775,catNom,0))&amp;"",""))</f>
        <v/>
      </c>
      <c r="J775" s="19">
        <f>IF(I775="","",IFERROR(INDEX(catGrupo,MATCH(D775,catNom,0))&amp;"",""))</f>
        <v/>
      </c>
      <c r="K775" s="19">
        <f>IF(I775="Gasto",IF(IFERROR(INDEX(catClas,MATCH(D775,catNom,0))&amp;"","")="","Variable",IFERROR(INDEX(catClas,MATCH(D775,catNom,0))&amp;"","")),"")</f>
        <v/>
      </c>
      <c r="L775" s="19">
        <f>IF(I775="","",IFERROR(INDEX(catAlim,MATCH(D775,catNom,0))&amp;"",""))</f>
        <v/>
      </c>
      <c r="M775" s="19">
        <f>IF(I775="","",IFERROR(INDEX(catComida,MATCH(D775,catNom,0))&amp;"",""))</f>
        <v/>
      </c>
      <c r="N775" s="19">
        <f>IF(I775="","",IFERROR(INDEX(ctaMon,MATCH(E775,ctaNom,0))&amp;"","DOP"))</f>
        <v/>
      </c>
      <c r="O775" s="20">
        <f>IF(I775="","",C775*IF(N775="USD",TasaUSD,1))</f>
        <v/>
      </c>
      <c r="P775" s="20">
        <f>IF(I775="","",IF(I775="Gasto",O775,0))</f>
        <v/>
      </c>
      <c r="Q775" s="20">
        <f>IF(I775="","",IF(I775="Ingreso",O775,0))</f>
        <v/>
      </c>
      <c r="R775" s="20">
        <f>IF(I775="","",IF(I775="Trading",O775,0))</f>
        <v/>
      </c>
      <c r="S775" s="19">
        <f>IF(I775="","",IF(AND(I775="Gasto",K775="Variable",J775&lt;&gt;"Trading",O775&gt;0,O775&lt;=Umbral),1,0))</f>
        <v/>
      </c>
      <c r="T775" s="20">
        <f>IF(OR(I775="",E775=""),"",IF(OR(I775="Gasto",I775="Transferencia",I775="Pago tarjeta"),-1,1)*C775)</f>
        <v/>
      </c>
      <c r="U775" s="20">
        <f>IF(OR(G775="",AND(I775&lt;&gt;"Transferencia",I775&lt;&gt;"Pago tarjeta")),"",IF(IFERROR(INDEX(ctaMon,MATCH(G775,ctaNom,0))&amp;"","DOP")=N775,C775,IF(N775="USD",C775*TasaUSD,C775/TasaUSD)))</f>
        <v/>
      </c>
      <c r="V775" s="20">
        <f>IF(I775="","",IF(IFERROR(INDEX(ctaLiq,MATCH(E775,ctaNom,0))="Sí",FALSE),IF(OR(I775="Gasto",I775="Transferencia",I775="Pago tarjeta"),-1,1)*O775,0)+IF(AND(U775&lt;&gt;"",IFERROR(INDEX(ctaLiq,MATCH(G775,ctaNom,0))="Sí",FALSE)),O775,0))</f>
        <v/>
      </c>
      <c r="W775" s="19">
        <f>IF(OR(F775="",I775=""),"",IF(COUNTIFS(F$6:F775,F775,I$6:I775,"?*")=1,MAX(W$5:W774)+1,""))</f>
        <v/>
      </c>
    </row>
    <row r="776">
      <c r="B776" s="15" t="n"/>
      <c r="C776" s="16" t="n"/>
      <c r="D776" s="17" t="n"/>
      <c r="E776" s="17" t="n"/>
      <c r="F776" s="17" t="n"/>
      <c r="G776" s="17" t="n"/>
      <c r="H776" s="18">
        <f>IF(AND(B776="",C776="",D776="",E776=""),"",IF(B776="","⚠ Falta fecha",IF(C776="","⚠ Falta monto",IF(D776="","⚠ Falta categoría",IF(ISNA(MATCH(D776,catNom,0)),"⚠ Categoría no existe",IF(E776="","⚠ Falta cuenta",IF(ISNA(MATCH(E776,ctaNom,0)),"⚠ Cuenta no existe",IF(AND(OR(I776="Transferencia",I776="Pago tarjeta"),G776=""),"⚠ Indica la cuenta «Hacia»",IF(AND(G776&lt;&gt;"",G776=E776),"⚠ «Hacia» igual a la cuenta",IF(AND(G776&lt;&gt;"",ISNA(MATCH(G776,ctaNom,0))),"⚠ «Hacia» no existe",IF(AND(I776="Pago tarjeta",IFERROR(INDEX(ctaTipo,MATCH(G776,ctaNom,0)),"")&lt;&gt;"Tarjeta de crédito"),"⚠ «Hacia» debe ser la tarjeta",IF(AND(I776="Trading",IFERROR(INDEX(ctaTipo,MATCH(E776,ctaNom,0)),"")&lt;&gt;"Cuenta de trading"),"⚠ Usa la cuenta de trading","✓"))))))))))))</f>
        <v/>
      </c>
      <c r="I776" s="19">
        <f>IF(OR(B776="",C776="",D776=""),"",IFERROR(INDEX(catTipo,MATCH(D776,catNom,0))&amp;"",""))</f>
        <v/>
      </c>
      <c r="J776" s="19">
        <f>IF(I776="","",IFERROR(INDEX(catGrupo,MATCH(D776,catNom,0))&amp;"",""))</f>
        <v/>
      </c>
      <c r="K776" s="19">
        <f>IF(I776="Gasto",IF(IFERROR(INDEX(catClas,MATCH(D776,catNom,0))&amp;"","")="","Variable",IFERROR(INDEX(catClas,MATCH(D776,catNom,0))&amp;"","")),"")</f>
        <v/>
      </c>
      <c r="L776" s="19">
        <f>IF(I776="","",IFERROR(INDEX(catAlim,MATCH(D776,catNom,0))&amp;"",""))</f>
        <v/>
      </c>
      <c r="M776" s="19">
        <f>IF(I776="","",IFERROR(INDEX(catComida,MATCH(D776,catNom,0))&amp;"",""))</f>
        <v/>
      </c>
      <c r="N776" s="19">
        <f>IF(I776="","",IFERROR(INDEX(ctaMon,MATCH(E776,ctaNom,0))&amp;"","DOP"))</f>
        <v/>
      </c>
      <c r="O776" s="20">
        <f>IF(I776="","",C776*IF(N776="USD",TasaUSD,1))</f>
        <v/>
      </c>
      <c r="P776" s="20">
        <f>IF(I776="","",IF(I776="Gasto",O776,0))</f>
        <v/>
      </c>
      <c r="Q776" s="20">
        <f>IF(I776="","",IF(I776="Ingreso",O776,0))</f>
        <v/>
      </c>
      <c r="R776" s="20">
        <f>IF(I776="","",IF(I776="Trading",O776,0))</f>
        <v/>
      </c>
      <c r="S776" s="19">
        <f>IF(I776="","",IF(AND(I776="Gasto",K776="Variable",J776&lt;&gt;"Trading",O776&gt;0,O776&lt;=Umbral),1,0))</f>
        <v/>
      </c>
      <c r="T776" s="20">
        <f>IF(OR(I776="",E776=""),"",IF(OR(I776="Gasto",I776="Transferencia",I776="Pago tarjeta"),-1,1)*C776)</f>
        <v/>
      </c>
      <c r="U776" s="20">
        <f>IF(OR(G776="",AND(I776&lt;&gt;"Transferencia",I776&lt;&gt;"Pago tarjeta")),"",IF(IFERROR(INDEX(ctaMon,MATCH(G776,ctaNom,0))&amp;"","DOP")=N776,C776,IF(N776="USD",C776*TasaUSD,C776/TasaUSD)))</f>
        <v/>
      </c>
      <c r="V776" s="20">
        <f>IF(I776="","",IF(IFERROR(INDEX(ctaLiq,MATCH(E776,ctaNom,0))="Sí",FALSE),IF(OR(I776="Gasto",I776="Transferencia",I776="Pago tarjeta"),-1,1)*O776,0)+IF(AND(U776&lt;&gt;"",IFERROR(INDEX(ctaLiq,MATCH(G776,ctaNom,0))="Sí",FALSE)),O776,0))</f>
        <v/>
      </c>
      <c r="W776" s="19">
        <f>IF(OR(F776="",I776=""),"",IF(COUNTIFS(F$6:F776,F776,I$6:I776,"?*")=1,MAX(W$5:W775)+1,""))</f>
        <v/>
      </c>
    </row>
    <row r="777">
      <c r="B777" s="15" t="n"/>
      <c r="C777" s="16" t="n"/>
      <c r="D777" s="17" t="n"/>
      <c r="E777" s="17" t="n"/>
      <c r="F777" s="17" t="n"/>
      <c r="G777" s="17" t="n"/>
      <c r="H777" s="18">
        <f>IF(AND(B777="",C777="",D777="",E777=""),"",IF(B777="","⚠ Falta fecha",IF(C777="","⚠ Falta monto",IF(D777="","⚠ Falta categoría",IF(ISNA(MATCH(D777,catNom,0)),"⚠ Categoría no existe",IF(E777="","⚠ Falta cuenta",IF(ISNA(MATCH(E777,ctaNom,0)),"⚠ Cuenta no existe",IF(AND(OR(I777="Transferencia",I777="Pago tarjeta"),G777=""),"⚠ Indica la cuenta «Hacia»",IF(AND(G777&lt;&gt;"",G777=E777),"⚠ «Hacia» igual a la cuenta",IF(AND(G777&lt;&gt;"",ISNA(MATCH(G777,ctaNom,0))),"⚠ «Hacia» no existe",IF(AND(I777="Pago tarjeta",IFERROR(INDEX(ctaTipo,MATCH(G777,ctaNom,0)),"")&lt;&gt;"Tarjeta de crédito"),"⚠ «Hacia» debe ser la tarjeta",IF(AND(I777="Trading",IFERROR(INDEX(ctaTipo,MATCH(E777,ctaNom,0)),"")&lt;&gt;"Cuenta de trading"),"⚠ Usa la cuenta de trading","✓"))))))))))))</f>
        <v/>
      </c>
      <c r="I777" s="19">
        <f>IF(OR(B777="",C777="",D777=""),"",IFERROR(INDEX(catTipo,MATCH(D777,catNom,0))&amp;"",""))</f>
        <v/>
      </c>
      <c r="J777" s="19">
        <f>IF(I777="","",IFERROR(INDEX(catGrupo,MATCH(D777,catNom,0))&amp;"",""))</f>
        <v/>
      </c>
      <c r="K777" s="19">
        <f>IF(I777="Gasto",IF(IFERROR(INDEX(catClas,MATCH(D777,catNom,0))&amp;"","")="","Variable",IFERROR(INDEX(catClas,MATCH(D777,catNom,0))&amp;"","")),"")</f>
        <v/>
      </c>
      <c r="L777" s="19">
        <f>IF(I777="","",IFERROR(INDEX(catAlim,MATCH(D777,catNom,0))&amp;"",""))</f>
        <v/>
      </c>
      <c r="M777" s="19">
        <f>IF(I777="","",IFERROR(INDEX(catComida,MATCH(D777,catNom,0))&amp;"",""))</f>
        <v/>
      </c>
      <c r="N777" s="19">
        <f>IF(I777="","",IFERROR(INDEX(ctaMon,MATCH(E777,ctaNom,0))&amp;"","DOP"))</f>
        <v/>
      </c>
      <c r="O777" s="20">
        <f>IF(I777="","",C777*IF(N777="USD",TasaUSD,1))</f>
        <v/>
      </c>
      <c r="P777" s="20">
        <f>IF(I777="","",IF(I777="Gasto",O777,0))</f>
        <v/>
      </c>
      <c r="Q777" s="20">
        <f>IF(I777="","",IF(I777="Ingreso",O777,0))</f>
        <v/>
      </c>
      <c r="R777" s="20">
        <f>IF(I777="","",IF(I777="Trading",O777,0))</f>
        <v/>
      </c>
      <c r="S777" s="19">
        <f>IF(I777="","",IF(AND(I777="Gasto",K777="Variable",J777&lt;&gt;"Trading",O777&gt;0,O777&lt;=Umbral),1,0))</f>
        <v/>
      </c>
      <c r="T777" s="20">
        <f>IF(OR(I777="",E777=""),"",IF(OR(I777="Gasto",I777="Transferencia",I777="Pago tarjeta"),-1,1)*C777)</f>
        <v/>
      </c>
      <c r="U777" s="20">
        <f>IF(OR(G777="",AND(I777&lt;&gt;"Transferencia",I777&lt;&gt;"Pago tarjeta")),"",IF(IFERROR(INDEX(ctaMon,MATCH(G777,ctaNom,0))&amp;"","DOP")=N777,C777,IF(N777="USD",C777*TasaUSD,C777/TasaUSD)))</f>
        <v/>
      </c>
      <c r="V777" s="20">
        <f>IF(I777="","",IF(IFERROR(INDEX(ctaLiq,MATCH(E777,ctaNom,0))="Sí",FALSE),IF(OR(I777="Gasto",I777="Transferencia",I777="Pago tarjeta"),-1,1)*O777,0)+IF(AND(U777&lt;&gt;"",IFERROR(INDEX(ctaLiq,MATCH(G777,ctaNom,0))="Sí",FALSE)),O777,0))</f>
        <v/>
      </c>
      <c r="W777" s="19">
        <f>IF(OR(F777="",I777=""),"",IF(COUNTIFS(F$6:F777,F777,I$6:I777,"?*")=1,MAX(W$5:W776)+1,""))</f>
        <v/>
      </c>
    </row>
    <row r="778">
      <c r="B778" s="15" t="n"/>
      <c r="C778" s="16" t="n"/>
      <c r="D778" s="17" t="n"/>
      <c r="E778" s="17" t="n"/>
      <c r="F778" s="17" t="n"/>
      <c r="G778" s="17" t="n"/>
      <c r="H778" s="18">
        <f>IF(AND(B778="",C778="",D778="",E778=""),"",IF(B778="","⚠ Falta fecha",IF(C778="","⚠ Falta monto",IF(D778="","⚠ Falta categoría",IF(ISNA(MATCH(D778,catNom,0)),"⚠ Categoría no existe",IF(E778="","⚠ Falta cuenta",IF(ISNA(MATCH(E778,ctaNom,0)),"⚠ Cuenta no existe",IF(AND(OR(I778="Transferencia",I778="Pago tarjeta"),G778=""),"⚠ Indica la cuenta «Hacia»",IF(AND(G778&lt;&gt;"",G778=E778),"⚠ «Hacia» igual a la cuenta",IF(AND(G778&lt;&gt;"",ISNA(MATCH(G778,ctaNom,0))),"⚠ «Hacia» no existe",IF(AND(I778="Pago tarjeta",IFERROR(INDEX(ctaTipo,MATCH(G778,ctaNom,0)),"")&lt;&gt;"Tarjeta de crédito"),"⚠ «Hacia» debe ser la tarjeta",IF(AND(I778="Trading",IFERROR(INDEX(ctaTipo,MATCH(E778,ctaNom,0)),"")&lt;&gt;"Cuenta de trading"),"⚠ Usa la cuenta de trading","✓"))))))))))))</f>
        <v/>
      </c>
      <c r="I778" s="19">
        <f>IF(OR(B778="",C778="",D778=""),"",IFERROR(INDEX(catTipo,MATCH(D778,catNom,0))&amp;"",""))</f>
        <v/>
      </c>
      <c r="J778" s="19">
        <f>IF(I778="","",IFERROR(INDEX(catGrupo,MATCH(D778,catNom,0))&amp;"",""))</f>
        <v/>
      </c>
      <c r="K778" s="19">
        <f>IF(I778="Gasto",IF(IFERROR(INDEX(catClas,MATCH(D778,catNom,0))&amp;"","")="","Variable",IFERROR(INDEX(catClas,MATCH(D778,catNom,0))&amp;"","")),"")</f>
        <v/>
      </c>
      <c r="L778" s="19">
        <f>IF(I778="","",IFERROR(INDEX(catAlim,MATCH(D778,catNom,0))&amp;"",""))</f>
        <v/>
      </c>
      <c r="M778" s="19">
        <f>IF(I778="","",IFERROR(INDEX(catComida,MATCH(D778,catNom,0))&amp;"",""))</f>
        <v/>
      </c>
      <c r="N778" s="19">
        <f>IF(I778="","",IFERROR(INDEX(ctaMon,MATCH(E778,ctaNom,0))&amp;"","DOP"))</f>
        <v/>
      </c>
      <c r="O778" s="20">
        <f>IF(I778="","",C778*IF(N778="USD",TasaUSD,1))</f>
        <v/>
      </c>
      <c r="P778" s="20">
        <f>IF(I778="","",IF(I778="Gasto",O778,0))</f>
        <v/>
      </c>
      <c r="Q778" s="20">
        <f>IF(I778="","",IF(I778="Ingreso",O778,0))</f>
        <v/>
      </c>
      <c r="R778" s="20">
        <f>IF(I778="","",IF(I778="Trading",O778,0))</f>
        <v/>
      </c>
      <c r="S778" s="19">
        <f>IF(I778="","",IF(AND(I778="Gasto",K778="Variable",J778&lt;&gt;"Trading",O778&gt;0,O778&lt;=Umbral),1,0))</f>
        <v/>
      </c>
      <c r="T778" s="20">
        <f>IF(OR(I778="",E778=""),"",IF(OR(I778="Gasto",I778="Transferencia",I778="Pago tarjeta"),-1,1)*C778)</f>
        <v/>
      </c>
      <c r="U778" s="20">
        <f>IF(OR(G778="",AND(I778&lt;&gt;"Transferencia",I778&lt;&gt;"Pago tarjeta")),"",IF(IFERROR(INDEX(ctaMon,MATCH(G778,ctaNom,0))&amp;"","DOP")=N778,C778,IF(N778="USD",C778*TasaUSD,C778/TasaUSD)))</f>
        <v/>
      </c>
      <c r="V778" s="20">
        <f>IF(I778="","",IF(IFERROR(INDEX(ctaLiq,MATCH(E778,ctaNom,0))="Sí",FALSE),IF(OR(I778="Gasto",I778="Transferencia",I778="Pago tarjeta"),-1,1)*O778,0)+IF(AND(U778&lt;&gt;"",IFERROR(INDEX(ctaLiq,MATCH(G778,ctaNom,0))="Sí",FALSE)),O778,0))</f>
        <v/>
      </c>
      <c r="W778" s="19">
        <f>IF(OR(F778="",I778=""),"",IF(COUNTIFS(F$6:F778,F778,I$6:I778,"?*")=1,MAX(W$5:W777)+1,""))</f>
        <v/>
      </c>
    </row>
    <row r="779">
      <c r="B779" s="15" t="n"/>
      <c r="C779" s="16" t="n"/>
      <c r="D779" s="17" t="n"/>
      <c r="E779" s="17" t="n"/>
      <c r="F779" s="17" t="n"/>
      <c r="G779" s="17" t="n"/>
      <c r="H779" s="18">
        <f>IF(AND(B779="",C779="",D779="",E779=""),"",IF(B779="","⚠ Falta fecha",IF(C779="","⚠ Falta monto",IF(D779="","⚠ Falta categoría",IF(ISNA(MATCH(D779,catNom,0)),"⚠ Categoría no existe",IF(E779="","⚠ Falta cuenta",IF(ISNA(MATCH(E779,ctaNom,0)),"⚠ Cuenta no existe",IF(AND(OR(I779="Transferencia",I779="Pago tarjeta"),G779=""),"⚠ Indica la cuenta «Hacia»",IF(AND(G779&lt;&gt;"",G779=E779),"⚠ «Hacia» igual a la cuenta",IF(AND(G779&lt;&gt;"",ISNA(MATCH(G779,ctaNom,0))),"⚠ «Hacia» no existe",IF(AND(I779="Pago tarjeta",IFERROR(INDEX(ctaTipo,MATCH(G779,ctaNom,0)),"")&lt;&gt;"Tarjeta de crédito"),"⚠ «Hacia» debe ser la tarjeta",IF(AND(I779="Trading",IFERROR(INDEX(ctaTipo,MATCH(E779,ctaNom,0)),"")&lt;&gt;"Cuenta de trading"),"⚠ Usa la cuenta de trading","✓"))))))))))))</f>
        <v/>
      </c>
      <c r="I779" s="19">
        <f>IF(OR(B779="",C779="",D779=""),"",IFERROR(INDEX(catTipo,MATCH(D779,catNom,0))&amp;"",""))</f>
        <v/>
      </c>
      <c r="J779" s="19">
        <f>IF(I779="","",IFERROR(INDEX(catGrupo,MATCH(D779,catNom,0))&amp;"",""))</f>
        <v/>
      </c>
      <c r="K779" s="19">
        <f>IF(I779="Gasto",IF(IFERROR(INDEX(catClas,MATCH(D779,catNom,0))&amp;"","")="","Variable",IFERROR(INDEX(catClas,MATCH(D779,catNom,0))&amp;"","")),"")</f>
        <v/>
      </c>
      <c r="L779" s="19">
        <f>IF(I779="","",IFERROR(INDEX(catAlim,MATCH(D779,catNom,0))&amp;"",""))</f>
        <v/>
      </c>
      <c r="M779" s="19">
        <f>IF(I779="","",IFERROR(INDEX(catComida,MATCH(D779,catNom,0))&amp;"",""))</f>
        <v/>
      </c>
      <c r="N779" s="19">
        <f>IF(I779="","",IFERROR(INDEX(ctaMon,MATCH(E779,ctaNom,0))&amp;"","DOP"))</f>
        <v/>
      </c>
      <c r="O779" s="20">
        <f>IF(I779="","",C779*IF(N779="USD",TasaUSD,1))</f>
        <v/>
      </c>
      <c r="P779" s="20">
        <f>IF(I779="","",IF(I779="Gasto",O779,0))</f>
        <v/>
      </c>
      <c r="Q779" s="20">
        <f>IF(I779="","",IF(I779="Ingreso",O779,0))</f>
        <v/>
      </c>
      <c r="R779" s="20">
        <f>IF(I779="","",IF(I779="Trading",O779,0))</f>
        <v/>
      </c>
      <c r="S779" s="19">
        <f>IF(I779="","",IF(AND(I779="Gasto",K779="Variable",J779&lt;&gt;"Trading",O779&gt;0,O779&lt;=Umbral),1,0))</f>
        <v/>
      </c>
      <c r="T779" s="20">
        <f>IF(OR(I779="",E779=""),"",IF(OR(I779="Gasto",I779="Transferencia",I779="Pago tarjeta"),-1,1)*C779)</f>
        <v/>
      </c>
      <c r="U779" s="20">
        <f>IF(OR(G779="",AND(I779&lt;&gt;"Transferencia",I779&lt;&gt;"Pago tarjeta")),"",IF(IFERROR(INDEX(ctaMon,MATCH(G779,ctaNom,0))&amp;"","DOP")=N779,C779,IF(N779="USD",C779*TasaUSD,C779/TasaUSD)))</f>
        <v/>
      </c>
      <c r="V779" s="20">
        <f>IF(I779="","",IF(IFERROR(INDEX(ctaLiq,MATCH(E779,ctaNom,0))="Sí",FALSE),IF(OR(I779="Gasto",I779="Transferencia",I779="Pago tarjeta"),-1,1)*O779,0)+IF(AND(U779&lt;&gt;"",IFERROR(INDEX(ctaLiq,MATCH(G779,ctaNom,0))="Sí",FALSE)),O779,0))</f>
        <v/>
      </c>
      <c r="W779" s="19">
        <f>IF(OR(F779="",I779=""),"",IF(COUNTIFS(F$6:F779,F779,I$6:I779,"?*")=1,MAX(W$5:W778)+1,""))</f>
        <v/>
      </c>
    </row>
    <row r="780">
      <c r="B780" s="15" t="n"/>
      <c r="C780" s="16" t="n"/>
      <c r="D780" s="17" t="n"/>
      <c r="E780" s="17" t="n"/>
      <c r="F780" s="17" t="n"/>
      <c r="G780" s="17" t="n"/>
      <c r="H780" s="18">
        <f>IF(AND(B780="",C780="",D780="",E780=""),"",IF(B780="","⚠ Falta fecha",IF(C780="","⚠ Falta monto",IF(D780="","⚠ Falta categoría",IF(ISNA(MATCH(D780,catNom,0)),"⚠ Categoría no existe",IF(E780="","⚠ Falta cuenta",IF(ISNA(MATCH(E780,ctaNom,0)),"⚠ Cuenta no existe",IF(AND(OR(I780="Transferencia",I780="Pago tarjeta"),G780=""),"⚠ Indica la cuenta «Hacia»",IF(AND(G780&lt;&gt;"",G780=E780),"⚠ «Hacia» igual a la cuenta",IF(AND(G780&lt;&gt;"",ISNA(MATCH(G780,ctaNom,0))),"⚠ «Hacia» no existe",IF(AND(I780="Pago tarjeta",IFERROR(INDEX(ctaTipo,MATCH(G780,ctaNom,0)),"")&lt;&gt;"Tarjeta de crédito"),"⚠ «Hacia» debe ser la tarjeta",IF(AND(I780="Trading",IFERROR(INDEX(ctaTipo,MATCH(E780,ctaNom,0)),"")&lt;&gt;"Cuenta de trading"),"⚠ Usa la cuenta de trading","✓"))))))))))))</f>
        <v/>
      </c>
      <c r="I780" s="19">
        <f>IF(OR(B780="",C780="",D780=""),"",IFERROR(INDEX(catTipo,MATCH(D780,catNom,0))&amp;"",""))</f>
        <v/>
      </c>
      <c r="J780" s="19">
        <f>IF(I780="","",IFERROR(INDEX(catGrupo,MATCH(D780,catNom,0))&amp;"",""))</f>
        <v/>
      </c>
      <c r="K780" s="19">
        <f>IF(I780="Gasto",IF(IFERROR(INDEX(catClas,MATCH(D780,catNom,0))&amp;"","")="","Variable",IFERROR(INDEX(catClas,MATCH(D780,catNom,0))&amp;"","")),"")</f>
        <v/>
      </c>
      <c r="L780" s="19">
        <f>IF(I780="","",IFERROR(INDEX(catAlim,MATCH(D780,catNom,0))&amp;"",""))</f>
        <v/>
      </c>
      <c r="M780" s="19">
        <f>IF(I780="","",IFERROR(INDEX(catComida,MATCH(D780,catNom,0))&amp;"",""))</f>
        <v/>
      </c>
      <c r="N780" s="19">
        <f>IF(I780="","",IFERROR(INDEX(ctaMon,MATCH(E780,ctaNom,0))&amp;"","DOP"))</f>
        <v/>
      </c>
      <c r="O780" s="20">
        <f>IF(I780="","",C780*IF(N780="USD",TasaUSD,1))</f>
        <v/>
      </c>
      <c r="P780" s="20">
        <f>IF(I780="","",IF(I780="Gasto",O780,0))</f>
        <v/>
      </c>
      <c r="Q780" s="20">
        <f>IF(I780="","",IF(I780="Ingreso",O780,0))</f>
        <v/>
      </c>
      <c r="R780" s="20">
        <f>IF(I780="","",IF(I780="Trading",O780,0))</f>
        <v/>
      </c>
      <c r="S780" s="19">
        <f>IF(I780="","",IF(AND(I780="Gasto",K780="Variable",J780&lt;&gt;"Trading",O780&gt;0,O780&lt;=Umbral),1,0))</f>
        <v/>
      </c>
      <c r="T780" s="20">
        <f>IF(OR(I780="",E780=""),"",IF(OR(I780="Gasto",I780="Transferencia",I780="Pago tarjeta"),-1,1)*C780)</f>
        <v/>
      </c>
      <c r="U780" s="20">
        <f>IF(OR(G780="",AND(I780&lt;&gt;"Transferencia",I780&lt;&gt;"Pago tarjeta")),"",IF(IFERROR(INDEX(ctaMon,MATCH(G780,ctaNom,0))&amp;"","DOP")=N780,C780,IF(N780="USD",C780*TasaUSD,C780/TasaUSD)))</f>
        <v/>
      </c>
      <c r="V780" s="20">
        <f>IF(I780="","",IF(IFERROR(INDEX(ctaLiq,MATCH(E780,ctaNom,0))="Sí",FALSE),IF(OR(I780="Gasto",I780="Transferencia",I780="Pago tarjeta"),-1,1)*O780,0)+IF(AND(U780&lt;&gt;"",IFERROR(INDEX(ctaLiq,MATCH(G780,ctaNom,0))="Sí",FALSE)),O780,0))</f>
        <v/>
      </c>
      <c r="W780" s="19">
        <f>IF(OR(F780="",I780=""),"",IF(COUNTIFS(F$6:F780,F780,I$6:I780,"?*")=1,MAX(W$5:W779)+1,""))</f>
        <v/>
      </c>
    </row>
    <row r="781">
      <c r="B781" s="15" t="n"/>
      <c r="C781" s="16" t="n"/>
      <c r="D781" s="17" t="n"/>
      <c r="E781" s="17" t="n"/>
      <c r="F781" s="17" t="n"/>
      <c r="G781" s="17" t="n"/>
      <c r="H781" s="18">
        <f>IF(AND(B781="",C781="",D781="",E781=""),"",IF(B781="","⚠ Falta fecha",IF(C781="","⚠ Falta monto",IF(D781="","⚠ Falta categoría",IF(ISNA(MATCH(D781,catNom,0)),"⚠ Categoría no existe",IF(E781="","⚠ Falta cuenta",IF(ISNA(MATCH(E781,ctaNom,0)),"⚠ Cuenta no existe",IF(AND(OR(I781="Transferencia",I781="Pago tarjeta"),G781=""),"⚠ Indica la cuenta «Hacia»",IF(AND(G781&lt;&gt;"",G781=E781),"⚠ «Hacia» igual a la cuenta",IF(AND(G781&lt;&gt;"",ISNA(MATCH(G781,ctaNom,0))),"⚠ «Hacia» no existe",IF(AND(I781="Pago tarjeta",IFERROR(INDEX(ctaTipo,MATCH(G781,ctaNom,0)),"")&lt;&gt;"Tarjeta de crédito"),"⚠ «Hacia» debe ser la tarjeta",IF(AND(I781="Trading",IFERROR(INDEX(ctaTipo,MATCH(E781,ctaNom,0)),"")&lt;&gt;"Cuenta de trading"),"⚠ Usa la cuenta de trading","✓"))))))))))))</f>
        <v/>
      </c>
      <c r="I781" s="19">
        <f>IF(OR(B781="",C781="",D781=""),"",IFERROR(INDEX(catTipo,MATCH(D781,catNom,0))&amp;"",""))</f>
        <v/>
      </c>
      <c r="J781" s="19">
        <f>IF(I781="","",IFERROR(INDEX(catGrupo,MATCH(D781,catNom,0))&amp;"",""))</f>
        <v/>
      </c>
      <c r="K781" s="19">
        <f>IF(I781="Gasto",IF(IFERROR(INDEX(catClas,MATCH(D781,catNom,0))&amp;"","")="","Variable",IFERROR(INDEX(catClas,MATCH(D781,catNom,0))&amp;"","")),"")</f>
        <v/>
      </c>
      <c r="L781" s="19">
        <f>IF(I781="","",IFERROR(INDEX(catAlim,MATCH(D781,catNom,0))&amp;"",""))</f>
        <v/>
      </c>
      <c r="M781" s="19">
        <f>IF(I781="","",IFERROR(INDEX(catComida,MATCH(D781,catNom,0))&amp;"",""))</f>
        <v/>
      </c>
      <c r="N781" s="19">
        <f>IF(I781="","",IFERROR(INDEX(ctaMon,MATCH(E781,ctaNom,0))&amp;"","DOP"))</f>
        <v/>
      </c>
      <c r="O781" s="20">
        <f>IF(I781="","",C781*IF(N781="USD",TasaUSD,1))</f>
        <v/>
      </c>
      <c r="P781" s="20">
        <f>IF(I781="","",IF(I781="Gasto",O781,0))</f>
        <v/>
      </c>
      <c r="Q781" s="20">
        <f>IF(I781="","",IF(I781="Ingreso",O781,0))</f>
        <v/>
      </c>
      <c r="R781" s="20">
        <f>IF(I781="","",IF(I781="Trading",O781,0))</f>
        <v/>
      </c>
      <c r="S781" s="19">
        <f>IF(I781="","",IF(AND(I781="Gasto",K781="Variable",J781&lt;&gt;"Trading",O781&gt;0,O781&lt;=Umbral),1,0))</f>
        <v/>
      </c>
      <c r="T781" s="20">
        <f>IF(OR(I781="",E781=""),"",IF(OR(I781="Gasto",I781="Transferencia",I781="Pago tarjeta"),-1,1)*C781)</f>
        <v/>
      </c>
      <c r="U781" s="20">
        <f>IF(OR(G781="",AND(I781&lt;&gt;"Transferencia",I781&lt;&gt;"Pago tarjeta")),"",IF(IFERROR(INDEX(ctaMon,MATCH(G781,ctaNom,0))&amp;"","DOP")=N781,C781,IF(N781="USD",C781*TasaUSD,C781/TasaUSD)))</f>
        <v/>
      </c>
      <c r="V781" s="20">
        <f>IF(I781="","",IF(IFERROR(INDEX(ctaLiq,MATCH(E781,ctaNom,0))="Sí",FALSE),IF(OR(I781="Gasto",I781="Transferencia",I781="Pago tarjeta"),-1,1)*O781,0)+IF(AND(U781&lt;&gt;"",IFERROR(INDEX(ctaLiq,MATCH(G781,ctaNom,0))="Sí",FALSE)),O781,0))</f>
        <v/>
      </c>
      <c r="W781" s="19">
        <f>IF(OR(F781="",I781=""),"",IF(COUNTIFS(F$6:F781,F781,I$6:I781,"?*")=1,MAX(W$5:W780)+1,""))</f>
        <v/>
      </c>
    </row>
    <row r="782">
      <c r="B782" s="15" t="n"/>
      <c r="C782" s="16" t="n"/>
      <c r="D782" s="17" t="n"/>
      <c r="E782" s="17" t="n"/>
      <c r="F782" s="17" t="n"/>
      <c r="G782" s="17" t="n"/>
      <c r="H782" s="18">
        <f>IF(AND(B782="",C782="",D782="",E782=""),"",IF(B782="","⚠ Falta fecha",IF(C782="","⚠ Falta monto",IF(D782="","⚠ Falta categoría",IF(ISNA(MATCH(D782,catNom,0)),"⚠ Categoría no existe",IF(E782="","⚠ Falta cuenta",IF(ISNA(MATCH(E782,ctaNom,0)),"⚠ Cuenta no existe",IF(AND(OR(I782="Transferencia",I782="Pago tarjeta"),G782=""),"⚠ Indica la cuenta «Hacia»",IF(AND(G782&lt;&gt;"",G782=E782),"⚠ «Hacia» igual a la cuenta",IF(AND(G782&lt;&gt;"",ISNA(MATCH(G782,ctaNom,0))),"⚠ «Hacia» no existe",IF(AND(I782="Pago tarjeta",IFERROR(INDEX(ctaTipo,MATCH(G782,ctaNom,0)),"")&lt;&gt;"Tarjeta de crédito"),"⚠ «Hacia» debe ser la tarjeta",IF(AND(I782="Trading",IFERROR(INDEX(ctaTipo,MATCH(E782,ctaNom,0)),"")&lt;&gt;"Cuenta de trading"),"⚠ Usa la cuenta de trading","✓"))))))))))))</f>
        <v/>
      </c>
      <c r="I782" s="19">
        <f>IF(OR(B782="",C782="",D782=""),"",IFERROR(INDEX(catTipo,MATCH(D782,catNom,0))&amp;"",""))</f>
        <v/>
      </c>
      <c r="J782" s="19">
        <f>IF(I782="","",IFERROR(INDEX(catGrupo,MATCH(D782,catNom,0))&amp;"",""))</f>
        <v/>
      </c>
      <c r="K782" s="19">
        <f>IF(I782="Gasto",IF(IFERROR(INDEX(catClas,MATCH(D782,catNom,0))&amp;"","")="","Variable",IFERROR(INDEX(catClas,MATCH(D782,catNom,0))&amp;"","")),"")</f>
        <v/>
      </c>
      <c r="L782" s="19">
        <f>IF(I782="","",IFERROR(INDEX(catAlim,MATCH(D782,catNom,0))&amp;"",""))</f>
        <v/>
      </c>
      <c r="M782" s="19">
        <f>IF(I782="","",IFERROR(INDEX(catComida,MATCH(D782,catNom,0))&amp;"",""))</f>
        <v/>
      </c>
      <c r="N782" s="19">
        <f>IF(I782="","",IFERROR(INDEX(ctaMon,MATCH(E782,ctaNom,0))&amp;"","DOP"))</f>
        <v/>
      </c>
      <c r="O782" s="20">
        <f>IF(I782="","",C782*IF(N782="USD",TasaUSD,1))</f>
        <v/>
      </c>
      <c r="P782" s="20">
        <f>IF(I782="","",IF(I782="Gasto",O782,0))</f>
        <v/>
      </c>
      <c r="Q782" s="20">
        <f>IF(I782="","",IF(I782="Ingreso",O782,0))</f>
        <v/>
      </c>
      <c r="R782" s="20">
        <f>IF(I782="","",IF(I782="Trading",O782,0))</f>
        <v/>
      </c>
      <c r="S782" s="19">
        <f>IF(I782="","",IF(AND(I782="Gasto",K782="Variable",J782&lt;&gt;"Trading",O782&gt;0,O782&lt;=Umbral),1,0))</f>
        <v/>
      </c>
      <c r="T782" s="20">
        <f>IF(OR(I782="",E782=""),"",IF(OR(I782="Gasto",I782="Transferencia",I782="Pago tarjeta"),-1,1)*C782)</f>
        <v/>
      </c>
      <c r="U782" s="20">
        <f>IF(OR(G782="",AND(I782&lt;&gt;"Transferencia",I782&lt;&gt;"Pago tarjeta")),"",IF(IFERROR(INDEX(ctaMon,MATCH(G782,ctaNom,0))&amp;"","DOP")=N782,C782,IF(N782="USD",C782*TasaUSD,C782/TasaUSD)))</f>
        <v/>
      </c>
      <c r="V782" s="20">
        <f>IF(I782="","",IF(IFERROR(INDEX(ctaLiq,MATCH(E782,ctaNom,0))="Sí",FALSE),IF(OR(I782="Gasto",I782="Transferencia",I782="Pago tarjeta"),-1,1)*O782,0)+IF(AND(U782&lt;&gt;"",IFERROR(INDEX(ctaLiq,MATCH(G782,ctaNom,0))="Sí",FALSE)),O782,0))</f>
        <v/>
      </c>
      <c r="W782" s="19">
        <f>IF(OR(F782="",I782=""),"",IF(COUNTIFS(F$6:F782,F782,I$6:I782,"?*")=1,MAX(W$5:W781)+1,""))</f>
        <v/>
      </c>
    </row>
    <row r="783">
      <c r="B783" s="15" t="n"/>
      <c r="C783" s="16" t="n"/>
      <c r="D783" s="17" t="n"/>
      <c r="E783" s="17" t="n"/>
      <c r="F783" s="17" t="n"/>
      <c r="G783" s="17" t="n"/>
      <c r="H783" s="18">
        <f>IF(AND(B783="",C783="",D783="",E783=""),"",IF(B783="","⚠ Falta fecha",IF(C783="","⚠ Falta monto",IF(D783="","⚠ Falta categoría",IF(ISNA(MATCH(D783,catNom,0)),"⚠ Categoría no existe",IF(E783="","⚠ Falta cuenta",IF(ISNA(MATCH(E783,ctaNom,0)),"⚠ Cuenta no existe",IF(AND(OR(I783="Transferencia",I783="Pago tarjeta"),G783=""),"⚠ Indica la cuenta «Hacia»",IF(AND(G783&lt;&gt;"",G783=E783),"⚠ «Hacia» igual a la cuenta",IF(AND(G783&lt;&gt;"",ISNA(MATCH(G783,ctaNom,0))),"⚠ «Hacia» no existe",IF(AND(I783="Pago tarjeta",IFERROR(INDEX(ctaTipo,MATCH(G783,ctaNom,0)),"")&lt;&gt;"Tarjeta de crédito"),"⚠ «Hacia» debe ser la tarjeta",IF(AND(I783="Trading",IFERROR(INDEX(ctaTipo,MATCH(E783,ctaNom,0)),"")&lt;&gt;"Cuenta de trading"),"⚠ Usa la cuenta de trading","✓"))))))))))))</f>
        <v/>
      </c>
      <c r="I783" s="19">
        <f>IF(OR(B783="",C783="",D783=""),"",IFERROR(INDEX(catTipo,MATCH(D783,catNom,0))&amp;"",""))</f>
        <v/>
      </c>
      <c r="J783" s="19">
        <f>IF(I783="","",IFERROR(INDEX(catGrupo,MATCH(D783,catNom,0))&amp;"",""))</f>
        <v/>
      </c>
      <c r="K783" s="19">
        <f>IF(I783="Gasto",IF(IFERROR(INDEX(catClas,MATCH(D783,catNom,0))&amp;"","")="","Variable",IFERROR(INDEX(catClas,MATCH(D783,catNom,0))&amp;"","")),"")</f>
        <v/>
      </c>
      <c r="L783" s="19">
        <f>IF(I783="","",IFERROR(INDEX(catAlim,MATCH(D783,catNom,0))&amp;"",""))</f>
        <v/>
      </c>
      <c r="M783" s="19">
        <f>IF(I783="","",IFERROR(INDEX(catComida,MATCH(D783,catNom,0))&amp;"",""))</f>
        <v/>
      </c>
      <c r="N783" s="19">
        <f>IF(I783="","",IFERROR(INDEX(ctaMon,MATCH(E783,ctaNom,0))&amp;"","DOP"))</f>
        <v/>
      </c>
      <c r="O783" s="20">
        <f>IF(I783="","",C783*IF(N783="USD",TasaUSD,1))</f>
        <v/>
      </c>
      <c r="P783" s="20">
        <f>IF(I783="","",IF(I783="Gasto",O783,0))</f>
        <v/>
      </c>
      <c r="Q783" s="20">
        <f>IF(I783="","",IF(I783="Ingreso",O783,0))</f>
        <v/>
      </c>
      <c r="R783" s="20">
        <f>IF(I783="","",IF(I783="Trading",O783,0))</f>
        <v/>
      </c>
      <c r="S783" s="19">
        <f>IF(I783="","",IF(AND(I783="Gasto",K783="Variable",J783&lt;&gt;"Trading",O783&gt;0,O783&lt;=Umbral),1,0))</f>
        <v/>
      </c>
      <c r="T783" s="20">
        <f>IF(OR(I783="",E783=""),"",IF(OR(I783="Gasto",I783="Transferencia",I783="Pago tarjeta"),-1,1)*C783)</f>
        <v/>
      </c>
      <c r="U783" s="20">
        <f>IF(OR(G783="",AND(I783&lt;&gt;"Transferencia",I783&lt;&gt;"Pago tarjeta")),"",IF(IFERROR(INDEX(ctaMon,MATCH(G783,ctaNom,0))&amp;"","DOP")=N783,C783,IF(N783="USD",C783*TasaUSD,C783/TasaUSD)))</f>
        <v/>
      </c>
      <c r="V783" s="20">
        <f>IF(I783="","",IF(IFERROR(INDEX(ctaLiq,MATCH(E783,ctaNom,0))="Sí",FALSE),IF(OR(I783="Gasto",I783="Transferencia",I783="Pago tarjeta"),-1,1)*O783,0)+IF(AND(U783&lt;&gt;"",IFERROR(INDEX(ctaLiq,MATCH(G783,ctaNom,0))="Sí",FALSE)),O783,0))</f>
        <v/>
      </c>
      <c r="W783" s="19">
        <f>IF(OR(F783="",I783=""),"",IF(COUNTIFS(F$6:F783,F783,I$6:I783,"?*")=1,MAX(W$5:W782)+1,""))</f>
        <v/>
      </c>
    </row>
    <row r="784">
      <c r="B784" s="15" t="n"/>
      <c r="C784" s="16" t="n"/>
      <c r="D784" s="17" t="n"/>
      <c r="E784" s="17" t="n"/>
      <c r="F784" s="17" t="n"/>
      <c r="G784" s="17" t="n"/>
      <c r="H784" s="18">
        <f>IF(AND(B784="",C784="",D784="",E784=""),"",IF(B784="","⚠ Falta fecha",IF(C784="","⚠ Falta monto",IF(D784="","⚠ Falta categoría",IF(ISNA(MATCH(D784,catNom,0)),"⚠ Categoría no existe",IF(E784="","⚠ Falta cuenta",IF(ISNA(MATCH(E784,ctaNom,0)),"⚠ Cuenta no existe",IF(AND(OR(I784="Transferencia",I784="Pago tarjeta"),G784=""),"⚠ Indica la cuenta «Hacia»",IF(AND(G784&lt;&gt;"",G784=E784),"⚠ «Hacia» igual a la cuenta",IF(AND(G784&lt;&gt;"",ISNA(MATCH(G784,ctaNom,0))),"⚠ «Hacia» no existe",IF(AND(I784="Pago tarjeta",IFERROR(INDEX(ctaTipo,MATCH(G784,ctaNom,0)),"")&lt;&gt;"Tarjeta de crédito"),"⚠ «Hacia» debe ser la tarjeta",IF(AND(I784="Trading",IFERROR(INDEX(ctaTipo,MATCH(E784,ctaNom,0)),"")&lt;&gt;"Cuenta de trading"),"⚠ Usa la cuenta de trading","✓"))))))))))))</f>
        <v/>
      </c>
      <c r="I784" s="19">
        <f>IF(OR(B784="",C784="",D784=""),"",IFERROR(INDEX(catTipo,MATCH(D784,catNom,0))&amp;"",""))</f>
        <v/>
      </c>
      <c r="J784" s="19">
        <f>IF(I784="","",IFERROR(INDEX(catGrupo,MATCH(D784,catNom,0))&amp;"",""))</f>
        <v/>
      </c>
      <c r="K784" s="19">
        <f>IF(I784="Gasto",IF(IFERROR(INDEX(catClas,MATCH(D784,catNom,0))&amp;"","")="","Variable",IFERROR(INDEX(catClas,MATCH(D784,catNom,0))&amp;"","")),"")</f>
        <v/>
      </c>
      <c r="L784" s="19">
        <f>IF(I784="","",IFERROR(INDEX(catAlim,MATCH(D784,catNom,0))&amp;"",""))</f>
        <v/>
      </c>
      <c r="M784" s="19">
        <f>IF(I784="","",IFERROR(INDEX(catComida,MATCH(D784,catNom,0))&amp;"",""))</f>
        <v/>
      </c>
      <c r="N784" s="19">
        <f>IF(I784="","",IFERROR(INDEX(ctaMon,MATCH(E784,ctaNom,0))&amp;"","DOP"))</f>
        <v/>
      </c>
      <c r="O784" s="20">
        <f>IF(I784="","",C784*IF(N784="USD",TasaUSD,1))</f>
        <v/>
      </c>
      <c r="P784" s="20">
        <f>IF(I784="","",IF(I784="Gasto",O784,0))</f>
        <v/>
      </c>
      <c r="Q784" s="20">
        <f>IF(I784="","",IF(I784="Ingreso",O784,0))</f>
        <v/>
      </c>
      <c r="R784" s="20">
        <f>IF(I784="","",IF(I784="Trading",O784,0))</f>
        <v/>
      </c>
      <c r="S784" s="19">
        <f>IF(I784="","",IF(AND(I784="Gasto",K784="Variable",J784&lt;&gt;"Trading",O784&gt;0,O784&lt;=Umbral),1,0))</f>
        <v/>
      </c>
      <c r="T784" s="20">
        <f>IF(OR(I784="",E784=""),"",IF(OR(I784="Gasto",I784="Transferencia",I784="Pago tarjeta"),-1,1)*C784)</f>
        <v/>
      </c>
      <c r="U784" s="20">
        <f>IF(OR(G784="",AND(I784&lt;&gt;"Transferencia",I784&lt;&gt;"Pago tarjeta")),"",IF(IFERROR(INDEX(ctaMon,MATCH(G784,ctaNom,0))&amp;"","DOP")=N784,C784,IF(N784="USD",C784*TasaUSD,C784/TasaUSD)))</f>
        <v/>
      </c>
      <c r="V784" s="20">
        <f>IF(I784="","",IF(IFERROR(INDEX(ctaLiq,MATCH(E784,ctaNom,0))="Sí",FALSE),IF(OR(I784="Gasto",I784="Transferencia",I784="Pago tarjeta"),-1,1)*O784,0)+IF(AND(U784&lt;&gt;"",IFERROR(INDEX(ctaLiq,MATCH(G784,ctaNom,0))="Sí",FALSE)),O784,0))</f>
        <v/>
      </c>
      <c r="W784" s="19">
        <f>IF(OR(F784="",I784=""),"",IF(COUNTIFS(F$6:F784,F784,I$6:I784,"?*")=1,MAX(W$5:W783)+1,""))</f>
        <v/>
      </c>
    </row>
    <row r="785">
      <c r="B785" s="15" t="n"/>
      <c r="C785" s="16" t="n"/>
      <c r="D785" s="17" t="n"/>
      <c r="E785" s="17" t="n"/>
      <c r="F785" s="17" t="n"/>
      <c r="G785" s="17" t="n"/>
      <c r="H785" s="18">
        <f>IF(AND(B785="",C785="",D785="",E785=""),"",IF(B785="","⚠ Falta fecha",IF(C785="","⚠ Falta monto",IF(D785="","⚠ Falta categoría",IF(ISNA(MATCH(D785,catNom,0)),"⚠ Categoría no existe",IF(E785="","⚠ Falta cuenta",IF(ISNA(MATCH(E785,ctaNom,0)),"⚠ Cuenta no existe",IF(AND(OR(I785="Transferencia",I785="Pago tarjeta"),G785=""),"⚠ Indica la cuenta «Hacia»",IF(AND(G785&lt;&gt;"",G785=E785),"⚠ «Hacia» igual a la cuenta",IF(AND(G785&lt;&gt;"",ISNA(MATCH(G785,ctaNom,0))),"⚠ «Hacia» no existe",IF(AND(I785="Pago tarjeta",IFERROR(INDEX(ctaTipo,MATCH(G785,ctaNom,0)),"")&lt;&gt;"Tarjeta de crédito"),"⚠ «Hacia» debe ser la tarjeta",IF(AND(I785="Trading",IFERROR(INDEX(ctaTipo,MATCH(E785,ctaNom,0)),"")&lt;&gt;"Cuenta de trading"),"⚠ Usa la cuenta de trading","✓"))))))))))))</f>
        <v/>
      </c>
      <c r="I785" s="19">
        <f>IF(OR(B785="",C785="",D785=""),"",IFERROR(INDEX(catTipo,MATCH(D785,catNom,0))&amp;"",""))</f>
        <v/>
      </c>
      <c r="J785" s="19">
        <f>IF(I785="","",IFERROR(INDEX(catGrupo,MATCH(D785,catNom,0))&amp;"",""))</f>
        <v/>
      </c>
      <c r="K785" s="19">
        <f>IF(I785="Gasto",IF(IFERROR(INDEX(catClas,MATCH(D785,catNom,0))&amp;"","")="","Variable",IFERROR(INDEX(catClas,MATCH(D785,catNom,0))&amp;"","")),"")</f>
        <v/>
      </c>
      <c r="L785" s="19">
        <f>IF(I785="","",IFERROR(INDEX(catAlim,MATCH(D785,catNom,0))&amp;"",""))</f>
        <v/>
      </c>
      <c r="M785" s="19">
        <f>IF(I785="","",IFERROR(INDEX(catComida,MATCH(D785,catNom,0))&amp;"",""))</f>
        <v/>
      </c>
      <c r="N785" s="19">
        <f>IF(I785="","",IFERROR(INDEX(ctaMon,MATCH(E785,ctaNom,0))&amp;"","DOP"))</f>
        <v/>
      </c>
      <c r="O785" s="20">
        <f>IF(I785="","",C785*IF(N785="USD",TasaUSD,1))</f>
        <v/>
      </c>
      <c r="P785" s="20">
        <f>IF(I785="","",IF(I785="Gasto",O785,0))</f>
        <v/>
      </c>
      <c r="Q785" s="20">
        <f>IF(I785="","",IF(I785="Ingreso",O785,0))</f>
        <v/>
      </c>
      <c r="R785" s="20">
        <f>IF(I785="","",IF(I785="Trading",O785,0))</f>
        <v/>
      </c>
      <c r="S785" s="19">
        <f>IF(I785="","",IF(AND(I785="Gasto",K785="Variable",J785&lt;&gt;"Trading",O785&gt;0,O785&lt;=Umbral),1,0))</f>
        <v/>
      </c>
      <c r="T785" s="20">
        <f>IF(OR(I785="",E785=""),"",IF(OR(I785="Gasto",I785="Transferencia",I785="Pago tarjeta"),-1,1)*C785)</f>
        <v/>
      </c>
      <c r="U785" s="20">
        <f>IF(OR(G785="",AND(I785&lt;&gt;"Transferencia",I785&lt;&gt;"Pago tarjeta")),"",IF(IFERROR(INDEX(ctaMon,MATCH(G785,ctaNom,0))&amp;"","DOP")=N785,C785,IF(N785="USD",C785*TasaUSD,C785/TasaUSD)))</f>
        <v/>
      </c>
      <c r="V785" s="20">
        <f>IF(I785="","",IF(IFERROR(INDEX(ctaLiq,MATCH(E785,ctaNom,0))="Sí",FALSE),IF(OR(I785="Gasto",I785="Transferencia",I785="Pago tarjeta"),-1,1)*O785,0)+IF(AND(U785&lt;&gt;"",IFERROR(INDEX(ctaLiq,MATCH(G785,ctaNom,0))="Sí",FALSE)),O785,0))</f>
        <v/>
      </c>
      <c r="W785" s="19">
        <f>IF(OR(F785="",I785=""),"",IF(COUNTIFS(F$6:F785,F785,I$6:I785,"?*")=1,MAX(W$5:W784)+1,""))</f>
        <v/>
      </c>
    </row>
    <row r="786">
      <c r="B786" s="15" t="n"/>
      <c r="C786" s="16" t="n"/>
      <c r="D786" s="17" t="n"/>
      <c r="E786" s="17" t="n"/>
      <c r="F786" s="17" t="n"/>
      <c r="G786" s="17" t="n"/>
      <c r="H786" s="18">
        <f>IF(AND(B786="",C786="",D786="",E786=""),"",IF(B786="","⚠ Falta fecha",IF(C786="","⚠ Falta monto",IF(D786="","⚠ Falta categoría",IF(ISNA(MATCH(D786,catNom,0)),"⚠ Categoría no existe",IF(E786="","⚠ Falta cuenta",IF(ISNA(MATCH(E786,ctaNom,0)),"⚠ Cuenta no existe",IF(AND(OR(I786="Transferencia",I786="Pago tarjeta"),G786=""),"⚠ Indica la cuenta «Hacia»",IF(AND(G786&lt;&gt;"",G786=E786),"⚠ «Hacia» igual a la cuenta",IF(AND(G786&lt;&gt;"",ISNA(MATCH(G786,ctaNom,0))),"⚠ «Hacia» no existe",IF(AND(I786="Pago tarjeta",IFERROR(INDEX(ctaTipo,MATCH(G786,ctaNom,0)),"")&lt;&gt;"Tarjeta de crédito"),"⚠ «Hacia» debe ser la tarjeta",IF(AND(I786="Trading",IFERROR(INDEX(ctaTipo,MATCH(E786,ctaNom,0)),"")&lt;&gt;"Cuenta de trading"),"⚠ Usa la cuenta de trading","✓"))))))))))))</f>
        <v/>
      </c>
      <c r="I786" s="19">
        <f>IF(OR(B786="",C786="",D786=""),"",IFERROR(INDEX(catTipo,MATCH(D786,catNom,0))&amp;"",""))</f>
        <v/>
      </c>
      <c r="J786" s="19">
        <f>IF(I786="","",IFERROR(INDEX(catGrupo,MATCH(D786,catNom,0))&amp;"",""))</f>
        <v/>
      </c>
      <c r="K786" s="19">
        <f>IF(I786="Gasto",IF(IFERROR(INDEX(catClas,MATCH(D786,catNom,0))&amp;"","")="","Variable",IFERROR(INDEX(catClas,MATCH(D786,catNom,0))&amp;"","")),"")</f>
        <v/>
      </c>
      <c r="L786" s="19">
        <f>IF(I786="","",IFERROR(INDEX(catAlim,MATCH(D786,catNom,0))&amp;"",""))</f>
        <v/>
      </c>
      <c r="M786" s="19">
        <f>IF(I786="","",IFERROR(INDEX(catComida,MATCH(D786,catNom,0))&amp;"",""))</f>
        <v/>
      </c>
      <c r="N786" s="19">
        <f>IF(I786="","",IFERROR(INDEX(ctaMon,MATCH(E786,ctaNom,0))&amp;"","DOP"))</f>
        <v/>
      </c>
      <c r="O786" s="20">
        <f>IF(I786="","",C786*IF(N786="USD",TasaUSD,1))</f>
        <v/>
      </c>
      <c r="P786" s="20">
        <f>IF(I786="","",IF(I786="Gasto",O786,0))</f>
        <v/>
      </c>
      <c r="Q786" s="20">
        <f>IF(I786="","",IF(I786="Ingreso",O786,0))</f>
        <v/>
      </c>
      <c r="R786" s="20">
        <f>IF(I786="","",IF(I786="Trading",O786,0))</f>
        <v/>
      </c>
      <c r="S786" s="19">
        <f>IF(I786="","",IF(AND(I786="Gasto",K786="Variable",J786&lt;&gt;"Trading",O786&gt;0,O786&lt;=Umbral),1,0))</f>
        <v/>
      </c>
      <c r="T786" s="20">
        <f>IF(OR(I786="",E786=""),"",IF(OR(I786="Gasto",I786="Transferencia",I786="Pago tarjeta"),-1,1)*C786)</f>
        <v/>
      </c>
      <c r="U786" s="20">
        <f>IF(OR(G786="",AND(I786&lt;&gt;"Transferencia",I786&lt;&gt;"Pago tarjeta")),"",IF(IFERROR(INDEX(ctaMon,MATCH(G786,ctaNom,0))&amp;"","DOP")=N786,C786,IF(N786="USD",C786*TasaUSD,C786/TasaUSD)))</f>
        <v/>
      </c>
      <c r="V786" s="20">
        <f>IF(I786="","",IF(IFERROR(INDEX(ctaLiq,MATCH(E786,ctaNom,0))="Sí",FALSE),IF(OR(I786="Gasto",I786="Transferencia",I786="Pago tarjeta"),-1,1)*O786,0)+IF(AND(U786&lt;&gt;"",IFERROR(INDEX(ctaLiq,MATCH(G786,ctaNom,0))="Sí",FALSE)),O786,0))</f>
        <v/>
      </c>
      <c r="W786" s="19">
        <f>IF(OR(F786="",I786=""),"",IF(COUNTIFS(F$6:F786,F786,I$6:I786,"?*")=1,MAX(W$5:W785)+1,""))</f>
        <v/>
      </c>
    </row>
    <row r="787">
      <c r="B787" s="15" t="n"/>
      <c r="C787" s="16" t="n"/>
      <c r="D787" s="17" t="n"/>
      <c r="E787" s="17" t="n"/>
      <c r="F787" s="17" t="n"/>
      <c r="G787" s="17" t="n"/>
      <c r="H787" s="18">
        <f>IF(AND(B787="",C787="",D787="",E787=""),"",IF(B787="","⚠ Falta fecha",IF(C787="","⚠ Falta monto",IF(D787="","⚠ Falta categoría",IF(ISNA(MATCH(D787,catNom,0)),"⚠ Categoría no existe",IF(E787="","⚠ Falta cuenta",IF(ISNA(MATCH(E787,ctaNom,0)),"⚠ Cuenta no existe",IF(AND(OR(I787="Transferencia",I787="Pago tarjeta"),G787=""),"⚠ Indica la cuenta «Hacia»",IF(AND(G787&lt;&gt;"",G787=E787),"⚠ «Hacia» igual a la cuenta",IF(AND(G787&lt;&gt;"",ISNA(MATCH(G787,ctaNom,0))),"⚠ «Hacia» no existe",IF(AND(I787="Pago tarjeta",IFERROR(INDEX(ctaTipo,MATCH(G787,ctaNom,0)),"")&lt;&gt;"Tarjeta de crédito"),"⚠ «Hacia» debe ser la tarjeta",IF(AND(I787="Trading",IFERROR(INDEX(ctaTipo,MATCH(E787,ctaNom,0)),"")&lt;&gt;"Cuenta de trading"),"⚠ Usa la cuenta de trading","✓"))))))))))))</f>
        <v/>
      </c>
      <c r="I787" s="19">
        <f>IF(OR(B787="",C787="",D787=""),"",IFERROR(INDEX(catTipo,MATCH(D787,catNom,0))&amp;"",""))</f>
        <v/>
      </c>
      <c r="J787" s="19">
        <f>IF(I787="","",IFERROR(INDEX(catGrupo,MATCH(D787,catNom,0))&amp;"",""))</f>
        <v/>
      </c>
      <c r="K787" s="19">
        <f>IF(I787="Gasto",IF(IFERROR(INDEX(catClas,MATCH(D787,catNom,0))&amp;"","")="","Variable",IFERROR(INDEX(catClas,MATCH(D787,catNom,0))&amp;"","")),"")</f>
        <v/>
      </c>
      <c r="L787" s="19">
        <f>IF(I787="","",IFERROR(INDEX(catAlim,MATCH(D787,catNom,0))&amp;"",""))</f>
        <v/>
      </c>
      <c r="M787" s="19">
        <f>IF(I787="","",IFERROR(INDEX(catComida,MATCH(D787,catNom,0))&amp;"",""))</f>
        <v/>
      </c>
      <c r="N787" s="19">
        <f>IF(I787="","",IFERROR(INDEX(ctaMon,MATCH(E787,ctaNom,0))&amp;"","DOP"))</f>
        <v/>
      </c>
      <c r="O787" s="20">
        <f>IF(I787="","",C787*IF(N787="USD",TasaUSD,1))</f>
        <v/>
      </c>
      <c r="P787" s="20">
        <f>IF(I787="","",IF(I787="Gasto",O787,0))</f>
        <v/>
      </c>
      <c r="Q787" s="20">
        <f>IF(I787="","",IF(I787="Ingreso",O787,0))</f>
        <v/>
      </c>
      <c r="R787" s="20">
        <f>IF(I787="","",IF(I787="Trading",O787,0))</f>
        <v/>
      </c>
      <c r="S787" s="19">
        <f>IF(I787="","",IF(AND(I787="Gasto",K787="Variable",J787&lt;&gt;"Trading",O787&gt;0,O787&lt;=Umbral),1,0))</f>
        <v/>
      </c>
      <c r="T787" s="20">
        <f>IF(OR(I787="",E787=""),"",IF(OR(I787="Gasto",I787="Transferencia",I787="Pago tarjeta"),-1,1)*C787)</f>
        <v/>
      </c>
      <c r="U787" s="20">
        <f>IF(OR(G787="",AND(I787&lt;&gt;"Transferencia",I787&lt;&gt;"Pago tarjeta")),"",IF(IFERROR(INDEX(ctaMon,MATCH(G787,ctaNom,0))&amp;"","DOP")=N787,C787,IF(N787="USD",C787*TasaUSD,C787/TasaUSD)))</f>
        <v/>
      </c>
      <c r="V787" s="20">
        <f>IF(I787="","",IF(IFERROR(INDEX(ctaLiq,MATCH(E787,ctaNom,0))="Sí",FALSE),IF(OR(I787="Gasto",I787="Transferencia",I787="Pago tarjeta"),-1,1)*O787,0)+IF(AND(U787&lt;&gt;"",IFERROR(INDEX(ctaLiq,MATCH(G787,ctaNom,0))="Sí",FALSE)),O787,0))</f>
        <v/>
      </c>
      <c r="W787" s="19">
        <f>IF(OR(F787="",I787=""),"",IF(COUNTIFS(F$6:F787,F787,I$6:I787,"?*")=1,MAX(W$5:W786)+1,""))</f>
        <v/>
      </c>
    </row>
    <row r="788">
      <c r="B788" s="15" t="n"/>
      <c r="C788" s="16" t="n"/>
      <c r="D788" s="17" t="n"/>
      <c r="E788" s="17" t="n"/>
      <c r="F788" s="17" t="n"/>
      <c r="G788" s="17" t="n"/>
      <c r="H788" s="18">
        <f>IF(AND(B788="",C788="",D788="",E788=""),"",IF(B788="","⚠ Falta fecha",IF(C788="","⚠ Falta monto",IF(D788="","⚠ Falta categoría",IF(ISNA(MATCH(D788,catNom,0)),"⚠ Categoría no existe",IF(E788="","⚠ Falta cuenta",IF(ISNA(MATCH(E788,ctaNom,0)),"⚠ Cuenta no existe",IF(AND(OR(I788="Transferencia",I788="Pago tarjeta"),G788=""),"⚠ Indica la cuenta «Hacia»",IF(AND(G788&lt;&gt;"",G788=E788),"⚠ «Hacia» igual a la cuenta",IF(AND(G788&lt;&gt;"",ISNA(MATCH(G788,ctaNom,0))),"⚠ «Hacia» no existe",IF(AND(I788="Pago tarjeta",IFERROR(INDEX(ctaTipo,MATCH(G788,ctaNom,0)),"")&lt;&gt;"Tarjeta de crédito"),"⚠ «Hacia» debe ser la tarjeta",IF(AND(I788="Trading",IFERROR(INDEX(ctaTipo,MATCH(E788,ctaNom,0)),"")&lt;&gt;"Cuenta de trading"),"⚠ Usa la cuenta de trading","✓"))))))))))))</f>
        <v/>
      </c>
      <c r="I788" s="19">
        <f>IF(OR(B788="",C788="",D788=""),"",IFERROR(INDEX(catTipo,MATCH(D788,catNom,0))&amp;"",""))</f>
        <v/>
      </c>
      <c r="J788" s="19">
        <f>IF(I788="","",IFERROR(INDEX(catGrupo,MATCH(D788,catNom,0))&amp;"",""))</f>
        <v/>
      </c>
      <c r="K788" s="19">
        <f>IF(I788="Gasto",IF(IFERROR(INDEX(catClas,MATCH(D788,catNom,0))&amp;"","")="","Variable",IFERROR(INDEX(catClas,MATCH(D788,catNom,0))&amp;"","")),"")</f>
        <v/>
      </c>
      <c r="L788" s="19">
        <f>IF(I788="","",IFERROR(INDEX(catAlim,MATCH(D788,catNom,0))&amp;"",""))</f>
        <v/>
      </c>
      <c r="M788" s="19">
        <f>IF(I788="","",IFERROR(INDEX(catComida,MATCH(D788,catNom,0))&amp;"",""))</f>
        <v/>
      </c>
      <c r="N788" s="19">
        <f>IF(I788="","",IFERROR(INDEX(ctaMon,MATCH(E788,ctaNom,0))&amp;"","DOP"))</f>
        <v/>
      </c>
      <c r="O788" s="20">
        <f>IF(I788="","",C788*IF(N788="USD",TasaUSD,1))</f>
        <v/>
      </c>
      <c r="P788" s="20">
        <f>IF(I788="","",IF(I788="Gasto",O788,0))</f>
        <v/>
      </c>
      <c r="Q788" s="20">
        <f>IF(I788="","",IF(I788="Ingreso",O788,0))</f>
        <v/>
      </c>
      <c r="R788" s="20">
        <f>IF(I788="","",IF(I788="Trading",O788,0))</f>
        <v/>
      </c>
      <c r="S788" s="19">
        <f>IF(I788="","",IF(AND(I788="Gasto",K788="Variable",J788&lt;&gt;"Trading",O788&gt;0,O788&lt;=Umbral),1,0))</f>
        <v/>
      </c>
      <c r="T788" s="20">
        <f>IF(OR(I788="",E788=""),"",IF(OR(I788="Gasto",I788="Transferencia",I788="Pago tarjeta"),-1,1)*C788)</f>
        <v/>
      </c>
      <c r="U788" s="20">
        <f>IF(OR(G788="",AND(I788&lt;&gt;"Transferencia",I788&lt;&gt;"Pago tarjeta")),"",IF(IFERROR(INDEX(ctaMon,MATCH(G788,ctaNom,0))&amp;"","DOP")=N788,C788,IF(N788="USD",C788*TasaUSD,C788/TasaUSD)))</f>
        <v/>
      </c>
      <c r="V788" s="20">
        <f>IF(I788="","",IF(IFERROR(INDEX(ctaLiq,MATCH(E788,ctaNom,0))="Sí",FALSE),IF(OR(I788="Gasto",I788="Transferencia",I788="Pago tarjeta"),-1,1)*O788,0)+IF(AND(U788&lt;&gt;"",IFERROR(INDEX(ctaLiq,MATCH(G788,ctaNom,0))="Sí",FALSE)),O788,0))</f>
        <v/>
      </c>
      <c r="W788" s="19">
        <f>IF(OR(F788="",I788=""),"",IF(COUNTIFS(F$6:F788,F788,I$6:I788,"?*")=1,MAX(W$5:W787)+1,""))</f>
        <v/>
      </c>
    </row>
    <row r="789">
      <c r="B789" s="15" t="n"/>
      <c r="C789" s="16" t="n"/>
      <c r="D789" s="17" t="n"/>
      <c r="E789" s="17" t="n"/>
      <c r="F789" s="17" t="n"/>
      <c r="G789" s="17" t="n"/>
      <c r="H789" s="18">
        <f>IF(AND(B789="",C789="",D789="",E789=""),"",IF(B789="","⚠ Falta fecha",IF(C789="","⚠ Falta monto",IF(D789="","⚠ Falta categoría",IF(ISNA(MATCH(D789,catNom,0)),"⚠ Categoría no existe",IF(E789="","⚠ Falta cuenta",IF(ISNA(MATCH(E789,ctaNom,0)),"⚠ Cuenta no existe",IF(AND(OR(I789="Transferencia",I789="Pago tarjeta"),G789=""),"⚠ Indica la cuenta «Hacia»",IF(AND(G789&lt;&gt;"",G789=E789),"⚠ «Hacia» igual a la cuenta",IF(AND(G789&lt;&gt;"",ISNA(MATCH(G789,ctaNom,0))),"⚠ «Hacia» no existe",IF(AND(I789="Pago tarjeta",IFERROR(INDEX(ctaTipo,MATCH(G789,ctaNom,0)),"")&lt;&gt;"Tarjeta de crédito"),"⚠ «Hacia» debe ser la tarjeta",IF(AND(I789="Trading",IFERROR(INDEX(ctaTipo,MATCH(E789,ctaNom,0)),"")&lt;&gt;"Cuenta de trading"),"⚠ Usa la cuenta de trading","✓"))))))))))))</f>
        <v/>
      </c>
      <c r="I789" s="19">
        <f>IF(OR(B789="",C789="",D789=""),"",IFERROR(INDEX(catTipo,MATCH(D789,catNom,0))&amp;"",""))</f>
        <v/>
      </c>
      <c r="J789" s="19">
        <f>IF(I789="","",IFERROR(INDEX(catGrupo,MATCH(D789,catNom,0))&amp;"",""))</f>
        <v/>
      </c>
      <c r="K789" s="19">
        <f>IF(I789="Gasto",IF(IFERROR(INDEX(catClas,MATCH(D789,catNom,0))&amp;"","")="","Variable",IFERROR(INDEX(catClas,MATCH(D789,catNom,0))&amp;"","")),"")</f>
        <v/>
      </c>
      <c r="L789" s="19">
        <f>IF(I789="","",IFERROR(INDEX(catAlim,MATCH(D789,catNom,0))&amp;"",""))</f>
        <v/>
      </c>
      <c r="M789" s="19">
        <f>IF(I789="","",IFERROR(INDEX(catComida,MATCH(D789,catNom,0))&amp;"",""))</f>
        <v/>
      </c>
      <c r="N789" s="19">
        <f>IF(I789="","",IFERROR(INDEX(ctaMon,MATCH(E789,ctaNom,0))&amp;"","DOP"))</f>
        <v/>
      </c>
      <c r="O789" s="20">
        <f>IF(I789="","",C789*IF(N789="USD",TasaUSD,1))</f>
        <v/>
      </c>
      <c r="P789" s="20">
        <f>IF(I789="","",IF(I789="Gasto",O789,0))</f>
        <v/>
      </c>
      <c r="Q789" s="20">
        <f>IF(I789="","",IF(I789="Ingreso",O789,0))</f>
        <v/>
      </c>
      <c r="R789" s="20">
        <f>IF(I789="","",IF(I789="Trading",O789,0))</f>
        <v/>
      </c>
      <c r="S789" s="19">
        <f>IF(I789="","",IF(AND(I789="Gasto",K789="Variable",J789&lt;&gt;"Trading",O789&gt;0,O789&lt;=Umbral),1,0))</f>
        <v/>
      </c>
      <c r="T789" s="20">
        <f>IF(OR(I789="",E789=""),"",IF(OR(I789="Gasto",I789="Transferencia",I789="Pago tarjeta"),-1,1)*C789)</f>
        <v/>
      </c>
      <c r="U789" s="20">
        <f>IF(OR(G789="",AND(I789&lt;&gt;"Transferencia",I789&lt;&gt;"Pago tarjeta")),"",IF(IFERROR(INDEX(ctaMon,MATCH(G789,ctaNom,0))&amp;"","DOP")=N789,C789,IF(N789="USD",C789*TasaUSD,C789/TasaUSD)))</f>
        <v/>
      </c>
      <c r="V789" s="20">
        <f>IF(I789="","",IF(IFERROR(INDEX(ctaLiq,MATCH(E789,ctaNom,0))="Sí",FALSE),IF(OR(I789="Gasto",I789="Transferencia",I789="Pago tarjeta"),-1,1)*O789,0)+IF(AND(U789&lt;&gt;"",IFERROR(INDEX(ctaLiq,MATCH(G789,ctaNom,0))="Sí",FALSE)),O789,0))</f>
        <v/>
      </c>
      <c r="W789" s="19">
        <f>IF(OR(F789="",I789=""),"",IF(COUNTIFS(F$6:F789,F789,I$6:I789,"?*")=1,MAX(W$5:W788)+1,""))</f>
        <v/>
      </c>
    </row>
    <row r="790">
      <c r="B790" s="15" t="n"/>
      <c r="C790" s="16" t="n"/>
      <c r="D790" s="17" t="n"/>
      <c r="E790" s="17" t="n"/>
      <c r="F790" s="17" t="n"/>
      <c r="G790" s="17" t="n"/>
      <c r="H790" s="18">
        <f>IF(AND(B790="",C790="",D790="",E790=""),"",IF(B790="","⚠ Falta fecha",IF(C790="","⚠ Falta monto",IF(D790="","⚠ Falta categoría",IF(ISNA(MATCH(D790,catNom,0)),"⚠ Categoría no existe",IF(E790="","⚠ Falta cuenta",IF(ISNA(MATCH(E790,ctaNom,0)),"⚠ Cuenta no existe",IF(AND(OR(I790="Transferencia",I790="Pago tarjeta"),G790=""),"⚠ Indica la cuenta «Hacia»",IF(AND(G790&lt;&gt;"",G790=E790),"⚠ «Hacia» igual a la cuenta",IF(AND(G790&lt;&gt;"",ISNA(MATCH(G790,ctaNom,0))),"⚠ «Hacia» no existe",IF(AND(I790="Pago tarjeta",IFERROR(INDEX(ctaTipo,MATCH(G790,ctaNom,0)),"")&lt;&gt;"Tarjeta de crédito"),"⚠ «Hacia» debe ser la tarjeta",IF(AND(I790="Trading",IFERROR(INDEX(ctaTipo,MATCH(E790,ctaNom,0)),"")&lt;&gt;"Cuenta de trading"),"⚠ Usa la cuenta de trading","✓"))))))))))))</f>
        <v/>
      </c>
      <c r="I790" s="19">
        <f>IF(OR(B790="",C790="",D790=""),"",IFERROR(INDEX(catTipo,MATCH(D790,catNom,0))&amp;"",""))</f>
        <v/>
      </c>
      <c r="J790" s="19">
        <f>IF(I790="","",IFERROR(INDEX(catGrupo,MATCH(D790,catNom,0))&amp;"",""))</f>
        <v/>
      </c>
      <c r="K790" s="19">
        <f>IF(I790="Gasto",IF(IFERROR(INDEX(catClas,MATCH(D790,catNom,0))&amp;"","")="","Variable",IFERROR(INDEX(catClas,MATCH(D790,catNom,0))&amp;"","")),"")</f>
        <v/>
      </c>
      <c r="L790" s="19">
        <f>IF(I790="","",IFERROR(INDEX(catAlim,MATCH(D790,catNom,0))&amp;"",""))</f>
        <v/>
      </c>
      <c r="M790" s="19">
        <f>IF(I790="","",IFERROR(INDEX(catComida,MATCH(D790,catNom,0))&amp;"",""))</f>
        <v/>
      </c>
      <c r="N790" s="19">
        <f>IF(I790="","",IFERROR(INDEX(ctaMon,MATCH(E790,ctaNom,0))&amp;"","DOP"))</f>
        <v/>
      </c>
      <c r="O790" s="20">
        <f>IF(I790="","",C790*IF(N790="USD",TasaUSD,1))</f>
        <v/>
      </c>
      <c r="P790" s="20">
        <f>IF(I790="","",IF(I790="Gasto",O790,0))</f>
        <v/>
      </c>
      <c r="Q790" s="20">
        <f>IF(I790="","",IF(I790="Ingreso",O790,0))</f>
        <v/>
      </c>
      <c r="R790" s="20">
        <f>IF(I790="","",IF(I790="Trading",O790,0))</f>
        <v/>
      </c>
      <c r="S790" s="19">
        <f>IF(I790="","",IF(AND(I790="Gasto",K790="Variable",J790&lt;&gt;"Trading",O790&gt;0,O790&lt;=Umbral),1,0))</f>
        <v/>
      </c>
      <c r="T790" s="20">
        <f>IF(OR(I790="",E790=""),"",IF(OR(I790="Gasto",I790="Transferencia",I790="Pago tarjeta"),-1,1)*C790)</f>
        <v/>
      </c>
      <c r="U790" s="20">
        <f>IF(OR(G790="",AND(I790&lt;&gt;"Transferencia",I790&lt;&gt;"Pago tarjeta")),"",IF(IFERROR(INDEX(ctaMon,MATCH(G790,ctaNom,0))&amp;"","DOP")=N790,C790,IF(N790="USD",C790*TasaUSD,C790/TasaUSD)))</f>
        <v/>
      </c>
      <c r="V790" s="20">
        <f>IF(I790="","",IF(IFERROR(INDEX(ctaLiq,MATCH(E790,ctaNom,0))="Sí",FALSE),IF(OR(I790="Gasto",I790="Transferencia",I790="Pago tarjeta"),-1,1)*O790,0)+IF(AND(U790&lt;&gt;"",IFERROR(INDEX(ctaLiq,MATCH(G790,ctaNom,0))="Sí",FALSE)),O790,0))</f>
        <v/>
      </c>
      <c r="W790" s="19">
        <f>IF(OR(F790="",I790=""),"",IF(COUNTIFS(F$6:F790,F790,I$6:I790,"?*")=1,MAX(W$5:W789)+1,""))</f>
        <v/>
      </c>
    </row>
    <row r="791">
      <c r="B791" s="15" t="n"/>
      <c r="C791" s="16" t="n"/>
      <c r="D791" s="17" t="n"/>
      <c r="E791" s="17" t="n"/>
      <c r="F791" s="17" t="n"/>
      <c r="G791" s="17" t="n"/>
      <c r="H791" s="18">
        <f>IF(AND(B791="",C791="",D791="",E791=""),"",IF(B791="","⚠ Falta fecha",IF(C791="","⚠ Falta monto",IF(D791="","⚠ Falta categoría",IF(ISNA(MATCH(D791,catNom,0)),"⚠ Categoría no existe",IF(E791="","⚠ Falta cuenta",IF(ISNA(MATCH(E791,ctaNom,0)),"⚠ Cuenta no existe",IF(AND(OR(I791="Transferencia",I791="Pago tarjeta"),G791=""),"⚠ Indica la cuenta «Hacia»",IF(AND(G791&lt;&gt;"",G791=E791),"⚠ «Hacia» igual a la cuenta",IF(AND(G791&lt;&gt;"",ISNA(MATCH(G791,ctaNom,0))),"⚠ «Hacia» no existe",IF(AND(I791="Pago tarjeta",IFERROR(INDEX(ctaTipo,MATCH(G791,ctaNom,0)),"")&lt;&gt;"Tarjeta de crédito"),"⚠ «Hacia» debe ser la tarjeta",IF(AND(I791="Trading",IFERROR(INDEX(ctaTipo,MATCH(E791,ctaNom,0)),"")&lt;&gt;"Cuenta de trading"),"⚠ Usa la cuenta de trading","✓"))))))))))))</f>
        <v/>
      </c>
      <c r="I791" s="19">
        <f>IF(OR(B791="",C791="",D791=""),"",IFERROR(INDEX(catTipo,MATCH(D791,catNom,0))&amp;"",""))</f>
        <v/>
      </c>
      <c r="J791" s="19">
        <f>IF(I791="","",IFERROR(INDEX(catGrupo,MATCH(D791,catNom,0))&amp;"",""))</f>
        <v/>
      </c>
      <c r="K791" s="19">
        <f>IF(I791="Gasto",IF(IFERROR(INDEX(catClas,MATCH(D791,catNom,0))&amp;"","")="","Variable",IFERROR(INDEX(catClas,MATCH(D791,catNom,0))&amp;"","")),"")</f>
        <v/>
      </c>
      <c r="L791" s="19">
        <f>IF(I791="","",IFERROR(INDEX(catAlim,MATCH(D791,catNom,0))&amp;"",""))</f>
        <v/>
      </c>
      <c r="M791" s="19">
        <f>IF(I791="","",IFERROR(INDEX(catComida,MATCH(D791,catNom,0))&amp;"",""))</f>
        <v/>
      </c>
      <c r="N791" s="19">
        <f>IF(I791="","",IFERROR(INDEX(ctaMon,MATCH(E791,ctaNom,0))&amp;"","DOP"))</f>
        <v/>
      </c>
      <c r="O791" s="20">
        <f>IF(I791="","",C791*IF(N791="USD",TasaUSD,1))</f>
        <v/>
      </c>
      <c r="P791" s="20">
        <f>IF(I791="","",IF(I791="Gasto",O791,0))</f>
        <v/>
      </c>
      <c r="Q791" s="20">
        <f>IF(I791="","",IF(I791="Ingreso",O791,0))</f>
        <v/>
      </c>
      <c r="R791" s="20">
        <f>IF(I791="","",IF(I791="Trading",O791,0))</f>
        <v/>
      </c>
      <c r="S791" s="19">
        <f>IF(I791="","",IF(AND(I791="Gasto",K791="Variable",J791&lt;&gt;"Trading",O791&gt;0,O791&lt;=Umbral),1,0))</f>
        <v/>
      </c>
      <c r="T791" s="20">
        <f>IF(OR(I791="",E791=""),"",IF(OR(I791="Gasto",I791="Transferencia",I791="Pago tarjeta"),-1,1)*C791)</f>
        <v/>
      </c>
      <c r="U791" s="20">
        <f>IF(OR(G791="",AND(I791&lt;&gt;"Transferencia",I791&lt;&gt;"Pago tarjeta")),"",IF(IFERROR(INDEX(ctaMon,MATCH(G791,ctaNom,0))&amp;"","DOP")=N791,C791,IF(N791="USD",C791*TasaUSD,C791/TasaUSD)))</f>
        <v/>
      </c>
      <c r="V791" s="20">
        <f>IF(I791="","",IF(IFERROR(INDEX(ctaLiq,MATCH(E791,ctaNom,0))="Sí",FALSE),IF(OR(I791="Gasto",I791="Transferencia",I791="Pago tarjeta"),-1,1)*O791,0)+IF(AND(U791&lt;&gt;"",IFERROR(INDEX(ctaLiq,MATCH(G791,ctaNom,0))="Sí",FALSE)),O791,0))</f>
        <v/>
      </c>
      <c r="W791" s="19">
        <f>IF(OR(F791="",I791=""),"",IF(COUNTIFS(F$6:F791,F791,I$6:I791,"?*")=1,MAX(W$5:W790)+1,""))</f>
        <v/>
      </c>
    </row>
    <row r="792">
      <c r="B792" s="15" t="n"/>
      <c r="C792" s="16" t="n"/>
      <c r="D792" s="17" t="n"/>
      <c r="E792" s="17" t="n"/>
      <c r="F792" s="17" t="n"/>
      <c r="G792" s="17" t="n"/>
      <c r="H792" s="18">
        <f>IF(AND(B792="",C792="",D792="",E792=""),"",IF(B792="","⚠ Falta fecha",IF(C792="","⚠ Falta monto",IF(D792="","⚠ Falta categoría",IF(ISNA(MATCH(D792,catNom,0)),"⚠ Categoría no existe",IF(E792="","⚠ Falta cuenta",IF(ISNA(MATCH(E792,ctaNom,0)),"⚠ Cuenta no existe",IF(AND(OR(I792="Transferencia",I792="Pago tarjeta"),G792=""),"⚠ Indica la cuenta «Hacia»",IF(AND(G792&lt;&gt;"",G792=E792),"⚠ «Hacia» igual a la cuenta",IF(AND(G792&lt;&gt;"",ISNA(MATCH(G792,ctaNom,0))),"⚠ «Hacia» no existe",IF(AND(I792="Pago tarjeta",IFERROR(INDEX(ctaTipo,MATCH(G792,ctaNom,0)),"")&lt;&gt;"Tarjeta de crédito"),"⚠ «Hacia» debe ser la tarjeta",IF(AND(I792="Trading",IFERROR(INDEX(ctaTipo,MATCH(E792,ctaNom,0)),"")&lt;&gt;"Cuenta de trading"),"⚠ Usa la cuenta de trading","✓"))))))))))))</f>
        <v/>
      </c>
      <c r="I792" s="19">
        <f>IF(OR(B792="",C792="",D792=""),"",IFERROR(INDEX(catTipo,MATCH(D792,catNom,0))&amp;"",""))</f>
        <v/>
      </c>
      <c r="J792" s="19">
        <f>IF(I792="","",IFERROR(INDEX(catGrupo,MATCH(D792,catNom,0))&amp;"",""))</f>
        <v/>
      </c>
      <c r="K792" s="19">
        <f>IF(I792="Gasto",IF(IFERROR(INDEX(catClas,MATCH(D792,catNom,0))&amp;"","")="","Variable",IFERROR(INDEX(catClas,MATCH(D792,catNom,0))&amp;"","")),"")</f>
        <v/>
      </c>
      <c r="L792" s="19">
        <f>IF(I792="","",IFERROR(INDEX(catAlim,MATCH(D792,catNom,0))&amp;"",""))</f>
        <v/>
      </c>
      <c r="M792" s="19">
        <f>IF(I792="","",IFERROR(INDEX(catComida,MATCH(D792,catNom,0))&amp;"",""))</f>
        <v/>
      </c>
      <c r="N792" s="19">
        <f>IF(I792="","",IFERROR(INDEX(ctaMon,MATCH(E792,ctaNom,0))&amp;"","DOP"))</f>
        <v/>
      </c>
      <c r="O792" s="20">
        <f>IF(I792="","",C792*IF(N792="USD",TasaUSD,1))</f>
        <v/>
      </c>
      <c r="P792" s="20">
        <f>IF(I792="","",IF(I792="Gasto",O792,0))</f>
        <v/>
      </c>
      <c r="Q792" s="20">
        <f>IF(I792="","",IF(I792="Ingreso",O792,0))</f>
        <v/>
      </c>
      <c r="R792" s="20">
        <f>IF(I792="","",IF(I792="Trading",O792,0))</f>
        <v/>
      </c>
      <c r="S792" s="19">
        <f>IF(I792="","",IF(AND(I792="Gasto",K792="Variable",J792&lt;&gt;"Trading",O792&gt;0,O792&lt;=Umbral),1,0))</f>
        <v/>
      </c>
      <c r="T792" s="20">
        <f>IF(OR(I792="",E792=""),"",IF(OR(I792="Gasto",I792="Transferencia",I792="Pago tarjeta"),-1,1)*C792)</f>
        <v/>
      </c>
      <c r="U792" s="20">
        <f>IF(OR(G792="",AND(I792&lt;&gt;"Transferencia",I792&lt;&gt;"Pago tarjeta")),"",IF(IFERROR(INDEX(ctaMon,MATCH(G792,ctaNom,0))&amp;"","DOP")=N792,C792,IF(N792="USD",C792*TasaUSD,C792/TasaUSD)))</f>
        <v/>
      </c>
      <c r="V792" s="20">
        <f>IF(I792="","",IF(IFERROR(INDEX(ctaLiq,MATCH(E792,ctaNom,0))="Sí",FALSE),IF(OR(I792="Gasto",I792="Transferencia",I792="Pago tarjeta"),-1,1)*O792,0)+IF(AND(U792&lt;&gt;"",IFERROR(INDEX(ctaLiq,MATCH(G792,ctaNom,0))="Sí",FALSE)),O792,0))</f>
        <v/>
      </c>
      <c r="W792" s="19">
        <f>IF(OR(F792="",I792=""),"",IF(COUNTIFS(F$6:F792,F792,I$6:I792,"?*")=1,MAX(W$5:W791)+1,""))</f>
        <v/>
      </c>
    </row>
    <row r="793">
      <c r="B793" s="15" t="n"/>
      <c r="C793" s="16" t="n"/>
      <c r="D793" s="17" t="n"/>
      <c r="E793" s="17" t="n"/>
      <c r="F793" s="17" t="n"/>
      <c r="G793" s="17" t="n"/>
      <c r="H793" s="18">
        <f>IF(AND(B793="",C793="",D793="",E793=""),"",IF(B793="","⚠ Falta fecha",IF(C793="","⚠ Falta monto",IF(D793="","⚠ Falta categoría",IF(ISNA(MATCH(D793,catNom,0)),"⚠ Categoría no existe",IF(E793="","⚠ Falta cuenta",IF(ISNA(MATCH(E793,ctaNom,0)),"⚠ Cuenta no existe",IF(AND(OR(I793="Transferencia",I793="Pago tarjeta"),G793=""),"⚠ Indica la cuenta «Hacia»",IF(AND(G793&lt;&gt;"",G793=E793),"⚠ «Hacia» igual a la cuenta",IF(AND(G793&lt;&gt;"",ISNA(MATCH(G793,ctaNom,0))),"⚠ «Hacia» no existe",IF(AND(I793="Pago tarjeta",IFERROR(INDEX(ctaTipo,MATCH(G793,ctaNom,0)),"")&lt;&gt;"Tarjeta de crédito"),"⚠ «Hacia» debe ser la tarjeta",IF(AND(I793="Trading",IFERROR(INDEX(ctaTipo,MATCH(E793,ctaNom,0)),"")&lt;&gt;"Cuenta de trading"),"⚠ Usa la cuenta de trading","✓"))))))))))))</f>
        <v/>
      </c>
      <c r="I793" s="19">
        <f>IF(OR(B793="",C793="",D793=""),"",IFERROR(INDEX(catTipo,MATCH(D793,catNom,0))&amp;"",""))</f>
        <v/>
      </c>
      <c r="J793" s="19">
        <f>IF(I793="","",IFERROR(INDEX(catGrupo,MATCH(D793,catNom,0))&amp;"",""))</f>
        <v/>
      </c>
      <c r="K793" s="19">
        <f>IF(I793="Gasto",IF(IFERROR(INDEX(catClas,MATCH(D793,catNom,0))&amp;"","")="","Variable",IFERROR(INDEX(catClas,MATCH(D793,catNom,0))&amp;"","")),"")</f>
        <v/>
      </c>
      <c r="L793" s="19">
        <f>IF(I793="","",IFERROR(INDEX(catAlim,MATCH(D793,catNom,0))&amp;"",""))</f>
        <v/>
      </c>
      <c r="M793" s="19">
        <f>IF(I793="","",IFERROR(INDEX(catComida,MATCH(D793,catNom,0))&amp;"",""))</f>
        <v/>
      </c>
      <c r="N793" s="19">
        <f>IF(I793="","",IFERROR(INDEX(ctaMon,MATCH(E793,ctaNom,0))&amp;"","DOP"))</f>
        <v/>
      </c>
      <c r="O793" s="20">
        <f>IF(I793="","",C793*IF(N793="USD",TasaUSD,1))</f>
        <v/>
      </c>
      <c r="P793" s="20">
        <f>IF(I793="","",IF(I793="Gasto",O793,0))</f>
        <v/>
      </c>
      <c r="Q793" s="20">
        <f>IF(I793="","",IF(I793="Ingreso",O793,0))</f>
        <v/>
      </c>
      <c r="R793" s="20">
        <f>IF(I793="","",IF(I793="Trading",O793,0))</f>
        <v/>
      </c>
      <c r="S793" s="19">
        <f>IF(I793="","",IF(AND(I793="Gasto",K793="Variable",J793&lt;&gt;"Trading",O793&gt;0,O793&lt;=Umbral),1,0))</f>
        <v/>
      </c>
      <c r="T793" s="20">
        <f>IF(OR(I793="",E793=""),"",IF(OR(I793="Gasto",I793="Transferencia",I793="Pago tarjeta"),-1,1)*C793)</f>
        <v/>
      </c>
      <c r="U793" s="20">
        <f>IF(OR(G793="",AND(I793&lt;&gt;"Transferencia",I793&lt;&gt;"Pago tarjeta")),"",IF(IFERROR(INDEX(ctaMon,MATCH(G793,ctaNom,0))&amp;"","DOP")=N793,C793,IF(N793="USD",C793*TasaUSD,C793/TasaUSD)))</f>
        <v/>
      </c>
      <c r="V793" s="20">
        <f>IF(I793="","",IF(IFERROR(INDEX(ctaLiq,MATCH(E793,ctaNom,0))="Sí",FALSE),IF(OR(I793="Gasto",I793="Transferencia",I793="Pago tarjeta"),-1,1)*O793,0)+IF(AND(U793&lt;&gt;"",IFERROR(INDEX(ctaLiq,MATCH(G793,ctaNom,0))="Sí",FALSE)),O793,0))</f>
        <v/>
      </c>
      <c r="W793" s="19">
        <f>IF(OR(F793="",I793=""),"",IF(COUNTIFS(F$6:F793,F793,I$6:I793,"?*")=1,MAX(W$5:W792)+1,""))</f>
        <v/>
      </c>
    </row>
    <row r="794">
      <c r="B794" s="15" t="n"/>
      <c r="C794" s="16" t="n"/>
      <c r="D794" s="17" t="n"/>
      <c r="E794" s="17" t="n"/>
      <c r="F794" s="17" t="n"/>
      <c r="G794" s="17" t="n"/>
      <c r="H794" s="18">
        <f>IF(AND(B794="",C794="",D794="",E794=""),"",IF(B794="","⚠ Falta fecha",IF(C794="","⚠ Falta monto",IF(D794="","⚠ Falta categoría",IF(ISNA(MATCH(D794,catNom,0)),"⚠ Categoría no existe",IF(E794="","⚠ Falta cuenta",IF(ISNA(MATCH(E794,ctaNom,0)),"⚠ Cuenta no existe",IF(AND(OR(I794="Transferencia",I794="Pago tarjeta"),G794=""),"⚠ Indica la cuenta «Hacia»",IF(AND(G794&lt;&gt;"",G794=E794),"⚠ «Hacia» igual a la cuenta",IF(AND(G794&lt;&gt;"",ISNA(MATCH(G794,ctaNom,0))),"⚠ «Hacia» no existe",IF(AND(I794="Pago tarjeta",IFERROR(INDEX(ctaTipo,MATCH(G794,ctaNom,0)),"")&lt;&gt;"Tarjeta de crédito"),"⚠ «Hacia» debe ser la tarjeta",IF(AND(I794="Trading",IFERROR(INDEX(ctaTipo,MATCH(E794,ctaNom,0)),"")&lt;&gt;"Cuenta de trading"),"⚠ Usa la cuenta de trading","✓"))))))))))))</f>
        <v/>
      </c>
      <c r="I794" s="19">
        <f>IF(OR(B794="",C794="",D794=""),"",IFERROR(INDEX(catTipo,MATCH(D794,catNom,0))&amp;"",""))</f>
        <v/>
      </c>
      <c r="J794" s="19">
        <f>IF(I794="","",IFERROR(INDEX(catGrupo,MATCH(D794,catNom,0))&amp;"",""))</f>
        <v/>
      </c>
      <c r="K794" s="19">
        <f>IF(I794="Gasto",IF(IFERROR(INDEX(catClas,MATCH(D794,catNom,0))&amp;"","")="","Variable",IFERROR(INDEX(catClas,MATCH(D794,catNom,0))&amp;"","")),"")</f>
        <v/>
      </c>
      <c r="L794" s="19">
        <f>IF(I794="","",IFERROR(INDEX(catAlim,MATCH(D794,catNom,0))&amp;"",""))</f>
        <v/>
      </c>
      <c r="M794" s="19">
        <f>IF(I794="","",IFERROR(INDEX(catComida,MATCH(D794,catNom,0))&amp;"",""))</f>
        <v/>
      </c>
      <c r="N794" s="19">
        <f>IF(I794="","",IFERROR(INDEX(ctaMon,MATCH(E794,ctaNom,0))&amp;"","DOP"))</f>
        <v/>
      </c>
      <c r="O794" s="20">
        <f>IF(I794="","",C794*IF(N794="USD",TasaUSD,1))</f>
        <v/>
      </c>
      <c r="P794" s="20">
        <f>IF(I794="","",IF(I794="Gasto",O794,0))</f>
        <v/>
      </c>
      <c r="Q794" s="20">
        <f>IF(I794="","",IF(I794="Ingreso",O794,0))</f>
        <v/>
      </c>
      <c r="R794" s="20">
        <f>IF(I794="","",IF(I794="Trading",O794,0))</f>
        <v/>
      </c>
      <c r="S794" s="19">
        <f>IF(I794="","",IF(AND(I794="Gasto",K794="Variable",J794&lt;&gt;"Trading",O794&gt;0,O794&lt;=Umbral),1,0))</f>
        <v/>
      </c>
      <c r="T794" s="20">
        <f>IF(OR(I794="",E794=""),"",IF(OR(I794="Gasto",I794="Transferencia",I794="Pago tarjeta"),-1,1)*C794)</f>
        <v/>
      </c>
      <c r="U794" s="20">
        <f>IF(OR(G794="",AND(I794&lt;&gt;"Transferencia",I794&lt;&gt;"Pago tarjeta")),"",IF(IFERROR(INDEX(ctaMon,MATCH(G794,ctaNom,0))&amp;"","DOP")=N794,C794,IF(N794="USD",C794*TasaUSD,C794/TasaUSD)))</f>
        <v/>
      </c>
      <c r="V794" s="20">
        <f>IF(I794="","",IF(IFERROR(INDEX(ctaLiq,MATCH(E794,ctaNom,0))="Sí",FALSE),IF(OR(I794="Gasto",I794="Transferencia",I794="Pago tarjeta"),-1,1)*O794,0)+IF(AND(U794&lt;&gt;"",IFERROR(INDEX(ctaLiq,MATCH(G794,ctaNom,0))="Sí",FALSE)),O794,0))</f>
        <v/>
      </c>
      <c r="W794" s="19">
        <f>IF(OR(F794="",I794=""),"",IF(COUNTIFS(F$6:F794,F794,I$6:I794,"?*")=1,MAX(W$5:W793)+1,""))</f>
        <v/>
      </c>
    </row>
    <row r="795">
      <c r="B795" s="15" t="n"/>
      <c r="C795" s="16" t="n"/>
      <c r="D795" s="17" t="n"/>
      <c r="E795" s="17" t="n"/>
      <c r="F795" s="17" t="n"/>
      <c r="G795" s="17" t="n"/>
      <c r="H795" s="18">
        <f>IF(AND(B795="",C795="",D795="",E795=""),"",IF(B795="","⚠ Falta fecha",IF(C795="","⚠ Falta monto",IF(D795="","⚠ Falta categoría",IF(ISNA(MATCH(D795,catNom,0)),"⚠ Categoría no existe",IF(E795="","⚠ Falta cuenta",IF(ISNA(MATCH(E795,ctaNom,0)),"⚠ Cuenta no existe",IF(AND(OR(I795="Transferencia",I795="Pago tarjeta"),G795=""),"⚠ Indica la cuenta «Hacia»",IF(AND(G795&lt;&gt;"",G795=E795),"⚠ «Hacia» igual a la cuenta",IF(AND(G795&lt;&gt;"",ISNA(MATCH(G795,ctaNom,0))),"⚠ «Hacia» no existe",IF(AND(I795="Pago tarjeta",IFERROR(INDEX(ctaTipo,MATCH(G795,ctaNom,0)),"")&lt;&gt;"Tarjeta de crédito"),"⚠ «Hacia» debe ser la tarjeta",IF(AND(I795="Trading",IFERROR(INDEX(ctaTipo,MATCH(E795,ctaNom,0)),"")&lt;&gt;"Cuenta de trading"),"⚠ Usa la cuenta de trading","✓"))))))))))))</f>
        <v/>
      </c>
      <c r="I795" s="19">
        <f>IF(OR(B795="",C795="",D795=""),"",IFERROR(INDEX(catTipo,MATCH(D795,catNom,0))&amp;"",""))</f>
        <v/>
      </c>
      <c r="J795" s="19">
        <f>IF(I795="","",IFERROR(INDEX(catGrupo,MATCH(D795,catNom,0))&amp;"",""))</f>
        <v/>
      </c>
      <c r="K795" s="19">
        <f>IF(I795="Gasto",IF(IFERROR(INDEX(catClas,MATCH(D795,catNom,0))&amp;"","")="","Variable",IFERROR(INDEX(catClas,MATCH(D795,catNom,0))&amp;"","")),"")</f>
        <v/>
      </c>
      <c r="L795" s="19">
        <f>IF(I795="","",IFERROR(INDEX(catAlim,MATCH(D795,catNom,0))&amp;"",""))</f>
        <v/>
      </c>
      <c r="M795" s="19">
        <f>IF(I795="","",IFERROR(INDEX(catComida,MATCH(D795,catNom,0))&amp;"",""))</f>
        <v/>
      </c>
      <c r="N795" s="19">
        <f>IF(I795="","",IFERROR(INDEX(ctaMon,MATCH(E795,ctaNom,0))&amp;"","DOP"))</f>
        <v/>
      </c>
      <c r="O795" s="20">
        <f>IF(I795="","",C795*IF(N795="USD",TasaUSD,1))</f>
        <v/>
      </c>
      <c r="P795" s="20">
        <f>IF(I795="","",IF(I795="Gasto",O795,0))</f>
        <v/>
      </c>
      <c r="Q795" s="20">
        <f>IF(I795="","",IF(I795="Ingreso",O795,0))</f>
        <v/>
      </c>
      <c r="R795" s="20">
        <f>IF(I795="","",IF(I795="Trading",O795,0))</f>
        <v/>
      </c>
      <c r="S795" s="19">
        <f>IF(I795="","",IF(AND(I795="Gasto",K795="Variable",J795&lt;&gt;"Trading",O795&gt;0,O795&lt;=Umbral),1,0))</f>
        <v/>
      </c>
      <c r="T795" s="20">
        <f>IF(OR(I795="",E795=""),"",IF(OR(I795="Gasto",I795="Transferencia",I795="Pago tarjeta"),-1,1)*C795)</f>
        <v/>
      </c>
      <c r="U795" s="20">
        <f>IF(OR(G795="",AND(I795&lt;&gt;"Transferencia",I795&lt;&gt;"Pago tarjeta")),"",IF(IFERROR(INDEX(ctaMon,MATCH(G795,ctaNom,0))&amp;"","DOP")=N795,C795,IF(N795="USD",C795*TasaUSD,C795/TasaUSD)))</f>
        <v/>
      </c>
      <c r="V795" s="20">
        <f>IF(I795="","",IF(IFERROR(INDEX(ctaLiq,MATCH(E795,ctaNom,0))="Sí",FALSE),IF(OR(I795="Gasto",I795="Transferencia",I795="Pago tarjeta"),-1,1)*O795,0)+IF(AND(U795&lt;&gt;"",IFERROR(INDEX(ctaLiq,MATCH(G795,ctaNom,0))="Sí",FALSE)),O795,0))</f>
        <v/>
      </c>
      <c r="W795" s="19">
        <f>IF(OR(F795="",I795=""),"",IF(COUNTIFS(F$6:F795,F795,I$6:I795,"?*")=1,MAX(W$5:W794)+1,""))</f>
        <v/>
      </c>
    </row>
    <row r="796">
      <c r="B796" s="15" t="n"/>
      <c r="C796" s="16" t="n"/>
      <c r="D796" s="17" t="n"/>
      <c r="E796" s="17" t="n"/>
      <c r="F796" s="17" t="n"/>
      <c r="G796" s="17" t="n"/>
      <c r="H796" s="18">
        <f>IF(AND(B796="",C796="",D796="",E796=""),"",IF(B796="","⚠ Falta fecha",IF(C796="","⚠ Falta monto",IF(D796="","⚠ Falta categoría",IF(ISNA(MATCH(D796,catNom,0)),"⚠ Categoría no existe",IF(E796="","⚠ Falta cuenta",IF(ISNA(MATCH(E796,ctaNom,0)),"⚠ Cuenta no existe",IF(AND(OR(I796="Transferencia",I796="Pago tarjeta"),G796=""),"⚠ Indica la cuenta «Hacia»",IF(AND(G796&lt;&gt;"",G796=E796),"⚠ «Hacia» igual a la cuenta",IF(AND(G796&lt;&gt;"",ISNA(MATCH(G796,ctaNom,0))),"⚠ «Hacia» no existe",IF(AND(I796="Pago tarjeta",IFERROR(INDEX(ctaTipo,MATCH(G796,ctaNom,0)),"")&lt;&gt;"Tarjeta de crédito"),"⚠ «Hacia» debe ser la tarjeta",IF(AND(I796="Trading",IFERROR(INDEX(ctaTipo,MATCH(E796,ctaNom,0)),"")&lt;&gt;"Cuenta de trading"),"⚠ Usa la cuenta de trading","✓"))))))))))))</f>
        <v/>
      </c>
      <c r="I796" s="19">
        <f>IF(OR(B796="",C796="",D796=""),"",IFERROR(INDEX(catTipo,MATCH(D796,catNom,0))&amp;"",""))</f>
        <v/>
      </c>
      <c r="J796" s="19">
        <f>IF(I796="","",IFERROR(INDEX(catGrupo,MATCH(D796,catNom,0))&amp;"",""))</f>
        <v/>
      </c>
      <c r="K796" s="19">
        <f>IF(I796="Gasto",IF(IFERROR(INDEX(catClas,MATCH(D796,catNom,0))&amp;"","")="","Variable",IFERROR(INDEX(catClas,MATCH(D796,catNom,0))&amp;"","")),"")</f>
        <v/>
      </c>
      <c r="L796" s="19">
        <f>IF(I796="","",IFERROR(INDEX(catAlim,MATCH(D796,catNom,0))&amp;"",""))</f>
        <v/>
      </c>
      <c r="M796" s="19">
        <f>IF(I796="","",IFERROR(INDEX(catComida,MATCH(D796,catNom,0))&amp;"",""))</f>
        <v/>
      </c>
      <c r="N796" s="19">
        <f>IF(I796="","",IFERROR(INDEX(ctaMon,MATCH(E796,ctaNom,0))&amp;"","DOP"))</f>
        <v/>
      </c>
      <c r="O796" s="20">
        <f>IF(I796="","",C796*IF(N796="USD",TasaUSD,1))</f>
        <v/>
      </c>
      <c r="P796" s="20">
        <f>IF(I796="","",IF(I796="Gasto",O796,0))</f>
        <v/>
      </c>
      <c r="Q796" s="20">
        <f>IF(I796="","",IF(I796="Ingreso",O796,0))</f>
        <v/>
      </c>
      <c r="R796" s="20">
        <f>IF(I796="","",IF(I796="Trading",O796,0))</f>
        <v/>
      </c>
      <c r="S796" s="19">
        <f>IF(I796="","",IF(AND(I796="Gasto",K796="Variable",J796&lt;&gt;"Trading",O796&gt;0,O796&lt;=Umbral),1,0))</f>
        <v/>
      </c>
      <c r="T796" s="20">
        <f>IF(OR(I796="",E796=""),"",IF(OR(I796="Gasto",I796="Transferencia",I796="Pago tarjeta"),-1,1)*C796)</f>
        <v/>
      </c>
      <c r="U796" s="20">
        <f>IF(OR(G796="",AND(I796&lt;&gt;"Transferencia",I796&lt;&gt;"Pago tarjeta")),"",IF(IFERROR(INDEX(ctaMon,MATCH(G796,ctaNom,0))&amp;"","DOP")=N796,C796,IF(N796="USD",C796*TasaUSD,C796/TasaUSD)))</f>
        <v/>
      </c>
      <c r="V796" s="20">
        <f>IF(I796="","",IF(IFERROR(INDEX(ctaLiq,MATCH(E796,ctaNom,0))="Sí",FALSE),IF(OR(I796="Gasto",I796="Transferencia",I796="Pago tarjeta"),-1,1)*O796,0)+IF(AND(U796&lt;&gt;"",IFERROR(INDEX(ctaLiq,MATCH(G796,ctaNom,0))="Sí",FALSE)),O796,0))</f>
        <v/>
      </c>
      <c r="W796" s="19">
        <f>IF(OR(F796="",I796=""),"",IF(COUNTIFS(F$6:F796,F796,I$6:I796,"?*")=1,MAX(W$5:W795)+1,""))</f>
        <v/>
      </c>
    </row>
    <row r="797">
      <c r="B797" s="15" t="n"/>
      <c r="C797" s="16" t="n"/>
      <c r="D797" s="17" t="n"/>
      <c r="E797" s="17" t="n"/>
      <c r="F797" s="17" t="n"/>
      <c r="G797" s="17" t="n"/>
      <c r="H797" s="18">
        <f>IF(AND(B797="",C797="",D797="",E797=""),"",IF(B797="","⚠ Falta fecha",IF(C797="","⚠ Falta monto",IF(D797="","⚠ Falta categoría",IF(ISNA(MATCH(D797,catNom,0)),"⚠ Categoría no existe",IF(E797="","⚠ Falta cuenta",IF(ISNA(MATCH(E797,ctaNom,0)),"⚠ Cuenta no existe",IF(AND(OR(I797="Transferencia",I797="Pago tarjeta"),G797=""),"⚠ Indica la cuenta «Hacia»",IF(AND(G797&lt;&gt;"",G797=E797),"⚠ «Hacia» igual a la cuenta",IF(AND(G797&lt;&gt;"",ISNA(MATCH(G797,ctaNom,0))),"⚠ «Hacia» no existe",IF(AND(I797="Pago tarjeta",IFERROR(INDEX(ctaTipo,MATCH(G797,ctaNom,0)),"")&lt;&gt;"Tarjeta de crédito"),"⚠ «Hacia» debe ser la tarjeta",IF(AND(I797="Trading",IFERROR(INDEX(ctaTipo,MATCH(E797,ctaNom,0)),"")&lt;&gt;"Cuenta de trading"),"⚠ Usa la cuenta de trading","✓"))))))))))))</f>
        <v/>
      </c>
      <c r="I797" s="19">
        <f>IF(OR(B797="",C797="",D797=""),"",IFERROR(INDEX(catTipo,MATCH(D797,catNom,0))&amp;"",""))</f>
        <v/>
      </c>
      <c r="J797" s="19">
        <f>IF(I797="","",IFERROR(INDEX(catGrupo,MATCH(D797,catNom,0))&amp;"",""))</f>
        <v/>
      </c>
      <c r="K797" s="19">
        <f>IF(I797="Gasto",IF(IFERROR(INDEX(catClas,MATCH(D797,catNom,0))&amp;"","")="","Variable",IFERROR(INDEX(catClas,MATCH(D797,catNom,0))&amp;"","")),"")</f>
        <v/>
      </c>
      <c r="L797" s="19">
        <f>IF(I797="","",IFERROR(INDEX(catAlim,MATCH(D797,catNom,0))&amp;"",""))</f>
        <v/>
      </c>
      <c r="M797" s="19">
        <f>IF(I797="","",IFERROR(INDEX(catComida,MATCH(D797,catNom,0))&amp;"",""))</f>
        <v/>
      </c>
      <c r="N797" s="19">
        <f>IF(I797="","",IFERROR(INDEX(ctaMon,MATCH(E797,ctaNom,0))&amp;"","DOP"))</f>
        <v/>
      </c>
      <c r="O797" s="20">
        <f>IF(I797="","",C797*IF(N797="USD",TasaUSD,1))</f>
        <v/>
      </c>
      <c r="P797" s="20">
        <f>IF(I797="","",IF(I797="Gasto",O797,0))</f>
        <v/>
      </c>
      <c r="Q797" s="20">
        <f>IF(I797="","",IF(I797="Ingreso",O797,0))</f>
        <v/>
      </c>
      <c r="R797" s="20">
        <f>IF(I797="","",IF(I797="Trading",O797,0))</f>
        <v/>
      </c>
      <c r="S797" s="19">
        <f>IF(I797="","",IF(AND(I797="Gasto",K797="Variable",J797&lt;&gt;"Trading",O797&gt;0,O797&lt;=Umbral),1,0))</f>
        <v/>
      </c>
      <c r="T797" s="20">
        <f>IF(OR(I797="",E797=""),"",IF(OR(I797="Gasto",I797="Transferencia",I797="Pago tarjeta"),-1,1)*C797)</f>
        <v/>
      </c>
      <c r="U797" s="20">
        <f>IF(OR(G797="",AND(I797&lt;&gt;"Transferencia",I797&lt;&gt;"Pago tarjeta")),"",IF(IFERROR(INDEX(ctaMon,MATCH(G797,ctaNom,0))&amp;"","DOP")=N797,C797,IF(N797="USD",C797*TasaUSD,C797/TasaUSD)))</f>
        <v/>
      </c>
      <c r="V797" s="20">
        <f>IF(I797="","",IF(IFERROR(INDEX(ctaLiq,MATCH(E797,ctaNom,0))="Sí",FALSE),IF(OR(I797="Gasto",I797="Transferencia",I797="Pago tarjeta"),-1,1)*O797,0)+IF(AND(U797&lt;&gt;"",IFERROR(INDEX(ctaLiq,MATCH(G797,ctaNom,0))="Sí",FALSE)),O797,0))</f>
        <v/>
      </c>
      <c r="W797" s="19">
        <f>IF(OR(F797="",I797=""),"",IF(COUNTIFS(F$6:F797,F797,I$6:I797,"?*")=1,MAX(W$5:W796)+1,""))</f>
        <v/>
      </c>
    </row>
    <row r="798">
      <c r="B798" s="15" t="n"/>
      <c r="C798" s="16" t="n"/>
      <c r="D798" s="17" t="n"/>
      <c r="E798" s="17" t="n"/>
      <c r="F798" s="17" t="n"/>
      <c r="G798" s="17" t="n"/>
      <c r="H798" s="18">
        <f>IF(AND(B798="",C798="",D798="",E798=""),"",IF(B798="","⚠ Falta fecha",IF(C798="","⚠ Falta monto",IF(D798="","⚠ Falta categoría",IF(ISNA(MATCH(D798,catNom,0)),"⚠ Categoría no existe",IF(E798="","⚠ Falta cuenta",IF(ISNA(MATCH(E798,ctaNom,0)),"⚠ Cuenta no existe",IF(AND(OR(I798="Transferencia",I798="Pago tarjeta"),G798=""),"⚠ Indica la cuenta «Hacia»",IF(AND(G798&lt;&gt;"",G798=E798),"⚠ «Hacia» igual a la cuenta",IF(AND(G798&lt;&gt;"",ISNA(MATCH(G798,ctaNom,0))),"⚠ «Hacia» no existe",IF(AND(I798="Pago tarjeta",IFERROR(INDEX(ctaTipo,MATCH(G798,ctaNom,0)),"")&lt;&gt;"Tarjeta de crédito"),"⚠ «Hacia» debe ser la tarjeta",IF(AND(I798="Trading",IFERROR(INDEX(ctaTipo,MATCH(E798,ctaNom,0)),"")&lt;&gt;"Cuenta de trading"),"⚠ Usa la cuenta de trading","✓"))))))))))))</f>
        <v/>
      </c>
      <c r="I798" s="19">
        <f>IF(OR(B798="",C798="",D798=""),"",IFERROR(INDEX(catTipo,MATCH(D798,catNom,0))&amp;"",""))</f>
        <v/>
      </c>
      <c r="J798" s="19">
        <f>IF(I798="","",IFERROR(INDEX(catGrupo,MATCH(D798,catNom,0))&amp;"",""))</f>
        <v/>
      </c>
      <c r="K798" s="19">
        <f>IF(I798="Gasto",IF(IFERROR(INDEX(catClas,MATCH(D798,catNom,0))&amp;"","")="","Variable",IFERROR(INDEX(catClas,MATCH(D798,catNom,0))&amp;"","")),"")</f>
        <v/>
      </c>
      <c r="L798" s="19">
        <f>IF(I798="","",IFERROR(INDEX(catAlim,MATCH(D798,catNom,0))&amp;"",""))</f>
        <v/>
      </c>
      <c r="M798" s="19">
        <f>IF(I798="","",IFERROR(INDEX(catComida,MATCH(D798,catNom,0))&amp;"",""))</f>
        <v/>
      </c>
      <c r="N798" s="19">
        <f>IF(I798="","",IFERROR(INDEX(ctaMon,MATCH(E798,ctaNom,0))&amp;"","DOP"))</f>
        <v/>
      </c>
      <c r="O798" s="20">
        <f>IF(I798="","",C798*IF(N798="USD",TasaUSD,1))</f>
        <v/>
      </c>
      <c r="P798" s="20">
        <f>IF(I798="","",IF(I798="Gasto",O798,0))</f>
        <v/>
      </c>
      <c r="Q798" s="20">
        <f>IF(I798="","",IF(I798="Ingreso",O798,0))</f>
        <v/>
      </c>
      <c r="R798" s="20">
        <f>IF(I798="","",IF(I798="Trading",O798,0))</f>
        <v/>
      </c>
      <c r="S798" s="19">
        <f>IF(I798="","",IF(AND(I798="Gasto",K798="Variable",J798&lt;&gt;"Trading",O798&gt;0,O798&lt;=Umbral),1,0))</f>
        <v/>
      </c>
      <c r="T798" s="20">
        <f>IF(OR(I798="",E798=""),"",IF(OR(I798="Gasto",I798="Transferencia",I798="Pago tarjeta"),-1,1)*C798)</f>
        <v/>
      </c>
      <c r="U798" s="20">
        <f>IF(OR(G798="",AND(I798&lt;&gt;"Transferencia",I798&lt;&gt;"Pago tarjeta")),"",IF(IFERROR(INDEX(ctaMon,MATCH(G798,ctaNom,0))&amp;"","DOP")=N798,C798,IF(N798="USD",C798*TasaUSD,C798/TasaUSD)))</f>
        <v/>
      </c>
      <c r="V798" s="20">
        <f>IF(I798="","",IF(IFERROR(INDEX(ctaLiq,MATCH(E798,ctaNom,0))="Sí",FALSE),IF(OR(I798="Gasto",I798="Transferencia",I798="Pago tarjeta"),-1,1)*O798,0)+IF(AND(U798&lt;&gt;"",IFERROR(INDEX(ctaLiq,MATCH(G798,ctaNom,0))="Sí",FALSE)),O798,0))</f>
        <v/>
      </c>
      <c r="W798" s="19">
        <f>IF(OR(F798="",I798=""),"",IF(COUNTIFS(F$6:F798,F798,I$6:I798,"?*")=1,MAX(W$5:W797)+1,""))</f>
        <v/>
      </c>
    </row>
    <row r="799">
      <c r="B799" s="15" t="n"/>
      <c r="C799" s="16" t="n"/>
      <c r="D799" s="17" t="n"/>
      <c r="E799" s="17" t="n"/>
      <c r="F799" s="17" t="n"/>
      <c r="G799" s="17" t="n"/>
      <c r="H799" s="18">
        <f>IF(AND(B799="",C799="",D799="",E799=""),"",IF(B799="","⚠ Falta fecha",IF(C799="","⚠ Falta monto",IF(D799="","⚠ Falta categoría",IF(ISNA(MATCH(D799,catNom,0)),"⚠ Categoría no existe",IF(E799="","⚠ Falta cuenta",IF(ISNA(MATCH(E799,ctaNom,0)),"⚠ Cuenta no existe",IF(AND(OR(I799="Transferencia",I799="Pago tarjeta"),G799=""),"⚠ Indica la cuenta «Hacia»",IF(AND(G799&lt;&gt;"",G799=E799),"⚠ «Hacia» igual a la cuenta",IF(AND(G799&lt;&gt;"",ISNA(MATCH(G799,ctaNom,0))),"⚠ «Hacia» no existe",IF(AND(I799="Pago tarjeta",IFERROR(INDEX(ctaTipo,MATCH(G799,ctaNom,0)),"")&lt;&gt;"Tarjeta de crédito"),"⚠ «Hacia» debe ser la tarjeta",IF(AND(I799="Trading",IFERROR(INDEX(ctaTipo,MATCH(E799,ctaNom,0)),"")&lt;&gt;"Cuenta de trading"),"⚠ Usa la cuenta de trading","✓"))))))))))))</f>
        <v/>
      </c>
      <c r="I799" s="19">
        <f>IF(OR(B799="",C799="",D799=""),"",IFERROR(INDEX(catTipo,MATCH(D799,catNom,0))&amp;"",""))</f>
        <v/>
      </c>
      <c r="J799" s="19">
        <f>IF(I799="","",IFERROR(INDEX(catGrupo,MATCH(D799,catNom,0))&amp;"",""))</f>
        <v/>
      </c>
      <c r="K799" s="19">
        <f>IF(I799="Gasto",IF(IFERROR(INDEX(catClas,MATCH(D799,catNom,0))&amp;"","")="","Variable",IFERROR(INDEX(catClas,MATCH(D799,catNom,0))&amp;"","")),"")</f>
        <v/>
      </c>
      <c r="L799" s="19">
        <f>IF(I799="","",IFERROR(INDEX(catAlim,MATCH(D799,catNom,0))&amp;"",""))</f>
        <v/>
      </c>
      <c r="M799" s="19">
        <f>IF(I799="","",IFERROR(INDEX(catComida,MATCH(D799,catNom,0))&amp;"",""))</f>
        <v/>
      </c>
      <c r="N799" s="19">
        <f>IF(I799="","",IFERROR(INDEX(ctaMon,MATCH(E799,ctaNom,0))&amp;"","DOP"))</f>
        <v/>
      </c>
      <c r="O799" s="20">
        <f>IF(I799="","",C799*IF(N799="USD",TasaUSD,1))</f>
        <v/>
      </c>
      <c r="P799" s="20">
        <f>IF(I799="","",IF(I799="Gasto",O799,0))</f>
        <v/>
      </c>
      <c r="Q799" s="20">
        <f>IF(I799="","",IF(I799="Ingreso",O799,0))</f>
        <v/>
      </c>
      <c r="R799" s="20">
        <f>IF(I799="","",IF(I799="Trading",O799,0))</f>
        <v/>
      </c>
      <c r="S799" s="19">
        <f>IF(I799="","",IF(AND(I799="Gasto",K799="Variable",J799&lt;&gt;"Trading",O799&gt;0,O799&lt;=Umbral),1,0))</f>
        <v/>
      </c>
      <c r="T799" s="20">
        <f>IF(OR(I799="",E799=""),"",IF(OR(I799="Gasto",I799="Transferencia",I799="Pago tarjeta"),-1,1)*C799)</f>
        <v/>
      </c>
      <c r="U799" s="20">
        <f>IF(OR(G799="",AND(I799&lt;&gt;"Transferencia",I799&lt;&gt;"Pago tarjeta")),"",IF(IFERROR(INDEX(ctaMon,MATCH(G799,ctaNom,0))&amp;"","DOP")=N799,C799,IF(N799="USD",C799*TasaUSD,C799/TasaUSD)))</f>
        <v/>
      </c>
      <c r="V799" s="20">
        <f>IF(I799="","",IF(IFERROR(INDEX(ctaLiq,MATCH(E799,ctaNom,0))="Sí",FALSE),IF(OR(I799="Gasto",I799="Transferencia",I799="Pago tarjeta"),-1,1)*O799,0)+IF(AND(U799&lt;&gt;"",IFERROR(INDEX(ctaLiq,MATCH(G799,ctaNom,0))="Sí",FALSE)),O799,0))</f>
        <v/>
      </c>
      <c r="W799" s="19">
        <f>IF(OR(F799="",I799=""),"",IF(COUNTIFS(F$6:F799,F799,I$6:I799,"?*")=1,MAX(W$5:W798)+1,""))</f>
        <v/>
      </c>
    </row>
    <row r="800">
      <c r="B800" s="15" t="n"/>
      <c r="C800" s="16" t="n"/>
      <c r="D800" s="17" t="n"/>
      <c r="E800" s="17" t="n"/>
      <c r="F800" s="17" t="n"/>
      <c r="G800" s="17" t="n"/>
      <c r="H800" s="18">
        <f>IF(AND(B800="",C800="",D800="",E800=""),"",IF(B800="","⚠ Falta fecha",IF(C800="","⚠ Falta monto",IF(D800="","⚠ Falta categoría",IF(ISNA(MATCH(D800,catNom,0)),"⚠ Categoría no existe",IF(E800="","⚠ Falta cuenta",IF(ISNA(MATCH(E800,ctaNom,0)),"⚠ Cuenta no existe",IF(AND(OR(I800="Transferencia",I800="Pago tarjeta"),G800=""),"⚠ Indica la cuenta «Hacia»",IF(AND(G800&lt;&gt;"",G800=E800),"⚠ «Hacia» igual a la cuenta",IF(AND(G800&lt;&gt;"",ISNA(MATCH(G800,ctaNom,0))),"⚠ «Hacia» no existe",IF(AND(I800="Pago tarjeta",IFERROR(INDEX(ctaTipo,MATCH(G800,ctaNom,0)),"")&lt;&gt;"Tarjeta de crédito"),"⚠ «Hacia» debe ser la tarjeta",IF(AND(I800="Trading",IFERROR(INDEX(ctaTipo,MATCH(E800,ctaNom,0)),"")&lt;&gt;"Cuenta de trading"),"⚠ Usa la cuenta de trading","✓"))))))))))))</f>
        <v/>
      </c>
      <c r="I800" s="19">
        <f>IF(OR(B800="",C800="",D800=""),"",IFERROR(INDEX(catTipo,MATCH(D800,catNom,0))&amp;"",""))</f>
        <v/>
      </c>
      <c r="J800" s="19">
        <f>IF(I800="","",IFERROR(INDEX(catGrupo,MATCH(D800,catNom,0))&amp;"",""))</f>
        <v/>
      </c>
      <c r="K800" s="19">
        <f>IF(I800="Gasto",IF(IFERROR(INDEX(catClas,MATCH(D800,catNom,0))&amp;"","")="","Variable",IFERROR(INDEX(catClas,MATCH(D800,catNom,0))&amp;"","")),"")</f>
        <v/>
      </c>
      <c r="L800" s="19">
        <f>IF(I800="","",IFERROR(INDEX(catAlim,MATCH(D800,catNom,0))&amp;"",""))</f>
        <v/>
      </c>
      <c r="M800" s="19">
        <f>IF(I800="","",IFERROR(INDEX(catComida,MATCH(D800,catNom,0))&amp;"",""))</f>
        <v/>
      </c>
      <c r="N800" s="19">
        <f>IF(I800="","",IFERROR(INDEX(ctaMon,MATCH(E800,ctaNom,0))&amp;"","DOP"))</f>
        <v/>
      </c>
      <c r="O800" s="20">
        <f>IF(I800="","",C800*IF(N800="USD",TasaUSD,1))</f>
        <v/>
      </c>
      <c r="P800" s="20">
        <f>IF(I800="","",IF(I800="Gasto",O800,0))</f>
        <v/>
      </c>
      <c r="Q800" s="20">
        <f>IF(I800="","",IF(I800="Ingreso",O800,0))</f>
        <v/>
      </c>
      <c r="R800" s="20">
        <f>IF(I800="","",IF(I800="Trading",O800,0))</f>
        <v/>
      </c>
      <c r="S800" s="19">
        <f>IF(I800="","",IF(AND(I800="Gasto",K800="Variable",J800&lt;&gt;"Trading",O800&gt;0,O800&lt;=Umbral),1,0))</f>
        <v/>
      </c>
      <c r="T800" s="20">
        <f>IF(OR(I800="",E800=""),"",IF(OR(I800="Gasto",I800="Transferencia",I800="Pago tarjeta"),-1,1)*C800)</f>
        <v/>
      </c>
      <c r="U800" s="20">
        <f>IF(OR(G800="",AND(I800&lt;&gt;"Transferencia",I800&lt;&gt;"Pago tarjeta")),"",IF(IFERROR(INDEX(ctaMon,MATCH(G800,ctaNom,0))&amp;"","DOP")=N800,C800,IF(N800="USD",C800*TasaUSD,C800/TasaUSD)))</f>
        <v/>
      </c>
      <c r="V800" s="20">
        <f>IF(I800="","",IF(IFERROR(INDEX(ctaLiq,MATCH(E800,ctaNom,0))="Sí",FALSE),IF(OR(I800="Gasto",I800="Transferencia",I800="Pago tarjeta"),-1,1)*O800,0)+IF(AND(U800&lt;&gt;"",IFERROR(INDEX(ctaLiq,MATCH(G800,ctaNom,0))="Sí",FALSE)),O800,0))</f>
        <v/>
      </c>
      <c r="W800" s="19">
        <f>IF(OR(F800="",I800=""),"",IF(COUNTIFS(F$6:F800,F800,I$6:I800,"?*")=1,MAX(W$5:W799)+1,""))</f>
        <v/>
      </c>
    </row>
    <row r="801">
      <c r="B801" s="15" t="n"/>
      <c r="C801" s="16" t="n"/>
      <c r="D801" s="17" t="n"/>
      <c r="E801" s="17" t="n"/>
      <c r="F801" s="17" t="n"/>
      <c r="G801" s="17" t="n"/>
      <c r="H801" s="18">
        <f>IF(AND(B801="",C801="",D801="",E801=""),"",IF(B801="","⚠ Falta fecha",IF(C801="","⚠ Falta monto",IF(D801="","⚠ Falta categoría",IF(ISNA(MATCH(D801,catNom,0)),"⚠ Categoría no existe",IF(E801="","⚠ Falta cuenta",IF(ISNA(MATCH(E801,ctaNom,0)),"⚠ Cuenta no existe",IF(AND(OR(I801="Transferencia",I801="Pago tarjeta"),G801=""),"⚠ Indica la cuenta «Hacia»",IF(AND(G801&lt;&gt;"",G801=E801),"⚠ «Hacia» igual a la cuenta",IF(AND(G801&lt;&gt;"",ISNA(MATCH(G801,ctaNom,0))),"⚠ «Hacia» no existe",IF(AND(I801="Pago tarjeta",IFERROR(INDEX(ctaTipo,MATCH(G801,ctaNom,0)),"")&lt;&gt;"Tarjeta de crédito"),"⚠ «Hacia» debe ser la tarjeta",IF(AND(I801="Trading",IFERROR(INDEX(ctaTipo,MATCH(E801,ctaNom,0)),"")&lt;&gt;"Cuenta de trading"),"⚠ Usa la cuenta de trading","✓"))))))))))))</f>
        <v/>
      </c>
      <c r="I801" s="19">
        <f>IF(OR(B801="",C801="",D801=""),"",IFERROR(INDEX(catTipo,MATCH(D801,catNom,0))&amp;"",""))</f>
        <v/>
      </c>
      <c r="J801" s="19">
        <f>IF(I801="","",IFERROR(INDEX(catGrupo,MATCH(D801,catNom,0))&amp;"",""))</f>
        <v/>
      </c>
      <c r="K801" s="19">
        <f>IF(I801="Gasto",IF(IFERROR(INDEX(catClas,MATCH(D801,catNom,0))&amp;"","")="","Variable",IFERROR(INDEX(catClas,MATCH(D801,catNom,0))&amp;"","")),"")</f>
        <v/>
      </c>
      <c r="L801" s="19">
        <f>IF(I801="","",IFERROR(INDEX(catAlim,MATCH(D801,catNom,0))&amp;"",""))</f>
        <v/>
      </c>
      <c r="M801" s="19">
        <f>IF(I801="","",IFERROR(INDEX(catComida,MATCH(D801,catNom,0))&amp;"",""))</f>
        <v/>
      </c>
      <c r="N801" s="19">
        <f>IF(I801="","",IFERROR(INDEX(ctaMon,MATCH(E801,ctaNom,0))&amp;"","DOP"))</f>
        <v/>
      </c>
      <c r="O801" s="20">
        <f>IF(I801="","",C801*IF(N801="USD",TasaUSD,1))</f>
        <v/>
      </c>
      <c r="P801" s="20">
        <f>IF(I801="","",IF(I801="Gasto",O801,0))</f>
        <v/>
      </c>
      <c r="Q801" s="20">
        <f>IF(I801="","",IF(I801="Ingreso",O801,0))</f>
        <v/>
      </c>
      <c r="R801" s="20">
        <f>IF(I801="","",IF(I801="Trading",O801,0))</f>
        <v/>
      </c>
      <c r="S801" s="19">
        <f>IF(I801="","",IF(AND(I801="Gasto",K801="Variable",J801&lt;&gt;"Trading",O801&gt;0,O801&lt;=Umbral),1,0))</f>
        <v/>
      </c>
      <c r="T801" s="20">
        <f>IF(OR(I801="",E801=""),"",IF(OR(I801="Gasto",I801="Transferencia",I801="Pago tarjeta"),-1,1)*C801)</f>
        <v/>
      </c>
      <c r="U801" s="20">
        <f>IF(OR(G801="",AND(I801&lt;&gt;"Transferencia",I801&lt;&gt;"Pago tarjeta")),"",IF(IFERROR(INDEX(ctaMon,MATCH(G801,ctaNom,0))&amp;"","DOP")=N801,C801,IF(N801="USD",C801*TasaUSD,C801/TasaUSD)))</f>
        <v/>
      </c>
      <c r="V801" s="20">
        <f>IF(I801="","",IF(IFERROR(INDEX(ctaLiq,MATCH(E801,ctaNom,0))="Sí",FALSE),IF(OR(I801="Gasto",I801="Transferencia",I801="Pago tarjeta"),-1,1)*O801,0)+IF(AND(U801&lt;&gt;"",IFERROR(INDEX(ctaLiq,MATCH(G801,ctaNom,0))="Sí",FALSE)),O801,0))</f>
        <v/>
      </c>
      <c r="W801" s="19">
        <f>IF(OR(F801="",I801=""),"",IF(COUNTIFS(F$6:F801,F801,I$6:I801,"?*")=1,MAX(W$5:W800)+1,""))</f>
        <v/>
      </c>
    </row>
    <row r="802">
      <c r="B802" s="15" t="n"/>
      <c r="C802" s="16" t="n"/>
      <c r="D802" s="17" t="n"/>
      <c r="E802" s="17" t="n"/>
      <c r="F802" s="17" t="n"/>
      <c r="G802" s="17" t="n"/>
      <c r="H802" s="18">
        <f>IF(AND(B802="",C802="",D802="",E802=""),"",IF(B802="","⚠ Falta fecha",IF(C802="","⚠ Falta monto",IF(D802="","⚠ Falta categoría",IF(ISNA(MATCH(D802,catNom,0)),"⚠ Categoría no existe",IF(E802="","⚠ Falta cuenta",IF(ISNA(MATCH(E802,ctaNom,0)),"⚠ Cuenta no existe",IF(AND(OR(I802="Transferencia",I802="Pago tarjeta"),G802=""),"⚠ Indica la cuenta «Hacia»",IF(AND(G802&lt;&gt;"",G802=E802),"⚠ «Hacia» igual a la cuenta",IF(AND(G802&lt;&gt;"",ISNA(MATCH(G802,ctaNom,0))),"⚠ «Hacia» no existe",IF(AND(I802="Pago tarjeta",IFERROR(INDEX(ctaTipo,MATCH(G802,ctaNom,0)),"")&lt;&gt;"Tarjeta de crédito"),"⚠ «Hacia» debe ser la tarjeta",IF(AND(I802="Trading",IFERROR(INDEX(ctaTipo,MATCH(E802,ctaNom,0)),"")&lt;&gt;"Cuenta de trading"),"⚠ Usa la cuenta de trading","✓"))))))))))))</f>
        <v/>
      </c>
      <c r="I802" s="19">
        <f>IF(OR(B802="",C802="",D802=""),"",IFERROR(INDEX(catTipo,MATCH(D802,catNom,0))&amp;"",""))</f>
        <v/>
      </c>
      <c r="J802" s="19">
        <f>IF(I802="","",IFERROR(INDEX(catGrupo,MATCH(D802,catNom,0))&amp;"",""))</f>
        <v/>
      </c>
      <c r="K802" s="19">
        <f>IF(I802="Gasto",IF(IFERROR(INDEX(catClas,MATCH(D802,catNom,0))&amp;"","")="","Variable",IFERROR(INDEX(catClas,MATCH(D802,catNom,0))&amp;"","")),"")</f>
        <v/>
      </c>
      <c r="L802" s="19">
        <f>IF(I802="","",IFERROR(INDEX(catAlim,MATCH(D802,catNom,0))&amp;"",""))</f>
        <v/>
      </c>
      <c r="M802" s="19">
        <f>IF(I802="","",IFERROR(INDEX(catComida,MATCH(D802,catNom,0))&amp;"",""))</f>
        <v/>
      </c>
      <c r="N802" s="19">
        <f>IF(I802="","",IFERROR(INDEX(ctaMon,MATCH(E802,ctaNom,0))&amp;"","DOP"))</f>
        <v/>
      </c>
      <c r="O802" s="20">
        <f>IF(I802="","",C802*IF(N802="USD",TasaUSD,1))</f>
        <v/>
      </c>
      <c r="P802" s="20">
        <f>IF(I802="","",IF(I802="Gasto",O802,0))</f>
        <v/>
      </c>
      <c r="Q802" s="20">
        <f>IF(I802="","",IF(I802="Ingreso",O802,0))</f>
        <v/>
      </c>
      <c r="R802" s="20">
        <f>IF(I802="","",IF(I802="Trading",O802,0))</f>
        <v/>
      </c>
      <c r="S802" s="19">
        <f>IF(I802="","",IF(AND(I802="Gasto",K802="Variable",J802&lt;&gt;"Trading",O802&gt;0,O802&lt;=Umbral),1,0))</f>
        <v/>
      </c>
      <c r="T802" s="20">
        <f>IF(OR(I802="",E802=""),"",IF(OR(I802="Gasto",I802="Transferencia",I802="Pago tarjeta"),-1,1)*C802)</f>
        <v/>
      </c>
      <c r="U802" s="20">
        <f>IF(OR(G802="",AND(I802&lt;&gt;"Transferencia",I802&lt;&gt;"Pago tarjeta")),"",IF(IFERROR(INDEX(ctaMon,MATCH(G802,ctaNom,0))&amp;"","DOP")=N802,C802,IF(N802="USD",C802*TasaUSD,C802/TasaUSD)))</f>
        <v/>
      </c>
      <c r="V802" s="20">
        <f>IF(I802="","",IF(IFERROR(INDEX(ctaLiq,MATCH(E802,ctaNom,0))="Sí",FALSE),IF(OR(I802="Gasto",I802="Transferencia",I802="Pago tarjeta"),-1,1)*O802,0)+IF(AND(U802&lt;&gt;"",IFERROR(INDEX(ctaLiq,MATCH(G802,ctaNom,0))="Sí",FALSE)),O802,0))</f>
        <v/>
      </c>
      <c r="W802" s="19">
        <f>IF(OR(F802="",I802=""),"",IF(COUNTIFS(F$6:F802,F802,I$6:I802,"?*")=1,MAX(W$5:W801)+1,""))</f>
        <v/>
      </c>
    </row>
    <row r="803">
      <c r="B803" s="15" t="n"/>
      <c r="C803" s="16" t="n"/>
      <c r="D803" s="17" t="n"/>
      <c r="E803" s="17" t="n"/>
      <c r="F803" s="17" t="n"/>
      <c r="G803" s="17" t="n"/>
      <c r="H803" s="18">
        <f>IF(AND(B803="",C803="",D803="",E803=""),"",IF(B803="","⚠ Falta fecha",IF(C803="","⚠ Falta monto",IF(D803="","⚠ Falta categoría",IF(ISNA(MATCH(D803,catNom,0)),"⚠ Categoría no existe",IF(E803="","⚠ Falta cuenta",IF(ISNA(MATCH(E803,ctaNom,0)),"⚠ Cuenta no existe",IF(AND(OR(I803="Transferencia",I803="Pago tarjeta"),G803=""),"⚠ Indica la cuenta «Hacia»",IF(AND(G803&lt;&gt;"",G803=E803),"⚠ «Hacia» igual a la cuenta",IF(AND(G803&lt;&gt;"",ISNA(MATCH(G803,ctaNom,0))),"⚠ «Hacia» no existe",IF(AND(I803="Pago tarjeta",IFERROR(INDEX(ctaTipo,MATCH(G803,ctaNom,0)),"")&lt;&gt;"Tarjeta de crédito"),"⚠ «Hacia» debe ser la tarjeta",IF(AND(I803="Trading",IFERROR(INDEX(ctaTipo,MATCH(E803,ctaNom,0)),"")&lt;&gt;"Cuenta de trading"),"⚠ Usa la cuenta de trading","✓"))))))))))))</f>
        <v/>
      </c>
      <c r="I803" s="19">
        <f>IF(OR(B803="",C803="",D803=""),"",IFERROR(INDEX(catTipo,MATCH(D803,catNom,0))&amp;"",""))</f>
        <v/>
      </c>
      <c r="J803" s="19">
        <f>IF(I803="","",IFERROR(INDEX(catGrupo,MATCH(D803,catNom,0))&amp;"",""))</f>
        <v/>
      </c>
      <c r="K803" s="19">
        <f>IF(I803="Gasto",IF(IFERROR(INDEX(catClas,MATCH(D803,catNom,0))&amp;"","")="","Variable",IFERROR(INDEX(catClas,MATCH(D803,catNom,0))&amp;"","")),"")</f>
        <v/>
      </c>
      <c r="L803" s="19">
        <f>IF(I803="","",IFERROR(INDEX(catAlim,MATCH(D803,catNom,0))&amp;"",""))</f>
        <v/>
      </c>
      <c r="M803" s="19">
        <f>IF(I803="","",IFERROR(INDEX(catComida,MATCH(D803,catNom,0))&amp;"",""))</f>
        <v/>
      </c>
      <c r="N803" s="19">
        <f>IF(I803="","",IFERROR(INDEX(ctaMon,MATCH(E803,ctaNom,0))&amp;"","DOP"))</f>
        <v/>
      </c>
      <c r="O803" s="20">
        <f>IF(I803="","",C803*IF(N803="USD",TasaUSD,1))</f>
        <v/>
      </c>
      <c r="P803" s="20">
        <f>IF(I803="","",IF(I803="Gasto",O803,0))</f>
        <v/>
      </c>
      <c r="Q803" s="20">
        <f>IF(I803="","",IF(I803="Ingreso",O803,0))</f>
        <v/>
      </c>
      <c r="R803" s="20">
        <f>IF(I803="","",IF(I803="Trading",O803,0))</f>
        <v/>
      </c>
      <c r="S803" s="19">
        <f>IF(I803="","",IF(AND(I803="Gasto",K803="Variable",J803&lt;&gt;"Trading",O803&gt;0,O803&lt;=Umbral),1,0))</f>
        <v/>
      </c>
      <c r="T803" s="20">
        <f>IF(OR(I803="",E803=""),"",IF(OR(I803="Gasto",I803="Transferencia",I803="Pago tarjeta"),-1,1)*C803)</f>
        <v/>
      </c>
      <c r="U803" s="20">
        <f>IF(OR(G803="",AND(I803&lt;&gt;"Transferencia",I803&lt;&gt;"Pago tarjeta")),"",IF(IFERROR(INDEX(ctaMon,MATCH(G803,ctaNom,0))&amp;"","DOP")=N803,C803,IF(N803="USD",C803*TasaUSD,C803/TasaUSD)))</f>
        <v/>
      </c>
      <c r="V803" s="20">
        <f>IF(I803="","",IF(IFERROR(INDEX(ctaLiq,MATCH(E803,ctaNom,0))="Sí",FALSE),IF(OR(I803="Gasto",I803="Transferencia",I803="Pago tarjeta"),-1,1)*O803,0)+IF(AND(U803&lt;&gt;"",IFERROR(INDEX(ctaLiq,MATCH(G803,ctaNom,0))="Sí",FALSE)),O803,0))</f>
        <v/>
      </c>
      <c r="W803" s="19">
        <f>IF(OR(F803="",I803=""),"",IF(COUNTIFS(F$6:F803,F803,I$6:I803,"?*")=1,MAX(W$5:W802)+1,""))</f>
        <v/>
      </c>
    </row>
    <row r="804">
      <c r="B804" s="15" t="n"/>
      <c r="C804" s="16" t="n"/>
      <c r="D804" s="17" t="n"/>
      <c r="E804" s="17" t="n"/>
      <c r="F804" s="17" t="n"/>
      <c r="G804" s="17" t="n"/>
      <c r="H804" s="18">
        <f>IF(AND(B804="",C804="",D804="",E804=""),"",IF(B804="","⚠ Falta fecha",IF(C804="","⚠ Falta monto",IF(D804="","⚠ Falta categoría",IF(ISNA(MATCH(D804,catNom,0)),"⚠ Categoría no existe",IF(E804="","⚠ Falta cuenta",IF(ISNA(MATCH(E804,ctaNom,0)),"⚠ Cuenta no existe",IF(AND(OR(I804="Transferencia",I804="Pago tarjeta"),G804=""),"⚠ Indica la cuenta «Hacia»",IF(AND(G804&lt;&gt;"",G804=E804),"⚠ «Hacia» igual a la cuenta",IF(AND(G804&lt;&gt;"",ISNA(MATCH(G804,ctaNom,0))),"⚠ «Hacia» no existe",IF(AND(I804="Pago tarjeta",IFERROR(INDEX(ctaTipo,MATCH(G804,ctaNom,0)),"")&lt;&gt;"Tarjeta de crédito"),"⚠ «Hacia» debe ser la tarjeta",IF(AND(I804="Trading",IFERROR(INDEX(ctaTipo,MATCH(E804,ctaNom,0)),"")&lt;&gt;"Cuenta de trading"),"⚠ Usa la cuenta de trading","✓"))))))))))))</f>
        <v/>
      </c>
      <c r="I804" s="19">
        <f>IF(OR(B804="",C804="",D804=""),"",IFERROR(INDEX(catTipo,MATCH(D804,catNom,0))&amp;"",""))</f>
        <v/>
      </c>
      <c r="J804" s="19">
        <f>IF(I804="","",IFERROR(INDEX(catGrupo,MATCH(D804,catNom,0))&amp;"",""))</f>
        <v/>
      </c>
      <c r="K804" s="19">
        <f>IF(I804="Gasto",IF(IFERROR(INDEX(catClas,MATCH(D804,catNom,0))&amp;"","")="","Variable",IFERROR(INDEX(catClas,MATCH(D804,catNom,0))&amp;"","")),"")</f>
        <v/>
      </c>
      <c r="L804" s="19">
        <f>IF(I804="","",IFERROR(INDEX(catAlim,MATCH(D804,catNom,0))&amp;"",""))</f>
        <v/>
      </c>
      <c r="M804" s="19">
        <f>IF(I804="","",IFERROR(INDEX(catComida,MATCH(D804,catNom,0))&amp;"",""))</f>
        <v/>
      </c>
      <c r="N804" s="19">
        <f>IF(I804="","",IFERROR(INDEX(ctaMon,MATCH(E804,ctaNom,0))&amp;"","DOP"))</f>
        <v/>
      </c>
      <c r="O804" s="20">
        <f>IF(I804="","",C804*IF(N804="USD",TasaUSD,1))</f>
        <v/>
      </c>
      <c r="P804" s="20">
        <f>IF(I804="","",IF(I804="Gasto",O804,0))</f>
        <v/>
      </c>
      <c r="Q804" s="20">
        <f>IF(I804="","",IF(I804="Ingreso",O804,0))</f>
        <v/>
      </c>
      <c r="R804" s="20">
        <f>IF(I804="","",IF(I804="Trading",O804,0))</f>
        <v/>
      </c>
      <c r="S804" s="19">
        <f>IF(I804="","",IF(AND(I804="Gasto",K804="Variable",J804&lt;&gt;"Trading",O804&gt;0,O804&lt;=Umbral),1,0))</f>
        <v/>
      </c>
      <c r="T804" s="20">
        <f>IF(OR(I804="",E804=""),"",IF(OR(I804="Gasto",I804="Transferencia",I804="Pago tarjeta"),-1,1)*C804)</f>
        <v/>
      </c>
      <c r="U804" s="20">
        <f>IF(OR(G804="",AND(I804&lt;&gt;"Transferencia",I804&lt;&gt;"Pago tarjeta")),"",IF(IFERROR(INDEX(ctaMon,MATCH(G804,ctaNom,0))&amp;"","DOP")=N804,C804,IF(N804="USD",C804*TasaUSD,C804/TasaUSD)))</f>
        <v/>
      </c>
      <c r="V804" s="20">
        <f>IF(I804="","",IF(IFERROR(INDEX(ctaLiq,MATCH(E804,ctaNom,0))="Sí",FALSE),IF(OR(I804="Gasto",I804="Transferencia",I804="Pago tarjeta"),-1,1)*O804,0)+IF(AND(U804&lt;&gt;"",IFERROR(INDEX(ctaLiq,MATCH(G804,ctaNom,0))="Sí",FALSE)),O804,0))</f>
        <v/>
      </c>
      <c r="W804" s="19">
        <f>IF(OR(F804="",I804=""),"",IF(COUNTIFS(F$6:F804,F804,I$6:I804,"?*")=1,MAX(W$5:W803)+1,""))</f>
        <v/>
      </c>
    </row>
    <row r="805">
      <c r="B805" s="15" t="n"/>
      <c r="C805" s="16" t="n"/>
      <c r="D805" s="17" t="n"/>
      <c r="E805" s="17" t="n"/>
      <c r="F805" s="17" t="n"/>
      <c r="G805" s="17" t="n"/>
      <c r="H805" s="18">
        <f>IF(AND(B805="",C805="",D805="",E805=""),"",IF(B805="","⚠ Falta fecha",IF(C805="","⚠ Falta monto",IF(D805="","⚠ Falta categoría",IF(ISNA(MATCH(D805,catNom,0)),"⚠ Categoría no existe",IF(E805="","⚠ Falta cuenta",IF(ISNA(MATCH(E805,ctaNom,0)),"⚠ Cuenta no existe",IF(AND(OR(I805="Transferencia",I805="Pago tarjeta"),G805=""),"⚠ Indica la cuenta «Hacia»",IF(AND(G805&lt;&gt;"",G805=E805),"⚠ «Hacia» igual a la cuenta",IF(AND(G805&lt;&gt;"",ISNA(MATCH(G805,ctaNom,0))),"⚠ «Hacia» no existe",IF(AND(I805="Pago tarjeta",IFERROR(INDEX(ctaTipo,MATCH(G805,ctaNom,0)),"")&lt;&gt;"Tarjeta de crédito"),"⚠ «Hacia» debe ser la tarjeta",IF(AND(I805="Trading",IFERROR(INDEX(ctaTipo,MATCH(E805,ctaNom,0)),"")&lt;&gt;"Cuenta de trading"),"⚠ Usa la cuenta de trading","✓"))))))))))))</f>
        <v/>
      </c>
      <c r="I805" s="19">
        <f>IF(OR(B805="",C805="",D805=""),"",IFERROR(INDEX(catTipo,MATCH(D805,catNom,0))&amp;"",""))</f>
        <v/>
      </c>
      <c r="J805" s="19">
        <f>IF(I805="","",IFERROR(INDEX(catGrupo,MATCH(D805,catNom,0))&amp;"",""))</f>
        <v/>
      </c>
      <c r="K805" s="19">
        <f>IF(I805="Gasto",IF(IFERROR(INDEX(catClas,MATCH(D805,catNom,0))&amp;"","")="","Variable",IFERROR(INDEX(catClas,MATCH(D805,catNom,0))&amp;"","")),"")</f>
        <v/>
      </c>
      <c r="L805" s="19">
        <f>IF(I805="","",IFERROR(INDEX(catAlim,MATCH(D805,catNom,0))&amp;"",""))</f>
        <v/>
      </c>
      <c r="M805" s="19">
        <f>IF(I805="","",IFERROR(INDEX(catComida,MATCH(D805,catNom,0))&amp;"",""))</f>
        <v/>
      </c>
      <c r="N805" s="19">
        <f>IF(I805="","",IFERROR(INDEX(ctaMon,MATCH(E805,ctaNom,0))&amp;"","DOP"))</f>
        <v/>
      </c>
      <c r="O805" s="20">
        <f>IF(I805="","",C805*IF(N805="USD",TasaUSD,1))</f>
        <v/>
      </c>
      <c r="P805" s="20">
        <f>IF(I805="","",IF(I805="Gasto",O805,0))</f>
        <v/>
      </c>
      <c r="Q805" s="20">
        <f>IF(I805="","",IF(I805="Ingreso",O805,0))</f>
        <v/>
      </c>
      <c r="R805" s="20">
        <f>IF(I805="","",IF(I805="Trading",O805,0))</f>
        <v/>
      </c>
      <c r="S805" s="19">
        <f>IF(I805="","",IF(AND(I805="Gasto",K805="Variable",J805&lt;&gt;"Trading",O805&gt;0,O805&lt;=Umbral),1,0))</f>
        <v/>
      </c>
      <c r="T805" s="20">
        <f>IF(OR(I805="",E805=""),"",IF(OR(I805="Gasto",I805="Transferencia",I805="Pago tarjeta"),-1,1)*C805)</f>
        <v/>
      </c>
      <c r="U805" s="20">
        <f>IF(OR(G805="",AND(I805&lt;&gt;"Transferencia",I805&lt;&gt;"Pago tarjeta")),"",IF(IFERROR(INDEX(ctaMon,MATCH(G805,ctaNom,0))&amp;"","DOP")=N805,C805,IF(N805="USD",C805*TasaUSD,C805/TasaUSD)))</f>
        <v/>
      </c>
      <c r="V805" s="20">
        <f>IF(I805="","",IF(IFERROR(INDEX(ctaLiq,MATCH(E805,ctaNom,0))="Sí",FALSE),IF(OR(I805="Gasto",I805="Transferencia",I805="Pago tarjeta"),-1,1)*O805,0)+IF(AND(U805&lt;&gt;"",IFERROR(INDEX(ctaLiq,MATCH(G805,ctaNom,0))="Sí",FALSE)),O805,0))</f>
        <v/>
      </c>
      <c r="W805" s="19">
        <f>IF(OR(F805="",I805=""),"",IF(COUNTIFS(F$6:F805,F805,I$6:I805,"?*")=1,MAX(W$5:W804)+1,""))</f>
        <v/>
      </c>
    </row>
    <row r="806">
      <c r="B806" s="15" t="n"/>
      <c r="C806" s="16" t="n"/>
      <c r="D806" s="17" t="n"/>
      <c r="E806" s="17" t="n"/>
      <c r="F806" s="17" t="n"/>
      <c r="G806" s="17" t="n"/>
      <c r="H806" s="18">
        <f>IF(AND(B806="",C806="",D806="",E806=""),"",IF(B806="","⚠ Falta fecha",IF(C806="","⚠ Falta monto",IF(D806="","⚠ Falta categoría",IF(ISNA(MATCH(D806,catNom,0)),"⚠ Categoría no existe",IF(E806="","⚠ Falta cuenta",IF(ISNA(MATCH(E806,ctaNom,0)),"⚠ Cuenta no existe",IF(AND(OR(I806="Transferencia",I806="Pago tarjeta"),G806=""),"⚠ Indica la cuenta «Hacia»",IF(AND(G806&lt;&gt;"",G806=E806),"⚠ «Hacia» igual a la cuenta",IF(AND(G806&lt;&gt;"",ISNA(MATCH(G806,ctaNom,0))),"⚠ «Hacia» no existe",IF(AND(I806="Pago tarjeta",IFERROR(INDEX(ctaTipo,MATCH(G806,ctaNom,0)),"")&lt;&gt;"Tarjeta de crédito"),"⚠ «Hacia» debe ser la tarjeta",IF(AND(I806="Trading",IFERROR(INDEX(ctaTipo,MATCH(E806,ctaNom,0)),"")&lt;&gt;"Cuenta de trading"),"⚠ Usa la cuenta de trading","✓"))))))))))))</f>
        <v/>
      </c>
      <c r="I806" s="19">
        <f>IF(OR(B806="",C806="",D806=""),"",IFERROR(INDEX(catTipo,MATCH(D806,catNom,0))&amp;"",""))</f>
        <v/>
      </c>
      <c r="J806" s="19">
        <f>IF(I806="","",IFERROR(INDEX(catGrupo,MATCH(D806,catNom,0))&amp;"",""))</f>
        <v/>
      </c>
      <c r="K806" s="19">
        <f>IF(I806="Gasto",IF(IFERROR(INDEX(catClas,MATCH(D806,catNom,0))&amp;"","")="","Variable",IFERROR(INDEX(catClas,MATCH(D806,catNom,0))&amp;"","")),"")</f>
        <v/>
      </c>
      <c r="L806" s="19">
        <f>IF(I806="","",IFERROR(INDEX(catAlim,MATCH(D806,catNom,0))&amp;"",""))</f>
        <v/>
      </c>
      <c r="M806" s="19">
        <f>IF(I806="","",IFERROR(INDEX(catComida,MATCH(D806,catNom,0))&amp;"",""))</f>
        <v/>
      </c>
      <c r="N806" s="19">
        <f>IF(I806="","",IFERROR(INDEX(ctaMon,MATCH(E806,ctaNom,0))&amp;"","DOP"))</f>
        <v/>
      </c>
      <c r="O806" s="20">
        <f>IF(I806="","",C806*IF(N806="USD",TasaUSD,1))</f>
        <v/>
      </c>
      <c r="P806" s="20">
        <f>IF(I806="","",IF(I806="Gasto",O806,0))</f>
        <v/>
      </c>
      <c r="Q806" s="20">
        <f>IF(I806="","",IF(I806="Ingreso",O806,0))</f>
        <v/>
      </c>
      <c r="R806" s="20">
        <f>IF(I806="","",IF(I806="Trading",O806,0))</f>
        <v/>
      </c>
      <c r="S806" s="19">
        <f>IF(I806="","",IF(AND(I806="Gasto",K806="Variable",J806&lt;&gt;"Trading",O806&gt;0,O806&lt;=Umbral),1,0))</f>
        <v/>
      </c>
      <c r="T806" s="20">
        <f>IF(OR(I806="",E806=""),"",IF(OR(I806="Gasto",I806="Transferencia",I806="Pago tarjeta"),-1,1)*C806)</f>
        <v/>
      </c>
      <c r="U806" s="20">
        <f>IF(OR(G806="",AND(I806&lt;&gt;"Transferencia",I806&lt;&gt;"Pago tarjeta")),"",IF(IFERROR(INDEX(ctaMon,MATCH(G806,ctaNom,0))&amp;"","DOP")=N806,C806,IF(N806="USD",C806*TasaUSD,C806/TasaUSD)))</f>
        <v/>
      </c>
      <c r="V806" s="20">
        <f>IF(I806="","",IF(IFERROR(INDEX(ctaLiq,MATCH(E806,ctaNom,0))="Sí",FALSE),IF(OR(I806="Gasto",I806="Transferencia",I806="Pago tarjeta"),-1,1)*O806,0)+IF(AND(U806&lt;&gt;"",IFERROR(INDEX(ctaLiq,MATCH(G806,ctaNom,0))="Sí",FALSE)),O806,0))</f>
        <v/>
      </c>
      <c r="W806" s="19">
        <f>IF(OR(F806="",I806=""),"",IF(COUNTIFS(F$6:F806,F806,I$6:I806,"?*")=1,MAX(W$5:W805)+1,""))</f>
        <v/>
      </c>
    </row>
    <row r="807">
      <c r="B807" s="15" t="n"/>
      <c r="C807" s="16" t="n"/>
      <c r="D807" s="17" t="n"/>
      <c r="E807" s="17" t="n"/>
      <c r="F807" s="17" t="n"/>
      <c r="G807" s="17" t="n"/>
      <c r="H807" s="18">
        <f>IF(AND(B807="",C807="",D807="",E807=""),"",IF(B807="","⚠ Falta fecha",IF(C807="","⚠ Falta monto",IF(D807="","⚠ Falta categoría",IF(ISNA(MATCH(D807,catNom,0)),"⚠ Categoría no existe",IF(E807="","⚠ Falta cuenta",IF(ISNA(MATCH(E807,ctaNom,0)),"⚠ Cuenta no existe",IF(AND(OR(I807="Transferencia",I807="Pago tarjeta"),G807=""),"⚠ Indica la cuenta «Hacia»",IF(AND(G807&lt;&gt;"",G807=E807),"⚠ «Hacia» igual a la cuenta",IF(AND(G807&lt;&gt;"",ISNA(MATCH(G807,ctaNom,0))),"⚠ «Hacia» no existe",IF(AND(I807="Pago tarjeta",IFERROR(INDEX(ctaTipo,MATCH(G807,ctaNom,0)),"")&lt;&gt;"Tarjeta de crédito"),"⚠ «Hacia» debe ser la tarjeta",IF(AND(I807="Trading",IFERROR(INDEX(ctaTipo,MATCH(E807,ctaNom,0)),"")&lt;&gt;"Cuenta de trading"),"⚠ Usa la cuenta de trading","✓"))))))))))))</f>
        <v/>
      </c>
      <c r="I807" s="19">
        <f>IF(OR(B807="",C807="",D807=""),"",IFERROR(INDEX(catTipo,MATCH(D807,catNom,0))&amp;"",""))</f>
        <v/>
      </c>
      <c r="J807" s="19">
        <f>IF(I807="","",IFERROR(INDEX(catGrupo,MATCH(D807,catNom,0))&amp;"",""))</f>
        <v/>
      </c>
      <c r="K807" s="19">
        <f>IF(I807="Gasto",IF(IFERROR(INDEX(catClas,MATCH(D807,catNom,0))&amp;"","")="","Variable",IFERROR(INDEX(catClas,MATCH(D807,catNom,0))&amp;"","")),"")</f>
        <v/>
      </c>
      <c r="L807" s="19">
        <f>IF(I807="","",IFERROR(INDEX(catAlim,MATCH(D807,catNom,0))&amp;"",""))</f>
        <v/>
      </c>
      <c r="M807" s="19">
        <f>IF(I807="","",IFERROR(INDEX(catComida,MATCH(D807,catNom,0))&amp;"",""))</f>
        <v/>
      </c>
      <c r="N807" s="19">
        <f>IF(I807="","",IFERROR(INDEX(ctaMon,MATCH(E807,ctaNom,0))&amp;"","DOP"))</f>
        <v/>
      </c>
      <c r="O807" s="20">
        <f>IF(I807="","",C807*IF(N807="USD",TasaUSD,1))</f>
        <v/>
      </c>
      <c r="P807" s="20">
        <f>IF(I807="","",IF(I807="Gasto",O807,0))</f>
        <v/>
      </c>
      <c r="Q807" s="20">
        <f>IF(I807="","",IF(I807="Ingreso",O807,0))</f>
        <v/>
      </c>
      <c r="R807" s="20">
        <f>IF(I807="","",IF(I807="Trading",O807,0))</f>
        <v/>
      </c>
      <c r="S807" s="19">
        <f>IF(I807="","",IF(AND(I807="Gasto",K807="Variable",J807&lt;&gt;"Trading",O807&gt;0,O807&lt;=Umbral),1,0))</f>
        <v/>
      </c>
      <c r="T807" s="20">
        <f>IF(OR(I807="",E807=""),"",IF(OR(I807="Gasto",I807="Transferencia",I807="Pago tarjeta"),-1,1)*C807)</f>
        <v/>
      </c>
      <c r="U807" s="20">
        <f>IF(OR(G807="",AND(I807&lt;&gt;"Transferencia",I807&lt;&gt;"Pago tarjeta")),"",IF(IFERROR(INDEX(ctaMon,MATCH(G807,ctaNom,0))&amp;"","DOP")=N807,C807,IF(N807="USD",C807*TasaUSD,C807/TasaUSD)))</f>
        <v/>
      </c>
      <c r="V807" s="20">
        <f>IF(I807="","",IF(IFERROR(INDEX(ctaLiq,MATCH(E807,ctaNom,0))="Sí",FALSE),IF(OR(I807="Gasto",I807="Transferencia",I807="Pago tarjeta"),-1,1)*O807,0)+IF(AND(U807&lt;&gt;"",IFERROR(INDEX(ctaLiq,MATCH(G807,ctaNom,0))="Sí",FALSE)),O807,0))</f>
        <v/>
      </c>
      <c r="W807" s="19">
        <f>IF(OR(F807="",I807=""),"",IF(COUNTIFS(F$6:F807,F807,I$6:I807,"?*")=1,MAX(W$5:W806)+1,""))</f>
        <v/>
      </c>
    </row>
    <row r="808">
      <c r="B808" s="15" t="n"/>
      <c r="C808" s="16" t="n"/>
      <c r="D808" s="17" t="n"/>
      <c r="E808" s="17" t="n"/>
      <c r="F808" s="17" t="n"/>
      <c r="G808" s="17" t="n"/>
      <c r="H808" s="18">
        <f>IF(AND(B808="",C808="",D808="",E808=""),"",IF(B808="","⚠ Falta fecha",IF(C808="","⚠ Falta monto",IF(D808="","⚠ Falta categoría",IF(ISNA(MATCH(D808,catNom,0)),"⚠ Categoría no existe",IF(E808="","⚠ Falta cuenta",IF(ISNA(MATCH(E808,ctaNom,0)),"⚠ Cuenta no existe",IF(AND(OR(I808="Transferencia",I808="Pago tarjeta"),G808=""),"⚠ Indica la cuenta «Hacia»",IF(AND(G808&lt;&gt;"",G808=E808),"⚠ «Hacia» igual a la cuenta",IF(AND(G808&lt;&gt;"",ISNA(MATCH(G808,ctaNom,0))),"⚠ «Hacia» no existe",IF(AND(I808="Pago tarjeta",IFERROR(INDEX(ctaTipo,MATCH(G808,ctaNom,0)),"")&lt;&gt;"Tarjeta de crédito"),"⚠ «Hacia» debe ser la tarjeta",IF(AND(I808="Trading",IFERROR(INDEX(ctaTipo,MATCH(E808,ctaNom,0)),"")&lt;&gt;"Cuenta de trading"),"⚠ Usa la cuenta de trading","✓"))))))))))))</f>
        <v/>
      </c>
      <c r="I808" s="19">
        <f>IF(OR(B808="",C808="",D808=""),"",IFERROR(INDEX(catTipo,MATCH(D808,catNom,0))&amp;"",""))</f>
        <v/>
      </c>
      <c r="J808" s="19">
        <f>IF(I808="","",IFERROR(INDEX(catGrupo,MATCH(D808,catNom,0))&amp;"",""))</f>
        <v/>
      </c>
      <c r="K808" s="19">
        <f>IF(I808="Gasto",IF(IFERROR(INDEX(catClas,MATCH(D808,catNom,0))&amp;"","")="","Variable",IFERROR(INDEX(catClas,MATCH(D808,catNom,0))&amp;"","")),"")</f>
        <v/>
      </c>
      <c r="L808" s="19">
        <f>IF(I808="","",IFERROR(INDEX(catAlim,MATCH(D808,catNom,0))&amp;"",""))</f>
        <v/>
      </c>
      <c r="M808" s="19">
        <f>IF(I808="","",IFERROR(INDEX(catComida,MATCH(D808,catNom,0))&amp;"",""))</f>
        <v/>
      </c>
      <c r="N808" s="19">
        <f>IF(I808="","",IFERROR(INDEX(ctaMon,MATCH(E808,ctaNom,0))&amp;"","DOP"))</f>
        <v/>
      </c>
      <c r="O808" s="20">
        <f>IF(I808="","",C808*IF(N808="USD",TasaUSD,1))</f>
        <v/>
      </c>
      <c r="P808" s="20">
        <f>IF(I808="","",IF(I808="Gasto",O808,0))</f>
        <v/>
      </c>
      <c r="Q808" s="20">
        <f>IF(I808="","",IF(I808="Ingreso",O808,0))</f>
        <v/>
      </c>
      <c r="R808" s="20">
        <f>IF(I808="","",IF(I808="Trading",O808,0))</f>
        <v/>
      </c>
      <c r="S808" s="19">
        <f>IF(I808="","",IF(AND(I808="Gasto",K808="Variable",J808&lt;&gt;"Trading",O808&gt;0,O808&lt;=Umbral),1,0))</f>
        <v/>
      </c>
      <c r="T808" s="20">
        <f>IF(OR(I808="",E808=""),"",IF(OR(I808="Gasto",I808="Transferencia",I808="Pago tarjeta"),-1,1)*C808)</f>
        <v/>
      </c>
      <c r="U808" s="20">
        <f>IF(OR(G808="",AND(I808&lt;&gt;"Transferencia",I808&lt;&gt;"Pago tarjeta")),"",IF(IFERROR(INDEX(ctaMon,MATCH(G808,ctaNom,0))&amp;"","DOP")=N808,C808,IF(N808="USD",C808*TasaUSD,C808/TasaUSD)))</f>
        <v/>
      </c>
      <c r="V808" s="20">
        <f>IF(I808="","",IF(IFERROR(INDEX(ctaLiq,MATCH(E808,ctaNom,0))="Sí",FALSE),IF(OR(I808="Gasto",I808="Transferencia",I808="Pago tarjeta"),-1,1)*O808,0)+IF(AND(U808&lt;&gt;"",IFERROR(INDEX(ctaLiq,MATCH(G808,ctaNom,0))="Sí",FALSE)),O808,0))</f>
        <v/>
      </c>
      <c r="W808" s="19">
        <f>IF(OR(F808="",I808=""),"",IF(COUNTIFS(F$6:F808,F808,I$6:I808,"?*")=1,MAX(W$5:W807)+1,""))</f>
        <v/>
      </c>
    </row>
    <row r="809">
      <c r="B809" s="15" t="n"/>
      <c r="C809" s="16" t="n"/>
      <c r="D809" s="17" t="n"/>
      <c r="E809" s="17" t="n"/>
      <c r="F809" s="17" t="n"/>
      <c r="G809" s="17" t="n"/>
      <c r="H809" s="18">
        <f>IF(AND(B809="",C809="",D809="",E809=""),"",IF(B809="","⚠ Falta fecha",IF(C809="","⚠ Falta monto",IF(D809="","⚠ Falta categoría",IF(ISNA(MATCH(D809,catNom,0)),"⚠ Categoría no existe",IF(E809="","⚠ Falta cuenta",IF(ISNA(MATCH(E809,ctaNom,0)),"⚠ Cuenta no existe",IF(AND(OR(I809="Transferencia",I809="Pago tarjeta"),G809=""),"⚠ Indica la cuenta «Hacia»",IF(AND(G809&lt;&gt;"",G809=E809),"⚠ «Hacia» igual a la cuenta",IF(AND(G809&lt;&gt;"",ISNA(MATCH(G809,ctaNom,0))),"⚠ «Hacia» no existe",IF(AND(I809="Pago tarjeta",IFERROR(INDEX(ctaTipo,MATCH(G809,ctaNom,0)),"")&lt;&gt;"Tarjeta de crédito"),"⚠ «Hacia» debe ser la tarjeta",IF(AND(I809="Trading",IFERROR(INDEX(ctaTipo,MATCH(E809,ctaNom,0)),"")&lt;&gt;"Cuenta de trading"),"⚠ Usa la cuenta de trading","✓"))))))))))))</f>
        <v/>
      </c>
      <c r="I809" s="19">
        <f>IF(OR(B809="",C809="",D809=""),"",IFERROR(INDEX(catTipo,MATCH(D809,catNom,0))&amp;"",""))</f>
        <v/>
      </c>
      <c r="J809" s="19">
        <f>IF(I809="","",IFERROR(INDEX(catGrupo,MATCH(D809,catNom,0))&amp;"",""))</f>
        <v/>
      </c>
      <c r="K809" s="19">
        <f>IF(I809="Gasto",IF(IFERROR(INDEX(catClas,MATCH(D809,catNom,0))&amp;"","")="","Variable",IFERROR(INDEX(catClas,MATCH(D809,catNom,0))&amp;"","")),"")</f>
        <v/>
      </c>
      <c r="L809" s="19">
        <f>IF(I809="","",IFERROR(INDEX(catAlim,MATCH(D809,catNom,0))&amp;"",""))</f>
        <v/>
      </c>
      <c r="M809" s="19">
        <f>IF(I809="","",IFERROR(INDEX(catComida,MATCH(D809,catNom,0))&amp;"",""))</f>
        <v/>
      </c>
      <c r="N809" s="19">
        <f>IF(I809="","",IFERROR(INDEX(ctaMon,MATCH(E809,ctaNom,0))&amp;"","DOP"))</f>
        <v/>
      </c>
      <c r="O809" s="20">
        <f>IF(I809="","",C809*IF(N809="USD",TasaUSD,1))</f>
        <v/>
      </c>
      <c r="P809" s="20">
        <f>IF(I809="","",IF(I809="Gasto",O809,0))</f>
        <v/>
      </c>
      <c r="Q809" s="20">
        <f>IF(I809="","",IF(I809="Ingreso",O809,0))</f>
        <v/>
      </c>
      <c r="R809" s="20">
        <f>IF(I809="","",IF(I809="Trading",O809,0))</f>
        <v/>
      </c>
      <c r="S809" s="19">
        <f>IF(I809="","",IF(AND(I809="Gasto",K809="Variable",J809&lt;&gt;"Trading",O809&gt;0,O809&lt;=Umbral),1,0))</f>
        <v/>
      </c>
      <c r="T809" s="20">
        <f>IF(OR(I809="",E809=""),"",IF(OR(I809="Gasto",I809="Transferencia",I809="Pago tarjeta"),-1,1)*C809)</f>
        <v/>
      </c>
      <c r="U809" s="20">
        <f>IF(OR(G809="",AND(I809&lt;&gt;"Transferencia",I809&lt;&gt;"Pago tarjeta")),"",IF(IFERROR(INDEX(ctaMon,MATCH(G809,ctaNom,0))&amp;"","DOP")=N809,C809,IF(N809="USD",C809*TasaUSD,C809/TasaUSD)))</f>
        <v/>
      </c>
      <c r="V809" s="20">
        <f>IF(I809="","",IF(IFERROR(INDEX(ctaLiq,MATCH(E809,ctaNom,0))="Sí",FALSE),IF(OR(I809="Gasto",I809="Transferencia",I809="Pago tarjeta"),-1,1)*O809,0)+IF(AND(U809&lt;&gt;"",IFERROR(INDEX(ctaLiq,MATCH(G809,ctaNom,0))="Sí",FALSE)),O809,0))</f>
        <v/>
      </c>
      <c r="W809" s="19">
        <f>IF(OR(F809="",I809=""),"",IF(COUNTIFS(F$6:F809,F809,I$6:I809,"?*")=1,MAX(W$5:W808)+1,""))</f>
        <v/>
      </c>
    </row>
    <row r="810">
      <c r="B810" s="15" t="n"/>
      <c r="C810" s="16" t="n"/>
      <c r="D810" s="17" t="n"/>
      <c r="E810" s="17" t="n"/>
      <c r="F810" s="17" t="n"/>
      <c r="G810" s="17" t="n"/>
      <c r="H810" s="18">
        <f>IF(AND(B810="",C810="",D810="",E810=""),"",IF(B810="","⚠ Falta fecha",IF(C810="","⚠ Falta monto",IF(D810="","⚠ Falta categoría",IF(ISNA(MATCH(D810,catNom,0)),"⚠ Categoría no existe",IF(E810="","⚠ Falta cuenta",IF(ISNA(MATCH(E810,ctaNom,0)),"⚠ Cuenta no existe",IF(AND(OR(I810="Transferencia",I810="Pago tarjeta"),G810=""),"⚠ Indica la cuenta «Hacia»",IF(AND(G810&lt;&gt;"",G810=E810),"⚠ «Hacia» igual a la cuenta",IF(AND(G810&lt;&gt;"",ISNA(MATCH(G810,ctaNom,0))),"⚠ «Hacia» no existe",IF(AND(I810="Pago tarjeta",IFERROR(INDEX(ctaTipo,MATCH(G810,ctaNom,0)),"")&lt;&gt;"Tarjeta de crédito"),"⚠ «Hacia» debe ser la tarjeta",IF(AND(I810="Trading",IFERROR(INDEX(ctaTipo,MATCH(E810,ctaNom,0)),"")&lt;&gt;"Cuenta de trading"),"⚠ Usa la cuenta de trading","✓"))))))))))))</f>
        <v/>
      </c>
      <c r="I810" s="19">
        <f>IF(OR(B810="",C810="",D810=""),"",IFERROR(INDEX(catTipo,MATCH(D810,catNom,0))&amp;"",""))</f>
        <v/>
      </c>
      <c r="J810" s="19">
        <f>IF(I810="","",IFERROR(INDEX(catGrupo,MATCH(D810,catNom,0))&amp;"",""))</f>
        <v/>
      </c>
      <c r="K810" s="19">
        <f>IF(I810="Gasto",IF(IFERROR(INDEX(catClas,MATCH(D810,catNom,0))&amp;"","")="","Variable",IFERROR(INDEX(catClas,MATCH(D810,catNom,0))&amp;"","")),"")</f>
        <v/>
      </c>
      <c r="L810" s="19">
        <f>IF(I810="","",IFERROR(INDEX(catAlim,MATCH(D810,catNom,0))&amp;"",""))</f>
        <v/>
      </c>
      <c r="M810" s="19">
        <f>IF(I810="","",IFERROR(INDEX(catComida,MATCH(D810,catNom,0))&amp;"",""))</f>
        <v/>
      </c>
      <c r="N810" s="19">
        <f>IF(I810="","",IFERROR(INDEX(ctaMon,MATCH(E810,ctaNom,0))&amp;"","DOP"))</f>
        <v/>
      </c>
      <c r="O810" s="20">
        <f>IF(I810="","",C810*IF(N810="USD",TasaUSD,1))</f>
        <v/>
      </c>
      <c r="P810" s="20">
        <f>IF(I810="","",IF(I810="Gasto",O810,0))</f>
        <v/>
      </c>
      <c r="Q810" s="20">
        <f>IF(I810="","",IF(I810="Ingreso",O810,0))</f>
        <v/>
      </c>
      <c r="R810" s="20">
        <f>IF(I810="","",IF(I810="Trading",O810,0))</f>
        <v/>
      </c>
      <c r="S810" s="19">
        <f>IF(I810="","",IF(AND(I810="Gasto",K810="Variable",J810&lt;&gt;"Trading",O810&gt;0,O810&lt;=Umbral),1,0))</f>
        <v/>
      </c>
      <c r="T810" s="20">
        <f>IF(OR(I810="",E810=""),"",IF(OR(I810="Gasto",I810="Transferencia",I810="Pago tarjeta"),-1,1)*C810)</f>
        <v/>
      </c>
      <c r="U810" s="20">
        <f>IF(OR(G810="",AND(I810&lt;&gt;"Transferencia",I810&lt;&gt;"Pago tarjeta")),"",IF(IFERROR(INDEX(ctaMon,MATCH(G810,ctaNom,0))&amp;"","DOP")=N810,C810,IF(N810="USD",C810*TasaUSD,C810/TasaUSD)))</f>
        <v/>
      </c>
      <c r="V810" s="20">
        <f>IF(I810="","",IF(IFERROR(INDEX(ctaLiq,MATCH(E810,ctaNom,0))="Sí",FALSE),IF(OR(I810="Gasto",I810="Transferencia",I810="Pago tarjeta"),-1,1)*O810,0)+IF(AND(U810&lt;&gt;"",IFERROR(INDEX(ctaLiq,MATCH(G810,ctaNom,0))="Sí",FALSE)),O810,0))</f>
        <v/>
      </c>
      <c r="W810" s="19">
        <f>IF(OR(F810="",I810=""),"",IF(COUNTIFS(F$6:F810,F810,I$6:I810,"?*")=1,MAX(W$5:W809)+1,""))</f>
        <v/>
      </c>
    </row>
    <row r="811">
      <c r="B811" s="15" t="n"/>
      <c r="C811" s="16" t="n"/>
      <c r="D811" s="17" t="n"/>
      <c r="E811" s="17" t="n"/>
      <c r="F811" s="17" t="n"/>
      <c r="G811" s="17" t="n"/>
      <c r="H811" s="18">
        <f>IF(AND(B811="",C811="",D811="",E811=""),"",IF(B811="","⚠ Falta fecha",IF(C811="","⚠ Falta monto",IF(D811="","⚠ Falta categoría",IF(ISNA(MATCH(D811,catNom,0)),"⚠ Categoría no existe",IF(E811="","⚠ Falta cuenta",IF(ISNA(MATCH(E811,ctaNom,0)),"⚠ Cuenta no existe",IF(AND(OR(I811="Transferencia",I811="Pago tarjeta"),G811=""),"⚠ Indica la cuenta «Hacia»",IF(AND(G811&lt;&gt;"",G811=E811),"⚠ «Hacia» igual a la cuenta",IF(AND(G811&lt;&gt;"",ISNA(MATCH(G811,ctaNom,0))),"⚠ «Hacia» no existe",IF(AND(I811="Pago tarjeta",IFERROR(INDEX(ctaTipo,MATCH(G811,ctaNom,0)),"")&lt;&gt;"Tarjeta de crédito"),"⚠ «Hacia» debe ser la tarjeta",IF(AND(I811="Trading",IFERROR(INDEX(ctaTipo,MATCH(E811,ctaNom,0)),"")&lt;&gt;"Cuenta de trading"),"⚠ Usa la cuenta de trading","✓"))))))))))))</f>
        <v/>
      </c>
      <c r="I811" s="19">
        <f>IF(OR(B811="",C811="",D811=""),"",IFERROR(INDEX(catTipo,MATCH(D811,catNom,0))&amp;"",""))</f>
        <v/>
      </c>
      <c r="J811" s="19">
        <f>IF(I811="","",IFERROR(INDEX(catGrupo,MATCH(D811,catNom,0))&amp;"",""))</f>
        <v/>
      </c>
      <c r="K811" s="19">
        <f>IF(I811="Gasto",IF(IFERROR(INDEX(catClas,MATCH(D811,catNom,0))&amp;"","")="","Variable",IFERROR(INDEX(catClas,MATCH(D811,catNom,0))&amp;"","")),"")</f>
        <v/>
      </c>
      <c r="L811" s="19">
        <f>IF(I811="","",IFERROR(INDEX(catAlim,MATCH(D811,catNom,0))&amp;"",""))</f>
        <v/>
      </c>
      <c r="M811" s="19">
        <f>IF(I811="","",IFERROR(INDEX(catComida,MATCH(D811,catNom,0))&amp;"",""))</f>
        <v/>
      </c>
      <c r="N811" s="19">
        <f>IF(I811="","",IFERROR(INDEX(ctaMon,MATCH(E811,ctaNom,0))&amp;"","DOP"))</f>
        <v/>
      </c>
      <c r="O811" s="20">
        <f>IF(I811="","",C811*IF(N811="USD",TasaUSD,1))</f>
        <v/>
      </c>
      <c r="P811" s="20">
        <f>IF(I811="","",IF(I811="Gasto",O811,0))</f>
        <v/>
      </c>
      <c r="Q811" s="20">
        <f>IF(I811="","",IF(I811="Ingreso",O811,0))</f>
        <v/>
      </c>
      <c r="R811" s="20">
        <f>IF(I811="","",IF(I811="Trading",O811,0))</f>
        <v/>
      </c>
      <c r="S811" s="19">
        <f>IF(I811="","",IF(AND(I811="Gasto",K811="Variable",J811&lt;&gt;"Trading",O811&gt;0,O811&lt;=Umbral),1,0))</f>
        <v/>
      </c>
      <c r="T811" s="20">
        <f>IF(OR(I811="",E811=""),"",IF(OR(I811="Gasto",I811="Transferencia",I811="Pago tarjeta"),-1,1)*C811)</f>
        <v/>
      </c>
      <c r="U811" s="20">
        <f>IF(OR(G811="",AND(I811&lt;&gt;"Transferencia",I811&lt;&gt;"Pago tarjeta")),"",IF(IFERROR(INDEX(ctaMon,MATCH(G811,ctaNom,0))&amp;"","DOP")=N811,C811,IF(N811="USD",C811*TasaUSD,C811/TasaUSD)))</f>
        <v/>
      </c>
      <c r="V811" s="20">
        <f>IF(I811="","",IF(IFERROR(INDEX(ctaLiq,MATCH(E811,ctaNom,0))="Sí",FALSE),IF(OR(I811="Gasto",I811="Transferencia",I811="Pago tarjeta"),-1,1)*O811,0)+IF(AND(U811&lt;&gt;"",IFERROR(INDEX(ctaLiq,MATCH(G811,ctaNom,0))="Sí",FALSE)),O811,0))</f>
        <v/>
      </c>
      <c r="W811" s="19">
        <f>IF(OR(F811="",I811=""),"",IF(COUNTIFS(F$6:F811,F811,I$6:I811,"?*")=1,MAX(W$5:W810)+1,""))</f>
        <v/>
      </c>
    </row>
    <row r="812">
      <c r="B812" s="15" t="n"/>
      <c r="C812" s="16" t="n"/>
      <c r="D812" s="17" t="n"/>
      <c r="E812" s="17" t="n"/>
      <c r="F812" s="17" t="n"/>
      <c r="G812" s="17" t="n"/>
      <c r="H812" s="18">
        <f>IF(AND(B812="",C812="",D812="",E812=""),"",IF(B812="","⚠ Falta fecha",IF(C812="","⚠ Falta monto",IF(D812="","⚠ Falta categoría",IF(ISNA(MATCH(D812,catNom,0)),"⚠ Categoría no existe",IF(E812="","⚠ Falta cuenta",IF(ISNA(MATCH(E812,ctaNom,0)),"⚠ Cuenta no existe",IF(AND(OR(I812="Transferencia",I812="Pago tarjeta"),G812=""),"⚠ Indica la cuenta «Hacia»",IF(AND(G812&lt;&gt;"",G812=E812),"⚠ «Hacia» igual a la cuenta",IF(AND(G812&lt;&gt;"",ISNA(MATCH(G812,ctaNom,0))),"⚠ «Hacia» no existe",IF(AND(I812="Pago tarjeta",IFERROR(INDEX(ctaTipo,MATCH(G812,ctaNom,0)),"")&lt;&gt;"Tarjeta de crédito"),"⚠ «Hacia» debe ser la tarjeta",IF(AND(I812="Trading",IFERROR(INDEX(ctaTipo,MATCH(E812,ctaNom,0)),"")&lt;&gt;"Cuenta de trading"),"⚠ Usa la cuenta de trading","✓"))))))))))))</f>
        <v/>
      </c>
      <c r="I812" s="19">
        <f>IF(OR(B812="",C812="",D812=""),"",IFERROR(INDEX(catTipo,MATCH(D812,catNom,0))&amp;"",""))</f>
        <v/>
      </c>
      <c r="J812" s="19">
        <f>IF(I812="","",IFERROR(INDEX(catGrupo,MATCH(D812,catNom,0))&amp;"",""))</f>
        <v/>
      </c>
      <c r="K812" s="19">
        <f>IF(I812="Gasto",IF(IFERROR(INDEX(catClas,MATCH(D812,catNom,0))&amp;"","")="","Variable",IFERROR(INDEX(catClas,MATCH(D812,catNom,0))&amp;"","")),"")</f>
        <v/>
      </c>
      <c r="L812" s="19">
        <f>IF(I812="","",IFERROR(INDEX(catAlim,MATCH(D812,catNom,0))&amp;"",""))</f>
        <v/>
      </c>
      <c r="M812" s="19">
        <f>IF(I812="","",IFERROR(INDEX(catComida,MATCH(D812,catNom,0))&amp;"",""))</f>
        <v/>
      </c>
      <c r="N812" s="19">
        <f>IF(I812="","",IFERROR(INDEX(ctaMon,MATCH(E812,ctaNom,0))&amp;"","DOP"))</f>
        <v/>
      </c>
      <c r="O812" s="20">
        <f>IF(I812="","",C812*IF(N812="USD",TasaUSD,1))</f>
        <v/>
      </c>
      <c r="P812" s="20">
        <f>IF(I812="","",IF(I812="Gasto",O812,0))</f>
        <v/>
      </c>
      <c r="Q812" s="20">
        <f>IF(I812="","",IF(I812="Ingreso",O812,0))</f>
        <v/>
      </c>
      <c r="R812" s="20">
        <f>IF(I812="","",IF(I812="Trading",O812,0))</f>
        <v/>
      </c>
      <c r="S812" s="19">
        <f>IF(I812="","",IF(AND(I812="Gasto",K812="Variable",J812&lt;&gt;"Trading",O812&gt;0,O812&lt;=Umbral),1,0))</f>
        <v/>
      </c>
      <c r="T812" s="20">
        <f>IF(OR(I812="",E812=""),"",IF(OR(I812="Gasto",I812="Transferencia",I812="Pago tarjeta"),-1,1)*C812)</f>
        <v/>
      </c>
      <c r="U812" s="20">
        <f>IF(OR(G812="",AND(I812&lt;&gt;"Transferencia",I812&lt;&gt;"Pago tarjeta")),"",IF(IFERROR(INDEX(ctaMon,MATCH(G812,ctaNom,0))&amp;"","DOP")=N812,C812,IF(N812="USD",C812*TasaUSD,C812/TasaUSD)))</f>
        <v/>
      </c>
      <c r="V812" s="20">
        <f>IF(I812="","",IF(IFERROR(INDEX(ctaLiq,MATCH(E812,ctaNom,0))="Sí",FALSE),IF(OR(I812="Gasto",I812="Transferencia",I812="Pago tarjeta"),-1,1)*O812,0)+IF(AND(U812&lt;&gt;"",IFERROR(INDEX(ctaLiq,MATCH(G812,ctaNom,0))="Sí",FALSE)),O812,0))</f>
        <v/>
      </c>
      <c r="W812" s="19">
        <f>IF(OR(F812="",I812=""),"",IF(COUNTIFS(F$6:F812,F812,I$6:I812,"?*")=1,MAX(W$5:W811)+1,""))</f>
        <v/>
      </c>
    </row>
    <row r="813">
      <c r="B813" s="15" t="n"/>
      <c r="C813" s="16" t="n"/>
      <c r="D813" s="17" t="n"/>
      <c r="E813" s="17" t="n"/>
      <c r="F813" s="17" t="n"/>
      <c r="G813" s="17" t="n"/>
      <c r="H813" s="18">
        <f>IF(AND(B813="",C813="",D813="",E813=""),"",IF(B813="","⚠ Falta fecha",IF(C813="","⚠ Falta monto",IF(D813="","⚠ Falta categoría",IF(ISNA(MATCH(D813,catNom,0)),"⚠ Categoría no existe",IF(E813="","⚠ Falta cuenta",IF(ISNA(MATCH(E813,ctaNom,0)),"⚠ Cuenta no existe",IF(AND(OR(I813="Transferencia",I813="Pago tarjeta"),G813=""),"⚠ Indica la cuenta «Hacia»",IF(AND(G813&lt;&gt;"",G813=E813),"⚠ «Hacia» igual a la cuenta",IF(AND(G813&lt;&gt;"",ISNA(MATCH(G813,ctaNom,0))),"⚠ «Hacia» no existe",IF(AND(I813="Pago tarjeta",IFERROR(INDEX(ctaTipo,MATCH(G813,ctaNom,0)),"")&lt;&gt;"Tarjeta de crédito"),"⚠ «Hacia» debe ser la tarjeta",IF(AND(I813="Trading",IFERROR(INDEX(ctaTipo,MATCH(E813,ctaNom,0)),"")&lt;&gt;"Cuenta de trading"),"⚠ Usa la cuenta de trading","✓"))))))))))))</f>
        <v/>
      </c>
      <c r="I813" s="19">
        <f>IF(OR(B813="",C813="",D813=""),"",IFERROR(INDEX(catTipo,MATCH(D813,catNom,0))&amp;"",""))</f>
        <v/>
      </c>
      <c r="J813" s="19">
        <f>IF(I813="","",IFERROR(INDEX(catGrupo,MATCH(D813,catNom,0))&amp;"",""))</f>
        <v/>
      </c>
      <c r="K813" s="19">
        <f>IF(I813="Gasto",IF(IFERROR(INDEX(catClas,MATCH(D813,catNom,0))&amp;"","")="","Variable",IFERROR(INDEX(catClas,MATCH(D813,catNom,0))&amp;"","")),"")</f>
        <v/>
      </c>
      <c r="L813" s="19">
        <f>IF(I813="","",IFERROR(INDEX(catAlim,MATCH(D813,catNom,0))&amp;"",""))</f>
        <v/>
      </c>
      <c r="M813" s="19">
        <f>IF(I813="","",IFERROR(INDEX(catComida,MATCH(D813,catNom,0))&amp;"",""))</f>
        <v/>
      </c>
      <c r="N813" s="19">
        <f>IF(I813="","",IFERROR(INDEX(ctaMon,MATCH(E813,ctaNom,0))&amp;"","DOP"))</f>
        <v/>
      </c>
      <c r="O813" s="20">
        <f>IF(I813="","",C813*IF(N813="USD",TasaUSD,1))</f>
        <v/>
      </c>
      <c r="P813" s="20">
        <f>IF(I813="","",IF(I813="Gasto",O813,0))</f>
        <v/>
      </c>
      <c r="Q813" s="20">
        <f>IF(I813="","",IF(I813="Ingreso",O813,0))</f>
        <v/>
      </c>
      <c r="R813" s="20">
        <f>IF(I813="","",IF(I813="Trading",O813,0))</f>
        <v/>
      </c>
      <c r="S813" s="19">
        <f>IF(I813="","",IF(AND(I813="Gasto",K813="Variable",J813&lt;&gt;"Trading",O813&gt;0,O813&lt;=Umbral),1,0))</f>
        <v/>
      </c>
      <c r="T813" s="20">
        <f>IF(OR(I813="",E813=""),"",IF(OR(I813="Gasto",I813="Transferencia",I813="Pago tarjeta"),-1,1)*C813)</f>
        <v/>
      </c>
      <c r="U813" s="20">
        <f>IF(OR(G813="",AND(I813&lt;&gt;"Transferencia",I813&lt;&gt;"Pago tarjeta")),"",IF(IFERROR(INDEX(ctaMon,MATCH(G813,ctaNom,0))&amp;"","DOP")=N813,C813,IF(N813="USD",C813*TasaUSD,C813/TasaUSD)))</f>
        <v/>
      </c>
      <c r="V813" s="20">
        <f>IF(I813="","",IF(IFERROR(INDEX(ctaLiq,MATCH(E813,ctaNom,0))="Sí",FALSE),IF(OR(I813="Gasto",I813="Transferencia",I813="Pago tarjeta"),-1,1)*O813,0)+IF(AND(U813&lt;&gt;"",IFERROR(INDEX(ctaLiq,MATCH(G813,ctaNom,0))="Sí",FALSE)),O813,0))</f>
        <v/>
      </c>
      <c r="W813" s="19">
        <f>IF(OR(F813="",I813=""),"",IF(COUNTIFS(F$6:F813,F813,I$6:I813,"?*")=1,MAX(W$5:W812)+1,""))</f>
        <v/>
      </c>
    </row>
    <row r="814">
      <c r="B814" s="15" t="n"/>
      <c r="C814" s="16" t="n"/>
      <c r="D814" s="17" t="n"/>
      <c r="E814" s="17" t="n"/>
      <c r="F814" s="17" t="n"/>
      <c r="G814" s="17" t="n"/>
      <c r="H814" s="18">
        <f>IF(AND(B814="",C814="",D814="",E814=""),"",IF(B814="","⚠ Falta fecha",IF(C814="","⚠ Falta monto",IF(D814="","⚠ Falta categoría",IF(ISNA(MATCH(D814,catNom,0)),"⚠ Categoría no existe",IF(E814="","⚠ Falta cuenta",IF(ISNA(MATCH(E814,ctaNom,0)),"⚠ Cuenta no existe",IF(AND(OR(I814="Transferencia",I814="Pago tarjeta"),G814=""),"⚠ Indica la cuenta «Hacia»",IF(AND(G814&lt;&gt;"",G814=E814),"⚠ «Hacia» igual a la cuenta",IF(AND(G814&lt;&gt;"",ISNA(MATCH(G814,ctaNom,0))),"⚠ «Hacia» no existe",IF(AND(I814="Pago tarjeta",IFERROR(INDEX(ctaTipo,MATCH(G814,ctaNom,0)),"")&lt;&gt;"Tarjeta de crédito"),"⚠ «Hacia» debe ser la tarjeta",IF(AND(I814="Trading",IFERROR(INDEX(ctaTipo,MATCH(E814,ctaNom,0)),"")&lt;&gt;"Cuenta de trading"),"⚠ Usa la cuenta de trading","✓"))))))))))))</f>
        <v/>
      </c>
      <c r="I814" s="19">
        <f>IF(OR(B814="",C814="",D814=""),"",IFERROR(INDEX(catTipo,MATCH(D814,catNom,0))&amp;"",""))</f>
        <v/>
      </c>
      <c r="J814" s="19">
        <f>IF(I814="","",IFERROR(INDEX(catGrupo,MATCH(D814,catNom,0))&amp;"",""))</f>
        <v/>
      </c>
      <c r="K814" s="19">
        <f>IF(I814="Gasto",IF(IFERROR(INDEX(catClas,MATCH(D814,catNom,0))&amp;"","")="","Variable",IFERROR(INDEX(catClas,MATCH(D814,catNom,0))&amp;"","")),"")</f>
        <v/>
      </c>
      <c r="L814" s="19">
        <f>IF(I814="","",IFERROR(INDEX(catAlim,MATCH(D814,catNom,0))&amp;"",""))</f>
        <v/>
      </c>
      <c r="M814" s="19">
        <f>IF(I814="","",IFERROR(INDEX(catComida,MATCH(D814,catNom,0))&amp;"",""))</f>
        <v/>
      </c>
      <c r="N814" s="19">
        <f>IF(I814="","",IFERROR(INDEX(ctaMon,MATCH(E814,ctaNom,0))&amp;"","DOP"))</f>
        <v/>
      </c>
      <c r="O814" s="20">
        <f>IF(I814="","",C814*IF(N814="USD",TasaUSD,1))</f>
        <v/>
      </c>
      <c r="P814" s="20">
        <f>IF(I814="","",IF(I814="Gasto",O814,0))</f>
        <v/>
      </c>
      <c r="Q814" s="20">
        <f>IF(I814="","",IF(I814="Ingreso",O814,0))</f>
        <v/>
      </c>
      <c r="R814" s="20">
        <f>IF(I814="","",IF(I814="Trading",O814,0))</f>
        <v/>
      </c>
      <c r="S814" s="19">
        <f>IF(I814="","",IF(AND(I814="Gasto",K814="Variable",J814&lt;&gt;"Trading",O814&gt;0,O814&lt;=Umbral),1,0))</f>
        <v/>
      </c>
      <c r="T814" s="20">
        <f>IF(OR(I814="",E814=""),"",IF(OR(I814="Gasto",I814="Transferencia",I814="Pago tarjeta"),-1,1)*C814)</f>
        <v/>
      </c>
      <c r="U814" s="20">
        <f>IF(OR(G814="",AND(I814&lt;&gt;"Transferencia",I814&lt;&gt;"Pago tarjeta")),"",IF(IFERROR(INDEX(ctaMon,MATCH(G814,ctaNom,0))&amp;"","DOP")=N814,C814,IF(N814="USD",C814*TasaUSD,C814/TasaUSD)))</f>
        <v/>
      </c>
      <c r="V814" s="20">
        <f>IF(I814="","",IF(IFERROR(INDEX(ctaLiq,MATCH(E814,ctaNom,0))="Sí",FALSE),IF(OR(I814="Gasto",I814="Transferencia",I814="Pago tarjeta"),-1,1)*O814,0)+IF(AND(U814&lt;&gt;"",IFERROR(INDEX(ctaLiq,MATCH(G814,ctaNom,0))="Sí",FALSE)),O814,0))</f>
        <v/>
      </c>
      <c r="W814" s="19">
        <f>IF(OR(F814="",I814=""),"",IF(COUNTIFS(F$6:F814,F814,I$6:I814,"?*")=1,MAX(W$5:W813)+1,""))</f>
        <v/>
      </c>
    </row>
    <row r="815">
      <c r="B815" s="15" t="n"/>
      <c r="C815" s="16" t="n"/>
      <c r="D815" s="17" t="n"/>
      <c r="E815" s="17" t="n"/>
      <c r="F815" s="17" t="n"/>
      <c r="G815" s="17" t="n"/>
      <c r="H815" s="18">
        <f>IF(AND(B815="",C815="",D815="",E815=""),"",IF(B815="","⚠ Falta fecha",IF(C815="","⚠ Falta monto",IF(D815="","⚠ Falta categoría",IF(ISNA(MATCH(D815,catNom,0)),"⚠ Categoría no existe",IF(E815="","⚠ Falta cuenta",IF(ISNA(MATCH(E815,ctaNom,0)),"⚠ Cuenta no existe",IF(AND(OR(I815="Transferencia",I815="Pago tarjeta"),G815=""),"⚠ Indica la cuenta «Hacia»",IF(AND(G815&lt;&gt;"",G815=E815),"⚠ «Hacia» igual a la cuenta",IF(AND(G815&lt;&gt;"",ISNA(MATCH(G815,ctaNom,0))),"⚠ «Hacia» no existe",IF(AND(I815="Pago tarjeta",IFERROR(INDEX(ctaTipo,MATCH(G815,ctaNom,0)),"")&lt;&gt;"Tarjeta de crédito"),"⚠ «Hacia» debe ser la tarjeta",IF(AND(I815="Trading",IFERROR(INDEX(ctaTipo,MATCH(E815,ctaNom,0)),"")&lt;&gt;"Cuenta de trading"),"⚠ Usa la cuenta de trading","✓"))))))))))))</f>
        <v/>
      </c>
      <c r="I815" s="19">
        <f>IF(OR(B815="",C815="",D815=""),"",IFERROR(INDEX(catTipo,MATCH(D815,catNom,0))&amp;"",""))</f>
        <v/>
      </c>
      <c r="J815" s="19">
        <f>IF(I815="","",IFERROR(INDEX(catGrupo,MATCH(D815,catNom,0))&amp;"",""))</f>
        <v/>
      </c>
      <c r="K815" s="19">
        <f>IF(I815="Gasto",IF(IFERROR(INDEX(catClas,MATCH(D815,catNom,0))&amp;"","")="","Variable",IFERROR(INDEX(catClas,MATCH(D815,catNom,0))&amp;"","")),"")</f>
        <v/>
      </c>
      <c r="L815" s="19">
        <f>IF(I815="","",IFERROR(INDEX(catAlim,MATCH(D815,catNom,0))&amp;"",""))</f>
        <v/>
      </c>
      <c r="M815" s="19">
        <f>IF(I815="","",IFERROR(INDEX(catComida,MATCH(D815,catNom,0))&amp;"",""))</f>
        <v/>
      </c>
      <c r="N815" s="19">
        <f>IF(I815="","",IFERROR(INDEX(ctaMon,MATCH(E815,ctaNom,0))&amp;"","DOP"))</f>
        <v/>
      </c>
      <c r="O815" s="20">
        <f>IF(I815="","",C815*IF(N815="USD",TasaUSD,1))</f>
        <v/>
      </c>
      <c r="P815" s="20">
        <f>IF(I815="","",IF(I815="Gasto",O815,0))</f>
        <v/>
      </c>
      <c r="Q815" s="20">
        <f>IF(I815="","",IF(I815="Ingreso",O815,0))</f>
        <v/>
      </c>
      <c r="R815" s="20">
        <f>IF(I815="","",IF(I815="Trading",O815,0))</f>
        <v/>
      </c>
      <c r="S815" s="19">
        <f>IF(I815="","",IF(AND(I815="Gasto",K815="Variable",J815&lt;&gt;"Trading",O815&gt;0,O815&lt;=Umbral),1,0))</f>
        <v/>
      </c>
      <c r="T815" s="20">
        <f>IF(OR(I815="",E815=""),"",IF(OR(I815="Gasto",I815="Transferencia",I815="Pago tarjeta"),-1,1)*C815)</f>
        <v/>
      </c>
      <c r="U815" s="20">
        <f>IF(OR(G815="",AND(I815&lt;&gt;"Transferencia",I815&lt;&gt;"Pago tarjeta")),"",IF(IFERROR(INDEX(ctaMon,MATCH(G815,ctaNom,0))&amp;"","DOP")=N815,C815,IF(N815="USD",C815*TasaUSD,C815/TasaUSD)))</f>
        <v/>
      </c>
      <c r="V815" s="20">
        <f>IF(I815="","",IF(IFERROR(INDEX(ctaLiq,MATCH(E815,ctaNom,0))="Sí",FALSE),IF(OR(I815="Gasto",I815="Transferencia",I815="Pago tarjeta"),-1,1)*O815,0)+IF(AND(U815&lt;&gt;"",IFERROR(INDEX(ctaLiq,MATCH(G815,ctaNom,0))="Sí",FALSE)),O815,0))</f>
        <v/>
      </c>
      <c r="W815" s="19">
        <f>IF(OR(F815="",I815=""),"",IF(COUNTIFS(F$6:F815,F815,I$6:I815,"?*")=1,MAX(W$5:W814)+1,""))</f>
        <v/>
      </c>
    </row>
    <row r="816">
      <c r="B816" s="15" t="n"/>
      <c r="C816" s="16" t="n"/>
      <c r="D816" s="17" t="n"/>
      <c r="E816" s="17" t="n"/>
      <c r="F816" s="17" t="n"/>
      <c r="G816" s="17" t="n"/>
      <c r="H816" s="18">
        <f>IF(AND(B816="",C816="",D816="",E816=""),"",IF(B816="","⚠ Falta fecha",IF(C816="","⚠ Falta monto",IF(D816="","⚠ Falta categoría",IF(ISNA(MATCH(D816,catNom,0)),"⚠ Categoría no existe",IF(E816="","⚠ Falta cuenta",IF(ISNA(MATCH(E816,ctaNom,0)),"⚠ Cuenta no existe",IF(AND(OR(I816="Transferencia",I816="Pago tarjeta"),G816=""),"⚠ Indica la cuenta «Hacia»",IF(AND(G816&lt;&gt;"",G816=E816),"⚠ «Hacia» igual a la cuenta",IF(AND(G816&lt;&gt;"",ISNA(MATCH(G816,ctaNom,0))),"⚠ «Hacia» no existe",IF(AND(I816="Pago tarjeta",IFERROR(INDEX(ctaTipo,MATCH(G816,ctaNom,0)),"")&lt;&gt;"Tarjeta de crédito"),"⚠ «Hacia» debe ser la tarjeta",IF(AND(I816="Trading",IFERROR(INDEX(ctaTipo,MATCH(E816,ctaNom,0)),"")&lt;&gt;"Cuenta de trading"),"⚠ Usa la cuenta de trading","✓"))))))))))))</f>
        <v/>
      </c>
      <c r="I816" s="19">
        <f>IF(OR(B816="",C816="",D816=""),"",IFERROR(INDEX(catTipo,MATCH(D816,catNom,0))&amp;"",""))</f>
        <v/>
      </c>
      <c r="J816" s="19">
        <f>IF(I816="","",IFERROR(INDEX(catGrupo,MATCH(D816,catNom,0))&amp;"",""))</f>
        <v/>
      </c>
      <c r="K816" s="19">
        <f>IF(I816="Gasto",IF(IFERROR(INDEX(catClas,MATCH(D816,catNom,0))&amp;"","")="","Variable",IFERROR(INDEX(catClas,MATCH(D816,catNom,0))&amp;"","")),"")</f>
        <v/>
      </c>
      <c r="L816" s="19">
        <f>IF(I816="","",IFERROR(INDEX(catAlim,MATCH(D816,catNom,0))&amp;"",""))</f>
        <v/>
      </c>
      <c r="M816" s="19">
        <f>IF(I816="","",IFERROR(INDEX(catComida,MATCH(D816,catNom,0))&amp;"",""))</f>
        <v/>
      </c>
      <c r="N816" s="19">
        <f>IF(I816="","",IFERROR(INDEX(ctaMon,MATCH(E816,ctaNom,0))&amp;"","DOP"))</f>
        <v/>
      </c>
      <c r="O816" s="20">
        <f>IF(I816="","",C816*IF(N816="USD",TasaUSD,1))</f>
        <v/>
      </c>
      <c r="P816" s="20">
        <f>IF(I816="","",IF(I816="Gasto",O816,0))</f>
        <v/>
      </c>
      <c r="Q816" s="20">
        <f>IF(I816="","",IF(I816="Ingreso",O816,0))</f>
        <v/>
      </c>
      <c r="R816" s="20">
        <f>IF(I816="","",IF(I816="Trading",O816,0))</f>
        <v/>
      </c>
      <c r="S816" s="19">
        <f>IF(I816="","",IF(AND(I816="Gasto",K816="Variable",J816&lt;&gt;"Trading",O816&gt;0,O816&lt;=Umbral),1,0))</f>
        <v/>
      </c>
      <c r="T816" s="20">
        <f>IF(OR(I816="",E816=""),"",IF(OR(I816="Gasto",I816="Transferencia",I816="Pago tarjeta"),-1,1)*C816)</f>
        <v/>
      </c>
      <c r="U816" s="20">
        <f>IF(OR(G816="",AND(I816&lt;&gt;"Transferencia",I816&lt;&gt;"Pago tarjeta")),"",IF(IFERROR(INDEX(ctaMon,MATCH(G816,ctaNom,0))&amp;"","DOP")=N816,C816,IF(N816="USD",C816*TasaUSD,C816/TasaUSD)))</f>
        <v/>
      </c>
      <c r="V816" s="20">
        <f>IF(I816="","",IF(IFERROR(INDEX(ctaLiq,MATCH(E816,ctaNom,0))="Sí",FALSE),IF(OR(I816="Gasto",I816="Transferencia",I816="Pago tarjeta"),-1,1)*O816,0)+IF(AND(U816&lt;&gt;"",IFERROR(INDEX(ctaLiq,MATCH(G816,ctaNom,0))="Sí",FALSE)),O816,0))</f>
        <v/>
      </c>
      <c r="W816" s="19">
        <f>IF(OR(F816="",I816=""),"",IF(COUNTIFS(F$6:F816,F816,I$6:I816,"?*")=1,MAX(W$5:W815)+1,""))</f>
        <v/>
      </c>
    </row>
    <row r="817">
      <c r="B817" s="15" t="n"/>
      <c r="C817" s="16" t="n"/>
      <c r="D817" s="17" t="n"/>
      <c r="E817" s="17" t="n"/>
      <c r="F817" s="17" t="n"/>
      <c r="G817" s="17" t="n"/>
      <c r="H817" s="18">
        <f>IF(AND(B817="",C817="",D817="",E817=""),"",IF(B817="","⚠ Falta fecha",IF(C817="","⚠ Falta monto",IF(D817="","⚠ Falta categoría",IF(ISNA(MATCH(D817,catNom,0)),"⚠ Categoría no existe",IF(E817="","⚠ Falta cuenta",IF(ISNA(MATCH(E817,ctaNom,0)),"⚠ Cuenta no existe",IF(AND(OR(I817="Transferencia",I817="Pago tarjeta"),G817=""),"⚠ Indica la cuenta «Hacia»",IF(AND(G817&lt;&gt;"",G817=E817),"⚠ «Hacia» igual a la cuenta",IF(AND(G817&lt;&gt;"",ISNA(MATCH(G817,ctaNom,0))),"⚠ «Hacia» no existe",IF(AND(I817="Pago tarjeta",IFERROR(INDEX(ctaTipo,MATCH(G817,ctaNom,0)),"")&lt;&gt;"Tarjeta de crédito"),"⚠ «Hacia» debe ser la tarjeta",IF(AND(I817="Trading",IFERROR(INDEX(ctaTipo,MATCH(E817,ctaNom,0)),"")&lt;&gt;"Cuenta de trading"),"⚠ Usa la cuenta de trading","✓"))))))))))))</f>
        <v/>
      </c>
      <c r="I817" s="19">
        <f>IF(OR(B817="",C817="",D817=""),"",IFERROR(INDEX(catTipo,MATCH(D817,catNom,0))&amp;"",""))</f>
        <v/>
      </c>
      <c r="J817" s="19">
        <f>IF(I817="","",IFERROR(INDEX(catGrupo,MATCH(D817,catNom,0))&amp;"",""))</f>
        <v/>
      </c>
      <c r="K817" s="19">
        <f>IF(I817="Gasto",IF(IFERROR(INDEX(catClas,MATCH(D817,catNom,0))&amp;"","")="","Variable",IFERROR(INDEX(catClas,MATCH(D817,catNom,0))&amp;"","")),"")</f>
        <v/>
      </c>
      <c r="L817" s="19">
        <f>IF(I817="","",IFERROR(INDEX(catAlim,MATCH(D817,catNom,0))&amp;"",""))</f>
        <v/>
      </c>
      <c r="M817" s="19">
        <f>IF(I817="","",IFERROR(INDEX(catComida,MATCH(D817,catNom,0))&amp;"",""))</f>
        <v/>
      </c>
      <c r="N817" s="19">
        <f>IF(I817="","",IFERROR(INDEX(ctaMon,MATCH(E817,ctaNom,0))&amp;"","DOP"))</f>
        <v/>
      </c>
      <c r="O817" s="20">
        <f>IF(I817="","",C817*IF(N817="USD",TasaUSD,1))</f>
        <v/>
      </c>
      <c r="P817" s="20">
        <f>IF(I817="","",IF(I817="Gasto",O817,0))</f>
        <v/>
      </c>
      <c r="Q817" s="20">
        <f>IF(I817="","",IF(I817="Ingreso",O817,0))</f>
        <v/>
      </c>
      <c r="R817" s="20">
        <f>IF(I817="","",IF(I817="Trading",O817,0))</f>
        <v/>
      </c>
      <c r="S817" s="19">
        <f>IF(I817="","",IF(AND(I817="Gasto",K817="Variable",J817&lt;&gt;"Trading",O817&gt;0,O817&lt;=Umbral),1,0))</f>
        <v/>
      </c>
      <c r="T817" s="20">
        <f>IF(OR(I817="",E817=""),"",IF(OR(I817="Gasto",I817="Transferencia",I817="Pago tarjeta"),-1,1)*C817)</f>
        <v/>
      </c>
      <c r="U817" s="20">
        <f>IF(OR(G817="",AND(I817&lt;&gt;"Transferencia",I817&lt;&gt;"Pago tarjeta")),"",IF(IFERROR(INDEX(ctaMon,MATCH(G817,ctaNom,0))&amp;"","DOP")=N817,C817,IF(N817="USD",C817*TasaUSD,C817/TasaUSD)))</f>
        <v/>
      </c>
      <c r="V817" s="20">
        <f>IF(I817="","",IF(IFERROR(INDEX(ctaLiq,MATCH(E817,ctaNom,0))="Sí",FALSE),IF(OR(I817="Gasto",I817="Transferencia",I817="Pago tarjeta"),-1,1)*O817,0)+IF(AND(U817&lt;&gt;"",IFERROR(INDEX(ctaLiq,MATCH(G817,ctaNom,0))="Sí",FALSE)),O817,0))</f>
        <v/>
      </c>
      <c r="W817" s="19">
        <f>IF(OR(F817="",I817=""),"",IF(COUNTIFS(F$6:F817,F817,I$6:I817,"?*")=1,MAX(W$5:W816)+1,""))</f>
        <v/>
      </c>
    </row>
    <row r="818">
      <c r="B818" s="15" t="n"/>
      <c r="C818" s="16" t="n"/>
      <c r="D818" s="17" t="n"/>
      <c r="E818" s="17" t="n"/>
      <c r="F818" s="17" t="n"/>
      <c r="G818" s="17" t="n"/>
      <c r="H818" s="18">
        <f>IF(AND(B818="",C818="",D818="",E818=""),"",IF(B818="","⚠ Falta fecha",IF(C818="","⚠ Falta monto",IF(D818="","⚠ Falta categoría",IF(ISNA(MATCH(D818,catNom,0)),"⚠ Categoría no existe",IF(E818="","⚠ Falta cuenta",IF(ISNA(MATCH(E818,ctaNom,0)),"⚠ Cuenta no existe",IF(AND(OR(I818="Transferencia",I818="Pago tarjeta"),G818=""),"⚠ Indica la cuenta «Hacia»",IF(AND(G818&lt;&gt;"",G818=E818),"⚠ «Hacia» igual a la cuenta",IF(AND(G818&lt;&gt;"",ISNA(MATCH(G818,ctaNom,0))),"⚠ «Hacia» no existe",IF(AND(I818="Pago tarjeta",IFERROR(INDEX(ctaTipo,MATCH(G818,ctaNom,0)),"")&lt;&gt;"Tarjeta de crédito"),"⚠ «Hacia» debe ser la tarjeta",IF(AND(I818="Trading",IFERROR(INDEX(ctaTipo,MATCH(E818,ctaNom,0)),"")&lt;&gt;"Cuenta de trading"),"⚠ Usa la cuenta de trading","✓"))))))))))))</f>
        <v/>
      </c>
      <c r="I818" s="19">
        <f>IF(OR(B818="",C818="",D818=""),"",IFERROR(INDEX(catTipo,MATCH(D818,catNom,0))&amp;"",""))</f>
        <v/>
      </c>
      <c r="J818" s="19">
        <f>IF(I818="","",IFERROR(INDEX(catGrupo,MATCH(D818,catNom,0))&amp;"",""))</f>
        <v/>
      </c>
      <c r="K818" s="19">
        <f>IF(I818="Gasto",IF(IFERROR(INDEX(catClas,MATCH(D818,catNom,0))&amp;"","")="","Variable",IFERROR(INDEX(catClas,MATCH(D818,catNom,0))&amp;"","")),"")</f>
        <v/>
      </c>
      <c r="L818" s="19">
        <f>IF(I818="","",IFERROR(INDEX(catAlim,MATCH(D818,catNom,0))&amp;"",""))</f>
        <v/>
      </c>
      <c r="M818" s="19">
        <f>IF(I818="","",IFERROR(INDEX(catComida,MATCH(D818,catNom,0))&amp;"",""))</f>
        <v/>
      </c>
      <c r="N818" s="19">
        <f>IF(I818="","",IFERROR(INDEX(ctaMon,MATCH(E818,ctaNom,0))&amp;"","DOP"))</f>
        <v/>
      </c>
      <c r="O818" s="20">
        <f>IF(I818="","",C818*IF(N818="USD",TasaUSD,1))</f>
        <v/>
      </c>
      <c r="P818" s="20">
        <f>IF(I818="","",IF(I818="Gasto",O818,0))</f>
        <v/>
      </c>
      <c r="Q818" s="20">
        <f>IF(I818="","",IF(I818="Ingreso",O818,0))</f>
        <v/>
      </c>
      <c r="R818" s="20">
        <f>IF(I818="","",IF(I818="Trading",O818,0))</f>
        <v/>
      </c>
      <c r="S818" s="19">
        <f>IF(I818="","",IF(AND(I818="Gasto",K818="Variable",J818&lt;&gt;"Trading",O818&gt;0,O818&lt;=Umbral),1,0))</f>
        <v/>
      </c>
      <c r="T818" s="20">
        <f>IF(OR(I818="",E818=""),"",IF(OR(I818="Gasto",I818="Transferencia",I818="Pago tarjeta"),-1,1)*C818)</f>
        <v/>
      </c>
      <c r="U818" s="20">
        <f>IF(OR(G818="",AND(I818&lt;&gt;"Transferencia",I818&lt;&gt;"Pago tarjeta")),"",IF(IFERROR(INDEX(ctaMon,MATCH(G818,ctaNom,0))&amp;"","DOP")=N818,C818,IF(N818="USD",C818*TasaUSD,C818/TasaUSD)))</f>
        <v/>
      </c>
      <c r="V818" s="20">
        <f>IF(I818="","",IF(IFERROR(INDEX(ctaLiq,MATCH(E818,ctaNom,0))="Sí",FALSE),IF(OR(I818="Gasto",I818="Transferencia",I818="Pago tarjeta"),-1,1)*O818,0)+IF(AND(U818&lt;&gt;"",IFERROR(INDEX(ctaLiq,MATCH(G818,ctaNom,0))="Sí",FALSE)),O818,0))</f>
        <v/>
      </c>
      <c r="W818" s="19">
        <f>IF(OR(F818="",I818=""),"",IF(COUNTIFS(F$6:F818,F818,I$6:I818,"?*")=1,MAX(W$5:W817)+1,""))</f>
        <v/>
      </c>
    </row>
    <row r="819">
      <c r="B819" s="15" t="n"/>
      <c r="C819" s="16" t="n"/>
      <c r="D819" s="17" t="n"/>
      <c r="E819" s="17" t="n"/>
      <c r="F819" s="17" t="n"/>
      <c r="G819" s="17" t="n"/>
      <c r="H819" s="18">
        <f>IF(AND(B819="",C819="",D819="",E819=""),"",IF(B819="","⚠ Falta fecha",IF(C819="","⚠ Falta monto",IF(D819="","⚠ Falta categoría",IF(ISNA(MATCH(D819,catNom,0)),"⚠ Categoría no existe",IF(E819="","⚠ Falta cuenta",IF(ISNA(MATCH(E819,ctaNom,0)),"⚠ Cuenta no existe",IF(AND(OR(I819="Transferencia",I819="Pago tarjeta"),G819=""),"⚠ Indica la cuenta «Hacia»",IF(AND(G819&lt;&gt;"",G819=E819),"⚠ «Hacia» igual a la cuenta",IF(AND(G819&lt;&gt;"",ISNA(MATCH(G819,ctaNom,0))),"⚠ «Hacia» no existe",IF(AND(I819="Pago tarjeta",IFERROR(INDEX(ctaTipo,MATCH(G819,ctaNom,0)),"")&lt;&gt;"Tarjeta de crédito"),"⚠ «Hacia» debe ser la tarjeta",IF(AND(I819="Trading",IFERROR(INDEX(ctaTipo,MATCH(E819,ctaNom,0)),"")&lt;&gt;"Cuenta de trading"),"⚠ Usa la cuenta de trading","✓"))))))))))))</f>
        <v/>
      </c>
      <c r="I819" s="19">
        <f>IF(OR(B819="",C819="",D819=""),"",IFERROR(INDEX(catTipo,MATCH(D819,catNom,0))&amp;"",""))</f>
        <v/>
      </c>
      <c r="J819" s="19">
        <f>IF(I819="","",IFERROR(INDEX(catGrupo,MATCH(D819,catNom,0))&amp;"",""))</f>
        <v/>
      </c>
      <c r="K819" s="19">
        <f>IF(I819="Gasto",IF(IFERROR(INDEX(catClas,MATCH(D819,catNom,0))&amp;"","")="","Variable",IFERROR(INDEX(catClas,MATCH(D819,catNom,0))&amp;"","")),"")</f>
        <v/>
      </c>
      <c r="L819" s="19">
        <f>IF(I819="","",IFERROR(INDEX(catAlim,MATCH(D819,catNom,0))&amp;"",""))</f>
        <v/>
      </c>
      <c r="M819" s="19">
        <f>IF(I819="","",IFERROR(INDEX(catComida,MATCH(D819,catNom,0))&amp;"",""))</f>
        <v/>
      </c>
      <c r="N819" s="19">
        <f>IF(I819="","",IFERROR(INDEX(ctaMon,MATCH(E819,ctaNom,0))&amp;"","DOP"))</f>
        <v/>
      </c>
      <c r="O819" s="20">
        <f>IF(I819="","",C819*IF(N819="USD",TasaUSD,1))</f>
        <v/>
      </c>
      <c r="P819" s="20">
        <f>IF(I819="","",IF(I819="Gasto",O819,0))</f>
        <v/>
      </c>
      <c r="Q819" s="20">
        <f>IF(I819="","",IF(I819="Ingreso",O819,0))</f>
        <v/>
      </c>
      <c r="R819" s="20">
        <f>IF(I819="","",IF(I819="Trading",O819,0))</f>
        <v/>
      </c>
      <c r="S819" s="19">
        <f>IF(I819="","",IF(AND(I819="Gasto",K819="Variable",J819&lt;&gt;"Trading",O819&gt;0,O819&lt;=Umbral),1,0))</f>
        <v/>
      </c>
      <c r="T819" s="20">
        <f>IF(OR(I819="",E819=""),"",IF(OR(I819="Gasto",I819="Transferencia",I819="Pago tarjeta"),-1,1)*C819)</f>
        <v/>
      </c>
      <c r="U819" s="20">
        <f>IF(OR(G819="",AND(I819&lt;&gt;"Transferencia",I819&lt;&gt;"Pago tarjeta")),"",IF(IFERROR(INDEX(ctaMon,MATCH(G819,ctaNom,0))&amp;"","DOP")=N819,C819,IF(N819="USD",C819*TasaUSD,C819/TasaUSD)))</f>
        <v/>
      </c>
      <c r="V819" s="20">
        <f>IF(I819="","",IF(IFERROR(INDEX(ctaLiq,MATCH(E819,ctaNom,0))="Sí",FALSE),IF(OR(I819="Gasto",I819="Transferencia",I819="Pago tarjeta"),-1,1)*O819,0)+IF(AND(U819&lt;&gt;"",IFERROR(INDEX(ctaLiq,MATCH(G819,ctaNom,0))="Sí",FALSE)),O819,0))</f>
        <v/>
      </c>
      <c r="W819" s="19">
        <f>IF(OR(F819="",I819=""),"",IF(COUNTIFS(F$6:F819,F819,I$6:I819,"?*")=1,MAX(W$5:W818)+1,""))</f>
        <v/>
      </c>
    </row>
    <row r="820">
      <c r="B820" s="15" t="n"/>
      <c r="C820" s="16" t="n"/>
      <c r="D820" s="17" t="n"/>
      <c r="E820" s="17" t="n"/>
      <c r="F820" s="17" t="n"/>
      <c r="G820" s="17" t="n"/>
      <c r="H820" s="18">
        <f>IF(AND(B820="",C820="",D820="",E820=""),"",IF(B820="","⚠ Falta fecha",IF(C820="","⚠ Falta monto",IF(D820="","⚠ Falta categoría",IF(ISNA(MATCH(D820,catNom,0)),"⚠ Categoría no existe",IF(E820="","⚠ Falta cuenta",IF(ISNA(MATCH(E820,ctaNom,0)),"⚠ Cuenta no existe",IF(AND(OR(I820="Transferencia",I820="Pago tarjeta"),G820=""),"⚠ Indica la cuenta «Hacia»",IF(AND(G820&lt;&gt;"",G820=E820),"⚠ «Hacia» igual a la cuenta",IF(AND(G820&lt;&gt;"",ISNA(MATCH(G820,ctaNom,0))),"⚠ «Hacia» no existe",IF(AND(I820="Pago tarjeta",IFERROR(INDEX(ctaTipo,MATCH(G820,ctaNom,0)),"")&lt;&gt;"Tarjeta de crédito"),"⚠ «Hacia» debe ser la tarjeta",IF(AND(I820="Trading",IFERROR(INDEX(ctaTipo,MATCH(E820,ctaNom,0)),"")&lt;&gt;"Cuenta de trading"),"⚠ Usa la cuenta de trading","✓"))))))))))))</f>
        <v/>
      </c>
      <c r="I820" s="19">
        <f>IF(OR(B820="",C820="",D820=""),"",IFERROR(INDEX(catTipo,MATCH(D820,catNom,0))&amp;"",""))</f>
        <v/>
      </c>
      <c r="J820" s="19">
        <f>IF(I820="","",IFERROR(INDEX(catGrupo,MATCH(D820,catNom,0))&amp;"",""))</f>
        <v/>
      </c>
      <c r="K820" s="19">
        <f>IF(I820="Gasto",IF(IFERROR(INDEX(catClas,MATCH(D820,catNom,0))&amp;"","")="","Variable",IFERROR(INDEX(catClas,MATCH(D820,catNom,0))&amp;"","")),"")</f>
        <v/>
      </c>
      <c r="L820" s="19">
        <f>IF(I820="","",IFERROR(INDEX(catAlim,MATCH(D820,catNom,0))&amp;"",""))</f>
        <v/>
      </c>
      <c r="M820" s="19">
        <f>IF(I820="","",IFERROR(INDEX(catComida,MATCH(D820,catNom,0))&amp;"",""))</f>
        <v/>
      </c>
      <c r="N820" s="19">
        <f>IF(I820="","",IFERROR(INDEX(ctaMon,MATCH(E820,ctaNom,0))&amp;"","DOP"))</f>
        <v/>
      </c>
      <c r="O820" s="20">
        <f>IF(I820="","",C820*IF(N820="USD",TasaUSD,1))</f>
        <v/>
      </c>
      <c r="P820" s="20">
        <f>IF(I820="","",IF(I820="Gasto",O820,0))</f>
        <v/>
      </c>
      <c r="Q820" s="20">
        <f>IF(I820="","",IF(I820="Ingreso",O820,0))</f>
        <v/>
      </c>
      <c r="R820" s="20">
        <f>IF(I820="","",IF(I820="Trading",O820,0))</f>
        <v/>
      </c>
      <c r="S820" s="19">
        <f>IF(I820="","",IF(AND(I820="Gasto",K820="Variable",J820&lt;&gt;"Trading",O820&gt;0,O820&lt;=Umbral),1,0))</f>
        <v/>
      </c>
      <c r="T820" s="20">
        <f>IF(OR(I820="",E820=""),"",IF(OR(I820="Gasto",I820="Transferencia",I820="Pago tarjeta"),-1,1)*C820)</f>
        <v/>
      </c>
      <c r="U820" s="20">
        <f>IF(OR(G820="",AND(I820&lt;&gt;"Transferencia",I820&lt;&gt;"Pago tarjeta")),"",IF(IFERROR(INDEX(ctaMon,MATCH(G820,ctaNom,0))&amp;"","DOP")=N820,C820,IF(N820="USD",C820*TasaUSD,C820/TasaUSD)))</f>
        <v/>
      </c>
      <c r="V820" s="20">
        <f>IF(I820="","",IF(IFERROR(INDEX(ctaLiq,MATCH(E820,ctaNom,0))="Sí",FALSE),IF(OR(I820="Gasto",I820="Transferencia",I820="Pago tarjeta"),-1,1)*O820,0)+IF(AND(U820&lt;&gt;"",IFERROR(INDEX(ctaLiq,MATCH(G820,ctaNom,0))="Sí",FALSE)),O820,0))</f>
        <v/>
      </c>
      <c r="W820" s="19">
        <f>IF(OR(F820="",I820=""),"",IF(COUNTIFS(F$6:F820,F820,I$6:I820,"?*")=1,MAX(W$5:W819)+1,""))</f>
        <v/>
      </c>
    </row>
    <row r="821">
      <c r="B821" s="15" t="n"/>
      <c r="C821" s="16" t="n"/>
      <c r="D821" s="17" t="n"/>
      <c r="E821" s="17" t="n"/>
      <c r="F821" s="17" t="n"/>
      <c r="G821" s="17" t="n"/>
      <c r="H821" s="18">
        <f>IF(AND(B821="",C821="",D821="",E821=""),"",IF(B821="","⚠ Falta fecha",IF(C821="","⚠ Falta monto",IF(D821="","⚠ Falta categoría",IF(ISNA(MATCH(D821,catNom,0)),"⚠ Categoría no existe",IF(E821="","⚠ Falta cuenta",IF(ISNA(MATCH(E821,ctaNom,0)),"⚠ Cuenta no existe",IF(AND(OR(I821="Transferencia",I821="Pago tarjeta"),G821=""),"⚠ Indica la cuenta «Hacia»",IF(AND(G821&lt;&gt;"",G821=E821),"⚠ «Hacia» igual a la cuenta",IF(AND(G821&lt;&gt;"",ISNA(MATCH(G821,ctaNom,0))),"⚠ «Hacia» no existe",IF(AND(I821="Pago tarjeta",IFERROR(INDEX(ctaTipo,MATCH(G821,ctaNom,0)),"")&lt;&gt;"Tarjeta de crédito"),"⚠ «Hacia» debe ser la tarjeta",IF(AND(I821="Trading",IFERROR(INDEX(ctaTipo,MATCH(E821,ctaNom,0)),"")&lt;&gt;"Cuenta de trading"),"⚠ Usa la cuenta de trading","✓"))))))))))))</f>
        <v/>
      </c>
      <c r="I821" s="19">
        <f>IF(OR(B821="",C821="",D821=""),"",IFERROR(INDEX(catTipo,MATCH(D821,catNom,0))&amp;"",""))</f>
        <v/>
      </c>
      <c r="J821" s="19">
        <f>IF(I821="","",IFERROR(INDEX(catGrupo,MATCH(D821,catNom,0))&amp;"",""))</f>
        <v/>
      </c>
      <c r="K821" s="19">
        <f>IF(I821="Gasto",IF(IFERROR(INDEX(catClas,MATCH(D821,catNom,0))&amp;"","")="","Variable",IFERROR(INDEX(catClas,MATCH(D821,catNom,0))&amp;"","")),"")</f>
        <v/>
      </c>
      <c r="L821" s="19">
        <f>IF(I821="","",IFERROR(INDEX(catAlim,MATCH(D821,catNom,0))&amp;"",""))</f>
        <v/>
      </c>
      <c r="M821" s="19">
        <f>IF(I821="","",IFERROR(INDEX(catComida,MATCH(D821,catNom,0))&amp;"",""))</f>
        <v/>
      </c>
      <c r="N821" s="19">
        <f>IF(I821="","",IFERROR(INDEX(ctaMon,MATCH(E821,ctaNom,0))&amp;"","DOP"))</f>
        <v/>
      </c>
      <c r="O821" s="20">
        <f>IF(I821="","",C821*IF(N821="USD",TasaUSD,1))</f>
        <v/>
      </c>
      <c r="P821" s="20">
        <f>IF(I821="","",IF(I821="Gasto",O821,0))</f>
        <v/>
      </c>
      <c r="Q821" s="20">
        <f>IF(I821="","",IF(I821="Ingreso",O821,0))</f>
        <v/>
      </c>
      <c r="R821" s="20">
        <f>IF(I821="","",IF(I821="Trading",O821,0))</f>
        <v/>
      </c>
      <c r="S821" s="19">
        <f>IF(I821="","",IF(AND(I821="Gasto",K821="Variable",J821&lt;&gt;"Trading",O821&gt;0,O821&lt;=Umbral),1,0))</f>
        <v/>
      </c>
      <c r="T821" s="20">
        <f>IF(OR(I821="",E821=""),"",IF(OR(I821="Gasto",I821="Transferencia",I821="Pago tarjeta"),-1,1)*C821)</f>
        <v/>
      </c>
      <c r="U821" s="20">
        <f>IF(OR(G821="",AND(I821&lt;&gt;"Transferencia",I821&lt;&gt;"Pago tarjeta")),"",IF(IFERROR(INDEX(ctaMon,MATCH(G821,ctaNom,0))&amp;"","DOP")=N821,C821,IF(N821="USD",C821*TasaUSD,C821/TasaUSD)))</f>
        <v/>
      </c>
      <c r="V821" s="20">
        <f>IF(I821="","",IF(IFERROR(INDEX(ctaLiq,MATCH(E821,ctaNom,0))="Sí",FALSE),IF(OR(I821="Gasto",I821="Transferencia",I821="Pago tarjeta"),-1,1)*O821,0)+IF(AND(U821&lt;&gt;"",IFERROR(INDEX(ctaLiq,MATCH(G821,ctaNom,0))="Sí",FALSE)),O821,0))</f>
        <v/>
      </c>
      <c r="W821" s="19">
        <f>IF(OR(F821="",I821=""),"",IF(COUNTIFS(F$6:F821,F821,I$6:I821,"?*")=1,MAX(W$5:W820)+1,""))</f>
        <v/>
      </c>
    </row>
    <row r="822">
      <c r="B822" s="15" t="n"/>
      <c r="C822" s="16" t="n"/>
      <c r="D822" s="17" t="n"/>
      <c r="E822" s="17" t="n"/>
      <c r="F822" s="17" t="n"/>
      <c r="G822" s="17" t="n"/>
      <c r="H822" s="18">
        <f>IF(AND(B822="",C822="",D822="",E822=""),"",IF(B822="","⚠ Falta fecha",IF(C822="","⚠ Falta monto",IF(D822="","⚠ Falta categoría",IF(ISNA(MATCH(D822,catNom,0)),"⚠ Categoría no existe",IF(E822="","⚠ Falta cuenta",IF(ISNA(MATCH(E822,ctaNom,0)),"⚠ Cuenta no existe",IF(AND(OR(I822="Transferencia",I822="Pago tarjeta"),G822=""),"⚠ Indica la cuenta «Hacia»",IF(AND(G822&lt;&gt;"",G822=E822),"⚠ «Hacia» igual a la cuenta",IF(AND(G822&lt;&gt;"",ISNA(MATCH(G822,ctaNom,0))),"⚠ «Hacia» no existe",IF(AND(I822="Pago tarjeta",IFERROR(INDEX(ctaTipo,MATCH(G822,ctaNom,0)),"")&lt;&gt;"Tarjeta de crédito"),"⚠ «Hacia» debe ser la tarjeta",IF(AND(I822="Trading",IFERROR(INDEX(ctaTipo,MATCH(E822,ctaNom,0)),"")&lt;&gt;"Cuenta de trading"),"⚠ Usa la cuenta de trading","✓"))))))))))))</f>
        <v/>
      </c>
      <c r="I822" s="19">
        <f>IF(OR(B822="",C822="",D822=""),"",IFERROR(INDEX(catTipo,MATCH(D822,catNom,0))&amp;"",""))</f>
        <v/>
      </c>
      <c r="J822" s="19">
        <f>IF(I822="","",IFERROR(INDEX(catGrupo,MATCH(D822,catNom,0))&amp;"",""))</f>
        <v/>
      </c>
      <c r="K822" s="19">
        <f>IF(I822="Gasto",IF(IFERROR(INDEX(catClas,MATCH(D822,catNom,0))&amp;"","")="","Variable",IFERROR(INDEX(catClas,MATCH(D822,catNom,0))&amp;"","")),"")</f>
        <v/>
      </c>
      <c r="L822" s="19">
        <f>IF(I822="","",IFERROR(INDEX(catAlim,MATCH(D822,catNom,0))&amp;"",""))</f>
        <v/>
      </c>
      <c r="M822" s="19">
        <f>IF(I822="","",IFERROR(INDEX(catComida,MATCH(D822,catNom,0))&amp;"",""))</f>
        <v/>
      </c>
      <c r="N822" s="19">
        <f>IF(I822="","",IFERROR(INDEX(ctaMon,MATCH(E822,ctaNom,0))&amp;"","DOP"))</f>
        <v/>
      </c>
      <c r="O822" s="20">
        <f>IF(I822="","",C822*IF(N822="USD",TasaUSD,1))</f>
        <v/>
      </c>
      <c r="P822" s="20">
        <f>IF(I822="","",IF(I822="Gasto",O822,0))</f>
        <v/>
      </c>
      <c r="Q822" s="20">
        <f>IF(I822="","",IF(I822="Ingreso",O822,0))</f>
        <v/>
      </c>
      <c r="R822" s="20">
        <f>IF(I822="","",IF(I822="Trading",O822,0))</f>
        <v/>
      </c>
      <c r="S822" s="19">
        <f>IF(I822="","",IF(AND(I822="Gasto",K822="Variable",J822&lt;&gt;"Trading",O822&gt;0,O822&lt;=Umbral),1,0))</f>
        <v/>
      </c>
      <c r="T822" s="20">
        <f>IF(OR(I822="",E822=""),"",IF(OR(I822="Gasto",I822="Transferencia",I822="Pago tarjeta"),-1,1)*C822)</f>
        <v/>
      </c>
      <c r="U822" s="20">
        <f>IF(OR(G822="",AND(I822&lt;&gt;"Transferencia",I822&lt;&gt;"Pago tarjeta")),"",IF(IFERROR(INDEX(ctaMon,MATCH(G822,ctaNom,0))&amp;"","DOP")=N822,C822,IF(N822="USD",C822*TasaUSD,C822/TasaUSD)))</f>
        <v/>
      </c>
      <c r="V822" s="20">
        <f>IF(I822="","",IF(IFERROR(INDEX(ctaLiq,MATCH(E822,ctaNom,0))="Sí",FALSE),IF(OR(I822="Gasto",I822="Transferencia",I822="Pago tarjeta"),-1,1)*O822,0)+IF(AND(U822&lt;&gt;"",IFERROR(INDEX(ctaLiq,MATCH(G822,ctaNom,0))="Sí",FALSE)),O822,0))</f>
        <v/>
      </c>
      <c r="W822" s="19">
        <f>IF(OR(F822="",I822=""),"",IF(COUNTIFS(F$6:F822,F822,I$6:I822,"?*")=1,MAX(W$5:W821)+1,""))</f>
        <v/>
      </c>
    </row>
    <row r="823">
      <c r="B823" s="15" t="n"/>
      <c r="C823" s="16" t="n"/>
      <c r="D823" s="17" t="n"/>
      <c r="E823" s="17" t="n"/>
      <c r="F823" s="17" t="n"/>
      <c r="G823" s="17" t="n"/>
      <c r="H823" s="18">
        <f>IF(AND(B823="",C823="",D823="",E823=""),"",IF(B823="","⚠ Falta fecha",IF(C823="","⚠ Falta monto",IF(D823="","⚠ Falta categoría",IF(ISNA(MATCH(D823,catNom,0)),"⚠ Categoría no existe",IF(E823="","⚠ Falta cuenta",IF(ISNA(MATCH(E823,ctaNom,0)),"⚠ Cuenta no existe",IF(AND(OR(I823="Transferencia",I823="Pago tarjeta"),G823=""),"⚠ Indica la cuenta «Hacia»",IF(AND(G823&lt;&gt;"",G823=E823),"⚠ «Hacia» igual a la cuenta",IF(AND(G823&lt;&gt;"",ISNA(MATCH(G823,ctaNom,0))),"⚠ «Hacia» no existe",IF(AND(I823="Pago tarjeta",IFERROR(INDEX(ctaTipo,MATCH(G823,ctaNom,0)),"")&lt;&gt;"Tarjeta de crédito"),"⚠ «Hacia» debe ser la tarjeta",IF(AND(I823="Trading",IFERROR(INDEX(ctaTipo,MATCH(E823,ctaNom,0)),"")&lt;&gt;"Cuenta de trading"),"⚠ Usa la cuenta de trading","✓"))))))))))))</f>
        <v/>
      </c>
      <c r="I823" s="19">
        <f>IF(OR(B823="",C823="",D823=""),"",IFERROR(INDEX(catTipo,MATCH(D823,catNom,0))&amp;"",""))</f>
        <v/>
      </c>
      <c r="J823" s="19">
        <f>IF(I823="","",IFERROR(INDEX(catGrupo,MATCH(D823,catNom,0))&amp;"",""))</f>
        <v/>
      </c>
      <c r="K823" s="19">
        <f>IF(I823="Gasto",IF(IFERROR(INDEX(catClas,MATCH(D823,catNom,0))&amp;"","")="","Variable",IFERROR(INDEX(catClas,MATCH(D823,catNom,0))&amp;"","")),"")</f>
        <v/>
      </c>
      <c r="L823" s="19">
        <f>IF(I823="","",IFERROR(INDEX(catAlim,MATCH(D823,catNom,0))&amp;"",""))</f>
        <v/>
      </c>
      <c r="M823" s="19">
        <f>IF(I823="","",IFERROR(INDEX(catComida,MATCH(D823,catNom,0))&amp;"",""))</f>
        <v/>
      </c>
      <c r="N823" s="19">
        <f>IF(I823="","",IFERROR(INDEX(ctaMon,MATCH(E823,ctaNom,0))&amp;"","DOP"))</f>
        <v/>
      </c>
      <c r="O823" s="20">
        <f>IF(I823="","",C823*IF(N823="USD",TasaUSD,1))</f>
        <v/>
      </c>
      <c r="P823" s="20">
        <f>IF(I823="","",IF(I823="Gasto",O823,0))</f>
        <v/>
      </c>
      <c r="Q823" s="20">
        <f>IF(I823="","",IF(I823="Ingreso",O823,0))</f>
        <v/>
      </c>
      <c r="R823" s="20">
        <f>IF(I823="","",IF(I823="Trading",O823,0))</f>
        <v/>
      </c>
      <c r="S823" s="19">
        <f>IF(I823="","",IF(AND(I823="Gasto",K823="Variable",J823&lt;&gt;"Trading",O823&gt;0,O823&lt;=Umbral),1,0))</f>
        <v/>
      </c>
      <c r="T823" s="20">
        <f>IF(OR(I823="",E823=""),"",IF(OR(I823="Gasto",I823="Transferencia",I823="Pago tarjeta"),-1,1)*C823)</f>
        <v/>
      </c>
      <c r="U823" s="20">
        <f>IF(OR(G823="",AND(I823&lt;&gt;"Transferencia",I823&lt;&gt;"Pago tarjeta")),"",IF(IFERROR(INDEX(ctaMon,MATCH(G823,ctaNom,0))&amp;"","DOP")=N823,C823,IF(N823="USD",C823*TasaUSD,C823/TasaUSD)))</f>
        <v/>
      </c>
      <c r="V823" s="20">
        <f>IF(I823="","",IF(IFERROR(INDEX(ctaLiq,MATCH(E823,ctaNom,0))="Sí",FALSE),IF(OR(I823="Gasto",I823="Transferencia",I823="Pago tarjeta"),-1,1)*O823,0)+IF(AND(U823&lt;&gt;"",IFERROR(INDEX(ctaLiq,MATCH(G823,ctaNom,0))="Sí",FALSE)),O823,0))</f>
        <v/>
      </c>
      <c r="W823" s="19">
        <f>IF(OR(F823="",I823=""),"",IF(COUNTIFS(F$6:F823,F823,I$6:I823,"?*")=1,MAX(W$5:W822)+1,""))</f>
        <v/>
      </c>
    </row>
    <row r="824">
      <c r="B824" s="15" t="n"/>
      <c r="C824" s="16" t="n"/>
      <c r="D824" s="17" t="n"/>
      <c r="E824" s="17" t="n"/>
      <c r="F824" s="17" t="n"/>
      <c r="G824" s="17" t="n"/>
      <c r="H824" s="18">
        <f>IF(AND(B824="",C824="",D824="",E824=""),"",IF(B824="","⚠ Falta fecha",IF(C824="","⚠ Falta monto",IF(D824="","⚠ Falta categoría",IF(ISNA(MATCH(D824,catNom,0)),"⚠ Categoría no existe",IF(E824="","⚠ Falta cuenta",IF(ISNA(MATCH(E824,ctaNom,0)),"⚠ Cuenta no existe",IF(AND(OR(I824="Transferencia",I824="Pago tarjeta"),G824=""),"⚠ Indica la cuenta «Hacia»",IF(AND(G824&lt;&gt;"",G824=E824),"⚠ «Hacia» igual a la cuenta",IF(AND(G824&lt;&gt;"",ISNA(MATCH(G824,ctaNom,0))),"⚠ «Hacia» no existe",IF(AND(I824="Pago tarjeta",IFERROR(INDEX(ctaTipo,MATCH(G824,ctaNom,0)),"")&lt;&gt;"Tarjeta de crédito"),"⚠ «Hacia» debe ser la tarjeta",IF(AND(I824="Trading",IFERROR(INDEX(ctaTipo,MATCH(E824,ctaNom,0)),"")&lt;&gt;"Cuenta de trading"),"⚠ Usa la cuenta de trading","✓"))))))))))))</f>
        <v/>
      </c>
      <c r="I824" s="19">
        <f>IF(OR(B824="",C824="",D824=""),"",IFERROR(INDEX(catTipo,MATCH(D824,catNom,0))&amp;"",""))</f>
        <v/>
      </c>
      <c r="J824" s="19">
        <f>IF(I824="","",IFERROR(INDEX(catGrupo,MATCH(D824,catNom,0))&amp;"",""))</f>
        <v/>
      </c>
      <c r="K824" s="19">
        <f>IF(I824="Gasto",IF(IFERROR(INDEX(catClas,MATCH(D824,catNom,0))&amp;"","")="","Variable",IFERROR(INDEX(catClas,MATCH(D824,catNom,0))&amp;"","")),"")</f>
        <v/>
      </c>
      <c r="L824" s="19">
        <f>IF(I824="","",IFERROR(INDEX(catAlim,MATCH(D824,catNom,0))&amp;"",""))</f>
        <v/>
      </c>
      <c r="M824" s="19">
        <f>IF(I824="","",IFERROR(INDEX(catComida,MATCH(D824,catNom,0))&amp;"",""))</f>
        <v/>
      </c>
      <c r="N824" s="19">
        <f>IF(I824="","",IFERROR(INDEX(ctaMon,MATCH(E824,ctaNom,0))&amp;"","DOP"))</f>
        <v/>
      </c>
      <c r="O824" s="20">
        <f>IF(I824="","",C824*IF(N824="USD",TasaUSD,1))</f>
        <v/>
      </c>
      <c r="P824" s="20">
        <f>IF(I824="","",IF(I824="Gasto",O824,0))</f>
        <v/>
      </c>
      <c r="Q824" s="20">
        <f>IF(I824="","",IF(I824="Ingreso",O824,0))</f>
        <v/>
      </c>
      <c r="R824" s="20">
        <f>IF(I824="","",IF(I824="Trading",O824,0))</f>
        <v/>
      </c>
      <c r="S824" s="19">
        <f>IF(I824="","",IF(AND(I824="Gasto",K824="Variable",J824&lt;&gt;"Trading",O824&gt;0,O824&lt;=Umbral),1,0))</f>
        <v/>
      </c>
      <c r="T824" s="20">
        <f>IF(OR(I824="",E824=""),"",IF(OR(I824="Gasto",I824="Transferencia",I824="Pago tarjeta"),-1,1)*C824)</f>
        <v/>
      </c>
      <c r="U824" s="20">
        <f>IF(OR(G824="",AND(I824&lt;&gt;"Transferencia",I824&lt;&gt;"Pago tarjeta")),"",IF(IFERROR(INDEX(ctaMon,MATCH(G824,ctaNom,0))&amp;"","DOP")=N824,C824,IF(N824="USD",C824*TasaUSD,C824/TasaUSD)))</f>
        <v/>
      </c>
      <c r="V824" s="20">
        <f>IF(I824="","",IF(IFERROR(INDEX(ctaLiq,MATCH(E824,ctaNom,0))="Sí",FALSE),IF(OR(I824="Gasto",I824="Transferencia",I824="Pago tarjeta"),-1,1)*O824,0)+IF(AND(U824&lt;&gt;"",IFERROR(INDEX(ctaLiq,MATCH(G824,ctaNom,0))="Sí",FALSE)),O824,0))</f>
        <v/>
      </c>
      <c r="W824" s="19">
        <f>IF(OR(F824="",I824=""),"",IF(COUNTIFS(F$6:F824,F824,I$6:I824,"?*")=1,MAX(W$5:W823)+1,""))</f>
        <v/>
      </c>
    </row>
    <row r="825">
      <c r="B825" s="15" t="n"/>
      <c r="C825" s="16" t="n"/>
      <c r="D825" s="17" t="n"/>
      <c r="E825" s="17" t="n"/>
      <c r="F825" s="17" t="n"/>
      <c r="G825" s="17" t="n"/>
      <c r="H825" s="18">
        <f>IF(AND(B825="",C825="",D825="",E825=""),"",IF(B825="","⚠ Falta fecha",IF(C825="","⚠ Falta monto",IF(D825="","⚠ Falta categoría",IF(ISNA(MATCH(D825,catNom,0)),"⚠ Categoría no existe",IF(E825="","⚠ Falta cuenta",IF(ISNA(MATCH(E825,ctaNom,0)),"⚠ Cuenta no existe",IF(AND(OR(I825="Transferencia",I825="Pago tarjeta"),G825=""),"⚠ Indica la cuenta «Hacia»",IF(AND(G825&lt;&gt;"",G825=E825),"⚠ «Hacia» igual a la cuenta",IF(AND(G825&lt;&gt;"",ISNA(MATCH(G825,ctaNom,0))),"⚠ «Hacia» no existe",IF(AND(I825="Pago tarjeta",IFERROR(INDEX(ctaTipo,MATCH(G825,ctaNom,0)),"")&lt;&gt;"Tarjeta de crédito"),"⚠ «Hacia» debe ser la tarjeta",IF(AND(I825="Trading",IFERROR(INDEX(ctaTipo,MATCH(E825,ctaNom,0)),"")&lt;&gt;"Cuenta de trading"),"⚠ Usa la cuenta de trading","✓"))))))))))))</f>
        <v/>
      </c>
      <c r="I825" s="19">
        <f>IF(OR(B825="",C825="",D825=""),"",IFERROR(INDEX(catTipo,MATCH(D825,catNom,0))&amp;"",""))</f>
        <v/>
      </c>
      <c r="J825" s="19">
        <f>IF(I825="","",IFERROR(INDEX(catGrupo,MATCH(D825,catNom,0))&amp;"",""))</f>
        <v/>
      </c>
      <c r="K825" s="19">
        <f>IF(I825="Gasto",IF(IFERROR(INDEX(catClas,MATCH(D825,catNom,0))&amp;"","")="","Variable",IFERROR(INDEX(catClas,MATCH(D825,catNom,0))&amp;"","")),"")</f>
        <v/>
      </c>
      <c r="L825" s="19">
        <f>IF(I825="","",IFERROR(INDEX(catAlim,MATCH(D825,catNom,0))&amp;"",""))</f>
        <v/>
      </c>
      <c r="M825" s="19">
        <f>IF(I825="","",IFERROR(INDEX(catComida,MATCH(D825,catNom,0))&amp;"",""))</f>
        <v/>
      </c>
      <c r="N825" s="19">
        <f>IF(I825="","",IFERROR(INDEX(ctaMon,MATCH(E825,ctaNom,0))&amp;"","DOP"))</f>
        <v/>
      </c>
      <c r="O825" s="20">
        <f>IF(I825="","",C825*IF(N825="USD",TasaUSD,1))</f>
        <v/>
      </c>
      <c r="P825" s="20">
        <f>IF(I825="","",IF(I825="Gasto",O825,0))</f>
        <v/>
      </c>
      <c r="Q825" s="20">
        <f>IF(I825="","",IF(I825="Ingreso",O825,0))</f>
        <v/>
      </c>
      <c r="R825" s="20">
        <f>IF(I825="","",IF(I825="Trading",O825,0))</f>
        <v/>
      </c>
      <c r="S825" s="19">
        <f>IF(I825="","",IF(AND(I825="Gasto",K825="Variable",J825&lt;&gt;"Trading",O825&gt;0,O825&lt;=Umbral),1,0))</f>
        <v/>
      </c>
      <c r="T825" s="20">
        <f>IF(OR(I825="",E825=""),"",IF(OR(I825="Gasto",I825="Transferencia",I825="Pago tarjeta"),-1,1)*C825)</f>
        <v/>
      </c>
      <c r="U825" s="20">
        <f>IF(OR(G825="",AND(I825&lt;&gt;"Transferencia",I825&lt;&gt;"Pago tarjeta")),"",IF(IFERROR(INDEX(ctaMon,MATCH(G825,ctaNom,0))&amp;"","DOP")=N825,C825,IF(N825="USD",C825*TasaUSD,C825/TasaUSD)))</f>
        <v/>
      </c>
      <c r="V825" s="20">
        <f>IF(I825="","",IF(IFERROR(INDEX(ctaLiq,MATCH(E825,ctaNom,0))="Sí",FALSE),IF(OR(I825="Gasto",I825="Transferencia",I825="Pago tarjeta"),-1,1)*O825,0)+IF(AND(U825&lt;&gt;"",IFERROR(INDEX(ctaLiq,MATCH(G825,ctaNom,0))="Sí",FALSE)),O825,0))</f>
        <v/>
      </c>
      <c r="W825" s="19">
        <f>IF(OR(F825="",I825=""),"",IF(COUNTIFS(F$6:F825,F825,I$6:I825,"?*")=1,MAX(W$5:W824)+1,""))</f>
        <v/>
      </c>
    </row>
    <row r="826">
      <c r="B826" s="15" t="n"/>
      <c r="C826" s="16" t="n"/>
      <c r="D826" s="17" t="n"/>
      <c r="E826" s="17" t="n"/>
      <c r="F826" s="17" t="n"/>
      <c r="G826" s="17" t="n"/>
      <c r="H826" s="18">
        <f>IF(AND(B826="",C826="",D826="",E826=""),"",IF(B826="","⚠ Falta fecha",IF(C826="","⚠ Falta monto",IF(D826="","⚠ Falta categoría",IF(ISNA(MATCH(D826,catNom,0)),"⚠ Categoría no existe",IF(E826="","⚠ Falta cuenta",IF(ISNA(MATCH(E826,ctaNom,0)),"⚠ Cuenta no existe",IF(AND(OR(I826="Transferencia",I826="Pago tarjeta"),G826=""),"⚠ Indica la cuenta «Hacia»",IF(AND(G826&lt;&gt;"",G826=E826),"⚠ «Hacia» igual a la cuenta",IF(AND(G826&lt;&gt;"",ISNA(MATCH(G826,ctaNom,0))),"⚠ «Hacia» no existe",IF(AND(I826="Pago tarjeta",IFERROR(INDEX(ctaTipo,MATCH(G826,ctaNom,0)),"")&lt;&gt;"Tarjeta de crédito"),"⚠ «Hacia» debe ser la tarjeta",IF(AND(I826="Trading",IFERROR(INDEX(ctaTipo,MATCH(E826,ctaNom,0)),"")&lt;&gt;"Cuenta de trading"),"⚠ Usa la cuenta de trading","✓"))))))))))))</f>
        <v/>
      </c>
      <c r="I826" s="19">
        <f>IF(OR(B826="",C826="",D826=""),"",IFERROR(INDEX(catTipo,MATCH(D826,catNom,0))&amp;"",""))</f>
        <v/>
      </c>
      <c r="J826" s="19">
        <f>IF(I826="","",IFERROR(INDEX(catGrupo,MATCH(D826,catNom,0))&amp;"",""))</f>
        <v/>
      </c>
      <c r="K826" s="19">
        <f>IF(I826="Gasto",IF(IFERROR(INDEX(catClas,MATCH(D826,catNom,0))&amp;"","")="","Variable",IFERROR(INDEX(catClas,MATCH(D826,catNom,0))&amp;"","")),"")</f>
        <v/>
      </c>
      <c r="L826" s="19">
        <f>IF(I826="","",IFERROR(INDEX(catAlim,MATCH(D826,catNom,0))&amp;"",""))</f>
        <v/>
      </c>
      <c r="M826" s="19">
        <f>IF(I826="","",IFERROR(INDEX(catComida,MATCH(D826,catNom,0))&amp;"",""))</f>
        <v/>
      </c>
      <c r="N826" s="19">
        <f>IF(I826="","",IFERROR(INDEX(ctaMon,MATCH(E826,ctaNom,0))&amp;"","DOP"))</f>
        <v/>
      </c>
      <c r="O826" s="20">
        <f>IF(I826="","",C826*IF(N826="USD",TasaUSD,1))</f>
        <v/>
      </c>
      <c r="P826" s="20">
        <f>IF(I826="","",IF(I826="Gasto",O826,0))</f>
        <v/>
      </c>
      <c r="Q826" s="20">
        <f>IF(I826="","",IF(I826="Ingreso",O826,0))</f>
        <v/>
      </c>
      <c r="R826" s="20">
        <f>IF(I826="","",IF(I826="Trading",O826,0))</f>
        <v/>
      </c>
      <c r="S826" s="19">
        <f>IF(I826="","",IF(AND(I826="Gasto",K826="Variable",J826&lt;&gt;"Trading",O826&gt;0,O826&lt;=Umbral),1,0))</f>
        <v/>
      </c>
      <c r="T826" s="20">
        <f>IF(OR(I826="",E826=""),"",IF(OR(I826="Gasto",I826="Transferencia",I826="Pago tarjeta"),-1,1)*C826)</f>
        <v/>
      </c>
      <c r="U826" s="20">
        <f>IF(OR(G826="",AND(I826&lt;&gt;"Transferencia",I826&lt;&gt;"Pago tarjeta")),"",IF(IFERROR(INDEX(ctaMon,MATCH(G826,ctaNom,0))&amp;"","DOP")=N826,C826,IF(N826="USD",C826*TasaUSD,C826/TasaUSD)))</f>
        <v/>
      </c>
      <c r="V826" s="20">
        <f>IF(I826="","",IF(IFERROR(INDEX(ctaLiq,MATCH(E826,ctaNom,0))="Sí",FALSE),IF(OR(I826="Gasto",I826="Transferencia",I826="Pago tarjeta"),-1,1)*O826,0)+IF(AND(U826&lt;&gt;"",IFERROR(INDEX(ctaLiq,MATCH(G826,ctaNom,0))="Sí",FALSE)),O826,0))</f>
        <v/>
      </c>
      <c r="W826" s="19">
        <f>IF(OR(F826="",I826=""),"",IF(COUNTIFS(F$6:F826,F826,I$6:I826,"?*")=1,MAX(W$5:W825)+1,""))</f>
        <v/>
      </c>
    </row>
    <row r="827">
      <c r="B827" s="15" t="n"/>
      <c r="C827" s="16" t="n"/>
      <c r="D827" s="17" t="n"/>
      <c r="E827" s="17" t="n"/>
      <c r="F827" s="17" t="n"/>
      <c r="G827" s="17" t="n"/>
      <c r="H827" s="18">
        <f>IF(AND(B827="",C827="",D827="",E827=""),"",IF(B827="","⚠ Falta fecha",IF(C827="","⚠ Falta monto",IF(D827="","⚠ Falta categoría",IF(ISNA(MATCH(D827,catNom,0)),"⚠ Categoría no existe",IF(E827="","⚠ Falta cuenta",IF(ISNA(MATCH(E827,ctaNom,0)),"⚠ Cuenta no existe",IF(AND(OR(I827="Transferencia",I827="Pago tarjeta"),G827=""),"⚠ Indica la cuenta «Hacia»",IF(AND(G827&lt;&gt;"",G827=E827),"⚠ «Hacia» igual a la cuenta",IF(AND(G827&lt;&gt;"",ISNA(MATCH(G827,ctaNom,0))),"⚠ «Hacia» no existe",IF(AND(I827="Pago tarjeta",IFERROR(INDEX(ctaTipo,MATCH(G827,ctaNom,0)),"")&lt;&gt;"Tarjeta de crédito"),"⚠ «Hacia» debe ser la tarjeta",IF(AND(I827="Trading",IFERROR(INDEX(ctaTipo,MATCH(E827,ctaNom,0)),"")&lt;&gt;"Cuenta de trading"),"⚠ Usa la cuenta de trading","✓"))))))))))))</f>
        <v/>
      </c>
      <c r="I827" s="19">
        <f>IF(OR(B827="",C827="",D827=""),"",IFERROR(INDEX(catTipo,MATCH(D827,catNom,0))&amp;"",""))</f>
        <v/>
      </c>
      <c r="J827" s="19">
        <f>IF(I827="","",IFERROR(INDEX(catGrupo,MATCH(D827,catNom,0))&amp;"",""))</f>
        <v/>
      </c>
      <c r="K827" s="19">
        <f>IF(I827="Gasto",IF(IFERROR(INDEX(catClas,MATCH(D827,catNom,0))&amp;"","")="","Variable",IFERROR(INDEX(catClas,MATCH(D827,catNom,0))&amp;"","")),"")</f>
        <v/>
      </c>
      <c r="L827" s="19">
        <f>IF(I827="","",IFERROR(INDEX(catAlim,MATCH(D827,catNom,0))&amp;"",""))</f>
        <v/>
      </c>
      <c r="M827" s="19">
        <f>IF(I827="","",IFERROR(INDEX(catComida,MATCH(D827,catNom,0))&amp;"",""))</f>
        <v/>
      </c>
      <c r="N827" s="19">
        <f>IF(I827="","",IFERROR(INDEX(ctaMon,MATCH(E827,ctaNom,0))&amp;"","DOP"))</f>
        <v/>
      </c>
      <c r="O827" s="20">
        <f>IF(I827="","",C827*IF(N827="USD",TasaUSD,1))</f>
        <v/>
      </c>
      <c r="P827" s="20">
        <f>IF(I827="","",IF(I827="Gasto",O827,0))</f>
        <v/>
      </c>
      <c r="Q827" s="20">
        <f>IF(I827="","",IF(I827="Ingreso",O827,0))</f>
        <v/>
      </c>
      <c r="R827" s="20">
        <f>IF(I827="","",IF(I827="Trading",O827,0))</f>
        <v/>
      </c>
      <c r="S827" s="19">
        <f>IF(I827="","",IF(AND(I827="Gasto",K827="Variable",J827&lt;&gt;"Trading",O827&gt;0,O827&lt;=Umbral),1,0))</f>
        <v/>
      </c>
      <c r="T827" s="20">
        <f>IF(OR(I827="",E827=""),"",IF(OR(I827="Gasto",I827="Transferencia",I827="Pago tarjeta"),-1,1)*C827)</f>
        <v/>
      </c>
      <c r="U827" s="20">
        <f>IF(OR(G827="",AND(I827&lt;&gt;"Transferencia",I827&lt;&gt;"Pago tarjeta")),"",IF(IFERROR(INDEX(ctaMon,MATCH(G827,ctaNom,0))&amp;"","DOP")=N827,C827,IF(N827="USD",C827*TasaUSD,C827/TasaUSD)))</f>
        <v/>
      </c>
      <c r="V827" s="20">
        <f>IF(I827="","",IF(IFERROR(INDEX(ctaLiq,MATCH(E827,ctaNom,0))="Sí",FALSE),IF(OR(I827="Gasto",I827="Transferencia",I827="Pago tarjeta"),-1,1)*O827,0)+IF(AND(U827&lt;&gt;"",IFERROR(INDEX(ctaLiq,MATCH(G827,ctaNom,0))="Sí",FALSE)),O827,0))</f>
        <v/>
      </c>
      <c r="W827" s="19">
        <f>IF(OR(F827="",I827=""),"",IF(COUNTIFS(F$6:F827,F827,I$6:I827,"?*")=1,MAX(W$5:W826)+1,""))</f>
        <v/>
      </c>
    </row>
    <row r="828">
      <c r="B828" s="15" t="n"/>
      <c r="C828" s="16" t="n"/>
      <c r="D828" s="17" t="n"/>
      <c r="E828" s="17" t="n"/>
      <c r="F828" s="17" t="n"/>
      <c r="G828" s="17" t="n"/>
      <c r="H828" s="18">
        <f>IF(AND(B828="",C828="",D828="",E828=""),"",IF(B828="","⚠ Falta fecha",IF(C828="","⚠ Falta monto",IF(D828="","⚠ Falta categoría",IF(ISNA(MATCH(D828,catNom,0)),"⚠ Categoría no existe",IF(E828="","⚠ Falta cuenta",IF(ISNA(MATCH(E828,ctaNom,0)),"⚠ Cuenta no existe",IF(AND(OR(I828="Transferencia",I828="Pago tarjeta"),G828=""),"⚠ Indica la cuenta «Hacia»",IF(AND(G828&lt;&gt;"",G828=E828),"⚠ «Hacia» igual a la cuenta",IF(AND(G828&lt;&gt;"",ISNA(MATCH(G828,ctaNom,0))),"⚠ «Hacia» no existe",IF(AND(I828="Pago tarjeta",IFERROR(INDEX(ctaTipo,MATCH(G828,ctaNom,0)),"")&lt;&gt;"Tarjeta de crédito"),"⚠ «Hacia» debe ser la tarjeta",IF(AND(I828="Trading",IFERROR(INDEX(ctaTipo,MATCH(E828,ctaNom,0)),"")&lt;&gt;"Cuenta de trading"),"⚠ Usa la cuenta de trading","✓"))))))))))))</f>
        <v/>
      </c>
      <c r="I828" s="19">
        <f>IF(OR(B828="",C828="",D828=""),"",IFERROR(INDEX(catTipo,MATCH(D828,catNom,0))&amp;"",""))</f>
        <v/>
      </c>
      <c r="J828" s="19">
        <f>IF(I828="","",IFERROR(INDEX(catGrupo,MATCH(D828,catNom,0))&amp;"",""))</f>
        <v/>
      </c>
      <c r="K828" s="19">
        <f>IF(I828="Gasto",IF(IFERROR(INDEX(catClas,MATCH(D828,catNom,0))&amp;"","")="","Variable",IFERROR(INDEX(catClas,MATCH(D828,catNom,0))&amp;"","")),"")</f>
        <v/>
      </c>
      <c r="L828" s="19">
        <f>IF(I828="","",IFERROR(INDEX(catAlim,MATCH(D828,catNom,0))&amp;"",""))</f>
        <v/>
      </c>
      <c r="M828" s="19">
        <f>IF(I828="","",IFERROR(INDEX(catComida,MATCH(D828,catNom,0))&amp;"",""))</f>
        <v/>
      </c>
      <c r="N828" s="19">
        <f>IF(I828="","",IFERROR(INDEX(ctaMon,MATCH(E828,ctaNom,0))&amp;"","DOP"))</f>
        <v/>
      </c>
      <c r="O828" s="20">
        <f>IF(I828="","",C828*IF(N828="USD",TasaUSD,1))</f>
        <v/>
      </c>
      <c r="P828" s="20">
        <f>IF(I828="","",IF(I828="Gasto",O828,0))</f>
        <v/>
      </c>
      <c r="Q828" s="20">
        <f>IF(I828="","",IF(I828="Ingreso",O828,0))</f>
        <v/>
      </c>
      <c r="R828" s="20">
        <f>IF(I828="","",IF(I828="Trading",O828,0))</f>
        <v/>
      </c>
      <c r="S828" s="19">
        <f>IF(I828="","",IF(AND(I828="Gasto",K828="Variable",J828&lt;&gt;"Trading",O828&gt;0,O828&lt;=Umbral),1,0))</f>
        <v/>
      </c>
      <c r="T828" s="20">
        <f>IF(OR(I828="",E828=""),"",IF(OR(I828="Gasto",I828="Transferencia",I828="Pago tarjeta"),-1,1)*C828)</f>
        <v/>
      </c>
      <c r="U828" s="20">
        <f>IF(OR(G828="",AND(I828&lt;&gt;"Transferencia",I828&lt;&gt;"Pago tarjeta")),"",IF(IFERROR(INDEX(ctaMon,MATCH(G828,ctaNom,0))&amp;"","DOP")=N828,C828,IF(N828="USD",C828*TasaUSD,C828/TasaUSD)))</f>
        <v/>
      </c>
      <c r="V828" s="20">
        <f>IF(I828="","",IF(IFERROR(INDEX(ctaLiq,MATCH(E828,ctaNom,0))="Sí",FALSE),IF(OR(I828="Gasto",I828="Transferencia",I828="Pago tarjeta"),-1,1)*O828,0)+IF(AND(U828&lt;&gt;"",IFERROR(INDEX(ctaLiq,MATCH(G828,ctaNom,0))="Sí",FALSE)),O828,0))</f>
        <v/>
      </c>
      <c r="W828" s="19">
        <f>IF(OR(F828="",I828=""),"",IF(COUNTIFS(F$6:F828,F828,I$6:I828,"?*")=1,MAX(W$5:W827)+1,""))</f>
        <v/>
      </c>
    </row>
    <row r="829">
      <c r="B829" s="15" t="n"/>
      <c r="C829" s="16" t="n"/>
      <c r="D829" s="17" t="n"/>
      <c r="E829" s="17" t="n"/>
      <c r="F829" s="17" t="n"/>
      <c r="G829" s="17" t="n"/>
      <c r="H829" s="18">
        <f>IF(AND(B829="",C829="",D829="",E829=""),"",IF(B829="","⚠ Falta fecha",IF(C829="","⚠ Falta monto",IF(D829="","⚠ Falta categoría",IF(ISNA(MATCH(D829,catNom,0)),"⚠ Categoría no existe",IF(E829="","⚠ Falta cuenta",IF(ISNA(MATCH(E829,ctaNom,0)),"⚠ Cuenta no existe",IF(AND(OR(I829="Transferencia",I829="Pago tarjeta"),G829=""),"⚠ Indica la cuenta «Hacia»",IF(AND(G829&lt;&gt;"",G829=E829),"⚠ «Hacia» igual a la cuenta",IF(AND(G829&lt;&gt;"",ISNA(MATCH(G829,ctaNom,0))),"⚠ «Hacia» no existe",IF(AND(I829="Pago tarjeta",IFERROR(INDEX(ctaTipo,MATCH(G829,ctaNom,0)),"")&lt;&gt;"Tarjeta de crédito"),"⚠ «Hacia» debe ser la tarjeta",IF(AND(I829="Trading",IFERROR(INDEX(ctaTipo,MATCH(E829,ctaNom,0)),"")&lt;&gt;"Cuenta de trading"),"⚠ Usa la cuenta de trading","✓"))))))))))))</f>
        <v/>
      </c>
      <c r="I829" s="19">
        <f>IF(OR(B829="",C829="",D829=""),"",IFERROR(INDEX(catTipo,MATCH(D829,catNom,0))&amp;"",""))</f>
        <v/>
      </c>
      <c r="J829" s="19">
        <f>IF(I829="","",IFERROR(INDEX(catGrupo,MATCH(D829,catNom,0))&amp;"",""))</f>
        <v/>
      </c>
      <c r="K829" s="19">
        <f>IF(I829="Gasto",IF(IFERROR(INDEX(catClas,MATCH(D829,catNom,0))&amp;"","")="","Variable",IFERROR(INDEX(catClas,MATCH(D829,catNom,0))&amp;"","")),"")</f>
        <v/>
      </c>
      <c r="L829" s="19">
        <f>IF(I829="","",IFERROR(INDEX(catAlim,MATCH(D829,catNom,0))&amp;"",""))</f>
        <v/>
      </c>
      <c r="M829" s="19">
        <f>IF(I829="","",IFERROR(INDEX(catComida,MATCH(D829,catNom,0))&amp;"",""))</f>
        <v/>
      </c>
      <c r="N829" s="19">
        <f>IF(I829="","",IFERROR(INDEX(ctaMon,MATCH(E829,ctaNom,0))&amp;"","DOP"))</f>
        <v/>
      </c>
      <c r="O829" s="20">
        <f>IF(I829="","",C829*IF(N829="USD",TasaUSD,1))</f>
        <v/>
      </c>
      <c r="P829" s="20">
        <f>IF(I829="","",IF(I829="Gasto",O829,0))</f>
        <v/>
      </c>
      <c r="Q829" s="20">
        <f>IF(I829="","",IF(I829="Ingreso",O829,0))</f>
        <v/>
      </c>
      <c r="R829" s="20">
        <f>IF(I829="","",IF(I829="Trading",O829,0))</f>
        <v/>
      </c>
      <c r="S829" s="19">
        <f>IF(I829="","",IF(AND(I829="Gasto",K829="Variable",J829&lt;&gt;"Trading",O829&gt;0,O829&lt;=Umbral),1,0))</f>
        <v/>
      </c>
      <c r="T829" s="20">
        <f>IF(OR(I829="",E829=""),"",IF(OR(I829="Gasto",I829="Transferencia",I829="Pago tarjeta"),-1,1)*C829)</f>
        <v/>
      </c>
      <c r="U829" s="20">
        <f>IF(OR(G829="",AND(I829&lt;&gt;"Transferencia",I829&lt;&gt;"Pago tarjeta")),"",IF(IFERROR(INDEX(ctaMon,MATCH(G829,ctaNom,0))&amp;"","DOP")=N829,C829,IF(N829="USD",C829*TasaUSD,C829/TasaUSD)))</f>
        <v/>
      </c>
      <c r="V829" s="20">
        <f>IF(I829="","",IF(IFERROR(INDEX(ctaLiq,MATCH(E829,ctaNom,0))="Sí",FALSE),IF(OR(I829="Gasto",I829="Transferencia",I829="Pago tarjeta"),-1,1)*O829,0)+IF(AND(U829&lt;&gt;"",IFERROR(INDEX(ctaLiq,MATCH(G829,ctaNom,0))="Sí",FALSE)),O829,0))</f>
        <v/>
      </c>
      <c r="W829" s="19">
        <f>IF(OR(F829="",I829=""),"",IF(COUNTIFS(F$6:F829,F829,I$6:I829,"?*")=1,MAX(W$5:W828)+1,""))</f>
        <v/>
      </c>
    </row>
    <row r="830">
      <c r="B830" s="15" t="n"/>
      <c r="C830" s="16" t="n"/>
      <c r="D830" s="17" t="n"/>
      <c r="E830" s="17" t="n"/>
      <c r="F830" s="17" t="n"/>
      <c r="G830" s="17" t="n"/>
      <c r="H830" s="18">
        <f>IF(AND(B830="",C830="",D830="",E830=""),"",IF(B830="","⚠ Falta fecha",IF(C830="","⚠ Falta monto",IF(D830="","⚠ Falta categoría",IF(ISNA(MATCH(D830,catNom,0)),"⚠ Categoría no existe",IF(E830="","⚠ Falta cuenta",IF(ISNA(MATCH(E830,ctaNom,0)),"⚠ Cuenta no existe",IF(AND(OR(I830="Transferencia",I830="Pago tarjeta"),G830=""),"⚠ Indica la cuenta «Hacia»",IF(AND(G830&lt;&gt;"",G830=E830),"⚠ «Hacia» igual a la cuenta",IF(AND(G830&lt;&gt;"",ISNA(MATCH(G830,ctaNom,0))),"⚠ «Hacia» no existe",IF(AND(I830="Pago tarjeta",IFERROR(INDEX(ctaTipo,MATCH(G830,ctaNom,0)),"")&lt;&gt;"Tarjeta de crédito"),"⚠ «Hacia» debe ser la tarjeta",IF(AND(I830="Trading",IFERROR(INDEX(ctaTipo,MATCH(E830,ctaNom,0)),"")&lt;&gt;"Cuenta de trading"),"⚠ Usa la cuenta de trading","✓"))))))))))))</f>
        <v/>
      </c>
      <c r="I830" s="19">
        <f>IF(OR(B830="",C830="",D830=""),"",IFERROR(INDEX(catTipo,MATCH(D830,catNom,0))&amp;"",""))</f>
        <v/>
      </c>
      <c r="J830" s="19">
        <f>IF(I830="","",IFERROR(INDEX(catGrupo,MATCH(D830,catNom,0))&amp;"",""))</f>
        <v/>
      </c>
      <c r="K830" s="19">
        <f>IF(I830="Gasto",IF(IFERROR(INDEX(catClas,MATCH(D830,catNom,0))&amp;"","")="","Variable",IFERROR(INDEX(catClas,MATCH(D830,catNom,0))&amp;"","")),"")</f>
        <v/>
      </c>
      <c r="L830" s="19">
        <f>IF(I830="","",IFERROR(INDEX(catAlim,MATCH(D830,catNom,0))&amp;"",""))</f>
        <v/>
      </c>
      <c r="M830" s="19">
        <f>IF(I830="","",IFERROR(INDEX(catComida,MATCH(D830,catNom,0))&amp;"",""))</f>
        <v/>
      </c>
      <c r="N830" s="19">
        <f>IF(I830="","",IFERROR(INDEX(ctaMon,MATCH(E830,ctaNom,0))&amp;"","DOP"))</f>
        <v/>
      </c>
      <c r="O830" s="20">
        <f>IF(I830="","",C830*IF(N830="USD",TasaUSD,1))</f>
        <v/>
      </c>
      <c r="P830" s="20">
        <f>IF(I830="","",IF(I830="Gasto",O830,0))</f>
        <v/>
      </c>
      <c r="Q830" s="20">
        <f>IF(I830="","",IF(I830="Ingreso",O830,0))</f>
        <v/>
      </c>
      <c r="R830" s="20">
        <f>IF(I830="","",IF(I830="Trading",O830,0))</f>
        <v/>
      </c>
      <c r="S830" s="19">
        <f>IF(I830="","",IF(AND(I830="Gasto",K830="Variable",J830&lt;&gt;"Trading",O830&gt;0,O830&lt;=Umbral),1,0))</f>
        <v/>
      </c>
      <c r="T830" s="20">
        <f>IF(OR(I830="",E830=""),"",IF(OR(I830="Gasto",I830="Transferencia",I830="Pago tarjeta"),-1,1)*C830)</f>
        <v/>
      </c>
      <c r="U830" s="20">
        <f>IF(OR(G830="",AND(I830&lt;&gt;"Transferencia",I830&lt;&gt;"Pago tarjeta")),"",IF(IFERROR(INDEX(ctaMon,MATCH(G830,ctaNom,0))&amp;"","DOP")=N830,C830,IF(N830="USD",C830*TasaUSD,C830/TasaUSD)))</f>
        <v/>
      </c>
      <c r="V830" s="20">
        <f>IF(I830="","",IF(IFERROR(INDEX(ctaLiq,MATCH(E830,ctaNom,0))="Sí",FALSE),IF(OR(I830="Gasto",I830="Transferencia",I830="Pago tarjeta"),-1,1)*O830,0)+IF(AND(U830&lt;&gt;"",IFERROR(INDEX(ctaLiq,MATCH(G830,ctaNom,0))="Sí",FALSE)),O830,0))</f>
        <v/>
      </c>
      <c r="W830" s="19">
        <f>IF(OR(F830="",I830=""),"",IF(COUNTIFS(F$6:F830,F830,I$6:I830,"?*")=1,MAX(W$5:W829)+1,""))</f>
        <v/>
      </c>
    </row>
    <row r="831">
      <c r="B831" s="15" t="n"/>
      <c r="C831" s="16" t="n"/>
      <c r="D831" s="17" t="n"/>
      <c r="E831" s="17" t="n"/>
      <c r="F831" s="17" t="n"/>
      <c r="G831" s="17" t="n"/>
      <c r="H831" s="18">
        <f>IF(AND(B831="",C831="",D831="",E831=""),"",IF(B831="","⚠ Falta fecha",IF(C831="","⚠ Falta monto",IF(D831="","⚠ Falta categoría",IF(ISNA(MATCH(D831,catNom,0)),"⚠ Categoría no existe",IF(E831="","⚠ Falta cuenta",IF(ISNA(MATCH(E831,ctaNom,0)),"⚠ Cuenta no existe",IF(AND(OR(I831="Transferencia",I831="Pago tarjeta"),G831=""),"⚠ Indica la cuenta «Hacia»",IF(AND(G831&lt;&gt;"",G831=E831),"⚠ «Hacia» igual a la cuenta",IF(AND(G831&lt;&gt;"",ISNA(MATCH(G831,ctaNom,0))),"⚠ «Hacia» no existe",IF(AND(I831="Pago tarjeta",IFERROR(INDEX(ctaTipo,MATCH(G831,ctaNom,0)),"")&lt;&gt;"Tarjeta de crédito"),"⚠ «Hacia» debe ser la tarjeta",IF(AND(I831="Trading",IFERROR(INDEX(ctaTipo,MATCH(E831,ctaNom,0)),"")&lt;&gt;"Cuenta de trading"),"⚠ Usa la cuenta de trading","✓"))))))))))))</f>
        <v/>
      </c>
      <c r="I831" s="19">
        <f>IF(OR(B831="",C831="",D831=""),"",IFERROR(INDEX(catTipo,MATCH(D831,catNom,0))&amp;"",""))</f>
        <v/>
      </c>
      <c r="J831" s="19">
        <f>IF(I831="","",IFERROR(INDEX(catGrupo,MATCH(D831,catNom,0))&amp;"",""))</f>
        <v/>
      </c>
      <c r="K831" s="19">
        <f>IF(I831="Gasto",IF(IFERROR(INDEX(catClas,MATCH(D831,catNom,0))&amp;"","")="","Variable",IFERROR(INDEX(catClas,MATCH(D831,catNom,0))&amp;"","")),"")</f>
        <v/>
      </c>
      <c r="L831" s="19">
        <f>IF(I831="","",IFERROR(INDEX(catAlim,MATCH(D831,catNom,0))&amp;"",""))</f>
        <v/>
      </c>
      <c r="M831" s="19">
        <f>IF(I831="","",IFERROR(INDEX(catComida,MATCH(D831,catNom,0))&amp;"",""))</f>
        <v/>
      </c>
      <c r="N831" s="19">
        <f>IF(I831="","",IFERROR(INDEX(ctaMon,MATCH(E831,ctaNom,0))&amp;"","DOP"))</f>
        <v/>
      </c>
      <c r="O831" s="20">
        <f>IF(I831="","",C831*IF(N831="USD",TasaUSD,1))</f>
        <v/>
      </c>
      <c r="P831" s="20">
        <f>IF(I831="","",IF(I831="Gasto",O831,0))</f>
        <v/>
      </c>
      <c r="Q831" s="20">
        <f>IF(I831="","",IF(I831="Ingreso",O831,0))</f>
        <v/>
      </c>
      <c r="R831" s="20">
        <f>IF(I831="","",IF(I831="Trading",O831,0))</f>
        <v/>
      </c>
      <c r="S831" s="19">
        <f>IF(I831="","",IF(AND(I831="Gasto",K831="Variable",J831&lt;&gt;"Trading",O831&gt;0,O831&lt;=Umbral),1,0))</f>
        <v/>
      </c>
      <c r="T831" s="20">
        <f>IF(OR(I831="",E831=""),"",IF(OR(I831="Gasto",I831="Transferencia",I831="Pago tarjeta"),-1,1)*C831)</f>
        <v/>
      </c>
      <c r="U831" s="20">
        <f>IF(OR(G831="",AND(I831&lt;&gt;"Transferencia",I831&lt;&gt;"Pago tarjeta")),"",IF(IFERROR(INDEX(ctaMon,MATCH(G831,ctaNom,0))&amp;"","DOP")=N831,C831,IF(N831="USD",C831*TasaUSD,C831/TasaUSD)))</f>
        <v/>
      </c>
      <c r="V831" s="20">
        <f>IF(I831="","",IF(IFERROR(INDEX(ctaLiq,MATCH(E831,ctaNom,0))="Sí",FALSE),IF(OR(I831="Gasto",I831="Transferencia",I831="Pago tarjeta"),-1,1)*O831,0)+IF(AND(U831&lt;&gt;"",IFERROR(INDEX(ctaLiq,MATCH(G831,ctaNom,0))="Sí",FALSE)),O831,0))</f>
        <v/>
      </c>
      <c r="W831" s="19">
        <f>IF(OR(F831="",I831=""),"",IF(COUNTIFS(F$6:F831,F831,I$6:I831,"?*")=1,MAX(W$5:W830)+1,""))</f>
        <v/>
      </c>
    </row>
    <row r="832">
      <c r="B832" s="15" t="n"/>
      <c r="C832" s="16" t="n"/>
      <c r="D832" s="17" t="n"/>
      <c r="E832" s="17" t="n"/>
      <c r="F832" s="17" t="n"/>
      <c r="G832" s="17" t="n"/>
      <c r="H832" s="18">
        <f>IF(AND(B832="",C832="",D832="",E832=""),"",IF(B832="","⚠ Falta fecha",IF(C832="","⚠ Falta monto",IF(D832="","⚠ Falta categoría",IF(ISNA(MATCH(D832,catNom,0)),"⚠ Categoría no existe",IF(E832="","⚠ Falta cuenta",IF(ISNA(MATCH(E832,ctaNom,0)),"⚠ Cuenta no existe",IF(AND(OR(I832="Transferencia",I832="Pago tarjeta"),G832=""),"⚠ Indica la cuenta «Hacia»",IF(AND(G832&lt;&gt;"",G832=E832),"⚠ «Hacia» igual a la cuenta",IF(AND(G832&lt;&gt;"",ISNA(MATCH(G832,ctaNom,0))),"⚠ «Hacia» no existe",IF(AND(I832="Pago tarjeta",IFERROR(INDEX(ctaTipo,MATCH(G832,ctaNom,0)),"")&lt;&gt;"Tarjeta de crédito"),"⚠ «Hacia» debe ser la tarjeta",IF(AND(I832="Trading",IFERROR(INDEX(ctaTipo,MATCH(E832,ctaNom,0)),"")&lt;&gt;"Cuenta de trading"),"⚠ Usa la cuenta de trading","✓"))))))))))))</f>
        <v/>
      </c>
      <c r="I832" s="19">
        <f>IF(OR(B832="",C832="",D832=""),"",IFERROR(INDEX(catTipo,MATCH(D832,catNom,0))&amp;"",""))</f>
        <v/>
      </c>
      <c r="J832" s="19">
        <f>IF(I832="","",IFERROR(INDEX(catGrupo,MATCH(D832,catNom,0))&amp;"",""))</f>
        <v/>
      </c>
      <c r="K832" s="19">
        <f>IF(I832="Gasto",IF(IFERROR(INDEX(catClas,MATCH(D832,catNom,0))&amp;"","")="","Variable",IFERROR(INDEX(catClas,MATCH(D832,catNom,0))&amp;"","")),"")</f>
        <v/>
      </c>
      <c r="L832" s="19">
        <f>IF(I832="","",IFERROR(INDEX(catAlim,MATCH(D832,catNom,0))&amp;"",""))</f>
        <v/>
      </c>
      <c r="M832" s="19">
        <f>IF(I832="","",IFERROR(INDEX(catComida,MATCH(D832,catNom,0))&amp;"",""))</f>
        <v/>
      </c>
      <c r="N832" s="19">
        <f>IF(I832="","",IFERROR(INDEX(ctaMon,MATCH(E832,ctaNom,0))&amp;"","DOP"))</f>
        <v/>
      </c>
      <c r="O832" s="20">
        <f>IF(I832="","",C832*IF(N832="USD",TasaUSD,1))</f>
        <v/>
      </c>
      <c r="P832" s="20">
        <f>IF(I832="","",IF(I832="Gasto",O832,0))</f>
        <v/>
      </c>
      <c r="Q832" s="20">
        <f>IF(I832="","",IF(I832="Ingreso",O832,0))</f>
        <v/>
      </c>
      <c r="R832" s="20">
        <f>IF(I832="","",IF(I832="Trading",O832,0))</f>
        <v/>
      </c>
      <c r="S832" s="19">
        <f>IF(I832="","",IF(AND(I832="Gasto",K832="Variable",J832&lt;&gt;"Trading",O832&gt;0,O832&lt;=Umbral),1,0))</f>
        <v/>
      </c>
      <c r="T832" s="20">
        <f>IF(OR(I832="",E832=""),"",IF(OR(I832="Gasto",I832="Transferencia",I832="Pago tarjeta"),-1,1)*C832)</f>
        <v/>
      </c>
      <c r="U832" s="20">
        <f>IF(OR(G832="",AND(I832&lt;&gt;"Transferencia",I832&lt;&gt;"Pago tarjeta")),"",IF(IFERROR(INDEX(ctaMon,MATCH(G832,ctaNom,0))&amp;"","DOP")=N832,C832,IF(N832="USD",C832*TasaUSD,C832/TasaUSD)))</f>
        <v/>
      </c>
      <c r="V832" s="20">
        <f>IF(I832="","",IF(IFERROR(INDEX(ctaLiq,MATCH(E832,ctaNom,0))="Sí",FALSE),IF(OR(I832="Gasto",I832="Transferencia",I832="Pago tarjeta"),-1,1)*O832,0)+IF(AND(U832&lt;&gt;"",IFERROR(INDEX(ctaLiq,MATCH(G832,ctaNom,0))="Sí",FALSE)),O832,0))</f>
        <v/>
      </c>
      <c r="W832" s="19">
        <f>IF(OR(F832="",I832=""),"",IF(COUNTIFS(F$6:F832,F832,I$6:I832,"?*")=1,MAX(W$5:W831)+1,""))</f>
        <v/>
      </c>
    </row>
    <row r="833">
      <c r="B833" s="15" t="n"/>
      <c r="C833" s="16" t="n"/>
      <c r="D833" s="17" t="n"/>
      <c r="E833" s="17" t="n"/>
      <c r="F833" s="17" t="n"/>
      <c r="G833" s="17" t="n"/>
      <c r="H833" s="18">
        <f>IF(AND(B833="",C833="",D833="",E833=""),"",IF(B833="","⚠ Falta fecha",IF(C833="","⚠ Falta monto",IF(D833="","⚠ Falta categoría",IF(ISNA(MATCH(D833,catNom,0)),"⚠ Categoría no existe",IF(E833="","⚠ Falta cuenta",IF(ISNA(MATCH(E833,ctaNom,0)),"⚠ Cuenta no existe",IF(AND(OR(I833="Transferencia",I833="Pago tarjeta"),G833=""),"⚠ Indica la cuenta «Hacia»",IF(AND(G833&lt;&gt;"",G833=E833),"⚠ «Hacia» igual a la cuenta",IF(AND(G833&lt;&gt;"",ISNA(MATCH(G833,ctaNom,0))),"⚠ «Hacia» no existe",IF(AND(I833="Pago tarjeta",IFERROR(INDEX(ctaTipo,MATCH(G833,ctaNom,0)),"")&lt;&gt;"Tarjeta de crédito"),"⚠ «Hacia» debe ser la tarjeta",IF(AND(I833="Trading",IFERROR(INDEX(ctaTipo,MATCH(E833,ctaNom,0)),"")&lt;&gt;"Cuenta de trading"),"⚠ Usa la cuenta de trading","✓"))))))))))))</f>
        <v/>
      </c>
      <c r="I833" s="19">
        <f>IF(OR(B833="",C833="",D833=""),"",IFERROR(INDEX(catTipo,MATCH(D833,catNom,0))&amp;"",""))</f>
        <v/>
      </c>
      <c r="J833" s="19">
        <f>IF(I833="","",IFERROR(INDEX(catGrupo,MATCH(D833,catNom,0))&amp;"",""))</f>
        <v/>
      </c>
      <c r="K833" s="19">
        <f>IF(I833="Gasto",IF(IFERROR(INDEX(catClas,MATCH(D833,catNom,0))&amp;"","")="","Variable",IFERROR(INDEX(catClas,MATCH(D833,catNom,0))&amp;"","")),"")</f>
        <v/>
      </c>
      <c r="L833" s="19">
        <f>IF(I833="","",IFERROR(INDEX(catAlim,MATCH(D833,catNom,0))&amp;"",""))</f>
        <v/>
      </c>
      <c r="M833" s="19">
        <f>IF(I833="","",IFERROR(INDEX(catComida,MATCH(D833,catNom,0))&amp;"",""))</f>
        <v/>
      </c>
      <c r="N833" s="19">
        <f>IF(I833="","",IFERROR(INDEX(ctaMon,MATCH(E833,ctaNom,0))&amp;"","DOP"))</f>
        <v/>
      </c>
      <c r="O833" s="20">
        <f>IF(I833="","",C833*IF(N833="USD",TasaUSD,1))</f>
        <v/>
      </c>
      <c r="P833" s="20">
        <f>IF(I833="","",IF(I833="Gasto",O833,0))</f>
        <v/>
      </c>
      <c r="Q833" s="20">
        <f>IF(I833="","",IF(I833="Ingreso",O833,0))</f>
        <v/>
      </c>
      <c r="R833" s="20">
        <f>IF(I833="","",IF(I833="Trading",O833,0))</f>
        <v/>
      </c>
      <c r="S833" s="19">
        <f>IF(I833="","",IF(AND(I833="Gasto",K833="Variable",J833&lt;&gt;"Trading",O833&gt;0,O833&lt;=Umbral),1,0))</f>
        <v/>
      </c>
      <c r="T833" s="20">
        <f>IF(OR(I833="",E833=""),"",IF(OR(I833="Gasto",I833="Transferencia",I833="Pago tarjeta"),-1,1)*C833)</f>
        <v/>
      </c>
      <c r="U833" s="20">
        <f>IF(OR(G833="",AND(I833&lt;&gt;"Transferencia",I833&lt;&gt;"Pago tarjeta")),"",IF(IFERROR(INDEX(ctaMon,MATCH(G833,ctaNom,0))&amp;"","DOP")=N833,C833,IF(N833="USD",C833*TasaUSD,C833/TasaUSD)))</f>
        <v/>
      </c>
      <c r="V833" s="20">
        <f>IF(I833="","",IF(IFERROR(INDEX(ctaLiq,MATCH(E833,ctaNom,0))="Sí",FALSE),IF(OR(I833="Gasto",I833="Transferencia",I833="Pago tarjeta"),-1,1)*O833,0)+IF(AND(U833&lt;&gt;"",IFERROR(INDEX(ctaLiq,MATCH(G833,ctaNom,0))="Sí",FALSE)),O833,0))</f>
        <v/>
      </c>
      <c r="W833" s="19">
        <f>IF(OR(F833="",I833=""),"",IF(COUNTIFS(F$6:F833,F833,I$6:I833,"?*")=1,MAX(W$5:W832)+1,""))</f>
        <v/>
      </c>
    </row>
    <row r="834">
      <c r="B834" s="15" t="n"/>
      <c r="C834" s="16" t="n"/>
      <c r="D834" s="17" t="n"/>
      <c r="E834" s="17" t="n"/>
      <c r="F834" s="17" t="n"/>
      <c r="G834" s="17" t="n"/>
      <c r="H834" s="18">
        <f>IF(AND(B834="",C834="",D834="",E834=""),"",IF(B834="","⚠ Falta fecha",IF(C834="","⚠ Falta monto",IF(D834="","⚠ Falta categoría",IF(ISNA(MATCH(D834,catNom,0)),"⚠ Categoría no existe",IF(E834="","⚠ Falta cuenta",IF(ISNA(MATCH(E834,ctaNom,0)),"⚠ Cuenta no existe",IF(AND(OR(I834="Transferencia",I834="Pago tarjeta"),G834=""),"⚠ Indica la cuenta «Hacia»",IF(AND(G834&lt;&gt;"",G834=E834),"⚠ «Hacia» igual a la cuenta",IF(AND(G834&lt;&gt;"",ISNA(MATCH(G834,ctaNom,0))),"⚠ «Hacia» no existe",IF(AND(I834="Pago tarjeta",IFERROR(INDEX(ctaTipo,MATCH(G834,ctaNom,0)),"")&lt;&gt;"Tarjeta de crédito"),"⚠ «Hacia» debe ser la tarjeta",IF(AND(I834="Trading",IFERROR(INDEX(ctaTipo,MATCH(E834,ctaNom,0)),"")&lt;&gt;"Cuenta de trading"),"⚠ Usa la cuenta de trading","✓"))))))))))))</f>
        <v/>
      </c>
      <c r="I834" s="19">
        <f>IF(OR(B834="",C834="",D834=""),"",IFERROR(INDEX(catTipo,MATCH(D834,catNom,0))&amp;"",""))</f>
        <v/>
      </c>
      <c r="J834" s="19">
        <f>IF(I834="","",IFERROR(INDEX(catGrupo,MATCH(D834,catNom,0))&amp;"",""))</f>
        <v/>
      </c>
      <c r="K834" s="19">
        <f>IF(I834="Gasto",IF(IFERROR(INDEX(catClas,MATCH(D834,catNom,0))&amp;"","")="","Variable",IFERROR(INDEX(catClas,MATCH(D834,catNom,0))&amp;"","")),"")</f>
        <v/>
      </c>
      <c r="L834" s="19">
        <f>IF(I834="","",IFERROR(INDEX(catAlim,MATCH(D834,catNom,0))&amp;"",""))</f>
        <v/>
      </c>
      <c r="M834" s="19">
        <f>IF(I834="","",IFERROR(INDEX(catComida,MATCH(D834,catNom,0))&amp;"",""))</f>
        <v/>
      </c>
      <c r="N834" s="19">
        <f>IF(I834="","",IFERROR(INDEX(ctaMon,MATCH(E834,ctaNom,0))&amp;"","DOP"))</f>
        <v/>
      </c>
      <c r="O834" s="20">
        <f>IF(I834="","",C834*IF(N834="USD",TasaUSD,1))</f>
        <v/>
      </c>
      <c r="P834" s="20">
        <f>IF(I834="","",IF(I834="Gasto",O834,0))</f>
        <v/>
      </c>
      <c r="Q834" s="20">
        <f>IF(I834="","",IF(I834="Ingreso",O834,0))</f>
        <v/>
      </c>
      <c r="R834" s="20">
        <f>IF(I834="","",IF(I834="Trading",O834,0))</f>
        <v/>
      </c>
      <c r="S834" s="19">
        <f>IF(I834="","",IF(AND(I834="Gasto",K834="Variable",J834&lt;&gt;"Trading",O834&gt;0,O834&lt;=Umbral),1,0))</f>
        <v/>
      </c>
      <c r="T834" s="20">
        <f>IF(OR(I834="",E834=""),"",IF(OR(I834="Gasto",I834="Transferencia",I834="Pago tarjeta"),-1,1)*C834)</f>
        <v/>
      </c>
      <c r="U834" s="20">
        <f>IF(OR(G834="",AND(I834&lt;&gt;"Transferencia",I834&lt;&gt;"Pago tarjeta")),"",IF(IFERROR(INDEX(ctaMon,MATCH(G834,ctaNom,0))&amp;"","DOP")=N834,C834,IF(N834="USD",C834*TasaUSD,C834/TasaUSD)))</f>
        <v/>
      </c>
      <c r="V834" s="20">
        <f>IF(I834="","",IF(IFERROR(INDEX(ctaLiq,MATCH(E834,ctaNom,0))="Sí",FALSE),IF(OR(I834="Gasto",I834="Transferencia",I834="Pago tarjeta"),-1,1)*O834,0)+IF(AND(U834&lt;&gt;"",IFERROR(INDEX(ctaLiq,MATCH(G834,ctaNom,0))="Sí",FALSE)),O834,0))</f>
        <v/>
      </c>
      <c r="W834" s="19">
        <f>IF(OR(F834="",I834=""),"",IF(COUNTIFS(F$6:F834,F834,I$6:I834,"?*")=1,MAX(W$5:W833)+1,""))</f>
        <v/>
      </c>
    </row>
    <row r="835">
      <c r="B835" s="15" t="n"/>
      <c r="C835" s="16" t="n"/>
      <c r="D835" s="17" t="n"/>
      <c r="E835" s="17" t="n"/>
      <c r="F835" s="17" t="n"/>
      <c r="G835" s="17" t="n"/>
      <c r="H835" s="18">
        <f>IF(AND(B835="",C835="",D835="",E835=""),"",IF(B835="","⚠ Falta fecha",IF(C835="","⚠ Falta monto",IF(D835="","⚠ Falta categoría",IF(ISNA(MATCH(D835,catNom,0)),"⚠ Categoría no existe",IF(E835="","⚠ Falta cuenta",IF(ISNA(MATCH(E835,ctaNom,0)),"⚠ Cuenta no existe",IF(AND(OR(I835="Transferencia",I835="Pago tarjeta"),G835=""),"⚠ Indica la cuenta «Hacia»",IF(AND(G835&lt;&gt;"",G835=E835),"⚠ «Hacia» igual a la cuenta",IF(AND(G835&lt;&gt;"",ISNA(MATCH(G835,ctaNom,0))),"⚠ «Hacia» no existe",IF(AND(I835="Pago tarjeta",IFERROR(INDEX(ctaTipo,MATCH(G835,ctaNom,0)),"")&lt;&gt;"Tarjeta de crédito"),"⚠ «Hacia» debe ser la tarjeta",IF(AND(I835="Trading",IFERROR(INDEX(ctaTipo,MATCH(E835,ctaNom,0)),"")&lt;&gt;"Cuenta de trading"),"⚠ Usa la cuenta de trading","✓"))))))))))))</f>
        <v/>
      </c>
      <c r="I835" s="19">
        <f>IF(OR(B835="",C835="",D835=""),"",IFERROR(INDEX(catTipo,MATCH(D835,catNom,0))&amp;"",""))</f>
        <v/>
      </c>
      <c r="J835" s="19">
        <f>IF(I835="","",IFERROR(INDEX(catGrupo,MATCH(D835,catNom,0))&amp;"",""))</f>
        <v/>
      </c>
      <c r="K835" s="19">
        <f>IF(I835="Gasto",IF(IFERROR(INDEX(catClas,MATCH(D835,catNom,0))&amp;"","")="","Variable",IFERROR(INDEX(catClas,MATCH(D835,catNom,0))&amp;"","")),"")</f>
        <v/>
      </c>
      <c r="L835" s="19">
        <f>IF(I835="","",IFERROR(INDEX(catAlim,MATCH(D835,catNom,0))&amp;"",""))</f>
        <v/>
      </c>
      <c r="M835" s="19">
        <f>IF(I835="","",IFERROR(INDEX(catComida,MATCH(D835,catNom,0))&amp;"",""))</f>
        <v/>
      </c>
      <c r="N835" s="19">
        <f>IF(I835="","",IFERROR(INDEX(ctaMon,MATCH(E835,ctaNom,0))&amp;"","DOP"))</f>
        <v/>
      </c>
      <c r="O835" s="20">
        <f>IF(I835="","",C835*IF(N835="USD",TasaUSD,1))</f>
        <v/>
      </c>
      <c r="P835" s="20">
        <f>IF(I835="","",IF(I835="Gasto",O835,0))</f>
        <v/>
      </c>
      <c r="Q835" s="20">
        <f>IF(I835="","",IF(I835="Ingreso",O835,0))</f>
        <v/>
      </c>
      <c r="R835" s="20">
        <f>IF(I835="","",IF(I835="Trading",O835,0))</f>
        <v/>
      </c>
      <c r="S835" s="19">
        <f>IF(I835="","",IF(AND(I835="Gasto",K835="Variable",J835&lt;&gt;"Trading",O835&gt;0,O835&lt;=Umbral),1,0))</f>
        <v/>
      </c>
      <c r="T835" s="20">
        <f>IF(OR(I835="",E835=""),"",IF(OR(I835="Gasto",I835="Transferencia",I835="Pago tarjeta"),-1,1)*C835)</f>
        <v/>
      </c>
      <c r="U835" s="20">
        <f>IF(OR(G835="",AND(I835&lt;&gt;"Transferencia",I835&lt;&gt;"Pago tarjeta")),"",IF(IFERROR(INDEX(ctaMon,MATCH(G835,ctaNom,0))&amp;"","DOP")=N835,C835,IF(N835="USD",C835*TasaUSD,C835/TasaUSD)))</f>
        <v/>
      </c>
      <c r="V835" s="20">
        <f>IF(I835="","",IF(IFERROR(INDEX(ctaLiq,MATCH(E835,ctaNom,0))="Sí",FALSE),IF(OR(I835="Gasto",I835="Transferencia",I835="Pago tarjeta"),-1,1)*O835,0)+IF(AND(U835&lt;&gt;"",IFERROR(INDEX(ctaLiq,MATCH(G835,ctaNom,0))="Sí",FALSE)),O835,0))</f>
        <v/>
      </c>
      <c r="W835" s="19">
        <f>IF(OR(F835="",I835=""),"",IF(COUNTIFS(F$6:F835,F835,I$6:I835,"?*")=1,MAX(W$5:W834)+1,""))</f>
        <v/>
      </c>
    </row>
    <row r="836">
      <c r="B836" s="15" t="n"/>
      <c r="C836" s="16" t="n"/>
      <c r="D836" s="17" t="n"/>
      <c r="E836" s="17" t="n"/>
      <c r="F836" s="17" t="n"/>
      <c r="G836" s="17" t="n"/>
      <c r="H836" s="18">
        <f>IF(AND(B836="",C836="",D836="",E836=""),"",IF(B836="","⚠ Falta fecha",IF(C836="","⚠ Falta monto",IF(D836="","⚠ Falta categoría",IF(ISNA(MATCH(D836,catNom,0)),"⚠ Categoría no existe",IF(E836="","⚠ Falta cuenta",IF(ISNA(MATCH(E836,ctaNom,0)),"⚠ Cuenta no existe",IF(AND(OR(I836="Transferencia",I836="Pago tarjeta"),G836=""),"⚠ Indica la cuenta «Hacia»",IF(AND(G836&lt;&gt;"",G836=E836),"⚠ «Hacia» igual a la cuenta",IF(AND(G836&lt;&gt;"",ISNA(MATCH(G836,ctaNom,0))),"⚠ «Hacia» no existe",IF(AND(I836="Pago tarjeta",IFERROR(INDEX(ctaTipo,MATCH(G836,ctaNom,0)),"")&lt;&gt;"Tarjeta de crédito"),"⚠ «Hacia» debe ser la tarjeta",IF(AND(I836="Trading",IFERROR(INDEX(ctaTipo,MATCH(E836,ctaNom,0)),"")&lt;&gt;"Cuenta de trading"),"⚠ Usa la cuenta de trading","✓"))))))))))))</f>
        <v/>
      </c>
      <c r="I836" s="19">
        <f>IF(OR(B836="",C836="",D836=""),"",IFERROR(INDEX(catTipo,MATCH(D836,catNom,0))&amp;"",""))</f>
        <v/>
      </c>
      <c r="J836" s="19">
        <f>IF(I836="","",IFERROR(INDEX(catGrupo,MATCH(D836,catNom,0))&amp;"",""))</f>
        <v/>
      </c>
      <c r="K836" s="19">
        <f>IF(I836="Gasto",IF(IFERROR(INDEX(catClas,MATCH(D836,catNom,0))&amp;"","")="","Variable",IFERROR(INDEX(catClas,MATCH(D836,catNom,0))&amp;"","")),"")</f>
        <v/>
      </c>
      <c r="L836" s="19">
        <f>IF(I836="","",IFERROR(INDEX(catAlim,MATCH(D836,catNom,0))&amp;"",""))</f>
        <v/>
      </c>
      <c r="M836" s="19">
        <f>IF(I836="","",IFERROR(INDEX(catComida,MATCH(D836,catNom,0))&amp;"",""))</f>
        <v/>
      </c>
      <c r="N836" s="19">
        <f>IF(I836="","",IFERROR(INDEX(ctaMon,MATCH(E836,ctaNom,0))&amp;"","DOP"))</f>
        <v/>
      </c>
      <c r="O836" s="20">
        <f>IF(I836="","",C836*IF(N836="USD",TasaUSD,1))</f>
        <v/>
      </c>
      <c r="P836" s="20">
        <f>IF(I836="","",IF(I836="Gasto",O836,0))</f>
        <v/>
      </c>
      <c r="Q836" s="20">
        <f>IF(I836="","",IF(I836="Ingreso",O836,0))</f>
        <v/>
      </c>
      <c r="R836" s="20">
        <f>IF(I836="","",IF(I836="Trading",O836,0))</f>
        <v/>
      </c>
      <c r="S836" s="19">
        <f>IF(I836="","",IF(AND(I836="Gasto",K836="Variable",J836&lt;&gt;"Trading",O836&gt;0,O836&lt;=Umbral),1,0))</f>
        <v/>
      </c>
      <c r="T836" s="20">
        <f>IF(OR(I836="",E836=""),"",IF(OR(I836="Gasto",I836="Transferencia",I836="Pago tarjeta"),-1,1)*C836)</f>
        <v/>
      </c>
      <c r="U836" s="20">
        <f>IF(OR(G836="",AND(I836&lt;&gt;"Transferencia",I836&lt;&gt;"Pago tarjeta")),"",IF(IFERROR(INDEX(ctaMon,MATCH(G836,ctaNom,0))&amp;"","DOP")=N836,C836,IF(N836="USD",C836*TasaUSD,C836/TasaUSD)))</f>
        <v/>
      </c>
      <c r="V836" s="20">
        <f>IF(I836="","",IF(IFERROR(INDEX(ctaLiq,MATCH(E836,ctaNom,0))="Sí",FALSE),IF(OR(I836="Gasto",I836="Transferencia",I836="Pago tarjeta"),-1,1)*O836,0)+IF(AND(U836&lt;&gt;"",IFERROR(INDEX(ctaLiq,MATCH(G836,ctaNom,0))="Sí",FALSE)),O836,0))</f>
        <v/>
      </c>
      <c r="W836" s="19">
        <f>IF(OR(F836="",I836=""),"",IF(COUNTIFS(F$6:F836,F836,I$6:I836,"?*")=1,MAX(W$5:W835)+1,""))</f>
        <v/>
      </c>
    </row>
    <row r="837">
      <c r="B837" s="15" t="n"/>
      <c r="C837" s="16" t="n"/>
      <c r="D837" s="17" t="n"/>
      <c r="E837" s="17" t="n"/>
      <c r="F837" s="17" t="n"/>
      <c r="G837" s="17" t="n"/>
      <c r="H837" s="18">
        <f>IF(AND(B837="",C837="",D837="",E837=""),"",IF(B837="","⚠ Falta fecha",IF(C837="","⚠ Falta monto",IF(D837="","⚠ Falta categoría",IF(ISNA(MATCH(D837,catNom,0)),"⚠ Categoría no existe",IF(E837="","⚠ Falta cuenta",IF(ISNA(MATCH(E837,ctaNom,0)),"⚠ Cuenta no existe",IF(AND(OR(I837="Transferencia",I837="Pago tarjeta"),G837=""),"⚠ Indica la cuenta «Hacia»",IF(AND(G837&lt;&gt;"",G837=E837),"⚠ «Hacia» igual a la cuenta",IF(AND(G837&lt;&gt;"",ISNA(MATCH(G837,ctaNom,0))),"⚠ «Hacia» no existe",IF(AND(I837="Pago tarjeta",IFERROR(INDEX(ctaTipo,MATCH(G837,ctaNom,0)),"")&lt;&gt;"Tarjeta de crédito"),"⚠ «Hacia» debe ser la tarjeta",IF(AND(I837="Trading",IFERROR(INDEX(ctaTipo,MATCH(E837,ctaNom,0)),"")&lt;&gt;"Cuenta de trading"),"⚠ Usa la cuenta de trading","✓"))))))))))))</f>
        <v/>
      </c>
      <c r="I837" s="19">
        <f>IF(OR(B837="",C837="",D837=""),"",IFERROR(INDEX(catTipo,MATCH(D837,catNom,0))&amp;"",""))</f>
        <v/>
      </c>
      <c r="J837" s="19">
        <f>IF(I837="","",IFERROR(INDEX(catGrupo,MATCH(D837,catNom,0))&amp;"",""))</f>
        <v/>
      </c>
      <c r="K837" s="19">
        <f>IF(I837="Gasto",IF(IFERROR(INDEX(catClas,MATCH(D837,catNom,0))&amp;"","")="","Variable",IFERROR(INDEX(catClas,MATCH(D837,catNom,0))&amp;"","")),"")</f>
        <v/>
      </c>
      <c r="L837" s="19">
        <f>IF(I837="","",IFERROR(INDEX(catAlim,MATCH(D837,catNom,0))&amp;"",""))</f>
        <v/>
      </c>
      <c r="M837" s="19">
        <f>IF(I837="","",IFERROR(INDEX(catComida,MATCH(D837,catNom,0))&amp;"",""))</f>
        <v/>
      </c>
      <c r="N837" s="19">
        <f>IF(I837="","",IFERROR(INDEX(ctaMon,MATCH(E837,ctaNom,0))&amp;"","DOP"))</f>
        <v/>
      </c>
      <c r="O837" s="20">
        <f>IF(I837="","",C837*IF(N837="USD",TasaUSD,1))</f>
        <v/>
      </c>
      <c r="P837" s="20">
        <f>IF(I837="","",IF(I837="Gasto",O837,0))</f>
        <v/>
      </c>
      <c r="Q837" s="20">
        <f>IF(I837="","",IF(I837="Ingreso",O837,0))</f>
        <v/>
      </c>
      <c r="R837" s="20">
        <f>IF(I837="","",IF(I837="Trading",O837,0))</f>
        <v/>
      </c>
      <c r="S837" s="19">
        <f>IF(I837="","",IF(AND(I837="Gasto",K837="Variable",J837&lt;&gt;"Trading",O837&gt;0,O837&lt;=Umbral),1,0))</f>
        <v/>
      </c>
      <c r="T837" s="20">
        <f>IF(OR(I837="",E837=""),"",IF(OR(I837="Gasto",I837="Transferencia",I837="Pago tarjeta"),-1,1)*C837)</f>
        <v/>
      </c>
      <c r="U837" s="20">
        <f>IF(OR(G837="",AND(I837&lt;&gt;"Transferencia",I837&lt;&gt;"Pago tarjeta")),"",IF(IFERROR(INDEX(ctaMon,MATCH(G837,ctaNom,0))&amp;"","DOP")=N837,C837,IF(N837="USD",C837*TasaUSD,C837/TasaUSD)))</f>
        <v/>
      </c>
      <c r="V837" s="20">
        <f>IF(I837="","",IF(IFERROR(INDEX(ctaLiq,MATCH(E837,ctaNom,0))="Sí",FALSE),IF(OR(I837="Gasto",I837="Transferencia",I837="Pago tarjeta"),-1,1)*O837,0)+IF(AND(U837&lt;&gt;"",IFERROR(INDEX(ctaLiq,MATCH(G837,ctaNom,0))="Sí",FALSE)),O837,0))</f>
        <v/>
      </c>
      <c r="W837" s="19">
        <f>IF(OR(F837="",I837=""),"",IF(COUNTIFS(F$6:F837,F837,I$6:I837,"?*")=1,MAX(W$5:W836)+1,""))</f>
        <v/>
      </c>
    </row>
    <row r="838">
      <c r="B838" s="15" t="n"/>
      <c r="C838" s="16" t="n"/>
      <c r="D838" s="17" t="n"/>
      <c r="E838" s="17" t="n"/>
      <c r="F838" s="17" t="n"/>
      <c r="G838" s="17" t="n"/>
      <c r="H838" s="18">
        <f>IF(AND(B838="",C838="",D838="",E838=""),"",IF(B838="","⚠ Falta fecha",IF(C838="","⚠ Falta monto",IF(D838="","⚠ Falta categoría",IF(ISNA(MATCH(D838,catNom,0)),"⚠ Categoría no existe",IF(E838="","⚠ Falta cuenta",IF(ISNA(MATCH(E838,ctaNom,0)),"⚠ Cuenta no existe",IF(AND(OR(I838="Transferencia",I838="Pago tarjeta"),G838=""),"⚠ Indica la cuenta «Hacia»",IF(AND(G838&lt;&gt;"",G838=E838),"⚠ «Hacia» igual a la cuenta",IF(AND(G838&lt;&gt;"",ISNA(MATCH(G838,ctaNom,0))),"⚠ «Hacia» no existe",IF(AND(I838="Pago tarjeta",IFERROR(INDEX(ctaTipo,MATCH(G838,ctaNom,0)),"")&lt;&gt;"Tarjeta de crédito"),"⚠ «Hacia» debe ser la tarjeta",IF(AND(I838="Trading",IFERROR(INDEX(ctaTipo,MATCH(E838,ctaNom,0)),"")&lt;&gt;"Cuenta de trading"),"⚠ Usa la cuenta de trading","✓"))))))))))))</f>
        <v/>
      </c>
      <c r="I838" s="19">
        <f>IF(OR(B838="",C838="",D838=""),"",IFERROR(INDEX(catTipo,MATCH(D838,catNom,0))&amp;"",""))</f>
        <v/>
      </c>
      <c r="J838" s="19">
        <f>IF(I838="","",IFERROR(INDEX(catGrupo,MATCH(D838,catNom,0))&amp;"",""))</f>
        <v/>
      </c>
      <c r="K838" s="19">
        <f>IF(I838="Gasto",IF(IFERROR(INDEX(catClas,MATCH(D838,catNom,0))&amp;"","")="","Variable",IFERROR(INDEX(catClas,MATCH(D838,catNom,0))&amp;"","")),"")</f>
        <v/>
      </c>
      <c r="L838" s="19">
        <f>IF(I838="","",IFERROR(INDEX(catAlim,MATCH(D838,catNom,0))&amp;"",""))</f>
        <v/>
      </c>
      <c r="M838" s="19">
        <f>IF(I838="","",IFERROR(INDEX(catComida,MATCH(D838,catNom,0))&amp;"",""))</f>
        <v/>
      </c>
      <c r="N838" s="19">
        <f>IF(I838="","",IFERROR(INDEX(ctaMon,MATCH(E838,ctaNom,0))&amp;"","DOP"))</f>
        <v/>
      </c>
      <c r="O838" s="20">
        <f>IF(I838="","",C838*IF(N838="USD",TasaUSD,1))</f>
        <v/>
      </c>
      <c r="P838" s="20">
        <f>IF(I838="","",IF(I838="Gasto",O838,0))</f>
        <v/>
      </c>
      <c r="Q838" s="20">
        <f>IF(I838="","",IF(I838="Ingreso",O838,0))</f>
        <v/>
      </c>
      <c r="R838" s="20">
        <f>IF(I838="","",IF(I838="Trading",O838,0))</f>
        <v/>
      </c>
      <c r="S838" s="19">
        <f>IF(I838="","",IF(AND(I838="Gasto",K838="Variable",J838&lt;&gt;"Trading",O838&gt;0,O838&lt;=Umbral),1,0))</f>
        <v/>
      </c>
      <c r="T838" s="20">
        <f>IF(OR(I838="",E838=""),"",IF(OR(I838="Gasto",I838="Transferencia",I838="Pago tarjeta"),-1,1)*C838)</f>
        <v/>
      </c>
      <c r="U838" s="20">
        <f>IF(OR(G838="",AND(I838&lt;&gt;"Transferencia",I838&lt;&gt;"Pago tarjeta")),"",IF(IFERROR(INDEX(ctaMon,MATCH(G838,ctaNom,0))&amp;"","DOP")=N838,C838,IF(N838="USD",C838*TasaUSD,C838/TasaUSD)))</f>
        <v/>
      </c>
      <c r="V838" s="20">
        <f>IF(I838="","",IF(IFERROR(INDEX(ctaLiq,MATCH(E838,ctaNom,0))="Sí",FALSE),IF(OR(I838="Gasto",I838="Transferencia",I838="Pago tarjeta"),-1,1)*O838,0)+IF(AND(U838&lt;&gt;"",IFERROR(INDEX(ctaLiq,MATCH(G838,ctaNom,0))="Sí",FALSE)),O838,0))</f>
        <v/>
      </c>
      <c r="W838" s="19">
        <f>IF(OR(F838="",I838=""),"",IF(COUNTIFS(F$6:F838,F838,I$6:I838,"?*")=1,MAX(W$5:W837)+1,""))</f>
        <v/>
      </c>
    </row>
    <row r="839">
      <c r="B839" s="15" t="n"/>
      <c r="C839" s="16" t="n"/>
      <c r="D839" s="17" t="n"/>
      <c r="E839" s="17" t="n"/>
      <c r="F839" s="17" t="n"/>
      <c r="G839" s="17" t="n"/>
      <c r="H839" s="18">
        <f>IF(AND(B839="",C839="",D839="",E839=""),"",IF(B839="","⚠ Falta fecha",IF(C839="","⚠ Falta monto",IF(D839="","⚠ Falta categoría",IF(ISNA(MATCH(D839,catNom,0)),"⚠ Categoría no existe",IF(E839="","⚠ Falta cuenta",IF(ISNA(MATCH(E839,ctaNom,0)),"⚠ Cuenta no existe",IF(AND(OR(I839="Transferencia",I839="Pago tarjeta"),G839=""),"⚠ Indica la cuenta «Hacia»",IF(AND(G839&lt;&gt;"",G839=E839),"⚠ «Hacia» igual a la cuenta",IF(AND(G839&lt;&gt;"",ISNA(MATCH(G839,ctaNom,0))),"⚠ «Hacia» no existe",IF(AND(I839="Pago tarjeta",IFERROR(INDEX(ctaTipo,MATCH(G839,ctaNom,0)),"")&lt;&gt;"Tarjeta de crédito"),"⚠ «Hacia» debe ser la tarjeta",IF(AND(I839="Trading",IFERROR(INDEX(ctaTipo,MATCH(E839,ctaNom,0)),"")&lt;&gt;"Cuenta de trading"),"⚠ Usa la cuenta de trading","✓"))))))))))))</f>
        <v/>
      </c>
      <c r="I839" s="19">
        <f>IF(OR(B839="",C839="",D839=""),"",IFERROR(INDEX(catTipo,MATCH(D839,catNom,0))&amp;"",""))</f>
        <v/>
      </c>
      <c r="J839" s="19">
        <f>IF(I839="","",IFERROR(INDEX(catGrupo,MATCH(D839,catNom,0))&amp;"",""))</f>
        <v/>
      </c>
      <c r="K839" s="19">
        <f>IF(I839="Gasto",IF(IFERROR(INDEX(catClas,MATCH(D839,catNom,0))&amp;"","")="","Variable",IFERROR(INDEX(catClas,MATCH(D839,catNom,0))&amp;"","")),"")</f>
        <v/>
      </c>
      <c r="L839" s="19">
        <f>IF(I839="","",IFERROR(INDEX(catAlim,MATCH(D839,catNom,0))&amp;"",""))</f>
        <v/>
      </c>
      <c r="M839" s="19">
        <f>IF(I839="","",IFERROR(INDEX(catComida,MATCH(D839,catNom,0))&amp;"",""))</f>
        <v/>
      </c>
      <c r="N839" s="19">
        <f>IF(I839="","",IFERROR(INDEX(ctaMon,MATCH(E839,ctaNom,0))&amp;"","DOP"))</f>
        <v/>
      </c>
      <c r="O839" s="20">
        <f>IF(I839="","",C839*IF(N839="USD",TasaUSD,1))</f>
        <v/>
      </c>
      <c r="P839" s="20">
        <f>IF(I839="","",IF(I839="Gasto",O839,0))</f>
        <v/>
      </c>
      <c r="Q839" s="20">
        <f>IF(I839="","",IF(I839="Ingreso",O839,0))</f>
        <v/>
      </c>
      <c r="R839" s="20">
        <f>IF(I839="","",IF(I839="Trading",O839,0))</f>
        <v/>
      </c>
      <c r="S839" s="19">
        <f>IF(I839="","",IF(AND(I839="Gasto",K839="Variable",J839&lt;&gt;"Trading",O839&gt;0,O839&lt;=Umbral),1,0))</f>
        <v/>
      </c>
      <c r="T839" s="20">
        <f>IF(OR(I839="",E839=""),"",IF(OR(I839="Gasto",I839="Transferencia",I839="Pago tarjeta"),-1,1)*C839)</f>
        <v/>
      </c>
      <c r="U839" s="20">
        <f>IF(OR(G839="",AND(I839&lt;&gt;"Transferencia",I839&lt;&gt;"Pago tarjeta")),"",IF(IFERROR(INDEX(ctaMon,MATCH(G839,ctaNom,0))&amp;"","DOP")=N839,C839,IF(N839="USD",C839*TasaUSD,C839/TasaUSD)))</f>
        <v/>
      </c>
      <c r="V839" s="20">
        <f>IF(I839="","",IF(IFERROR(INDEX(ctaLiq,MATCH(E839,ctaNom,0))="Sí",FALSE),IF(OR(I839="Gasto",I839="Transferencia",I839="Pago tarjeta"),-1,1)*O839,0)+IF(AND(U839&lt;&gt;"",IFERROR(INDEX(ctaLiq,MATCH(G839,ctaNom,0))="Sí",FALSE)),O839,0))</f>
        <v/>
      </c>
      <c r="W839" s="19">
        <f>IF(OR(F839="",I839=""),"",IF(COUNTIFS(F$6:F839,F839,I$6:I839,"?*")=1,MAX(W$5:W838)+1,""))</f>
        <v/>
      </c>
    </row>
    <row r="840">
      <c r="B840" s="15" t="n"/>
      <c r="C840" s="16" t="n"/>
      <c r="D840" s="17" t="n"/>
      <c r="E840" s="17" t="n"/>
      <c r="F840" s="17" t="n"/>
      <c r="G840" s="17" t="n"/>
      <c r="H840" s="18">
        <f>IF(AND(B840="",C840="",D840="",E840=""),"",IF(B840="","⚠ Falta fecha",IF(C840="","⚠ Falta monto",IF(D840="","⚠ Falta categoría",IF(ISNA(MATCH(D840,catNom,0)),"⚠ Categoría no existe",IF(E840="","⚠ Falta cuenta",IF(ISNA(MATCH(E840,ctaNom,0)),"⚠ Cuenta no existe",IF(AND(OR(I840="Transferencia",I840="Pago tarjeta"),G840=""),"⚠ Indica la cuenta «Hacia»",IF(AND(G840&lt;&gt;"",G840=E840),"⚠ «Hacia» igual a la cuenta",IF(AND(G840&lt;&gt;"",ISNA(MATCH(G840,ctaNom,0))),"⚠ «Hacia» no existe",IF(AND(I840="Pago tarjeta",IFERROR(INDEX(ctaTipo,MATCH(G840,ctaNom,0)),"")&lt;&gt;"Tarjeta de crédito"),"⚠ «Hacia» debe ser la tarjeta",IF(AND(I840="Trading",IFERROR(INDEX(ctaTipo,MATCH(E840,ctaNom,0)),"")&lt;&gt;"Cuenta de trading"),"⚠ Usa la cuenta de trading","✓"))))))))))))</f>
        <v/>
      </c>
      <c r="I840" s="19">
        <f>IF(OR(B840="",C840="",D840=""),"",IFERROR(INDEX(catTipo,MATCH(D840,catNom,0))&amp;"",""))</f>
        <v/>
      </c>
      <c r="J840" s="19">
        <f>IF(I840="","",IFERROR(INDEX(catGrupo,MATCH(D840,catNom,0))&amp;"",""))</f>
        <v/>
      </c>
      <c r="K840" s="19">
        <f>IF(I840="Gasto",IF(IFERROR(INDEX(catClas,MATCH(D840,catNom,0))&amp;"","")="","Variable",IFERROR(INDEX(catClas,MATCH(D840,catNom,0))&amp;"","")),"")</f>
        <v/>
      </c>
      <c r="L840" s="19">
        <f>IF(I840="","",IFERROR(INDEX(catAlim,MATCH(D840,catNom,0))&amp;"",""))</f>
        <v/>
      </c>
      <c r="M840" s="19">
        <f>IF(I840="","",IFERROR(INDEX(catComida,MATCH(D840,catNom,0))&amp;"",""))</f>
        <v/>
      </c>
      <c r="N840" s="19">
        <f>IF(I840="","",IFERROR(INDEX(ctaMon,MATCH(E840,ctaNom,0))&amp;"","DOP"))</f>
        <v/>
      </c>
      <c r="O840" s="20">
        <f>IF(I840="","",C840*IF(N840="USD",TasaUSD,1))</f>
        <v/>
      </c>
      <c r="P840" s="20">
        <f>IF(I840="","",IF(I840="Gasto",O840,0))</f>
        <v/>
      </c>
      <c r="Q840" s="20">
        <f>IF(I840="","",IF(I840="Ingreso",O840,0))</f>
        <v/>
      </c>
      <c r="R840" s="20">
        <f>IF(I840="","",IF(I840="Trading",O840,0))</f>
        <v/>
      </c>
      <c r="S840" s="19">
        <f>IF(I840="","",IF(AND(I840="Gasto",K840="Variable",J840&lt;&gt;"Trading",O840&gt;0,O840&lt;=Umbral),1,0))</f>
        <v/>
      </c>
      <c r="T840" s="20">
        <f>IF(OR(I840="",E840=""),"",IF(OR(I840="Gasto",I840="Transferencia",I840="Pago tarjeta"),-1,1)*C840)</f>
        <v/>
      </c>
      <c r="U840" s="20">
        <f>IF(OR(G840="",AND(I840&lt;&gt;"Transferencia",I840&lt;&gt;"Pago tarjeta")),"",IF(IFERROR(INDEX(ctaMon,MATCH(G840,ctaNom,0))&amp;"","DOP")=N840,C840,IF(N840="USD",C840*TasaUSD,C840/TasaUSD)))</f>
        <v/>
      </c>
      <c r="V840" s="20">
        <f>IF(I840="","",IF(IFERROR(INDEX(ctaLiq,MATCH(E840,ctaNom,0))="Sí",FALSE),IF(OR(I840="Gasto",I840="Transferencia",I840="Pago tarjeta"),-1,1)*O840,0)+IF(AND(U840&lt;&gt;"",IFERROR(INDEX(ctaLiq,MATCH(G840,ctaNom,0))="Sí",FALSE)),O840,0))</f>
        <v/>
      </c>
      <c r="W840" s="19">
        <f>IF(OR(F840="",I840=""),"",IF(COUNTIFS(F$6:F840,F840,I$6:I840,"?*")=1,MAX(W$5:W839)+1,""))</f>
        <v/>
      </c>
    </row>
    <row r="841">
      <c r="B841" s="15" t="n"/>
      <c r="C841" s="16" t="n"/>
      <c r="D841" s="17" t="n"/>
      <c r="E841" s="17" t="n"/>
      <c r="F841" s="17" t="n"/>
      <c r="G841" s="17" t="n"/>
      <c r="H841" s="18">
        <f>IF(AND(B841="",C841="",D841="",E841=""),"",IF(B841="","⚠ Falta fecha",IF(C841="","⚠ Falta monto",IF(D841="","⚠ Falta categoría",IF(ISNA(MATCH(D841,catNom,0)),"⚠ Categoría no existe",IF(E841="","⚠ Falta cuenta",IF(ISNA(MATCH(E841,ctaNom,0)),"⚠ Cuenta no existe",IF(AND(OR(I841="Transferencia",I841="Pago tarjeta"),G841=""),"⚠ Indica la cuenta «Hacia»",IF(AND(G841&lt;&gt;"",G841=E841),"⚠ «Hacia» igual a la cuenta",IF(AND(G841&lt;&gt;"",ISNA(MATCH(G841,ctaNom,0))),"⚠ «Hacia» no existe",IF(AND(I841="Pago tarjeta",IFERROR(INDEX(ctaTipo,MATCH(G841,ctaNom,0)),"")&lt;&gt;"Tarjeta de crédito"),"⚠ «Hacia» debe ser la tarjeta",IF(AND(I841="Trading",IFERROR(INDEX(ctaTipo,MATCH(E841,ctaNom,0)),"")&lt;&gt;"Cuenta de trading"),"⚠ Usa la cuenta de trading","✓"))))))))))))</f>
        <v/>
      </c>
      <c r="I841" s="19">
        <f>IF(OR(B841="",C841="",D841=""),"",IFERROR(INDEX(catTipo,MATCH(D841,catNom,0))&amp;"",""))</f>
        <v/>
      </c>
      <c r="J841" s="19">
        <f>IF(I841="","",IFERROR(INDEX(catGrupo,MATCH(D841,catNom,0))&amp;"",""))</f>
        <v/>
      </c>
      <c r="K841" s="19">
        <f>IF(I841="Gasto",IF(IFERROR(INDEX(catClas,MATCH(D841,catNom,0))&amp;"","")="","Variable",IFERROR(INDEX(catClas,MATCH(D841,catNom,0))&amp;"","")),"")</f>
        <v/>
      </c>
      <c r="L841" s="19">
        <f>IF(I841="","",IFERROR(INDEX(catAlim,MATCH(D841,catNom,0))&amp;"",""))</f>
        <v/>
      </c>
      <c r="M841" s="19">
        <f>IF(I841="","",IFERROR(INDEX(catComida,MATCH(D841,catNom,0))&amp;"",""))</f>
        <v/>
      </c>
      <c r="N841" s="19">
        <f>IF(I841="","",IFERROR(INDEX(ctaMon,MATCH(E841,ctaNom,0))&amp;"","DOP"))</f>
        <v/>
      </c>
      <c r="O841" s="20">
        <f>IF(I841="","",C841*IF(N841="USD",TasaUSD,1))</f>
        <v/>
      </c>
      <c r="P841" s="20">
        <f>IF(I841="","",IF(I841="Gasto",O841,0))</f>
        <v/>
      </c>
      <c r="Q841" s="20">
        <f>IF(I841="","",IF(I841="Ingreso",O841,0))</f>
        <v/>
      </c>
      <c r="R841" s="20">
        <f>IF(I841="","",IF(I841="Trading",O841,0))</f>
        <v/>
      </c>
      <c r="S841" s="19">
        <f>IF(I841="","",IF(AND(I841="Gasto",K841="Variable",J841&lt;&gt;"Trading",O841&gt;0,O841&lt;=Umbral),1,0))</f>
        <v/>
      </c>
      <c r="T841" s="20">
        <f>IF(OR(I841="",E841=""),"",IF(OR(I841="Gasto",I841="Transferencia",I841="Pago tarjeta"),-1,1)*C841)</f>
        <v/>
      </c>
      <c r="U841" s="20">
        <f>IF(OR(G841="",AND(I841&lt;&gt;"Transferencia",I841&lt;&gt;"Pago tarjeta")),"",IF(IFERROR(INDEX(ctaMon,MATCH(G841,ctaNom,0))&amp;"","DOP")=N841,C841,IF(N841="USD",C841*TasaUSD,C841/TasaUSD)))</f>
        <v/>
      </c>
      <c r="V841" s="20">
        <f>IF(I841="","",IF(IFERROR(INDEX(ctaLiq,MATCH(E841,ctaNom,0))="Sí",FALSE),IF(OR(I841="Gasto",I841="Transferencia",I841="Pago tarjeta"),-1,1)*O841,0)+IF(AND(U841&lt;&gt;"",IFERROR(INDEX(ctaLiq,MATCH(G841,ctaNom,0))="Sí",FALSE)),O841,0))</f>
        <v/>
      </c>
      <c r="W841" s="19">
        <f>IF(OR(F841="",I841=""),"",IF(COUNTIFS(F$6:F841,F841,I$6:I841,"?*")=1,MAX(W$5:W840)+1,""))</f>
        <v/>
      </c>
    </row>
    <row r="842">
      <c r="B842" s="15" t="n"/>
      <c r="C842" s="16" t="n"/>
      <c r="D842" s="17" t="n"/>
      <c r="E842" s="17" t="n"/>
      <c r="F842" s="17" t="n"/>
      <c r="G842" s="17" t="n"/>
      <c r="H842" s="18">
        <f>IF(AND(B842="",C842="",D842="",E842=""),"",IF(B842="","⚠ Falta fecha",IF(C842="","⚠ Falta monto",IF(D842="","⚠ Falta categoría",IF(ISNA(MATCH(D842,catNom,0)),"⚠ Categoría no existe",IF(E842="","⚠ Falta cuenta",IF(ISNA(MATCH(E842,ctaNom,0)),"⚠ Cuenta no existe",IF(AND(OR(I842="Transferencia",I842="Pago tarjeta"),G842=""),"⚠ Indica la cuenta «Hacia»",IF(AND(G842&lt;&gt;"",G842=E842),"⚠ «Hacia» igual a la cuenta",IF(AND(G842&lt;&gt;"",ISNA(MATCH(G842,ctaNom,0))),"⚠ «Hacia» no existe",IF(AND(I842="Pago tarjeta",IFERROR(INDEX(ctaTipo,MATCH(G842,ctaNom,0)),"")&lt;&gt;"Tarjeta de crédito"),"⚠ «Hacia» debe ser la tarjeta",IF(AND(I842="Trading",IFERROR(INDEX(ctaTipo,MATCH(E842,ctaNom,0)),"")&lt;&gt;"Cuenta de trading"),"⚠ Usa la cuenta de trading","✓"))))))))))))</f>
        <v/>
      </c>
      <c r="I842" s="19">
        <f>IF(OR(B842="",C842="",D842=""),"",IFERROR(INDEX(catTipo,MATCH(D842,catNom,0))&amp;"",""))</f>
        <v/>
      </c>
      <c r="J842" s="19">
        <f>IF(I842="","",IFERROR(INDEX(catGrupo,MATCH(D842,catNom,0))&amp;"",""))</f>
        <v/>
      </c>
      <c r="K842" s="19">
        <f>IF(I842="Gasto",IF(IFERROR(INDEX(catClas,MATCH(D842,catNom,0))&amp;"","")="","Variable",IFERROR(INDEX(catClas,MATCH(D842,catNom,0))&amp;"","")),"")</f>
        <v/>
      </c>
      <c r="L842" s="19">
        <f>IF(I842="","",IFERROR(INDEX(catAlim,MATCH(D842,catNom,0))&amp;"",""))</f>
        <v/>
      </c>
      <c r="M842" s="19">
        <f>IF(I842="","",IFERROR(INDEX(catComida,MATCH(D842,catNom,0))&amp;"",""))</f>
        <v/>
      </c>
      <c r="N842" s="19">
        <f>IF(I842="","",IFERROR(INDEX(ctaMon,MATCH(E842,ctaNom,0))&amp;"","DOP"))</f>
        <v/>
      </c>
      <c r="O842" s="20">
        <f>IF(I842="","",C842*IF(N842="USD",TasaUSD,1))</f>
        <v/>
      </c>
      <c r="P842" s="20">
        <f>IF(I842="","",IF(I842="Gasto",O842,0))</f>
        <v/>
      </c>
      <c r="Q842" s="20">
        <f>IF(I842="","",IF(I842="Ingreso",O842,0))</f>
        <v/>
      </c>
      <c r="R842" s="20">
        <f>IF(I842="","",IF(I842="Trading",O842,0))</f>
        <v/>
      </c>
      <c r="S842" s="19">
        <f>IF(I842="","",IF(AND(I842="Gasto",K842="Variable",J842&lt;&gt;"Trading",O842&gt;0,O842&lt;=Umbral),1,0))</f>
        <v/>
      </c>
      <c r="T842" s="20">
        <f>IF(OR(I842="",E842=""),"",IF(OR(I842="Gasto",I842="Transferencia",I842="Pago tarjeta"),-1,1)*C842)</f>
        <v/>
      </c>
      <c r="U842" s="20">
        <f>IF(OR(G842="",AND(I842&lt;&gt;"Transferencia",I842&lt;&gt;"Pago tarjeta")),"",IF(IFERROR(INDEX(ctaMon,MATCH(G842,ctaNom,0))&amp;"","DOP")=N842,C842,IF(N842="USD",C842*TasaUSD,C842/TasaUSD)))</f>
        <v/>
      </c>
      <c r="V842" s="20">
        <f>IF(I842="","",IF(IFERROR(INDEX(ctaLiq,MATCH(E842,ctaNom,0))="Sí",FALSE),IF(OR(I842="Gasto",I842="Transferencia",I842="Pago tarjeta"),-1,1)*O842,0)+IF(AND(U842&lt;&gt;"",IFERROR(INDEX(ctaLiq,MATCH(G842,ctaNom,0))="Sí",FALSE)),O842,0))</f>
        <v/>
      </c>
      <c r="W842" s="19">
        <f>IF(OR(F842="",I842=""),"",IF(COUNTIFS(F$6:F842,F842,I$6:I842,"?*")=1,MAX(W$5:W841)+1,""))</f>
        <v/>
      </c>
    </row>
    <row r="843">
      <c r="B843" s="15" t="n"/>
      <c r="C843" s="16" t="n"/>
      <c r="D843" s="17" t="n"/>
      <c r="E843" s="17" t="n"/>
      <c r="F843" s="17" t="n"/>
      <c r="G843" s="17" t="n"/>
      <c r="H843" s="18">
        <f>IF(AND(B843="",C843="",D843="",E843=""),"",IF(B843="","⚠ Falta fecha",IF(C843="","⚠ Falta monto",IF(D843="","⚠ Falta categoría",IF(ISNA(MATCH(D843,catNom,0)),"⚠ Categoría no existe",IF(E843="","⚠ Falta cuenta",IF(ISNA(MATCH(E843,ctaNom,0)),"⚠ Cuenta no existe",IF(AND(OR(I843="Transferencia",I843="Pago tarjeta"),G843=""),"⚠ Indica la cuenta «Hacia»",IF(AND(G843&lt;&gt;"",G843=E843),"⚠ «Hacia» igual a la cuenta",IF(AND(G843&lt;&gt;"",ISNA(MATCH(G843,ctaNom,0))),"⚠ «Hacia» no existe",IF(AND(I843="Pago tarjeta",IFERROR(INDEX(ctaTipo,MATCH(G843,ctaNom,0)),"")&lt;&gt;"Tarjeta de crédito"),"⚠ «Hacia» debe ser la tarjeta",IF(AND(I843="Trading",IFERROR(INDEX(ctaTipo,MATCH(E843,ctaNom,0)),"")&lt;&gt;"Cuenta de trading"),"⚠ Usa la cuenta de trading","✓"))))))))))))</f>
        <v/>
      </c>
      <c r="I843" s="19">
        <f>IF(OR(B843="",C843="",D843=""),"",IFERROR(INDEX(catTipo,MATCH(D843,catNom,0))&amp;"",""))</f>
        <v/>
      </c>
      <c r="J843" s="19">
        <f>IF(I843="","",IFERROR(INDEX(catGrupo,MATCH(D843,catNom,0))&amp;"",""))</f>
        <v/>
      </c>
      <c r="K843" s="19">
        <f>IF(I843="Gasto",IF(IFERROR(INDEX(catClas,MATCH(D843,catNom,0))&amp;"","")="","Variable",IFERROR(INDEX(catClas,MATCH(D843,catNom,0))&amp;"","")),"")</f>
        <v/>
      </c>
      <c r="L843" s="19">
        <f>IF(I843="","",IFERROR(INDEX(catAlim,MATCH(D843,catNom,0))&amp;"",""))</f>
        <v/>
      </c>
      <c r="M843" s="19">
        <f>IF(I843="","",IFERROR(INDEX(catComida,MATCH(D843,catNom,0))&amp;"",""))</f>
        <v/>
      </c>
      <c r="N843" s="19">
        <f>IF(I843="","",IFERROR(INDEX(ctaMon,MATCH(E843,ctaNom,0))&amp;"","DOP"))</f>
        <v/>
      </c>
      <c r="O843" s="20">
        <f>IF(I843="","",C843*IF(N843="USD",TasaUSD,1))</f>
        <v/>
      </c>
      <c r="P843" s="20">
        <f>IF(I843="","",IF(I843="Gasto",O843,0))</f>
        <v/>
      </c>
      <c r="Q843" s="20">
        <f>IF(I843="","",IF(I843="Ingreso",O843,0))</f>
        <v/>
      </c>
      <c r="R843" s="20">
        <f>IF(I843="","",IF(I843="Trading",O843,0))</f>
        <v/>
      </c>
      <c r="S843" s="19">
        <f>IF(I843="","",IF(AND(I843="Gasto",K843="Variable",J843&lt;&gt;"Trading",O843&gt;0,O843&lt;=Umbral),1,0))</f>
        <v/>
      </c>
      <c r="T843" s="20">
        <f>IF(OR(I843="",E843=""),"",IF(OR(I843="Gasto",I843="Transferencia",I843="Pago tarjeta"),-1,1)*C843)</f>
        <v/>
      </c>
      <c r="U843" s="20">
        <f>IF(OR(G843="",AND(I843&lt;&gt;"Transferencia",I843&lt;&gt;"Pago tarjeta")),"",IF(IFERROR(INDEX(ctaMon,MATCH(G843,ctaNom,0))&amp;"","DOP")=N843,C843,IF(N843="USD",C843*TasaUSD,C843/TasaUSD)))</f>
        <v/>
      </c>
      <c r="V843" s="20">
        <f>IF(I843="","",IF(IFERROR(INDEX(ctaLiq,MATCH(E843,ctaNom,0))="Sí",FALSE),IF(OR(I843="Gasto",I843="Transferencia",I843="Pago tarjeta"),-1,1)*O843,0)+IF(AND(U843&lt;&gt;"",IFERROR(INDEX(ctaLiq,MATCH(G843,ctaNom,0))="Sí",FALSE)),O843,0))</f>
        <v/>
      </c>
      <c r="W843" s="19">
        <f>IF(OR(F843="",I843=""),"",IF(COUNTIFS(F$6:F843,F843,I$6:I843,"?*")=1,MAX(W$5:W842)+1,""))</f>
        <v/>
      </c>
    </row>
    <row r="844">
      <c r="B844" s="15" t="n"/>
      <c r="C844" s="16" t="n"/>
      <c r="D844" s="17" t="n"/>
      <c r="E844" s="17" t="n"/>
      <c r="F844" s="17" t="n"/>
      <c r="G844" s="17" t="n"/>
      <c r="H844" s="18">
        <f>IF(AND(B844="",C844="",D844="",E844=""),"",IF(B844="","⚠ Falta fecha",IF(C844="","⚠ Falta monto",IF(D844="","⚠ Falta categoría",IF(ISNA(MATCH(D844,catNom,0)),"⚠ Categoría no existe",IF(E844="","⚠ Falta cuenta",IF(ISNA(MATCH(E844,ctaNom,0)),"⚠ Cuenta no existe",IF(AND(OR(I844="Transferencia",I844="Pago tarjeta"),G844=""),"⚠ Indica la cuenta «Hacia»",IF(AND(G844&lt;&gt;"",G844=E844),"⚠ «Hacia» igual a la cuenta",IF(AND(G844&lt;&gt;"",ISNA(MATCH(G844,ctaNom,0))),"⚠ «Hacia» no existe",IF(AND(I844="Pago tarjeta",IFERROR(INDEX(ctaTipo,MATCH(G844,ctaNom,0)),"")&lt;&gt;"Tarjeta de crédito"),"⚠ «Hacia» debe ser la tarjeta",IF(AND(I844="Trading",IFERROR(INDEX(ctaTipo,MATCH(E844,ctaNom,0)),"")&lt;&gt;"Cuenta de trading"),"⚠ Usa la cuenta de trading","✓"))))))))))))</f>
        <v/>
      </c>
      <c r="I844" s="19">
        <f>IF(OR(B844="",C844="",D844=""),"",IFERROR(INDEX(catTipo,MATCH(D844,catNom,0))&amp;"",""))</f>
        <v/>
      </c>
      <c r="J844" s="19">
        <f>IF(I844="","",IFERROR(INDEX(catGrupo,MATCH(D844,catNom,0))&amp;"",""))</f>
        <v/>
      </c>
      <c r="K844" s="19">
        <f>IF(I844="Gasto",IF(IFERROR(INDEX(catClas,MATCH(D844,catNom,0))&amp;"","")="","Variable",IFERROR(INDEX(catClas,MATCH(D844,catNom,0))&amp;"","")),"")</f>
        <v/>
      </c>
      <c r="L844" s="19">
        <f>IF(I844="","",IFERROR(INDEX(catAlim,MATCH(D844,catNom,0))&amp;"",""))</f>
        <v/>
      </c>
      <c r="M844" s="19">
        <f>IF(I844="","",IFERROR(INDEX(catComida,MATCH(D844,catNom,0))&amp;"",""))</f>
        <v/>
      </c>
      <c r="N844" s="19">
        <f>IF(I844="","",IFERROR(INDEX(ctaMon,MATCH(E844,ctaNom,0))&amp;"","DOP"))</f>
        <v/>
      </c>
      <c r="O844" s="20">
        <f>IF(I844="","",C844*IF(N844="USD",TasaUSD,1))</f>
        <v/>
      </c>
      <c r="P844" s="20">
        <f>IF(I844="","",IF(I844="Gasto",O844,0))</f>
        <v/>
      </c>
      <c r="Q844" s="20">
        <f>IF(I844="","",IF(I844="Ingreso",O844,0))</f>
        <v/>
      </c>
      <c r="R844" s="20">
        <f>IF(I844="","",IF(I844="Trading",O844,0))</f>
        <v/>
      </c>
      <c r="S844" s="19">
        <f>IF(I844="","",IF(AND(I844="Gasto",K844="Variable",J844&lt;&gt;"Trading",O844&gt;0,O844&lt;=Umbral),1,0))</f>
        <v/>
      </c>
      <c r="T844" s="20">
        <f>IF(OR(I844="",E844=""),"",IF(OR(I844="Gasto",I844="Transferencia",I844="Pago tarjeta"),-1,1)*C844)</f>
        <v/>
      </c>
      <c r="U844" s="20">
        <f>IF(OR(G844="",AND(I844&lt;&gt;"Transferencia",I844&lt;&gt;"Pago tarjeta")),"",IF(IFERROR(INDEX(ctaMon,MATCH(G844,ctaNom,0))&amp;"","DOP")=N844,C844,IF(N844="USD",C844*TasaUSD,C844/TasaUSD)))</f>
        <v/>
      </c>
      <c r="V844" s="20">
        <f>IF(I844="","",IF(IFERROR(INDEX(ctaLiq,MATCH(E844,ctaNom,0))="Sí",FALSE),IF(OR(I844="Gasto",I844="Transferencia",I844="Pago tarjeta"),-1,1)*O844,0)+IF(AND(U844&lt;&gt;"",IFERROR(INDEX(ctaLiq,MATCH(G844,ctaNom,0))="Sí",FALSE)),O844,0))</f>
        <v/>
      </c>
      <c r="W844" s="19">
        <f>IF(OR(F844="",I844=""),"",IF(COUNTIFS(F$6:F844,F844,I$6:I844,"?*")=1,MAX(W$5:W843)+1,""))</f>
        <v/>
      </c>
    </row>
    <row r="845">
      <c r="B845" s="15" t="n"/>
      <c r="C845" s="16" t="n"/>
      <c r="D845" s="17" t="n"/>
      <c r="E845" s="17" t="n"/>
      <c r="F845" s="17" t="n"/>
      <c r="G845" s="17" t="n"/>
      <c r="H845" s="18">
        <f>IF(AND(B845="",C845="",D845="",E845=""),"",IF(B845="","⚠ Falta fecha",IF(C845="","⚠ Falta monto",IF(D845="","⚠ Falta categoría",IF(ISNA(MATCH(D845,catNom,0)),"⚠ Categoría no existe",IF(E845="","⚠ Falta cuenta",IF(ISNA(MATCH(E845,ctaNom,0)),"⚠ Cuenta no existe",IF(AND(OR(I845="Transferencia",I845="Pago tarjeta"),G845=""),"⚠ Indica la cuenta «Hacia»",IF(AND(G845&lt;&gt;"",G845=E845),"⚠ «Hacia» igual a la cuenta",IF(AND(G845&lt;&gt;"",ISNA(MATCH(G845,ctaNom,0))),"⚠ «Hacia» no existe",IF(AND(I845="Pago tarjeta",IFERROR(INDEX(ctaTipo,MATCH(G845,ctaNom,0)),"")&lt;&gt;"Tarjeta de crédito"),"⚠ «Hacia» debe ser la tarjeta",IF(AND(I845="Trading",IFERROR(INDEX(ctaTipo,MATCH(E845,ctaNom,0)),"")&lt;&gt;"Cuenta de trading"),"⚠ Usa la cuenta de trading","✓"))))))))))))</f>
        <v/>
      </c>
      <c r="I845" s="19">
        <f>IF(OR(B845="",C845="",D845=""),"",IFERROR(INDEX(catTipo,MATCH(D845,catNom,0))&amp;"",""))</f>
        <v/>
      </c>
      <c r="J845" s="19">
        <f>IF(I845="","",IFERROR(INDEX(catGrupo,MATCH(D845,catNom,0))&amp;"",""))</f>
        <v/>
      </c>
      <c r="K845" s="19">
        <f>IF(I845="Gasto",IF(IFERROR(INDEX(catClas,MATCH(D845,catNom,0))&amp;"","")="","Variable",IFERROR(INDEX(catClas,MATCH(D845,catNom,0))&amp;"","")),"")</f>
        <v/>
      </c>
      <c r="L845" s="19">
        <f>IF(I845="","",IFERROR(INDEX(catAlim,MATCH(D845,catNom,0))&amp;"",""))</f>
        <v/>
      </c>
      <c r="M845" s="19">
        <f>IF(I845="","",IFERROR(INDEX(catComida,MATCH(D845,catNom,0))&amp;"",""))</f>
        <v/>
      </c>
      <c r="N845" s="19">
        <f>IF(I845="","",IFERROR(INDEX(ctaMon,MATCH(E845,ctaNom,0))&amp;"","DOP"))</f>
        <v/>
      </c>
      <c r="O845" s="20">
        <f>IF(I845="","",C845*IF(N845="USD",TasaUSD,1))</f>
        <v/>
      </c>
      <c r="P845" s="20">
        <f>IF(I845="","",IF(I845="Gasto",O845,0))</f>
        <v/>
      </c>
      <c r="Q845" s="20">
        <f>IF(I845="","",IF(I845="Ingreso",O845,0))</f>
        <v/>
      </c>
      <c r="R845" s="20">
        <f>IF(I845="","",IF(I845="Trading",O845,0))</f>
        <v/>
      </c>
      <c r="S845" s="19">
        <f>IF(I845="","",IF(AND(I845="Gasto",K845="Variable",J845&lt;&gt;"Trading",O845&gt;0,O845&lt;=Umbral),1,0))</f>
        <v/>
      </c>
      <c r="T845" s="20">
        <f>IF(OR(I845="",E845=""),"",IF(OR(I845="Gasto",I845="Transferencia",I845="Pago tarjeta"),-1,1)*C845)</f>
        <v/>
      </c>
      <c r="U845" s="20">
        <f>IF(OR(G845="",AND(I845&lt;&gt;"Transferencia",I845&lt;&gt;"Pago tarjeta")),"",IF(IFERROR(INDEX(ctaMon,MATCH(G845,ctaNom,0))&amp;"","DOP")=N845,C845,IF(N845="USD",C845*TasaUSD,C845/TasaUSD)))</f>
        <v/>
      </c>
      <c r="V845" s="20">
        <f>IF(I845="","",IF(IFERROR(INDEX(ctaLiq,MATCH(E845,ctaNom,0))="Sí",FALSE),IF(OR(I845="Gasto",I845="Transferencia",I845="Pago tarjeta"),-1,1)*O845,0)+IF(AND(U845&lt;&gt;"",IFERROR(INDEX(ctaLiq,MATCH(G845,ctaNom,0))="Sí",FALSE)),O845,0))</f>
        <v/>
      </c>
      <c r="W845" s="19">
        <f>IF(OR(F845="",I845=""),"",IF(COUNTIFS(F$6:F845,F845,I$6:I845,"?*")=1,MAX(W$5:W844)+1,""))</f>
        <v/>
      </c>
    </row>
    <row r="846">
      <c r="B846" s="15" t="n"/>
      <c r="C846" s="16" t="n"/>
      <c r="D846" s="17" t="n"/>
      <c r="E846" s="17" t="n"/>
      <c r="F846" s="17" t="n"/>
      <c r="G846" s="17" t="n"/>
      <c r="H846" s="18">
        <f>IF(AND(B846="",C846="",D846="",E846=""),"",IF(B846="","⚠ Falta fecha",IF(C846="","⚠ Falta monto",IF(D846="","⚠ Falta categoría",IF(ISNA(MATCH(D846,catNom,0)),"⚠ Categoría no existe",IF(E846="","⚠ Falta cuenta",IF(ISNA(MATCH(E846,ctaNom,0)),"⚠ Cuenta no existe",IF(AND(OR(I846="Transferencia",I846="Pago tarjeta"),G846=""),"⚠ Indica la cuenta «Hacia»",IF(AND(G846&lt;&gt;"",G846=E846),"⚠ «Hacia» igual a la cuenta",IF(AND(G846&lt;&gt;"",ISNA(MATCH(G846,ctaNom,0))),"⚠ «Hacia» no existe",IF(AND(I846="Pago tarjeta",IFERROR(INDEX(ctaTipo,MATCH(G846,ctaNom,0)),"")&lt;&gt;"Tarjeta de crédito"),"⚠ «Hacia» debe ser la tarjeta",IF(AND(I846="Trading",IFERROR(INDEX(ctaTipo,MATCH(E846,ctaNom,0)),"")&lt;&gt;"Cuenta de trading"),"⚠ Usa la cuenta de trading","✓"))))))))))))</f>
        <v/>
      </c>
      <c r="I846" s="19">
        <f>IF(OR(B846="",C846="",D846=""),"",IFERROR(INDEX(catTipo,MATCH(D846,catNom,0))&amp;"",""))</f>
        <v/>
      </c>
      <c r="J846" s="19">
        <f>IF(I846="","",IFERROR(INDEX(catGrupo,MATCH(D846,catNom,0))&amp;"",""))</f>
        <v/>
      </c>
      <c r="K846" s="19">
        <f>IF(I846="Gasto",IF(IFERROR(INDEX(catClas,MATCH(D846,catNom,0))&amp;"","")="","Variable",IFERROR(INDEX(catClas,MATCH(D846,catNom,0))&amp;"","")),"")</f>
        <v/>
      </c>
      <c r="L846" s="19">
        <f>IF(I846="","",IFERROR(INDEX(catAlim,MATCH(D846,catNom,0))&amp;"",""))</f>
        <v/>
      </c>
      <c r="M846" s="19">
        <f>IF(I846="","",IFERROR(INDEX(catComida,MATCH(D846,catNom,0))&amp;"",""))</f>
        <v/>
      </c>
      <c r="N846" s="19">
        <f>IF(I846="","",IFERROR(INDEX(ctaMon,MATCH(E846,ctaNom,0))&amp;"","DOP"))</f>
        <v/>
      </c>
      <c r="O846" s="20">
        <f>IF(I846="","",C846*IF(N846="USD",TasaUSD,1))</f>
        <v/>
      </c>
      <c r="P846" s="20">
        <f>IF(I846="","",IF(I846="Gasto",O846,0))</f>
        <v/>
      </c>
      <c r="Q846" s="20">
        <f>IF(I846="","",IF(I846="Ingreso",O846,0))</f>
        <v/>
      </c>
      <c r="R846" s="20">
        <f>IF(I846="","",IF(I846="Trading",O846,0))</f>
        <v/>
      </c>
      <c r="S846" s="19">
        <f>IF(I846="","",IF(AND(I846="Gasto",K846="Variable",J846&lt;&gt;"Trading",O846&gt;0,O846&lt;=Umbral),1,0))</f>
        <v/>
      </c>
      <c r="T846" s="20">
        <f>IF(OR(I846="",E846=""),"",IF(OR(I846="Gasto",I846="Transferencia",I846="Pago tarjeta"),-1,1)*C846)</f>
        <v/>
      </c>
      <c r="U846" s="20">
        <f>IF(OR(G846="",AND(I846&lt;&gt;"Transferencia",I846&lt;&gt;"Pago tarjeta")),"",IF(IFERROR(INDEX(ctaMon,MATCH(G846,ctaNom,0))&amp;"","DOP")=N846,C846,IF(N846="USD",C846*TasaUSD,C846/TasaUSD)))</f>
        <v/>
      </c>
      <c r="V846" s="20">
        <f>IF(I846="","",IF(IFERROR(INDEX(ctaLiq,MATCH(E846,ctaNom,0))="Sí",FALSE),IF(OR(I846="Gasto",I846="Transferencia",I846="Pago tarjeta"),-1,1)*O846,0)+IF(AND(U846&lt;&gt;"",IFERROR(INDEX(ctaLiq,MATCH(G846,ctaNom,0))="Sí",FALSE)),O846,0))</f>
        <v/>
      </c>
      <c r="W846" s="19">
        <f>IF(OR(F846="",I846=""),"",IF(COUNTIFS(F$6:F846,F846,I$6:I846,"?*")=1,MAX(W$5:W845)+1,""))</f>
        <v/>
      </c>
    </row>
    <row r="847">
      <c r="B847" s="15" t="n"/>
      <c r="C847" s="16" t="n"/>
      <c r="D847" s="17" t="n"/>
      <c r="E847" s="17" t="n"/>
      <c r="F847" s="17" t="n"/>
      <c r="G847" s="17" t="n"/>
      <c r="H847" s="18">
        <f>IF(AND(B847="",C847="",D847="",E847=""),"",IF(B847="","⚠ Falta fecha",IF(C847="","⚠ Falta monto",IF(D847="","⚠ Falta categoría",IF(ISNA(MATCH(D847,catNom,0)),"⚠ Categoría no existe",IF(E847="","⚠ Falta cuenta",IF(ISNA(MATCH(E847,ctaNom,0)),"⚠ Cuenta no existe",IF(AND(OR(I847="Transferencia",I847="Pago tarjeta"),G847=""),"⚠ Indica la cuenta «Hacia»",IF(AND(G847&lt;&gt;"",G847=E847),"⚠ «Hacia» igual a la cuenta",IF(AND(G847&lt;&gt;"",ISNA(MATCH(G847,ctaNom,0))),"⚠ «Hacia» no existe",IF(AND(I847="Pago tarjeta",IFERROR(INDEX(ctaTipo,MATCH(G847,ctaNom,0)),"")&lt;&gt;"Tarjeta de crédito"),"⚠ «Hacia» debe ser la tarjeta",IF(AND(I847="Trading",IFERROR(INDEX(ctaTipo,MATCH(E847,ctaNom,0)),"")&lt;&gt;"Cuenta de trading"),"⚠ Usa la cuenta de trading","✓"))))))))))))</f>
        <v/>
      </c>
      <c r="I847" s="19">
        <f>IF(OR(B847="",C847="",D847=""),"",IFERROR(INDEX(catTipo,MATCH(D847,catNom,0))&amp;"",""))</f>
        <v/>
      </c>
      <c r="J847" s="19">
        <f>IF(I847="","",IFERROR(INDEX(catGrupo,MATCH(D847,catNom,0))&amp;"",""))</f>
        <v/>
      </c>
      <c r="K847" s="19">
        <f>IF(I847="Gasto",IF(IFERROR(INDEX(catClas,MATCH(D847,catNom,0))&amp;"","")="","Variable",IFERROR(INDEX(catClas,MATCH(D847,catNom,0))&amp;"","")),"")</f>
        <v/>
      </c>
      <c r="L847" s="19">
        <f>IF(I847="","",IFERROR(INDEX(catAlim,MATCH(D847,catNom,0))&amp;"",""))</f>
        <v/>
      </c>
      <c r="M847" s="19">
        <f>IF(I847="","",IFERROR(INDEX(catComida,MATCH(D847,catNom,0))&amp;"",""))</f>
        <v/>
      </c>
      <c r="N847" s="19">
        <f>IF(I847="","",IFERROR(INDEX(ctaMon,MATCH(E847,ctaNom,0))&amp;"","DOP"))</f>
        <v/>
      </c>
      <c r="O847" s="20">
        <f>IF(I847="","",C847*IF(N847="USD",TasaUSD,1))</f>
        <v/>
      </c>
      <c r="P847" s="20">
        <f>IF(I847="","",IF(I847="Gasto",O847,0))</f>
        <v/>
      </c>
      <c r="Q847" s="20">
        <f>IF(I847="","",IF(I847="Ingreso",O847,0))</f>
        <v/>
      </c>
      <c r="R847" s="20">
        <f>IF(I847="","",IF(I847="Trading",O847,0))</f>
        <v/>
      </c>
      <c r="S847" s="19">
        <f>IF(I847="","",IF(AND(I847="Gasto",K847="Variable",J847&lt;&gt;"Trading",O847&gt;0,O847&lt;=Umbral),1,0))</f>
        <v/>
      </c>
      <c r="T847" s="20">
        <f>IF(OR(I847="",E847=""),"",IF(OR(I847="Gasto",I847="Transferencia",I847="Pago tarjeta"),-1,1)*C847)</f>
        <v/>
      </c>
      <c r="U847" s="20">
        <f>IF(OR(G847="",AND(I847&lt;&gt;"Transferencia",I847&lt;&gt;"Pago tarjeta")),"",IF(IFERROR(INDEX(ctaMon,MATCH(G847,ctaNom,0))&amp;"","DOP")=N847,C847,IF(N847="USD",C847*TasaUSD,C847/TasaUSD)))</f>
        <v/>
      </c>
      <c r="V847" s="20">
        <f>IF(I847="","",IF(IFERROR(INDEX(ctaLiq,MATCH(E847,ctaNom,0))="Sí",FALSE),IF(OR(I847="Gasto",I847="Transferencia",I847="Pago tarjeta"),-1,1)*O847,0)+IF(AND(U847&lt;&gt;"",IFERROR(INDEX(ctaLiq,MATCH(G847,ctaNom,0))="Sí",FALSE)),O847,0))</f>
        <v/>
      </c>
      <c r="W847" s="19">
        <f>IF(OR(F847="",I847=""),"",IF(COUNTIFS(F$6:F847,F847,I$6:I847,"?*")=1,MAX(W$5:W846)+1,""))</f>
        <v/>
      </c>
    </row>
    <row r="848">
      <c r="B848" s="15" t="n"/>
      <c r="C848" s="16" t="n"/>
      <c r="D848" s="17" t="n"/>
      <c r="E848" s="17" t="n"/>
      <c r="F848" s="17" t="n"/>
      <c r="G848" s="17" t="n"/>
      <c r="H848" s="18">
        <f>IF(AND(B848="",C848="",D848="",E848=""),"",IF(B848="","⚠ Falta fecha",IF(C848="","⚠ Falta monto",IF(D848="","⚠ Falta categoría",IF(ISNA(MATCH(D848,catNom,0)),"⚠ Categoría no existe",IF(E848="","⚠ Falta cuenta",IF(ISNA(MATCH(E848,ctaNom,0)),"⚠ Cuenta no existe",IF(AND(OR(I848="Transferencia",I848="Pago tarjeta"),G848=""),"⚠ Indica la cuenta «Hacia»",IF(AND(G848&lt;&gt;"",G848=E848),"⚠ «Hacia» igual a la cuenta",IF(AND(G848&lt;&gt;"",ISNA(MATCH(G848,ctaNom,0))),"⚠ «Hacia» no existe",IF(AND(I848="Pago tarjeta",IFERROR(INDEX(ctaTipo,MATCH(G848,ctaNom,0)),"")&lt;&gt;"Tarjeta de crédito"),"⚠ «Hacia» debe ser la tarjeta",IF(AND(I848="Trading",IFERROR(INDEX(ctaTipo,MATCH(E848,ctaNom,0)),"")&lt;&gt;"Cuenta de trading"),"⚠ Usa la cuenta de trading","✓"))))))))))))</f>
        <v/>
      </c>
      <c r="I848" s="19">
        <f>IF(OR(B848="",C848="",D848=""),"",IFERROR(INDEX(catTipo,MATCH(D848,catNom,0))&amp;"",""))</f>
        <v/>
      </c>
      <c r="J848" s="19">
        <f>IF(I848="","",IFERROR(INDEX(catGrupo,MATCH(D848,catNom,0))&amp;"",""))</f>
        <v/>
      </c>
      <c r="K848" s="19">
        <f>IF(I848="Gasto",IF(IFERROR(INDEX(catClas,MATCH(D848,catNom,0))&amp;"","")="","Variable",IFERROR(INDEX(catClas,MATCH(D848,catNom,0))&amp;"","")),"")</f>
        <v/>
      </c>
      <c r="L848" s="19">
        <f>IF(I848="","",IFERROR(INDEX(catAlim,MATCH(D848,catNom,0))&amp;"",""))</f>
        <v/>
      </c>
      <c r="M848" s="19">
        <f>IF(I848="","",IFERROR(INDEX(catComida,MATCH(D848,catNom,0))&amp;"",""))</f>
        <v/>
      </c>
      <c r="N848" s="19">
        <f>IF(I848="","",IFERROR(INDEX(ctaMon,MATCH(E848,ctaNom,0))&amp;"","DOP"))</f>
        <v/>
      </c>
      <c r="O848" s="20">
        <f>IF(I848="","",C848*IF(N848="USD",TasaUSD,1))</f>
        <v/>
      </c>
      <c r="P848" s="20">
        <f>IF(I848="","",IF(I848="Gasto",O848,0))</f>
        <v/>
      </c>
      <c r="Q848" s="20">
        <f>IF(I848="","",IF(I848="Ingreso",O848,0))</f>
        <v/>
      </c>
      <c r="R848" s="20">
        <f>IF(I848="","",IF(I848="Trading",O848,0))</f>
        <v/>
      </c>
      <c r="S848" s="19">
        <f>IF(I848="","",IF(AND(I848="Gasto",K848="Variable",J848&lt;&gt;"Trading",O848&gt;0,O848&lt;=Umbral),1,0))</f>
        <v/>
      </c>
      <c r="T848" s="20">
        <f>IF(OR(I848="",E848=""),"",IF(OR(I848="Gasto",I848="Transferencia",I848="Pago tarjeta"),-1,1)*C848)</f>
        <v/>
      </c>
      <c r="U848" s="20">
        <f>IF(OR(G848="",AND(I848&lt;&gt;"Transferencia",I848&lt;&gt;"Pago tarjeta")),"",IF(IFERROR(INDEX(ctaMon,MATCH(G848,ctaNom,0))&amp;"","DOP")=N848,C848,IF(N848="USD",C848*TasaUSD,C848/TasaUSD)))</f>
        <v/>
      </c>
      <c r="V848" s="20">
        <f>IF(I848="","",IF(IFERROR(INDEX(ctaLiq,MATCH(E848,ctaNom,0))="Sí",FALSE),IF(OR(I848="Gasto",I848="Transferencia",I848="Pago tarjeta"),-1,1)*O848,0)+IF(AND(U848&lt;&gt;"",IFERROR(INDEX(ctaLiq,MATCH(G848,ctaNom,0))="Sí",FALSE)),O848,0))</f>
        <v/>
      </c>
      <c r="W848" s="19">
        <f>IF(OR(F848="",I848=""),"",IF(COUNTIFS(F$6:F848,F848,I$6:I848,"?*")=1,MAX(W$5:W847)+1,""))</f>
        <v/>
      </c>
    </row>
    <row r="849">
      <c r="B849" s="15" t="n"/>
      <c r="C849" s="16" t="n"/>
      <c r="D849" s="17" t="n"/>
      <c r="E849" s="17" t="n"/>
      <c r="F849" s="17" t="n"/>
      <c r="G849" s="17" t="n"/>
      <c r="H849" s="18">
        <f>IF(AND(B849="",C849="",D849="",E849=""),"",IF(B849="","⚠ Falta fecha",IF(C849="","⚠ Falta monto",IF(D849="","⚠ Falta categoría",IF(ISNA(MATCH(D849,catNom,0)),"⚠ Categoría no existe",IF(E849="","⚠ Falta cuenta",IF(ISNA(MATCH(E849,ctaNom,0)),"⚠ Cuenta no existe",IF(AND(OR(I849="Transferencia",I849="Pago tarjeta"),G849=""),"⚠ Indica la cuenta «Hacia»",IF(AND(G849&lt;&gt;"",G849=E849),"⚠ «Hacia» igual a la cuenta",IF(AND(G849&lt;&gt;"",ISNA(MATCH(G849,ctaNom,0))),"⚠ «Hacia» no existe",IF(AND(I849="Pago tarjeta",IFERROR(INDEX(ctaTipo,MATCH(G849,ctaNom,0)),"")&lt;&gt;"Tarjeta de crédito"),"⚠ «Hacia» debe ser la tarjeta",IF(AND(I849="Trading",IFERROR(INDEX(ctaTipo,MATCH(E849,ctaNom,0)),"")&lt;&gt;"Cuenta de trading"),"⚠ Usa la cuenta de trading","✓"))))))))))))</f>
        <v/>
      </c>
      <c r="I849" s="19">
        <f>IF(OR(B849="",C849="",D849=""),"",IFERROR(INDEX(catTipo,MATCH(D849,catNom,0))&amp;"",""))</f>
        <v/>
      </c>
      <c r="J849" s="19">
        <f>IF(I849="","",IFERROR(INDEX(catGrupo,MATCH(D849,catNom,0))&amp;"",""))</f>
        <v/>
      </c>
      <c r="K849" s="19">
        <f>IF(I849="Gasto",IF(IFERROR(INDEX(catClas,MATCH(D849,catNom,0))&amp;"","")="","Variable",IFERROR(INDEX(catClas,MATCH(D849,catNom,0))&amp;"","")),"")</f>
        <v/>
      </c>
      <c r="L849" s="19">
        <f>IF(I849="","",IFERROR(INDEX(catAlim,MATCH(D849,catNom,0))&amp;"",""))</f>
        <v/>
      </c>
      <c r="M849" s="19">
        <f>IF(I849="","",IFERROR(INDEX(catComida,MATCH(D849,catNom,0))&amp;"",""))</f>
        <v/>
      </c>
      <c r="N849" s="19">
        <f>IF(I849="","",IFERROR(INDEX(ctaMon,MATCH(E849,ctaNom,0))&amp;"","DOP"))</f>
        <v/>
      </c>
      <c r="O849" s="20">
        <f>IF(I849="","",C849*IF(N849="USD",TasaUSD,1))</f>
        <v/>
      </c>
      <c r="P849" s="20">
        <f>IF(I849="","",IF(I849="Gasto",O849,0))</f>
        <v/>
      </c>
      <c r="Q849" s="20">
        <f>IF(I849="","",IF(I849="Ingreso",O849,0))</f>
        <v/>
      </c>
      <c r="R849" s="20">
        <f>IF(I849="","",IF(I849="Trading",O849,0))</f>
        <v/>
      </c>
      <c r="S849" s="19">
        <f>IF(I849="","",IF(AND(I849="Gasto",K849="Variable",J849&lt;&gt;"Trading",O849&gt;0,O849&lt;=Umbral),1,0))</f>
        <v/>
      </c>
      <c r="T849" s="20">
        <f>IF(OR(I849="",E849=""),"",IF(OR(I849="Gasto",I849="Transferencia",I849="Pago tarjeta"),-1,1)*C849)</f>
        <v/>
      </c>
      <c r="U849" s="20">
        <f>IF(OR(G849="",AND(I849&lt;&gt;"Transferencia",I849&lt;&gt;"Pago tarjeta")),"",IF(IFERROR(INDEX(ctaMon,MATCH(G849,ctaNom,0))&amp;"","DOP")=N849,C849,IF(N849="USD",C849*TasaUSD,C849/TasaUSD)))</f>
        <v/>
      </c>
      <c r="V849" s="20">
        <f>IF(I849="","",IF(IFERROR(INDEX(ctaLiq,MATCH(E849,ctaNom,0))="Sí",FALSE),IF(OR(I849="Gasto",I849="Transferencia",I849="Pago tarjeta"),-1,1)*O849,0)+IF(AND(U849&lt;&gt;"",IFERROR(INDEX(ctaLiq,MATCH(G849,ctaNom,0))="Sí",FALSE)),O849,0))</f>
        <v/>
      </c>
      <c r="W849" s="19">
        <f>IF(OR(F849="",I849=""),"",IF(COUNTIFS(F$6:F849,F849,I$6:I849,"?*")=1,MAX(W$5:W848)+1,""))</f>
        <v/>
      </c>
    </row>
    <row r="850">
      <c r="B850" s="15" t="n"/>
      <c r="C850" s="16" t="n"/>
      <c r="D850" s="17" t="n"/>
      <c r="E850" s="17" t="n"/>
      <c r="F850" s="17" t="n"/>
      <c r="G850" s="17" t="n"/>
      <c r="H850" s="18">
        <f>IF(AND(B850="",C850="",D850="",E850=""),"",IF(B850="","⚠ Falta fecha",IF(C850="","⚠ Falta monto",IF(D850="","⚠ Falta categoría",IF(ISNA(MATCH(D850,catNom,0)),"⚠ Categoría no existe",IF(E850="","⚠ Falta cuenta",IF(ISNA(MATCH(E850,ctaNom,0)),"⚠ Cuenta no existe",IF(AND(OR(I850="Transferencia",I850="Pago tarjeta"),G850=""),"⚠ Indica la cuenta «Hacia»",IF(AND(G850&lt;&gt;"",G850=E850),"⚠ «Hacia» igual a la cuenta",IF(AND(G850&lt;&gt;"",ISNA(MATCH(G850,ctaNom,0))),"⚠ «Hacia» no existe",IF(AND(I850="Pago tarjeta",IFERROR(INDEX(ctaTipo,MATCH(G850,ctaNom,0)),"")&lt;&gt;"Tarjeta de crédito"),"⚠ «Hacia» debe ser la tarjeta",IF(AND(I850="Trading",IFERROR(INDEX(ctaTipo,MATCH(E850,ctaNom,0)),"")&lt;&gt;"Cuenta de trading"),"⚠ Usa la cuenta de trading","✓"))))))))))))</f>
        <v/>
      </c>
      <c r="I850" s="19">
        <f>IF(OR(B850="",C850="",D850=""),"",IFERROR(INDEX(catTipo,MATCH(D850,catNom,0))&amp;"",""))</f>
        <v/>
      </c>
      <c r="J850" s="19">
        <f>IF(I850="","",IFERROR(INDEX(catGrupo,MATCH(D850,catNom,0))&amp;"",""))</f>
        <v/>
      </c>
      <c r="K850" s="19">
        <f>IF(I850="Gasto",IF(IFERROR(INDEX(catClas,MATCH(D850,catNom,0))&amp;"","")="","Variable",IFERROR(INDEX(catClas,MATCH(D850,catNom,0))&amp;"","")),"")</f>
        <v/>
      </c>
      <c r="L850" s="19">
        <f>IF(I850="","",IFERROR(INDEX(catAlim,MATCH(D850,catNom,0))&amp;"",""))</f>
        <v/>
      </c>
      <c r="M850" s="19">
        <f>IF(I850="","",IFERROR(INDEX(catComida,MATCH(D850,catNom,0))&amp;"",""))</f>
        <v/>
      </c>
      <c r="N850" s="19">
        <f>IF(I850="","",IFERROR(INDEX(ctaMon,MATCH(E850,ctaNom,0))&amp;"","DOP"))</f>
        <v/>
      </c>
      <c r="O850" s="20">
        <f>IF(I850="","",C850*IF(N850="USD",TasaUSD,1))</f>
        <v/>
      </c>
      <c r="P850" s="20">
        <f>IF(I850="","",IF(I850="Gasto",O850,0))</f>
        <v/>
      </c>
      <c r="Q850" s="20">
        <f>IF(I850="","",IF(I850="Ingreso",O850,0))</f>
        <v/>
      </c>
      <c r="R850" s="20">
        <f>IF(I850="","",IF(I850="Trading",O850,0))</f>
        <v/>
      </c>
      <c r="S850" s="19">
        <f>IF(I850="","",IF(AND(I850="Gasto",K850="Variable",J850&lt;&gt;"Trading",O850&gt;0,O850&lt;=Umbral),1,0))</f>
        <v/>
      </c>
      <c r="T850" s="20">
        <f>IF(OR(I850="",E850=""),"",IF(OR(I850="Gasto",I850="Transferencia",I850="Pago tarjeta"),-1,1)*C850)</f>
        <v/>
      </c>
      <c r="U850" s="20">
        <f>IF(OR(G850="",AND(I850&lt;&gt;"Transferencia",I850&lt;&gt;"Pago tarjeta")),"",IF(IFERROR(INDEX(ctaMon,MATCH(G850,ctaNom,0))&amp;"","DOP")=N850,C850,IF(N850="USD",C850*TasaUSD,C850/TasaUSD)))</f>
        <v/>
      </c>
      <c r="V850" s="20">
        <f>IF(I850="","",IF(IFERROR(INDEX(ctaLiq,MATCH(E850,ctaNom,0))="Sí",FALSE),IF(OR(I850="Gasto",I850="Transferencia",I850="Pago tarjeta"),-1,1)*O850,0)+IF(AND(U850&lt;&gt;"",IFERROR(INDEX(ctaLiq,MATCH(G850,ctaNom,0))="Sí",FALSE)),O850,0))</f>
        <v/>
      </c>
      <c r="W850" s="19">
        <f>IF(OR(F850="",I850=""),"",IF(COUNTIFS(F$6:F850,F850,I$6:I850,"?*")=1,MAX(W$5:W849)+1,""))</f>
        <v/>
      </c>
    </row>
    <row r="851">
      <c r="B851" s="15" t="n"/>
      <c r="C851" s="16" t="n"/>
      <c r="D851" s="17" t="n"/>
      <c r="E851" s="17" t="n"/>
      <c r="F851" s="17" t="n"/>
      <c r="G851" s="17" t="n"/>
      <c r="H851" s="18">
        <f>IF(AND(B851="",C851="",D851="",E851=""),"",IF(B851="","⚠ Falta fecha",IF(C851="","⚠ Falta monto",IF(D851="","⚠ Falta categoría",IF(ISNA(MATCH(D851,catNom,0)),"⚠ Categoría no existe",IF(E851="","⚠ Falta cuenta",IF(ISNA(MATCH(E851,ctaNom,0)),"⚠ Cuenta no existe",IF(AND(OR(I851="Transferencia",I851="Pago tarjeta"),G851=""),"⚠ Indica la cuenta «Hacia»",IF(AND(G851&lt;&gt;"",G851=E851),"⚠ «Hacia» igual a la cuenta",IF(AND(G851&lt;&gt;"",ISNA(MATCH(G851,ctaNom,0))),"⚠ «Hacia» no existe",IF(AND(I851="Pago tarjeta",IFERROR(INDEX(ctaTipo,MATCH(G851,ctaNom,0)),"")&lt;&gt;"Tarjeta de crédito"),"⚠ «Hacia» debe ser la tarjeta",IF(AND(I851="Trading",IFERROR(INDEX(ctaTipo,MATCH(E851,ctaNom,0)),"")&lt;&gt;"Cuenta de trading"),"⚠ Usa la cuenta de trading","✓"))))))))))))</f>
        <v/>
      </c>
      <c r="I851" s="19">
        <f>IF(OR(B851="",C851="",D851=""),"",IFERROR(INDEX(catTipo,MATCH(D851,catNom,0))&amp;"",""))</f>
        <v/>
      </c>
      <c r="J851" s="19">
        <f>IF(I851="","",IFERROR(INDEX(catGrupo,MATCH(D851,catNom,0))&amp;"",""))</f>
        <v/>
      </c>
      <c r="K851" s="19">
        <f>IF(I851="Gasto",IF(IFERROR(INDEX(catClas,MATCH(D851,catNom,0))&amp;"","")="","Variable",IFERROR(INDEX(catClas,MATCH(D851,catNom,0))&amp;"","")),"")</f>
        <v/>
      </c>
      <c r="L851" s="19">
        <f>IF(I851="","",IFERROR(INDEX(catAlim,MATCH(D851,catNom,0))&amp;"",""))</f>
        <v/>
      </c>
      <c r="M851" s="19">
        <f>IF(I851="","",IFERROR(INDEX(catComida,MATCH(D851,catNom,0))&amp;"",""))</f>
        <v/>
      </c>
      <c r="N851" s="19">
        <f>IF(I851="","",IFERROR(INDEX(ctaMon,MATCH(E851,ctaNom,0))&amp;"","DOP"))</f>
        <v/>
      </c>
      <c r="O851" s="20">
        <f>IF(I851="","",C851*IF(N851="USD",TasaUSD,1))</f>
        <v/>
      </c>
      <c r="P851" s="20">
        <f>IF(I851="","",IF(I851="Gasto",O851,0))</f>
        <v/>
      </c>
      <c r="Q851" s="20">
        <f>IF(I851="","",IF(I851="Ingreso",O851,0))</f>
        <v/>
      </c>
      <c r="R851" s="20">
        <f>IF(I851="","",IF(I851="Trading",O851,0))</f>
        <v/>
      </c>
      <c r="S851" s="19">
        <f>IF(I851="","",IF(AND(I851="Gasto",K851="Variable",J851&lt;&gt;"Trading",O851&gt;0,O851&lt;=Umbral),1,0))</f>
        <v/>
      </c>
      <c r="T851" s="20">
        <f>IF(OR(I851="",E851=""),"",IF(OR(I851="Gasto",I851="Transferencia",I851="Pago tarjeta"),-1,1)*C851)</f>
        <v/>
      </c>
      <c r="U851" s="20">
        <f>IF(OR(G851="",AND(I851&lt;&gt;"Transferencia",I851&lt;&gt;"Pago tarjeta")),"",IF(IFERROR(INDEX(ctaMon,MATCH(G851,ctaNom,0))&amp;"","DOP")=N851,C851,IF(N851="USD",C851*TasaUSD,C851/TasaUSD)))</f>
        <v/>
      </c>
      <c r="V851" s="20">
        <f>IF(I851="","",IF(IFERROR(INDEX(ctaLiq,MATCH(E851,ctaNom,0))="Sí",FALSE),IF(OR(I851="Gasto",I851="Transferencia",I851="Pago tarjeta"),-1,1)*O851,0)+IF(AND(U851&lt;&gt;"",IFERROR(INDEX(ctaLiq,MATCH(G851,ctaNom,0))="Sí",FALSE)),O851,0))</f>
        <v/>
      </c>
      <c r="W851" s="19">
        <f>IF(OR(F851="",I851=""),"",IF(COUNTIFS(F$6:F851,F851,I$6:I851,"?*")=1,MAX(W$5:W850)+1,""))</f>
        <v/>
      </c>
    </row>
    <row r="852">
      <c r="B852" s="15" t="n"/>
      <c r="C852" s="16" t="n"/>
      <c r="D852" s="17" t="n"/>
      <c r="E852" s="17" t="n"/>
      <c r="F852" s="17" t="n"/>
      <c r="G852" s="17" t="n"/>
      <c r="H852" s="18">
        <f>IF(AND(B852="",C852="",D852="",E852=""),"",IF(B852="","⚠ Falta fecha",IF(C852="","⚠ Falta monto",IF(D852="","⚠ Falta categoría",IF(ISNA(MATCH(D852,catNom,0)),"⚠ Categoría no existe",IF(E852="","⚠ Falta cuenta",IF(ISNA(MATCH(E852,ctaNom,0)),"⚠ Cuenta no existe",IF(AND(OR(I852="Transferencia",I852="Pago tarjeta"),G852=""),"⚠ Indica la cuenta «Hacia»",IF(AND(G852&lt;&gt;"",G852=E852),"⚠ «Hacia» igual a la cuenta",IF(AND(G852&lt;&gt;"",ISNA(MATCH(G852,ctaNom,0))),"⚠ «Hacia» no existe",IF(AND(I852="Pago tarjeta",IFERROR(INDEX(ctaTipo,MATCH(G852,ctaNom,0)),"")&lt;&gt;"Tarjeta de crédito"),"⚠ «Hacia» debe ser la tarjeta",IF(AND(I852="Trading",IFERROR(INDEX(ctaTipo,MATCH(E852,ctaNom,0)),"")&lt;&gt;"Cuenta de trading"),"⚠ Usa la cuenta de trading","✓"))))))))))))</f>
        <v/>
      </c>
      <c r="I852" s="19">
        <f>IF(OR(B852="",C852="",D852=""),"",IFERROR(INDEX(catTipo,MATCH(D852,catNom,0))&amp;"",""))</f>
        <v/>
      </c>
      <c r="J852" s="19">
        <f>IF(I852="","",IFERROR(INDEX(catGrupo,MATCH(D852,catNom,0))&amp;"",""))</f>
        <v/>
      </c>
      <c r="K852" s="19">
        <f>IF(I852="Gasto",IF(IFERROR(INDEX(catClas,MATCH(D852,catNom,0))&amp;"","")="","Variable",IFERROR(INDEX(catClas,MATCH(D852,catNom,0))&amp;"","")),"")</f>
        <v/>
      </c>
      <c r="L852" s="19">
        <f>IF(I852="","",IFERROR(INDEX(catAlim,MATCH(D852,catNom,0))&amp;"",""))</f>
        <v/>
      </c>
      <c r="M852" s="19">
        <f>IF(I852="","",IFERROR(INDEX(catComida,MATCH(D852,catNom,0))&amp;"",""))</f>
        <v/>
      </c>
      <c r="N852" s="19">
        <f>IF(I852="","",IFERROR(INDEX(ctaMon,MATCH(E852,ctaNom,0))&amp;"","DOP"))</f>
        <v/>
      </c>
      <c r="O852" s="20">
        <f>IF(I852="","",C852*IF(N852="USD",TasaUSD,1))</f>
        <v/>
      </c>
      <c r="P852" s="20">
        <f>IF(I852="","",IF(I852="Gasto",O852,0))</f>
        <v/>
      </c>
      <c r="Q852" s="20">
        <f>IF(I852="","",IF(I852="Ingreso",O852,0))</f>
        <v/>
      </c>
      <c r="R852" s="20">
        <f>IF(I852="","",IF(I852="Trading",O852,0))</f>
        <v/>
      </c>
      <c r="S852" s="19">
        <f>IF(I852="","",IF(AND(I852="Gasto",K852="Variable",J852&lt;&gt;"Trading",O852&gt;0,O852&lt;=Umbral),1,0))</f>
        <v/>
      </c>
      <c r="T852" s="20">
        <f>IF(OR(I852="",E852=""),"",IF(OR(I852="Gasto",I852="Transferencia",I852="Pago tarjeta"),-1,1)*C852)</f>
        <v/>
      </c>
      <c r="U852" s="20">
        <f>IF(OR(G852="",AND(I852&lt;&gt;"Transferencia",I852&lt;&gt;"Pago tarjeta")),"",IF(IFERROR(INDEX(ctaMon,MATCH(G852,ctaNom,0))&amp;"","DOP")=N852,C852,IF(N852="USD",C852*TasaUSD,C852/TasaUSD)))</f>
        <v/>
      </c>
      <c r="V852" s="20">
        <f>IF(I852="","",IF(IFERROR(INDEX(ctaLiq,MATCH(E852,ctaNom,0))="Sí",FALSE),IF(OR(I852="Gasto",I852="Transferencia",I852="Pago tarjeta"),-1,1)*O852,0)+IF(AND(U852&lt;&gt;"",IFERROR(INDEX(ctaLiq,MATCH(G852,ctaNom,0))="Sí",FALSE)),O852,0))</f>
        <v/>
      </c>
      <c r="W852" s="19">
        <f>IF(OR(F852="",I852=""),"",IF(COUNTIFS(F$6:F852,F852,I$6:I852,"?*")=1,MAX(W$5:W851)+1,""))</f>
        <v/>
      </c>
    </row>
    <row r="853">
      <c r="B853" s="15" t="n"/>
      <c r="C853" s="16" t="n"/>
      <c r="D853" s="17" t="n"/>
      <c r="E853" s="17" t="n"/>
      <c r="F853" s="17" t="n"/>
      <c r="G853" s="17" t="n"/>
      <c r="H853" s="18">
        <f>IF(AND(B853="",C853="",D853="",E853=""),"",IF(B853="","⚠ Falta fecha",IF(C853="","⚠ Falta monto",IF(D853="","⚠ Falta categoría",IF(ISNA(MATCH(D853,catNom,0)),"⚠ Categoría no existe",IF(E853="","⚠ Falta cuenta",IF(ISNA(MATCH(E853,ctaNom,0)),"⚠ Cuenta no existe",IF(AND(OR(I853="Transferencia",I853="Pago tarjeta"),G853=""),"⚠ Indica la cuenta «Hacia»",IF(AND(G853&lt;&gt;"",G853=E853),"⚠ «Hacia» igual a la cuenta",IF(AND(G853&lt;&gt;"",ISNA(MATCH(G853,ctaNom,0))),"⚠ «Hacia» no existe",IF(AND(I853="Pago tarjeta",IFERROR(INDEX(ctaTipo,MATCH(G853,ctaNom,0)),"")&lt;&gt;"Tarjeta de crédito"),"⚠ «Hacia» debe ser la tarjeta",IF(AND(I853="Trading",IFERROR(INDEX(ctaTipo,MATCH(E853,ctaNom,0)),"")&lt;&gt;"Cuenta de trading"),"⚠ Usa la cuenta de trading","✓"))))))))))))</f>
        <v/>
      </c>
      <c r="I853" s="19">
        <f>IF(OR(B853="",C853="",D853=""),"",IFERROR(INDEX(catTipo,MATCH(D853,catNom,0))&amp;"",""))</f>
        <v/>
      </c>
      <c r="J853" s="19">
        <f>IF(I853="","",IFERROR(INDEX(catGrupo,MATCH(D853,catNom,0))&amp;"",""))</f>
        <v/>
      </c>
      <c r="K853" s="19">
        <f>IF(I853="Gasto",IF(IFERROR(INDEX(catClas,MATCH(D853,catNom,0))&amp;"","")="","Variable",IFERROR(INDEX(catClas,MATCH(D853,catNom,0))&amp;"","")),"")</f>
        <v/>
      </c>
      <c r="L853" s="19">
        <f>IF(I853="","",IFERROR(INDEX(catAlim,MATCH(D853,catNom,0))&amp;"",""))</f>
        <v/>
      </c>
      <c r="M853" s="19">
        <f>IF(I853="","",IFERROR(INDEX(catComida,MATCH(D853,catNom,0))&amp;"",""))</f>
        <v/>
      </c>
      <c r="N853" s="19">
        <f>IF(I853="","",IFERROR(INDEX(ctaMon,MATCH(E853,ctaNom,0))&amp;"","DOP"))</f>
        <v/>
      </c>
      <c r="O853" s="20">
        <f>IF(I853="","",C853*IF(N853="USD",TasaUSD,1))</f>
        <v/>
      </c>
      <c r="P853" s="20">
        <f>IF(I853="","",IF(I853="Gasto",O853,0))</f>
        <v/>
      </c>
      <c r="Q853" s="20">
        <f>IF(I853="","",IF(I853="Ingreso",O853,0))</f>
        <v/>
      </c>
      <c r="R853" s="20">
        <f>IF(I853="","",IF(I853="Trading",O853,0))</f>
        <v/>
      </c>
      <c r="S853" s="19">
        <f>IF(I853="","",IF(AND(I853="Gasto",K853="Variable",J853&lt;&gt;"Trading",O853&gt;0,O853&lt;=Umbral),1,0))</f>
        <v/>
      </c>
      <c r="T853" s="20">
        <f>IF(OR(I853="",E853=""),"",IF(OR(I853="Gasto",I853="Transferencia",I853="Pago tarjeta"),-1,1)*C853)</f>
        <v/>
      </c>
      <c r="U853" s="20">
        <f>IF(OR(G853="",AND(I853&lt;&gt;"Transferencia",I853&lt;&gt;"Pago tarjeta")),"",IF(IFERROR(INDEX(ctaMon,MATCH(G853,ctaNom,0))&amp;"","DOP")=N853,C853,IF(N853="USD",C853*TasaUSD,C853/TasaUSD)))</f>
        <v/>
      </c>
      <c r="V853" s="20">
        <f>IF(I853="","",IF(IFERROR(INDEX(ctaLiq,MATCH(E853,ctaNom,0))="Sí",FALSE),IF(OR(I853="Gasto",I853="Transferencia",I853="Pago tarjeta"),-1,1)*O853,0)+IF(AND(U853&lt;&gt;"",IFERROR(INDEX(ctaLiq,MATCH(G853,ctaNom,0))="Sí",FALSE)),O853,0))</f>
        <v/>
      </c>
      <c r="W853" s="19">
        <f>IF(OR(F853="",I853=""),"",IF(COUNTIFS(F$6:F853,F853,I$6:I853,"?*")=1,MAX(W$5:W852)+1,""))</f>
        <v/>
      </c>
    </row>
    <row r="854">
      <c r="B854" s="15" t="n"/>
      <c r="C854" s="16" t="n"/>
      <c r="D854" s="17" t="n"/>
      <c r="E854" s="17" t="n"/>
      <c r="F854" s="17" t="n"/>
      <c r="G854" s="17" t="n"/>
      <c r="H854" s="18">
        <f>IF(AND(B854="",C854="",D854="",E854=""),"",IF(B854="","⚠ Falta fecha",IF(C854="","⚠ Falta monto",IF(D854="","⚠ Falta categoría",IF(ISNA(MATCH(D854,catNom,0)),"⚠ Categoría no existe",IF(E854="","⚠ Falta cuenta",IF(ISNA(MATCH(E854,ctaNom,0)),"⚠ Cuenta no existe",IF(AND(OR(I854="Transferencia",I854="Pago tarjeta"),G854=""),"⚠ Indica la cuenta «Hacia»",IF(AND(G854&lt;&gt;"",G854=E854),"⚠ «Hacia» igual a la cuenta",IF(AND(G854&lt;&gt;"",ISNA(MATCH(G854,ctaNom,0))),"⚠ «Hacia» no existe",IF(AND(I854="Pago tarjeta",IFERROR(INDEX(ctaTipo,MATCH(G854,ctaNom,0)),"")&lt;&gt;"Tarjeta de crédito"),"⚠ «Hacia» debe ser la tarjeta",IF(AND(I854="Trading",IFERROR(INDEX(ctaTipo,MATCH(E854,ctaNom,0)),"")&lt;&gt;"Cuenta de trading"),"⚠ Usa la cuenta de trading","✓"))))))))))))</f>
        <v/>
      </c>
      <c r="I854" s="19">
        <f>IF(OR(B854="",C854="",D854=""),"",IFERROR(INDEX(catTipo,MATCH(D854,catNom,0))&amp;"",""))</f>
        <v/>
      </c>
      <c r="J854" s="19">
        <f>IF(I854="","",IFERROR(INDEX(catGrupo,MATCH(D854,catNom,0))&amp;"",""))</f>
        <v/>
      </c>
      <c r="K854" s="19">
        <f>IF(I854="Gasto",IF(IFERROR(INDEX(catClas,MATCH(D854,catNom,0))&amp;"","")="","Variable",IFERROR(INDEX(catClas,MATCH(D854,catNom,0))&amp;"","")),"")</f>
        <v/>
      </c>
      <c r="L854" s="19">
        <f>IF(I854="","",IFERROR(INDEX(catAlim,MATCH(D854,catNom,0))&amp;"",""))</f>
        <v/>
      </c>
      <c r="M854" s="19">
        <f>IF(I854="","",IFERROR(INDEX(catComida,MATCH(D854,catNom,0))&amp;"",""))</f>
        <v/>
      </c>
      <c r="N854" s="19">
        <f>IF(I854="","",IFERROR(INDEX(ctaMon,MATCH(E854,ctaNom,0))&amp;"","DOP"))</f>
        <v/>
      </c>
      <c r="O854" s="20">
        <f>IF(I854="","",C854*IF(N854="USD",TasaUSD,1))</f>
        <v/>
      </c>
      <c r="P854" s="20">
        <f>IF(I854="","",IF(I854="Gasto",O854,0))</f>
        <v/>
      </c>
      <c r="Q854" s="20">
        <f>IF(I854="","",IF(I854="Ingreso",O854,0))</f>
        <v/>
      </c>
      <c r="R854" s="20">
        <f>IF(I854="","",IF(I854="Trading",O854,0))</f>
        <v/>
      </c>
      <c r="S854" s="19">
        <f>IF(I854="","",IF(AND(I854="Gasto",K854="Variable",J854&lt;&gt;"Trading",O854&gt;0,O854&lt;=Umbral),1,0))</f>
        <v/>
      </c>
      <c r="T854" s="20">
        <f>IF(OR(I854="",E854=""),"",IF(OR(I854="Gasto",I854="Transferencia",I854="Pago tarjeta"),-1,1)*C854)</f>
        <v/>
      </c>
      <c r="U854" s="20">
        <f>IF(OR(G854="",AND(I854&lt;&gt;"Transferencia",I854&lt;&gt;"Pago tarjeta")),"",IF(IFERROR(INDEX(ctaMon,MATCH(G854,ctaNom,0))&amp;"","DOP")=N854,C854,IF(N854="USD",C854*TasaUSD,C854/TasaUSD)))</f>
        <v/>
      </c>
      <c r="V854" s="20">
        <f>IF(I854="","",IF(IFERROR(INDEX(ctaLiq,MATCH(E854,ctaNom,0))="Sí",FALSE),IF(OR(I854="Gasto",I854="Transferencia",I854="Pago tarjeta"),-1,1)*O854,0)+IF(AND(U854&lt;&gt;"",IFERROR(INDEX(ctaLiq,MATCH(G854,ctaNom,0))="Sí",FALSE)),O854,0))</f>
        <v/>
      </c>
      <c r="W854" s="19">
        <f>IF(OR(F854="",I854=""),"",IF(COUNTIFS(F$6:F854,F854,I$6:I854,"?*")=1,MAX(W$5:W853)+1,""))</f>
        <v/>
      </c>
    </row>
    <row r="855">
      <c r="B855" s="15" t="n"/>
      <c r="C855" s="16" t="n"/>
      <c r="D855" s="17" t="n"/>
      <c r="E855" s="17" t="n"/>
      <c r="F855" s="17" t="n"/>
      <c r="G855" s="17" t="n"/>
      <c r="H855" s="18">
        <f>IF(AND(B855="",C855="",D855="",E855=""),"",IF(B855="","⚠ Falta fecha",IF(C855="","⚠ Falta monto",IF(D855="","⚠ Falta categoría",IF(ISNA(MATCH(D855,catNom,0)),"⚠ Categoría no existe",IF(E855="","⚠ Falta cuenta",IF(ISNA(MATCH(E855,ctaNom,0)),"⚠ Cuenta no existe",IF(AND(OR(I855="Transferencia",I855="Pago tarjeta"),G855=""),"⚠ Indica la cuenta «Hacia»",IF(AND(G855&lt;&gt;"",G855=E855),"⚠ «Hacia» igual a la cuenta",IF(AND(G855&lt;&gt;"",ISNA(MATCH(G855,ctaNom,0))),"⚠ «Hacia» no existe",IF(AND(I855="Pago tarjeta",IFERROR(INDEX(ctaTipo,MATCH(G855,ctaNom,0)),"")&lt;&gt;"Tarjeta de crédito"),"⚠ «Hacia» debe ser la tarjeta",IF(AND(I855="Trading",IFERROR(INDEX(ctaTipo,MATCH(E855,ctaNom,0)),"")&lt;&gt;"Cuenta de trading"),"⚠ Usa la cuenta de trading","✓"))))))))))))</f>
        <v/>
      </c>
      <c r="I855" s="19">
        <f>IF(OR(B855="",C855="",D855=""),"",IFERROR(INDEX(catTipo,MATCH(D855,catNom,0))&amp;"",""))</f>
        <v/>
      </c>
      <c r="J855" s="19">
        <f>IF(I855="","",IFERROR(INDEX(catGrupo,MATCH(D855,catNom,0))&amp;"",""))</f>
        <v/>
      </c>
      <c r="K855" s="19">
        <f>IF(I855="Gasto",IF(IFERROR(INDEX(catClas,MATCH(D855,catNom,0))&amp;"","")="","Variable",IFERROR(INDEX(catClas,MATCH(D855,catNom,0))&amp;"","")),"")</f>
        <v/>
      </c>
      <c r="L855" s="19">
        <f>IF(I855="","",IFERROR(INDEX(catAlim,MATCH(D855,catNom,0))&amp;"",""))</f>
        <v/>
      </c>
      <c r="M855" s="19">
        <f>IF(I855="","",IFERROR(INDEX(catComida,MATCH(D855,catNom,0))&amp;"",""))</f>
        <v/>
      </c>
      <c r="N855" s="19">
        <f>IF(I855="","",IFERROR(INDEX(ctaMon,MATCH(E855,ctaNom,0))&amp;"","DOP"))</f>
        <v/>
      </c>
      <c r="O855" s="20">
        <f>IF(I855="","",C855*IF(N855="USD",TasaUSD,1))</f>
        <v/>
      </c>
      <c r="P855" s="20">
        <f>IF(I855="","",IF(I855="Gasto",O855,0))</f>
        <v/>
      </c>
      <c r="Q855" s="20">
        <f>IF(I855="","",IF(I855="Ingreso",O855,0))</f>
        <v/>
      </c>
      <c r="R855" s="20">
        <f>IF(I855="","",IF(I855="Trading",O855,0))</f>
        <v/>
      </c>
      <c r="S855" s="19">
        <f>IF(I855="","",IF(AND(I855="Gasto",K855="Variable",J855&lt;&gt;"Trading",O855&gt;0,O855&lt;=Umbral),1,0))</f>
        <v/>
      </c>
      <c r="T855" s="20">
        <f>IF(OR(I855="",E855=""),"",IF(OR(I855="Gasto",I855="Transferencia",I855="Pago tarjeta"),-1,1)*C855)</f>
        <v/>
      </c>
      <c r="U855" s="20">
        <f>IF(OR(G855="",AND(I855&lt;&gt;"Transferencia",I855&lt;&gt;"Pago tarjeta")),"",IF(IFERROR(INDEX(ctaMon,MATCH(G855,ctaNom,0))&amp;"","DOP")=N855,C855,IF(N855="USD",C855*TasaUSD,C855/TasaUSD)))</f>
        <v/>
      </c>
      <c r="V855" s="20">
        <f>IF(I855="","",IF(IFERROR(INDEX(ctaLiq,MATCH(E855,ctaNom,0))="Sí",FALSE),IF(OR(I855="Gasto",I855="Transferencia",I855="Pago tarjeta"),-1,1)*O855,0)+IF(AND(U855&lt;&gt;"",IFERROR(INDEX(ctaLiq,MATCH(G855,ctaNom,0))="Sí",FALSE)),O855,0))</f>
        <v/>
      </c>
      <c r="W855" s="19">
        <f>IF(OR(F855="",I855=""),"",IF(COUNTIFS(F$6:F855,F855,I$6:I855,"?*")=1,MAX(W$5:W854)+1,""))</f>
        <v/>
      </c>
    </row>
    <row r="856">
      <c r="B856" s="15" t="n"/>
      <c r="C856" s="16" t="n"/>
      <c r="D856" s="17" t="n"/>
      <c r="E856" s="17" t="n"/>
      <c r="F856" s="17" t="n"/>
      <c r="G856" s="17" t="n"/>
      <c r="H856" s="18">
        <f>IF(AND(B856="",C856="",D856="",E856=""),"",IF(B856="","⚠ Falta fecha",IF(C856="","⚠ Falta monto",IF(D856="","⚠ Falta categoría",IF(ISNA(MATCH(D856,catNom,0)),"⚠ Categoría no existe",IF(E856="","⚠ Falta cuenta",IF(ISNA(MATCH(E856,ctaNom,0)),"⚠ Cuenta no existe",IF(AND(OR(I856="Transferencia",I856="Pago tarjeta"),G856=""),"⚠ Indica la cuenta «Hacia»",IF(AND(G856&lt;&gt;"",G856=E856),"⚠ «Hacia» igual a la cuenta",IF(AND(G856&lt;&gt;"",ISNA(MATCH(G856,ctaNom,0))),"⚠ «Hacia» no existe",IF(AND(I856="Pago tarjeta",IFERROR(INDEX(ctaTipo,MATCH(G856,ctaNom,0)),"")&lt;&gt;"Tarjeta de crédito"),"⚠ «Hacia» debe ser la tarjeta",IF(AND(I856="Trading",IFERROR(INDEX(ctaTipo,MATCH(E856,ctaNom,0)),"")&lt;&gt;"Cuenta de trading"),"⚠ Usa la cuenta de trading","✓"))))))))))))</f>
        <v/>
      </c>
      <c r="I856" s="19">
        <f>IF(OR(B856="",C856="",D856=""),"",IFERROR(INDEX(catTipo,MATCH(D856,catNom,0))&amp;"",""))</f>
        <v/>
      </c>
      <c r="J856" s="19">
        <f>IF(I856="","",IFERROR(INDEX(catGrupo,MATCH(D856,catNom,0))&amp;"",""))</f>
        <v/>
      </c>
      <c r="K856" s="19">
        <f>IF(I856="Gasto",IF(IFERROR(INDEX(catClas,MATCH(D856,catNom,0))&amp;"","")="","Variable",IFERROR(INDEX(catClas,MATCH(D856,catNom,0))&amp;"","")),"")</f>
        <v/>
      </c>
      <c r="L856" s="19">
        <f>IF(I856="","",IFERROR(INDEX(catAlim,MATCH(D856,catNom,0))&amp;"",""))</f>
        <v/>
      </c>
      <c r="M856" s="19">
        <f>IF(I856="","",IFERROR(INDEX(catComida,MATCH(D856,catNom,0))&amp;"",""))</f>
        <v/>
      </c>
      <c r="N856" s="19">
        <f>IF(I856="","",IFERROR(INDEX(ctaMon,MATCH(E856,ctaNom,0))&amp;"","DOP"))</f>
        <v/>
      </c>
      <c r="O856" s="20">
        <f>IF(I856="","",C856*IF(N856="USD",TasaUSD,1))</f>
        <v/>
      </c>
      <c r="P856" s="20">
        <f>IF(I856="","",IF(I856="Gasto",O856,0))</f>
        <v/>
      </c>
      <c r="Q856" s="20">
        <f>IF(I856="","",IF(I856="Ingreso",O856,0))</f>
        <v/>
      </c>
      <c r="R856" s="20">
        <f>IF(I856="","",IF(I856="Trading",O856,0))</f>
        <v/>
      </c>
      <c r="S856" s="19">
        <f>IF(I856="","",IF(AND(I856="Gasto",K856="Variable",J856&lt;&gt;"Trading",O856&gt;0,O856&lt;=Umbral),1,0))</f>
        <v/>
      </c>
      <c r="T856" s="20">
        <f>IF(OR(I856="",E856=""),"",IF(OR(I856="Gasto",I856="Transferencia",I856="Pago tarjeta"),-1,1)*C856)</f>
        <v/>
      </c>
      <c r="U856" s="20">
        <f>IF(OR(G856="",AND(I856&lt;&gt;"Transferencia",I856&lt;&gt;"Pago tarjeta")),"",IF(IFERROR(INDEX(ctaMon,MATCH(G856,ctaNom,0))&amp;"","DOP")=N856,C856,IF(N856="USD",C856*TasaUSD,C856/TasaUSD)))</f>
        <v/>
      </c>
      <c r="V856" s="20">
        <f>IF(I856="","",IF(IFERROR(INDEX(ctaLiq,MATCH(E856,ctaNom,0))="Sí",FALSE),IF(OR(I856="Gasto",I856="Transferencia",I856="Pago tarjeta"),-1,1)*O856,0)+IF(AND(U856&lt;&gt;"",IFERROR(INDEX(ctaLiq,MATCH(G856,ctaNom,0))="Sí",FALSE)),O856,0))</f>
        <v/>
      </c>
      <c r="W856" s="19">
        <f>IF(OR(F856="",I856=""),"",IF(COUNTIFS(F$6:F856,F856,I$6:I856,"?*")=1,MAX(W$5:W855)+1,""))</f>
        <v/>
      </c>
    </row>
    <row r="857">
      <c r="B857" s="15" t="n"/>
      <c r="C857" s="16" t="n"/>
      <c r="D857" s="17" t="n"/>
      <c r="E857" s="17" t="n"/>
      <c r="F857" s="17" t="n"/>
      <c r="G857" s="17" t="n"/>
      <c r="H857" s="18">
        <f>IF(AND(B857="",C857="",D857="",E857=""),"",IF(B857="","⚠ Falta fecha",IF(C857="","⚠ Falta monto",IF(D857="","⚠ Falta categoría",IF(ISNA(MATCH(D857,catNom,0)),"⚠ Categoría no existe",IF(E857="","⚠ Falta cuenta",IF(ISNA(MATCH(E857,ctaNom,0)),"⚠ Cuenta no existe",IF(AND(OR(I857="Transferencia",I857="Pago tarjeta"),G857=""),"⚠ Indica la cuenta «Hacia»",IF(AND(G857&lt;&gt;"",G857=E857),"⚠ «Hacia» igual a la cuenta",IF(AND(G857&lt;&gt;"",ISNA(MATCH(G857,ctaNom,0))),"⚠ «Hacia» no existe",IF(AND(I857="Pago tarjeta",IFERROR(INDEX(ctaTipo,MATCH(G857,ctaNom,0)),"")&lt;&gt;"Tarjeta de crédito"),"⚠ «Hacia» debe ser la tarjeta",IF(AND(I857="Trading",IFERROR(INDEX(ctaTipo,MATCH(E857,ctaNom,0)),"")&lt;&gt;"Cuenta de trading"),"⚠ Usa la cuenta de trading","✓"))))))))))))</f>
        <v/>
      </c>
      <c r="I857" s="19">
        <f>IF(OR(B857="",C857="",D857=""),"",IFERROR(INDEX(catTipo,MATCH(D857,catNom,0))&amp;"",""))</f>
        <v/>
      </c>
      <c r="J857" s="19">
        <f>IF(I857="","",IFERROR(INDEX(catGrupo,MATCH(D857,catNom,0))&amp;"",""))</f>
        <v/>
      </c>
      <c r="K857" s="19">
        <f>IF(I857="Gasto",IF(IFERROR(INDEX(catClas,MATCH(D857,catNom,0))&amp;"","")="","Variable",IFERROR(INDEX(catClas,MATCH(D857,catNom,0))&amp;"","")),"")</f>
        <v/>
      </c>
      <c r="L857" s="19">
        <f>IF(I857="","",IFERROR(INDEX(catAlim,MATCH(D857,catNom,0))&amp;"",""))</f>
        <v/>
      </c>
      <c r="M857" s="19">
        <f>IF(I857="","",IFERROR(INDEX(catComida,MATCH(D857,catNom,0))&amp;"",""))</f>
        <v/>
      </c>
      <c r="N857" s="19">
        <f>IF(I857="","",IFERROR(INDEX(ctaMon,MATCH(E857,ctaNom,0))&amp;"","DOP"))</f>
        <v/>
      </c>
      <c r="O857" s="20">
        <f>IF(I857="","",C857*IF(N857="USD",TasaUSD,1))</f>
        <v/>
      </c>
      <c r="P857" s="20">
        <f>IF(I857="","",IF(I857="Gasto",O857,0))</f>
        <v/>
      </c>
      <c r="Q857" s="20">
        <f>IF(I857="","",IF(I857="Ingreso",O857,0))</f>
        <v/>
      </c>
      <c r="R857" s="20">
        <f>IF(I857="","",IF(I857="Trading",O857,0))</f>
        <v/>
      </c>
      <c r="S857" s="19">
        <f>IF(I857="","",IF(AND(I857="Gasto",K857="Variable",J857&lt;&gt;"Trading",O857&gt;0,O857&lt;=Umbral),1,0))</f>
        <v/>
      </c>
      <c r="T857" s="20">
        <f>IF(OR(I857="",E857=""),"",IF(OR(I857="Gasto",I857="Transferencia",I857="Pago tarjeta"),-1,1)*C857)</f>
        <v/>
      </c>
      <c r="U857" s="20">
        <f>IF(OR(G857="",AND(I857&lt;&gt;"Transferencia",I857&lt;&gt;"Pago tarjeta")),"",IF(IFERROR(INDEX(ctaMon,MATCH(G857,ctaNom,0))&amp;"","DOP")=N857,C857,IF(N857="USD",C857*TasaUSD,C857/TasaUSD)))</f>
        <v/>
      </c>
      <c r="V857" s="20">
        <f>IF(I857="","",IF(IFERROR(INDEX(ctaLiq,MATCH(E857,ctaNom,0))="Sí",FALSE),IF(OR(I857="Gasto",I857="Transferencia",I857="Pago tarjeta"),-1,1)*O857,0)+IF(AND(U857&lt;&gt;"",IFERROR(INDEX(ctaLiq,MATCH(G857,ctaNom,0))="Sí",FALSE)),O857,0))</f>
        <v/>
      </c>
      <c r="W857" s="19">
        <f>IF(OR(F857="",I857=""),"",IF(COUNTIFS(F$6:F857,F857,I$6:I857,"?*")=1,MAX(W$5:W856)+1,""))</f>
        <v/>
      </c>
    </row>
    <row r="858">
      <c r="B858" s="15" t="n"/>
      <c r="C858" s="16" t="n"/>
      <c r="D858" s="17" t="n"/>
      <c r="E858" s="17" t="n"/>
      <c r="F858" s="17" t="n"/>
      <c r="G858" s="17" t="n"/>
      <c r="H858" s="18">
        <f>IF(AND(B858="",C858="",D858="",E858=""),"",IF(B858="","⚠ Falta fecha",IF(C858="","⚠ Falta monto",IF(D858="","⚠ Falta categoría",IF(ISNA(MATCH(D858,catNom,0)),"⚠ Categoría no existe",IF(E858="","⚠ Falta cuenta",IF(ISNA(MATCH(E858,ctaNom,0)),"⚠ Cuenta no existe",IF(AND(OR(I858="Transferencia",I858="Pago tarjeta"),G858=""),"⚠ Indica la cuenta «Hacia»",IF(AND(G858&lt;&gt;"",G858=E858),"⚠ «Hacia» igual a la cuenta",IF(AND(G858&lt;&gt;"",ISNA(MATCH(G858,ctaNom,0))),"⚠ «Hacia» no existe",IF(AND(I858="Pago tarjeta",IFERROR(INDEX(ctaTipo,MATCH(G858,ctaNom,0)),"")&lt;&gt;"Tarjeta de crédito"),"⚠ «Hacia» debe ser la tarjeta",IF(AND(I858="Trading",IFERROR(INDEX(ctaTipo,MATCH(E858,ctaNom,0)),"")&lt;&gt;"Cuenta de trading"),"⚠ Usa la cuenta de trading","✓"))))))))))))</f>
        <v/>
      </c>
      <c r="I858" s="19">
        <f>IF(OR(B858="",C858="",D858=""),"",IFERROR(INDEX(catTipo,MATCH(D858,catNom,0))&amp;"",""))</f>
        <v/>
      </c>
      <c r="J858" s="19">
        <f>IF(I858="","",IFERROR(INDEX(catGrupo,MATCH(D858,catNom,0))&amp;"",""))</f>
        <v/>
      </c>
      <c r="K858" s="19">
        <f>IF(I858="Gasto",IF(IFERROR(INDEX(catClas,MATCH(D858,catNom,0))&amp;"","")="","Variable",IFERROR(INDEX(catClas,MATCH(D858,catNom,0))&amp;"","")),"")</f>
        <v/>
      </c>
      <c r="L858" s="19">
        <f>IF(I858="","",IFERROR(INDEX(catAlim,MATCH(D858,catNom,0))&amp;"",""))</f>
        <v/>
      </c>
      <c r="M858" s="19">
        <f>IF(I858="","",IFERROR(INDEX(catComida,MATCH(D858,catNom,0))&amp;"",""))</f>
        <v/>
      </c>
      <c r="N858" s="19">
        <f>IF(I858="","",IFERROR(INDEX(ctaMon,MATCH(E858,ctaNom,0))&amp;"","DOP"))</f>
        <v/>
      </c>
      <c r="O858" s="20">
        <f>IF(I858="","",C858*IF(N858="USD",TasaUSD,1))</f>
        <v/>
      </c>
      <c r="P858" s="20">
        <f>IF(I858="","",IF(I858="Gasto",O858,0))</f>
        <v/>
      </c>
      <c r="Q858" s="20">
        <f>IF(I858="","",IF(I858="Ingreso",O858,0))</f>
        <v/>
      </c>
      <c r="R858" s="20">
        <f>IF(I858="","",IF(I858="Trading",O858,0))</f>
        <v/>
      </c>
      <c r="S858" s="19">
        <f>IF(I858="","",IF(AND(I858="Gasto",K858="Variable",J858&lt;&gt;"Trading",O858&gt;0,O858&lt;=Umbral),1,0))</f>
        <v/>
      </c>
      <c r="T858" s="20">
        <f>IF(OR(I858="",E858=""),"",IF(OR(I858="Gasto",I858="Transferencia",I858="Pago tarjeta"),-1,1)*C858)</f>
        <v/>
      </c>
      <c r="U858" s="20">
        <f>IF(OR(G858="",AND(I858&lt;&gt;"Transferencia",I858&lt;&gt;"Pago tarjeta")),"",IF(IFERROR(INDEX(ctaMon,MATCH(G858,ctaNom,0))&amp;"","DOP")=N858,C858,IF(N858="USD",C858*TasaUSD,C858/TasaUSD)))</f>
        <v/>
      </c>
      <c r="V858" s="20">
        <f>IF(I858="","",IF(IFERROR(INDEX(ctaLiq,MATCH(E858,ctaNom,0))="Sí",FALSE),IF(OR(I858="Gasto",I858="Transferencia",I858="Pago tarjeta"),-1,1)*O858,0)+IF(AND(U858&lt;&gt;"",IFERROR(INDEX(ctaLiq,MATCH(G858,ctaNom,0))="Sí",FALSE)),O858,0))</f>
        <v/>
      </c>
      <c r="W858" s="19">
        <f>IF(OR(F858="",I858=""),"",IF(COUNTIFS(F$6:F858,F858,I$6:I858,"?*")=1,MAX(W$5:W857)+1,""))</f>
        <v/>
      </c>
    </row>
    <row r="859">
      <c r="B859" s="15" t="n"/>
      <c r="C859" s="16" t="n"/>
      <c r="D859" s="17" t="n"/>
      <c r="E859" s="17" t="n"/>
      <c r="F859" s="17" t="n"/>
      <c r="G859" s="17" t="n"/>
      <c r="H859" s="18">
        <f>IF(AND(B859="",C859="",D859="",E859=""),"",IF(B859="","⚠ Falta fecha",IF(C859="","⚠ Falta monto",IF(D859="","⚠ Falta categoría",IF(ISNA(MATCH(D859,catNom,0)),"⚠ Categoría no existe",IF(E859="","⚠ Falta cuenta",IF(ISNA(MATCH(E859,ctaNom,0)),"⚠ Cuenta no existe",IF(AND(OR(I859="Transferencia",I859="Pago tarjeta"),G859=""),"⚠ Indica la cuenta «Hacia»",IF(AND(G859&lt;&gt;"",G859=E859),"⚠ «Hacia» igual a la cuenta",IF(AND(G859&lt;&gt;"",ISNA(MATCH(G859,ctaNom,0))),"⚠ «Hacia» no existe",IF(AND(I859="Pago tarjeta",IFERROR(INDEX(ctaTipo,MATCH(G859,ctaNom,0)),"")&lt;&gt;"Tarjeta de crédito"),"⚠ «Hacia» debe ser la tarjeta",IF(AND(I859="Trading",IFERROR(INDEX(ctaTipo,MATCH(E859,ctaNom,0)),"")&lt;&gt;"Cuenta de trading"),"⚠ Usa la cuenta de trading","✓"))))))))))))</f>
        <v/>
      </c>
      <c r="I859" s="19">
        <f>IF(OR(B859="",C859="",D859=""),"",IFERROR(INDEX(catTipo,MATCH(D859,catNom,0))&amp;"",""))</f>
        <v/>
      </c>
      <c r="J859" s="19">
        <f>IF(I859="","",IFERROR(INDEX(catGrupo,MATCH(D859,catNom,0))&amp;"",""))</f>
        <v/>
      </c>
      <c r="K859" s="19">
        <f>IF(I859="Gasto",IF(IFERROR(INDEX(catClas,MATCH(D859,catNom,0))&amp;"","")="","Variable",IFERROR(INDEX(catClas,MATCH(D859,catNom,0))&amp;"","")),"")</f>
        <v/>
      </c>
      <c r="L859" s="19">
        <f>IF(I859="","",IFERROR(INDEX(catAlim,MATCH(D859,catNom,0))&amp;"",""))</f>
        <v/>
      </c>
      <c r="M859" s="19">
        <f>IF(I859="","",IFERROR(INDEX(catComida,MATCH(D859,catNom,0))&amp;"",""))</f>
        <v/>
      </c>
      <c r="N859" s="19">
        <f>IF(I859="","",IFERROR(INDEX(ctaMon,MATCH(E859,ctaNom,0))&amp;"","DOP"))</f>
        <v/>
      </c>
      <c r="O859" s="20">
        <f>IF(I859="","",C859*IF(N859="USD",TasaUSD,1))</f>
        <v/>
      </c>
      <c r="P859" s="20">
        <f>IF(I859="","",IF(I859="Gasto",O859,0))</f>
        <v/>
      </c>
      <c r="Q859" s="20">
        <f>IF(I859="","",IF(I859="Ingreso",O859,0))</f>
        <v/>
      </c>
      <c r="R859" s="20">
        <f>IF(I859="","",IF(I859="Trading",O859,0))</f>
        <v/>
      </c>
      <c r="S859" s="19">
        <f>IF(I859="","",IF(AND(I859="Gasto",K859="Variable",J859&lt;&gt;"Trading",O859&gt;0,O859&lt;=Umbral),1,0))</f>
        <v/>
      </c>
      <c r="T859" s="20">
        <f>IF(OR(I859="",E859=""),"",IF(OR(I859="Gasto",I859="Transferencia",I859="Pago tarjeta"),-1,1)*C859)</f>
        <v/>
      </c>
      <c r="U859" s="20">
        <f>IF(OR(G859="",AND(I859&lt;&gt;"Transferencia",I859&lt;&gt;"Pago tarjeta")),"",IF(IFERROR(INDEX(ctaMon,MATCH(G859,ctaNom,0))&amp;"","DOP")=N859,C859,IF(N859="USD",C859*TasaUSD,C859/TasaUSD)))</f>
        <v/>
      </c>
      <c r="V859" s="20">
        <f>IF(I859="","",IF(IFERROR(INDEX(ctaLiq,MATCH(E859,ctaNom,0))="Sí",FALSE),IF(OR(I859="Gasto",I859="Transferencia",I859="Pago tarjeta"),-1,1)*O859,0)+IF(AND(U859&lt;&gt;"",IFERROR(INDEX(ctaLiq,MATCH(G859,ctaNom,0))="Sí",FALSE)),O859,0))</f>
        <v/>
      </c>
      <c r="W859" s="19">
        <f>IF(OR(F859="",I859=""),"",IF(COUNTIFS(F$6:F859,F859,I$6:I859,"?*")=1,MAX(W$5:W858)+1,""))</f>
        <v/>
      </c>
    </row>
    <row r="860">
      <c r="B860" s="15" t="n"/>
      <c r="C860" s="16" t="n"/>
      <c r="D860" s="17" t="n"/>
      <c r="E860" s="17" t="n"/>
      <c r="F860" s="17" t="n"/>
      <c r="G860" s="17" t="n"/>
      <c r="H860" s="18">
        <f>IF(AND(B860="",C860="",D860="",E860=""),"",IF(B860="","⚠ Falta fecha",IF(C860="","⚠ Falta monto",IF(D860="","⚠ Falta categoría",IF(ISNA(MATCH(D860,catNom,0)),"⚠ Categoría no existe",IF(E860="","⚠ Falta cuenta",IF(ISNA(MATCH(E860,ctaNom,0)),"⚠ Cuenta no existe",IF(AND(OR(I860="Transferencia",I860="Pago tarjeta"),G860=""),"⚠ Indica la cuenta «Hacia»",IF(AND(G860&lt;&gt;"",G860=E860),"⚠ «Hacia» igual a la cuenta",IF(AND(G860&lt;&gt;"",ISNA(MATCH(G860,ctaNom,0))),"⚠ «Hacia» no existe",IF(AND(I860="Pago tarjeta",IFERROR(INDEX(ctaTipo,MATCH(G860,ctaNom,0)),"")&lt;&gt;"Tarjeta de crédito"),"⚠ «Hacia» debe ser la tarjeta",IF(AND(I860="Trading",IFERROR(INDEX(ctaTipo,MATCH(E860,ctaNom,0)),"")&lt;&gt;"Cuenta de trading"),"⚠ Usa la cuenta de trading","✓"))))))))))))</f>
        <v/>
      </c>
      <c r="I860" s="19">
        <f>IF(OR(B860="",C860="",D860=""),"",IFERROR(INDEX(catTipo,MATCH(D860,catNom,0))&amp;"",""))</f>
        <v/>
      </c>
      <c r="J860" s="19">
        <f>IF(I860="","",IFERROR(INDEX(catGrupo,MATCH(D860,catNom,0))&amp;"",""))</f>
        <v/>
      </c>
      <c r="K860" s="19">
        <f>IF(I860="Gasto",IF(IFERROR(INDEX(catClas,MATCH(D860,catNom,0))&amp;"","")="","Variable",IFERROR(INDEX(catClas,MATCH(D860,catNom,0))&amp;"","")),"")</f>
        <v/>
      </c>
      <c r="L860" s="19">
        <f>IF(I860="","",IFERROR(INDEX(catAlim,MATCH(D860,catNom,0))&amp;"",""))</f>
        <v/>
      </c>
      <c r="M860" s="19">
        <f>IF(I860="","",IFERROR(INDEX(catComida,MATCH(D860,catNom,0))&amp;"",""))</f>
        <v/>
      </c>
      <c r="N860" s="19">
        <f>IF(I860="","",IFERROR(INDEX(ctaMon,MATCH(E860,ctaNom,0))&amp;"","DOP"))</f>
        <v/>
      </c>
      <c r="O860" s="20">
        <f>IF(I860="","",C860*IF(N860="USD",TasaUSD,1))</f>
        <v/>
      </c>
      <c r="P860" s="20">
        <f>IF(I860="","",IF(I860="Gasto",O860,0))</f>
        <v/>
      </c>
      <c r="Q860" s="20">
        <f>IF(I860="","",IF(I860="Ingreso",O860,0))</f>
        <v/>
      </c>
      <c r="R860" s="20">
        <f>IF(I860="","",IF(I860="Trading",O860,0))</f>
        <v/>
      </c>
      <c r="S860" s="19">
        <f>IF(I860="","",IF(AND(I860="Gasto",K860="Variable",J860&lt;&gt;"Trading",O860&gt;0,O860&lt;=Umbral),1,0))</f>
        <v/>
      </c>
      <c r="T860" s="20">
        <f>IF(OR(I860="",E860=""),"",IF(OR(I860="Gasto",I860="Transferencia",I860="Pago tarjeta"),-1,1)*C860)</f>
        <v/>
      </c>
      <c r="U860" s="20">
        <f>IF(OR(G860="",AND(I860&lt;&gt;"Transferencia",I860&lt;&gt;"Pago tarjeta")),"",IF(IFERROR(INDEX(ctaMon,MATCH(G860,ctaNom,0))&amp;"","DOP")=N860,C860,IF(N860="USD",C860*TasaUSD,C860/TasaUSD)))</f>
        <v/>
      </c>
      <c r="V860" s="20">
        <f>IF(I860="","",IF(IFERROR(INDEX(ctaLiq,MATCH(E860,ctaNom,0))="Sí",FALSE),IF(OR(I860="Gasto",I860="Transferencia",I860="Pago tarjeta"),-1,1)*O860,0)+IF(AND(U860&lt;&gt;"",IFERROR(INDEX(ctaLiq,MATCH(G860,ctaNom,0))="Sí",FALSE)),O860,0))</f>
        <v/>
      </c>
      <c r="W860" s="19">
        <f>IF(OR(F860="",I860=""),"",IF(COUNTIFS(F$6:F860,F860,I$6:I860,"?*")=1,MAX(W$5:W859)+1,""))</f>
        <v/>
      </c>
    </row>
    <row r="861">
      <c r="B861" s="15" t="n"/>
      <c r="C861" s="16" t="n"/>
      <c r="D861" s="17" t="n"/>
      <c r="E861" s="17" t="n"/>
      <c r="F861" s="17" t="n"/>
      <c r="G861" s="17" t="n"/>
      <c r="H861" s="18">
        <f>IF(AND(B861="",C861="",D861="",E861=""),"",IF(B861="","⚠ Falta fecha",IF(C861="","⚠ Falta monto",IF(D861="","⚠ Falta categoría",IF(ISNA(MATCH(D861,catNom,0)),"⚠ Categoría no existe",IF(E861="","⚠ Falta cuenta",IF(ISNA(MATCH(E861,ctaNom,0)),"⚠ Cuenta no existe",IF(AND(OR(I861="Transferencia",I861="Pago tarjeta"),G861=""),"⚠ Indica la cuenta «Hacia»",IF(AND(G861&lt;&gt;"",G861=E861),"⚠ «Hacia» igual a la cuenta",IF(AND(G861&lt;&gt;"",ISNA(MATCH(G861,ctaNom,0))),"⚠ «Hacia» no existe",IF(AND(I861="Pago tarjeta",IFERROR(INDEX(ctaTipo,MATCH(G861,ctaNom,0)),"")&lt;&gt;"Tarjeta de crédito"),"⚠ «Hacia» debe ser la tarjeta",IF(AND(I861="Trading",IFERROR(INDEX(ctaTipo,MATCH(E861,ctaNom,0)),"")&lt;&gt;"Cuenta de trading"),"⚠ Usa la cuenta de trading","✓"))))))))))))</f>
        <v/>
      </c>
      <c r="I861" s="19">
        <f>IF(OR(B861="",C861="",D861=""),"",IFERROR(INDEX(catTipo,MATCH(D861,catNom,0))&amp;"",""))</f>
        <v/>
      </c>
      <c r="J861" s="19">
        <f>IF(I861="","",IFERROR(INDEX(catGrupo,MATCH(D861,catNom,0))&amp;"",""))</f>
        <v/>
      </c>
      <c r="K861" s="19">
        <f>IF(I861="Gasto",IF(IFERROR(INDEX(catClas,MATCH(D861,catNom,0))&amp;"","")="","Variable",IFERROR(INDEX(catClas,MATCH(D861,catNom,0))&amp;"","")),"")</f>
        <v/>
      </c>
      <c r="L861" s="19">
        <f>IF(I861="","",IFERROR(INDEX(catAlim,MATCH(D861,catNom,0))&amp;"",""))</f>
        <v/>
      </c>
      <c r="M861" s="19">
        <f>IF(I861="","",IFERROR(INDEX(catComida,MATCH(D861,catNom,0))&amp;"",""))</f>
        <v/>
      </c>
      <c r="N861" s="19">
        <f>IF(I861="","",IFERROR(INDEX(ctaMon,MATCH(E861,ctaNom,0))&amp;"","DOP"))</f>
        <v/>
      </c>
      <c r="O861" s="20">
        <f>IF(I861="","",C861*IF(N861="USD",TasaUSD,1))</f>
        <v/>
      </c>
      <c r="P861" s="20">
        <f>IF(I861="","",IF(I861="Gasto",O861,0))</f>
        <v/>
      </c>
      <c r="Q861" s="20">
        <f>IF(I861="","",IF(I861="Ingreso",O861,0))</f>
        <v/>
      </c>
      <c r="R861" s="20">
        <f>IF(I861="","",IF(I861="Trading",O861,0))</f>
        <v/>
      </c>
      <c r="S861" s="19">
        <f>IF(I861="","",IF(AND(I861="Gasto",K861="Variable",J861&lt;&gt;"Trading",O861&gt;0,O861&lt;=Umbral),1,0))</f>
        <v/>
      </c>
      <c r="T861" s="20">
        <f>IF(OR(I861="",E861=""),"",IF(OR(I861="Gasto",I861="Transferencia",I861="Pago tarjeta"),-1,1)*C861)</f>
        <v/>
      </c>
      <c r="U861" s="20">
        <f>IF(OR(G861="",AND(I861&lt;&gt;"Transferencia",I861&lt;&gt;"Pago tarjeta")),"",IF(IFERROR(INDEX(ctaMon,MATCH(G861,ctaNom,0))&amp;"","DOP")=N861,C861,IF(N861="USD",C861*TasaUSD,C861/TasaUSD)))</f>
        <v/>
      </c>
      <c r="V861" s="20">
        <f>IF(I861="","",IF(IFERROR(INDEX(ctaLiq,MATCH(E861,ctaNom,0))="Sí",FALSE),IF(OR(I861="Gasto",I861="Transferencia",I861="Pago tarjeta"),-1,1)*O861,0)+IF(AND(U861&lt;&gt;"",IFERROR(INDEX(ctaLiq,MATCH(G861,ctaNom,0))="Sí",FALSE)),O861,0))</f>
        <v/>
      </c>
      <c r="W861" s="19">
        <f>IF(OR(F861="",I861=""),"",IF(COUNTIFS(F$6:F861,F861,I$6:I861,"?*")=1,MAX(W$5:W860)+1,""))</f>
        <v/>
      </c>
    </row>
    <row r="862">
      <c r="B862" s="15" t="n"/>
      <c r="C862" s="16" t="n"/>
      <c r="D862" s="17" t="n"/>
      <c r="E862" s="17" t="n"/>
      <c r="F862" s="17" t="n"/>
      <c r="G862" s="17" t="n"/>
      <c r="H862" s="18">
        <f>IF(AND(B862="",C862="",D862="",E862=""),"",IF(B862="","⚠ Falta fecha",IF(C862="","⚠ Falta monto",IF(D862="","⚠ Falta categoría",IF(ISNA(MATCH(D862,catNom,0)),"⚠ Categoría no existe",IF(E862="","⚠ Falta cuenta",IF(ISNA(MATCH(E862,ctaNom,0)),"⚠ Cuenta no existe",IF(AND(OR(I862="Transferencia",I862="Pago tarjeta"),G862=""),"⚠ Indica la cuenta «Hacia»",IF(AND(G862&lt;&gt;"",G862=E862),"⚠ «Hacia» igual a la cuenta",IF(AND(G862&lt;&gt;"",ISNA(MATCH(G862,ctaNom,0))),"⚠ «Hacia» no existe",IF(AND(I862="Pago tarjeta",IFERROR(INDEX(ctaTipo,MATCH(G862,ctaNom,0)),"")&lt;&gt;"Tarjeta de crédito"),"⚠ «Hacia» debe ser la tarjeta",IF(AND(I862="Trading",IFERROR(INDEX(ctaTipo,MATCH(E862,ctaNom,0)),"")&lt;&gt;"Cuenta de trading"),"⚠ Usa la cuenta de trading","✓"))))))))))))</f>
        <v/>
      </c>
      <c r="I862" s="19">
        <f>IF(OR(B862="",C862="",D862=""),"",IFERROR(INDEX(catTipo,MATCH(D862,catNom,0))&amp;"",""))</f>
        <v/>
      </c>
      <c r="J862" s="19">
        <f>IF(I862="","",IFERROR(INDEX(catGrupo,MATCH(D862,catNom,0))&amp;"",""))</f>
        <v/>
      </c>
      <c r="K862" s="19">
        <f>IF(I862="Gasto",IF(IFERROR(INDEX(catClas,MATCH(D862,catNom,0))&amp;"","")="","Variable",IFERROR(INDEX(catClas,MATCH(D862,catNom,0))&amp;"","")),"")</f>
        <v/>
      </c>
      <c r="L862" s="19">
        <f>IF(I862="","",IFERROR(INDEX(catAlim,MATCH(D862,catNom,0))&amp;"",""))</f>
        <v/>
      </c>
      <c r="M862" s="19">
        <f>IF(I862="","",IFERROR(INDEX(catComida,MATCH(D862,catNom,0))&amp;"",""))</f>
        <v/>
      </c>
      <c r="N862" s="19">
        <f>IF(I862="","",IFERROR(INDEX(ctaMon,MATCH(E862,ctaNom,0))&amp;"","DOP"))</f>
        <v/>
      </c>
      <c r="O862" s="20">
        <f>IF(I862="","",C862*IF(N862="USD",TasaUSD,1))</f>
        <v/>
      </c>
      <c r="P862" s="20">
        <f>IF(I862="","",IF(I862="Gasto",O862,0))</f>
        <v/>
      </c>
      <c r="Q862" s="20">
        <f>IF(I862="","",IF(I862="Ingreso",O862,0))</f>
        <v/>
      </c>
      <c r="R862" s="20">
        <f>IF(I862="","",IF(I862="Trading",O862,0))</f>
        <v/>
      </c>
      <c r="S862" s="19">
        <f>IF(I862="","",IF(AND(I862="Gasto",K862="Variable",J862&lt;&gt;"Trading",O862&gt;0,O862&lt;=Umbral),1,0))</f>
        <v/>
      </c>
      <c r="T862" s="20">
        <f>IF(OR(I862="",E862=""),"",IF(OR(I862="Gasto",I862="Transferencia",I862="Pago tarjeta"),-1,1)*C862)</f>
        <v/>
      </c>
      <c r="U862" s="20">
        <f>IF(OR(G862="",AND(I862&lt;&gt;"Transferencia",I862&lt;&gt;"Pago tarjeta")),"",IF(IFERROR(INDEX(ctaMon,MATCH(G862,ctaNom,0))&amp;"","DOP")=N862,C862,IF(N862="USD",C862*TasaUSD,C862/TasaUSD)))</f>
        <v/>
      </c>
      <c r="V862" s="20">
        <f>IF(I862="","",IF(IFERROR(INDEX(ctaLiq,MATCH(E862,ctaNom,0))="Sí",FALSE),IF(OR(I862="Gasto",I862="Transferencia",I862="Pago tarjeta"),-1,1)*O862,0)+IF(AND(U862&lt;&gt;"",IFERROR(INDEX(ctaLiq,MATCH(G862,ctaNom,0))="Sí",FALSE)),O862,0))</f>
        <v/>
      </c>
      <c r="W862" s="19">
        <f>IF(OR(F862="",I862=""),"",IF(COUNTIFS(F$6:F862,F862,I$6:I862,"?*")=1,MAX(W$5:W861)+1,""))</f>
        <v/>
      </c>
    </row>
    <row r="863">
      <c r="B863" s="15" t="n"/>
      <c r="C863" s="16" t="n"/>
      <c r="D863" s="17" t="n"/>
      <c r="E863" s="17" t="n"/>
      <c r="F863" s="17" t="n"/>
      <c r="G863" s="17" t="n"/>
      <c r="H863" s="18">
        <f>IF(AND(B863="",C863="",D863="",E863=""),"",IF(B863="","⚠ Falta fecha",IF(C863="","⚠ Falta monto",IF(D863="","⚠ Falta categoría",IF(ISNA(MATCH(D863,catNom,0)),"⚠ Categoría no existe",IF(E863="","⚠ Falta cuenta",IF(ISNA(MATCH(E863,ctaNom,0)),"⚠ Cuenta no existe",IF(AND(OR(I863="Transferencia",I863="Pago tarjeta"),G863=""),"⚠ Indica la cuenta «Hacia»",IF(AND(G863&lt;&gt;"",G863=E863),"⚠ «Hacia» igual a la cuenta",IF(AND(G863&lt;&gt;"",ISNA(MATCH(G863,ctaNom,0))),"⚠ «Hacia» no existe",IF(AND(I863="Pago tarjeta",IFERROR(INDEX(ctaTipo,MATCH(G863,ctaNom,0)),"")&lt;&gt;"Tarjeta de crédito"),"⚠ «Hacia» debe ser la tarjeta",IF(AND(I863="Trading",IFERROR(INDEX(ctaTipo,MATCH(E863,ctaNom,0)),"")&lt;&gt;"Cuenta de trading"),"⚠ Usa la cuenta de trading","✓"))))))))))))</f>
        <v/>
      </c>
      <c r="I863" s="19">
        <f>IF(OR(B863="",C863="",D863=""),"",IFERROR(INDEX(catTipo,MATCH(D863,catNom,0))&amp;"",""))</f>
        <v/>
      </c>
      <c r="J863" s="19">
        <f>IF(I863="","",IFERROR(INDEX(catGrupo,MATCH(D863,catNom,0))&amp;"",""))</f>
        <v/>
      </c>
      <c r="K863" s="19">
        <f>IF(I863="Gasto",IF(IFERROR(INDEX(catClas,MATCH(D863,catNom,0))&amp;"","")="","Variable",IFERROR(INDEX(catClas,MATCH(D863,catNom,0))&amp;"","")),"")</f>
        <v/>
      </c>
      <c r="L863" s="19">
        <f>IF(I863="","",IFERROR(INDEX(catAlim,MATCH(D863,catNom,0))&amp;"",""))</f>
        <v/>
      </c>
      <c r="M863" s="19">
        <f>IF(I863="","",IFERROR(INDEX(catComida,MATCH(D863,catNom,0))&amp;"",""))</f>
        <v/>
      </c>
      <c r="N863" s="19">
        <f>IF(I863="","",IFERROR(INDEX(ctaMon,MATCH(E863,ctaNom,0))&amp;"","DOP"))</f>
        <v/>
      </c>
      <c r="O863" s="20">
        <f>IF(I863="","",C863*IF(N863="USD",TasaUSD,1))</f>
        <v/>
      </c>
      <c r="P863" s="20">
        <f>IF(I863="","",IF(I863="Gasto",O863,0))</f>
        <v/>
      </c>
      <c r="Q863" s="20">
        <f>IF(I863="","",IF(I863="Ingreso",O863,0))</f>
        <v/>
      </c>
      <c r="R863" s="20">
        <f>IF(I863="","",IF(I863="Trading",O863,0))</f>
        <v/>
      </c>
      <c r="S863" s="19">
        <f>IF(I863="","",IF(AND(I863="Gasto",K863="Variable",J863&lt;&gt;"Trading",O863&gt;0,O863&lt;=Umbral),1,0))</f>
        <v/>
      </c>
      <c r="T863" s="20">
        <f>IF(OR(I863="",E863=""),"",IF(OR(I863="Gasto",I863="Transferencia",I863="Pago tarjeta"),-1,1)*C863)</f>
        <v/>
      </c>
      <c r="U863" s="20">
        <f>IF(OR(G863="",AND(I863&lt;&gt;"Transferencia",I863&lt;&gt;"Pago tarjeta")),"",IF(IFERROR(INDEX(ctaMon,MATCH(G863,ctaNom,0))&amp;"","DOP")=N863,C863,IF(N863="USD",C863*TasaUSD,C863/TasaUSD)))</f>
        <v/>
      </c>
      <c r="V863" s="20">
        <f>IF(I863="","",IF(IFERROR(INDEX(ctaLiq,MATCH(E863,ctaNom,0))="Sí",FALSE),IF(OR(I863="Gasto",I863="Transferencia",I863="Pago tarjeta"),-1,1)*O863,0)+IF(AND(U863&lt;&gt;"",IFERROR(INDEX(ctaLiq,MATCH(G863,ctaNom,0))="Sí",FALSE)),O863,0))</f>
        <v/>
      </c>
      <c r="W863" s="19">
        <f>IF(OR(F863="",I863=""),"",IF(COUNTIFS(F$6:F863,F863,I$6:I863,"?*")=1,MAX(W$5:W862)+1,""))</f>
        <v/>
      </c>
    </row>
    <row r="864">
      <c r="B864" s="15" t="n"/>
      <c r="C864" s="16" t="n"/>
      <c r="D864" s="17" t="n"/>
      <c r="E864" s="17" t="n"/>
      <c r="F864" s="17" t="n"/>
      <c r="G864" s="17" t="n"/>
      <c r="H864" s="18">
        <f>IF(AND(B864="",C864="",D864="",E864=""),"",IF(B864="","⚠ Falta fecha",IF(C864="","⚠ Falta monto",IF(D864="","⚠ Falta categoría",IF(ISNA(MATCH(D864,catNom,0)),"⚠ Categoría no existe",IF(E864="","⚠ Falta cuenta",IF(ISNA(MATCH(E864,ctaNom,0)),"⚠ Cuenta no existe",IF(AND(OR(I864="Transferencia",I864="Pago tarjeta"),G864=""),"⚠ Indica la cuenta «Hacia»",IF(AND(G864&lt;&gt;"",G864=E864),"⚠ «Hacia» igual a la cuenta",IF(AND(G864&lt;&gt;"",ISNA(MATCH(G864,ctaNom,0))),"⚠ «Hacia» no existe",IF(AND(I864="Pago tarjeta",IFERROR(INDEX(ctaTipo,MATCH(G864,ctaNom,0)),"")&lt;&gt;"Tarjeta de crédito"),"⚠ «Hacia» debe ser la tarjeta",IF(AND(I864="Trading",IFERROR(INDEX(ctaTipo,MATCH(E864,ctaNom,0)),"")&lt;&gt;"Cuenta de trading"),"⚠ Usa la cuenta de trading","✓"))))))))))))</f>
        <v/>
      </c>
      <c r="I864" s="19">
        <f>IF(OR(B864="",C864="",D864=""),"",IFERROR(INDEX(catTipo,MATCH(D864,catNom,0))&amp;"",""))</f>
        <v/>
      </c>
      <c r="J864" s="19">
        <f>IF(I864="","",IFERROR(INDEX(catGrupo,MATCH(D864,catNom,0))&amp;"",""))</f>
        <v/>
      </c>
      <c r="K864" s="19">
        <f>IF(I864="Gasto",IF(IFERROR(INDEX(catClas,MATCH(D864,catNom,0))&amp;"","")="","Variable",IFERROR(INDEX(catClas,MATCH(D864,catNom,0))&amp;"","")),"")</f>
        <v/>
      </c>
      <c r="L864" s="19">
        <f>IF(I864="","",IFERROR(INDEX(catAlim,MATCH(D864,catNom,0))&amp;"",""))</f>
        <v/>
      </c>
      <c r="M864" s="19">
        <f>IF(I864="","",IFERROR(INDEX(catComida,MATCH(D864,catNom,0))&amp;"",""))</f>
        <v/>
      </c>
      <c r="N864" s="19">
        <f>IF(I864="","",IFERROR(INDEX(ctaMon,MATCH(E864,ctaNom,0))&amp;"","DOP"))</f>
        <v/>
      </c>
      <c r="O864" s="20">
        <f>IF(I864="","",C864*IF(N864="USD",TasaUSD,1))</f>
        <v/>
      </c>
      <c r="P864" s="20">
        <f>IF(I864="","",IF(I864="Gasto",O864,0))</f>
        <v/>
      </c>
      <c r="Q864" s="20">
        <f>IF(I864="","",IF(I864="Ingreso",O864,0))</f>
        <v/>
      </c>
      <c r="R864" s="20">
        <f>IF(I864="","",IF(I864="Trading",O864,0))</f>
        <v/>
      </c>
      <c r="S864" s="19">
        <f>IF(I864="","",IF(AND(I864="Gasto",K864="Variable",J864&lt;&gt;"Trading",O864&gt;0,O864&lt;=Umbral),1,0))</f>
        <v/>
      </c>
      <c r="T864" s="20">
        <f>IF(OR(I864="",E864=""),"",IF(OR(I864="Gasto",I864="Transferencia",I864="Pago tarjeta"),-1,1)*C864)</f>
        <v/>
      </c>
      <c r="U864" s="20">
        <f>IF(OR(G864="",AND(I864&lt;&gt;"Transferencia",I864&lt;&gt;"Pago tarjeta")),"",IF(IFERROR(INDEX(ctaMon,MATCH(G864,ctaNom,0))&amp;"","DOP")=N864,C864,IF(N864="USD",C864*TasaUSD,C864/TasaUSD)))</f>
        <v/>
      </c>
      <c r="V864" s="20">
        <f>IF(I864="","",IF(IFERROR(INDEX(ctaLiq,MATCH(E864,ctaNom,0))="Sí",FALSE),IF(OR(I864="Gasto",I864="Transferencia",I864="Pago tarjeta"),-1,1)*O864,0)+IF(AND(U864&lt;&gt;"",IFERROR(INDEX(ctaLiq,MATCH(G864,ctaNom,0))="Sí",FALSE)),O864,0))</f>
        <v/>
      </c>
      <c r="W864" s="19">
        <f>IF(OR(F864="",I864=""),"",IF(COUNTIFS(F$6:F864,F864,I$6:I864,"?*")=1,MAX(W$5:W863)+1,""))</f>
        <v/>
      </c>
    </row>
    <row r="865">
      <c r="B865" s="15" t="n"/>
      <c r="C865" s="16" t="n"/>
      <c r="D865" s="17" t="n"/>
      <c r="E865" s="17" t="n"/>
      <c r="F865" s="17" t="n"/>
      <c r="G865" s="17" t="n"/>
      <c r="H865" s="18">
        <f>IF(AND(B865="",C865="",D865="",E865=""),"",IF(B865="","⚠ Falta fecha",IF(C865="","⚠ Falta monto",IF(D865="","⚠ Falta categoría",IF(ISNA(MATCH(D865,catNom,0)),"⚠ Categoría no existe",IF(E865="","⚠ Falta cuenta",IF(ISNA(MATCH(E865,ctaNom,0)),"⚠ Cuenta no existe",IF(AND(OR(I865="Transferencia",I865="Pago tarjeta"),G865=""),"⚠ Indica la cuenta «Hacia»",IF(AND(G865&lt;&gt;"",G865=E865),"⚠ «Hacia» igual a la cuenta",IF(AND(G865&lt;&gt;"",ISNA(MATCH(G865,ctaNom,0))),"⚠ «Hacia» no existe",IF(AND(I865="Pago tarjeta",IFERROR(INDEX(ctaTipo,MATCH(G865,ctaNom,0)),"")&lt;&gt;"Tarjeta de crédito"),"⚠ «Hacia» debe ser la tarjeta",IF(AND(I865="Trading",IFERROR(INDEX(ctaTipo,MATCH(E865,ctaNom,0)),"")&lt;&gt;"Cuenta de trading"),"⚠ Usa la cuenta de trading","✓"))))))))))))</f>
        <v/>
      </c>
      <c r="I865" s="19">
        <f>IF(OR(B865="",C865="",D865=""),"",IFERROR(INDEX(catTipo,MATCH(D865,catNom,0))&amp;"",""))</f>
        <v/>
      </c>
      <c r="J865" s="19">
        <f>IF(I865="","",IFERROR(INDEX(catGrupo,MATCH(D865,catNom,0))&amp;"",""))</f>
        <v/>
      </c>
      <c r="K865" s="19">
        <f>IF(I865="Gasto",IF(IFERROR(INDEX(catClas,MATCH(D865,catNom,0))&amp;"","")="","Variable",IFERROR(INDEX(catClas,MATCH(D865,catNom,0))&amp;"","")),"")</f>
        <v/>
      </c>
      <c r="L865" s="19">
        <f>IF(I865="","",IFERROR(INDEX(catAlim,MATCH(D865,catNom,0))&amp;"",""))</f>
        <v/>
      </c>
      <c r="M865" s="19">
        <f>IF(I865="","",IFERROR(INDEX(catComida,MATCH(D865,catNom,0))&amp;"",""))</f>
        <v/>
      </c>
      <c r="N865" s="19">
        <f>IF(I865="","",IFERROR(INDEX(ctaMon,MATCH(E865,ctaNom,0))&amp;"","DOP"))</f>
        <v/>
      </c>
      <c r="O865" s="20">
        <f>IF(I865="","",C865*IF(N865="USD",TasaUSD,1))</f>
        <v/>
      </c>
      <c r="P865" s="20">
        <f>IF(I865="","",IF(I865="Gasto",O865,0))</f>
        <v/>
      </c>
      <c r="Q865" s="20">
        <f>IF(I865="","",IF(I865="Ingreso",O865,0))</f>
        <v/>
      </c>
      <c r="R865" s="20">
        <f>IF(I865="","",IF(I865="Trading",O865,0))</f>
        <v/>
      </c>
      <c r="S865" s="19">
        <f>IF(I865="","",IF(AND(I865="Gasto",K865="Variable",J865&lt;&gt;"Trading",O865&gt;0,O865&lt;=Umbral),1,0))</f>
        <v/>
      </c>
      <c r="T865" s="20">
        <f>IF(OR(I865="",E865=""),"",IF(OR(I865="Gasto",I865="Transferencia",I865="Pago tarjeta"),-1,1)*C865)</f>
        <v/>
      </c>
      <c r="U865" s="20">
        <f>IF(OR(G865="",AND(I865&lt;&gt;"Transferencia",I865&lt;&gt;"Pago tarjeta")),"",IF(IFERROR(INDEX(ctaMon,MATCH(G865,ctaNom,0))&amp;"","DOP")=N865,C865,IF(N865="USD",C865*TasaUSD,C865/TasaUSD)))</f>
        <v/>
      </c>
      <c r="V865" s="20">
        <f>IF(I865="","",IF(IFERROR(INDEX(ctaLiq,MATCH(E865,ctaNom,0))="Sí",FALSE),IF(OR(I865="Gasto",I865="Transferencia",I865="Pago tarjeta"),-1,1)*O865,0)+IF(AND(U865&lt;&gt;"",IFERROR(INDEX(ctaLiq,MATCH(G865,ctaNom,0))="Sí",FALSE)),O865,0))</f>
        <v/>
      </c>
      <c r="W865" s="19">
        <f>IF(OR(F865="",I865=""),"",IF(COUNTIFS(F$6:F865,F865,I$6:I865,"?*")=1,MAX(W$5:W864)+1,""))</f>
        <v/>
      </c>
    </row>
    <row r="866">
      <c r="B866" s="15" t="n"/>
      <c r="C866" s="16" t="n"/>
      <c r="D866" s="17" t="n"/>
      <c r="E866" s="17" t="n"/>
      <c r="F866" s="17" t="n"/>
      <c r="G866" s="17" t="n"/>
      <c r="H866" s="18">
        <f>IF(AND(B866="",C866="",D866="",E866=""),"",IF(B866="","⚠ Falta fecha",IF(C866="","⚠ Falta monto",IF(D866="","⚠ Falta categoría",IF(ISNA(MATCH(D866,catNom,0)),"⚠ Categoría no existe",IF(E866="","⚠ Falta cuenta",IF(ISNA(MATCH(E866,ctaNom,0)),"⚠ Cuenta no existe",IF(AND(OR(I866="Transferencia",I866="Pago tarjeta"),G866=""),"⚠ Indica la cuenta «Hacia»",IF(AND(G866&lt;&gt;"",G866=E866),"⚠ «Hacia» igual a la cuenta",IF(AND(G866&lt;&gt;"",ISNA(MATCH(G866,ctaNom,0))),"⚠ «Hacia» no existe",IF(AND(I866="Pago tarjeta",IFERROR(INDEX(ctaTipo,MATCH(G866,ctaNom,0)),"")&lt;&gt;"Tarjeta de crédito"),"⚠ «Hacia» debe ser la tarjeta",IF(AND(I866="Trading",IFERROR(INDEX(ctaTipo,MATCH(E866,ctaNom,0)),"")&lt;&gt;"Cuenta de trading"),"⚠ Usa la cuenta de trading","✓"))))))))))))</f>
        <v/>
      </c>
      <c r="I866" s="19">
        <f>IF(OR(B866="",C866="",D866=""),"",IFERROR(INDEX(catTipo,MATCH(D866,catNom,0))&amp;"",""))</f>
        <v/>
      </c>
      <c r="J866" s="19">
        <f>IF(I866="","",IFERROR(INDEX(catGrupo,MATCH(D866,catNom,0))&amp;"",""))</f>
        <v/>
      </c>
      <c r="K866" s="19">
        <f>IF(I866="Gasto",IF(IFERROR(INDEX(catClas,MATCH(D866,catNom,0))&amp;"","")="","Variable",IFERROR(INDEX(catClas,MATCH(D866,catNom,0))&amp;"","")),"")</f>
        <v/>
      </c>
      <c r="L866" s="19">
        <f>IF(I866="","",IFERROR(INDEX(catAlim,MATCH(D866,catNom,0))&amp;"",""))</f>
        <v/>
      </c>
      <c r="M866" s="19">
        <f>IF(I866="","",IFERROR(INDEX(catComida,MATCH(D866,catNom,0))&amp;"",""))</f>
        <v/>
      </c>
      <c r="N866" s="19">
        <f>IF(I866="","",IFERROR(INDEX(ctaMon,MATCH(E866,ctaNom,0))&amp;"","DOP"))</f>
        <v/>
      </c>
      <c r="O866" s="20">
        <f>IF(I866="","",C866*IF(N866="USD",TasaUSD,1))</f>
        <v/>
      </c>
      <c r="P866" s="20">
        <f>IF(I866="","",IF(I866="Gasto",O866,0))</f>
        <v/>
      </c>
      <c r="Q866" s="20">
        <f>IF(I866="","",IF(I866="Ingreso",O866,0))</f>
        <v/>
      </c>
      <c r="R866" s="20">
        <f>IF(I866="","",IF(I866="Trading",O866,0))</f>
        <v/>
      </c>
      <c r="S866" s="19">
        <f>IF(I866="","",IF(AND(I866="Gasto",K866="Variable",J866&lt;&gt;"Trading",O866&gt;0,O866&lt;=Umbral),1,0))</f>
        <v/>
      </c>
      <c r="T866" s="20">
        <f>IF(OR(I866="",E866=""),"",IF(OR(I866="Gasto",I866="Transferencia",I866="Pago tarjeta"),-1,1)*C866)</f>
        <v/>
      </c>
      <c r="U866" s="20">
        <f>IF(OR(G866="",AND(I866&lt;&gt;"Transferencia",I866&lt;&gt;"Pago tarjeta")),"",IF(IFERROR(INDEX(ctaMon,MATCH(G866,ctaNom,0))&amp;"","DOP")=N866,C866,IF(N866="USD",C866*TasaUSD,C866/TasaUSD)))</f>
        <v/>
      </c>
      <c r="V866" s="20">
        <f>IF(I866="","",IF(IFERROR(INDEX(ctaLiq,MATCH(E866,ctaNom,0))="Sí",FALSE),IF(OR(I866="Gasto",I866="Transferencia",I866="Pago tarjeta"),-1,1)*O866,0)+IF(AND(U866&lt;&gt;"",IFERROR(INDEX(ctaLiq,MATCH(G866,ctaNom,0))="Sí",FALSE)),O866,0))</f>
        <v/>
      </c>
      <c r="W866" s="19">
        <f>IF(OR(F866="",I866=""),"",IF(COUNTIFS(F$6:F866,F866,I$6:I866,"?*")=1,MAX(W$5:W865)+1,""))</f>
        <v/>
      </c>
    </row>
    <row r="867">
      <c r="B867" s="15" t="n"/>
      <c r="C867" s="16" t="n"/>
      <c r="D867" s="17" t="n"/>
      <c r="E867" s="17" t="n"/>
      <c r="F867" s="17" t="n"/>
      <c r="G867" s="17" t="n"/>
      <c r="H867" s="18">
        <f>IF(AND(B867="",C867="",D867="",E867=""),"",IF(B867="","⚠ Falta fecha",IF(C867="","⚠ Falta monto",IF(D867="","⚠ Falta categoría",IF(ISNA(MATCH(D867,catNom,0)),"⚠ Categoría no existe",IF(E867="","⚠ Falta cuenta",IF(ISNA(MATCH(E867,ctaNom,0)),"⚠ Cuenta no existe",IF(AND(OR(I867="Transferencia",I867="Pago tarjeta"),G867=""),"⚠ Indica la cuenta «Hacia»",IF(AND(G867&lt;&gt;"",G867=E867),"⚠ «Hacia» igual a la cuenta",IF(AND(G867&lt;&gt;"",ISNA(MATCH(G867,ctaNom,0))),"⚠ «Hacia» no existe",IF(AND(I867="Pago tarjeta",IFERROR(INDEX(ctaTipo,MATCH(G867,ctaNom,0)),"")&lt;&gt;"Tarjeta de crédito"),"⚠ «Hacia» debe ser la tarjeta",IF(AND(I867="Trading",IFERROR(INDEX(ctaTipo,MATCH(E867,ctaNom,0)),"")&lt;&gt;"Cuenta de trading"),"⚠ Usa la cuenta de trading","✓"))))))))))))</f>
        <v/>
      </c>
      <c r="I867" s="19">
        <f>IF(OR(B867="",C867="",D867=""),"",IFERROR(INDEX(catTipo,MATCH(D867,catNom,0))&amp;"",""))</f>
        <v/>
      </c>
      <c r="J867" s="19">
        <f>IF(I867="","",IFERROR(INDEX(catGrupo,MATCH(D867,catNom,0))&amp;"",""))</f>
        <v/>
      </c>
      <c r="K867" s="19">
        <f>IF(I867="Gasto",IF(IFERROR(INDEX(catClas,MATCH(D867,catNom,0))&amp;"","")="","Variable",IFERROR(INDEX(catClas,MATCH(D867,catNom,0))&amp;"","")),"")</f>
        <v/>
      </c>
      <c r="L867" s="19">
        <f>IF(I867="","",IFERROR(INDEX(catAlim,MATCH(D867,catNom,0))&amp;"",""))</f>
        <v/>
      </c>
      <c r="M867" s="19">
        <f>IF(I867="","",IFERROR(INDEX(catComida,MATCH(D867,catNom,0))&amp;"",""))</f>
        <v/>
      </c>
      <c r="N867" s="19">
        <f>IF(I867="","",IFERROR(INDEX(ctaMon,MATCH(E867,ctaNom,0))&amp;"","DOP"))</f>
        <v/>
      </c>
      <c r="O867" s="20">
        <f>IF(I867="","",C867*IF(N867="USD",TasaUSD,1))</f>
        <v/>
      </c>
      <c r="P867" s="20">
        <f>IF(I867="","",IF(I867="Gasto",O867,0))</f>
        <v/>
      </c>
      <c r="Q867" s="20">
        <f>IF(I867="","",IF(I867="Ingreso",O867,0))</f>
        <v/>
      </c>
      <c r="R867" s="20">
        <f>IF(I867="","",IF(I867="Trading",O867,0))</f>
        <v/>
      </c>
      <c r="S867" s="19">
        <f>IF(I867="","",IF(AND(I867="Gasto",K867="Variable",J867&lt;&gt;"Trading",O867&gt;0,O867&lt;=Umbral),1,0))</f>
        <v/>
      </c>
      <c r="T867" s="20">
        <f>IF(OR(I867="",E867=""),"",IF(OR(I867="Gasto",I867="Transferencia",I867="Pago tarjeta"),-1,1)*C867)</f>
        <v/>
      </c>
      <c r="U867" s="20">
        <f>IF(OR(G867="",AND(I867&lt;&gt;"Transferencia",I867&lt;&gt;"Pago tarjeta")),"",IF(IFERROR(INDEX(ctaMon,MATCH(G867,ctaNom,0))&amp;"","DOP")=N867,C867,IF(N867="USD",C867*TasaUSD,C867/TasaUSD)))</f>
        <v/>
      </c>
      <c r="V867" s="20">
        <f>IF(I867="","",IF(IFERROR(INDEX(ctaLiq,MATCH(E867,ctaNom,0))="Sí",FALSE),IF(OR(I867="Gasto",I867="Transferencia",I867="Pago tarjeta"),-1,1)*O867,0)+IF(AND(U867&lt;&gt;"",IFERROR(INDEX(ctaLiq,MATCH(G867,ctaNom,0))="Sí",FALSE)),O867,0))</f>
        <v/>
      </c>
      <c r="W867" s="19">
        <f>IF(OR(F867="",I867=""),"",IF(COUNTIFS(F$6:F867,F867,I$6:I867,"?*")=1,MAX(W$5:W866)+1,""))</f>
        <v/>
      </c>
    </row>
    <row r="868">
      <c r="B868" s="15" t="n"/>
      <c r="C868" s="16" t="n"/>
      <c r="D868" s="17" t="n"/>
      <c r="E868" s="17" t="n"/>
      <c r="F868" s="17" t="n"/>
      <c r="G868" s="17" t="n"/>
      <c r="H868" s="18">
        <f>IF(AND(B868="",C868="",D868="",E868=""),"",IF(B868="","⚠ Falta fecha",IF(C868="","⚠ Falta monto",IF(D868="","⚠ Falta categoría",IF(ISNA(MATCH(D868,catNom,0)),"⚠ Categoría no existe",IF(E868="","⚠ Falta cuenta",IF(ISNA(MATCH(E868,ctaNom,0)),"⚠ Cuenta no existe",IF(AND(OR(I868="Transferencia",I868="Pago tarjeta"),G868=""),"⚠ Indica la cuenta «Hacia»",IF(AND(G868&lt;&gt;"",G868=E868),"⚠ «Hacia» igual a la cuenta",IF(AND(G868&lt;&gt;"",ISNA(MATCH(G868,ctaNom,0))),"⚠ «Hacia» no existe",IF(AND(I868="Pago tarjeta",IFERROR(INDEX(ctaTipo,MATCH(G868,ctaNom,0)),"")&lt;&gt;"Tarjeta de crédito"),"⚠ «Hacia» debe ser la tarjeta",IF(AND(I868="Trading",IFERROR(INDEX(ctaTipo,MATCH(E868,ctaNom,0)),"")&lt;&gt;"Cuenta de trading"),"⚠ Usa la cuenta de trading","✓"))))))))))))</f>
        <v/>
      </c>
      <c r="I868" s="19">
        <f>IF(OR(B868="",C868="",D868=""),"",IFERROR(INDEX(catTipo,MATCH(D868,catNom,0))&amp;"",""))</f>
        <v/>
      </c>
      <c r="J868" s="19">
        <f>IF(I868="","",IFERROR(INDEX(catGrupo,MATCH(D868,catNom,0))&amp;"",""))</f>
        <v/>
      </c>
      <c r="K868" s="19">
        <f>IF(I868="Gasto",IF(IFERROR(INDEX(catClas,MATCH(D868,catNom,0))&amp;"","")="","Variable",IFERROR(INDEX(catClas,MATCH(D868,catNom,0))&amp;"","")),"")</f>
        <v/>
      </c>
      <c r="L868" s="19">
        <f>IF(I868="","",IFERROR(INDEX(catAlim,MATCH(D868,catNom,0))&amp;"",""))</f>
        <v/>
      </c>
      <c r="M868" s="19">
        <f>IF(I868="","",IFERROR(INDEX(catComida,MATCH(D868,catNom,0))&amp;"",""))</f>
        <v/>
      </c>
      <c r="N868" s="19">
        <f>IF(I868="","",IFERROR(INDEX(ctaMon,MATCH(E868,ctaNom,0))&amp;"","DOP"))</f>
        <v/>
      </c>
      <c r="O868" s="20">
        <f>IF(I868="","",C868*IF(N868="USD",TasaUSD,1))</f>
        <v/>
      </c>
      <c r="P868" s="20">
        <f>IF(I868="","",IF(I868="Gasto",O868,0))</f>
        <v/>
      </c>
      <c r="Q868" s="20">
        <f>IF(I868="","",IF(I868="Ingreso",O868,0))</f>
        <v/>
      </c>
      <c r="R868" s="20">
        <f>IF(I868="","",IF(I868="Trading",O868,0))</f>
        <v/>
      </c>
      <c r="S868" s="19">
        <f>IF(I868="","",IF(AND(I868="Gasto",K868="Variable",J868&lt;&gt;"Trading",O868&gt;0,O868&lt;=Umbral),1,0))</f>
        <v/>
      </c>
      <c r="T868" s="20">
        <f>IF(OR(I868="",E868=""),"",IF(OR(I868="Gasto",I868="Transferencia",I868="Pago tarjeta"),-1,1)*C868)</f>
        <v/>
      </c>
      <c r="U868" s="20">
        <f>IF(OR(G868="",AND(I868&lt;&gt;"Transferencia",I868&lt;&gt;"Pago tarjeta")),"",IF(IFERROR(INDEX(ctaMon,MATCH(G868,ctaNom,0))&amp;"","DOP")=N868,C868,IF(N868="USD",C868*TasaUSD,C868/TasaUSD)))</f>
        <v/>
      </c>
      <c r="V868" s="20">
        <f>IF(I868="","",IF(IFERROR(INDEX(ctaLiq,MATCH(E868,ctaNom,0))="Sí",FALSE),IF(OR(I868="Gasto",I868="Transferencia",I868="Pago tarjeta"),-1,1)*O868,0)+IF(AND(U868&lt;&gt;"",IFERROR(INDEX(ctaLiq,MATCH(G868,ctaNom,0))="Sí",FALSE)),O868,0))</f>
        <v/>
      </c>
      <c r="W868" s="19">
        <f>IF(OR(F868="",I868=""),"",IF(COUNTIFS(F$6:F868,F868,I$6:I868,"?*")=1,MAX(W$5:W867)+1,""))</f>
        <v/>
      </c>
    </row>
    <row r="869">
      <c r="B869" s="15" t="n"/>
      <c r="C869" s="16" t="n"/>
      <c r="D869" s="17" t="n"/>
      <c r="E869" s="17" t="n"/>
      <c r="F869" s="17" t="n"/>
      <c r="G869" s="17" t="n"/>
      <c r="H869" s="18">
        <f>IF(AND(B869="",C869="",D869="",E869=""),"",IF(B869="","⚠ Falta fecha",IF(C869="","⚠ Falta monto",IF(D869="","⚠ Falta categoría",IF(ISNA(MATCH(D869,catNom,0)),"⚠ Categoría no existe",IF(E869="","⚠ Falta cuenta",IF(ISNA(MATCH(E869,ctaNom,0)),"⚠ Cuenta no existe",IF(AND(OR(I869="Transferencia",I869="Pago tarjeta"),G869=""),"⚠ Indica la cuenta «Hacia»",IF(AND(G869&lt;&gt;"",G869=E869),"⚠ «Hacia» igual a la cuenta",IF(AND(G869&lt;&gt;"",ISNA(MATCH(G869,ctaNom,0))),"⚠ «Hacia» no existe",IF(AND(I869="Pago tarjeta",IFERROR(INDEX(ctaTipo,MATCH(G869,ctaNom,0)),"")&lt;&gt;"Tarjeta de crédito"),"⚠ «Hacia» debe ser la tarjeta",IF(AND(I869="Trading",IFERROR(INDEX(ctaTipo,MATCH(E869,ctaNom,0)),"")&lt;&gt;"Cuenta de trading"),"⚠ Usa la cuenta de trading","✓"))))))))))))</f>
        <v/>
      </c>
      <c r="I869" s="19">
        <f>IF(OR(B869="",C869="",D869=""),"",IFERROR(INDEX(catTipo,MATCH(D869,catNom,0))&amp;"",""))</f>
        <v/>
      </c>
      <c r="J869" s="19">
        <f>IF(I869="","",IFERROR(INDEX(catGrupo,MATCH(D869,catNom,0))&amp;"",""))</f>
        <v/>
      </c>
      <c r="K869" s="19">
        <f>IF(I869="Gasto",IF(IFERROR(INDEX(catClas,MATCH(D869,catNom,0))&amp;"","")="","Variable",IFERROR(INDEX(catClas,MATCH(D869,catNom,0))&amp;"","")),"")</f>
        <v/>
      </c>
      <c r="L869" s="19">
        <f>IF(I869="","",IFERROR(INDEX(catAlim,MATCH(D869,catNom,0))&amp;"",""))</f>
        <v/>
      </c>
      <c r="M869" s="19">
        <f>IF(I869="","",IFERROR(INDEX(catComida,MATCH(D869,catNom,0))&amp;"",""))</f>
        <v/>
      </c>
      <c r="N869" s="19">
        <f>IF(I869="","",IFERROR(INDEX(ctaMon,MATCH(E869,ctaNom,0))&amp;"","DOP"))</f>
        <v/>
      </c>
      <c r="O869" s="20">
        <f>IF(I869="","",C869*IF(N869="USD",TasaUSD,1))</f>
        <v/>
      </c>
      <c r="P869" s="20">
        <f>IF(I869="","",IF(I869="Gasto",O869,0))</f>
        <v/>
      </c>
      <c r="Q869" s="20">
        <f>IF(I869="","",IF(I869="Ingreso",O869,0))</f>
        <v/>
      </c>
      <c r="R869" s="20">
        <f>IF(I869="","",IF(I869="Trading",O869,0))</f>
        <v/>
      </c>
      <c r="S869" s="19">
        <f>IF(I869="","",IF(AND(I869="Gasto",K869="Variable",J869&lt;&gt;"Trading",O869&gt;0,O869&lt;=Umbral),1,0))</f>
        <v/>
      </c>
      <c r="T869" s="20">
        <f>IF(OR(I869="",E869=""),"",IF(OR(I869="Gasto",I869="Transferencia",I869="Pago tarjeta"),-1,1)*C869)</f>
        <v/>
      </c>
      <c r="U869" s="20">
        <f>IF(OR(G869="",AND(I869&lt;&gt;"Transferencia",I869&lt;&gt;"Pago tarjeta")),"",IF(IFERROR(INDEX(ctaMon,MATCH(G869,ctaNom,0))&amp;"","DOP")=N869,C869,IF(N869="USD",C869*TasaUSD,C869/TasaUSD)))</f>
        <v/>
      </c>
      <c r="V869" s="20">
        <f>IF(I869="","",IF(IFERROR(INDEX(ctaLiq,MATCH(E869,ctaNom,0))="Sí",FALSE),IF(OR(I869="Gasto",I869="Transferencia",I869="Pago tarjeta"),-1,1)*O869,0)+IF(AND(U869&lt;&gt;"",IFERROR(INDEX(ctaLiq,MATCH(G869,ctaNom,0))="Sí",FALSE)),O869,0))</f>
        <v/>
      </c>
      <c r="W869" s="19">
        <f>IF(OR(F869="",I869=""),"",IF(COUNTIFS(F$6:F869,F869,I$6:I869,"?*")=1,MAX(W$5:W868)+1,""))</f>
        <v/>
      </c>
    </row>
    <row r="870">
      <c r="B870" s="15" t="n"/>
      <c r="C870" s="16" t="n"/>
      <c r="D870" s="17" t="n"/>
      <c r="E870" s="17" t="n"/>
      <c r="F870" s="17" t="n"/>
      <c r="G870" s="17" t="n"/>
      <c r="H870" s="18">
        <f>IF(AND(B870="",C870="",D870="",E870=""),"",IF(B870="","⚠ Falta fecha",IF(C870="","⚠ Falta monto",IF(D870="","⚠ Falta categoría",IF(ISNA(MATCH(D870,catNom,0)),"⚠ Categoría no existe",IF(E870="","⚠ Falta cuenta",IF(ISNA(MATCH(E870,ctaNom,0)),"⚠ Cuenta no existe",IF(AND(OR(I870="Transferencia",I870="Pago tarjeta"),G870=""),"⚠ Indica la cuenta «Hacia»",IF(AND(G870&lt;&gt;"",G870=E870),"⚠ «Hacia» igual a la cuenta",IF(AND(G870&lt;&gt;"",ISNA(MATCH(G870,ctaNom,0))),"⚠ «Hacia» no existe",IF(AND(I870="Pago tarjeta",IFERROR(INDEX(ctaTipo,MATCH(G870,ctaNom,0)),"")&lt;&gt;"Tarjeta de crédito"),"⚠ «Hacia» debe ser la tarjeta",IF(AND(I870="Trading",IFERROR(INDEX(ctaTipo,MATCH(E870,ctaNom,0)),"")&lt;&gt;"Cuenta de trading"),"⚠ Usa la cuenta de trading","✓"))))))))))))</f>
        <v/>
      </c>
      <c r="I870" s="19">
        <f>IF(OR(B870="",C870="",D870=""),"",IFERROR(INDEX(catTipo,MATCH(D870,catNom,0))&amp;"",""))</f>
        <v/>
      </c>
      <c r="J870" s="19">
        <f>IF(I870="","",IFERROR(INDEX(catGrupo,MATCH(D870,catNom,0))&amp;"",""))</f>
        <v/>
      </c>
      <c r="K870" s="19">
        <f>IF(I870="Gasto",IF(IFERROR(INDEX(catClas,MATCH(D870,catNom,0))&amp;"","")="","Variable",IFERROR(INDEX(catClas,MATCH(D870,catNom,0))&amp;"","")),"")</f>
        <v/>
      </c>
      <c r="L870" s="19">
        <f>IF(I870="","",IFERROR(INDEX(catAlim,MATCH(D870,catNom,0))&amp;"",""))</f>
        <v/>
      </c>
      <c r="M870" s="19">
        <f>IF(I870="","",IFERROR(INDEX(catComida,MATCH(D870,catNom,0))&amp;"",""))</f>
        <v/>
      </c>
      <c r="N870" s="19">
        <f>IF(I870="","",IFERROR(INDEX(ctaMon,MATCH(E870,ctaNom,0))&amp;"","DOP"))</f>
        <v/>
      </c>
      <c r="O870" s="20">
        <f>IF(I870="","",C870*IF(N870="USD",TasaUSD,1))</f>
        <v/>
      </c>
      <c r="P870" s="20">
        <f>IF(I870="","",IF(I870="Gasto",O870,0))</f>
        <v/>
      </c>
      <c r="Q870" s="20">
        <f>IF(I870="","",IF(I870="Ingreso",O870,0))</f>
        <v/>
      </c>
      <c r="R870" s="20">
        <f>IF(I870="","",IF(I870="Trading",O870,0))</f>
        <v/>
      </c>
      <c r="S870" s="19">
        <f>IF(I870="","",IF(AND(I870="Gasto",K870="Variable",J870&lt;&gt;"Trading",O870&gt;0,O870&lt;=Umbral),1,0))</f>
        <v/>
      </c>
      <c r="T870" s="20">
        <f>IF(OR(I870="",E870=""),"",IF(OR(I870="Gasto",I870="Transferencia",I870="Pago tarjeta"),-1,1)*C870)</f>
        <v/>
      </c>
      <c r="U870" s="20">
        <f>IF(OR(G870="",AND(I870&lt;&gt;"Transferencia",I870&lt;&gt;"Pago tarjeta")),"",IF(IFERROR(INDEX(ctaMon,MATCH(G870,ctaNom,0))&amp;"","DOP")=N870,C870,IF(N870="USD",C870*TasaUSD,C870/TasaUSD)))</f>
        <v/>
      </c>
      <c r="V870" s="20">
        <f>IF(I870="","",IF(IFERROR(INDEX(ctaLiq,MATCH(E870,ctaNom,0))="Sí",FALSE),IF(OR(I870="Gasto",I870="Transferencia",I870="Pago tarjeta"),-1,1)*O870,0)+IF(AND(U870&lt;&gt;"",IFERROR(INDEX(ctaLiq,MATCH(G870,ctaNom,0))="Sí",FALSE)),O870,0))</f>
        <v/>
      </c>
      <c r="W870" s="19">
        <f>IF(OR(F870="",I870=""),"",IF(COUNTIFS(F$6:F870,F870,I$6:I870,"?*")=1,MAX(W$5:W869)+1,""))</f>
        <v/>
      </c>
    </row>
    <row r="871">
      <c r="B871" s="15" t="n"/>
      <c r="C871" s="16" t="n"/>
      <c r="D871" s="17" t="n"/>
      <c r="E871" s="17" t="n"/>
      <c r="F871" s="17" t="n"/>
      <c r="G871" s="17" t="n"/>
      <c r="H871" s="18">
        <f>IF(AND(B871="",C871="",D871="",E871=""),"",IF(B871="","⚠ Falta fecha",IF(C871="","⚠ Falta monto",IF(D871="","⚠ Falta categoría",IF(ISNA(MATCH(D871,catNom,0)),"⚠ Categoría no existe",IF(E871="","⚠ Falta cuenta",IF(ISNA(MATCH(E871,ctaNom,0)),"⚠ Cuenta no existe",IF(AND(OR(I871="Transferencia",I871="Pago tarjeta"),G871=""),"⚠ Indica la cuenta «Hacia»",IF(AND(G871&lt;&gt;"",G871=E871),"⚠ «Hacia» igual a la cuenta",IF(AND(G871&lt;&gt;"",ISNA(MATCH(G871,ctaNom,0))),"⚠ «Hacia» no existe",IF(AND(I871="Pago tarjeta",IFERROR(INDEX(ctaTipo,MATCH(G871,ctaNom,0)),"")&lt;&gt;"Tarjeta de crédito"),"⚠ «Hacia» debe ser la tarjeta",IF(AND(I871="Trading",IFERROR(INDEX(ctaTipo,MATCH(E871,ctaNom,0)),"")&lt;&gt;"Cuenta de trading"),"⚠ Usa la cuenta de trading","✓"))))))))))))</f>
        <v/>
      </c>
      <c r="I871" s="19">
        <f>IF(OR(B871="",C871="",D871=""),"",IFERROR(INDEX(catTipo,MATCH(D871,catNom,0))&amp;"",""))</f>
        <v/>
      </c>
      <c r="J871" s="19">
        <f>IF(I871="","",IFERROR(INDEX(catGrupo,MATCH(D871,catNom,0))&amp;"",""))</f>
        <v/>
      </c>
      <c r="K871" s="19">
        <f>IF(I871="Gasto",IF(IFERROR(INDEX(catClas,MATCH(D871,catNom,0))&amp;"","")="","Variable",IFERROR(INDEX(catClas,MATCH(D871,catNom,0))&amp;"","")),"")</f>
        <v/>
      </c>
      <c r="L871" s="19">
        <f>IF(I871="","",IFERROR(INDEX(catAlim,MATCH(D871,catNom,0))&amp;"",""))</f>
        <v/>
      </c>
      <c r="M871" s="19">
        <f>IF(I871="","",IFERROR(INDEX(catComida,MATCH(D871,catNom,0))&amp;"",""))</f>
        <v/>
      </c>
      <c r="N871" s="19">
        <f>IF(I871="","",IFERROR(INDEX(ctaMon,MATCH(E871,ctaNom,0))&amp;"","DOP"))</f>
        <v/>
      </c>
      <c r="O871" s="20">
        <f>IF(I871="","",C871*IF(N871="USD",TasaUSD,1))</f>
        <v/>
      </c>
      <c r="P871" s="20">
        <f>IF(I871="","",IF(I871="Gasto",O871,0))</f>
        <v/>
      </c>
      <c r="Q871" s="20">
        <f>IF(I871="","",IF(I871="Ingreso",O871,0))</f>
        <v/>
      </c>
      <c r="R871" s="20">
        <f>IF(I871="","",IF(I871="Trading",O871,0))</f>
        <v/>
      </c>
      <c r="S871" s="19">
        <f>IF(I871="","",IF(AND(I871="Gasto",K871="Variable",J871&lt;&gt;"Trading",O871&gt;0,O871&lt;=Umbral),1,0))</f>
        <v/>
      </c>
      <c r="T871" s="20">
        <f>IF(OR(I871="",E871=""),"",IF(OR(I871="Gasto",I871="Transferencia",I871="Pago tarjeta"),-1,1)*C871)</f>
        <v/>
      </c>
      <c r="U871" s="20">
        <f>IF(OR(G871="",AND(I871&lt;&gt;"Transferencia",I871&lt;&gt;"Pago tarjeta")),"",IF(IFERROR(INDEX(ctaMon,MATCH(G871,ctaNom,0))&amp;"","DOP")=N871,C871,IF(N871="USD",C871*TasaUSD,C871/TasaUSD)))</f>
        <v/>
      </c>
      <c r="V871" s="20">
        <f>IF(I871="","",IF(IFERROR(INDEX(ctaLiq,MATCH(E871,ctaNom,0))="Sí",FALSE),IF(OR(I871="Gasto",I871="Transferencia",I871="Pago tarjeta"),-1,1)*O871,0)+IF(AND(U871&lt;&gt;"",IFERROR(INDEX(ctaLiq,MATCH(G871,ctaNom,0))="Sí",FALSE)),O871,0))</f>
        <v/>
      </c>
      <c r="W871" s="19">
        <f>IF(OR(F871="",I871=""),"",IF(COUNTIFS(F$6:F871,F871,I$6:I871,"?*")=1,MAX(W$5:W870)+1,""))</f>
        <v/>
      </c>
    </row>
    <row r="872">
      <c r="B872" s="15" t="n"/>
      <c r="C872" s="16" t="n"/>
      <c r="D872" s="17" t="n"/>
      <c r="E872" s="17" t="n"/>
      <c r="F872" s="17" t="n"/>
      <c r="G872" s="17" t="n"/>
      <c r="H872" s="18">
        <f>IF(AND(B872="",C872="",D872="",E872=""),"",IF(B872="","⚠ Falta fecha",IF(C872="","⚠ Falta monto",IF(D872="","⚠ Falta categoría",IF(ISNA(MATCH(D872,catNom,0)),"⚠ Categoría no existe",IF(E872="","⚠ Falta cuenta",IF(ISNA(MATCH(E872,ctaNom,0)),"⚠ Cuenta no existe",IF(AND(OR(I872="Transferencia",I872="Pago tarjeta"),G872=""),"⚠ Indica la cuenta «Hacia»",IF(AND(G872&lt;&gt;"",G872=E872),"⚠ «Hacia» igual a la cuenta",IF(AND(G872&lt;&gt;"",ISNA(MATCH(G872,ctaNom,0))),"⚠ «Hacia» no existe",IF(AND(I872="Pago tarjeta",IFERROR(INDEX(ctaTipo,MATCH(G872,ctaNom,0)),"")&lt;&gt;"Tarjeta de crédito"),"⚠ «Hacia» debe ser la tarjeta",IF(AND(I872="Trading",IFERROR(INDEX(ctaTipo,MATCH(E872,ctaNom,0)),"")&lt;&gt;"Cuenta de trading"),"⚠ Usa la cuenta de trading","✓"))))))))))))</f>
        <v/>
      </c>
      <c r="I872" s="19">
        <f>IF(OR(B872="",C872="",D872=""),"",IFERROR(INDEX(catTipo,MATCH(D872,catNom,0))&amp;"",""))</f>
        <v/>
      </c>
      <c r="J872" s="19">
        <f>IF(I872="","",IFERROR(INDEX(catGrupo,MATCH(D872,catNom,0))&amp;"",""))</f>
        <v/>
      </c>
      <c r="K872" s="19">
        <f>IF(I872="Gasto",IF(IFERROR(INDEX(catClas,MATCH(D872,catNom,0))&amp;"","")="","Variable",IFERROR(INDEX(catClas,MATCH(D872,catNom,0))&amp;"","")),"")</f>
        <v/>
      </c>
      <c r="L872" s="19">
        <f>IF(I872="","",IFERROR(INDEX(catAlim,MATCH(D872,catNom,0))&amp;"",""))</f>
        <v/>
      </c>
      <c r="M872" s="19">
        <f>IF(I872="","",IFERROR(INDEX(catComida,MATCH(D872,catNom,0))&amp;"",""))</f>
        <v/>
      </c>
      <c r="N872" s="19">
        <f>IF(I872="","",IFERROR(INDEX(ctaMon,MATCH(E872,ctaNom,0))&amp;"","DOP"))</f>
        <v/>
      </c>
      <c r="O872" s="20">
        <f>IF(I872="","",C872*IF(N872="USD",TasaUSD,1))</f>
        <v/>
      </c>
      <c r="P872" s="20">
        <f>IF(I872="","",IF(I872="Gasto",O872,0))</f>
        <v/>
      </c>
      <c r="Q872" s="20">
        <f>IF(I872="","",IF(I872="Ingreso",O872,0))</f>
        <v/>
      </c>
      <c r="R872" s="20">
        <f>IF(I872="","",IF(I872="Trading",O872,0))</f>
        <v/>
      </c>
      <c r="S872" s="19">
        <f>IF(I872="","",IF(AND(I872="Gasto",K872="Variable",J872&lt;&gt;"Trading",O872&gt;0,O872&lt;=Umbral),1,0))</f>
        <v/>
      </c>
      <c r="T872" s="20">
        <f>IF(OR(I872="",E872=""),"",IF(OR(I872="Gasto",I872="Transferencia",I872="Pago tarjeta"),-1,1)*C872)</f>
        <v/>
      </c>
      <c r="U872" s="20">
        <f>IF(OR(G872="",AND(I872&lt;&gt;"Transferencia",I872&lt;&gt;"Pago tarjeta")),"",IF(IFERROR(INDEX(ctaMon,MATCH(G872,ctaNom,0))&amp;"","DOP")=N872,C872,IF(N872="USD",C872*TasaUSD,C872/TasaUSD)))</f>
        <v/>
      </c>
      <c r="V872" s="20">
        <f>IF(I872="","",IF(IFERROR(INDEX(ctaLiq,MATCH(E872,ctaNom,0))="Sí",FALSE),IF(OR(I872="Gasto",I872="Transferencia",I872="Pago tarjeta"),-1,1)*O872,0)+IF(AND(U872&lt;&gt;"",IFERROR(INDEX(ctaLiq,MATCH(G872,ctaNom,0))="Sí",FALSE)),O872,0))</f>
        <v/>
      </c>
      <c r="W872" s="19">
        <f>IF(OR(F872="",I872=""),"",IF(COUNTIFS(F$6:F872,F872,I$6:I872,"?*")=1,MAX(W$5:W871)+1,""))</f>
        <v/>
      </c>
    </row>
    <row r="873">
      <c r="B873" s="15" t="n"/>
      <c r="C873" s="16" t="n"/>
      <c r="D873" s="17" t="n"/>
      <c r="E873" s="17" t="n"/>
      <c r="F873" s="17" t="n"/>
      <c r="G873" s="17" t="n"/>
      <c r="H873" s="18">
        <f>IF(AND(B873="",C873="",D873="",E873=""),"",IF(B873="","⚠ Falta fecha",IF(C873="","⚠ Falta monto",IF(D873="","⚠ Falta categoría",IF(ISNA(MATCH(D873,catNom,0)),"⚠ Categoría no existe",IF(E873="","⚠ Falta cuenta",IF(ISNA(MATCH(E873,ctaNom,0)),"⚠ Cuenta no existe",IF(AND(OR(I873="Transferencia",I873="Pago tarjeta"),G873=""),"⚠ Indica la cuenta «Hacia»",IF(AND(G873&lt;&gt;"",G873=E873),"⚠ «Hacia» igual a la cuenta",IF(AND(G873&lt;&gt;"",ISNA(MATCH(G873,ctaNom,0))),"⚠ «Hacia» no existe",IF(AND(I873="Pago tarjeta",IFERROR(INDEX(ctaTipo,MATCH(G873,ctaNom,0)),"")&lt;&gt;"Tarjeta de crédito"),"⚠ «Hacia» debe ser la tarjeta",IF(AND(I873="Trading",IFERROR(INDEX(ctaTipo,MATCH(E873,ctaNom,0)),"")&lt;&gt;"Cuenta de trading"),"⚠ Usa la cuenta de trading","✓"))))))))))))</f>
        <v/>
      </c>
      <c r="I873" s="19">
        <f>IF(OR(B873="",C873="",D873=""),"",IFERROR(INDEX(catTipo,MATCH(D873,catNom,0))&amp;"",""))</f>
        <v/>
      </c>
      <c r="J873" s="19">
        <f>IF(I873="","",IFERROR(INDEX(catGrupo,MATCH(D873,catNom,0))&amp;"",""))</f>
        <v/>
      </c>
      <c r="K873" s="19">
        <f>IF(I873="Gasto",IF(IFERROR(INDEX(catClas,MATCH(D873,catNom,0))&amp;"","")="","Variable",IFERROR(INDEX(catClas,MATCH(D873,catNom,0))&amp;"","")),"")</f>
        <v/>
      </c>
      <c r="L873" s="19">
        <f>IF(I873="","",IFERROR(INDEX(catAlim,MATCH(D873,catNom,0))&amp;"",""))</f>
        <v/>
      </c>
      <c r="M873" s="19">
        <f>IF(I873="","",IFERROR(INDEX(catComida,MATCH(D873,catNom,0))&amp;"",""))</f>
        <v/>
      </c>
      <c r="N873" s="19">
        <f>IF(I873="","",IFERROR(INDEX(ctaMon,MATCH(E873,ctaNom,0))&amp;"","DOP"))</f>
        <v/>
      </c>
      <c r="O873" s="20">
        <f>IF(I873="","",C873*IF(N873="USD",TasaUSD,1))</f>
        <v/>
      </c>
      <c r="P873" s="20">
        <f>IF(I873="","",IF(I873="Gasto",O873,0))</f>
        <v/>
      </c>
      <c r="Q873" s="20">
        <f>IF(I873="","",IF(I873="Ingreso",O873,0))</f>
        <v/>
      </c>
      <c r="R873" s="20">
        <f>IF(I873="","",IF(I873="Trading",O873,0))</f>
        <v/>
      </c>
      <c r="S873" s="19">
        <f>IF(I873="","",IF(AND(I873="Gasto",K873="Variable",J873&lt;&gt;"Trading",O873&gt;0,O873&lt;=Umbral),1,0))</f>
        <v/>
      </c>
      <c r="T873" s="20">
        <f>IF(OR(I873="",E873=""),"",IF(OR(I873="Gasto",I873="Transferencia",I873="Pago tarjeta"),-1,1)*C873)</f>
        <v/>
      </c>
      <c r="U873" s="20">
        <f>IF(OR(G873="",AND(I873&lt;&gt;"Transferencia",I873&lt;&gt;"Pago tarjeta")),"",IF(IFERROR(INDEX(ctaMon,MATCH(G873,ctaNom,0))&amp;"","DOP")=N873,C873,IF(N873="USD",C873*TasaUSD,C873/TasaUSD)))</f>
        <v/>
      </c>
      <c r="V873" s="20">
        <f>IF(I873="","",IF(IFERROR(INDEX(ctaLiq,MATCH(E873,ctaNom,0))="Sí",FALSE),IF(OR(I873="Gasto",I873="Transferencia",I873="Pago tarjeta"),-1,1)*O873,0)+IF(AND(U873&lt;&gt;"",IFERROR(INDEX(ctaLiq,MATCH(G873,ctaNom,0))="Sí",FALSE)),O873,0))</f>
        <v/>
      </c>
      <c r="W873" s="19">
        <f>IF(OR(F873="",I873=""),"",IF(COUNTIFS(F$6:F873,F873,I$6:I873,"?*")=1,MAX(W$5:W872)+1,""))</f>
        <v/>
      </c>
    </row>
    <row r="874">
      <c r="B874" s="15" t="n"/>
      <c r="C874" s="16" t="n"/>
      <c r="D874" s="17" t="n"/>
      <c r="E874" s="17" t="n"/>
      <c r="F874" s="17" t="n"/>
      <c r="G874" s="17" t="n"/>
      <c r="H874" s="18">
        <f>IF(AND(B874="",C874="",D874="",E874=""),"",IF(B874="","⚠ Falta fecha",IF(C874="","⚠ Falta monto",IF(D874="","⚠ Falta categoría",IF(ISNA(MATCH(D874,catNom,0)),"⚠ Categoría no existe",IF(E874="","⚠ Falta cuenta",IF(ISNA(MATCH(E874,ctaNom,0)),"⚠ Cuenta no existe",IF(AND(OR(I874="Transferencia",I874="Pago tarjeta"),G874=""),"⚠ Indica la cuenta «Hacia»",IF(AND(G874&lt;&gt;"",G874=E874),"⚠ «Hacia» igual a la cuenta",IF(AND(G874&lt;&gt;"",ISNA(MATCH(G874,ctaNom,0))),"⚠ «Hacia» no existe",IF(AND(I874="Pago tarjeta",IFERROR(INDEX(ctaTipo,MATCH(G874,ctaNom,0)),"")&lt;&gt;"Tarjeta de crédito"),"⚠ «Hacia» debe ser la tarjeta",IF(AND(I874="Trading",IFERROR(INDEX(ctaTipo,MATCH(E874,ctaNom,0)),"")&lt;&gt;"Cuenta de trading"),"⚠ Usa la cuenta de trading","✓"))))))))))))</f>
        <v/>
      </c>
      <c r="I874" s="19">
        <f>IF(OR(B874="",C874="",D874=""),"",IFERROR(INDEX(catTipo,MATCH(D874,catNom,0))&amp;"",""))</f>
        <v/>
      </c>
      <c r="J874" s="19">
        <f>IF(I874="","",IFERROR(INDEX(catGrupo,MATCH(D874,catNom,0))&amp;"",""))</f>
        <v/>
      </c>
      <c r="K874" s="19">
        <f>IF(I874="Gasto",IF(IFERROR(INDEX(catClas,MATCH(D874,catNom,0))&amp;"","")="","Variable",IFERROR(INDEX(catClas,MATCH(D874,catNom,0))&amp;"","")),"")</f>
        <v/>
      </c>
      <c r="L874" s="19">
        <f>IF(I874="","",IFERROR(INDEX(catAlim,MATCH(D874,catNom,0))&amp;"",""))</f>
        <v/>
      </c>
      <c r="M874" s="19">
        <f>IF(I874="","",IFERROR(INDEX(catComida,MATCH(D874,catNom,0))&amp;"",""))</f>
        <v/>
      </c>
      <c r="N874" s="19">
        <f>IF(I874="","",IFERROR(INDEX(ctaMon,MATCH(E874,ctaNom,0))&amp;"","DOP"))</f>
        <v/>
      </c>
      <c r="O874" s="20">
        <f>IF(I874="","",C874*IF(N874="USD",TasaUSD,1))</f>
        <v/>
      </c>
      <c r="P874" s="20">
        <f>IF(I874="","",IF(I874="Gasto",O874,0))</f>
        <v/>
      </c>
      <c r="Q874" s="20">
        <f>IF(I874="","",IF(I874="Ingreso",O874,0))</f>
        <v/>
      </c>
      <c r="R874" s="20">
        <f>IF(I874="","",IF(I874="Trading",O874,0))</f>
        <v/>
      </c>
      <c r="S874" s="19">
        <f>IF(I874="","",IF(AND(I874="Gasto",K874="Variable",J874&lt;&gt;"Trading",O874&gt;0,O874&lt;=Umbral),1,0))</f>
        <v/>
      </c>
      <c r="T874" s="20">
        <f>IF(OR(I874="",E874=""),"",IF(OR(I874="Gasto",I874="Transferencia",I874="Pago tarjeta"),-1,1)*C874)</f>
        <v/>
      </c>
      <c r="U874" s="20">
        <f>IF(OR(G874="",AND(I874&lt;&gt;"Transferencia",I874&lt;&gt;"Pago tarjeta")),"",IF(IFERROR(INDEX(ctaMon,MATCH(G874,ctaNom,0))&amp;"","DOP")=N874,C874,IF(N874="USD",C874*TasaUSD,C874/TasaUSD)))</f>
        <v/>
      </c>
      <c r="V874" s="20">
        <f>IF(I874="","",IF(IFERROR(INDEX(ctaLiq,MATCH(E874,ctaNom,0))="Sí",FALSE),IF(OR(I874="Gasto",I874="Transferencia",I874="Pago tarjeta"),-1,1)*O874,0)+IF(AND(U874&lt;&gt;"",IFERROR(INDEX(ctaLiq,MATCH(G874,ctaNom,0))="Sí",FALSE)),O874,0))</f>
        <v/>
      </c>
      <c r="W874" s="19">
        <f>IF(OR(F874="",I874=""),"",IF(COUNTIFS(F$6:F874,F874,I$6:I874,"?*")=1,MAX(W$5:W873)+1,""))</f>
        <v/>
      </c>
    </row>
    <row r="875">
      <c r="B875" s="15" t="n"/>
      <c r="C875" s="16" t="n"/>
      <c r="D875" s="17" t="n"/>
      <c r="E875" s="17" t="n"/>
      <c r="F875" s="17" t="n"/>
      <c r="G875" s="17" t="n"/>
      <c r="H875" s="18">
        <f>IF(AND(B875="",C875="",D875="",E875=""),"",IF(B875="","⚠ Falta fecha",IF(C875="","⚠ Falta monto",IF(D875="","⚠ Falta categoría",IF(ISNA(MATCH(D875,catNom,0)),"⚠ Categoría no existe",IF(E875="","⚠ Falta cuenta",IF(ISNA(MATCH(E875,ctaNom,0)),"⚠ Cuenta no existe",IF(AND(OR(I875="Transferencia",I875="Pago tarjeta"),G875=""),"⚠ Indica la cuenta «Hacia»",IF(AND(G875&lt;&gt;"",G875=E875),"⚠ «Hacia» igual a la cuenta",IF(AND(G875&lt;&gt;"",ISNA(MATCH(G875,ctaNom,0))),"⚠ «Hacia» no existe",IF(AND(I875="Pago tarjeta",IFERROR(INDEX(ctaTipo,MATCH(G875,ctaNom,0)),"")&lt;&gt;"Tarjeta de crédito"),"⚠ «Hacia» debe ser la tarjeta",IF(AND(I875="Trading",IFERROR(INDEX(ctaTipo,MATCH(E875,ctaNom,0)),"")&lt;&gt;"Cuenta de trading"),"⚠ Usa la cuenta de trading","✓"))))))))))))</f>
        <v/>
      </c>
      <c r="I875" s="19">
        <f>IF(OR(B875="",C875="",D875=""),"",IFERROR(INDEX(catTipo,MATCH(D875,catNom,0))&amp;"",""))</f>
        <v/>
      </c>
      <c r="J875" s="19">
        <f>IF(I875="","",IFERROR(INDEX(catGrupo,MATCH(D875,catNom,0))&amp;"",""))</f>
        <v/>
      </c>
      <c r="K875" s="19">
        <f>IF(I875="Gasto",IF(IFERROR(INDEX(catClas,MATCH(D875,catNom,0))&amp;"","")="","Variable",IFERROR(INDEX(catClas,MATCH(D875,catNom,0))&amp;"","")),"")</f>
        <v/>
      </c>
      <c r="L875" s="19">
        <f>IF(I875="","",IFERROR(INDEX(catAlim,MATCH(D875,catNom,0))&amp;"",""))</f>
        <v/>
      </c>
      <c r="M875" s="19">
        <f>IF(I875="","",IFERROR(INDEX(catComida,MATCH(D875,catNom,0))&amp;"",""))</f>
        <v/>
      </c>
      <c r="N875" s="19">
        <f>IF(I875="","",IFERROR(INDEX(ctaMon,MATCH(E875,ctaNom,0))&amp;"","DOP"))</f>
        <v/>
      </c>
      <c r="O875" s="20">
        <f>IF(I875="","",C875*IF(N875="USD",TasaUSD,1))</f>
        <v/>
      </c>
      <c r="P875" s="20">
        <f>IF(I875="","",IF(I875="Gasto",O875,0))</f>
        <v/>
      </c>
      <c r="Q875" s="20">
        <f>IF(I875="","",IF(I875="Ingreso",O875,0))</f>
        <v/>
      </c>
      <c r="R875" s="20">
        <f>IF(I875="","",IF(I875="Trading",O875,0))</f>
        <v/>
      </c>
      <c r="S875" s="19">
        <f>IF(I875="","",IF(AND(I875="Gasto",K875="Variable",J875&lt;&gt;"Trading",O875&gt;0,O875&lt;=Umbral),1,0))</f>
        <v/>
      </c>
      <c r="T875" s="20">
        <f>IF(OR(I875="",E875=""),"",IF(OR(I875="Gasto",I875="Transferencia",I875="Pago tarjeta"),-1,1)*C875)</f>
        <v/>
      </c>
      <c r="U875" s="20">
        <f>IF(OR(G875="",AND(I875&lt;&gt;"Transferencia",I875&lt;&gt;"Pago tarjeta")),"",IF(IFERROR(INDEX(ctaMon,MATCH(G875,ctaNom,0))&amp;"","DOP")=N875,C875,IF(N875="USD",C875*TasaUSD,C875/TasaUSD)))</f>
        <v/>
      </c>
      <c r="V875" s="20">
        <f>IF(I875="","",IF(IFERROR(INDEX(ctaLiq,MATCH(E875,ctaNom,0))="Sí",FALSE),IF(OR(I875="Gasto",I875="Transferencia",I875="Pago tarjeta"),-1,1)*O875,0)+IF(AND(U875&lt;&gt;"",IFERROR(INDEX(ctaLiq,MATCH(G875,ctaNom,0))="Sí",FALSE)),O875,0))</f>
        <v/>
      </c>
      <c r="W875" s="19">
        <f>IF(OR(F875="",I875=""),"",IF(COUNTIFS(F$6:F875,F875,I$6:I875,"?*")=1,MAX(W$5:W874)+1,""))</f>
        <v/>
      </c>
    </row>
    <row r="876">
      <c r="B876" s="15" t="n"/>
      <c r="C876" s="16" t="n"/>
      <c r="D876" s="17" t="n"/>
      <c r="E876" s="17" t="n"/>
      <c r="F876" s="17" t="n"/>
      <c r="G876" s="17" t="n"/>
      <c r="H876" s="18">
        <f>IF(AND(B876="",C876="",D876="",E876=""),"",IF(B876="","⚠ Falta fecha",IF(C876="","⚠ Falta monto",IF(D876="","⚠ Falta categoría",IF(ISNA(MATCH(D876,catNom,0)),"⚠ Categoría no existe",IF(E876="","⚠ Falta cuenta",IF(ISNA(MATCH(E876,ctaNom,0)),"⚠ Cuenta no existe",IF(AND(OR(I876="Transferencia",I876="Pago tarjeta"),G876=""),"⚠ Indica la cuenta «Hacia»",IF(AND(G876&lt;&gt;"",G876=E876),"⚠ «Hacia» igual a la cuenta",IF(AND(G876&lt;&gt;"",ISNA(MATCH(G876,ctaNom,0))),"⚠ «Hacia» no existe",IF(AND(I876="Pago tarjeta",IFERROR(INDEX(ctaTipo,MATCH(G876,ctaNom,0)),"")&lt;&gt;"Tarjeta de crédito"),"⚠ «Hacia» debe ser la tarjeta",IF(AND(I876="Trading",IFERROR(INDEX(ctaTipo,MATCH(E876,ctaNom,0)),"")&lt;&gt;"Cuenta de trading"),"⚠ Usa la cuenta de trading","✓"))))))))))))</f>
        <v/>
      </c>
      <c r="I876" s="19">
        <f>IF(OR(B876="",C876="",D876=""),"",IFERROR(INDEX(catTipo,MATCH(D876,catNom,0))&amp;"",""))</f>
        <v/>
      </c>
      <c r="J876" s="19">
        <f>IF(I876="","",IFERROR(INDEX(catGrupo,MATCH(D876,catNom,0))&amp;"",""))</f>
        <v/>
      </c>
      <c r="K876" s="19">
        <f>IF(I876="Gasto",IF(IFERROR(INDEX(catClas,MATCH(D876,catNom,0))&amp;"","")="","Variable",IFERROR(INDEX(catClas,MATCH(D876,catNom,0))&amp;"","")),"")</f>
        <v/>
      </c>
      <c r="L876" s="19">
        <f>IF(I876="","",IFERROR(INDEX(catAlim,MATCH(D876,catNom,0))&amp;"",""))</f>
        <v/>
      </c>
      <c r="M876" s="19">
        <f>IF(I876="","",IFERROR(INDEX(catComida,MATCH(D876,catNom,0))&amp;"",""))</f>
        <v/>
      </c>
      <c r="N876" s="19">
        <f>IF(I876="","",IFERROR(INDEX(ctaMon,MATCH(E876,ctaNom,0))&amp;"","DOP"))</f>
        <v/>
      </c>
      <c r="O876" s="20">
        <f>IF(I876="","",C876*IF(N876="USD",TasaUSD,1))</f>
        <v/>
      </c>
      <c r="P876" s="20">
        <f>IF(I876="","",IF(I876="Gasto",O876,0))</f>
        <v/>
      </c>
      <c r="Q876" s="20">
        <f>IF(I876="","",IF(I876="Ingreso",O876,0))</f>
        <v/>
      </c>
      <c r="R876" s="20">
        <f>IF(I876="","",IF(I876="Trading",O876,0))</f>
        <v/>
      </c>
      <c r="S876" s="19">
        <f>IF(I876="","",IF(AND(I876="Gasto",K876="Variable",J876&lt;&gt;"Trading",O876&gt;0,O876&lt;=Umbral),1,0))</f>
        <v/>
      </c>
      <c r="T876" s="20">
        <f>IF(OR(I876="",E876=""),"",IF(OR(I876="Gasto",I876="Transferencia",I876="Pago tarjeta"),-1,1)*C876)</f>
        <v/>
      </c>
      <c r="U876" s="20">
        <f>IF(OR(G876="",AND(I876&lt;&gt;"Transferencia",I876&lt;&gt;"Pago tarjeta")),"",IF(IFERROR(INDEX(ctaMon,MATCH(G876,ctaNom,0))&amp;"","DOP")=N876,C876,IF(N876="USD",C876*TasaUSD,C876/TasaUSD)))</f>
        <v/>
      </c>
      <c r="V876" s="20">
        <f>IF(I876="","",IF(IFERROR(INDEX(ctaLiq,MATCH(E876,ctaNom,0))="Sí",FALSE),IF(OR(I876="Gasto",I876="Transferencia",I876="Pago tarjeta"),-1,1)*O876,0)+IF(AND(U876&lt;&gt;"",IFERROR(INDEX(ctaLiq,MATCH(G876,ctaNom,0))="Sí",FALSE)),O876,0))</f>
        <v/>
      </c>
      <c r="W876" s="19">
        <f>IF(OR(F876="",I876=""),"",IF(COUNTIFS(F$6:F876,F876,I$6:I876,"?*")=1,MAX(W$5:W875)+1,""))</f>
        <v/>
      </c>
    </row>
    <row r="877">
      <c r="B877" s="15" t="n"/>
      <c r="C877" s="16" t="n"/>
      <c r="D877" s="17" t="n"/>
      <c r="E877" s="17" t="n"/>
      <c r="F877" s="17" t="n"/>
      <c r="G877" s="17" t="n"/>
      <c r="H877" s="18">
        <f>IF(AND(B877="",C877="",D877="",E877=""),"",IF(B877="","⚠ Falta fecha",IF(C877="","⚠ Falta monto",IF(D877="","⚠ Falta categoría",IF(ISNA(MATCH(D877,catNom,0)),"⚠ Categoría no existe",IF(E877="","⚠ Falta cuenta",IF(ISNA(MATCH(E877,ctaNom,0)),"⚠ Cuenta no existe",IF(AND(OR(I877="Transferencia",I877="Pago tarjeta"),G877=""),"⚠ Indica la cuenta «Hacia»",IF(AND(G877&lt;&gt;"",G877=E877),"⚠ «Hacia» igual a la cuenta",IF(AND(G877&lt;&gt;"",ISNA(MATCH(G877,ctaNom,0))),"⚠ «Hacia» no existe",IF(AND(I877="Pago tarjeta",IFERROR(INDEX(ctaTipo,MATCH(G877,ctaNom,0)),"")&lt;&gt;"Tarjeta de crédito"),"⚠ «Hacia» debe ser la tarjeta",IF(AND(I877="Trading",IFERROR(INDEX(ctaTipo,MATCH(E877,ctaNom,0)),"")&lt;&gt;"Cuenta de trading"),"⚠ Usa la cuenta de trading","✓"))))))))))))</f>
        <v/>
      </c>
      <c r="I877" s="19">
        <f>IF(OR(B877="",C877="",D877=""),"",IFERROR(INDEX(catTipo,MATCH(D877,catNom,0))&amp;"",""))</f>
        <v/>
      </c>
      <c r="J877" s="19">
        <f>IF(I877="","",IFERROR(INDEX(catGrupo,MATCH(D877,catNom,0))&amp;"",""))</f>
        <v/>
      </c>
      <c r="K877" s="19">
        <f>IF(I877="Gasto",IF(IFERROR(INDEX(catClas,MATCH(D877,catNom,0))&amp;"","")="","Variable",IFERROR(INDEX(catClas,MATCH(D877,catNom,0))&amp;"","")),"")</f>
        <v/>
      </c>
      <c r="L877" s="19">
        <f>IF(I877="","",IFERROR(INDEX(catAlim,MATCH(D877,catNom,0))&amp;"",""))</f>
        <v/>
      </c>
      <c r="M877" s="19">
        <f>IF(I877="","",IFERROR(INDEX(catComida,MATCH(D877,catNom,0))&amp;"",""))</f>
        <v/>
      </c>
      <c r="N877" s="19">
        <f>IF(I877="","",IFERROR(INDEX(ctaMon,MATCH(E877,ctaNom,0))&amp;"","DOP"))</f>
        <v/>
      </c>
      <c r="O877" s="20">
        <f>IF(I877="","",C877*IF(N877="USD",TasaUSD,1))</f>
        <v/>
      </c>
      <c r="P877" s="20">
        <f>IF(I877="","",IF(I877="Gasto",O877,0))</f>
        <v/>
      </c>
      <c r="Q877" s="20">
        <f>IF(I877="","",IF(I877="Ingreso",O877,0))</f>
        <v/>
      </c>
      <c r="R877" s="20">
        <f>IF(I877="","",IF(I877="Trading",O877,0))</f>
        <v/>
      </c>
      <c r="S877" s="19">
        <f>IF(I877="","",IF(AND(I877="Gasto",K877="Variable",J877&lt;&gt;"Trading",O877&gt;0,O877&lt;=Umbral),1,0))</f>
        <v/>
      </c>
      <c r="T877" s="20">
        <f>IF(OR(I877="",E877=""),"",IF(OR(I877="Gasto",I877="Transferencia",I877="Pago tarjeta"),-1,1)*C877)</f>
        <v/>
      </c>
      <c r="U877" s="20">
        <f>IF(OR(G877="",AND(I877&lt;&gt;"Transferencia",I877&lt;&gt;"Pago tarjeta")),"",IF(IFERROR(INDEX(ctaMon,MATCH(G877,ctaNom,0))&amp;"","DOP")=N877,C877,IF(N877="USD",C877*TasaUSD,C877/TasaUSD)))</f>
        <v/>
      </c>
      <c r="V877" s="20">
        <f>IF(I877="","",IF(IFERROR(INDEX(ctaLiq,MATCH(E877,ctaNom,0))="Sí",FALSE),IF(OR(I877="Gasto",I877="Transferencia",I877="Pago tarjeta"),-1,1)*O877,0)+IF(AND(U877&lt;&gt;"",IFERROR(INDEX(ctaLiq,MATCH(G877,ctaNom,0))="Sí",FALSE)),O877,0))</f>
        <v/>
      </c>
      <c r="W877" s="19">
        <f>IF(OR(F877="",I877=""),"",IF(COUNTIFS(F$6:F877,F877,I$6:I877,"?*")=1,MAX(W$5:W876)+1,""))</f>
        <v/>
      </c>
    </row>
    <row r="878">
      <c r="B878" s="15" t="n"/>
      <c r="C878" s="16" t="n"/>
      <c r="D878" s="17" t="n"/>
      <c r="E878" s="17" t="n"/>
      <c r="F878" s="17" t="n"/>
      <c r="G878" s="17" t="n"/>
      <c r="H878" s="18">
        <f>IF(AND(B878="",C878="",D878="",E878=""),"",IF(B878="","⚠ Falta fecha",IF(C878="","⚠ Falta monto",IF(D878="","⚠ Falta categoría",IF(ISNA(MATCH(D878,catNom,0)),"⚠ Categoría no existe",IF(E878="","⚠ Falta cuenta",IF(ISNA(MATCH(E878,ctaNom,0)),"⚠ Cuenta no existe",IF(AND(OR(I878="Transferencia",I878="Pago tarjeta"),G878=""),"⚠ Indica la cuenta «Hacia»",IF(AND(G878&lt;&gt;"",G878=E878),"⚠ «Hacia» igual a la cuenta",IF(AND(G878&lt;&gt;"",ISNA(MATCH(G878,ctaNom,0))),"⚠ «Hacia» no existe",IF(AND(I878="Pago tarjeta",IFERROR(INDEX(ctaTipo,MATCH(G878,ctaNom,0)),"")&lt;&gt;"Tarjeta de crédito"),"⚠ «Hacia» debe ser la tarjeta",IF(AND(I878="Trading",IFERROR(INDEX(ctaTipo,MATCH(E878,ctaNom,0)),"")&lt;&gt;"Cuenta de trading"),"⚠ Usa la cuenta de trading","✓"))))))))))))</f>
        <v/>
      </c>
      <c r="I878" s="19">
        <f>IF(OR(B878="",C878="",D878=""),"",IFERROR(INDEX(catTipo,MATCH(D878,catNom,0))&amp;"",""))</f>
        <v/>
      </c>
      <c r="J878" s="19">
        <f>IF(I878="","",IFERROR(INDEX(catGrupo,MATCH(D878,catNom,0))&amp;"",""))</f>
        <v/>
      </c>
      <c r="K878" s="19">
        <f>IF(I878="Gasto",IF(IFERROR(INDEX(catClas,MATCH(D878,catNom,0))&amp;"","")="","Variable",IFERROR(INDEX(catClas,MATCH(D878,catNom,0))&amp;"","")),"")</f>
        <v/>
      </c>
      <c r="L878" s="19">
        <f>IF(I878="","",IFERROR(INDEX(catAlim,MATCH(D878,catNom,0))&amp;"",""))</f>
        <v/>
      </c>
      <c r="M878" s="19">
        <f>IF(I878="","",IFERROR(INDEX(catComida,MATCH(D878,catNom,0))&amp;"",""))</f>
        <v/>
      </c>
      <c r="N878" s="19">
        <f>IF(I878="","",IFERROR(INDEX(ctaMon,MATCH(E878,ctaNom,0))&amp;"","DOP"))</f>
        <v/>
      </c>
      <c r="O878" s="20">
        <f>IF(I878="","",C878*IF(N878="USD",TasaUSD,1))</f>
        <v/>
      </c>
      <c r="P878" s="20">
        <f>IF(I878="","",IF(I878="Gasto",O878,0))</f>
        <v/>
      </c>
      <c r="Q878" s="20">
        <f>IF(I878="","",IF(I878="Ingreso",O878,0))</f>
        <v/>
      </c>
      <c r="R878" s="20">
        <f>IF(I878="","",IF(I878="Trading",O878,0))</f>
        <v/>
      </c>
      <c r="S878" s="19">
        <f>IF(I878="","",IF(AND(I878="Gasto",K878="Variable",J878&lt;&gt;"Trading",O878&gt;0,O878&lt;=Umbral),1,0))</f>
        <v/>
      </c>
      <c r="T878" s="20">
        <f>IF(OR(I878="",E878=""),"",IF(OR(I878="Gasto",I878="Transferencia",I878="Pago tarjeta"),-1,1)*C878)</f>
        <v/>
      </c>
      <c r="U878" s="20">
        <f>IF(OR(G878="",AND(I878&lt;&gt;"Transferencia",I878&lt;&gt;"Pago tarjeta")),"",IF(IFERROR(INDEX(ctaMon,MATCH(G878,ctaNom,0))&amp;"","DOP")=N878,C878,IF(N878="USD",C878*TasaUSD,C878/TasaUSD)))</f>
        <v/>
      </c>
      <c r="V878" s="20">
        <f>IF(I878="","",IF(IFERROR(INDEX(ctaLiq,MATCH(E878,ctaNom,0))="Sí",FALSE),IF(OR(I878="Gasto",I878="Transferencia",I878="Pago tarjeta"),-1,1)*O878,0)+IF(AND(U878&lt;&gt;"",IFERROR(INDEX(ctaLiq,MATCH(G878,ctaNom,0))="Sí",FALSE)),O878,0))</f>
        <v/>
      </c>
      <c r="W878" s="19">
        <f>IF(OR(F878="",I878=""),"",IF(COUNTIFS(F$6:F878,F878,I$6:I878,"?*")=1,MAX(W$5:W877)+1,""))</f>
        <v/>
      </c>
    </row>
    <row r="879">
      <c r="B879" s="15" t="n"/>
      <c r="C879" s="16" t="n"/>
      <c r="D879" s="17" t="n"/>
      <c r="E879" s="17" t="n"/>
      <c r="F879" s="17" t="n"/>
      <c r="G879" s="17" t="n"/>
      <c r="H879" s="18">
        <f>IF(AND(B879="",C879="",D879="",E879=""),"",IF(B879="","⚠ Falta fecha",IF(C879="","⚠ Falta monto",IF(D879="","⚠ Falta categoría",IF(ISNA(MATCH(D879,catNom,0)),"⚠ Categoría no existe",IF(E879="","⚠ Falta cuenta",IF(ISNA(MATCH(E879,ctaNom,0)),"⚠ Cuenta no existe",IF(AND(OR(I879="Transferencia",I879="Pago tarjeta"),G879=""),"⚠ Indica la cuenta «Hacia»",IF(AND(G879&lt;&gt;"",G879=E879),"⚠ «Hacia» igual a la cuenta",IF(AND(G879&lt;&gt;"",ISNA(MATCH(G879,ctaNom,0))),"⚠ «Hacia» no existe",IF(AND(I879="Pago tarjeta",IFERROR(INDEX(ctaTipo,MATCH(G879,ctaNom,0)),"")&lt;&gt;"Tarjeta de crédito"),"⚠ «Hacia» debe ser la tarjeta",IF(AND(I879="Trading",IFERROR(INDEX(ctaTipo,MATCH(E879,ctaNom,0)),"")&lt;&gt;"Cuenta de trading"),"⚠ Usa la cuenta de trading","✓"))))))))))))</f>
        <v/>
      </c>
      <c r="I879" s="19">
        <f>IF(OR(B879="",C879="",D879=""),"",IFERROR(INDEX(catTipo,MATCH(D879,catNom,0))&amp;"",""))</f>
        <v/>
      </c>
      <c r="J879" s="19">
        <f>IF(I879="","",IFERROR(INDEX(catGrupo,MATCH(D879,catNom,0))&amp;"",""))</f>
        <v/>
      </c>
      <c r="K879" s="19">
        <f>IF(I879="Gasto",IF(IFERROR(INDEX(catClas,MATCH(D879,catNom,0))&amp;"","")="","Variable",IFERROR(INDEX(catClas,MATCH(D879,catNom,0))&amp;"","")),"")</f>
        <v/>
      </c>
      <c r="L879" s="19">
        <f>IF(I879="","",IFERROR(INDEX(catAlim,MATCH(D879,catNom,0))&amp;"",""))</f>
        <v/>
      </c>
      <c r="M879" s="19">
        <f>IF(I879="","",IFERROR(INDEX(catComida,MATCH(D879,catNom,0))&amp;"",""))</f>
        <v/>
      </c>
      <c r="N879" s="19">
        <f>IF(I879="","",IFERROR(INDEX(ctaMon,MATCH(E879,ctaNom,0))&amp;"","DOP"))</f>
        <v/>
      </c>
      <c r="O879" s="20">
        <f>IF(I879="","",C879*IF(N879="USD",TasaUSD,1))</f>
        <v/>
      </c>
      <c r="P879" s="20">
        <f>IF(I879="","",IF(I879="Gasto",O879,0))</f>
        <v/>
      </c>
      <c r="Q879" s="20">
        <f>IF(I879="","",IF(I879="Ingreso",O879,0))</f>
        <v/>
      </c>
      <c r="R879" s="20">
        <f>IF(I879="","",IF(I879="Trading",O879,0))</f>
        <v/>
      </c>
      <c r="S879" s="19">
        <f>IF(I879="","",IF(AND(I879="Gasto",K879="Variable",J879&lt;&gt;"Trading",O879&gt;0,O879&lt;=Umbral),1,0))</f>
        <v/>
      </c>
      <c r="T879" s="20">
        <f>IF(OR(I879="",E879=""),"",IF(OR(I879="Gasto",I879="Transferencia",I879="Pago tarjeta"),-1,1)*C879)</f>
        <v/>
      </c>
      <c r="U879" s="20">
        <f>IF(OR(G879="",AND(I879&lt;&gt;"Transferencia",I879&lt;&gt;"Pago tarjeta")),"",IF(IFERROR(INDEX(ctaMon,MATCH(G879,ctaNom,0))&amp;"","DOP")=N879,C879,IF(N879="USD",C879*TasaUSD,C879/TasaUSD)))</f>
        <v/>
      </c>
      <c r="V879" s="20">
        <f>IF(I879="","",IF(IFERROR(INDEX(ctaLiq,MATCH(E879,ctaNom,0))="Sí",FALSE),IF(OR(I879="Gasto",I879="Transferencia",I879="Pago tarjeta"),-1,1)*O879,0)+IF(AND(U879&lt;&gt;"",IFERROR(INDEX(ctaLiq,MATCH(G879,ctaNom,0))="Sí",FALSE)),O879,0))</f>
        <v/>
      </c>
      <c r="W879" s="19">
        <f>IF(OR(F879="",I879=""),"",IF(COUNTIFS(F$6:F879,F879,I$6:I879,"?*")=1,MAX(W$5:W878)+1,""))</f>
        <v/>
      </c>
    </row>
    <row r="880">
      <c r="B880" s="15" t="n"/>
      <c r="C880" s="16" t="n"/>
      <c r="D880" s="17" t="n"/>
      <c r="E880" s="17" t="n"/>
      <c r="F880" s="17" t="n"/>
      <c r="G880" s="17" t="n"/>
      <c r="H880" s="18">
        <f>IF(AND(B880="",C880="",D880="",E880=""),"",IF(B880="","⚠ Falta fecha",IF(C880="","⚠ Falta monto",IF(D880="","⚠ Falta categoría",IF(ISNA(MATCH(D880,catNom,0)),"⚠ Categoría no existe",IF(E880="","⚠ Falta cuenta",IF(ISNA(MATCH(E880,ctaNom,0)),"⚠ Cuenta no existe",IF(AND(OR(I880="Transferencia",I880="Pago tarjeta"),G880=""),"⚠ Indica la cuenta «Hacia»",IF(AND(G880&lt;&gt;"",G880=E880),"⚠ «Hacia» igual a la cuenta",IF(AND(G880&lt;&gt;"",ISNA(MATCH(G880,ctaNom,0))),"⚠ «Hacia» no existe",IF(AND(I880="Pago tarjeta",IFERROR(INDEX(ctaTipo,MATCH(G880,ctaNom,0)),"")&lt;&gt;"Tarjeta de crédito"),"⚠ «Hacia» debe ser la tarjeta",IF(AND(I880="Trading",IFERROR(INDEX(ctaTipo,MATCH(E880,ctaNom,0)),"")&lt;&gt;"Cuenta de trading"),"⚠ Usa la cuenta de trading","✓"))))))))))))</f>
        <v/>
      </c>
      <c r="I880" s="19">
        <f>IF(OR(B880="",C880="",D880=""),"",IFERROR(INDEX(catTipo,MATCH(D880,catNom,0))&amp;"",""))</f>
        <v/>
      </c>
      <c r="J880" s="19">
        <f>IF(I880="","",IFERROR(INDEX(catGrupo,MATCH(D880,catNom,0))&amp;"",""))</f>
        <v/>
      </c>
      <c r="K880" s="19">
        <f>IF(I880="Gasto",IF(IFERROR(INDEX(catClas,MATCH(D880,catNom,0))&amp;"","")="","Variable",IFERROR(INDEX(catClas,MATCH(D880,catNom,0))&amp;"","")),"")</f>
        <v/>
      </c>
      <c r="L880" s="19">
        <f>IF(I880="","",IFERROR(INDEX(catAlim,MATCH(D880,catNom,0))&amp;"",""))</f>
        <v/>
      </c>
      <c r="M880" s="19">
        <f>IF(I880="","",IFERROR(INDEX(catComida,MATCH(D880,catNom,0))&amp;"",""))</f>
        <v/>
      </c>
      <c r="N880" s="19">
        <f>IF(I880="","",IFERROR(INDEX(ctaMon,MATCH(E880,ctaNom,0))&amp;"","DOP"))</f>
        <v/>
      </c>
      <c r="O880" s="20">
        <f>IF(I880="","",C880*IF(N880="USD",TasaUSD,1))</f>
        <v/>
      </c>
      <c r="P880" s="20">
        <f>IF(I880="","",IF(I880="Gasto",O880,0))</f>
        <v/>
      </c>
      <c r="Q880" s="20">
        <f>IF(I880="","",IF(I880="Ingreso",O880,0))</f>
        <v/>
      </c>
      <c r="R880" s="20">
        <f>IF(I880="","",IF(I880="Trading",O880,0))</f>
        <v/>
      </c>
      <c r="S880" s="19">
        <f>IF(I880="","",IF(AND(I880="Gasto",K880="Variable",J880&lt;&gt;"Trading",O880&gt;0,O880&lt;=Umbral),1,0))</f>
        <v/>
      </c>
      <c r="T880" s="20">
        <f>IF(OR(I880="",E880=""),"",IF(OR(I880="Gasto",I880="Transferencia",I880="Pago tarjeta"),-1,1)*C880)</f>
        <v/>
      </c>
      <c r="U880" s="20">
        <f>IF(OR(G880="",AND(I880&lt;&gt;"Transferencia",I880&lt;&gt;"Pago tarjeta")),"",IF(IFERROR(INDEX(ctaMon,MATCH(G880,ctaNom,0))&amp;"","DOP")=N880,C880,IF(N880="USD",C880*TasaUSD,C880/TasaUSD)))</f>
        <v/>
      </c>
      <c r="V880" s="20">
        <f>IF(I880="","",IF(IFERROR(INDEX(ctaLiq,MATCH(E880,ctaNom,0))="Sí",FALSE),IF(OR(I880="Gasto",I880="Transferencia",I880="Pago tarjeta"),-1,1)*O880,0)+IF(AND(U880&lt;&gt;"",IFERROR(INDEX(ctaLiq,MATCH(G880,ctaNom,0))="Sí",FALSE)),O880,0))</f>
        <v/>
      </c>
      <c r="W880" s="19">
        <f>IF(OR(F880="",I880=""),"",IF(COUNTIFS(F$6:F880,F880,I$6:I880,"?*")=1,MAX(W$5:W879)+1,""))</f>
        <v/>
      </c>
    </row>
    <row r="881">
      <c r="B881" s="15" t="n"/>
      <c r="C881" s="16" t="n"/>
      <c r="D881" s="17" t="n"/>
      <c r="E881" s="17" t="n"/>
      <c r="F881" s="17" t="n"/>
      <c r="G881" s="17" t="n"/>
      <c r="H881" s="18">
        <f>IF(AND(B881="",C881="",D881="",E881=""),"",IF(B881="","⚠ Falta fecha",IF(C881="","⚠ Falta monto",IF(D881="","⚠ Falta categoría",IF(ISNA(MATCH(D881,catNom,0)),"⚠ Categoría no existe",IF(E881="","⚠ Falta cuenta",IF(ISNA(MATCH(E881,ctaNom,0)),"⚠ Cuenta no existe",IF(AND(OR(I881="Transferencia",I881="Pago tarjeta"),G881=""),"⚠ Indica la cuenta «Hacia»",IF(AND(G881&lt;&gt;"",G881=E881),"⚠ «Hacia» igual a la cuenta",IF(AND(G881&lt;&gt;"",ISNA(MATCH(G881,ctaNom,0))),"⚠ «Hacia» no existe",IF(AND(I881="Pago tarjeta",IFERROR(INDEX(ctaTipo,MATCH(G881,ctaNom,0)),"")&lt;&gt;"Tarjeta de crédito"),"⚠ «Hacia» debe ser la tarjeta",IF(AND(I881="Trading",IFERROR(INDEX(ctaTipo,MATCH(E881,ctaNom,0)),"")&lt;&gt;"Cuenta de trading"),"⚠ Usa la cuenta de trading","✓"))))))))))))</f>
        <v/>
      </c>
      <c r="I881" s="19">
        <f>IF(OR(B881="",C881="",D881=""),"",IFERROR(INDEX(catTipo,MATCH(D881,catNom,0))&amp;"",""))</f>
        <v/>
      </c>
      <c r="J881" s="19">
        <f>IF(I881="","",IFERROR(INDEX(catGrupo,MATCH(D881,catNom,0))&amp;"",""))</f>
        <v/>
      </c>
      <c r="K881" s="19">
        <f>IF(I881="Gasto",IF(IFERROR(INDEX(catClas,MATCH(D881,catNom,0))&amp;"","")="","Variable",IFERROR(INDEX(catClas,MATCH(D881,catNom,0))&amp;"","")),"")</f>
        <v/>
      </c>
      <c r="L881" s="19">
        <f>IF(I881="","",IFERROR(INDEX(catAlim,MATCH(D881,catNom,0))&amp;"",""))</f>
        <v/>
      </c>
      <c r="M881" s="19">
        <f>IF(I881="","",IFERROR(INDEX(catComida,MATCH(D881,catNom,0))&amp;"",""))</f>
        <v/>
      </c>
      <c r="N881" s="19">
        <f>IF(I881="","",IFERROR(INDEX(ctaMon,MATCH(E881,ctaNom,0))&amp;"","DOP"))</f>
        <v/>
      </c>
      <c r="O881" s="20">
        <f>IF(I881="","",C881*IF(N881="USD",TasaUSD,1))</f>
        <v/>
      </c>
      <c r="P881" s="20">
        <f>IF(I881="","",IF(I881="Gasto",O881,0))</f>
        <v/>
      </c>
      <c r="Q881" s="20">
        <f>IF(I881="","",IF(I881="Ingreso",O881,0))</f>
        <v/>
      </c>
      <c r="R881" s="20">
        <f>IF(I881="","",IF(I881="Trading",O881,0))</f>
        <v/>
      </c>
      <c r="S881" s="19">
        <f>IF(I881="","",IF(AND(I881="Gasto",K881="Variable",J881&lt;&gt;"Trading",O881&gt;0,O881&lt;=Umbral),1,0))</f>
        <v/>
      </c>
      <c r="T881" s="20">
        <f>IF(OR(I881="",E881=""),"",IF(OR(I881="Gasto",I881="Transferencia",I881="Pago tarjeta"),-1,1)*C881)</f>
        <v/>
      </c>
      <c r="U881" s="20">
        <f>IF(OR(G881="",AND(I881&lt;&gt;"Transferencia",I881&lt;&gt;"Pago tarjeta")),"",IF(IFERROR(INDEX(ctaMon,MATCH(G881,ctaNom,0))&amp;"","DOP")=N881,C881,IF(N881="USD",C881*TasaUSD,C881/TasaUSD)))</f>
        <v/>
      </c>
      <c r="V881" s="20">
        <f>IF(I881="","",IF(IFERROR(INDEX(ctaLiq,MATCH(E881,ctaNom,0))="Sí",FALSE),IF(OR(I881="Gasto",I881="Transferencia",I881="Pago tarjeta"),-1,1)*O881,0)+IF(AND(U881&lt;&gt;"",IFERROR(INDEX(ctaLiq,MATCH(G881,ctaNom,0))="Sí",FALSE)),O881,0))</f>
        <v/>
      </c>
      <c r="W881" s="19">
        <f>IF(OR(F881="",I881=""),"",IF(COUNTIFS(F$6:F881,F881,I$6:I881,"?*")=1,MAX(W$5:W880)+1,""))</f>
        <v/>
      </c>
    </row>
    <row r="882">
      <c r="B882" s="15" t="n"/>
      <c r="C882" s="16" t="n"/>
      <c r="D882" s="17" t="n"/>
      <c r="E882" s="17" t="n"/>
      <c r="F882" s="17" t="n"/>
      <c r="G882" s="17" t="n"/>
      <c r="H882" s="18">
        <f>IF(AND(B882="",C882="",D882="",E882=""),"",IF(B882="","⚠ Falta fecha",IF(C882="","⚠ Falta monto",IF(D882="","⚠ Falta categoría",IF(ISNA(MATCH(D882,catNom,0)),"⚠ Categoría no existe",IF(E882="","⚠ Falta cuenta",IF(ISNA(MATCH(E882,ctaNom,0)),"⚠ Cuenta no existe",IF(AND(OR(I882="Transferencia",I882="Pago tarjeta"),G882=""),"⚠ Indica la cuenta «Hacia»",IF(AND(G882&lt;&gt;"",G882=E882),"⚠ «Hacia» igual a la cuenta",IF(AND(G882&lt;&gt;"",ISNA(MATCH(G882,ctaNom,0))),"⚠ «Hacia» no existe",IF(AND(I882="Pago tarjeta",IFERROR(INDEX(ctaTipo,MATCH(G882,ctaNom,0)),"")&lt;&gt;"Tarjeta de crédito"),"⚠ «Hacia» debe ser la tarjeta",IF(AND(I882="Trading",IFERROR(INDEX(ctaTipo,MATCH(E882,ctaNom,0)),"")&lt;&gt;"Cuenta de trading"),"⚠ Usa la cuenta de trading","✓"))))))))))))</f>
        <v/>
      </c>
      <c r="I882" s="19">
        <f>IF(OR(B882="",C882="",D882=""),"",IFERROR(INDEX(catTipo,MATCH(D882,catNom,0))&amp;"",""))</f>
        <v/>
      </c>
      <c r="J882" s="19">
        <f>IF(I882="","",IFERROR(INDEX(catGrupo,MATCH(D882,catNom,0))&amp;"",""))</f>
        <v/>
      </c>
      <c r="K882" s="19">
        <f>IF(I882="Gasto",IF(IFERROR(INDEX(catClas,MATCH(D882,catNom,0))&amp;"","")="","Variable",IFERROR(INDEX(catClas,MATCH(D882,catNom,0))&amp;"","")),"")</f>
        <v/>
      </c>
      <c r="L882" s="19">
        <f>IF(I882="","",IFERROR(INDEX(catAlim,MATCH(D882,catNom,0))&amp;"",""))</f>
        <v/>
      </c>
      <c r="M882" s="19">
        <f>IF(I882="","",IFERROR(INDEX(catComida,MATCH(D882,catNom,0))&amp;"",""))</f>
        <v/>
      </c>
      <c r="N882" s="19">
        <f>IF(I882="","",IFERROR(INDEX(ctaMon,MATCH(E882,ctaNom,0))&amp;"","DOP"))</f>
        <v/>
      </c>
      <c r="O882" s="20">
        <f>IF(I882="","",C882*IF(N882="USD",TasaUSD,1))</f>
        <v/>
      </c>
      <c r="P882" s="20">
        <f>IF(I882="","",IF(I882="Gasto",O882,0))</f>
        <v/>
      </c>
      <c r="Q882" s="20">
        <f>IF(I882="","",IF(I882="Ingreso",O882,0))</f>
        <v/>
      </c>
      <c r="R882" s="20">
        <f>IF(I882="","",IF(I882="Trading",O882,0))</f>
        <v/>
      </c>
      <c r="S882" s="19">
        <f>IF(I882="","",IF(AND(I882="Gasto",K882="Variable",J882&lt;&gt;"Trading",O882&gt;0,O882&lt;=Umbral),1,0))</f>
        <v/>
      </c>
      <c r="T882" s="20">
        <f>IF(OR(I882="",E882=""),"",IF(OR(I882="Gasto",I882="Transferencia",I882="Pago tarjeta"),-1,1)*C882)</f>
        <v/>
      </c>
      <c r="U882" s="20">
        <f>IF(OR(G882="",AND(I882&lt;&gt;"Transferencia",I882&lt;&gt;"Pago tarjeta")),"",IF(IFERROR(INDEX(ctaMon,MATCH(G882,ctaNom,0))&amp;"","DOP")=N882,C882,IF(N882="USD",C882*TasaUSD,C882/TasaUSD)))</f>
        <v/>
      </c>
      <c r="V882" s="20">
        <f>IF(I882="","",IF(IFERROR(INDEX(ctaLiq,MATCH(E882,ctaNom,0))="Sí",FALSE),IF(OR(I882="Gasto",I882="Transferencia",I882="Pago tarjeta"),-1,1)*O882,0)+IF(AND(U882&lt;&gt;"",IFERROR(INDEX(ctaLiq,MATCH(G882,ctaNom,0))="Sí",FALSE)),O882,0))</f>
        <v/>
      </c>
      <c r="W882" s="19">
        <f>IF(OR(F882="",I882=""),"",IF(COUNTIFS(F$6:F882,F882,I$6:I882,"?*")=1,MAX(W$5:W881)+1,""))</f>
        <v/>
      </c>
    </row>
    <row r="883">
      <c r="B883" s="15" t="n"/>
      <c r="C883" s="16" t="n"/>
      <c r="D883" s="17" t="n"/>
      <c r="E883" s="17" t="n"/>
      <c r="F883" s="17" t="n"/>
      <c r="G883" s="17" t="n"/>
      <c r="H883" s="18">
        <f>IF(AND(B883="",C883="",D883="",E883=""),"",IF(B883="","⚠ Falta fecha",IF(C883="","⚠ Falta monto",IF(D883="","⚠ Falta categoría",IF(ISNA(MATCH(D883,catNom,0)),"⚠ Categoría no existe",IF(E883="","⚠ Falta cuenta",IF(ISNA(MATCH(E883,ctaNom,0)),"⚠ Cuenta no existe",IF(AND(OR(I883="Transferencia",I883="Pago tarjeta"),G883=""),"⚠ Indica la cuenta «Hacia»",IF(AND(G883&lt;&gt;"",G883=E883),"⚠ «Hacia» igual a la cuenta",IF(AND(G883&lt;&gt;"",ISNA(MATCH(G883,ctaNom,0))),"⚠ «Hacia» no existe",IF(AND(I883="Pago tarjeta",IFERROR(INDEX(ctaTipo,MATCH(G883,ctaNom,0)),"")&lt;&gt;"Tarjeta de crédito"),"⚠ «Hacia» debe ser la tarjeta",IF(AND(I883="Trading",IFERROR(INDEX(ctaTipo,MATCH(E883,ctaNom,0)),"")&lt;&gt;"Cuenta de trading"),"⚠ Usa la cuenta de trading","✓"))))))))))))</f>
        <v/>
      </c>
      <c r="I883" s="19">
        <f>IF(OR(B883="",C883="",D883=""),"",IFERROR(INDEX(catTipo,MATCH(D883,catNom,0))&amp;"",""))</f>
        <v/>
      </c>
      <c r="J883" s="19">
        <f>IF(I883="","",IFERROR(INDEX(catGrupo,MATCH(D883,catNom,0))&amp;"",""))</f>
        <v/>
      </c>
      <c r="K883" s="19">
        <f>IF(I883="Gasto",IF(IFERROR(INDEX(catClas,MATCH(D883,catNom,0))&amp;"","")="","Variable",IFERROR(INDEX(catClas,MATCH(D883,catNom,0))&amp;"","")),"")</f>
        <v/>
      </c>
      <c r="L883" s="19">
        <f>IF(I883="","",IFERROR(INDEX(catAlim,MATCH(D883,catNom,0))&amp;"",""))</f>
        <v/>
      </c>
      <c r="M883" s="19">
        <f>IF(I883="","",IFERROR(INDEX(catComida,MATCH(D883,catNom,0))&amp;"",""))</f>
        <v/>
      </c>
      <c r="N883" s="19">
        <f>IF(I883="","",IFERROR(INDEX(ctaMon,MATCH(E883,ctaNom,0))&amp;"","DOP"))</f>
        <v/>
      </c>
      <c r="O883" s="20">
        <f>IF(I883="","",C883*IF(N883="USD",TasaUSD,1))</f>
        <v/>
      </c>
      <c r="P883" s="20">
        <f>IF(I883="","",IF(I883="Gasto",O883,0))</f>
        <v/>
      </c>
      <c r="Q883" s="20">
        <f>IF(I883="","",IF(I883="Ingreso",O883,0))</f>
        <v/>
      </c>
      <c r="R883" s="20">
        <f>IF(I883="","",IF(I883="Trading",O883,0))</f>
        <v/>
      </c>
      <c r="S883" s="19">
        <f>IF(I883="","",IF(AND(I883="Gasto",K883="Variable",J883&lt;&gt;"Trading",O883&gt;0,O883&lt;=Umbral),1,0))</f>
        <v/>
      </c>
      <c r="T883" s="20">
        <f>IF(OR(I883="",E883=""),"",IF(OR(I883="Gasto",I883="Transferencia",I883="Pago tarjeta"),-1,1)*C883)</f>
        <v/>
      </c>
      <c r="U883" s="20">
        <f>IF(OR(G883="",AND(I883&lt;&gt;"Transferencia",I883&lt;&gt;"Pago tarjeta")),"",IF(IFERROR(INDEX(ctaMon,MATCH(G883,ctaNom,0))&amp;"","DOP")=N883,C883,IF(N883="USD",C883*TasaUSD,C883/TasaUSD)))</f>
        <v/>
      </c>
      <c r="V883" s="20">
        <f>IF(I883="","",IF(IFERROR(INDEX(ctaLiq,MATCH(E883,ctaNom,0))="Sí",FALSE),IF(OR(I883="Gasto",I883="Transferencia",I883="Pago tarjeta"),-1,1)*O883,0)+IF(AND(U883&lt;&gt;"",IFERROR(INDEX(ctaLiq,MATCH(G883,ctaNom,0))="Sí",FALSE)),O883,0))</f>
        <v/>
      </c>
      <c r="W883" s="19">
        <f>IF(OR(F883="",I883=""),"",IF(COUNTIFS(F$6:F883,F883,I$6:I883,"?*")=1,MAX(W$5:W882)+1,""))</f>
        <v/>
      </c>
    </row>
    <row r="884">
      <c r="B884" s="15" t="n"/>
      <c r="C884" s="16" t="n"/>
      <c r="D884" s="17" t="n"/>
      <c r="E884" s="17" t="n"/>
      <c r="F884" s="17" t="n"/>
      <c r="G884" s="17" t="n"/>
      <c r="H884" s="18">
        <f>IF(AND(B884="",C884="",D884="",E884=""),"",IF(B884="","⚠ Falta fecha",IF(C884="","⚠ Falta monto",IF(D884="","⚠ Falta categoría",IF(ISNA(MATCH(D884,catNom,0)),"⚠ Categoría no existe",IF(E884="","⚠ Falta cuenta",IF(ISNA(MATCH(E884,ctaNom,0)),"⚠ Cuenta no existe",IF(AND(OR(I884="Transferencia",I884="Pago tarjeta"),G884=""),"⚠ Indica la cuenta «Hacia»",IF(AND(G884&lt;&gt;"",G884=E884),"⚠ «Hacia» igual a la cuenta",IF(AND(G884&lt;&gt;"",ISNA(MATCH(G884,ctaNom,0))),"⚠ «Hacia» no existe",IF(AND(I884="Pago tarjeta",IFERROR(INDEX(ctaTipo,MATCH(G884,ctaNom,0)),"")&lt;&gt;"Tarjeta de crédito"),"⚠ «Hacia» debe ser la tarjeta",IF(AND(I884="Trading",IFERROR(INDEX(ctaTipo,MATCH(E884,ctaNom,0)),"")&lt;&gt;"Cuenta de trading"),"⚠ Usa la cuenta de trading","✓"))))))))))))</f>
        <v/>
      </c>
      <c r="I884" s="19">
        <f>IF(OR(B884="",C884="",D884=""),"",IFERROR(INDEX(catTipo,MATCH(D884,catNom,0))&amp;"",""))</f>
        <v/>
      </c>
      <c r="J884" s="19">
        <f>IF(I884="","",IFERROR(INDEX(catGrupo,MATCH(D884,catNom,0))&amp;"",""))</f>
        <v/>
      </c>
      <c r="K884" s="19">
        <f>IF(I884="Gasto",IF(IFERROR(INDEX(catClas,MATCH(D884,catNom,0))&amp;"","")="","Variable",IFERROR(INDEX(catClas,MATCH(D884,catNom,0))&amp;"","")),"")</f>
        <v/>
      </c>
      <c r="L884" s="19">
        <f>IF(I884="","",IFERROR(INDEX(catAlim,MATCH(D884,catNom,0))&amp;"",""))</f>
        <v/>
      </c>
      <c r="M884" s="19">
        <f>IF(I884="","",IFERROR(INDEX(catComida,MATCH(D884,catNom,0))&amp;"",""))</f>
        <v/>
      </c>
      <c r="N884" s="19">
        <f>IF(I884="","",IFERROR(INDEX(ctaMon,MATCH(E884,ctaNom,0))&amp;"","DOP"))</f>
        <v/>
      </c>
      <c r="O884" s="20">
        <f>IF(I884="","",C884*IF(N884="USD",TasaUSD,1))</f>
        <v/>
      </c>
      <c r="P884" s="20">
        <f>IF(I884="","",IF(I884="Gasto",O884,0))</f>
        <v/>
      </c>
      <c r="Q884" s="20">
        <f>IF(I884="","",IF(I884="Ingreso",O884,0))</f>
        <v/>
      </c>
      <c r="R884" s="20">
        <f>IF(I884="","",IF(I884="Trading",O884,0))</f>
        <v/>
      </c>
      <c r="S884" s="19">
        <f>IF(I884="","",IF(AND(I884="Gasto",K884="Variable",J884&lt;&gt;"Trading",O884&gt;0,O884&lt;=Umbral),1,0))</f>
        <v/>
      </c>
      <c r="T884" s="20">
        <f>IF(OR(I884="",E884=""),"",IF(OR(I884="Gasto",I884="Transferencia",I884="Pago tarjeta"),-1,1)*C884)</f>
        <v/>
      </c>
      <c r="U884" s="20">
        <f>IF(OR(G884="",AND(I884&lt;&gt;"Transferencia",I884&lt;&gt;"Pago tarjeta")),"",IF(IFERROR(INDEX(ctaMon,MATCH(G884,ctaNom,0))&amp;"","DOP")=N884,C884,IF(N884="USD",C884*TasaUSD,C884/TasaUSD)))</f>
        <v/>
      </c>
      <c r="V884" s="20">
        <f>IF(I884="","",IF(IFERROR(INDEX(ctaLiq,MATCH(E884,ctaNom,0))="Sí",FALSE),IF(OR(I884="Gasto",I884="Transferencia",I884="Pago tarjeta"),-1,1)*O884,0)+IF(AND(U884&lt;&gt;"",IFERROR(INDEX(ctaLiq,MATCH(G884,ctaNom,0))="Sí",FALSE)),O884,0))</f>
        <v/>
      </c>
      <c r="W884" s="19">
        <f>IF(OR(F884="",I884=""),"",IF(COUNTIFS(F$6:F884,F884,I$6:I884,"?*")=1,MAX(W$5:W883)+1,""))</f>
        <v/>
      </c>
    </row>
    <row r="885">
      <c r="B885" s="15" t="n"/>
      <c r="C885" s="16" t="n"/>
      <c r="D885" s="17" t="n"/>
      <c r="E885" s="17" t="n"/>
      <c r="F885" s="17" t="n"/>
      <c r="G885" s="17" t="n"/>
      <c r="H885" s="18">
        <f>IF(AND(B885="",C885="",D885="",E885=""),"",IF(B885="","⚠ Falta fecha",IF(C885="","⚠ Falta monto",IF(D885="","⚠ Falta categoría",IF(ISNA(MATCH(D885,catNom,0)),"⚠ Categoría no existe",IF(E885="","⚠ Falta cuenta",IF(ISNA(MATCH(E885,ctaNom,0)),"⚠ Cuenta no existe",IF(AND(OR(I885="Transferencia",I885="Pago tarjeta"),G885=""),"⚠ Indica la cuenta «Hacia»",IF(AND(G885&lt;&gt;"",G885=E885),"⚠ «Hacia» igual a la cuenta",IF(AND(G885&lt;&gt;"",ISNA(MATCH(G885,ctaNom,0))),"⚠ «Hacia» no existe",IF(AND(I885="Pago tarjeta",IFERROR(INDEX(ctaTipo,MATCH(G885,ctaNom,0)),"")&lt;&gt;"Tarjeta de crédito"),"⚠ «Hacia» debe ser la tarjeta",IF(AND(I885="Trading",IFERROR(INDEX(ctaTipo,MATCH(E885,ctaNom,0)),"")&lt;&gt;"Cuenta de trading"),"⚠ Usa la cuenta de trading","✓"))))))))))))</f>
        <v/>
      </c>
      <c r="I885" s="19">
        <f>IF(OR(B885="",C885="",D885=""),"",IFERROR(INDEX(catTipo,MATCH(D885,catNom,0))&amp;"",""))</f>
        <v/>
      </c>
      <c r="J885" s="19">
        <f>IF(I885="","",IFERROR(INDEX(catGrupo,MATCH(D885,catNom,0))&amp;"",""))</f>
        <v/>
      </c>
      <c r="K885" s="19">
        <f>IF(I885="Gasto",IF(IFERROR(INDEX(catClas,MATCH(D885,catNom,0))&amp;"","")="","Variable",IFERROR(INDEX(catClas,MATCH(D885,catNom,0))&amp;"","")),"")</f>
        <v/>
      </c>
      <c r="L885" s="19">
        <f>IF(I885="","",IFERROR(INDEX(catAlim,MATCH(D885,catNom,0))&amp;"",""))</f>
        <v/>
      </c>
      <c r="M885" s="19">
        <f>IF(I885="","",IFERROR(INDEX(catComida,MATCH(D885,catNom,0))&amp;"",""))</f>
        <v/>
      </c>
      <c r="N885" s="19">
        <f>IF(I885="","",IFERROR(INDEX(ctaMon,MATCH(E885,ctaNom,0))&amp;"","DOP"))</f>
        <v/>
      </c>
      <c r="O885" s="20">
        <f>IF(I885="","",C885*IF(N885="USD",TasaUSD,1))</f>
        <v/>
      </c>
      <c r="P885" s="20">
        <f>IF(I885="","",IF(I885="Gasto",O885,0))</f>
        <v/>
      </c>
      <c r="Q885" s="20">
        <f>IF(I885="","",IF(I885="Ingreso",O885,0))</f>
        <v/>
      </c>
      <c r="R885" s="20">
        <f>IF(I885="","",IF(I885="Trading",O885,0))</f>
        <v/>
      </c>
      <c r="S885" s="19">
        <f>IF(I885="","",IF(AND(I885="Gasto",K885="Variable",J885&lt;&gt;"Trading",O885&gt;0,O885&lt;=Umbral),1,0))</f>
        <v/>
      </c>
      <c r="T885" s="20">
        <f>IF(OR(I885="",E885=""),"",IF(OR(I885="Gasto",I885="Transferencia",I885="Pago tarjeta"),-1,1)*C885)</f>
        <v/>
      </c>
      <c r="U885" s="20">
        <f>IF(OR(G885="",AND(I885&lt;&gt;"Transferencia",I885&lt;&gt;"Pago tarjeta")),"",IF(IFERROR(INDEX(ctaMon,MATCH(G885,ctaNom,0))&amp;"","DOP")=N885,C885,IF(N885="USD",C885*TasaUSD,C885/TasaUSD)))</f>
        <v/>
      </c>
      <c r="V885" s="20">
        <f>IF(I885="","",IF(IFERROR(INDEX(ctaLiq,MATCH(E885,ctaNom,0))="Sí",FALSE),IF(OR(I885="Gasto",I885="Transferencia",I885="Pago tarjeta"),-1,1)*O885,0)+IF(AND(U885&lt;&gt;"",IFERROR(INDEX(ctaLiq,MATCH(G885,ctaNom,0))="Sí",FALSE)),O885,0))</f>
        <v/>
      </c>
      <c r="W885" s="19">
        <f>IF(OR(F885="",I885=""),"",IF(COUNTIFS(F$6:F885,F885,I$6:I885,"?*")=1,MAX(W$5:W884)+1,""))</f>
        <v/>
      </c>
    </row>
    <row r="886">
      <c r="B886" s="15" t="n"/>
      <c r="C886" s="16" t="n"/>
      <c r="D886" s="17" t="n"/>
      <c r="E886" s="17" t="n"/>
      <c r="F886" s="17" t="n"/>
      <c r="G886" s="17" t="n"/>
      <c r="H886" s="18">
        <f>IF(AND(B886="",C886="",D886="",E886=""),"",IF(B886="","⚠ Falta fecha",IF(C886="","⚠ Falta monto",IF(D886="","⚠ Falta categoría",IF(ISNA(MATCH(D886,catNom,0)),"⚠ Categoría no existe",IF(E886="","⚠ Falta cuenta",IF(ISNA(MATCH(E886,ctaNom,0)),"⚠ Cuenta no existe",IF(AND(OR(I886="Transferencia",I886="Pago tarjeta"),G886=""),"⚠ Indica la cuenta «Hacia»",IF(AND(G886&lt;&gt;"",G886=E886),"⚠ «Hacia» igual a la cuenta",IF(AND(G886&lt;&gt;"",ISNA(MATCH(G886,ctaNom,0))),"⚠ «Hacia» no existe",IF(AND(I886="Pago tarjeta",IFERROR(INDEX(ctaTipo,MATCH(G886,ctaNom,0)),"")&lt;&gt;"Tarjeta de crédito"),"⚠ «Hacia» debe ser la tarjeta",IF(AND(I886="Trading",IFERROR(INDEX(ctaTipo,MATCH(E886,ctaNom,0)),"")&lt;&gt;"Cuenta de trading"),"⚠ Usa la cuenta de trading","✓"))))))))))))</f>
        <v/>
      </c>
      <c r="I886" s="19">
        <f>IF(OR(B886="",C886="",D886=""),"",IFERROR(INDEX(catTipo,MATCH(D886,catNom,0))&amp;"",""))</f>
        <v/>
      </c>
      <c r="J886" s="19">
        <f>IF(I886="","",IFERROR(INDEX(catGrupo,MATCH(D886,catNom,0))&amp;"",""))</f>
        <v/>
      </c>
      <c r="K886" s="19">
        <f>IF(I886="Gasto",IF(IFERROR(INDEX(catClas,MATCH(D886,catNom,0))&amp;"","")="","Variable",IFERROR(INDEX(catClas,MATCH(D886,catNom,0))&amp;"","")),"")</f>
        <v/>
      </c>
      <c r="L886" s="19">
        <f>IF(I886="","",IFERROR(INDEX(catAlim,MATCH(D886,catNom,0))&amp;"",""))</f>
        <v/>
      </c>
      <c r="M886" s="19">
        <f>IF(I886="","",IFERROR(INDEX(catComida,MATCH(D886,catNom,0))&amp;"",""))</f>
        <v/>
      </c>
      <c r="N886" s="19">
        <f>IF(I886="","",IFERROR(INDEX(ctaMon,MATCH(E886,ctaNom,0))&amp;"","DOP"))</f>
        <v/>
      </c>
      <c r="O886" s="20">
        <f>IF(I886="","",C886*IF(N886="USD",TasaUSD,1))</f>
        <v/>
      </c>
      <c r="P886" s="20">
        <f>IF(I886="","",IF(I886="Gasto",O886,0))</f>
        <v/>
      </c>
      <c r="Q886" s="20">
        <f>IF(I886="","",IF(I886="Ingreso",O886,0))</f>
        <v/>
      </c>
      <c r="R886" s="20">
        <f>IF(I886="","",IF(I886="Trading",O886,0))</f>
        <v/>
      </c>
      <c r="S886" s="19">
        <f>IF(I886="","",IF(AND(I886="Gasto",K886="Variable",J886&lt;&gt;"Trading",O886&gt;0,O886&lt;=Umbral),1,0))</f>
        <v/>
      </c>
      <c r="T886" s="20">
        <f>IF(OR(I886="",E886=""),"",IF(OR(I886="Gasto",I886="Transferencia",I886="Pago tarjeta"),-1,1)*C886)</f>
        <v/>
      </c>
      <c r="U886" s="20">
        <f>IF(OR(G886="",AND(I886&lt;&gt;"Transferencia",I886&lt;&gt;"Pago tarjeta")),"",IF(IFERROR(INDEX(ctaMon,MATCH(G886,ctaNom,0))&amp;"","DOP")=N886,C886,IF(N886="USD",C886*TasaUSD,C886/TasaUSD)))</f>
        <v/>
      </c>
      <c r="V886" s="20">
        <f>IF(I886="","",IF(IFERROR(INDEX(ctaLiq,MATCH(E886,ctaNom,0))="Sí",FALSE),IF(OR(I886="Gasto",I886="Transferencia",I886="Pago tarjeta"),-1,1)*O886,0)+IF(AND(U886&lt;&gt;"",IFERROR(INDEX(ctaLiq,MATCH(G886,ctaNom,0))="Sí",FALSE)),O886,0))</f>
        <v/>
      </c>
      <c r="W886" s="19">
        <f>IF(OR(F886="",I886=""),"",IF(COUNTIFS(F$6:F886,F886,I$6:I886,"?*")=1,MAX(W$5:W885)+1,""))</f>
        <v/>
      </c>
    </row>
    <row r="887">
      <c r="B887" s="15" t="n"/>
      <c r="C887" s="16" t="n"/>
      <c r="D887" s="17" t="n"/>
      <c r="E887" s="17" t="n"/>
      <c r="F887" s="17" t="n"/>
      <c r="G887" s="17" t="n"/>
      <c r="H887" s="18">
        <f>IF(AND(B887="",C887="",D887="",E887=""),"",IF(B887="","⚠ Falta fecha",IF(C887="","⚠ Falta monto",IF(D887="","⚠ Falta categoría",IF(ISNA(MATCH(D887,catNom,0)),"⚠ Categoría no existe",IF(E887="","⚠ Falta cuenta",IF(ISNA(MATCH(E887,ctaNom,0)),"⚠ Cuenta no existe",IF(AND(OR(I887="Transferencia",I887="Pago tarjeta"),G887=""),"⚠ Indica la cuenta «Hacia»",IF(AND(G887&lt;&gt;"",G887=E887),"⚠ «Hacia» igual a la cuenta",IF(AND(G887&lt;&gt;"",ISNA(MATCH(G887,ctaNom,0))),"⚠ «Hacia» no existe",IF(AND(I887="Pago tarjeta",IFERROR(INDEX(ctaTipo,MATCH(G887,ctaNom,0)),"")&lt;&gt;"Tarjeta de crédito"),"⚠ «Hacia» debe ser la tarjeta",IF(AND(I887="Trading",IFERROR(INDEX(ctaTipo,MATCH(E887,ctaNom,0)),"")&lt;&gt;"Cuenta de trading"),"⚠ Usa la cuenta de trading","✓"))))))))))))</f>
        <v/>
      </c>
      <c r="I887" s="19">
        <f>IF(OR(B887="",C887="",D887=""),"",IFERROR(INDEX(catTipo,MATCH(D887,catNom,0))&amp;"",""))</f>
        <v/>
      </c>
      <c r="J887" s="19">
        <f>IF(I887="","",IFERROR(INDEX(catGrupo,MATCH(D887,catNom,0))&amp;"",""))</f>
        <v/>
      </c>
      <c r="K887" s="19">
        <f>IF(I887="Gasto",IF(IFERROR(INDEX(catClas,MATCH(D887,catNom,0))&amp;"","")="","Variable",IFERROR(INDEX(catClas,MATCH(D887,catNom,0))&amp;"","")),"")</f>
        <v/>
      </c>
      <c r="L887" s="19">
        <f>IF(I887="","",IFERROR(INDEX(catAlim,MATCH(D887,catNom,0))&amp;"",""))</f>
        <v/>
      </c>
      <c r="M887" s="19">
        <f>IF(I887="","",IFERROR(INDEX(catComida,MATCH(D887,catNom,0))&amp;"",""))</f>
        <v/>
      </c>
      <c r="N887" s="19">
        <f>IF(I887="","",IFERROR(INDEX(ctaMon,MATCH(E887,ctaNom,0))&amp;"","DOP"))</f>
        <v/>
      </c>
      <c r="O887" s="20">
        <f>IF(I887="","",C887*IF(N887="USD",TasaUSD,1))</f>
        <v/>
      </c>
      <c r="P887" s="20">
        <f>IF(I887="","",IF(I887="Gasto",O887,0))</f>
        <v/>
      </c>
      <c r="Q887" s="20">
        <f>IF(I887="","",IF(I887="Ingreso",O887,0))</f>
        <v/>
      </c>
      <c r="R887" s="20">
        <f>IF(I887="","",IF(I887="Trading",O887,0))</f>
        <v/>
      </c>
      <c r="S887" s="19">
        <f>IF(I887="","",IF(AND(I887="Gasto",K887="Variable",J887&lt;&gt;"Trading",O887&gt;0,O887&lt;=Umbral),1,0))</f>
        <v/>
      </c>
      <c r="T887" s="20">
        <f>IF(OR(I887="",E887=""),"",IF(OR(I887="Gasto",I887="Transferencia",I887="Pago tarjeta"),-1,1)*C887)</f>
        <v/>
      </c>
      <c r="U887" s="20">
        <f>IF(OR(G887="",AND(I887&lt;&gt;"Transferencia",I887&lt;&gt;"Pago tarjeta")),"",IF(IFERROR(INDEX(ctaMon,MATCH(G887,ctaNom,0))&amp;"","DOP")=N887,C887,IF(N887="USD",C887*TasaUSD,C887/TasaUSD)))</f>
        <v/>
      </c>
      <c r="V887" s="20">
        <f>IF(I887="","",IF(IFERROR(INDEX(ctaLiq,MATCH(E887,ctaNom,0))="Sí",FALSE),IF(OR(I887="Gasto",I887="Transferencia",I887="Pago tarjeta"),-1,1)*O887,0)+IF(AND(U887&lt;&gt;"",IFERROR(INDEX(ctaLiq,MATCH(G887,ctaNom,0))="Sí",FALSE)),O887,0))</f>
        <v/>
      </c>
      <c r="W887" s="19">
        <f>IF(OR(F887="",I887=""),"",IF(COUNTIFS(F$6:F887,F887,I$6:I887,"?*")=1,MAX(W$5:W886)+1,""))</f>
        <v/>
      </c>
    </row>
    <row r="888">
      <c r="B888" s="15" t="n"/>
      <c r="C888" s="16" t="n"/>
      <c r="D888" s="17" t="n"/>
      <c r="E888" s="17" t="n"/>
      <c r="F888" s="17" t="n"/>
      <c r="G888" s="17" t="n"/>
      <c r="H888" s="18">
        <f>IF(AND(B888="",C888="",D888="",E888=""),"",IF(B888="","⚠ Falta fecha",IF(C888="","⚠ Falta monto",IF(D888="","⚠ Falta categoría",IF(ISNA(MATCH(D888,catNom,0)),"⚠ Categoría no existe",IF(E888="","⚠ Falta cuenta",IF(ISNA(MATCH(E888,ctaNom,0)),"⚠ Cuenta no existe",IF(AND(OR(I888="Transferencia",I888="Pago tarjeta"),G888=""),"⚠ Indica la cuenta «Hacia»",IF(AND(G888&lt;&gt;"",G888=E888),"⚠ «Hacia» igual a la cuenta",IF(AND(G888&lt;&gt;"",ISNA(MATCH(G888,ctaNom,0))),"⚠ «Hacia» no existe",IF(AND(I888="Pago tarjeta",IFERROR(INDEX(ctaTipo,MATCH(G888,ctaNom,0)),"")&lt;&gt;"Tarjeta de crédito"),"⚠ «Hacia» debe ser la tarjeta",IF(AND(I888="Trading",IFERROR(INDEX(ctaTipo,MATCH(E888,ctaNom,0)),"")&lt;&gt;"Cuenta de trading"),"⚠ Usa la cuenta de trading","✓"))))))))))))</f>
        <v/>
      </c>
      <c r="I888" s="19">
        <f>IF(OR(B888="",C888="",D888=""),"",IFERROR(INDEX(catTipo,MATCH(D888,catNom,0))&amp;"",""))</f>
        <v/>
      </c>
      <c r="J888" s="19">
        <f>IF(I888="","",IFERROR(INDEX(catGrupo,MATCH(D888,catNom,0))&amp;"",""))</f>
        <v/>
      </c>
      <c r="K888" s="19">
        <f>IF(I888="Gasto",IF(IFERROR(INDEX(catClas,MATCH(D888,catNom,0))&amp;"","")="","Variable",IFERROR(INDEX(catClas,MATCH(D888,catNom,0))&amp;"","")),"")</f>
        <v/>
      </c>
      <c r="L888" s="19">
        <f>IF(I888="","",IFERROR(INDEX(catAlim,MATCH(D888,catNom,0))&amp;"",""))</f>
        <v/>
      </c>
      <c r="M888" s="19">
        <f>IF(I888="","",IFERROR(INDEX(catComida,MATCH(D888,catNom,0))&amp;"",""))</f>
        <v/>
      </c>
      <c r="N888" s="19">
        <f>IF(I888="","",IFERROR(INDEX(ctaMon,MATCH(E888,ctaNom,0))&amp;"","DOP"))</f>
        <v/>
      </c>
      <c r="O888" s="20">
        <f>IF(I888="","",C888*IF(N888="USD",TasaUSD,1))</f>
        <v/>
      </c>
      <c r="P888" s="20">
        <f>IF(I888="","",IF(I888="Gasto",O888,0))</f>
        <v/>
      </c>
      <c r="Q888" s="20">
        <f>IF(I888="","",IF(I888="Ingreso",O888,0))</f>
        <v/>
      </c>
      <c r="R888" s="20">
        <f>IF(I888="","",IF(I888="Trading",O888,0))</f>
        <v/>
      </c>
      <c r="S888" s="19">
        <f>IF(I888="","",IF(AND(I888="Gasto",K888="Variable",J888&lt;&gt;"Trading",O888&gt;0,O888&lt;=Umbral),1,0))</f>
        <v/>
      </c>
      <c r="T888" s="20">
        <f>IF(OR(I888="",E888=""),"",IF(OR(I888="Gasto",I888="Transferencia",I888="Pago tarjeta"),-1,1)*C888)</f>
        <v/>
      </c>
      <c r="U888" s="20">
        <f>IF(OR(G888="",AND(I888&lt;&gt;"Transferencia",I888&lt;&gt;"Pago tarjeta")),"",IF(IFERROR(INDEX(ctaMon,MATCH(G888,ctaNom,0))&amp;"","DOP")=N888,C888,IF(N888="USD",C888*TasaUSD,C888/TasaUSD)))</f>
        <v/>
      </c>
      <c r="V888" s="20">
        <f>IF(I888="","",IF(IFERROR(INDEX(ctaLiq,MATCH(E888,ctaNom,0))="Sí",FALSE),IF(OR(I888="Gasto",I888="Transferencia",I888="Pago tarjeta"),-1,1)*O888,0)+IF(AND(U888&lt;&gt;"",IFERROR(INDEX(ctaLiq,MATCH(G888,ctaNom,0))="Sí",FALSE)),O888,0))</f>
        <v/>
      </c>
      <c r="W888" s="19">
        <f>IF(OR(F888="",I888=""),"",IF(COUNTIFS(F$6:F888,F888,I$6:I888,"?*")=1,MAX(W$5:W887)+1,""))</f>
        <v/>
      </c>
    </row>
    <row r="889">
      <c r="B889" s="15" t="n"/>
      <c r="C889" s="16" t="n"/>
      <c r="D889" s="17" t="n"/>
      <c r="E889" s="17" t="n"/>
      <c r="F889" s="17" t="n"/>
      <c r="G889" s="17" t="n"/>
      <c r="H889" s="18">
        <f>IF(AND(B889="",C889="",D889="",E889=""),"",IF(B889="","⚠ Falta fecha",IF(C889="","⚠ Falta monto",IF(D889="","⚠ Falta categoría",IF(ISNA(MATCH(D889,catNom,0)),"⚠ Categoría no existe",IF(E889="","⚠ Falta cuenta",IF(ISNA(MATCH(E889,ctaNom,0)),"⚠ Cuenta no existe",IF(AND(OR(I889="Transferencia",I889="Pago tarjeta"),G889=""),"⚠ Indica la cuenta «Hacia»",IF(AND(G889&lt;&gt;"",G889=E889),"⚠ «Hacia» igual a la cuenta",IF(AND(G889&lt;&gt;"",ISNA(MATCH(G889,ctaNom,0))),"⚠ «Hacia» no existe",IF(AND(I889="Pago tarjeta",IFERROR(INDEX(ctaTipo,MATCH(G889,ctaNom,0)),"")&lt;&gt;"Tarjeta de crédito"),"⚠ «Hacia» debe ser la tarjeta",IF(AND(I889="Trading",IFERROR(INDEX(ctaTipo,MATCH(E889,ctaNom,0)),"")&lt;&gt;"Cuenta de trading"),"⚠ Usa la cuenta de trading","✓"))))))))))))</f>
        <v/>
      </c>
      <c r="I889" s="19">
        <f>IF(OR(B889="",C889="",D889=""),"",IFERROR(INDEX(catTipo,MATCH(D889,catNom,0))&amp;"",""))</f>
        <v/>
      </c>
      <c r="J889" s="19">
        <f>IF(I889="","",IFERROR(INDEX(catGrupo,MATCH(D889,catNom,0))&amp;"",""))</f>
        <v/>
      </c>
      <c r="K889" s="19">
        <f>IF(I889="Gasto",IF(IFERROR(INDEX(catClas,MATCH(D889,catNom,0))&amp;"","")="","Variable",IFERROR(INDEX(catClas,MATCH(D889,catNom,0))&amp;"","")),"")</f>
        <v/>
      </c>
      <c r="L889" s="19">
        <f>IF(I889="","",IFERROR(INDEX(catAlim,MATCH(D889,catNom,0))&amp;"",""))</f>
        <v/>
      </c>
      <c r="M889" s="19">
        <f>IF(I889="","",IFERROR(INDEX(catComida,MATCH(D889,catNom,0))&amp;"",""))</f>
        <v/>
      </c>
      <c r="N889" s="19">
        <f>IF(I889="","",IFERROR(INDEX(ctaMon,MATCH(E889,ctaNom,0))&amp;"","DOP"))</f>
        <v/>
      </c>
      <c r="O889" s="20">
        <f>IF(I889="","",C889*IF(N889="USD",TasaUSD,1))</f>
        <v/>
      </c>
      <c r="P889" s="20">
        <f>IF(I889="","",IF(I889="Gasto",O889,0))</f>
        <v/>
      </c>
      <c r="Q889" s="20">
        <f>IF(I889="","",IF(I889="Ingreso",O889,0))</f>
        <v/>
      </c>
      <c r="R889" s="20">
        <f>IF(I889="","",IF(I889="Trading",O889,0))</f>
        <v/>
      </c>
      <c r="S889" s="19">
        <f>IF(I889="","",IF(AND(I889="Gasto",K889="Variable",J889&lt;&gt;"Trading",O889&gt;0,O889&lt;=Umbral),1,0))</f>
        <v/>
      </c>
      <c r="T889" s="20">
        <f>IF(OR(I889="",E889=""),"",IF(OR(I889="Gasto",I889="Transferencia",I889="Pago tarjeta"),-1,1)*C889)</f>
        <v/>
      </c>
      <c r="U889" s="20">
        <f>IF(OR(G889="",AND(I889&lt;&gt;"Transferencia",I889&lt;&gt;"Pago tarjeta")),"",IF(IFERROR(INDEX(ctaMon,MATCH(G889,ctaNom,0))&amp;"","DOP")=N889,C889,IF(N889="USD",C889*TasaUSD,C889/TasaUSD)))</f>
        <v/>
      </c>
      <c r="V889" s="20">
        <f>IF(I889="","",IF(IFERROR(INDEX(ctaLiq,MATCH(E889,ctaNom,0))="Sí",FALSE),IF(OR(I889="Gasto",I889="Transferencia",I889="Pago tarjeta"),-1,1)*O889,0)+IF(AND(U889&lt;&gt;"",IFERROR(INDEX(ctaLiq,MATCH(G889,ctaNom,0))="Sí",FALSE)),O889,0))</f>
        <v/>
      </c>
      <c r="W889" s="19">
        <f>IF(OR(F889="",I889=""),"",IF(COUNTIFS(F$6:F889,F889,I$6:I889,"?*")=1,MAX(W$5:W888)+1,""))</f>
        <v/>
      </c>
    </row>
    <row r="890">
      <c r="B890" s="15" t="n"/>
      <c r="C890" s="16" t="n"/>
      <c r="D890" s="17" t="n"/>
      <c r="E890" s="17" t="n"/>
      <c r="F890" s="17" t="n"/>
      <c r="G890" s="17" t="n"/>
      <c r="H890" s="18">
        <f>IF(AND(B890="",C890="",D890="",E890=""),"",IF(B890="","⚠ Falta fecha",IF(C890="","⚠ Falta monto",IF(D890="","⚠ Falta categoría",IF(ISNA(MATCH(D890,catNom,0)),"⚠ Categoría no existe",IF(E890="","⚠ Falta cuenta",IF(ISNA(MATCH(E890,ctaNom,0)),"⚠ Cuenta no existe",IF(AND(OR(I890="Transferencia",I890="Pago tarjeta"),G890=""),"⚠ Indica la cuenta «Hacia»",IF(AND(G890&lt;&gt;"",G890=E890),"⚠ «Hacia» igual a la cuenta",IF(AND(G890&lt;&gt;"",ISNA(MATCH(G890,ctaNom,0))),"⚠ «Hacia» no existe",IF(AND(I890="Pago tarjeta",IFERROR(INDEX(ctaTipo,MATCH(G890,ctaNom,0)),"")&lt;&gt;"Tarjeta de crédito"),"⚠ «Hacia» debe ser la tarjeta",IF(AND(I890="Trading",IFERROR(INDEX(ctaTipo,MATCH(E890,ctaNom,0)),"")&lt;&gt;"Cuenta de trading"),"⚠ Usa la cuenta de trading","✓"))))))))))))</f>
        <v/>
      </c>
      <c r="I890" s="19">
        <f>IF(OR(B890="",C890="",D890=""),"",IFERROR(INDEX(catTipo,MATCH(D890,catNom,0))&amp;"",""))</f>
        <v/>
      </c>
      <c r="J890" s="19">
        <f>IF(I890="","",IFERROR(INDEX(catGrupo,MATCH(D890,catNom,0))&amp;"",""))</f>
        <v/>
      </c>
      <c r="K890" s="19">
        <f>IF(I890="Gasto",IF(IFERROR(INDEX(catClas,MATCH(D890,catNom,0))&amp;"","")="","Variable",IFERROR(INDEX(catClas,MATCH(D890,catNom,0))&amp;"","")),"")</f>
        <v/>
      </c>
      <c r="L890" s="19">
        <f>IF(I890="","",IFERROR(INDEX(catAlim,MATCH(D890,catNom,0))&amp;"",""))</f>
        <v/>
      </c>
      <c r="M890" s="19">
        <f>IF(I890="","",IFERROR(INDEX(catComida,MATCH(D890,catNom,0))&amp;"",""))</f>
        <v/>
      </c>
      <c r="N890" s="19">
        <f>IF(I890="","",IFERROR(INDEX(ctaMon,MATCH(E890,ctaNom,0))&amp;"","DOP"))</f>
        <v/>
      </c>
      <c r="O890" s="20">
        <f>IF(I890="","",C890*IF(N890="USD",TasaUSD,1))</f>
        <v/>
      </c>
      <c r="P890" s="20">
        <f>IF(I890="","",IF(I890="Gasto",O890,0))</f>
        <v/>
      </c>
      <c r="Q890" s="20">
        <f>IF(I890="","",IF(I890="Ingreso",O890,0))</f>
        <v/>
      </c>
      <c r="R890" s="20">
        <f>IF(I890="","",IF(I890="Trading",O890,0))</f>
        <v/>
      </c>
      <c r="S890" s="19">
        <f>IF(I890="","",IF(AND(I890="Gasto",K890="Variable",J890&lt;&gt;"Trading",O890&gt;0,O890&lt;=Umbral),1,0))</f>
        <v/>
      </c>
      <c r="T890" s="20">
        <f>IF(OR(I890="",E890=""),"",IF(OR(I890="Gasto",I890="Transferencia",I890="Pago tarjeta"),-1,1)*C890)</f>
        <v/>
      </c>
      <c r="U890" s="20">
        <f>IF(OR(G890="",AND(I890&lt;&gt;"Transferencia",I890&lt;&gt;"Pago tarjeta")),"",IF(IFERROR(INDEX(ctaMon,MATCH(G890,ctaNom,0))&amp;"","DOP")=N890,C890,IF(N890="USD",C890*TasaUSD,C890/TasaUSD)))</f>
        <v/>
      </c>
      <c r="V890" s="20">
        <f>IF(I890="","",IF(IFERROR(INDEX(ctaLiq,MATCH(E890,ctaNom,0))="Sí",FALSE),IF(OR(I890="Gasto",I890="Transferencia",I890="Pago tarjeta"),-1,1)*O890,0)+IF(AND(U890&lt;&gt;"",IFERROR(INDEX(ctaLiq,MATCH(G890,ctaNom,0))="Sí",FALSE)),O890,0))</f>
        <v/>
      </c>
      <c r="W890" s="19">
        <f>IF(OR(F890="",I890=""),"",IF(COUNTIFS(F$6:F890,F890,I$6:I890,"?*")=1,MAX(W$5:W889)+1,""))</f>
        <v/>
      </c>
    </row>
    <row r="891">
      <c r="B891" s="15" t="n"/>
      <c r="C891" s="16" t="n"/>
      <c r="D891" s="17" t="n"/>
      <c r="E891" s="17" t="n"/>
      <c r="F891" s="17" t="n"/>
      <c r="G891" s="17" t="n"/>
      <c r="H891" s="18">
        <f>IF(AND(B891="",C891="",D891="",E891=""),"",IF(B891="","⚠ Falta fecha",IF(C891="","⚠ Falta monto",IF(D891="","⚠ Falta categoría",IF(ISNA(MATCH(D891,catNom,0)),"⚠ Categoría no existe",IF(E891="","⚠ Falta cuenta",IF(ISNA(MATCH(E891,ctaNom,0)),"⚠ Cuenta no existe",IF(AND(OR(I891="Transferencia",I891="Pago tarjeta"),G891=""),"⚠ Indica la cuenta «Hacia»",IF(AND(G891&lt;&gt;"",G891=E891),"⚠ «Hacia» igual a la cuenta",IF(AND(G891&lt;&gt;"",ISNA(MATCH(G891,ctaNom,0))),"⚠ «Hacia» no existe",IF(AND(I891="Pago tarjeta",IFERROR(INDEX(ctaTipo,MATCH(G891,ctaNom,0)),"")&lt;&gt;"Tarjeta de crédito"),"⚠ «Hacia» debe ser la tarjeta",IF(AND(I891="Trading",IFERROR(INDEX(ctaTipo,MATCH(E891,ctaNom,0)),"")&lt;&gt;"Cuenta de trading"),"⚠ Usa la cuenta de trading","✓"))))))))))))</f>
        <v/>
      </c>
      <c r="I891" s="19">
        <f>IF(OR(B891="",C891="",D891=""),"",IFERROR(INDEX(catTipo,MATCH(D891,catNom,0))&amp;"",""))</f>
        <v/>
      </c>
      <c r="J891" s="19">
        <f>IF(I891="","",IFERROR(INDEX(catGrupo,MATCH(D891,catNom,0))&amp;"",""))</f>
        <v/>
      </c>
      <c r="K891" s="19">
        <f>IF(I891="Gasto",IF(IFERROR(INDEX(catClas,MATCH(D891,catNom,0))&amp;"","")="","Variable",IFERROR(INDEX(catClas,MATCH(D891,catNom,0))&amp;"","")),"")</f>
        <v/>
      </c>
      <c r="L891" s="19">
        <f>IF(I891="","",IFERROR(INDEX(catAlim,MATCH(D891,catNom,0))&amp;"",""))</f>
        <v/>
      </c>
      <c r="M891" s="19">
        <f>IF(I891="","",IFERROR(INDEX(catComida,MATCH(D891,catNom,0))&amp;"",""))</f>
        <v/>
      </c>
      <c r="N891" s="19">
        <f>IF(I891="","",IFERROR(INDEX(ctaMon,MATCH(E891,ctaNom,0))&amp;"","DOP"))</f>
        <v/>
      </c>
      <c r="O891" s="20">
        <f>IF(I891="","",C891*IF(N891="USD",TasaUSD,1))</f>
        <v/>
      </c>
      <c r="P891" s="20">
        <f>IF(I891="","",IF(I891="Gasto",O891,0))</f>
        <v/>
      </c>
      <c r="Q891" s="20">
        <f>IF(I891="","",IF(I891="Ingreso",O891,0))</f>
        <v/>
      </c>
      <c r="R891" s="20">
        <f>IF(I891="","",IF(I891="Trading",O891,0))</f>
        <v/>
      </c>
      <c r="S891" s="19">
        <f>IF(I891="","",IF(AND(I891="Gasto",K891="Variable",J891&lt;&gt;"Trading",O891&gt;0,O891&lt;=Umbral),1,0))</f>
        <v/>
      </c>
      <c r="T891" s="20">
        <f>IF(OR(I891="",E891=""),"",IF(OR(I891="Gasto",I891="Transferencia",I891="Pago tarjeta"),-1,1)*C891)</f>
        <v/>
      </c>
      <c r="U891" s="20">
        <f>IF(OR(G891="",AND(I891&lt;&gt;"Transferencia",I891&lt;&gt;"Pago tarjeta")),"",IF(IFERROR(INDEX(ctaMon,MATCH(G891,ctaNom,0))&amp;"","DOP")=N891,C891,IF(N891="USD",C891*TasaUSD,C891/TasaUSD)))</f>
        <v/>
      </c>
      <c r="V891" s="20">
        <f>IF(I891="","",IF(IFERROR(INDEX(ctaLiq,MATCH(E891,ctaNom,0))="Sí",FALSE),IF(OR(I891="Gasto",I891="Transferencia",I891="Pago tarjeta"),-1,1)*O891,0)+IF(AND(U891&lt;&gt;"",IFERROR(INDEX(ctaLiq,MATCH(G891,ctaNom,0))="Sí",FALSE)),O891,0))</f>
        <v/>
      </c>
      <c r="W891" s="19">
        <f>IF(OR(F891="",I891=""),"",IF(COUNTIFS(F$6:F891,F891,I$6:I891,"?*")=1,MAX(W$5:W890)+1,""))</f>
        <v/>
      </c>
    </row>
    <row r="892">
      <c r="B892" s="15" t="n"/>
      <c r="C892" s="16" t="n"/>
      <c r="D892" s="17" t="n"/>
      <c r="E892" s="17" t="n"/>
      <c r="F892" s="17" t="n"/>
      <c r="G892" s="17" t="n"/>
      <c r="H892" s="18">
        <f>IF(AND(B892="",C892="",D892="",E892=""),"",IF(B892="","⚠ Falta fecha",IF(C892="","⚠ Falta monto",IF(D892="","⚠ Falta categoría",IF(ISNA(MATCH(D892,catNom,0)),"⚠ Categoría no existe",IF(E892="","⚠ Falta cuenta",IF(ISNA(MATCH(E892,ctaNom,0)),"⚠ Cuenta no existe",IF(AND(OR(I892="Transferencia",I892="Pago tarjeta"),G892=""),"⚠ Indica la cuenta «Hacia»",IF(AND(G892&lt;&gt;"",G892=E892),"⚠ «Hacia» igual a la cuenta",IF(AND(G892&lt;&gt;"",ISNA(MATCH(G892,ctaNom,0))),"⚠ «Hacia» no existe",IF(AND(I892="Pago tarjeta",IFERROR(INDEX(ctaTipo,MATCH(G892,ctaNom,0)),"")&lt;&gt;"Tarjeta de crédito"),"⚠ «Hacia» debe ser la tarjeta",IF(AND(I892="Trading",IFERROR(INDEX(ctaTipo,MATCH(E892,ctaNom,0)),"")&lt;&gt;"Cuenta de trading"),"⚠ Usa la cuenta de trading","✓"))))))))))))</f>
        <v/>
      </c>
      <c r="I892" s="19">
        <f>IF(OR(B892="",C892="",D892=""),"",IFERROR(INDEX(catTipo,MATCH(D892,catNom,0))&amp;"",""))</f>
        <v/>
      </c>
      <c r="J892" s="19">
        <f>IF(I892="","",IFERROR(INDEX(catGrupo,MATCH(D892,catNom,0))&amp;"",""))</f>
        <v/>
      </c>
      <c r="K892" s="19">
        <f>IF(I892="Gasto",IF(IFERROR(INDEX(catClas,MATCH(D892,catNom,0))&amp;"","")="","Variable",IFERROR(INDEX(catClas,MATCH(D892,catNom,0))&amp;"","")),"")</f>
        <v/>
      </c>
      <c r="L892" s="19">
        <f>IF(I892="","",IFERROR(INDEX(catAlim,MATCH(D892,catNom,0))&amp;"",""))</f>
        <v/>
      </c>
      <c r="M892" s="19">
        <f>IF(I892="","",IFERROR(INDEX(catComida,MATCH(D892,catNom,0))&amp;"",""))</f>
        <v/>
      </c>
      <c r="N892" s="19">
        <f>IF(I892="","",IFERROR(INDEX(ctaMon,MATCH(E892,ctaNom,0))&amp;"","DOP"))</f>
        <v/>
      </c>
      <c r="O892" s="20">
        <f>IF(I892="","",C892*IF(N892="USD",TasaUSD,1))</f>
        <v/>
      </c>
      <c r="P892" s="20">
        <f>IF(I892="","",IF(I892="Gasto",O892,0))</f>
        <v/>
      </c>
      <c r="Q892" s="20">
        <f>IF(I892="","",IF(I892="Ingreso",O892,0))</f>
        <v/>
      </c>
      <c r="R892" s="20">
        <f>IF(I892="","",IF(I892="Trading",O892,0))</f>
        <v/>
      </c>
      <c r="S892" s="19">
        <f>IF(I892="","",IF(AND(I892="Gasto",K892="Variable",J892&lt;&gt;"Trading",O892&gt;0,O892&lt;=Umbral),1,0))</f>
        <v/>
      </c>
      <c r="T892" s="20">
        <f>IF(OR(I892="",E892=""),"",IF(OR(I892="Gasto",I892="Transferencia",I892="Pago tarjeta"),-1,1)*C892)</f>
        <v/>
      </c>
      <c r="U892" s="20">
        <f>IF(OR(G892="",AND(I892&lt;&gt;"Transferencia",I892&lt;&gt;"Pago tarjeta")),"",IF(IFERROR(INDEX(ctaMon,MATCH(G892,ctaNom,0))&amp;"","DOP")=N892,C892,IF(N892="USD",C892*TasaUSD,C892/TasaUSD)))</f>
        <v/>
      </c>
      <c r="V892" s="20">
        <f>IF(I892="","",IF(IFERROR(INDEX(ctaLiq,MATCH(E892,ctaNom,0))="Sí",FALSE),IF(OR(I892="Gasto",I892="Transferencia",I892="Pago tarjeta"),-1,1)*O892,0)+IF(AND(U892&lt;&gt;"",IFERROR(INDEX(ctaLiq,MATCH(G892,ctaNom,0))="Sí",FALSE)),O892,0))</f>
        <v/>
      </c>
      <c r="W892" s="19">
        <f>IF(OR(F892="",I892=""),"",IF(COUNTIFS(F$6:F892,F892,I$6:I892,"?*")=1,MAX(W$5:W891)+1,""))</f>
        <v/>
      </c>
    </row>
    <row r="893">
      <c r="B893" s="15" t="n"/>
      <c r="C893" s="16" t="n"/>
      <c r="D893" s="17" t="n"/>
      <c r="E893" s="17" t="n"/>
      <c r="F893" s="17" t="n"/>
      <c r="G893" s="17" t="n"/>
      <c r="H893" s="18">
        <f>IF(AND(B893="",C893="",D893="",E893=""),"",IF(B893="","⚠ Falta fecha",IF(C893="","⚠ Falta monto",IF(D893="","⚠ Falta categoría",IF(ISNA(MATCH(D893,catNom,0)),"⚠ Categoría no existe",IF(E893="","⚠ Falta cuenta",IF(ISNA(MATCH(E893,ctaNom,0)),"⚠ Cuenta no existe",IF(AND(OR(I893="Transferencia",I893="Pago tarjeta"),G893=""),"⚠ Indica la cuenta «Hacia»",IF(AND(G893&lt;&gt;"",G893=E893),"⚠ «Hacia» igual a la cuenta",IF(AND(G893&lt;&gt;"",ISNA(MATCH(G893,ctaNom,0))),"⚠ «Hacia» no existe",IF(AND(I893="Pago tarjeta",IFERROR(INDEX(ctaTipo,MATCH(G893,ctaNom,0)),"")&lt;&gt;"Tarjeta de crédito"),"⚠ «Hacia» debe ser la tarjeta",IF(AND(I893="Trading",IFERROR(INDEX(ctaTipo,MATCH(E893,ctaNom,0)),"")&lt;&gt;"Cuenta de trading"),"⚠ Usa la cuenta de trading","✓"))))))))))))</f>
        <v/>
      </c>
      <c r="I893" s="19">
        <f>IF(OR(B893="",C893="",D893=""),"",IFERROR(INDEX(catTipo,MATCH(D893,catNom,0))&amp;"",""))</f>
        <v/>
      </c>
      <c r="J893" s="19">
        <f>IF(I893="","",IFERROR(INDEX(catGrupo,MATCH(D893,catNom,0))&amp;"",""))</f>
        <v/>
      </c>
      <c r="K893" s="19">
        <f>IF(I893="Gasto",IF(IFERROR(INDEX(catClas,MATCH(D893,catNom,0))&amp;"","")="","Variable",IFERROR(INDEX(catClas,MATCH(D893,catNom,0))&amp;"","")),"")</f>
        <v/>
      </c>
      <c r="L893" s="19">
        <f>IF(I893="","",IFERROR(INDEX(catAlim,MATCH(D893,catNom,0))&amp;"",""))</f>
        <v/>
      </c>
      <c r="M893" s="19">
        <f>IF(I893="","",IFERROR(INDEX(catComida,MATCH(D893,catNom,0))&amp;"",""))</f>
        <v/>
      </c>
      <c r="N893" s="19">
        <f>IF(I893="","",IFERROR(INDEX(ctaMon,MATCH(E893,ctaNom,0))&amp;"","DOP"))</f>
        <v/>
      </c>
      <c r="O893" s="20">
        <f>IF(I893="","",C893*IF(N893="USD",TasaUSD,1))</f>
        <v/>
      </c>
      <c r="P893" s="20">
        <f>IF(I893="","",IF(I893="Gasto",O893,0))</f>
        <v/>
      </c>
      <c r="Q893" s="20">
        <f>IF(I893="","",IF(I893="Ingreso",O893,0))</f>
        <v/>
      </c>
      <c r="R893" s="20">
        <f>IF(I893="","",IF(I893="Trading",O893,0))</f>
        <v/>
      </c>
      <c r="S893" s="19">
        <f>IF(I893="","",IF(AND(I893="Gasto",K893="Variable",J893&lt;&gt;"Trading",O893&gt;0,O893&lt;=Umbral),1,0))</f>
        <v/>
      </c>
      <c r="T893" s="20">
        <f>IF(OR(I893="",E893=""),"",IF(OR(I893="Gasto",I893="Transferencia",I893="Pago tarjeta"),-1,1)*C893)</f>
        <v/>
      </c>
      <c r="U893" s="20">
        <f>IF(OR(G893="",AND(I893&lt;&gt;"Transferencia",I893&lt;&gt;"Pago tarjeta")),"",IF(IFERROR(INDEX(ctaMon,MATCH(G893,ctaNom,0))&amp;"","DOP")=N893,C893,IF(N893="USD",C893*TasaUSD,C893/TasaUSD)))</f>
        <v/>
      </c>
      <c r="V893" s="20">
        <f>IF(I893="","",IF(IFERROR(INDEX(ctaLiq,MATCH(E893,ctaNom,0))="Sí",FALSE),IF(OR(I893="Gasto",I893="Transferencia",I893="Pago tarjeta"),-1,1)*O893,0)+IF(AND(U893&lt;&gt;"",IFERROR(INDEX(ctaLiq,MATCH(G893,ctaNom,0))="Sí",FALSE)),O893,0))</f>
        <v/>
      </c>
      <c r="W893" s="19">
        <f>IF(OR(F893="",I893=""),"",IF(COUNTIFS(F$6:F893,F893,I$6:I893,"?*")=1,MAX(W$5:W892)+1,""))</f>
        <v/>
      </c>
    </row>
    <row r="894">
      <c r="B894" s="15" t="n"/>
      <c r="C894" s="16" t="n"/>
      <c r="D894" s="17" t="n"/>
      <c r="E894" s="17" t="n"/>
      <c r="F894" s="17" t="n"/>
      <c r="G894" s="17" t="n"/>
      <c r="H894" s="18">
        <f>IF(AND(B894="",C894="",D894="",E894=""),"",IF(B894="","⚠ Falta fecha",IF(C894="","⚠ Falta monto",IF(D894="","⚠ Falta categoría",IF(ISNA(MATCH(D894,catNom,0)),"⚠ Categoría no existe",IF(E894="","⚠ Falta cuenta",IF(ISNA(MATCH(E894,ctaNom,0)),"⚠ Cuenta no existe",IF(AND(OR(I894="Transferencia",I894="Pago tarjeta"),G894=""),"⚠ Indica la cuenta «Hacia»",IF(AND(G894&lt;&gt;"",G894=E894),"⚠ «Hacia» igual a la cuenta",IF(AND(G894&lt;&gt;"",ISNA(MATCH(G894,ctaNom,0))),"⚠ «Hacia» no existe",IF(AND(I894="Pago tarjeta",IFERROR(INDEX(ctaTipo,MATCH(G894,ctaNom,0)),"")&lt;&gt;"Tarjeta de crédito"),"⚠ «Hacia» debe ser la tarjeta",IF(AND(I894="Trading",IFERROR(INDEX(ctaTipo,MATCH(E894,ctaNom,0)),"")&lt;&gt;"Cuenta de trading"),"⚠ Usa la cuenta de trading","✓"))))))))))))</f>
        <v/>
      </c>
      <c r="I894" s="19">
        <f>IF(OR(B894="",C894="",D894=""),"",IFERROR(INDEX(catTipo,MATCH(D894,catNom,0))&amp;"",""))</f>
        <v/>
      </c>
      <c r="J894" s="19">
        <f>IF(I894="","",IFERROR(INDEX(catGrupo,MATCH(D894,catNom,0))&amp;"",""))</f>
        <v/>
      </c>
      <c r="K894" s="19">
        <f>IF(I894="Gasto",IF(IFERROR(INDEX(catClas,MATCH(D894,catNom,0))&amp;"","")="","Variable",IFERROR(INDEX(catClas,MATCH(D894,catNom,0))&amp;"","")),"")</f>
        <v/>
      </c>
      <c r="L894" s="19">
        <f>IF(I894="","",IFERROR(INDEX(catAlim,MATCH(D894,catNom,0))&amp;"",""))</f>
        <v/>
      </c>
      <c r="M894" s="19">
        <f>IF(I894="","",IFERROR(INDEX(catComida,MATCH(D894,catNom,0))&amp;"",""))</f>
        <v/>
      </c>
      <c r="N894" s="19">
        <f>IF(I894="","",IFERROR(INDEX(ctaMon,MATCH(E894,ctaNom,0))&amp;"","DOP"))</f>
        <v/>
      </c>
      <c r="O894" s="20">
        <f>IF(I894="","",C894*IF(N894="USD",TasaUSD,1))</f>
        <v/>
      </c>
      <c r="P894" s="20">
        <f>IF(I894="","",IF(I894="Gasto",O894,0))</f>
        <v/>
      </c>
      <c r="Q894" s="20">
        <f>IF(I894="","",IF(I894="Ingreso",O894,0))</f>
        <v/>
      </c>
      <c r="R894" s="20">
        <f>IF(I894="","",IF(I894="Trading",O894,0))</f>
        <v/>
      </c>
      <c r="S894" s="19">
        <f>IF(I894="","",IF(AND(I894="Gasto",K894="Variable",J894&lt;&gt;"Trading",O894&gt;0,O894&lt;=Umbral),1,0))</f>
        <v/>
      </c>
      <c r="T894" s="20">
        <f>IF(OR(I894="",E894=""),"",IF(OR(I894="Gasto",I894="Transferencia",I894="Pago tarjeta"),-1,1)*C894)</f>
        <v/>
      </c>
      <c r="U894" s="20">
        <f>IF(OR(G894="",AND(I894&lt;&gt;"Transferencia",I894&lt;&gt;"Pago tarjeta")),"",IF(IFERROR(INDEX(ctaMon,MATCH(G894,ctaNom,0))&amp;"","DOP")=N894,C894,IF(N894="USD",C894*TasaUSD,C894/TasaUSD)))</f>
        <v/>
      </c>
      <c r="V894" s="20">
        <f>IF(I894="","",IF(IFERROR(INDEX(ctaLiq,MATCH(E894,ctaNom,0))="Sí",FALSE),IF(OR(I894="Gasto",I894="Transferencia",I894="Pago tarjeta"),-1,1)*O894,0)+IF(AND(U894&lt;&gt;"",IFERROR(INDEX(ctaLiq,MATCH(G894,ctaNom,0))="Sí",FALSE)),O894,0))</f>
        <v/>
      </c>
      <c r="W894" s="19">
        <f>IF(OR(F894="",I894=""),"",IF(COUNTIFS(F$6:F894,F894,I$6:I894,"?*")=1,MAX(W$5:W893)+1,""))</f>
        <v/>
      </c>
    </row>
    <row r="895">
      <c r="B895" s="15" t="n"/>
      <c r="C895" s="16" t="n"/>
      <c r="D895" s="17" t="n"/>
      <c r="E895" s="17" t="n"/>
      <c r="F895" s="17" t="n"/>
      <c r="G895" s="17" t="n"/>
      <c r="H895" s="18">
        <f>IF(AND(B895="",C895="",D895="",E895=""),"",IF(B895="","⚠ Falta fecha",IF(C895="","⚠ Falta monto",IF(D895="","⚠ Falta categoría",IF(ISNA(MATCH(D895,catNom,0)),"⚠ Categoría no existe",IF(E895="","⚠ Falta cuenta",IF(ISNA(MATCH(E895,ctaNom,0)),"⚠ Cuenta no existe",IF(AND(OR(I895="Transferencia",I895="Pago tarjeta"),G895=""),"⚠ Indica la cuenta «Hacia»",IF(AND(G895&lt;&gt;"",G895=E895),"⚠ «Hacia» igual a la cuenta",IF(AND(G895&lt;&gt;"",ISNA(MATCH(G895,ctaNom,0))),"⚠ «Hacia» no existe",IF(AND(I895="Pago tarjeta",IFERROR(INDEX(ctaTipo,MATCH(G895,ctaNom,0)),"")&lt;&gt;"Tarjeta de crédito"),"⚠ «Hacia» debe ser la tarjeta",IF(AND(I895="Trading",IFERROR(INDEX(ctaTipo,MATCH(E895,ctaNom,0)),"")&lt;&gt;"Cuenta de trading"),"⚠ Usa la cuenta de trading","✓"))))))))))))</f>
        <v/>
      </c>
      <c r="I895" s="19">
        <f>IF(OR(B895="",C895="",D895=""),"",IFERROR(INDEX(catTipo,MATCH(D895,catNom,0))&amp;"",""))</f>
        <v/>
      </c>
      <c r="J895" s="19">
        <f>IF(I895="","",IFERROR(INDEX(catGrupo,MATCH(D895,catNom,0))&amp;"",""))</f>
        <v/>
      </c>
      <c r="K895" s="19">
        <f>IF(I895="Gasto",IF(IFERROR(INDEX(catClas,MATCH(D895,catNom,0))&amp;"","")="","Variable",IFERROR(INDEX(catClas,MATCH(D895,catNom,0))&amp;"","")),"")</f>
        <v/>
      </c>
      <c r="L895" s="19">
        <f>IF(I895="","",IFERROR(INDEX(catAlim,MATCH(D895,catNom,0))&amp;"",""))</f>
        <v/>
      </c>
      <c r="M895" s="19">
        <f>IF(I895="","",IFERROR(INDEX(catComida,MATCH(D895,catNom,0))&amp;"",""))</f>
        <v/>
      </c>
      <c r="N895" s="19">
        <f>IF(I895="","",IFERROR(INDEX(ctaMon,MATCH(E895,ctaNom,0))&amp;"","DOP"))</f>
        <v/>
      </c>
      <c r="O895" s="20">
        <f>IF(I895="","",C895*IF(N895="USD",TasaUSD,1))</f>
        <v/>
      </c>
      <c r="P895" s="20">
        <f>IF(I895="","",IF(I895="Gasto",O895,0))</f>
        <v/>
      </c>
      <c r="Q895" s="20">
        <f>IF(I895="","",IF(I895="Ingreso",O895,0))</f>
        <v/>
      </c>
      <c r="R895" s="20">
        <f>IF(I895="","",IF(I895="Trading",O895,0))</f>
        <v/>
      </c>
      <c r="S895" s="19">
        <f>IF(I895="","",IF(AND(I895="Gasto",K895="Variable",J895&lt;&gt;"Trading",O895&gt;0,O895&lt;=Umbral),1,0))</f>
        <v/>
      </c>
      <c r="T895" s="20">
        <f>IF(OR(I895="",E895=""),"",IF(OR(I895="Gasto",I895="Transferencia",I895="Pago tarjeta"),-1,1)*C895)</f>
        <v/>
      </c>
      <c r="U895" s="20">
        <f>IF(OR(G895="",AND(I895&lt;&gt;"Transferencia",I895&lt;&gt;"Pago tarjeta")),"",IF(IFERROR(INDEX(ctaMon,MATCH(G895,ctaNom,0))&amp;"","DOP")=N895,C895,IF(N895="USD",C895*TasaUSD,C895/TasaUSD)))</f>
        <v/>
      </c>
      <c r="V895" s="20">
        <f>IF(I895="","",IF(IFERROR(INDEX(ctaLiq,MATCH(E895,ctaNom,0))="Sí",FALSE),IF(OR(I895="Gasto",I895="Transferencia",I895="Pago tarjeta"),-1,1)*O895,0)+IF(AND(U895&lt;&gt;"",IFERROR(INDEX(ctaLiq,MATCH(G895,ctaNom,0))="Sí",FALSE)),O895,0))</f>
        <v/>
      </c>
      <c r="W895" s="19">
        <f>IF(OR(F895="",I895=""),"",IF(COUNTIFS(F$6:F895,F895,I$6:I895,"?*")=1,MAX(W$5:W894)+1,""))</f>
        <v/>
      </c>
    </row>
    <row r="896">
      <c r="B896" s="15" t="n"/>
      <c r="C896" s="16" t="n"/>
      <c r="D896" s="17" t="n"/>
      <c r="E896" s="17" t="n"/>
      <c r="F896" s="17" t="n"/>
      <c r="G896" s="17" t="n"/>
      <c r="H896" s="18">
        <f>IF(AND(B896="",C896="",D896="",E896=""),"",IF(B896="","⚠ Falta fecha",IF(C896="","⚠ Falta monto",IF(D896="","⚠ Falta categoría",IF(ISNA(MATCH(D896,catNom,0)),"⚠ Categoría no existe",IF(E896="","⚠ Falta cuenta",IF(ISNA(MATCH(E896,ctaNom,0)),"⚠ Cuenta no existe",IF(AND(OR(I896="Transferencia",I896="Pago tarjeta"),G896=""),"⚠ Indica la cuenta «Hacia»",IF(AND(G896&lt;&gt;"",G896=E896),"⚠ «Hacia» igual a la cuenta",IF(AND(G896&lt;&gt;"",ISNA(MATCH(G896,ctaNom,0))),"⚠ «Hacia» no existe",IF(AND(I896="Pago tarjeta",IFERROR(INDEX(ctaTipo,MATCH(G896,ctaNom,0)),"")&lt;&gt;"Tarjeta de crédito"),"⚠ «Hacia» debe ser la tarjeta",IF(AND(I896="Trading",IFERROR(INDEX(ctaTipo,MATCH(E896,ctaNom,0)),"")&lt;&gt;"Cuenta de trading"),"⚠ Usa la cuenta de trading","✓"))))))))))))</f>
        <v/>
      </c>
      <c r="I896" s="19">
        <f>IF(OR(B896="",C896="",D896=""),"",IFERROR(INDEX(catTipo,MATCH(D896,catNom,0))&amp;"",""))</f>
        <v/>
      </c>
      <c r="J896" s="19">
        <f>IF(I896="","",IFERROR(INDEX(catGrupo,MATCH(D896,catNom,0))&amp;"",""))</f>
        <v/>
      </c>
      <c r="K896" s="19">
        <f>IF(I896="Gasto",IF(IFERROR(INDEX(catClas,MATCH(D896,catNom,0))&amp;"","")="","Variable",IFERROR(INDEX(catClas,MATCH(D896,catNom,0))&amp;"","")),"")</f>
        <v/>
      </c>
      <c r="L896" s="19">
        <f>IF(I896="","",IFERROR(INDEX(catAlim,MATCH(D896,catNom,0))&amp;"",""))</f>
        <v/>
      </c>
      <c r="M896" s="19">
        <f>IF(I896="","",IFERROR(INDEX(catComida,MATCH(D896,catNom,0))&amp;"",""))</f>
        <v/>
      </c>
      <c r="N896" s="19">
        <f>IF(I896="","",IFERROR(INDEX(ctaMon,MATCH(E896,ctaNom,0))&amp;"","DOP"))</f>
        <v/>
      </c>
      <c r="O896" s="20">
        <f>IF(I896="","",C896*IF(N896="USD",TasaUSD,1))</f>
        <v/>
      </c>
      <c r="P896" s="20">
        <f>IF(I896="","",IF(I896="Gasto",O896,0))</f>
        <v/>
      </c>
      <c r="Q896" s="20">
        <f>IF(I896="","",IF(I896="Ingreso",O896,0))</f>
        <v/>
      </c>
      <c r="R896" s="20">
        <f>IF(I896="","",IF(I896="Trading",O896,0))</f>
        <v/>
      </c>
      <c r="S896" s="19">
        <f>IF(I896="","",IF(AND(I896="Gasto",K896="Variable",J896&lt;&gt;"Trading",O896&gt;0,O896&lt;=Umbral),1,0))</f>
        <v/>
      </c>
      <c r="T896" s="20">
        <f>IF(OR(I896="",E896=""),"",IF(OR(I896="Gasto",I896="Transferencia",I896="Pago tarjeta"),-1,1)*C896)</f>
        <v/>
      </c>
      <c r="U896" s="20">
        <f>IF(OR(G896="",AND(I896&lt;&gt;"Transferencia",I896&lt;&gt;"Pago tarjeta")),"",IF(IFERROR(INDEX(ctaMon,MATCH(G896,ctaNom,0))&amp;"","DOP")=N896,C896,IF(N896="USD",C896*TasaUSD,C896/TasaUSD)))</f>
        <v/>
      </c>
      <c r="V896" s="20">
        <f>IF(I896="","",IF(IFERROR(INDEX(ctaLiq,MATCH(E896,ctaNom,0))="Sí",FALSE),IF(OR(I896="Gasto",I896="Transferencia",I896="Pago tarjeta"),-1,1)*O896,0)+IF(AND(U896&lt;&gt;"",IFERROR(INDEX(ctaLiq,MATCH(G896,ctaNom,0))="Sí",FALSE)),O896,0))</f>
        <v/>
      </c>
      <c r="W896" s="19">
        <f>IF(OR(F896="",I896=""),"",IF(COUNTIFS(F$6:F896,F896,I$6:I896,"?*")=1,MAX(W$5:W895)+1,""))</f>
        <v/>
      </c>
    </row>
    <row r="897">
      <c r="B897" s="15" t="n"/>
      <c r="C897" s="16" t="n"/>
      <c r="D897" s="17" t="n"/>
      <c r="E897" s="17" t="n"/>
      <c r="F897" s="17" t="n"/>
      <c r="G897" s="17" t="n"/>
      <c r="H897" s="18">
        <f>IF(AND(B897="",C897="",D897="",E897=""),"",IF(B897="","⚠ Falta fecha",IF(C897="","⚠ Falta monto",IF(D897="","⚠ Falta categoría",IF(ISNA(MATCH(D897,catNom,0)),"⚠ Categoría no existe",IF(E897="","⚠ Falta cuenta",IF(ISNA(MATCH(E897,ctaNom,0)),"⚠ Cuenta no existe",IF(AND(OR(I897="Transferencia",I897="Pago tarjeta"),G897=""),"⚠ Indica la cuenta «Hacia»",IF(AND(G897&lt;&gt;"",G897=E897),"⚠ «Hacia» igual a la cuenta",IF(AND(G897&lt;&gt;"",ISNA(MATCH(G897,ctaNom,0))),"⚠ «Hacia» no existe",IF(AND(I897="Pago tarjeta",IFERROR(INDEX(ctaTipo,MATCH(G897,ctaNom,0)),"")&lt;&gt;"Tarjeta de crédito"),"⚠ «Hacia» debe ser la tarjeta",IF(AND(I897="Trading",IFERROR(INDEX(ctaTipo,MATCH(E897,ctaNom,0)),"")&lt;&gt;"Cuenta de trading"),"⚠ Usa la cuenta de trading","✓"))))))))))))</f>
        <v/>
      </c>
      <c r="I897" s="19">
        <f>IF(OR(B897="",C897="",D897=""),"",IFERROR(INDEX(catTipo,MATCH(D897,catNom,0))&amp;"",""))</f>
        <v/>
      </c>
      <c r="J897" s="19">
        <f>IF(I897="","",IFERROR(INDEX(catGrupo,MATCH(D897,catNom,0))&amp;"",""))</f>
        <v/>
      </c>
      <c r="K897" s="19">
        <f>IF(I897="Gasto",IF(IFERROR(INDEX(catClas,MATCH(D897,catNom,0))&amp;"","")="","Variable",IFERROR(INDEX(catClas,MATCH(D897,catNom,0))&amp;"","")),"")</f>
        <v/>
      </c>
      <c r="L897" s="19">
        <f>IF(I897="","",IFERROR(INDEX(catAlim,MATCH(D897,catNom,0))&amp;"",""))</f>
        <v/>
      </c>
      <c r="M897" s="19">
        <f>IF(I897="","",IFERROR(INDEX(catComida,MATCH(D897,catNom,0))&amp;"",""))</f>
        <v/>
      </c>
      <c r="N897" s="19">
        <f>IF(I897="","",IFERROR(INDEX(ctaMon,MATCH(E897,ctaNom,0))&amp;"","DOP"))</f>
        <v/>
      </c>
      <c r="O897" s="20">
        <f>IF(I897="","",C897*IF(N897="USD",TasaUSD,1))</f>
        <v/>
      </c>
      <c r="P897" s="20">
        <f>IF(I897="","",IF(I897="Gasto",O897,0))</f>
        <v/>
      </c>
      <c r="Q897" s="20">
        <f>IF(I897="","",IF(I897="Ingreso",O897,0))</f>
        <v/>
      </c>
      <c r="R897" s="20">
        <f>IF(I897="","",IF(I897="Trading",O897,0))</f>
        <v/>
      </c>
      <c r="S897" s="19">
        <f>IF(I897="","",IF(AND(I897="Gasto",K897="Variable",J897&lt;&gt;"Trading",O897&gt;0,O897&lt;=Umbral),1,0))</f>
        <v/>
      </c>
      <c r="T897" s="20">
        <f>IF(OR(I897="",E897=""),"",IF(OR(I897="Gasto",I897="Transferencia",I897="Pago tarjeta"),-1,1)*C897)</f>
        <v/>
      </c>
      <c r="U897" s="20">
        <f>IF(OR(G897="",AND(I897&lt;&gt;"Transferencia",I897&lt;&gt;"Pago tarjeta")),"",IF(IFERROR(INDEX(ctaMon,MATCH(G897,ctaNom,0))&amp;"","DOP")=N897,C897,IF(N897="USD",C897*TasaUSD,C897/TasaUSD)))</f>
        <v/>
      </c>
      <c r="V897" s="20">
        <f>IF(I897="","",IF(IFERROR(INDEX(ctaLiq,MATCH(E897,ctaNom,0))="Sí",FALSE),IF(OR(I897="Gasto",I897="Transferencia",I897="Pago tarjeta"),-1,1)*O897,0)+IF(AND(U897&lt;&gt;"",IFERROR(INDEX(ctaLiq,MATCH(G897,ctaNom,0))="Sí",FALSE)),O897,0))</f>
        <v/>
      </c>
      <c r="W897" s="19">
        <f>IF(OR(F897="",I897=""),"",IF(COUNTIFS(F$6:F897,F897,I$6:I897,"?*")=1,MAX(W$5:W896)+1,""))</f>
        <v/>
      </c>
    </row>
    <row r="898">
      <c r="B898" s="15" t="n"/>
      <c r="C898" s="16" t="n"/>
      <c r="D898" s="17" t="n"/>
      <c r="E898" s="17" t="n"/>
      <c r="F898" s="17" t="n"/>
      <c r="G898" s="17" t="n"/>
      <c r="H898" s="18">
        <f>IF(AND(B898="",C898="",D898="",E898=""),"",IF(B898="","⚠ Falta fecha",IF(C898="","⚠ Falta monto",IF(D898="","⚠ Falta categoría",IF(ISNA(MATCH(D898,catNom,0)),"⚠ Categoría no existe",IF(E898="","⚠ Falta cuenta",IF(ISNA(MATCH(E898,ctaNom,0)),"⚠ Cuenta no existe",IF(AND(OR(I898="Transferencia",I898="Pago tarjeta"),G898=""),"⚠ Indica la cuenta «Hacia»",IF(AND(G898&lt;&gt;"",G898=E898),"⚠ «Hacia» igual a la cuenta",IF(AND(G898&lt;&gt;"",ISNA(MATCH(G898,ctaNom,0))),"⚠ «Hacia» no existe",IF(AND(I898="Pago tarjeta",IFERROR(INDEX(ctaTipo,MATCH(G898,ctaNom,0)),"")&lt;&gt;"Tarjeta de crédito"),"⚠ «Hacia» debe ser la tarjeta",IF(AND(I898="Trading",IFERROR(INDEX(ctaTipo,MATCH(E898,ctaNom,0)),"")&lt;&gt;"Cuenta de trading"),"⚠ Usa la cuenta de trading","✓"))))))))))))</f>
        <v/>
      </c>
      <c r="I898" s="19">
        <f>IF(OR(B898="",C898="",D898=""),"",IFERROR(INDEX(catTipo,MATCH(D898,catNom,0))&amp;"",""))</f>
        <v/>
      </c>
      <c r="J898" s="19">
        <f>IF(I898="","",IFERROR(INDEX(catGrupo,MATCH(D898,catNom,0))&amp;"",""))</f>
        <v/>
      </c>
      <c r="K898" s="19">
        <f>IF(I898="Gasto",IF(IFERROR(INDEX(catClas,MATCH(D898,catNom,0))&amp;"","")="","Variable",IFERROR(INDEX(catClas,MATCH(D898,catNom,0))&amp;"","")),"")</f>
        <v/>
      </c>
      <c r="L898" s="19">
        <f>IF(I898="","",IFERROR(INDEX(catAlim,MATCH(D898,catNom,0))&amp;"",""))</f>
        <v/>
      </c>
      <c r="M898" s="19">
        <f>IF(I898="","",IFERROR(INDEX(catComida,MATCH(D898,catNom,0))&amp;"",""))</f>
        <v/>
      </c>
      <c r="N898" s="19">
        <f>IF(I898="","",IFERROR(INDEX(ctaMon,MATCH(E898,ctaNom,0))&amp;"","DOP"))</f>
        <v/>
      </c>
      <c r="O898" s="20">
        <f>IF(I898="","",C898*IF(N898="USD",TasaUSD,1))</f>
        <v/>
      </c>
      <c r="P898" s="20">
        <f>IF(I898="","",IF(I898="Gasto",O898,0))</f>
        <v/>
      </c>
      <c r="Q898" s="20">
        <f>IF(I898="","",IF(I898="Ingreso",O898,0))</f>
        <v/>
      </c>
      <c r="R898" s="20">
        <f>IF(I898="","",IF(I898="Trading",O898,0))</f>
        <v/>
      </c>
      <c r="S898" s="19">
        <f>IF(I898="","",IF(AND(I898="Gasto",K898="Variable",J898&lt;&gt;"Trading",O898&gt;0,O898&lt;=Umbral),1,0))</f>
        <v/>
      </c>
      <c r="T898" s="20">
        <f>IF(OR(I898="",E898=""),"",IF(OR(I898="Gasto",I898="Transferencia",I898="Pago tarjeta"),-1,1)*C898)</f>
        <v/>
      </c>
      <c r="U898" s="20">
        <f>IF(OR(G898="",AND(I898&lt;&gt;"Transferencia",I898&lt;&gt;"Pago tarjeta")),"",IF(IFERROR(INDEX(ctaMon,MATCH(G898,ctaNom,0))&amp;"","DOP")=N898,C898,IF(N898="USD",C898*TasaUSD,C898/TasaUSD)))</f>
        <v/>
      </c>
      <c r="V898" s="20">
        <f>IF(I898="","",IF(IFERROR(INDEX(ctaLiq,MATCH(E898,ctaNom,0))="Sí",FALSE),IF(OR(I898="Gasto",I898="Transferencia",I898="Pago tarjeta"),-1,1)*O898,0)+IF(AND(U898&lt;&gt;"",IFERROR(INDEX(ctaLiq,MATCH(G898,ctaNom,0))="Sí",FALSE)),O898,0))</f>
        <v/>
      </c>
      <c r="W898" s="19">
        <f>IF(OR(F898="",I898=""),"",IF(COUNTIFS(F$6:F898,F898,I$6:I898,"?*")=1,MAX(W$5:W897)+1,""))</f>
        <v/>
      </c>
    </row>
    <row r="899">
      <c r="B899" s="15" t="n"/>
      <c r="C899" s="16" t="n"/>
      <c r="D899" s="17" t="n"/>
      <c r="E899" s="17" t="n"/>
      <c r="F899" s="17" t="n"/>
      <c r="G899" s="17" t="n"/>
      <c r="H899" s="18">
        <f>IF(AND(B899="",C899="",D899="",E899=""),"",IF(B899="","⚠ Falta fecha",IF(C899="","⚠ Falta monto",IF(D899="","⚠ Falta categoría",IF(ISNA(MATCH(D899,catNom,0)),"⚠ Categoría no existe",IF(E899="","⚠ Falta cuenta",IF(ISNA(MATCH(E899,ctaNom,0)),"⚠ Cuenta no existe",IF(AND(OR(I899="Transferencia",I899="Pago tarjeta"),G899=""),"⚠ Indica la cuenta «Hacia»",IF(AND(G899&lt;&gt;"",G899=E899),"⚠ «Hacia» igual a la cuenta",IF(AND(G899&lt;&gt;"",ISNA(MATCH(G899,ctaNom,0))),"⚠ «Hacia» no existe",IF(AND(I899="Pago tarjeta",IFERROR(INDEX(ctaTipo,MATCH(G899,ctaNom,0)),"")&lt;&gt;"Tarjeta de crédito"),"⚠ «Hacia» debe ser la tarjeta",IF(AND(I899="Trading",IFERROR(INDEX(ctaTipo,MATCH(E899,ctaNom,0)),"")&lt;&gt;"Cuenta de trading"),"⚠ Usa la cuenta de trading","✓"))))))))))))</f>
        <v/>
      </c>
      <c r="I899" s="19">
        <f>IF(OR(B899="",C899="",D899=""),"",IFERROR(INDEX(catTipo,MATCH(D899,catNom,0))&amp;"",""))</f>
        <v/>
      </c>
      <c r="J899" s="19">
        <f>IF(I899="","",IFERROR(INDEX(catGrupo,MATCH(D899,catNom,0))&amp;"",""))</f>
        <v/>
      </c>
      <c r="K899" s="19">
        <f>IF(I899="Gasto",IF(IFERROR(INDEX(catClas,MATCH(D899,catNom,0))&amp;"","")="","Variable",IFERROR(INDEX(catClas,MATCH(D899,catNom,0))&amp;"","")),"")</f>
        <v/>
      </c>
      <c r="L899" s="19">
        <f>IF(I899="","",IFERROR(INDEX(catAlim,MATCH(D899,catNom,0))&amp;"",""))</f>
        <v/>
      </c>
      <c r="M899" s="19">
        <f>IF(I899="","",IFERROR(INDEX(catComida,MATCH(D899,catNom,0))&amp;"",""))</f>
        <v/>
      </c>
      <c r="N899" s="19">
        <f>IF(I899="","",IFERROR(INDEX(ctaMon,MATCH(E899,ctaNom,0))&amp;"","DOP"))</f>
        <v/>
      </c>
      <c r="O899" s="20">
        <f>IF(I899="","",C899*IF(N899="USD",TasaUSD,1))</f>
        <v/>
      </c>
      <c r="P899" s="20">
        <f>IF(I899="","",IF(I899="Gasto",O899,0))</f>
        <v/>
      </c>
      <c r="Q899" s="20">
        <f>IF(I899="","",IF(I899="Ingreso",O899,0))</f>
        <v/>
      </c>
      <c r="R899" s="20">
        <f>IF(I899="","",IF(I899="Trading",O899,0))</f>
        <v/>
      </c>
      <c r="S899" s="19">
        <f>IF(I899="","",IF(AND(I899="Gasto",K899="Variable",J899&lt;&gt;"Trading",O899&gt;0,O899&lt;=Umbral),1,0))</f>
        <v/>
      </c>
      <c r="T899" s="20">
        <f>IF(OR(I899="",E899=""),"",IF(OR(I899="Gasto",I899="Transferencia",I899="Pago tarjeta"),-1,1)*C899)</f>
        <v/>
      </c>
      <c r="U899" s="20">
        <f>IF(OR(G899="",AND(I899&lt;&gt;"Transferencia",I899&lt;&gt;"Pago tarjeta")),"",IF(IFERROR(INDEX(ctaMon,MATCH(G899,ctaNom,0))&amp;"","DOP")=N899,C899,IF(N899="USD",C899*TasaUSD,C899/TasaUSD)))</f>
        <v/>
      </c>
      <c r="V899" s="20">
        <f>IF(I899="","",IF(IFERROR(INDEX(ctaLiq,MATCH(E899,ctaNom,0))="Sí",FALSE),IF(OR(I899="Gasto",I899="Transferencia",I899="Pago tarjeta"),-1,1)*O899,0)+IF(AND(U899&lt;&gt;"",IFERROR(INDEX(ctaLiq,MATCH(G899,ctaNom,0))="Sí",FALSE)),O899,0))</f>
        <v/>
      </c>
      <c r="W899" s="19">
        <f>IF(OR(F899="",I899=""),"",IF(COUNTIFS(F$6:F899,F899,I$6:I899,"?*")=1,MAX(W$5:W898)+1,""))</f>
        <v/>
      </c>
    </row>
    <row r="900">
      <c r="B900" s="15" t="n"/>
      <c r="C900" s="16" t="n"/>
      <c r="D900" s="17" t="n"/>
      <c r="E900" s="17" t="n"/>
      <c r="F900" s="17" t="n"/>
      <c r="G900" s="17" t="n"/>
      <c r="H900" s="18">
        <f>IF(AND(B900="",C900="",D900="",E900=""),"",IF(B900="","⚠ Falta fecha",IF(C900="","⚠ Falta monto",IF(D900="","⚠ Falta categoría",IF(ISNA(MATCH(D900,catNom,0)),"⚠ Categoría no existe",IF(E900="","⚠ Falta cuenta",IF(ISNA(MATCH(E900,ctaNom,0)),"⚠ Cuenta no existe",IF(AND(OR(I900="Transferencia",I900="Pago tarjeta"),G900=""),"⚠ Indica la cuenta «Hacia»",IF(AND(G900&lt;&gt;"",G900=E900),"⚠ «Hacia» igual a la cuenta",IF(AND(G900&lt;&gt;"",ISNA(MATCH(G900,ctaNom,0))),"⚠ «Hacia» no existe",IF(AND(I900="Pago tarjeta",IFERROR(INDEX(ctaTipo,MATCH(G900,ctaNom,0)),"")&lt;&gt;"Tarjeta de crédito"),"⚠ «Hacia» debe ser la tarjeta",IF(AND(I900="Trading",IFERROR(INDEX(ctaTipo,MATCH(E900,ctaNom,0)),"")&lt;&gt;"Cuenta de trading"),"⚠ Usa la cuenta de trading","✓"))))))))))))</f>
        <v/>
      </c>
      <c r="I900" s="19">
        <f>IF(OR(B900="",C900="",D900=""),"",IFERROR(INDEX(catTipo,MATCH(D900,catNom,0))&amp;"",""))</f>
        <v/>
      </c>
      <c r="J900" s="19">
        <f>IF(I900="","",IFERROR(INDEX(catGrupo,MATCH(D900,catNom,0))&amp;"",""))</f>
        <v/>
      </c>
      <c r="K900" s="19">
        <f>IF(I900="Gasto",IF(IFERROR(INDEX(catClas,MATCH(D900,catNom,0))&amp;"","")="","Variable",IFERROR(INDEX(catClas,MATCH(D900,catNom,0))&amp;"","")),"")</f>
        <v/>
      </c>
      <c r="L900" s="19">
        <f>IF(I900="","",IFERROR(INDEX(catAlim,MATCH(D900,catNom,0))&amp;"",""))</f>
        <v/>
      </c>
      <c r="M900" s="19">
        <f>IF(I900="","",IFERROR(INDEX(catComida,MATCH(D900,catNom,0))&amp;"",""))</f>
        <v/>
      </c>
      <c r="N900" s="19">
        <f>IF(I900="","",IFERROR(INDEX(ctaMon,MATCH(E900,ctaNom,0))&amp;"","DOP"))</f>
        <v/>
      </c>
      <c r="O900" s="20">
        <f>IF(I900="","",C900*IF(N900="USD",TasaUSD,1))</f>
        <v/>
      </c>
      <c r="P900" s="20">
        <f>IF(I900="","",IF(I900="Gasto",O900,0))</f>
        <v/>
      </c>
      <c r="Q900" s="20">
        <f>IF(I900="","",IF(I900="Ingreso",O900,0))</f>
        <v/>
      </c>
      <c r="R900" s="20">
        <f>IF(I900="","",IF(I900="Trading",O900,0))</f>
        <v/>
      </c>
      <c r="S900" s="19">
        <f>IF(I900="","",IF(AND(I900="Gasto",K900="Variable",J900&lt;&gt;"Trading",O900&gt;0,O900&lt;=Umbral),1,0))</f>
        <v/>
      </c>
      <c r="T900" s="20">
        <f>IF(OR(I900="",E900=""),"",IF(OR(I900="Gasto",I900="Transferencia",I900="Pago tarjeta"),-1,1)*C900)</f>
        <v/>
      </c>
      <c r="U900" s="20">
        <f>IF(OR(G900="",AND(I900&lt;&gt;"Transferencia",I900&lt;&gt;"Pago tarjeta")),"",IF(IFERROR(INDEX(ctaMon,MATCH(G900,ctaNom,0))&amp;"","DOP")=N900,C900,IF(N900="USD",C900*TasaUSD,C900/TasaUSD)))</f>
        <v/>
      </c>
      <c r="V900" s="20">
        <f>IF(I900="","",IF(IFERROR(INDEX(ctaLiq,MATCH(E900,ctaNom,0))="Sí",FALSE),IF(OR(I900="Gasto",I900="Transferencia",I900="Pago tarjeta"),-1,1)*O900,0)+IF(AND(U900&lt;&gt;"",IFERROR(INDEX(ctaLiq,MATCH(G900,ctaNom,0))="Sí",FALSE)),O900,0))</f>
        <v/>
      </c>
      <c r="W900" s="19">
        <f>IF(OR(F900="",I900=""),"",IF(COUNTIFS(F$6:F900,F900,I$6:I900,"?*")=1,MAX(W$5:W899)+1,""))</f>
        <v/>
      </c>
    </row>
    <row r="901">
      <c r="B901" s="15" t="n"/>
      <c r="C901" s="16" t="n"/>
      <c r="D901" s="17" t="n"/>
      <c r="E901" s="17" t="n"/>
      <c r="F901" s="17" t="n"/>
      <c r="G901" s="17" t="n"/>
      <c r="H901" s="18">
        <f>IF(AND(B901="",C901="",D901="",E901=""),"",IF(B901="","⚠ Falta fecha",IF(C901="","⚠ Falta monto",IF(D901="","⚠ Falta categoría",IF(ISNA(MATCH(D901,catNom,0)),"⚠ Categoría no existe",IF(E901="","⚠ Falta cuenta",IF(ISNA(MATCH(E901,ctaNom,0)),"⚠ Cuenta no existe",IF(AND(OR(I901="Transferencia",I901="Pago tarjeta"),G901=""),"⚠ Indica la cuenta «Hacia»",IF(AND(G901&lt;&gt;"",G901=E901),"⚠ «Hacia» igual a la cuenta",IF(AND(G901&lt;&gt;"",ISNA(MATCH(G901,ctaNom,0))),"⚠ «Hacia» no existe",IF(AND(I901="Pago tarjeta",IFERROR(INDEX(ctaTipo,MATCH(G901,ctaNom,0)),"")&lt;&gt;"Tarjeta de crédito"),"⚠ «Hacia» debe ser la tarjeta",IF(AND(I901="Trading",IFERROR(INDEX(ctaTipo,MATCH(E901,ctaNom,0)),"")&lt;&gt;"Cuenta de trading"),"⚠ Usa la cuenta de trading","✓"))))))))))))</f>
        <v/>
      </c>
      <c r="I901" s="19">
        <f>IF(OR(B901="",C901="",D901=""),"",IFERROR(INDEX(catTipo,MATCH(D901,catNom,0))&amp;"",""))</f>
        <v/>
      </c>
      <c r="J901" s="19">
        <f>IF(I901="","",IFERROR(INDEX(catGrupo,MATCH(D901,catNom,0))&amp;"",""))</f>
        <v/>
      </c>
      <c r="K901" s="19">
        <f>IF(I901="Gasto",IF(IFERROR(INDEX(catClas,MATCH(D901,catNom,0))&amp;"","")="","Variable",IFERROR(INDEX(catClas,MATCH(D901,catNom,0))&amp;"","")),"")</f>
        <v/>
      </c>
      <c r="L901" s="19">
        <f>IF(I901="","",IFERROR(INDEX(catAlim,MATCH(D901,catNom,0))&amp;"",""))</f>
        <v/>
      </c>
      <c r="M901" s="19">
        <f>IF(I901="","",IFERROR(INDEX(catComida,MATCH(D901,catNom,0))&amp;"",""))</f>
        <v/>
      </c>
      <c r="N901" s="19">
        <f>IF(I901="","",IFERROR(INDEX(ctaMon,MATCH(E901,ctaNom,0))&amp;"","DOP"))</f>
        <v/>
      </c>
      <c r="O901" s="20">
        <f>IF(I901="","",C901*IF(N901="USD",TasaUSD,1))</f>
        <v/>
      </c>
      <c r="P901" s="20">
        <f>IF(I901="","",IF(I901="Gasto",O901,0))</f>
        <v/>
      </c>
      <c r="Q901" s="20">
        <f>IF(I901="","",IF(I901="Ingreso",O901,0))</f>
        <v/>
      </c>
      <c r="R901" s="20">
        <f>IF(I901="","",IF(I901="Trading",O901,0))</f>
        <v/>
      </c>
      <c r="S901" s="19">
        <f>IF(I901="","",IF(AND(I901="Gasto",K901="Variable",J901&lt;&gt;"Trading",O901&gt;0,O901&lt;=Umbral),1,0))</f>
        <v/>
      </c>
      <c r="T901" s="20">
        <f>IF(OR(I901="",E901=""),"",IF(OR(I901="Gasto",I901="Transferencia",I901="Pago tarjeta"),-1,1)*C901)</f>
        <v/>
      </c>
      <c r="U901" s="20">
        <f>IF(OR(G901="",AND(I901&lt;&gt;"Transferencia",I901&lt;&gt;"Pago tarjeta")),"",IF(IFERROR(INDEX(ctaMon,MATCH(G901,ctaNom,0))&amp;"","DOP")=N901,C901,IF(N901="USD",C901*TasaUSD,C901/TasaUSD)))</f>
        <v/>
      </c>
      <c r="V901" s="20">
        <f>IF(I901="","",IF(IFERROR(INDEX(ctaLiq,MATCH(E901,ctaNom,0))="Sí",FALSE),IF(OR(I901="Gasto",I901="Transferencia",I901="Pago tarjeta"),-1,1)*O901,0)+IF(AND(U901&lt;&gt;"",IFERROR(INDEX(ctaLiq,MATCH(G901,ctaNom,0))="Sí",FALSE)),O901,0))</f>
        <v/>
      </c>
      <c r="W901" s="19">
        <f>IF(OR(F901="",I901=""),"",IF(COUNTIFS(F$6:F901,F901,I$6:I901,"?*")=1,MAX(W$5:W900)+1,""))</f>
        <v/>
      </c>
    </row>
    <row r="902">
      <c r="B902" s="15" t="n"/>
      <c r="C902" s="16" t="n"/>
      <c r="D902" s="17" t="n"/>
      <c r="E902" s="17" t="n"/>
      <c r="F902" s="17" t="n"/>
      <c r="G902" s="17" t="n"/>
      <c r="H902" s="18">
        <f>IF(AND(B902="",C902="",D902="",E902=""),"",IF(B902="","⚠ Falta fecha",IF(C902="","⚠ Falta monto",IF(D902="","⚠ Falta categoría",IF(ISNA(MATCH(D902,catNom,0)),"⚠ Categoría no existe",IF(E902="","⚠ Falta cuenta",IF(ISNA(MATCH(E902,ctaNom,0)),"⚠ Cuenta no existe",IF(AND(OR(I902="Transferencia",I902="Pago tarjeta"),G902=""),"⚠ Indica la cuenta «Hacia»",IF(AND(G902&lt;&gt;"",G902=E902),"⚠ «Hacia» igual a la cuenta",IF(AND(G902&lt;&gt;"",ISNA(MATCH(G902,ctaNom,0))),"⚠ «Hacia» no existe",IF(AND(I902="Pago tarjeta",IFERROR(INDEX(ctaTipo,MATCH(G902,ctaNom,0)),"")&lt;&gt;"Tarjeta de crédito"),"⚠ «Hacia» debe ser la tarjeta",IF(AND(I902="Trading",IFERROR(INDEX(ctaTipo,MATCH(E902,ctaNom,0)),"")&lt;&gt;"Cuenta de trading"),"⚠ Usa la cuenta de trading","✓"))))))))))))</f>
        <v/>
      </c>
      <c r="I902" s="19">
        <f>IF(OR(B902="",C902="",D902=""),"",IFERROR(INDEX(catTipo,MATCH(D902,catNom,0))&amp;"",""))</f>
        <v/>
      </c>
      <c r="J902" s="19">
        <f>IF(I902="","",IFERROR(INDEX(catGrupo,MATCH(D902,catNom,0))&amp;"",""))</f>
        <v/>
      </c>
      <c r="K902" s="19">
        <f>IF(I902="Gasto",IF(IFERROR(INDEX(catClas,MATCH(D902,catNom,0))&amp;"","")="","Variable",IFERROR(INDEX(catClas,MATCH(D902,catNom,0))&amp;"","")),"")</f>
        <v/>
      </c>
      <c r="L902" s="19">
        <f>IF(I902="","",IFERROR(INDEX(catAlim,MATCH(D902,catNom,0))&amp;"",""))</f>
        <v/>
      </c>
      <c r="M902" s="19">
        <f>IF(I902="","",IFERROR(INDEX(catComida,MATCH(D902,catNom,0))&amp;"",""))</f>
        <v/>
      </c>
      <c r="N902" s="19">
        <f>IF(I902="","",IFERROR(INDEX(ctaMon,MATCH(E902,ctaNom,0))&amp;"","DOP"))</f>
        <v/>
      </c>
      <c r="O902" s="20">
        <f>IF(I902="","",C902*IF(N902="USD",TasaUSD,1))</f>
        <v/>
      </c>
      <c r="P902" s="20">
        <f>IF(I902="","",IF(I902="Gasto",O902,0))</f>
        <v/>
      </c>
      <c r="Q902" s="20">
        <f>IF(I902="","",IF(I902="Ingreso",O902,0))</f>
        <v/>
      </c>
      <c r="R902" s="20">
        <f>IF(I902="","",IF(I902="Trading",O902,0))</f>
        <v/>
      </c>
      <c r="S902" s="19">
        <f>IF(I902="","",IF(AND(I902="Gasto",K902="Variable",J902&lt;&gt;"Trading",O902&gt;0,O902&lt;=Umbral),1,0))</f>
        <v/>
      </c>
      <c r="T902" s="20">
        <f>IF(OR(I902="",E902=""),"",IF(OR(I902="Gasto",I902="Transferencia",I902="Pago tarjeta"),-1,1)*C902)</f>
        <v/>
      </c>
      <c r="U902" s="20">
        <f>IF(OR(G902="",AND(I902&lt;&gt;"Transferencia",I902&lt;&gt;"Pago tarjeta")),"",IF(IFERROR(INDEX(ctaMon,MATCH(G902,ctaNom,0))&amp;"","DOP")=N902,C902,IF(N902="USD",C902*TasaUSD,C902/TasaUSD)))</f>
        <v/>
      </c>
      <c r="V902" s="20">
        <f>IF(I902="","",IF(IFERROR(INDEX(ctaLiq,MATCH(E902,ctaNom,0))="Sí",FALSE),IF(OR(I902="Gasto",I902="Transferencia",I902="Pago tarjeta"),-1,1)*O902,0)+IF(AND(U902&lt;&gt;"",IFERROR(INDEX(ctaLiq,MATCH(G902,ctaNom,0))="Sí",FALSE)),O902,0))</f>
        <v/>
      </c>
      <c r="W902" s="19">
        <f>IF(OR(F902="",I902=""),"",IF(COUNTIFS(F$6:F902,F902,I$6:I902,"?*")=1,MAX(W$5:W901)+1,""))</f>
        <v/>
      </c>
    </row>
    <row r="903">
      <c r="B903" s="15" t="n"/>
      <c r="C903" s="16" t="n"/>
      <c r="D903" s="17" t="n"/>
      <c r="E903" s="17" t="n"/>
      <c r="F903" s="17" t="n"/>
      <c r="G903" s="17" t="n"/>
      <c r="H903" s="18">
        <f>IF(AND(B903="",C903="",D903="",E903=""),"",IF(B903="","⚠ Falta fecha",IF(C903="","⚠ Falta monto",IF(D903="","⚠ Falta categoría",IF(ISNA(MATCH(D903,catNom,0)),"⚠ Categoría no existe",IF(E903="","⚠ Falta cuenta",IF(ISNA(MATCH(E903,ctaNom,0)),"⚠ Cuenta no existe",IF(AND(OR(I903="Transferencia",I903="Pago tarjeta"),G903=""),"⚠ Indica la cuenta «Hacia»",IF(AND(G903&lt;&gt;"",G903=E903),"⚠ «Hacia» igual a la cuenta",IF(AND(G903&lt;&gt;"",ISNA(MATCH(G903,ctaNom,0))),"⚠ «Hacia» no existe",IF(AND(I903="Pago tarjeta",IFERROR(INDEX(ctaTipo,MATCH(G903,ctaNom,0)),"")&lt;&gt;"Tarjeta de crédito"),"⚠ «Hacia» debe ser la tarjeta",IF(AND(I903="Trading",IFERROR(INDEX(ctaTipo,MATCH(E903,ctaNom,0)),"")&lt;&gt;"Cuenta de trading"),"⚠ Usa la cuenta de trading","✓"))))))))))))</f>
        <v/>
      </c>
      <c r="I903" s="19">
        <f>IF(OR(B903="",C903="",D903=""),"",IFERROR(INDEX(catTipo,MATCH(D903,catNom,0))&amp;"",""))</f>
        <v/>
      </c>
      <c r="J903" s="19">
        <f>IF(I903="","",IFERROR(INDEX(catGrupo,MATCH(D903,catNom,0))&amp;"",""))</f>
        <v/>
      </c>
      <c r="K903" s="19">
        <f>IF(I903="Gasto",IF(IFERROR(INDEX(catClas,MATCH(D903,catNom,0))&amp;"","")="","Variable",IFERROR(INDEX(catClas,MATCH(D903,catNom,0))&amp;"","")),"")</f>
        <v/>
      </c>
      <c r="L903" s="19">
        <f>IF(I903="","",IFERROR(INDEX(catAlim,MATCH(D903,catNom,0))&amp;"",""))</f>
        <v/>
      </c>
      <c r="M903" s="19">
        <f>IF(I903="","",IFERROR(INDEX(catComida,MATCH(D903,catNom,0))&amp;"",""))</f>
        <v/>
      </c>
      <c r="N903" s="19">
        <f>IF(I903="","",IFERROR(INDEX(ctaMon,MATCH(E903,ctaNom,0))&amp;"","DOP"))</f>
        <v/>
      </c>
      <c r="O903" s="20">
        <f>IF(I903="","",C903*IF(N903="USD",TasaUSD,1))</f>
        <v/>
      </c>
      <c r="P903" s="20">
        <f>IF(I903="","",IF(I903="Gasto",O903,0))</f>
        <v/>
      </c>
      <c r="Q903" s="20">
        <f>IF(I903="","",IF(I903="Ingreso",O903,0))</f>
        <v/>
      </c>
      <c r="R903" s="20">
        <f>IF(I903="","",IF(I903="Trading",O903,0))</f>
        <v/>
      </c>
      <c r="S903" s="19">
        <f>IF(I903="","",IF(AND(I903="Gasto",K903="Variable",J903&lt;&gt;"Trading",O903&gt;0,O903&lt;=Umbral),1,0))</f>
        <v/>
      </c>
      <c r="T903" s="20">
        <f>IF(OR(I903="",E903=""),"",IF(OR(I903="Gasto",I903="Transferencia",I903="Pago tarjeta"),-1,1)*C903)</f>
        <v/>
      </c>
      <c r="U903" s="20">
        <f>IF(OR(G903="",AND(I903&lt;&gt;"Transferencia",I903&lt;&gt;"Pago tarjeta")),"",IF(IFERROR(INDEX(ctaMon,MATCH(G903,ctaNom,0))&amp;"","DOP")=N903,C903,IF(N903="USD",C903*TasaUSD,C903/TasaUSD)))</f>
        <v/>
      </c>
      <c r="V903" s="20">
        <f>IF(I903="","",IF(IFERROR(INDEX(ctaLiq,MATCH(E903,ctaNom,0))="Sí",FALSE),IF(OR(I903="Gasto",I903="Transferencia",I903="Pago tarjeta"),-1,1)*O903,0)+IF(AND(U903&lt;&gt;"",IFERROR(INDEX(ctaLiq,MATCH(G903,ctaNom,0))="Sí",FALSE)),O903,0))</f>
        <v/>
      </c>
      <c r="W903" s="19">
        <f>IF(OR(F903="",I903=""),"",IF(COUNTIFS(F$6:F903,F903,I$6:I903,"?*")=1,MAX(W$5:W902)+1,""))</f>
        <v/>
      </c>
    </row>
    <row r="904">
      <c r="B904" s="15" t="n"/>
      <c r="C904" s="16" t="n"/>
      <c r="D904" s="17" t="n"/>
      <c r="E904" s="17" t="n"/>
      <c r="F904" s="17" t="n"/>
      <c r="G904" s="17" t="n"/>
      <c r="H904" s="18">
        <f>IF(AND(B904="",C904="",D904="",E904=""),"",IF(B904="","⚠ Falta fecha",IF(C904="","⚠ Falta monto",IF(D904="","⚠ Falta categoría",IF(ISNA(MATCH(D904,catNom,0)),"⚠ Categoría no existe",IF(E904="","⚠ Falta cuenta",IF(ISNA(MATCH(E904,ctaNom,0)),"⚠ Cuenta no existe",IF(AND(OR(I904="Transferencia",I904="Pago tarjeta"),G904=""),"⚠ Indica la cuenta «Hacia»",IF(AND(G904&lt;&gt;"",G904=E904),"⚠ «Hacia» igual a la cuenta",IF(AND(G904&lt;&gt;"",ISNA(MATCH(G904,ctaNom,0))),"⚠ «Hacia» no existe",IF(AND(I904="Pago tarjeta",IFERROR(INDEX(ctaTipo,MATCH(G904,ctaNom,0)),"")&lt;&gt;"Tarjeta de crédito"),"⚠ «Hacia» debe ser la tarjeta",IF(AND(I904="Trading",IFERROR(INDEX(ctaTipo,MATCH(E904,ctaNom,0)),"")&lt;&gt;"Cuenta de trading"),"⚠ Usa la cuenta de trading","✓"))))))))))))</f>
        <v/>
      </c>
      <c r="I904" s="19">
        <f>IF(OR(B904="",C904="",D904=""),"",IFERROR(INDEX(catTipo,MATCH(D904,catNom,0))&amp;"",""))</f>
        <v/>
      </c>
      <c r="J904" s="19">
        <f>IF(I904="","",IFERROR(INDEX(catGrupo,MATCH(D904,catNom,0))&amp;"",""))</f>
        <v/>
      </c>
      <c r="K904" s="19">
        <f>IF(I904="Gasto",IF(IFERROR(INDEX(catClas,MATCH(D904,catNom,0))&amp;"","")="","Variable",IFERROR(INDEX(catClas,MATCH(D904,catNom,0))&amp;"","")),"")</f>
        <v/>
      </c>
      <c r="L904" s="19">
        <f>IF(I904="","",IFERROR(INDEX(catAlim,MATCH(D904,catNom,0))&amp;"",""))</f>
        <v/>
      </c>
      <c r="M904" s="19">
        <f>IF(I904="","",IFERROR(INDEX(catComida,MATCH(D904,catNom,0))&amp;"",""))</f>
        <v/>
      </c>
      <c r="N904" s="19">
        <f>IF(I904="","",IFERROR(INDEX(ctaMon,MATCH(E904,ctaNom,0))&amp;"","DOP"))</f>
        <v/>
      </c>
      <c r="O904" s="20">
        <f>IF(I904="","",C904*IF(N904="USD",TasaUSD,1))</f>
        <v/>
      </c>
      <c r="P904" s="20">
        <f>IF(I904="","",IF(I904="Gasto",O904,0))</f>
        <v/>
      </c>
      <c r="Q904" s="20">
        <f>IF(I904="","",IF(I904="Ingreso",O904,0))</f>
        <v/>
      </c>
      <c r="R904" s="20">
        <f>IF(I904="","",IF(I904="Trading",O904,0))</f>
        <v/>
      </c>
      <c r="S904" s="19">
        <f>IF(I904="","",IF(AND(I904="Gasto",K904="Variable",J904&lt;&gt;"Trading",O904&gt;0,O904&lt;=Umbral),1,0))</f>
        <v/>
      </c>
      <c r="T904" s="20">
        <f>IF(OR(I904="",E904=""),"",IF(OR(I904="Gasto",I904="Transferencia",I904="Pago tarjeta"),-1,1)*C904)</f>
        <v/>
      </c>
      <c r="U904" s="20">
        <f>IF(OR(G904="",AND(I904&lt;&gt;"Transferencia",I904&lt;&gt;"Pago tarjeta")),"",IF(IFERROR(INDEX(ctaMon,MATCH(G904,ctaNom,0))&amp;"","DOP")=N904,C904,IF(N904="USD",C904*TasaUSD,C904/TasaUSD)))</f>
        <v/>
      </c>
      <c r="V904" s="20">
        <f>IF(I904="","",IF(IFERROR(INDEX(ctaLiq,MATCH(E904,ctaNom,0))="Sí",FALSE),IF(OR(I904="Gasto",I904="Transferencia",I904="Pago tarjeta"),-1,1)*O904,0)+IF(AND(U904&lt;&gt;"",IFERROR(INDEX(ctaLiq,MATCH(G904,ctaNom,0))="Sí",FALSE)),O904,0))</f>
        <v/>
      </c>
      <c r="W904" s="19">
        <f>IF(OR(F904="",I904=""),"",IF(COUNTIFS(F$6:F904,F904,I$6:I904,"?*")=1,MAX(W$5:W903)+1,""))</f>
        <v/>
      </c>
    </row>
    <row r="905">
      <c r="B905" s="15" t="n"/>
      <c r="C905" s="16" t="n"/>
      <c r="D905" s="17" t="n"/>
      <c r="E905" s="17" t="n"/>
      <c r="F905" s="17" t="n"/>
      <c r="G905" s="17" t="n"/>
      <c r="H905" s="18">
        <f>IF(AND(B905="",C905="",D905="",E905=""),"",IF(B905="","⚠ Falta fecha",IF(C905="","⚠ Falta monto",IF(D905="","⚠ Falta categoría",IF(ISNA(MATCH(D905,catNom,0)),"⚠ Categoría no existe",IF(E905="","⚠ Falta cuenta",IF(ISNA(MATCH(E905,ctaNom,0)),"⚠ Cuenta no existe",IF(AND(OR(I905="Transferencia",I905="Pago tarjeta"),G905=""),"⚠ Indica la cuenta «Hacia»",IF(AND(G905&lt;&gt;"",G905=E905),"⚠ «Hacia» igual a la cuenta",IF(AND(G905&lt;&gt;"",ISNA(MATCH(G905,ctaNom,0))),"⚠ «Hacia» no existe",IF(AND(I905="Pago tarjeta",IFERROR(INDEX(ctaTipo,MATCH(G905,ctaNom,0)),"")&lt;&gt;"Tarjeta de crédito"),"⚠ «Hacia» debe ser la tarjeta",IF(AND(I905="Trading",IFERROR(INDEX(ctaTipo,MATCH(E905,ctaNom,0)),"")&lt;&gt;"Cuenta de trading"),"⚠ Usa la cuenta de trading","✓"))))))))))))</f>
        <v/>
      </c>
      <c r="I905" s="19">
        <f>IF(OR(B905="",C905="",D905=""),"",IFERROR(INDEX(catTipo,MATCH(D905,catNom,0))&amp;"",""))</f>
        <v/>
      </c>
      <c r="J905" s="19">
        <f>IF(I905="","",IFERROR(INDEX(catGrupo,MATCH(D905,catNom,0))&amp;"",""))</f>
        <v/>
      </c>
      <c r="K905" s="19">
        <f>IF(I905="Gasto",IF(IFERROR(INDEX(catClas,MATCH(D905,catNom,0))&amp;"","")="","Variable",IFERROR(INDEX(catClas,MATCH(D905,catNom,0))&amp;"","")),"")</f>
        <v/>
      </c>
      <c r="L905" s="19">
        <f>IF(I905="","",IFERROR(INDEX(catAlim,MATCH(D905,catNom,0))&amp;"",""))</f>
        <v/>
      </c>
      <c r="M905" s="19">
        <f>IF(I905="","",IFERROR(INDEX(catComida,MATCH(D905,catNom,0))&amp;"",""))</f>
        <v/>
      </c>
      <c r="N905" s="19">
        <f>IF(I905="","",IFERROR(INDEX(ctaMon,MATCH(E905,ctaNom,0))&amp;"","DOP"))</f>
        <v/>
      </c>
      <c r="O905" s="20">
        <f>IF(I905="","",C905*IF(N905="USD",TasaUSD,1))</f>
        <v/>
      </c>
      <c r="P905" s="20">
        <f>IF(I905="","",IF(I905="Gasto",O905,0))</f>
        <v/>
      </c>
      <c r="Q905" s="20">
        <f>IF(I905="","",IF(I905="Ingreso",O905,0))</f>
        <v/>
      </c>
      <c r="R905" s="20">
        <f>IF(I905="","",IF(I905="Trading",O905,0))</f>
        <v/>
      </c>
      <c r="S905" s="19">
        <f>IF(I905="","",IF(AND(I905="Gasto",K905="Variable",J905&lt;&gt;"Trading",O905&gt;0,O905&lt;=Umbral),1,0))</f>
        <v/>
      </c>
      <c r="T905" s="20">
        <f>IF(OR(I905="",E905=""),"",IF(OR(I905="Gasto",I905="Transferencia",I905="Pago tarjeta"),-1,1)*C905)</f>
        <v/>
      </c>
      <c r="U905" s="20">
        <f>IF(OR(G905="",AND(I905&lt;&gt;"Transferencia",I905&lt;&gt;"Pago tarjeta")),"",IF(IFERROR(INDEX(ctaMon,MATCH(G905,ctaNom,0))&amp;"","DOP")=N905,C905,IF(N905="USD",C905*TasaUSD,C905/TasaUSD)))</f>
        <v/>
      </c>
      <c r="V905" s="20">
        <f>IF(I905="","",IF(IFERROR(INDEX(ctaLiq,MATCH(E905,ctaNom,0))="Sí",FALSE),IF(OR(I905="Gasto",I905="Transferencia",I905="Pago tarjeta"),-1,1)*O905,0)+IF(AND(U905&lt;&gt;"",IFERROR(INDEX(ctaLiq,MATCH(G905,ctaNom,0))="Sí",FALSE)),O905,0))</f>
        <v/>
      </c>
      <c r="W905" s="19">
        <f>IF(OR(F905="",I905=""),"",IF(COUNTIFS(F$6:F905,F905,I$6:I905,"?*")=1,MAX(W$5:W904)+1,""))</f>
        <v/>
      </c>
    </row>
    <row r="906">
      <c r="B906" s="15" t="n"/>
      <c r="C906" s="16" t="n"/>
      <c r="D906" s="17" t="n"/>
      <c r="E906" s="17" t="n"/>
      <c r="F906" s="17" t="n"/>
      <c r="G906" s="17" t="n"/>
      <c r="H906" s="18">
        <f>IF(AND(B906="",C906="",D906="",E906=""),"",IF(B906="","⚠ Falta fecha",IF(C906="","⚠ Falta monto",IF(D906="","⚠ Falta categoría",IF(ISNA(MATCH(D906,catNom,0)),"⚠ Categoría no existe",IF(E906="","⚠ Falta cuenta",IF(ISNA(MATCH(E906,ctaNom,0)),"⚠ Cuenta no existe",IF(AND(OR(I906="Transferencia",I906="Pago tarjeta"),G906=""),"⚠ Indica la cuenta «Hacia»",IF(AND(G906&lt;&gt;"",G906=E906),"⚠ «Hacia» igual a la cuenta",IF(AND(G906&lt;&gt;"",ISNA(MATCH(G906,ctaNom,0))),"⚠ «Hacia» no existe",IF(AND(I906="Pago tarjeta",IFERROR(INDEX(ctaTipo,MATCH(G906,ctaNom,0)),"")&lt;&gt;"Tarjeta de crédito"),"⚠ «Hacia» debe ser la tarjeta",IF(AND(I906="Trading",IFERROR(INDEX(ctaTipo,MATCH(E906,ctaNom,0)),"")&lt;&gt;"Cuenta de trading"),"⚠ Usa la cuenta de trading","✓"))))))))))))</f>
        <v/>
      </c>
      <c r="I906" s="19">
        <f>IF(OR(B906="",C906="",D906=""),"",IFERROR(INDEX(catTipo,MATCH(D906,catNom,0))&amp;"",""))</f>
        <v/>
      </c>
      <c r="J906" s="19">
        <f>IF(I906="","",IFERROR(INDEX(catGrupo,MATCH(D906,catNom,0))&amp;"",""))</f>
        <v/>
      </c>
      <c r="K906" s="19">
        <f>IF(I906="Gasto",IF(IFERROR(INDEX(catClas,MATCH(D906,catNom,0))&amp;"","")="","Variable",IFERROR(INDEX(catClas,MATCH(D906,catNom,0))&amp;"","")),"")</f>
        <v/>
      </c>
      <c r="L906" s="19">
        <f>IF(I906="","",IFERROR(INDEX(catAlim,MATCH(D906,catNom,0))&amp;"",""))</f>
        <v/>
      </c>
      <c r="M906" s="19">
        <f>IF(I906="","",IFERROR(INDEX(catComida,MATCH(D906,catNom,0))&amp;"",""))</f>
        <v/>
      </c>
      <c r="N906" s="19">
        <f>IF(I906="","",IFERROR(INDEX(ctaMon,MATCH(E906,ctaNom,0))&amp;"","DOP"))</f>
        <v/>
      </c>
      <c r="O906" s="20">
        <f>IF(I906="","",C906*IF(N906="USD",TasaUSD,1))</f>
        <v/>
      </c>
      <c r="P906" s="20">
        <f>IF(I906="","",IF(I906="Gasto",O906,0))</f>
        <v/>
      </c>
      <c r="Q906" s="20">
        <f>IF(I906="","",IF(I906="Ingreso",O906,0))</f>
        <v/>
      </c>
      <c r="R906" s="20">
        <f>IF(I906="","",IF(I906="Trading",O906,0))</f>
        <v/>
      </c>
      <c r="S906" s="19">
        <f>IF(I906="","",IF(AND(I906="Gasto",K906="Variable",J906&lt;&gt;"Trading",O906&gt;0,O906&lt;=Umbral),1,0))</f>
        <v/>
      </c>
      <c r="T906" s="20">
        <f>IF(OR(I906="",E906=""),"",IF(OR(I906="Gasto",I906="Transferencia",I906="Pago tarjeta"),-1,1)*C906)</f>
        <v/>
      </c>
      <c r="U906" s="20">
        <f>IF(OR(G906="",AND(I906&lt;&gt;"Transferencia",I906&lt;&gt;"Pago tarjeta")),"",IF(IFERROR(INDEX(ctaMon,MATCH(G906,ctaNom,0))&amp;"","DOP")=N906,C906,IF(N906="USD",C906*TasaUSD,C906/TasaUSD)))</f>
        <v/>
      </c>
      <c r="V906" s="20">
        <f>IF(I906="","",IF(IFERROR(INDEX(ctaLiq,MATCH(E906,ctaNom,0))="Sí",FALSE),IF(OR(I906="Gasto",I906="Transferencia",I906="Pago tarjeta"),-1,1)*O906,0)+IF(AND(U906&lt;&gt;"",IFERROR(INDEX(ctaLiq,MATCH(G906,ctaNom,0))="Sí",FALSE)),O906,0))</f>
        <v/>
      </c>
      <c r="W906" s="19">
        <f>IF(OR(F906="",I906=""),"",IF(COUNTIFS(F$6:F906,F906,I$6:I906,"?*")=1,MAX(W$5:W905)+1,""))</f>
        <v/>
      </c>
    </row>
    <row r="907">
      <c r="B907" s="15" t="n"/>
      <c r="C907" s="16" t="n"/>
      <c r="D907" s="17" t="n"/>
      <c r="E907" s="17" t="n"/>
      <c r="F907" s="17" t="n"/>
      <c r="G907" s="17" t="n"/>
      <c r="H907" s="18">
        <f>IF(AND(B907="",C907="",D907="",E907=""),"",IF(B907="","⚠ Falta fecha",IF(C907="","⚠ Falta monto",IF(D907="","⚠ Falta categoría",IF(ISNA(MATCH(D907,catNom,0)),"⚠ Categoría no existe",IF(E907="","⚠ Falta cuenta",IF(ISNA(MATCH(E907,ctaNom,0)),"⚠ Cuenta no existe",IF(AND(OR(I907="Transferencia",I907="Pago tarjeta"),G907=""),"⚠ Indica la cuenta «Hacia»",IF(AND(G907&lt;&gt;"",G907=E907),"⚠ «Hacia» igual a la cuenta",IF(AND(G907&lt;&gt;"",ISNA(MATCH(G907,ctaNom,0))),"⚠ «Hacia» no existe",IF(AND(I907="Pago tarjeta",IFERROR(INDEX(ctaTipo,MATCH(G907,ctaNom,0)),"")&lt;&gt;"Tarjeta de crédito"),"⚠ «Hacia» debe ser la tarjeta",IF(AND(I907="Trading",IFERROR(INDEX(ctaTipo,MATCH(E907,ctaNom,0)),"")&lt;&gt;"Cuenta de trading"),"⚠ Usa la cuenta de trading","✓"))))))))))))</f>
        <v/>
      </c>
      <c r="I907" s="19">
        <f>IF(OR(B907="",C907="",D907=""),"",IFERROR(INDEX(catTipo,MATCH(D907,catNom,0))&amp;"",""))</f>
        <v/>
      </c>
      <c r="J907" s="19">
        <f>IF(I907="","",IFERROR(INDEX(catGrupo,MATCH(D907,catNom,0))&amp;"",""))</f>
        <v/>
      </c>
      <c r="K907" s="19">
        <f>IF(I907="Gasto",IF(IFERROR(INDEX(catClas,MATCH(D907,catNom,0))&amp;"","")="","Variable",IFERROR(INDEX(catClas,MATCH(D907,catNom,0))&amp;"","")),"")</f>
        <v/>
      </c>
      <c r="L907" s="19">
        <f>IF(I907="","",IFERROR(INDEX(catAlim,MATCH(D907,catNom,0))&amp;"",""))</f>
        <v/>
      </c>
      <c r="M907" s="19">
        <f>IF(I907="","",IFERROR(INDEX(catComida,MATCH(D907,catNom,0))&amp;"",""))</f>
        <v/>
      </c>
      <c r="N907" s="19">
        <f>IF(I907="","",IFERROR(INDEX(ctaMon,MATCH(E907,ctaNom,0))&amp;"","DOP"))</f>
        <v/>
      </c>
      <c r="O907" s="20">
        <f>IF(I907="","",C907*IF(N907="USD",TasaUSD,1))</f>
        <v/>
      </c>
      <c r="P907" s="20">
        <f>IF(I907="","",IF(I907="Gasto",O907,0))</f>
        <v/>
      </c>
      <c r="Q907" s="20">
        <f>IF(I907="","",IF(I907="Ingreso",O907,0))</f>
        <v/>
      </c>
      <c r="R907" s="20">
        <f>IF(I907="","",IF(I907="Trading",O907,0))</f>
        <v/>
      </c>
      <c r="S907" s="19">
        <f>IF(I907="","",IF(AND(I907="Gasto",K907="Variable",J907&lt;&gt;"Trading",O907&gt;0,O907&lt;=Umbral),1,0))</f>
        <v/>
      </c>
      <c r="T907" s="20">
        <f>IF(OR(I907="",E907=""),"",IF(OR(I907="Gasto",I907="Transferencia",I907="Pago tarjeta"),-1,1)*C907)</f>
        <v/>
      </c>
      <c r="U907" s="20">
        <f>IF(OR(G907="",AND(I907&lt;&gt;"Transferencia",I907&lt;&gt;"Pago tarjeta")),"",IF(IFERROR(INDEX(ctaMon,MATCH(G907,ctaNom,0))&amp;"","DOP")=N907,C907,IF(N907="USD",C907*TasaUSD,C907/TasaUSD)))</f>
        <v/>
      </c>
      <c r="V907" s="20">
        <f>IF(I907="","",IF(IFERROR(INDEX(ctaLiq,MATCH(E907,ctaNom,0))="Sí",FALSE),IF(OR(I907="Gasto",I907="Transferencia",I907="Pago tarjeta"),-1,1)*O907,0)+IF(AND(U907&lt;&gt;"",IFERROR(INDEX(ctaLiq,MATCH(G907,ctaNom,0))="Sí",FALSE)),O907,0))</f>
        <v/>
      </c>
      <c r="W907" s="19">
        <f>IF(OR(F907="",I907=""),"",IF(COUNTIFS(F$6:F907,F907,I$6:I907,"?*")=1,MAX(W$5:W906)+1,""))</f>
        <v/>
      </c>
    </row>
    <row r="908">
      <c r="B908" s="15" t="n"/>
      <c r="C908" s="16" t="n"/>
      <c r="D908" s="17" t="n"/>
      <c r="E908" s="17" t="n"/>
      <c r="F908" s="17" t="n"/>
      <c r="G908" s="17" t="n"/>
      <c r="H908" s="18">
        <f>IF(AND(B908="",C908="",D908="",E908=""),"",IF(B908="","⚠ Falta fecha",IF(C908="","⚠ Falta monto",IF(D908="","⚠ Falta categoría",IF(ISNA(MATCH(D908,catNom,0)),"⚠ Categoría no existe",IF(E908="","⚠ Falta cuenta",IF(ISNA(MATCH(E908,ctaNom,0)),"⚠ Cuenta no existe",IF(AND(OR(I908="Transferencia",I908="Pago tarjeta"),G908=""),"⚠ Indica la cuenta «Hacia»",IF(AND(G908&lt;&gt;"",G908=E908),"⚠ «Hacia» igual a la cuenta",IF(AND(G908&lt;&gt;"",ISNA(MATCH(G908,ctaNom,0))),"⚠ «Hacia» no existe",IF(AND(I908="Pago tarjeta",IFERROR(INDEX(ctaTipo,MATCH(G908,ctaNom,0)),"")&lt;&gt;"Tarjeta de crédito"),"⚠ «Hacia» debe ser la tarjeta",IF(AND(I908="Trading",IFERROR(INDEX(ctaTipo,MATCH(E908,ctaNom,0)),"")&lt;&gt;"Cuenta de trading"),"⚠ Usa la cuenta de trading","✓"))))))))))))</f>
        <v/>
      </c>
      <c r="I908" s="19">
        <f>IF(OR(B908="",C908="",D908=""),"",IFERROR(INDEX(catTipo,MATCH(D908,catNom,0))&amp;"",""))</f>
        <v/>
      </c>
      <c r="J908" s="19">
        <f>IF(I908="","",IFERROR(INDEX(catGrupo,MATCH(D908,catNom,0))&amp;"",""))</f>
        <v/>
      </c>
      <c r="K908" s="19">
        <f>IF(I908="Gasto",IF(IFERROR(INDEX(catClas,MATCH(D908,catNom,0))&amp;"","")="","Variable",IFERROR(INDEX(catClas,MATCH(D908,catNom,0))&amp;"","")),"")</f>
        <v/>
      </c>
      <c r="L908" s="19">
        <f>IF(I908="","",IFERROR(INDEX(catAlim,MATCH(D908,catNom,0))&amp;"",""))</f>
        <v/>
      </c>
      <c r="M908" s="19">
        <f>IF(I908="","",IFERROR(INDEX(catComida,MATCH(D908,catNom,0))&amp;"",""))</f>
        <v/>
      </c>
      <c r="N908" s="19">
        <f>IF(I908="","",IFERROR(INDEX(ctaMon,MATCH(E908,ctaNom,0))&amp;"","DOP"))</f>
        <v/>
      </c>
      <c r="O908" s="20">
        <f>IF(I908="","",C908*IF(N908="USD",TasaUSD,1))</f>
        <v/>
      </c>
      <c r="P908" s="20">
        <f>IF(I908="","",IF(I908="Gasto",O908,0))</f>
        <v/>
      </c>
      <c r="Q908" s="20">
        <f>IF(I908="","",IF(I908="Ingreso",O908,0))</f>
        <v/>
      </c>
      <c r="R908" s="20">
        <f>IF(I908="","",IF(I908="Trading",O908,0))</f>
        <v/>
      </c>
      <c r="S908" s="19">
        <f>IF(I908="","",IF(AND(I908="Gasto",K908="Variable",J908&lt;&gt;"Trading",O908&gt;0,O908&lt;=Umbral),1,0))</f>
        <v/>
      </c>
      <c r="T908" s="20">
        <f>IF(OR(I908="",E908=""),"",IF(OR(I908="Gasto",I908="Transferencia",I908="Pago tarjeta"),-1,1)*C908)</f>
        <v/>
      </c>
      <c r="U908" s="20">
        <f>IF(OR(G908="",AND(I908&lt;&gt;"Transferencia",I908&lt;&gt;"Pago tarjeta")),"",IF(IFERROR(INDEX(ctaMon,MATCH(G908,ctaNom,0))&amp;"","DOP")=N908,C908,IF(N908="USD",C908*TasaUSD,C908/TasaUSD)))</f>
        <v/>
      </c>
      <c r="V908" s="20">
        <f>IF(I908="","",IF(IFERROR(INDEX(ctaLiq,MATCH(E908,ctaNom,0))="Sí",FALSE),IF(OR(I908="Gasto",I908="Transferencia",I908="Pago tarjeta"),-1,1)*O908,0)+IF(AND(U908&lt;&gt;"",IFERROR(INDEX(ctaLiq,MATCH(G908,ctaNom,0))="Sí",FALSE)),O908,0))</f>
        <v/>
      </c>
      <c r="W908" s="19">
        <f>IF(OR(F908="",I908=""),"",IF(COUNTIFS(F$6:F908,F908,I$6:I908,"?*")=1,MAX(W$5:W907)+1,""))</f>
        <v/>
      </c>
    </row>
    <row r="909">
      <c r="B909" s="15" t="n"/>
      <c r="C909" s="16" t="n"/>
      <c r="D909" s="17" t="n"/>
      <c r="E909" s="17" t="n"/>
      <c r="F909" s="17" t="n"/>
      <c r="G909" s="17" t="n"/>
      <c r="H909" s="18">
        <f>IF(AND(B909="",C909="",D909="",E909=""),"",IF(B909="","⚠ Falta fecha",IF(C909="","⚠ Falta monto",IF(D909="","⚠ Falta categoría",IF(ISNA(MATCH(D909,catNom,0)),"⚠ Categoría no existe",IF(E909="","⚠ Falta cuenta",IF(ISNA(MATCH(E909,ctaNom,0)),"⚠ Cuenta no existe",IF(AND(OR(I909="Transferencia",I909="Pago tarjeta"),G909=""),"⚠ Indica la cuenta «Hacia»",IF(AND(G909&lt;&gt;"",G909=E909),"⚠ «Hacia» igual a la cuenta",IF(AND(G909&lt;&gt;"",ISNA(MATCH(G909,ctaNom,0))),"⚠ «Hacia» no existe",IF(AND(I909="Pago tarjeta",IFERROR(INDEX(ctaTipo,MATCH(G909,ctaNom,0)),"")&lt;&gt;"Tarjeta de crédito"),"⚠ «Hacia» debe ser la tarjeta",IF(AND(I909="Trading",IFERROR(INDEX(ctaTipo,MATCH(E909,ctaNom,0)),"")&lt;&gt;"Cuenta de trading"),"⚠ Usa la cuenta de trading","✓"))))))))))))</f>
        <v/>
      </c>
      <c r="I909" s="19">
        <f>IF(OR(B909="",C909="",D909=""),"",IFERROR(INDEX(catTipo,MATCH(D909,catNom,0))&amp;"",""))</f>
        <v/>
      </c>
      <c r="J909" s="19">
        <f>IF(I909="","",IFERROR(INDEX(catGrupo,MATCH(D909,catNom,0))&amp;"",""))</f>
        <v/>
      </c>
      <c r="K909" s="19">
        <f>IF(I909="Gasto",IF(IFERROR(INDEX(catClas,MATCH(D909,catNom,0))&amp;"","")="","Variable",IFERROR(INDEX(catClas,MATCH(D909,catNom,0))&amp;"","")),"")</f>
        <v/>
      </c>
      <c r="L909" s="19">
        <f>IF(I909="","",IFERROR(INDEX(catAlim,MATCH(D909,catNom,0))&amp;"",""))</f>
        <v/>
      </c>
      <c r="M909" s="19">
        <f>IF(I909="","",IFERROR(INDEX(catComida,MATCH(D909,catNom,0))&amp;"",""))</f>
        <v/>
      </c>
      <c r="N909" s="19">
        <f>IF(I909="","",IFERROR(INDEX(ctaMon,MATCH(E909,ctaNom,0))&amp;"","DOP"))</f>
        <v/>
      </c>
      <c r="O909" s="20">
        <f>IF(I909="","",C909*IF(N909="USD",TasaUSD,1))</f>
        <v/>
      </c>
      <c r="P909" s="20">
        <f>IF(I909="","",IF(I909="Gasto",O909,0))</f>
        <v/>
      </c>
      <c r="Q909" s="20">
        <f>IF(I909="","",IF(I909="Ingreso",O909,0))</f>
        <v/>
      </c>
      <c r="R909" s="20">
        <f>IF(I909="","",IF(I909="Trading",O909,0))</f>
        <v/>
      </c>
      <c r="S909" s="19">
        <f>IF(I909="","",IF(AND(I909="Gasto",K909="Variable",J909&lt;&gt;"Trading",O909&gt;0,O909&lt;=Umbral),1,0))</f>
        <v/>
      </c>
      <c r="T909" s="20">
        <f>IF(OR(I909="",E909=""),"",IF(OR(I909="Gasto",I909="Transferencia",I909="Pago tarjeta"),-1,1)*C909)</f>
        <v/>
      </c>
      <c r="U909" s="20">
        <f>IF(OR(G909="",AND(I909&lt;&gt;"Transferencia",I909&lt;&gt;"Pago tarjeta")),"",IF(IFERROR(INDEX(ctaMon,MATCH(G909,ctaNom,0))&amp;"","DOP")=N909,C909,IF(N909="USD",C909*TasaUSD,C909/TasaUSD)))</f>
        <v/>
      </c>
      <c r="V909" s="20">
        <f>IF(I909="","",IF(IFERROR(INDEX(ctaLiq,MATCH(E909,ctaNom,0))="Sí",FALSE),IF(OR(I909="Gasto",I909="Transferencia",I909="Pago tarjeta"),-1,1)*O909,0)+IF(AND(U909&lt;&gt;"",IFERROR(INDEX(ctaLiq,MATCH(G909,ctaNom,0))="Sí",FALSE)),O909,0))</f>
        <v/>
      </c>
      <c r="W909" s="19">
        <f>IF(OR(F909="",I909=""),"",IF(COUNTIFS(F$6:F909,F909,I$6:I909,"?*")=1,MAX(W$5:W908)+1,""))</f>
        <v/>
      </c>
    </row>
    <row r="910">
      <c r="B910" s="15" t="n"/>
      <c r="C910" s="16" t="n"/>
      <c r="D910" s="17" t="n"/>
      <c r="E910" s="17" t="n"/>
      <c r="F910" s="17" t="n"/>
      <c r="G910" s="17" t="n"/>
      <c r="H910" s="18">
        <f>IF(AND(B910="",C910="",D910="",E910=""),"",IF(B910="","⚠ Falta fecha",IF(C910="","⚠ Falta monto",IF(D910="","⚠ Falta categoría",IF(ISNA(MATCH(D910,catNom,0)),"⚠ Categoría no existe",IF(E910="","⚠ Falta cuenta",IF(ISNA(MATCH(E910,ctaNom,0)),"⚠ Cuenta no existe",IF(AND(OR(I910="Transferencia",I910="Pago tarjeta"),G910=""),"⚠ Indica la cuenta «Hacia»",IF(AND(G910&lt;&gt;"",G910=E910),"⚠ «Hacia» igual a la cuenta",IF(AND(G910&lt;&gt;"",ISNA(MATCH(G910,ctaNom,0))),"⚠ «Hacia» no existe",IF(AND(I910="Pago tarjeta",IFERROR(INDEX(ctaTipo,MATCH(G910,ctaNom,0)),"")&lt;&gt;"Tarjeta de crédito"),"⚠ «Hacia» debe ser la tarjeta",IF(AND(I910="Trading",IFERROR(INDEX(ctaTipo,MATCH(E910,ctaNom,0)),"")&lt;&gt;"Cuenta de trading"),"⚠ Usa la cuenta de trading","✓"))))))))))))</f>
        <v/>
      </c>
      <c r="I910" s="19">
        <f>IF(OR(B910="",C910="",D910=""),"",IFERROR(INDEX(catTipo,MATCH(D910,catNom,0))&amp;"",""))</f>
        <v/>
      </c>
      <c r="J910" s="19">
        <f>IF(I910="","",IFERROR(INDEX(catGrupo,MATCH(D910,catNom,0))&amp;"",""))</f>
        <v/>
      </c>
      <c r="K910" s="19">
        <f>IF(I910="Gasto",IF(IFERROR(INDEX(catClas,MATCH(D910,catNom,0))&amp;"","")="","Variable",IFERROR(INDEX(catClas,MATCH(D910,catNom,0))&amp;"","")),"")</f>
        <v/>
      </c>
      <c r="L910" s="19">
        <f>IF(I910="","",IFERROR(INDEX(catAlim,MATCH(D910,catNom,0))&amp;"",""))</f>
        <v/>
      </c>
      <c r="M910" s="19">
        <f>IF(I910="","",IFERROR(INDEX(catComida,MATCH(D910,catNom,0))&amp;"",""))</f>
        <v/>
      </c>
      <c r="N910" s="19">
        <f>IF(I910="","",IFERROR(INDEX(ctaMon,MATCH(E910,ctaNom,0))&amp;"","DOP"))</f>
        <v/>
      </c>
      <c r="O910" s="20">
        <f>IF(I910="","",C910*IF(N910="USD",TasaUSD,1))</f>
        <v/>
      </c>
      <c r="P910" s="20">
        <f>IF(I910="","",IF(I910="Gasto",O910,0))</f>
        <v/>
      </c>
      <c r="Q910" s="20">
        <f>IF(I910="","",IF(I910="Ingreso",O910,0))</f>
        <v/>
      </c>
      <c r="R910" s="20">
        <f>IF(I910="","",IF(I910="Trading",O910,0))</f>
        <v/>
      </c>
      <c r="S910" s="19">
        <f>IF(I910="","",IF(AND(I910="Gasto",K910="Variable",J910&lt;&gt;"Trading",O910&gt;0,O910&lt;=Umbral),1,0))</f>
        <v/>
      </c>
      <c r="T910" s="20">
        <f>IF(OR(I910="",E910=""),"",IF(OR(I910="Gasto",I910="Transferencia",I910="Pago tarjeta"),-1,1)*C910)</f>
        <v/>
      </c>
      <c r="U910" s="20">
        <f>IF(OR(G910="",AND(I910&lt;&gt;"Transferencia",I910&lt;&gt;"Pago tarjeta")),"",IF(IFERROR(INDEX(ctaMon,MATCH(G910,ctaNom,0))&amp;"","DOP")=N910,C910,IF(N910="USD",C910*TasaUSD,C910/TasaUSD)))</f>
        <v/>
      </c>
      <c r="V910" s="20">
        <f>IF(I910="","",IF(IFERROR(INDEX(ctaLiq,MATCH(E910,ctaNom,0))="Sí",FALSE),IF(OR(I910="Gasto",I910="Transferencia",I910="Pago tarjeta"),-1,1)*O910,0)+IF(AND(U910&lt;&gt;"",IFERROR(INDEX(ctaLiq,MATCH(G910,ctaNom,0))="Sí",FALSE)),O910,0))</f>
        <v/>
      </c>
      <c r="W910" s="19">
        <f>IF(OR(F910="",I910=""),"",IF(COUNTIFS(F$6:F910,F910,I$6:I910,"?*")=1,MAX(W$5:W909)+1,""))</f>
        <v/>
      </c>
    </row>
    <row r="911">
      <c r="B911" s="15" t="n"/>
      <c r="C911" s="16" t="n"/>
      <c r="D911" s="17" t="n"/>
      <c r="E911" s="17" t="n"/>
      <c r="F911" s="17" t="n"/>
      <c r="G911" s="17" t="n"/>
      <c r="H911" s="18">
        <f>IF(AND(B911="",C911="",D911="",E911=""),"",IF(B911="","⚠ Falta fecha",IF(C911="","⚠ Falta monto",IF(D911="","⚠ Falta categoría",IF(ISNA(MATCH(D911,catNom,0)),"⚠ Categoría no existe",IF(E911="","⚠ Falta cuenta",IF(ISNA(MATCH(E911,ctaNom,0)),"⚠ Cuenta no existe",IF(AND(OR(I911="Transferencia",I911="Pago tarjeta"),G911=""),"⚠ Indica la cuenta «Hacia»",IF(AND(G911&lt;&gt;"",G911=E911),"⚠ «Hacia» igual a la cuenta",IF(AND(G911&lt;&gt;"",ISNA(MATCH(G911,ctaNom,0))),"⚠ «Hacia» no existe",IF(AND(I911="Pago tarjeta",IFERROR(INDEX(ctaTipo,MATCH(G911,ctaNom,0)),"")&lt;&gt;"Tarjeta de crédito"),"⚠ «Hacia» debe ser la tarjeta",IF(AND(I911="Trading",IFERROR(INDEX(ctaTipo,MATCH(E911,ctaNom,0)),"")&lt;&gt;"Cuenta de trading"),"⚠ Usa la cuenta de trading","✓"))))))))))))</f>
        <v/>
      </c>
      <c r="I911" s="19">
        <f>IF(OR(B911="",C911="",D911=""),"",IFERROR(INDEX(catTipo,MATCH(D911,catNom,0))&amp;"",""))</f>
        <v/>
      </c>
      <c r="J911" s="19">
        <f>IF(I911="","",IFERROR(INDEX(catGrupo,MATCH(D911,catNom,0))&amp;"",""))</f>
        <v/>
      </c>
      <c r="K911" s="19">
        <f>IF(I911="Gasto",IF(IFERROR(INDEX(catClas,MATCH(D911,catNom,0))&amp;"","")="","Variable",IFERROR(INDEX(catClas,MATCH(D911,catNom,0))&amp;"","")),"")</f>
        <v/>
      </c>
      <c r="L911" s="19">
        <f>IF(I911="","",IFERROR(INDEX(catAlim,MATCH(D911,catNom,0))&amp;"",""))</f>
        <v/>
      </c>
      <c r="M911" s="19">
        <f>IF(I911="","",IFERROR(INDEX(catComida,MATCH(D911,catNom,0))&amp;"",""))</f>
        <v/>
      </c>
      <c r="N911" s="19">
        <f>IF(I911="","",IFERROR(INDEX(ctaMon,MATCH(E911,ctaNom,0))&amp;"","DOP"))</f>
        <v/>
      </c>
      <c r="O911" s="20">
        <f>IF(I911="","",C911*IF(N911="USD",TasaUSD,1))</f>
        <v/>
      </c>
      <c r="P911" s="20">
        <f>IF(I911="","",IF(I911="Gasto",O911,0))</f>
        <v/>
      </c>
      <c r="Q911" s="20">
        <f>IF(I911="","",IF(I911="Ingreso",O911,0))</f>
        <v/>
      </c>
      <c r="R911" s="20">
        <f>IF(I911="","",IF(I911="Trading",O911,0))</f>
        <v/>
      </c>
      <c r="S911" s="19">
        <f>IF(I911="","",IF(AND(I911="Gasto",K911="Variable",J911&lt;&gt;"Trading",O911&gt;0,O911&lt;=Umbral),1,0))</f>
        <v/>
      </c>
      <c r="T911" s="20">
        <f>IF(OR(I911="",E911=""),"",IF(OR(I911="Gasto",I911="Transferencia",I911="Pago tarjeta"),-1,1)*C911)</f>
        <v/>
      </c>
      <c r="U911" s="20">
        <f>IF(OR(G911="",AND(I911&lt;&gt;"Transferencia",I911&lt;&gt;"Pago tarjeta")),"",IF(IFERROR(INDEX(ctaMon,MATCH(G911,ctaNom,0))&amp;"","DOP")=N911,C911,IF(N911="USD",C911*TasaUSD,C911/TasaUSD)))</f>
        <v/>
      </c>
      <c r="V911" s="20">
        <f>IF(I911="","",IF(IFERROR(INDEX(ctaLiq,MATCH(E911,ctaNom,0))="Sí",FALSE),IF(OR(I911="Gasto",I911="Transferencia",I911="Pago tarjeta"),-1,1)*O911,0)+IF(AND(U911&lt;&gt;"",IFERROR(INDEX(ctaLiq,MATCH(G911,ctaNom,0))="Sí",FALSE)),O911,0))</f>
        <v/>
      </c>
      <c r="W911" s="19">
        <f>IF(OR(F911="",I911=""),"",IF(COUNTIFS(F$6:F911,F911,I$6:I911,"?*")=1,MAX(W$5:W910)+1,""))</f>
        <v/>
      </c>
    </row>
    <row r="912">
      <c r="B912" s="15" t="n"/>
      <c r="C912" s="16" t="n"/>
      <c r="D912" s="17" t="n"/>
      <c r="E912" s="17" t="n"/>
      <c r="F912" s="17" t="n"/>
      <c r="G912" s="17" t="n"/>
      <c r="H912" s="18">
        <f>IF(AND(B912="",C912="",D912="",E912=""),"",IF(B912="","⚠ Falta fecha",IF(C912="","⚠ Falta monto",IF(D912="","⚠ Falta categoría",IF(ISNA(MATCH(D912,catNom,0)),"⚠ Categoría no existe",IF(E912="","⚠ Falta cuenta",IF(ISNA(MATCH(E912,ctaNom,0)),"⚠ Cuenta no existe",IF(AND(OR(I912="Transferencia",I912="Pago tarjeta"),G912=""),"⚠ Indica la cuenta «Hacia»",IF(AND(G912&lt;&gt;"",G912=E912),"⚠ «Hacia» igual a la cuenta",IF(AND(G912&lt;&gt;"",ISNA(MATCH(G912,ctaNom,0))),"⚠ «Hacia» no existe",IF(AND(I912="Pago tarjeta",IFERROR(INDEX(ctaTipo,MATCH(G912,ctaNom,0)),"")&lt;&gt;"Tarjeta de crédito"),"⚠ «Hacia» debe ser la tarjeta",IF(AND(I912="Trading",IFERROR(INDEX(ctaTipo,MATCH(E912,ctaNom,0)),"")&lt;&gt;"Cuenta de trading"),"⚠ Usa la cuenta de trading","✓"))))))))))))</f>
        <v/>
      </c>
      <c r="I912" s="19">
        <f>IF(OR(B912="",C912="",D912=""),"",IFERROR(INDEX(catTipo,MATCH(D912,catNom,0))&amp;"",""))</f>
        <v/>
      </c>
      <c r="J912" s="19">
        <f>IF(I912="","",IFERROR(INDEX(catGrupo,MATCH(D912,catNom,0))&amp;"",""))</f>
        <v/>
      </c>
      <c r="K912" s="19">
        <f>IF(I912="Gasto",IF(IFERROR(INDEX(catClas,MATCH(D912,catNom,0))&amp;"","")="","Variable",IFERROR(INDEX(catClas,MATCH(D912,catNom,0))&amp;"","")),"")</f>
        <v/>
      </c>
      <c r="L912" s="19">
        <f>IF(I912="","",IFERROR(INDEX(catAlim,MATCH(D912,catNom,0))&amp;"",""))</f>
        <v/>
      </c>
      <c r="M912" s="19">
        <f>IF(I912="","",IFERROR(INDEX(catComida,MATCH(D912,catNom,0))&amp;"",""))</f>
        <v/>
      </c>
      <c r="N912" s="19">
        <f>IF(I912="","",IFERROR(INDEX(ctaMon,MATCH(E912,ctaNom,0))&amp;"","DOP"))</f>
        <v/>
      </c>
      <c r="O912" s="20">
        <f>IF(I912="","",C912*IF(N912="USD",TasaUSD,1))</f>
        <v/>
      </c>
      <c r="P912" s="20">
        <f>IF(I912="","",IF(I912="Gasto",O912,0))</f>
        <v/>
      </c>
      <c r="Q912" s="20">
        <f>IF(I912="","",IF(I912="Ingreso",O912,0))</f>
        <v/>
      </c>
      <c r="R912" s="20">
        <f>IF(I912="","",IF(I912="Trading",O912,0))</f>
        <v/>
      </c>
      <c r="S912" s="19">
        <f>IF(I912="","",IF(AND(I912="Gasto",K912="Variable",J912&lt;&gt;"Trading",O912&gt;0,O912&lt;=Umbral),1,0))</f>
        <v/>
      </c>
      <c r="T912" s="20">
        <f>IF(OR(I912="",E912=""),"",IF(OR(I912="Gasto",I912="Transferencia",I912="Pago tarjeta"),-1,1)*C912)</f>
        <v/>
      </c>
      <c r="U912" s="20">
        <f>IF(OR(G912="",AND(I912&lt;&gt;"Transferencia",I912&lt;&gt;"Pago tarjeta")),"",IF(IFERROR(INDEX(ctaMon,MATCH(G912,ctaNom,0))&amp;"","DOP")=N912,C912,IF(N912="USD",C912*TasaUSD,C912/TasaUSD)))</f>
        <v/>
      </c>
      <c r="V912" s="20">
        <f>IF(I912="","",IF(IFERROR(INDEX(ctaLiq,MATCH(E912,ctaNom,0))="Sí",FALSE),IF(OR(I912="Gasto",I912="Transferencia",I912="Pago tarjeta"),-1,1)*O912,0)+IF(AND(U912&lt;&gt;"",IFERROR(INDEX(ctaLiq,MATCH(G912,ctaNom,0))="Sí",FALSE)),O912,0))</f>
        <v/>
      </c>
      <c r="W912" s="19">
        <f>IF(OR(F912="",I912=""),"",IF(COUNTIFS(F$6:F912,F912,I$6:I912,"?*")=1,MAX(W$5:W911)+1,""))</f>
        <v/>
      </c>
    </row>
    <row r="913">
      <c r="B913" s="15" t="n"/>
      <c r="C913" s="16" t="n"/>
      <c r="D913" s="17" t="n"/>
      <c r="E913" s="17" t="n"/>
      <c r="F913" s="17" t="n"/>
      <c r="G913" s="17" t="n"/>
      <c r="H913" s="18">
        <f>IF(AND(B913="",C913="",D913="",E913=""),"",IF(B913="","⚠ Falta fecha",IF(C913="","⚠ Falta monto",IF(D913="","⚠ Falta categoría",IF(ISNA(MATCH(D913,catNom,0)),"⚠ Categoría no existe",IF(E913="","⚠ Falta cuenta",IF(ISNA(MATCH(E913,ctaNom,0)),"⚠ Cuenta no existe",IF(AND(OR(I913="Transferencia",I913="Pago tarjeta"),G913=""),"⚠ Indica la cuenta «Hacia»",IF(AND(G913&lt;&gt;"",G913=E913),"⚠ «Hacia» igual a la cuenta",IF(AND(G913&lt;&gt;"",ISNA(MATCH(G913,ctaNom,0))),"⚠ «Hacia» no existe",IF(AND(I913="Pago tarjeta",IFERROR(INDEX(ctaTipo,MATCH(G913,ctaNom,0)),"")&lt;&gt;"Tarjeta de crédito"),"⚠ «Hacia» debe ser la tarjeta",IF(AND(I913="Trading",IFERROR(INDEX(ctaTipo,MATCH(E913,ctaNom,0)),"")&lt;&gt;"Cuenta de trading"),"⚠ Usa la cuenta de trading","✓"))))))))))))</f>
        <v/>
      </c>
      <c r="I913" s="19">
        <f>IF(OR(B913="",C913="",D913=""),"",IFERROR(INDEX(catTipo,MATCH(D913,catNom,0))&amp;"",""))</f>
        <v/>
      </c>
      <c r="J913" s="19">
        <f>IF(I913="","",IFERROR(INDEX(catGrupo,MATCH(D913,catNom,0))&amp;"",""))</f>
        <v/>
      </c>
      <c r="K913" s="19">
        <f>IF(I913="Gasto",IF(IFERROR(INDEX(catClas,MATCH(D913,catNom,0))&amp;"","")="","Variable",IFERROR(INDEX(catClas,MATCH(D913,catNom,0))&amp;"","")),"")</f>
        <v/>
      </c>
      <c r="L913" s="19">
        <f>IF(I913="","",IFERROR(INDEX(catAlim,MATCH(D913,catNom,0))&amp;"",""))</f>
        <v/>
      </c>
      <c r="M913" s="19">
        <f>IF(I913="","",IFERROR(INDEX(catComida,MATCH(D913,catNom,0))&amp;"",""))</f>
        <v/>
      </c>
      <c r="N913" s="19">
        <f>IF(I913="","",IFERROR(INDEX(ctaMon,MATCH(E913,ctaNom,0))&amp;"","DOP"))</f>
        <v/>
      </c>
      <c r="O913" s="20">
        <f>IF(I913="","",C913*IF(N913="USD",TasaUSD,1))</f>
        <v/>
      </c>
      <c r="P913" s="20">
        <f>IF(I913="","",IF(I913="Gasto",O913,0))</f>
        <v/>
      </c>
      <c r="Q913" s="20">
        <f>IF(I913="","",IF(I913="Ingreso",O913,0))</f>
        <v/>
      </c>
      <c r="R913" s="20">
        <f>IF(I913="","",IF(I913="Trading",O913,0))</f>
        <v/>
      </c>
      <c r="S913" s="19">
        <f>IF(I913="","",IF(AND(I913="Gasto",K913="Variable",J913&lt;&gt;"Trading",O913&gt;0,O913&lt;=Umbral),1,0))</f>
        <v/>
      </c>
      <c r="T913" s="20">
        <f>IF(OR(I913="",E913=""),"",IF(OR(I913="Gasto",I913="Transferencia",I913="Pago tarjeta"),-1,1)*C913)</f>
        <v/>
      </c>
      <c r="U913" s="20">
        <f>IF(OR(G913="",AND(I913&lt;&gt;"Transferencia",I913&lt;&gt;"Pago tarjeta")),"",IF(IFERROR(INDEX(ctaMon,MATCH(G913,ctaNom,0))&amp;"","DOP")=N913,C913,IF(N913="USD",C913*TasaUSD,C913/TasaUSD)))</f>
        <v/>
      </c>
      <c r="V913" s="20">
        <f>IF(I913="","",IF(IFERROR(INDEX(ctaLiq,MATCH(E913,ctaNom,0))="Sí",FALSE),IF(OR(I913="Gasto",I913="Transferencia",I913="Pago tarjeta"),-1,1)*O913,0)+IF(AND(U913&lt;&gt;"",IFERROR(INDEX(ctaLiq,MATCH(G913,ctaNom,0))="Sí",FALSE)),O913,0))</f>
        <v/>
      </c>
      <c r="W913" s="19">
        <f>IF(OR(F913="",I913=""),"",IF(COUNTIFS(F$6:F913,F913,I$6:I913,"?*")=1,MAX(W$5:W912)+1,""))</f>
        <v/>
      </c>
    </row>
    <row r="914">
      <c r="B914" s="15" t="n"/>
      <c r="C914" s="16" t="n"/>
      <c r="D914" s="17" t="n"/>
      <c r="E914" s="17" t="n"/>
      <c r="F914" s="17" t="n"/>
      <c r="G914" s="17" t="n"/>
      <c r="H914" s="18">
        <f>IF(AND(B914="",C914="",D914="",E914=""),"",IF(B914="","⚠ Falta fecha",IF(C914="","⚠ Falta monto",IF(D914="","⚠ Falta categoría",IF(ISNA(MATCH(D914,catNom,0)),"⚠ Categoría no existe",IF(E914="","⚠ Falta cuenta",IF(ISNA(MATCH(E914,ctaNom,0)),"⚠ Cuenta no existe",IF(AND(OR(I914="Transferencia",I914="Pago tarjeta"),G914=""),"⚠ Indica la cuenta «Hacia»",IF(AND(G914&lt;&gt;"",G914=E914),"⚠ «Hacia» igual a la cuenta",IF(AND(G914&lt;&gt;"",ISNA(MATCH(G914,ctaNom,0))),"⚠ «Hacia» no existe",IF(AND(I914="Pago tarjeta",IFERROR(INDEX(ctaTipo,MATCH(G914,ctaNom,0)),"")&lt;&gt;"Tarjeta de crédito"),"⚠ «Hacia» debe ser la tarjeta",IF(AND(I914="Trading",IFERROR(INDEX(ctaTipo,MATCH(E914,ctaNom,0)),"")&lt;&gt;"Cuenta de trading"),"⚠ Usa la cuenta de trading","✓"))))))))))))</f>
        <v/>
      </c>
      <c r="I914" s="19">
        <f>IF(OR(B914="",C914="",D914=""),"",IFERROR(INDEX(catTipo,MATCH(D914,catNom,0))&amp;"",""))</f>
        <v/>
      </c>
      <c r="J914" s="19">
        <f>IF(I914="","",IFERROR(INDEX(catGrupo,MATCH(D914,catNom,0))&amp;"",""))</f>
        <v/>
      </c>
      <c r="K914" s="19">
        <f>IF(I914="Gasto",IF(IFERROR(INDEX(catClas,MATCH(D914,catNom,0))&amp;"","")="","Variable",IFERROR(INDEX(catClas,MATCH(D914,catNom,0))&amp;"","")),"")</f>
        <v/>
      </c>
      <c r="L914" s="19">
        <f>IF(I914="","",IFERROR(INDEX(catAlim,MATCH(D914,catNom,0))&amp;"",""))</f>
        <v/>
      </c>
      <c r="M914" s="19">
        <f>IF(I914="","",IFERROR(INDEX(catComida,MATCH(D914,catNom,0))&amp;"",""))</f>
        <v/>
      </c>
      <c r="N914" s="19">
        <f>IF(I914="","",IFERROR(INDEX(ctaMon,MATCH(E914,ctaNom,0))&amp;"","DOP"))</f>
        <v/>
      </c>
      <c r="O914" s="20">
        <f>IF(I914="","",C914*IF(N914="USD",TasaUSD,1))</f>
        <v/>
      </c>
      <c r="P914" s="20">
        <f>IF(I914="","",IF(I914="Gasto",O914,0))</f>
        <v/>
      </c>
      <c r="Q914" s="20">
        <f>IF(I914="","",IF(I914="Ingreso",O914,0))</f>
        <v/>
      </c>
      <c r="R914" s="20">
        <f>IF(I914="","",IF(I914="Trading",O914,0))</f>
        <v/>
      </c>
      <c r="S914" s="19">
        <f>IF(I914="","",IF(AND(I914="Gasto",K914="Variable",J914&lt;&gt;"Trading",O914&gt;0,O914&lt;=Umbral),1,0))</f>
        <v/>
      </c>
      <c r="T914" s="20">
        <f>IF(OR(I914="",E914=""),"",IF(OR(I914="Gasto",I914="Transferencia",I914="Pago tarjeta"),-1,1)*C914)</f>
        <v/>
      </c>
      <c r="U914" s="20">
        <f>IF(OR(G914="",AND(I914&lt;&gt;"Transferencia",I914&lt;&gt;"Pago tarjeta")),"",IF(IFERROR(INDEX(ctaMon,MATCH(G914,ctaNom,0))&amp;"","DOP")=N914,C914,IF(N914="USD",C914*TasaUSD,C914/TasaUSD)))</f>
        <v/>
      </c>
      <c r="V914" s="20">
        <f>IF(I914="","",IF(IFERROR(INDEX(ctaLiq,MATCH(E914,ctaNom,0))="Sí",FALSE),IF(OR(I914="Gasto",I914="Transferencia",I914="Pago tarjeta"),-1,1)*O914,0)+IF(AND(U914&lt;&gt;"",IFERROR(INDEX(ctaLiq,MATCH(G914,ctaNom,0))="Sí",FALSE)),O914,0))</f>
        <v/>
      </c>
      <c r="W914" s="19">
        <f>IF(OR(F914="",I914=""),"",IF(COUNTIFS(F$6:F914,F914,I$6:I914,"?*")=1,MAX(W$5:W913)+1,""))</f>
        <v/>
      </c>
    </row>
    <row r="915">
      <c r="B915" s="15" t="n"/>
      <c r="C915" s="16" t="n"/>
      <c r="D915" s="17" t="n"/>
      <c r="E915" s="17" t="n"/>
      <c r="F915" s="17" t="n"/>
      <c r="G915" s="17" t="n"/>
      <c r="H915" s="18">
        <f>IF(AND(B915="",C915="",D915="",E915=""),"",IF(B915="","⚠ Falta fecha",IF(C915="","⚠ Falta monto",IF(D915="","⚠ Falta categoría",IF(ISNA(MATCH(D915,catNom,0)),"⚠ Categoría no existe",IF(E915="","⚠ Falta cuenta",IF(ISNA(MATCH(E915,ctaNom,0)),"⚠ Cuenta no existe",IF(AND(OR(I915="Transferencia",I915="Pago tarjeta"),G915=""),"⚠ Indica la cuenta «Hacia»",IF(AND(G915&lt;&gt;"",G915=E915),"⚠ «Hacia» igual a la cuenta",IF(AND(G915&lt;&gt;"",ISNA(MATCH(G915,ctaNom,0))),"⚠ «Hacia» no existe",IF(AND(I915="Pago tarjeta",IFERROR(INDEX(ctaTipo,MATCH(G915,ctaNom,0)),"")&lt;&gt;"Tarjeta de crédito"),"⚠ «Hacia» debe ser la tarjeta",IF(AND(I915="Trading",IFERROR(INDEX(ctaTipo,MATCH(E915,ctaNom,0)),"")&lt;&gt;"Cuenta de trading"),"⚠ Usa la cuenta de trading","✓"))))))))))))</f>
        <v/>
      </c>
      <c r="I915" s="19">
        <f>IF(OR(B915="",C915="",D915=""),"",IFERROR(INDEX(catTipo,MATCH(D915,catNom,0))&amp;"",""))</f>
        <v/>
      </c>
      <c r="J915" s="19">
        <f>IF(I915="","",IFERROR(INDEX(catGrupo,MATCH(D915,catNom,0))&amp;"",""))</f>
        <v/>
      </c>
      <c r="K915" s="19">
        <f>IF(I915="Gasto",IF(IFERROR(INDEX(catClas,MATCH(D915,catNom,0))&amp;"","")="","Variable",IFERROR(INDEX(catClas,MATCH(D915,catNom,0))&amp;"","")),"")</f>
        <v/>
      </c>
      <c r="L915" s="19">
        <f>IF(I915="","",IFERROR(INDEX(catAlim,MATCH(D915,catNom,0))&amp;"",""))</f>
        <v/>
      </c>
      <c r="M915" s="19">
        <f>IF(I915="","",IFERROR(INDEX(catComida,MATCH(D915,catNom,0))&amp;"",""))</f>
        <v/>
      </c>
      <c r="N915" s="19">
        <f>IF(I915="","",IFERROR(INDEX(ctaMon,MATCH(E915,ctaNom,0))&amp;"","DOP"))</f>
        <v/>
      </c>
      <c r="O915" s="20">
        <f>IF(I915="","",C915*IF(N915="USD",TasaUSD,1))</f>
        <v/>
      </c>
      <c r="P915" s="20">
        <f>IF(I915="","",IF(I915="Gasto",O915,0))</f>
        <v/>
      </c>
      <c r="Q915" s="20">
        <f>IF(I915="","",IF(I915="Ingreso",O915,0))</f>
        <v/>
      </c>
      <c r="R915" s="20">
        <f>IF(I915="","",IF(I915="Trading",O915,0))</f>
        <v/>
      </c>
      <c r="S915" s="19">
        <f>IF(I915="","",IF(AND(I915="Gasto",K915="Variable",J915&lt;&gt;"Trading",O915&gt;0,O915&lt;=Umbral),1,0))</f>
        <v/>
      </c>
      <c r="T915" s="20">
        <f>IF(OR(I915="",E915=""),"",IF(OR(I915="Gasto",I915="Transferencia",I915="Pago tarjeta"),-1,1)*C915)</f>
        <v/>
      </c>
      <c r="U915" s="20">
        <f>IF(OR(G915="",AND(I915&lt;&gt;"Transferencia",I915&lt;&gt;"Pago tarjeta")),"",IF(IFERROR(INDEX(ctaMon,MATCH(G915,ctaNom,0))&amp;"","DOP")=N915,C915,IF(N915="USD",C915*TasaUSD,C915/TasaUSD)))</f>
        <v/>
      </c>
      <c r="V915" s="20">
        <f>IF(I915="","",IF(IFERROR(INDEX(ctaLiq,MATCH(E915,ctaNom,0))="Sí",FALSE),IF(OR(I915="Gasto",I915="Transferencia",I915="Pago tarjeta"),-1,1)*O915,0)+IF(AND(U915&lt;&gt;"",IFERROR(INDEX(ctaLiq,MATCH(G915,ctaNom,0))="Sí",FALSE)),O915,0))</f>
        <v/>
      </c>
      <c r="W915" s="19">
        <f>IF(OR(F915="",I915=""),"",IF(COUNTIFS(F$6:F915,F915,I$6:I915,"?*")=1,MAX(W$5:W914)+1,""))</f>
        <v/>
      </c>
    </row>
    <row r="916">
      <c r="B916" s="15" t="n"/>
      <c r="C916" s="16" t="n"/>
      <c r="D916" s="17" t="n"/>
      <c r="E916" s="17" t="n"/>
      <c r="F916" s="17" t="n"/>
      <c r="G916" s="17" t="n"/>
      <c r="H916" s="18">
        <f>IF(AND(B916="",C916="",D916="",E916=""),"",IF(B916="","⚠ Falta fecha",IF(C916="","⚠ Falta monto",IF(D916="","⚠ Falta categoría",IF(ISNA(MATCH(D916,catNom,0)),"⚠ Categoría no existe",IF(E916="","⚠ Falta cuenta",IF(ISNA(MATCH(E916,ctaNom,0)),"⚠ Cuenta no existe",IF(AND(OR(I916="Transferencia",I916="Pago tarjeta"),G916=""),"⚠ Indica la cuenta «Hacia»",IF(AND(G916&lt;&gt;"",G916=E916),"⚠ «Hacia» igual a la cuenta",IF(AND(G916&lt;&gt;"",ISNA(MATCH(G916,ctaNom,0))),"⚠ «Hacia» no existe",IF(AND(I916="Pago tarjeta",IFERROR(INDEX(ctaTipo,MATCH(G916,ctaNom,0)),"")&lt;&gt;"Tarjeta de crédito"),"⚠ «Hacia» debe ser la tarjeta",IF(AND(I916="Trading",IFERROR(INDEX(ctaTipo,MATCH(E916,ctaNom,0)),"")&lt;&gt;"Cuenta de trading"),"⚠ Usa la cuenta de trading","✓"))))))))))))</f>
        <v/>
      </c>
      <c r="I916" s="19">
        <f>IF(OR(B916="",C916="",D916=""),"",IFERROR(INDEX(catTipo,MATCH(D916,catNom,0))&amp;"",""))</f>
        <v/>
      </c>
      <c r="J916" s="19">
        <f>IF(I916="","",IFERROR(INDEX(catGrupo,MATCH(D916,catNom,0))&amp;"",""))</f>
        <v/>
      </c>
      <c r="K916" s="19">
        <f>IF(I916="Gasto",IF(IFERROR(INDEX(catClas,MATCH(D916,catNom,0))&amp;"","")="","Variable",IFERROR(INDEX(catClas,MATCH(D916,catNom,0))&amp;"","")),"")</f>
        <v/>
      </c>
      <c r="L916" s="19">
        <f>IF(I916="","",IFERROR(INDEX(catAlim,MATCH(D916,catNom,0))&amp;"",""))</f>
        <v/>
      </c>
      <c r="M916" s="19">
        <f>IF(I916="","",IFERROR(INDEX(catComida,MATCH(D916,catNom,0))&amp;"",""))</f>
        <v/>
      </c>
      <c r="N916" s="19">
        <f>IF(I916="","",IFERROR(INDEX(ctaMon,MATCH(E916,ctaNom,0))&amp;"","DOP"))</f>
        <v/>
      </c>
      <c r="O916" s="20">
        <f>IF(I916="","",C916*IF(N916="USD",TasaUSD,1))</f>
        <v/>
      </c>
      <c r="P916" s="20">
        <f>IF(I916="","",IF(I916="Gasto",O916,0))</f>
        <v/>
      </c>
      <c r="Q916" s="20">
        <f>IF(I916="","",IF(I916="Ingreso",O916,0))</f>
        <v/>
      </c>
      <c r="R916" s="20">
        <f>IF(I916="","",IF(I916="Trading",O916,0))</f>
        <v/>
      </c>
      <c r="S916" s="19">
        <f>IF(I916="","",IF(AND(I916="Gasto",K916="Variable",J916&lt;&gt;"Trading",O916&gt;0,O916&lt;=Umbral),1,0))</f>
        <v/>
      </c>
      <c r="T916" s="20">
        <f>IF(OR(I916="",E916=""),"",IF(OR(I916="Gasto",I916="Transferencia",I916="Pago tarjeta"),-1,1)*C916)</f>
        <v/>
      </c>
      <c r="U916" s="20">
        <f>IF(OR(G916="",AND(I916&lt;&gt;"Transferencia",I916&lt;&gt;"Pago tarjeta")),"",IF(IFERROR(INDEX(ctaMon,MATCH(G916,ctaNom,0))&amp;"","DOP")=N916,C916,IF(N916="USD",C916*TasaUSD,C916/TasaUSD)))</f>
        <v/>
      </c>
      <c r="V916" s="20">
        <f>IF(I916="","",IF(IFERROR(INDEX(ctaLiq,MATCH(E916,ctaNom,0))="Sí",FALSE),IF(OR(I916="Gasto",I916="Transferencia",I916="Pago tarjeta"),-1,1)*O916,0)+IF(AND(U916&lt;&gt;"",IFERROR(INDEX(ctaLiq,MATCH(G916,ctaNom,0))="Sí",FALSE)),O916,0))</f>
        <v/>
      </c>
      <c r="W916" s="19">
        <f>IF(OR(F916="",I916=""),"",IF(COUNTIFS(F$6:F916,F916,I$6:I916,"?*")=1,MAX(W$5:W915)+1,""))</f>
        <v/>
      </c>
    </row>
    <row r="917">
      <c r="B917" s="15" t="n"/>
      <c r="C917" s="16" t="n"/>
      <c r="D917" s="17" t="n"/>
      <c r="E917" s="17" t="n"/>
      <c r="F917" s="17" t="n"/>
      <c r="G917" s="17" t="n"/>
      <c r="H917" s="18">
        <f>IF(AND(B917="",C917="",D917="",E917=""),"",IF(B917="","⚠ Falta fecha",IF(C917="","⚠ Falta monto",IF(D917="","⚠ Falta categoría",IF(ISNA(MATCH(D917,catNom,0)),"⚠ Categoría no existe",IF(E917="","⚠ Falta cuenta",IF(ISNA(MATCH(E917,ctaNom,0)),"⚠ Cuenta no existe",IF(AND(OR(I917="Transferencia",I917="Pago tarjeta"),G917=""),"⚠ Indica la cuenta «Hacia»",IF(AND(G917&lt;&gt;"",G917=E917),"⚠ «Hacia» igual a la cuenta",IF(AND(G917&lt;&gt;"",ISNA(MATCH(G917,ctaNom,0))),"⚠ «Hacia» no existe",IF(AND(I917="Pago tarjeta",IFERROR(INDEX(ctaTipo,MATCH(G917,ctaNom,0)),"")&lt;&gt;"Tarjeta de crédito"),"⚠ «Hacia» debe ser la tarjeta",IF(AND(I917="Trading",IFERROR(INDEX(ctaTipo,MATCH(E917,ctaNom,0)),"")&lt;&gt;"Cuenta de trading"),"⚠ Usa la cuenta de trading","✓"))))))))))))</f>
        <v/>
      </c>
      <c r="I917" s="19">
        <f>IF(OR(B917="",C917="",D917=""),"",IFERROR(INDEX(catTipo,MATCH(D917,catNom,0))&amp;"",""))</f>
        <v/>
      </c>
      <c r="J917" s="19">
        <f>IF(I917="","",IFERROR(INDEX(catGrupo,MATCH(D917,catNom,0))&amp;"",""))</f>
        <v/>
      </c>
      <c r="K917" s="19">
        <f>IF(I917="Gasto",IF(IFERROR(INDEX(catClas,MATCH(D917,catNom,0))&amp;"","")="","Variable",IFERROR(INDEX(catClas,MATCH(D917,catNom,0))&amp;"","")),"")</f>
        <v/>
      </c>
      <c r="L917" s="19">
        <f>IF(I917="","",IFERROR(INDEX(catAlim,MATCH(D917,catNom,0))&amp;"",""))</f>
        <v/>
      </c>
      <c r="M917" s="19">
        <f>IF(I917="","",IFERROR(INDEX(catComida,MATCH(D917,catNom,0))&amp;"",""))</f>
        <v/>
      </c>
      <c r="N917" s="19">
        <f>IF(I917="","",IFERROR(INDEX(ctaMon,MATCH(E917,ctaNom,0))&amp;"","DOP"))</f>
        <v/>
      </c>
      <c r="O917" s="20">
        <f>IF(I917="","",C917*IF(N917="USD",TasaUSD,1))</f>
        <v/>
      </c>
      <c r="P917" s="20">
        <f>IF(I917="","",IF(I917="Gasto",O917,0))</f>
        <v/>
      </c>
      <c r="Q917" s="20">
        <f>IF(I917="","",IF(I917="Ingreso",O917,0))</f>
        <v/>
      </c>
      <c r="R917" s="20">
        <f>IF(I917="","",IF(I917="Trading",O917,0))</f>
        <v/>
      </c>
      <c r="S917" s="19">
        <f>IF(I917="","",IF(AND(I917="Gasto",K917="Variable",J917&lt;&gt;"Trading",O917&gt;0,O917&lt;=Umbral),1,0))</f>
        <v/>
      </c>
      <c r="T917" s="20">
        <f>IF(OR(I917="",E917=""),"",IF(OR(I917="Gasto",I917="Transferencia",I917="Pago tarjeta"),-1,1)*C917)</f>
        <v/>
      </c>
      <c r="U917" s="20">
        <f>IF(OR(G917="",AND(I917&lt;&gt;"Transferencia",I917&lt;&gt;"Pago tarjeta")),"",IF(IFERROR(INDEX(ctaMon,MATCH(G917,ctaNom,0))&amp;"","DOP")=N917,C917,IF(N917="USD",C917*TasaUSD,C917/TasaUSD)))</f>
        <v/>
      </c>
      <c r="V917" s="20">
        <f>IF(I917="","",IF(IFERROR(INDEX(ctaLiq,MATCH(E917,ctaNom,0))="Sí",FALSE),IF(OR(I917="Gasto",I917="Transferencia",I917="Pago tarjeta"),-1,1)*O917,0)+IF(AND(U917&lt;&gt;"",IFERROR(INDEX(ctaLiq,MATCH(G917,ctaNom,0))="Sí",FALSE)),O917,0))</f>
        <v/>
      </c>
      <c r="W917" s="19">
        <f>IF(OR(F917="",I917=""),"",IF(COUNTIFS(F$6:F917,F917,I$6:I917,"?*")=1,MAX(W$5:W916)+1,""))</f>
        <v/>
      </c>
    </row>
    <row r="918">
      <c r="B918" s="15" t="n"/>
      <c r="C918" s="16" t="n"/>
      <c r="D918" s="17" t="n"/>
      <c r="E918" s="17" t="n"/>
      <c r="F918" s="17" t="n"/>
      <c r="G918" s="17" t="n"/>
      <c r="H918" s="18">
        <f>IF(AND(B918="",C918="",D918="",E918=""),"",IF(B918="","⚠ Falta fecha",IF(C918="","⚠ Falta monto",IF(D918="","⚠ Falta categoría",IF(ISNA(MATCH(D918,catNom,0)),"⚠ Categoría no existe",IF(E918="","⚠ Falta cuenta",IF(ISNA(MATCH(E918,ctaNom,0)),"⚠ Cuenta no existe",IF(AND(OR(I918="Transferencia",I918="Pago tarjeta"),G918=""),"⚠ Indica la cuenta «Hacia»",IF(AND(G918&lt;&gt;"",G918=E918),"⚠ «Hacia» igual a la cuenta",IF(AND(G918&lt;&gt;"",ISNA(MATCH(G918,ctaNom,0))),"⚠ «Hacia» no existe",IF(AND(I918="Pago tarjeta",IFERROR(INDEX(ctaTipo,MATCH(G918,ctaNom,0)),"")&lt;&gt;"Tarjeta de crédito"),"⚠ «Hacia» debe ser la tarjeta",IF(AND(I918="Trading",IFERROR(INDEX(ctaTipo,MATCH(E918,ctaNom,0)),"")&lt;&gt;"Cuenta de trading"),"⚠ Usa la cuenta de trading","✓"))))))))))))</f>
        <v/>
      </c>
      <c r="I918" s="19">
        <f>IF(OR(B918="",C918="",D918=""),"",IFERROR(INDEX(catTipo,MATCH(D918,catNom,0))&amp;"",""))</f>
        <v/>
      </c>
      <c r="J918" s="19">
        <f>IF(I918="","",IFERROR(INDEX(catGrupo,MATCH(D918,catNom,0))&amp;"",""))</f>
        <v/>
      </c>
      <c r="K918" s="19">
        <f>IF(I918="Gasto",IF(IFERROR(INDEX(catClas,MATCH(D918,catNom,0))&amp;"","")="","Variable",IFERROR(INDEX(catClas,MATCH(D918,catNom,0))&amp;"","")),"")</f>
        <v/>
      </c>
      <c r="L918" s="19">
        <f>IF(I918="","",IFERROR(INDEX(catAlim,MATCH(D918,catNom,0))&amp;"",""))</f>
        <v/>
      </c>
      <c r="M918" s="19">
        <f>IF(I918="","",IFERROR(INDEX(catComida,MATCH(D918,catNom,0))&amp;"",""))</f>
        <v/>
      </c>
      <c r="N918" s="19">
        <f>IF(I918="","",IFERROR(INDEX(ctaMon,MATCH(E918,ctaNom,0))&amp;"","DOP"))</f>
        <v/>
      </c>
      <c r="O918" s="20">
        <f>IF(I918="","",C918*IF(N918="USD",TasaUSD,1))</f>
        <v/>
      </c>
      <c r="P918" s="20">
        <f>IF(I918="","",IF(I918="Gasto",O918,0))</f>
        <v/>
      </c>
      <c r="Q918" s="20">
        <f>IF(I918="","",IF(I918="Ingreso",O918,0))</f>
        <v/>
      </c>
      <c r="R918" s="20">
        <f>IF(I918="","",IF(I918="Trading",O918,0))</f>
        <v/>
      </c>
      <c r="S918" s="19">
        <f>IF(I918="","",IF(AND(I918="Gasto",K918="Variable",J918&lt;&gt;"Trading",O918&gt;0,O918&lt;=Umbral),1,0))</f>
        <v/>
      </c>
      <c r="T918" s="20">
        <f>IF(OR(I918="",E918=""),"",IF(OR(I918="Gasto",I918="Transferencia",I918="Pago tarjeta"),-1,1)*C918)</f>
        <v/>
      </c>
      <c r="U918" s="20">
        <f>IF(OR(G918="",AND(I918&lt;&gt;"Transferencia",I918&lt;&gt;"Pago tarjeta")),"",IF(IFERROR(INDEX(ctaMon,MATCH(G918,ctaNom,0))&amp;"","DOP")=N918,C918,IF(N918="USD",C918*TasaUSD,C918/TasaUSD)))</f>
        <v/>
      </c>
      <c r="V918" s="20">
        <f>IF(I918="","",IF(IFERROR(INDEX(ctaLiq,MATCH(E918,ctaNom,0))="Sí",FALSE),IF(OR(I918="Gasto",I918="Transferencia",I918="Pago tarjeta"),-1,1)*O918,0)+IF(AND(U918&lt;&gt;"",IFERROR(INDEX(ctaLiq,MATCH(G918,ctaNom,0))="Sí",FALSE)),O918,0))</f>
        <v/>
      </c>
      <c r="W918" s="19">
        <f>IF(OR(F918="",I918=""),"",IF(COUNTIFS(F$6:F918,F918,I$6:I918,"?*")=1,MAX(W$5:W917)+1,""))</f>
        <v/>
      </c>
    </row>
    <row r="919">
      <c r="B919" s="15" t="n"/>
      <c r="C919" s="16" t="n"/>
      <c r="D919" s="17" t="n"/>
      <c r="E919" s="17" t="n"/>
      <c r="F919" s="17" t="n"/>
      <c r="G919" s="17" t="n"/>
      <c r="H919" s="18">
        <f>IF(AND(B919="",C919="",D919="",E919=""),"",IF(B919="","⚠ Falta fecha",IF(C919="","⚠ Falta monto",IF(D919="","⚠ Falta categoría",IF(ISNA(MATCH(D919,catNom,0)),"⚠ Categoría no existe",IF(E919="","⚠ Falta cuenta",IF(ISNA(MATCH(E919,ctaNom,0)),"⚠ Cuenta no existe",IF(AND(OR(I919="Transferencia",I919="Pago tarjeta"),G919=""),"⚠ Indica la cuenta «Hacia»",IF(AND(G919&lt;&gt;"",G919=E919),"⚠ «Hacia» igual a la cuenta",IF(AND(G919&lt;&gt;"",ISNA(MATCH(G919,ctaNom,0))),"⚠ «Hacia» no existe",IF(AND(I919="Pago tarjeta",IFERROR(INDEX(ctaTipo,MATCH(G919,ctaNom,0)),"")&lt;&gt;"Tarjeta de crédito"),"⚠ «Hacia» debe ser la tarjeta",IF(AND(I919="Trading",IFERROR(INDEX(ctaTipo,MATCH(E919,ctaNom,0)),"")&lt;&gt;"Cuenta de trading"),"⚠ Usa la cuenta de trading","✓"))))))))))))</f>
        <v/>
      </c>
      <c r="I919" s="19">
        <f>IF(OR(B919="",C919="",D919=""),"",IFERROR(INDEX(catTipo,MATCH(D919,catNom,0))&amp;"",""))</f>
        <v/>
      </c>
      <c r="J919" s="19">
        <f>IF(I919="","",IFERROR(INDEX(catGrupo,MATCH(D919,catNom,0))&amp;"",""))</f>
        <v/>
      </c>
      <c r="K919" s="19">
        <f>IF(I919="Gasto",IF(IFERROR(INDEX(catClas,MATCH(D919,catNom,0))&amp;"","")="","Variable",IFERROR(INDEX(catClas,MATCH(D919,catNom,0))&amp;"","")),"")</f>
        <v/>
      </c>
      <c r="L919" s="19">
        <f>IF(I919="","",IFERROR(INDEX(catAlim,MATCH(D919,catNom,0))&amp;"",""))</f>
        <v/>
      </c>
      <c r="M919" s="19">
        <f>IF(I919="","",IFERROR(INDEX(catComida,MATCH(D919,catNom,0))&amp;"",""))</f>
        <v/>
      </c>
      <c r="N919" s="19">
        <f>IF(I919="","",IFERROR(INDEX(ctaMon,MATCH(E919,ctaNom,0))&amp;"","DOP"))</f>
        <v/>
      </c>
      <c r="O919" s="20">
        <f>IF(I919="","",C919*IF(N919="USD",TasaUSD,1))</f>
        <v/>
      </c>
      <c r="P919" s="20">
        <f>IF(I919="","",IF(I919="Gasto",O919,0))</f>
        <v/>
      </c>
      <c r="Q919" s="20">
        <f>IF(I919="","",IF(I919="Ingreso",O919,0))</f>
        <v/>
      </c>
      <c r="R919" s="20">
        <f>IF(I919="","",IF(I919="Trading",O919,0))</f>
        <v/>
      </c>
      <c r="S919" s="19">
        <f>IF(I919="","",IF(AND(I919="Gasto",K919="Variable",J919&lt;&gt;"Trading",O919&gt;0,O919&lt;=Umbral),1,0))</f>
        <v/>
      </c>
      <c r="T919" s="20">
        <f>IF(OR(I919="",E919=""),"",IF(OR(I919="Gasto",I919="Transferencia",I919="Pago tarjeta"),-1,1)*C919)</f>
        <v/>
      </c>
      <c r="U919" s="20">
        <f>IF(OR(G919="",AND(I919&lt;&gt;"Transferencia",I919&lt;&gt;"Pago tarjeta")),"",IF(IFERROR(INDEX(ctaMon,MATCH(G919,ctaNom,0))&amp;"","DOP")=N919,C919,IF(N919="USD",C919*TasaUSD,C919/TasaUSD)))</f>
        <v/>
      </c>
      <c r="V919" s="20">
        <f>IF(I919="","",IF(IFERROR(INDEX(ctaLiq,MATCH(E919,ctaNom,0))="Sí",FALSE),IF(OR(I919="Gasto",I919="Transferencia",I919="Pago tarjeta"),-1,1)*O919,0)+IF(AND(U919&lt;&gt;"",IFERROR(INDEX(ctaLiq,MATCH(G919,ctaNom,0))="Sí",FALSE)),O919,0))</f>
        <v/>
      </c>
      <c r="W919" s="19">
        <f>IF(OR(F919="",I919=""),"",IF(COUNTIFS(F$6:F919,F919,I$6:I919,"?*")=1,MAX(W$5:W918)+1,""))</f>
        <v/>
      </c>
    </row>
    <row r="920">
      <c r="B920" s="15" t="n"/>
      <c r="C920" s="16" t="n"/>
      <c r="D920" s="17" t="n"/>
      <c r="E920" s="17" t="n"/>
      <c r="F920" s="17" t="n"/>
      <c r="G920" s="17" t="n"/>
      <c r="H920" s="18">
        <f>IF(AND(B920="",C920="",D920="",E920=""),"",IF(B920="","⚠ Falta fecha",IF(C920="","⚠ Falta monto",IF(D920="","⚠ Falta categoría",IF(ISNA(MATCH(D920,catNom,0)),"⚠ Categoría no existe",IF(E920="","⚠ Falta cuenta",IF(ISNA(MATCH(E920,ctaNom,0)),"⚠ Cuenta no existe",IF(AND(OR(I920="Transferencia",I920="Pago tarjeta"),G920=""),"⚠ Indica la cuenta «Hacia»",IF(AND(G920&lt;&gt;"",G920=E920),"⚠ «Hacia» igual a la cuenta",IF(AND(G920&lt;&gt;"",ISNA(MATCH(G920,ctaNom,0))),"⚠ «Hacia» no existe",IF(AND(I920="Pago tarjeta",IFERROR(INDEX(ctaTipo,MATCH(G920,ctaNom,0)),"")&lt;&gt;"Tarjeta de crédito"),"⚠ «Hacia» debe ser la tarjeta",IF(AND(I920="Trading",IFERROR(INDEX(ctaTipo,MATCH(E920,ctaNom,0)),"")&lt;&gt;"Cuenta de trading"),"⚠ Usa la cuenta de trading","✓"))))))))))))</f>
        <v/>
      </c>
      <c r="I920" s="19">
        <f>IF(OR(B920="",C920="",D920=""),"",IFERROR(INDEX(catTipo,MATCH(D920,catNom,0))&amp;"",""))</f>
        <v/>
      </c>
      <c r="J920" s="19">
        <f>IF(I920="","",IFERROR(INDEX(catGrupo,MATCH(D920,catNom,0))&amp;"",""))</f>
        <v/>
      </c>
      <c r="K920" s="19">
        <f>IF(I920="Gasto",IF(IFERROR(INDEX(catClas,MATCH(D920,catNom,0))&amp;"","")="","Variable",IFERROR(INDEX(catClas,MATCH(D920,catNom,0))&amp;"","")),"")</f>
        <v/>
      </c>
      <c r="L920" s="19">
        <f>IF(I920="","",IFERROR(INDEX(catAlim,MATCH(D920,catNom,0))&amp;"",""))</f>
        <v/>
      </c>
      <c r="M920" s="19">
        <f>IF(I920="","",IFERROR(INDEX(catComida,MATCH(D920,catNom,0))&amp;"",""))</f>
        <v/>
      </c>
      <c r="N920" s="19">
        <f>IF(I920="","",IFERROR(INDEX(ctaMon,MATCH(E920,ctaNom,0))&amp;"","DOP"))</f>
        <v/>
      </c>
      <c r="O920" s="20">
        <f>IF(I920="","",C920*IF(N920="USD",TasaUSD,1))</f>
        <v/>
      </c>
      <c r="P920" s="20">
        <f>IF(I920="","",IF(I920="Gasto",O920,0))</f>
        <v/>
      </c>
      <c r="Q920" s="20">
        <f>IF(I920="","",IF(I920="Ingreso",O920,0))</f>
        <v/>
      </c>
      <c r="R920" s="20">
        <f>IF(I920="","",IF(I920="Trading",O920,0))</f>
        <v/>
      </c>
      <c r="S920" s="19">
        <f>IF(I920="","",IF(AND(I920="Gasto",K920="Variable",J920&lt;&gt;"Trading",O920&gt;0,O920&lt;=Umbral),1,0))</f>
        <v/>
      </c>
      <c r="T920" s="20">
        <f>IF(OR(I920="",E920=""),"",IF(OR(I920="Gasto",I920="Transferencia",I920="Pago tarjeta"),-1,1)*C920)</f>
        <v/>
      </c>
      <c r="U920" s="20">
        <f>IF(OR(G920="",AND(I920&lt;&gt;"Transferencia",I920&lt;&gt;"Pago tarjeta")),"",IF(IFERROR(INDEX(ctaMon,MATCH(G920,ctaNom,0))&amp;"","DOP")=N920,C920,IF(N920="USD",C920*TasaUSD,C920/TasaUSD)))</f>
        <v/>
      </c>
      <c r="V920" s="20">
        <f>IF(I920="","",IF(IFERROR(INDEX(ctaLiq,MATCH(E920,ctaNom,0))="Sí",FALSE),IF(OR(I920="Gasto",I920="Transferencia",I920="Pago tarjeta"),-1,1)*O920,0)+IF(AND(U920&lt;&gt;"",IFERROR(INDEX(ctaLiq,MATCH(G920,ctaNom,0))="Sí",FALSE)),O920,0))</f>
        <v/>
      </c>
      <c r="W920" s="19">
        <f>IF(OR(F920="",I920=""),"",IF(COUNTIFS(F$6:F920,F920,I$6:I920,"?*")=1,MAX(W$5:W919)+1,""))</f>
        <v/>
      </c>
    </row>
    <row r="921">
      <c r="B921" s="15" t="n"/>
      <c r="C921" s="16" t="n"/>
      <c r="D921" s="17" t="n"/>
      <c r="E921" s="17" t="n"/>
      <c r="F921" s="17" t="n"/>
      <c r="G921" s="17" t="n"/>
      <c r="H921" s="18">
        <f>IF(AND(B921="",C921="",D921="",E921=""),"",IF(B921="","⚠ Falta fecha",IF(C921="","⚠ Falta monto",IF(D921="","⚠ Falta categoría",IF(ISNA(MATCH(D921,catNom,0)),"⚠ Categoría no existe",IF(E921="","⚠ Falta cuenta",IF(ISNA(MATCH(E921,ctaNom,0)),"⚠ Cuenta no existe",IF(AND(OR(I921="Transferencia",I921="Pago tarjeta"),G921=""),"⚠ Indica la cuenta «Hacia»",IF(AND(G921&lt;&gt;"",G921=E921),"⚠ «Hacia» igual a la cuenta",IF(AND(G921&lt;&gt;"",ISNA(MATCH(G921,ctaNom,0))),"⚠ «Hacia» no existe",IF(AND(I921="Pago tarjeta",IFERROR(INDEX(ctaTipo,MATCH(G921,ctaNom,0)),"")&lt;&gt;"Tarjeta de crédito"),"⚠ «Hacia» debe ser la tarjeta",IF(AND(I921="Trading",IFERROR(INDEX(ctaTipo,MATCH(E921,ctaNom,0)),"")&lt;&gt;"Cuenta de trading"),"⚠ Usa la cuenta de trading","✓"))))))))))))</f>
        <v/>
      </c>
      <c r="I921" s="19">
        <f>IF(OR(B921="",C921="",D921=""),"",IFERROR(INDEX(catTipo,MATCH(D921,catNom,0))&amp;"",""))</f>
        <v/>
      </c>
      <c r="J921" s="19">
        <f>IF(I921="","",IFERROR(INDEX(catGrupo,MATCH(D921,catNom,0))&amp;"",""))</f>
        <v/>
      </c>
      <c r="K921" s="19">
        <f>IF(I921="Gasto",IF(IFERROR(INDEX(catClas,MATCH(D921,catNom,0))&amp;"","")="","Variable",IFERROR(INDEX(catClas,MATCH(D921,catNom,0))&amp;"","")),"")</f>
        <v/>
      </c>
      <c r="L921" s="19">
        <f>IF(I921="","",IFERROR(INDEX(catAlim,MATCH(D921,catNom,0))&amp;"",""))</f>
        <v/>
      </c>
      <c r="M921" s="19">
        <f>IF(I921="","",IFERROR(INDEX(catComida,MATCH(D921,catNom,0))&amp;"",""))</f>
        <v/>
      </c>
      <c r="N921" s="19">
        <f>IF(I921="","",IFERROR(INDEX(ctaMon,MATCH(E921,ctaNom,0))&amp;"","DOP"))</f>
        <v/>
      </c>
      <c r="O921" s="20">
        <f>IF(I921="","",C921*IF(N921="USD",TasaUSD,1))</f>
        <v/>
      </c>
      <c r="P921" s="20">
        <f>IF(I921="","",IF(I921="Gasto",O921,0))</f>
        <v/>
      </c>
      <c r="Q921" s="20">
        <f>IF(I921="","",IF(I921="Ingreso",O921,0))</f>
        <v/>
      </c>
      <c r="R921" s="20">
        <f>IF(I921="","",IF(I921="Trading",O921,0))</f>
        <v/>
      </c>
      <c r="S921" s="19">
        <f>IF(I921="","",IF(AND(I921="Gasto",K921="Variable",J921&lt;&gt;"Trading",O921&gt;0,O921&lt;=Umbral),1,0))</f>
        <v/>
      </c>
      <c r="T921" s="20">
        <f>IF(OR(I921="",E921=""),"",IF(OR(I921="Gasto",I921="Transferencia",I921="Pago tarjeta"),-1,1)*C921)</f>
        <v/>
      </c>
      <c r="U921" s="20">
        <f>IF(OR(G921="",AND(I921&lt;&gt;"Transferencia",I921&lt;&gt;"Pago tarjeta")),"",IF(IFERROR(INDEX(ctaMon,MATCH(G921,ctaNom,0))&amp;"","DOP")=N921,C921,IF(N921="USD",C921*TasaUSD,C921/TasaUSD)))</f>
        <v/>
      </c>
      <c r="V921" s="20">
        <f>IF(I921="","",IF(IFERROR(INDEX(ctaLiq,MATCH(E921,ctaNom,0))="Sí",FALSE),IF(OR(I921="Gasto",I921="Transferencia",I921="Pago tarjeta"),-1,1)*O921,0)+IF(AND(U921&lt;&gt;"",IFERROR(INDEX(ctaLiq,MATCH(G921,ctaNom,0))="Sí",FALSE)),O921,0))</f>
        <v/>
      </c>
      <c r="W921" s="19">
        <f>IF(OR(F921="",I921=""),"",IF(COUNTIFS(F$6:F921,F921,I$6:I921,"?*")=1,MAX(W$5:W920)+1,""))</f>
        <v/>
      </c>
    </row>
    <row r="922">
      <c r="B922" s="15" t="n"/>
      <c r="C922" s="16" t="n"/>
      <c r="D922" s="17" t="n"/>
      <c r="E922" s="17" t="n"/>
      <c r="F922" s="17" t="n"/>
      <c r="G922" s="17" t="n"/>
      <c r="H922" s="18">
        <f>IF(AND(B922="",C922="",D922="",E922=""),"",IF(B922="","⚠ Falta fecha",IF(C922="","⚠ Falta monto",IF(D922="","⚠ Falta categoría",IF(ISNA(MATCH(D922,catNom,0)),"⚠ Categoría no existe",IF(E922="","⚠ Falta cuenta",IF(ISNA(MATCH(E922,ctaNom,0)),"⚠ Cuenta no existe",IF(AND(OR(I922="Transferencia",I922="Pago tarjeta"),G922=""),"⚠ Indica la cuenta «Hacia»",IF(AND(G922&lt;&gt;"",G922=E922),"⚠ «Hacia» igual a la cuenta",IF(AND(G922&lt;&gt;"",ISNA(MATCH(G922,ctaNom,0))),"⚠ «Hacia» no existe",IF(AND(I922="Pago tarjeta",IFERROR(INDEX(ctaTipo,MATCH(G922,ctaNom,0)),"")&lt;&gt;"Tarjeta de crédito"),"⚠ «Hacia» debe ser la tarjeta",IF(AND(I922="Trading",IFERROR(INDEX(ctaTipo,MATCH(E922,ctaNom,0)),"")&lt;&gt;"Cuenta de trading"),"⚠ Usa la cuenta de trading","✓"))))))))))))</f>
        <v/>
      </c>
      <c r="I922" s="19">
        <f>IF(OR(B922="",C922="",D922=""),"",IFERROR(INDEX(catTipo,MATCH(D922,catNom,0))&amp;"",""))</f>
        <v/>
      </c>
      <c r="J922" s="19">
        <f>IF(I922="","",IFERROR(INDEX(catGrupo,MATCH(D922,catNom,0))&amp;"",""))</f>
        <v/>
      </c>
      <c r="K922" s="19">
        <f>IF(I922="Gasto",IF(IFERROR(INDEX(catClas,MATCH(D922,catNom,0))&amp;"","")="","Variable",IFERROR(INDEX(catClas,MATCH(D922,catNom,0))&amp;"","")),"")</f>
        <v/>
      </c>
      <c r="L922" s="19">
        <f>IF(I922="","",IFERROR(INDEX(catAlim,MATCH(D922,catNom,0))&amp;"",""))</f>
        <v/>
      </c>
      <c r="M922" s="19">
        <f>IF(I922="","",IFERROR(INDEX(catComida,MATCH(D922,catNom,0))&amp;"",""))</f>
        <v/>
      </c>
      <c r="N922" s="19">
        <f>IF(I922="","",IFERROR(INDEX(ctaMon,MATCH(E922,ctaNom,0))&amp;"","DOP"))</f>
        <v/>
      </c>
      <c r="O922" s="20">
        <f>IF(I922="","",C922*IF(N922="USD",TasaUSD,1))</f>
        <v/>
      </c>
      <c r="P922" s="20">
        <f>IF(I922="","",IF(I922="Gasto",O922,0))</f>
        <v/>
      </c>
      <c r="Q922" s="20">
        <f>IF(I922="","",IF(I922="Ingreso",O922,0))</f>
        <v/>
      </c>
      <c r="R922" s="20">
        <f>IF(I922="","",IF(I922="Trading",O922,0))</f>
        <v/>
      </c>
      <c r="S922" s="19">
        <f>IF(I922="","",IF(AND(I922="Gasto",K922="Variable",J922&lt;&gt;"Trading",O922&gt;0,O922&lt;=Umbral),1,0))</f>
        <v/>
      </c>
      <c r="T922" s="20">
        <f>IF(OR(I922="",E922=""),"",IF(OR(I922="Gasto",I922="Transferencia",I922="Pago tarjeta"),-1,1)*C922)</f>
        <v/>
      </c>
      <c r="U922" s="20">
        <f>IF(OR(G922="",AND(I922&lt;&gt;"Transferencia",I922&lt;&gt;"Pago tarjeta")),"",IF(IFERROR(INDEX(ctaMon,MATCH(G922,ctaNom,0))&amp;"","DOP")=N922,C922,IF(N922="USD",C922*TasaUSD,C922/TasaUSD)))</f>
        <v/>
      </c>
      <c r="V922" s="20">
        <f>IF(I922="","",IF(IFERROR(INDEX(ctaLiq,MATCH(E922,ctaNom,0))="Sí",FALSE),IF(OR(I922="Gasto",I922="Transferencia",I922="Pago tarjeta"),-1,1)*O922,0)+IF(AND(U922&lt;&gt;"",IFERROR(INDEX(ctaLiq,MATCH(G922,ctaNom,0))="Sí",FALSE)),O922,0))</f>
        <v/>
      </c>
      <c r="W922" s="19">
        <f>IF(OR(F922="",I922=""),"",IF(COUNTIFS(F$6:F922,F922,I$6:I922,"?*")=1,MAX(W$5:W921)+1,""))</f>
        <v/>
      </c>
    </row>
    <row r="923">
      <c r="B923" s="15" t="n"/>
      <c r="C923" s="16" t="n"/>
      <c r="D923" s="17" t="n"/>
      <c r="E923" s="17" t="n"/>
      <c r="F923" s="17" t="n"/>
      <c r="G923" s="17" t="n"/>
      <c r="H923" s="18">
        <f>IF(AND(B923="",C923="",D923="",E923=""),"",IF(B923="","⚠ Falta fecha",IF(C923="","⚠ Falta monto",IF(D923="","⚠ Falta categoría",IF(ISNA(MATCH(D923,catNom,0)),"⚠ Categoría no existe",IF(E923="","⚠ Falta cuenta",IF(ISNA(MATCH(E923,ctaNom,0)),"⚠ Cuenta no existe",IF(AND(OR(I923="Transferencia",I923="Pago tarjeta"),G923=""),"⚠ Indica la cuenta «Hacia»",IF(AND(G923&lt;&gt;"",G923=E923),"⚠ «Hacia» igual a la cuenta",IF(AND(G923&lt;&gt;"",ISNA(MATCH(G923,ctaNom,0))),"⚠ «Hacia» no existe",IF(AND(I923="Pago tarjeta",IFERROR(INDEX(ctaTipo,MATCH(G923,ctaNom,0)),"")&lt;&gt;"Tarjeta de crédito"),"⚠ «Hacia» debe ser la tarjeta",IF(AND(I923="Trading",IFERROR(INDEX(ctaTipo,MATCH(E923,ctaNom,0)),"")&lt;&gt;"Cuenta de trading"),"⚠ Usa la cuenta de trading","✓"))))))))))))</f>
        <v/>
      </c>
      <c r="I923" s="19">
        <f>IF(OR(B923="",C923="",D923=""),"",IFERROR(INDEX(catTipo,MATCH(D923,catNom,0))&amp;"",""))</f>
        <v/>
      </c>
      <c r="J923" s="19">
        <f>IF(I923="","",IFERROR(INDEX(catGrupo,MATCH(D923,catNom,0))&amp;"",""))</f>
        <v/>
      </c>
      <c r="K923" s="19">
        <f>IF(I923="Gasto",IF(IFERROR(INDEX(catClas,MATCH(D923,catNom,0))&amp;"","")="","Variable",IFERROR(INDEX(catClas,MATCH(D923,catNom,0))&amp;"","")),"")</f>
        <v/>
      </c>
      <c r="L923" s="19">
        <f>IF(I923="","",IFERROR(INDEX(catAlim,MATCH(D923,catNom,0))&amp;"",""))</f>
        <v/>
      </c>
      <c r="M923" s="19">
        <f>IF(I923="","",IFERROR(INDEX(catComida,MATCH(D923,catNom,0))&amp;"",""))</f>
        <v/>
      </c>
      <c r="N923" s="19">
        <f>IF(I923="","",IFERROR(INDEX(ctaMon,MATCH(E923,ctaNom,0))&amp;"","DOP"))</f>
        <v/>
      </c>
      <c r="O923" s="20">
        <f>IF(I923="","",C923*IF(N923="USD",TasaUSD,1))</f>
        <v/>
      </c>
      <c r="P923" s="20">
        <f>IF(I923="","",IF(I923="Gasto",O923,0))</f>
        <v/>
      </c>
      <c r="Q923" s="20">
        <f>IF(I923="","",IF(I923="Ingreso",O923,0))</f>
        <v/>
      </c>
      <c r="R923" s="20">
        <f>IF(I923="","",IF(I923="Trading",O923,0))</f>
        <v/>
      </c>
      <c r="S923" s="19">
        <f>IF(I923="","",IF(AND(I923="Gasto",K923="Variable",J923&lt;&gt;"Trading",O923&gt;0,O923&lt;=Umbral),1,0))</f>
        <v/>
      </c>
      <c r="T923" s="20">
        <f>IF(OR(I923="",E923=""),"",IF(OR(I923="Gasto",I923="Transferencia",I923="Pago tarjeta"),-1,1)*C923)</f>
        <v/>
      </c>
      <c r="U923" s="20">
        <f>IF(OR(G923="",AND(I923&lt;&gt;"Transferencia",I923&lt;&gt;"Pago tarjeta")),"",IF(IFERROR(INDEX(ctaMon,MATCH(G923,ctaNom,0))&amp;"","DOP")=N923,C923,IF(N923="USD",C923*TasaUSD,C923/TasaUSD)))</f>
        <v/>
      </c>
      <c r="V923" s="20">
        <f>IF(I923="","",IF(IFERROR(INDEX(ctaLiq,MATCH(E923,ctaNom,0))="Sí",FALSE),IF(OR(I923="Gasto",I923="Transferencia",I923="Pago tarjeta"),-1,1)*O923,0)+IF(AND(U923&lt;&gt;"",IFERROR(INDEX(ctaLiq,MATCH(G923,ctaNom,0))="Sí",FALSE)),O923,0))</f>
        <v/>
      </c>
      <c r="W923" s="19">
        <f>IF(OR(F923="",I923=""),"",IF(COUNTIFS(F$6:F923,F923,I$6:I923,"?*")=1,MAX(W$5:W922)+1,""))</f>
        <v/>
      </c>
    </row>
    <row r="924">
      <c r="B924" s="15" t="n"/>
      <c r="C924" s="16" t="n"/>
      <c r="D924" s="17" t="n"/>
      <c r="E924" s="17" t="n"/>
      <c r="F924" s="17" t="n"/>
      <c r="G924" s="17" t="n"/>
      <c r="H924" s="18">
        <f>IF(AND(B924="",C924="",D924="",E924=""),"",IF(B924="","⚠ Falta fecha",IF(C924="","⚠ Falta monto",IF(D924="","⚠ Falta categoría",IF(ISNA(MATCH(D924,catNom,0)),"⚠ Categoría no existe",IF(E924="","⚠ Falta cuenta",IF(ISNA(MATCH(E924,ctaNom,0)),"⚠ Cuenta no existe",IF(AND(OR(I924="Transferencia",I924="Pago tarjeta"),G924=""),"⚠ Indica la cuenta «Hacia»",IF(AND(G924&lt;&gt;"",G924=E924),"⚠ «Hacia» igual a la cuenta",IF(AND(G924&lt;&gt;"",ISNA(MATCH(G924,ctaNom,0))),"⚠ «Hacia» no existe",IF(AND(I924="Pago tarjeta",IFERROR(INDEX(ctaTipo,MATCH(G924,ctaNom,0)),"")&lt;&gt;"Tarjeta de crédito"),"⚠ «Hacia» debe ser la tarjeta",IF(AND(I924="Trading",IFERROR(INDEX(ctaTipo,MATCH(E924,ctaNom,0)),"")&lt;&gt;"Cuenta de trading"),"⚠ Usa la cuenta de trading","✓"))))))))))))</f>
        <v/>
      </c>
      <c r="I924" s="19">
        <f>IF(OR(B924="",C924="",D924=""),"",IFERROR(INDEX(catTipo,MATCH(D924,catNom,0))&amp;"",""))</f>
        <v/>
      </c>
      <c r="J924" s="19">
        <f>IF(I924="","",IFERROR(INDEX(catGrupo,MATCH(D924,catNom,0))&amp;"",""))</f>
        <v/>
      </c>
      <c r="K924" s="19">
        <f>IF(I924="Gasto",IF(IFERROR(INDEX(catClas,MATCH(D924,catNom,0))&amp;"","")="","Variable",IFERROR(INDEX(catClas,MATCH(D924,catNom,0))&amp;"","")),"")</f>
        <v/>
      </c>
      <c r="L924" s="19">
        <f>IF(I924="","",IFERROR(INDEX(catAlim,MATCH(D924,catNom,0))&amp;"",""))</f>
        <v/>
      </c>
      <c r="M924" s="19">
        <f>IF(I924="","",IFERROR(INDEX(catComida,MATCH(D924,catNom,0))&amp;"",""))</f>
        <v/>
      </c>
      <c r="N924" s="19">
        <f>IF(I924="","",IFERROR(INDEX(ctaMon,MATCH(E924,ctaNom,0))&amp;"","DOP"))</f>
        <v/>
      </c>
      <c r="O924" s="20">
        <f>IF(I924="","",C924*IF(N924="USD",TasaUSD,1))</f>
        <v/>
      </c>
      <c r="P924" s="20">
        <f>IF(I924="","",IF(I924="Gasto",O924,0))</f>
        <v/>
      </c>
      <c r="Q924" s="20">
        <f>IF(I924="","",IF(I924="Ingreso",O924,0))</f>
        <v/>
      </c>
      <c r="R924" s="20">
        <f>IF(I924="","",IF(I924="Trading",O924,0))</f>
        <v/>
      </c>
      <c r="S924" s="19">
        <f>IF(I924="","",IF(AND(I924="Gasto",K924="Variable",J924&lt;&gt;"Trading",O924&gt;0,O924&lt;=Umbral),1,0))</f>
        <v/>
      </c>
      <c r="T924" s="20">
        <f>IF(OR(I924="",E924=""),"",IF(OR(I924="Gasto",I924="Transferencia",I924="Pago tarjeta"),-1,1)*C924)</f>
        <v/>
      </c>
      <c r="U924" s="20">
        <f>IF(OR(G924="",AND(I924&lt;&gt;"Transferencia",I924&lt;&gt;"Pago tarjeta")),"",IF(IFERROR(INDEX(ctaMon,MATCH(G924,ctaNom,0))&amp;"","DOP")=N924,C924,IF(N924="USD",C924*TasaUSD,C924/TasaUSD)))</f>
        <v/>
      </c>
      <c r="V924" s="20">
        <f>IF(I924="","",IF(IFERROR(INDEX(ctaLiq,MATCH(E924,ctaNom,0))="Sí",FALSE),IF(OR(I924="Gasto",I924="Transferencia",I924="Pago tarjeta"),-1,1)*O924,0)+IF(AND(U924&lt;&gt;"",IFERROR(INDEX(ctaLiq,MATCH(G924,ctaNom,0))="Sí",FALSE)),O924,0))</f>
        <v/>
      </c>
      <c r="W924" s="19">
        <f>IF(OR(F924="",I924=""),"",IF(COUNTIFS(F$6:F924,F924,I$6:I924,"?*")=1,MAX(W$5:W923)+1,""))</f>
        <v/>
      </c>
    </row>
    <row r="925">
      <c r="B925" s="15" t="n"/>
      <c r="C925" s="16" t="n"/>
      <c r="D925" s="17" t="n"/>
      <c r="E925" s="17" t="n"/>
      <c r="F925" s="17" t="n"/>
      <c r="G925" s="17" t="n"/>
      <c r="H925" s="18">
        <f>IF(AND(B925="",C925="",D925="",E925=""),"",IF(B925="","⚠ Falta fecha",IF(C925="","⚠ Falta monto",IF(D925="","⚠ Falta categoría",IF(ISNA(MATCH(D925,catNom,0)),"⚠ Categoría no existe",IF(E925="","⚠ Falta cuenta",IF(ISNA(MATCH(E925,ctaNom,0)),"⚠ Cuenta no existe",IF(AND(OR(I925="Transferencia",I925="Pago tarjeta"),G925=""),"⚠ Indica la cuenta «Hacia»",IF(AND(G925&lt;&gt;"",G925=E925),"⚠ «Hacia» igual a la cuenta",IF(AND(G925&lt;&gt;"",ISNA(MATCH(G925,ctaNom,0))),"⚠ «Hacia» no existe",IF(AND(I925="Pago tarjeta",IFERROR(INDEX(ctaTipo,MATCH(G925,ctaNom,0)),"")&lt;&gt;"Tarjeta de crédito"),"⚠ «Hacia» debe ser la tarjeta",IF(AND(I925="Trading",IFERROR(INDEX(ctaTipo,MATCH(E925,ctaNom,0)),"")&lt;&gt;"Cuenta de trading"),"⚠ Usa la cuenta de trading","✓"))))))))))))</f>
        <v/>
      </c>
      <c r="I925" s="19">
        <f>IF(OR(B925="",C925="",D925=""),"",IFERROR(INDEX(catTipo,MATCH(D925,catNom,0))&amp;"",""))</f>
        <v/>
      </c>
      <c r="J925" s="19">
        <f>IF(I925="","",IFERROR(INDEX(catGrupo,MATCH(D925,catNom,0))&amp;"",""))</f>
        <v/>
      </c>
      <c r="K925" s="19">
        <f>IF(I925="Gasto",IF(IFERROR(INDEX(catClas,MATCH(D925,catNom,0))&amp;"","")="","Variable",IFERROR(INDEX(catClas,MATCH(D925,catNom,0))&amp;"","")),"")</f>
        <v/>
      </c>
      <c r="L925" s="19">
        <f>IF(I925="","",IFERROR(INDEX(catAlim,MATCH(D925,catNom,0))&amp;"",""))</f>
        <v/>
      </c>
      <c r="M925" s="19">
        <f>IF(I925="","",IFERROR(INDEX(catComida,MATCH(D925,catNom,0))&amp;"",""))</f>
        <v/>
      </c>
      <c r="N925" s="19">
        <f>IF(I925="","",IFERROR(INDEX(ctaMon,MATCH(E925,ctaNom,0))&amp;"","DOP"))</f>
        <v/>
      </c>
      <c r="O925" s="20">
        <f>IF(I925="","",C925*IF(N925="USD",TasaUSD,1))</f>
        <v/>
      </c>
      <c r="P925" s="20">
        <f>IF(I925="","",IF(I925="Gasto",O925,0))</f>
        <v/>
      </c>
      <c r="Q925" s="20">
        <f>IF(I925="","",IF(I925="Ingreso",O925,0))</f>
        <v/>
      </c>
      <c r="R925" s="20">
        <f>IF(I925="","",IF(I925="Trading",O925,0))</f>
        <v/>
      </c>
      <c r="S925" s="19">
        <f>IF(I925="","",IF(AND(I925="Gasto",K925="Variable",J925&lt;&gt;"Trading",O925&gt;0,O925&lt;=Umbral),1,0))</f>
        <v/>
      </c>
      <c r="T925" s="20">
        <f>IF(OR(I925="",E925=""),"",IF(OR(I925="Gasto",I925="Transferencia",I925="Pago tarjeta"),-1,1)*C925)</f>
        <v/>
      </c>
      <c r="U925" s="20">
        <f>IF(OR(G925="",AND(I925&lt;&gt;"Transferencia",I925&lt;&gt;"Pago tarjeta")),"",IF(IFERROR(INDEX(ctaMon,MATCH(G925,ctaNom,0))&amp;"","DOP")=N925,C925,IF(N925="USD",C925*TasaUSD,C925/TasaUSD)))</f>
        <v/>
      </c>
      <c r="V925" s="20">
        <f>IF(I925="","",IF(IFERROR(INDEX(ctaLiq,MATCH(E925,ctaNom,0))="Sí",FALSE),IF(OR(I925="Gasto",I925="Transferencia",I925="Pago tarjeta"),-1,1)*O925,0)+IF(AND(U925&lt;&gt;"",IFERROR(INDEX(ctaLiq,MATCH(G925,ctaNom,0))="Sí",FALSE)),O925,0))</f>
        <v/>
      </c>
      <c r="W925" s="19">
        <f>IF(OR(F925="",I925=""),"",IF(COUNTIFS(F$6:F925,F925,I$6:I925,"?*")=1,MAX(W$5:W924)+1,""))</f>
        <v/>
      </c>
    </row>
    <row r="926">
      <c r="B926" s="15" t="n"/>
      <c r="C926" s="16" t="n"/>
      <c r="D926" s="17" t="n"/>
      <c r="E926" s="17" t="n"/>
      <c r="F926" s="17" t="n"/>
      <c r="G926" s="17" t="n"/>
      <c r="H926" s="18">
        <f>IF(AND(B926="",C926="",D926="",E926=""),"",IF(B926="","⚠ Falta fecha",IF(C926="","⚠ Falta monto",IF(D926="","⚠ Falta categoría",IF(ISNA(MATCH(D926,catNom,0)),"⚠ Categoría no existe",IF(E926="","⚠ Falta cuenta",IF(ISNA(MATCH(E926,ctaNom,0)),"⚠ Cuenta no existe",IF(AND(OR(I926="Transferencia",I926="Pago tarjeta"),G926=""),"⚠ Indica la cuenta «Hacia»",IF(AND(G926&lt;&gt;"",G926=E926),"⚠ «Hacia» igual a la cuenta",IF(AND(G926&lt;&gt;"",ISNA(MATCH(G926,ctaNom,0))),"⚠ «Hacia» no existe",IF(AND(I926="Pago tarjeta",IFERROR(INDEX(ctaTipo,MATCH(G926,ctaNom,0)),"")&lt;&gt;"Tarjeta de crédito"),"⚠ «Hacia» debe ser la tarjeta",IF(AND(I926="Trading",IFERROR(INDEX(ctaTipo,MATCH(E926,ctaNom,0)),"")&lt;&gt;"Cuenta de trading"),"⚠ Usa la cuenta de trading","✓"))))))))))))</f>
        <v/>
      </c>
      <c r="I926" s="19">
        <f>IF(OR(B926="",C926="",D926=""),"",IFERROR(INDEX(catTipo,MATCH(D926,catNom,0))&amp;"",""))</f>
        <v/>
      </c>
      <c r="J926" s="19">
        <f>IF(I926="","",IFERROR(INDEX(catGrupo,MATCH(D926,catNom,0))&amp;"",""))</f>
        <v/>
      </c>
      <c r="K926" s="19">
        <f>IF(I926="Gasto",IF(IFERROR(INDEX(catClas,MATCH(D926,catNom,0))&amp;"","")="","Variable",IFERROR(INDEX(catClas,MATCH(D926,catNom,0))&amp;"","")),"")</f>
        <v/>
      </c>
      <c r="L926" s="19">
        <f>IF(I926="","",IFERROR(INDEX(catAlim,MATCH(D926,catNom,0))&amp;"",""))</f>
        <v/>
      </c>
      <c r="M926" s="19">
        <f>IF(I926="","",IFERROR(INDEX(catComida,MATCH(D926,catNom,0))&amp;"",""))</f>
        <v/>
      </c>
      <c r="N926" s="19">
        <f>IF(I926="","",IFERROR(INDEX(ctaMon,MATCH(E926,ctaNom,0))&amp;"","DOP"))</f>
        <v/>
      </c>
      <c r="O926" s="20">
        <f>IF(I926="","",C926*IF(N926="USD",TasaUSD,1))</f>
        <v/>
      </c>
      <c r="P926" s="20">
        <f>IF(I926="","",IF(I926="Gasto",O926,0))</f>
        <v/>
      </c>
      <c r="Q926" s="20">
        <f>IF(I926="","",IF(I926="Ingreso",O926,0))</f>
        <v/>
      </c>
      <c r="R926" s="20">
        <f>IF(I926="","",IF(I926="Trading",O926,0))</f>
        <v/>
      </c>
      <c r="S926" s="19">
        <f>IF(I926="","",IF(AND(I926="Gasto",K926="Variable",J926&lt;&gt;"Trading",O926&gt;0,O926&lt;=Umbral),1,0))</f>
        <v/>
      </c>
      <c r="T926" s="20">
        <f>IF(OR(I926="",E926=""),"",IF(OR(I926="Gasto",I926="Transferencia",I926="Pago tarjeta"),-1,1)*C926)</f>
        <v/>
      </c>
      <c r="U926" s="20">
        <f>IF(OR(G926="",AND(I926&lt;&gt;"Transferencia",I926&lt;&gt;"Pago tarjeta")),"",IF(IFERROR(INDEX(ctaMon,MATCH(G926,ctaNom,0))&amp;"","DOP")=N926,C926,IF(N926="USD",C926*TasaUSD,C926/TasaUSD)))</f>
        <v/>
      </c>
      <c r="V926" s="20">
        <f>IF(I926="","",IF(IFERROR(INDEX(ctaLiq,MATCH(E926,ctaNom,0))="Sí",FALSE),IF(OR(I926="Gasto",I926="Transferencia",I926="Pago tarjeta"),-1,1)*O926,0)+IF(AND(U926&lt;&gt;"",IFERROR(INDEX(ctaLiq,MATCH(G926,ctaNom,0))="Sí",FALSE)),O926,0))</f>
        <v/>
      </c>
      <c r="W926" s="19">
        <f>IF(OR(F926="",I926=""),"",IF(COUNTIFS(F$6:F926,F926,I$6:I926,"?*")=1,MAX(W$5:W925)+1,""))</f>
        <v/>
      </c>
    </row>
    <row r="927">
      <c r="B927" s="15" t="n"/>
      <c r="C927" s="16" t="n"/>
      <c r="D927" s="17" t="n"/>
      <c r="E927" s="17" t="n"/>
      <c r="F927" s="17" t="n"/>
      <c r="G927" s="17" t="n"/>
      <c r="H927" s="18">
        <f>IF(AND(B927="",C927="",D927="",E927=""),"",IF(B927="","⚠ Falta fecha",IF(C927="","⚠ Falta monto",IF(D927="","⚠ Falta categoría",IF(ISNA(MATCH(D927,catNom,0)),"⚠ Categoría no existe",IF(E927="","⚠ Falta cuenta",IF(ISNA(MATCH(E927,ctaNom,0)),"⚠ Cuenta no existe",IF(AND(OR(I927="Transferencia",I927="Pago tarjeta"),G927=""),"⚠ Indica la cuenta «Hacia»",IF(AND(G927&lt;&gt;"",G927=E927),"⚠ «Hacia» igual a la cuenta",IF(AND(G927&lt;&gt;"",ISNA(MATCH(G927,ctaNom,0))),"⚠ «Hacia» no existe",IF(AND(I927="Pago tarjeta",IFERROR(INDEX(ctaTipo,MATCH(G927,ctaNom,0)),"")&lt;&gt;"Tarjeta de crédito"),"⚠ «Hacia» debe ser la tarjeta",IF(AND(I927="Trading",IFERROR(INDEX(ctaTipo,MATCH(E927,ctaNom,0)),"")&lt;&gt;"Cuenta de trading"),"⚠ Usa la cuenta de trading","✓"))))))))))))</f>
        <v/>
      </c>
      <c r="I927" s="19">
        <f>IF(OR(B927="",C927="",D927=""),"",IFERROR(INDEX(catTipo,MATCH(D927,catNom,0))&amp;"",""))</f>
        <v/>
      </c>
      <c r="J927" s="19">
        <f>IF(I927="","",IFERROR(INDEX(catGrupo,MATCH(D927,catNom,0))&amp;"",""))</f>
        <v/>
      </c>
      <c r="K927" s="19">
        <f>IF(I927="Gasto",IF(IFERROR(INDEX(catClas,MATCH(D927,catNom,0))&amp;"","")="","Variable",IFERROR(INDEX(catClas,MATCH(D927,catNom,0))&amp;"","")),"")</f>
        <v/>
      </c>
      <c r="L927" s="19">
        <f>IF(I927="","",IFERROR(INDEX(catAlim,MATCH(D927,catNom,0))&amp;"",""))</f>
        <v/>
      </c>
      <c r="M927" s="19">
        <f>IF(I927="","",IFERROR(INDEX(catComida,MATCH(D927,catNom,0))&amp;"",""))</f>
        <v/>
      </c>
      <c r="N927" s="19">
        <f>IF(I927="","",IFERROR(INDEX(ctaMon,MATCH(E927,ctaNom,0))&amp;"","DOP"))</f>
        <v/>
      </c>
      <c r="O927" s="20">
        <f>IF(I927="","",C927*IF(N927="USD",TasaUSD,1))</f>
        <v/>
      </c>
      <c r="P927" s="20">
        <f>IF(I927="","",IF(I927="Gasto",O927,0))</f>
        <v/>
      </c>
      <c r="Q927" s="20">
        <f>IF(I927="","",IF(I927="Ingreso",O927,0))</f>
        <v/>
      </c>
      <c r="R927" s="20">
        <f>IF(I927="","",IF(I927="Trading",O927,0))</f>
        <v/>
      </c>
      <c r="S927" s="19">
        <f>IF(I927="","",IF(AND(I927="Gasto",K927="Variable",J927&lt;&gt;"Trading",O927&gt;0,O927&lt;=Umbral),1,0))</f>
        <v/>
      </c>
      <c r="T927" s="20">
        <f>IF(OR(I927="",E927=""),"",IF(OR(I927="Gasto",I927="Transferencia",I927="Pago tarjeta"),-1,1)*C927)</f>
        <v/>
      </c>
      <c r="U927" s="20">
        <f>IF(OR(G927="",AND(I927&lt;&gt;"Transferencia",I927&lt;&gt;"Pago tarjeta")),"",IF(IFERROR(INDEX(ctaMon,MATCH(G927,ctaNom,0))&amp;"","DOP")=N927,C927,IF(N927="USD",C927*TasaUSD,C927/TasaUSD)))</f>
        <v/>
      </c>
      <c r="V927" s="20">
        <f>IF(I927="","",IF(IFERROR(INDEX(ctaLiq,MATCH(E927,ctaNom,0))="Sí",FALSE),IF(OR(I927="Gasto",I927="Transferencia",I927="Pago tarjeta"),-1,1)*O927,0)+IF(AND(U927&lt;&gt;"",IFERROR(INDEX(ctaLiq,MATCH(G927,ctaNom,0))="Sí",FALSE)),O927,0))</f>
        <v/>
      </c>
      <c r="W927" s="19">
        <f>IF(OR(F927="",I927=""),"",IF(COUNTIFS(F$6:F927,F927,I$6:I927,"?*")=1,MAX(W$5:W926)+1,""))</f>
        <v/>
      </c>
    </row>
    <row r="928">
      <c r="B928" s="15" t="n"/>
      <c r="C928" s="16" t="n"/>
      <c r="D928" s="17" t="n"/>
      <c r="E928" s="17" t="n"/>
      <c r="F928" s="17" t="n"/>
      <c r="G928" s="17" t="n"/>
      <c r="H928" s="18">
        <f>IF(AND(B928="",C928="",D928="",E928=""),"",IF(B928="","⚠ Falta fecha",IF(C928="","⚠ Falta monto",IF(D928="","⚠ Falta categoría",IF(ISNA(MATCH(D928,catNom,0)),"⚠ Categoría no existe",IF(E928="","⚠ Falta cuenta",IF(ISNA(MATCH(E928,ctaNom,0)),"⚠ Cuenta no existe",IF(AND(OR(I928="Transferencia",I928="Pago tarjeta"),G928=""),"⚠ Indica la cuenta «Hacia»",IF(AND(G928&lt;&gt;"",G928=E928),"⚠ «Hacia» igual a la cuenta",IF(AND(G928&lt;&gt;"",ISNA(MATCH(G928,ctaNom,0))),"⚠ «Hacia» no existe",IF(AND(I928="Pago tarjeta",IFERROR(INDEX(ctaTipo,MATCH(G928,ctaNom,0)),"")&lt;&gt;"Tarjeta de crédito"),"⚠ «Hacia» debe ser la tarjeta",IF(AND(I928="Trading",IFERROR(INDEX(ctaTipo,MATCH(E928,ctaNom,0)),"")&lt;&gt;"Cuenta de trading"),"⚠ Usa la cuenta de trading","✓"))))))))))))</f>
        <v/>
      </c>
      <c r="I928" s="19">
        <f>IF(OR(B928="",C928="",D928=""),"",IFERROR(INDEX(catTipo,MATCH(D928,catNom,0))&amp;"",""))</f>
        <v/>
      </c>
      <c r="J928" s="19">
        <f>IF(I928="","",IFERROR(INDEX(catGrupo,MATCH(D928,catNom,0))&amp;"",""))</f>
        <v/>
      </c>
      <c r="K928" s="19">
        <f>IF(I928="Gasto",IF(IFERROR(INDEX(catClas,MATCH(D928,catNom,0))&amp;"","")="","Variable",IFERROR(INDEX(catClas,MATCH(D928,catNom,0))&amp;"","")),"")</f>
        <v/>
      </c>
      <c r="L928" s="19">
        <f>IF(I928="","",IFERROR(INDEX(catAlim,MATCH(D928,catNom,0))&amp;"",""))</f>
        <v/>
      </c>
      <c r="M928" s="19">
        <f>IF(I928="","",IFERROR(INDEX(catComida,MATCH(D928,catNom,0))&amp;"",""))</f>
        <v/>
      </c>
      <c r="N928" s="19">
        <f>IF(I928="","",IFERROR(INDEX(ctaMon,MATCH(E928,ctaNom,0))&amp;"","DOP"))</f>
        <v/>
      </c>
      <c r="O928" s="20">
        <f>IF(I928="","",C928*IF(N928="USD",TasaUSD,1))</f>
        <v/>
      </c>
      <c r="P928" s="20">
        <f>IF(I928="","",IF(I928="Gasto",O928,0))</f>
        <v/>
      </c>
      <c r="Q928" s="20">
        <f>IF(I928="","",IF(I928="Ingreso",O928,0))</f>
        <v/>
      </c>
      <c r="R928" s="20">
        <f>IF(I928="","",IF(I928="Trading",O928,0))</f>
        <v/>
      </c>
      <c r="S928" s="19">
        <f>IF(I928="","",IF(AND(I928="Gasto",K928="Variable",J928&lt;&gt;"Trading",O928&gt;0,O928&lt;=Umbral),1,0))</f>
        <v/>
      </c>
      <c r="T928" s="20">
        <f>IF(OR(I928="",E928=""),"",IF(OR(I928="Gasto",I928="Transferencia",I928="Pago tarjeta"),-1,1)*C928)</f>
        <v/>
      </c>
      <c r="U928" s="20">
        <f>IF(OR(G928="",AND(I928&lt;&gt;"Transferencia",I928&lt;&gt;"Pago tarjeta")),"",IF(IFERROR(INDEX(ctaMon,MATCH(G928,ctaNom,0))&amp;"","DOP")=N928,C928,IF(N928="USD",C928*TasaUSD,C928/TasaUSD)))</f>
        <v/>
      </c>
      <c r="V928" s="20">
        <f>IF(I928="","",IF(IFERROR(INDEX(ctaLiq,MATCH(E928,ctaNom,0))="Sí",FALSE),IF(OR(I928="Gasto",I928="Transferencia",I928="Pago tarjeta"),-1,1)*O928,0)+IF(AND(U928&lt;&gt;"",IFERROR(INDEX(ctaLiq,MATCH(G928,ctaNom,0))="Sí",FALSE)),O928,0))</f>
        <v/>
      </c>
      <c r="W928" s="19">
        <f>IF(OR(F928="",I928=""),"",IF(COUNTIFS(F$6:F928,F928,I$6:I928,"?*")=1,MAX(W$5:W927)+1,""))</f>
        <v/>
      </c>
    </row>
    <row r="929">
      <c r="B929" s="15" t="n"/>
      <c r="C929" s="16" t="n"/>
      <c r="D929" s="17" t="n"/>
      <c r="E929" s="17" t="n"/>
      <c r="F929" s="17" t="n"/>
      <c r="G929" s="17" t="n"/>
      <c r="H929" s="18">
        <f>IF(AND(B929="",C929="",D929="",E929=""),"",IF(B929="","⚠ Falta fecha",IF(C929="","⚠ Falta monto",IF(D929="","⚠ Falta categoría",IF(ISNA(MATCH(D929,catNom,0)),"⚠ Categoría no existe",IF(E929="","⚠ Falta cuenta",IF(ISNA(MATCH(E929,ctaNom,0)),"⚠ Cuenta no existe",IF(AND(OR(I929="Transferencia",I929="Pago tarjeta"),G929=""),"⚠ Indica la cuenta «Hacia»",IF(AND(G929&lt;&gt;"",G929=E929),"⚠ «Hacia» igual a la cuenta",IF(AND(G929&lt;&gt;"",ISNA(MATCH(G929,ctaNom,0))),"⚠ «Hacia» no existe",IF(AND(I929="Pago tarjeta",IFERROR(INDEX(ctaTipo,MATCH(G929,ctaNom,0)),"")&lt;&gt;"Tarjeta de crédito"),"⚠ «Hacia» debe ser la tarjeta",IF(AND(I929="Trading",IFERROR(INDEX(ctaTipo,MATCH(E929,ctaNom,0)),"")&lt;&gt;"Cuenta de trading"),"⚠ Usa la cuenta de trading","✓"))))))))))))</f>
        <v/>
      </c>
      <c r="I929" s="19">
        <f>IF(OR(B929="",C929="",D929=""),"",IFERROR(INDEX(catTipo,MATCH(D929,catNom,0))&amp;"",""))</f>
        <v/>
      </c>
      <c r="J929" s="19">
        <f>IF(I929="","",IFERROR(INDEX(catGrupo,MATCH(D929,catNom,0))&amp;"",""))</f>
        <v/>
      </c>
      <c r="K929" s="19">
        <f>IF(I929="Gasto",IF(IFERROR(INDEX(catClas,MATCH(D929,catNom,0))&amp;"","")="","Variable",IFERROR(INDEX(catClas,MATCH(D929,catNom,0))&amp;"","")),"")</f>
        <v/>
      </c>
      <c r="L929" s="19">
        <f>IF(I929="","",IFERROR(INDEX(catAlim,MATCH(D929,catNom,0))&amp;"",""))</f>
        <v/>
      </c>
      <c r="M929" s="19">
        <f>IF(I929="","",IFERROR(INDEX(catComida,MATCH(D929,catNom,0))&amp;"",""))</f>
        <v/>
      </c>
      <c r="N929" s="19">
        <f>IF(I929="","",IFERROR(INDEX(ctaMon,MATCH(E929,ctaNom,0))&amp;"","DOP"))</f>
        <v/>
      </c>
      <c r="O929" s="20">
        <f>IF(I929="","",C929*IF(N929="USD",TasaUSD,1))</f>
        <v/>
      </c>
      <c r="P929" s="20">
        <f>IF(I929="","",IF(I929="Gasto",O929,0))</f>
        <v/>
      </c>
      <c r="Q929" s="20">
        <f>IF(I929="","",IF(I929="Ingreso",O929,0))</f>
        <v/>
      </c>
      <c r="R929" s="20">
        <f>IF(I929="","",IF(I929="Trading",O929,0))</f>
        <v/>
      </c>
      <c r="S929" s="19">
        <f>IF(I929="","",IF(AND(I929="Gasto",K929="Variable",J929&lt;&gt;"Trading",O929&gt;0,O929&lt;=Umbral),1,0))</f>
        <v/>
      </c>
      <c r="T929" s="20">
        <f>IF(OR(I929="",E929=""),"",IF(OR(I929="Gasto",I929="Transferencia",I929="Pago tarjeta"),-1,1)*C929)</f>
        <v/>
      </c>
      <c r="U929" s="20">
        <f>IF(OR(G929="",AND(I929&lt;&gt;"Transferencia",I929&lt;&gt;"Pago tarjeta")),"",IF(IFERROR(INDEX(ctaMon,MATCH(G929,ctaNom,0))&amp;"","DOP")=N929,C929,IF(N929="USD",C929*TasaUSD,C929/TasaUSD)))</f>
        <v/>
      </c>
      <c r="V929" s="20">
        <f>IF(I929="","",IF(IFERROR(INDEX(ctaLiq,MATCH(E929,ctaNom,0))="Sí",FALSE),IF(OR(I929="Gasto",I929="Transferencia",I929="Pago tarjeta"),-1,1)*O929,0)+IF(AND(U929&lt;&gt;"",IFERROR(INDEX(ctaLiq,MATCH(G929,ctaNom,0))="Sí",FALSE)),O929,0))</f>
        <v/>
      </c>
      <c r="W929" s="19">
        <f>IF(OR(F929="",I929=""),"",IF(COUNTIFS(F$6:F929,F929,I$6:I929,"?*")=1,MAX(W$5:W928)+1,""))</f>
        <v/>
      </c>
    </row>
    <row r="930">
      <c r="B930" s="15" t="n"/>
      <c r="C930" s="16" t="n"/>
      <c r="D930" s="17" t="n"/>
      <c r="E930" s="17" t="n"/>
      <c r="F930" s="17" t="n"/>
      <c r="G930" s="17" t="n"/>
      <c r="H930" s="18">
        <f>IF(AND(B930="",C930="",D930="",E930=""),"",IF(B930="","⚠ Falta fecha",IF(C930="","⚠ Falta monto",IF(D930="","⚠ Falta categoría",IF(ISNA(MATCH(D930,catNom,0)),"⚠ Categoría no existe",IF(E930="","⚠ Falta cuenta",IF(ISNA(MATCH(E930,ctaNom,0)),"⚠ Cuenta no existe",IF(AND(OR(I930="Transferencia",I930="Pago tarjeta"),G930=""),"⚠ Indica la cuenta «Hacia»",IF(AND(G930&lt;&gt;"",G930=E930),"⚠ «Hacia» igual a la cuenta",IF(AND(G930&lt;&gt;"",ISNA(MATCH(G930,ctaNom,0))),"⚠ «Hacia» no existe",IF(AND(I930="Pago tarjeta",IFERROR(INDEX(ctaTipo,MATCH(G930,ctaNom,0)),"")&lt;&gt;"Tarjeta de crédito"),"⚠ «Hacia» debe ser la tarjeta",IF(AND(I930="Trading",IFERROR(INDEX(ctaTipo,MATCH(E930,ctaNom,0)),"")&lt;&gt;"Cuenta de trading"),"⚠ Usa la cuenta de trading","✓"))))))))))))</f>
        <v/>
      </c>
      <c r="I930" s="19">
        <f>IF(OR(B930="",C930="",D930=""),"",IFERROR(INDEX(catTipo,MATCH(D930,catNom,0))&amp;"",""))</f>
        <v/>
      </c>
      <c r="J930" s="19">
        <f>IF(I930="","",IFERROR(INDEX(catGrupo,MATCH(D930,catNom,0))&amp;"",""))</f>
        <v/>
      </c>
      <c r="K930" s="19">
        <f>IF(I930="Gasto",IF(IFERROR(INDEX(catClas,MATCH(D930,catNom,0))&amp;"","")="","Variable",IFERROR(INDEX(catClas,MATCH(D930,catNom,0))&amp;"","")),"")</f>
        <v/>
      </c>
      <c r="L930" s="19">
        <f>IF(I930="","",IFERROR(INDEX(catAlim,MATCH(D930,catNom,0))&amp;"",""))</f>
        <v/>
      </c>
      <c r="M930" s="19">
        <f>IF(I930="","",IFERROR(INDEX(catComida,MATCH(D930,catNom,0))&amp;"",""))</f>
        <v/>
      </c>
      <c r="N930" s="19">
        <f>IF(I930="","",IFERROR(INDEX(ctaMon,MATCH(E930,ctaNom,0))&amp;"","DOP"))</f>
        <v/>
      </c>
      <c r="O930" s="20">
        <f>IF(I930="","",C930*IF(N930="USD",TasaUSD,1))</f>
        <v/>
      </c>
      <c r="P930" s="20">
        <f>IF(I930="","",IF(I930="Gasto",O930,0))</f>
        <v/>
      </c>
      <c r="Q930" s="20">
        <f>IF(I930="","",IF(I930="Ingreso",O930,0))</f>
        <v/>
      </c>
      <c r="R930" s="20">
        <f>IF(I930="","",IF(I930="Trading",O930,0))</f>
        <v/>
      </c>
      <c r="S930" s="19">
        <f>IF(I930="","",IF(AND(I930="Gasto",K930="Variable",J930&lt;&gt;"Trading",O930&gt;0,O930&lt;=Umbral),1,0))</f>
        <v/>
      </c>
      <c r="T930" s="20">
        <f>IF(OR(I930="",E930=""),"",IF(OR(I930="Gasto",I930="Transferencia",I930="Pago tarjeta"),-1,1)*C930)</f>
        <v/>
      </c>
      <c r="U930" s="20">
        <f>IF(OR(G930="",AND(I930&lt;&gt;"Transferencia",I930&lt;&gt;"Pago tarjeta")),"",IF(IFERROR(INDEX(ctaMon,MATCH(G930,ctaNom,0))&amp;"","DOP")=N930,C930,IF(N930="USD",C930*TasaUSD,C930/TasaUSD)))</f>
        <v/>
      </c>
      <c r="V930" s="20">
        <f>IF(I930="","",IF(IFERROR(INDEX(ctaLiq,MATCH(E930,ctaNom,0))="Sí",FALSE),IF(OR(I930="Gasto",I930="Transferencia",I930="Pago tarjeta"),-1,1)*O930,0)+IF(AND(U930&lt;&gt;"",IFERROR(INDEX(ctaLiq,MATCH(G930,ctaNom,0))="Sí",FALSE)),O930,0))</f>
        <v/>
      </c>
      <c r="W930" s="19">
        <f>IF(OR(F930="",I930=""),"",IF(COUNTIFS(F$6:F930,F930,I$6:I930,"?*")=1,MAX(W$5:W929)+1,""))</f>
        <v/>
      </c>
    </row>
    <row r="931">
      <c r="B931" s="15" t="n"/>
      <c r="C931" s="16" t="n"/>
      <c r="D931" s="17" t="n"/>
      <c r="E931" s="17" t="n"/>
      <c r="F931" s="17" t="n"/>
      <c r="G931" s="17" t="n"/>
      <c r="H931" s="18">
        <f>IF(AND(B931="",C931="",D931="",E931=""),"",IF(B931="","⚠ Falta fecha",IF(C931="","⚠ Falta monto",IF(D931="","⚠ Falta categoría",IF(ISNA(MATCH(D931,catNom,0)),"⚠ Categoría no existe",IF(E931="","⚠ Falta cuenta",IF(ISNA(MATCH(E931,ctaNom,0)),"⚠ Cuenta no existe",IF(AND(OR(I931="Transferencia",I931="Pago tarjeta"),G931=""),"⚠ Indica la cuenta «Hacia»",IF(AND(G931&lt;&gt;"",G931=E931),"⚠ «Hacia» igual a la cuenta",IF(AND(G931&lt;&gt;"",ISNA(MATCH(G931,ctaNom,0))),"⚠ «Hacia» no existe",IF(AND(I931="Pago tarjeta",IFERROR(INDEX(ctaTipo,MATCH(G931,ctaNom,0)),"")&lt;&gt;"Tarjeta de crédito"),"⚠ «Hacia» debe ser la tarjeta",IF(AND(I931="Trading",IFERROR(INDEX(ctaTipo,MATCH(E931,ctaNom,0)),"")&lt;&gt;"Cuenta de trading"),"⚠ Usa la cuenta de trading","✓"))))))))))))</f>
        <v/>
      </c>
      <c r="I931" s="19">
        <f>IF(OR(B931="",C931="",D931=""),"",IFERROR(INDEX(catTipo,MATCH(D931,catNom,0))&amp;"",""))</f>
        <v/>
      </c>
      <c r="J931" s="19">
        <f>IF(I931="","",IFERROR(INDEX(catGrupo,MATCH(D931,catNom,0))&amp;"",""))</f>
        <v/>
      </c>
      <c r="K931" s="19">
        <f>IF(I931="Gasto",IF(IFERROR(INDEX(catClas,MATCH(D931,catNom,0))&amp;"","")="","Variable",IFERROR(INDEX(catClas,MATCH(D931,catNom,0))&amp;"","")),"")</f>
        <v/>
      </c>
      <c r="L931" s="19">
        <f>IF(I931="","",IFERROR(INDEX(catAlim,MATCH(D931,catNom,0))&amp;"",""))</f>
        <v/>
      </c>
      <c r="M931" s="19">
        <f>IF(I931="","",IFERROR(INDEX(catComida,MATCH(D931,catNom,0))&amp;"",""))</f>
        <v/>
      </c>
      <c r="N931" s="19">
        <f>IF(I931="","",IFERROR(INDEX(ctaMon,MATCH(E931,ctaNom,0))&amp;"","DOP"))</f>
        <v/>
      </c>
      <c r="O931" s="20">
        <f>IF(I931="","",C931*IF(N931="USD",TasaUSD,1))</f>
        <v/>
      </c>
      <c r="P931" s="20">
        <f>IF(I931="","",IF(I931="Gasto",O931,0))</f>
        <v/>
      </c>
      <c r="Q931" s="20">
        <f>IF(I931="","",IF(I931="Ingreso",O931,0))</f>
        <v/>
      </c>
      <c r="R931" s="20">
        <f>IF(I931="","",IF(I931="Trading",O931,0))</f>
        <v/>
      </c>
      <c r="S931" s="19">
        <f>IF(I931="","",IF(AND(I931="Gasto",K931="Variable",J931&lt;&gt;"Trading",O931&gt;0,O931&lt;=Umbral),1,0))</f>
        <v/>
      </c>
      <c r="T931" s="20">
        <f>IF(OR(I931="",E931=""),"",IF(OR(I931="Gasto",I931="Transferencia",I931="Pago tarjeta"),-1,1)*C931)</f>
        <v/>
      </c>
      <c r="U931" s="20">
        <f>IF(OR(G931="",AND(I931&lt;&gt;"Transferencia",I931&lt;&gt;"Pago tarjeta")),"",IF(IFERROR(INDEX(ctaMon,MATCH(G931,ctaNom,0))&amp;"","DOP")=N931,C931,IF(N931="USD",C931*TasaUSD,C931/TasaUSD)))</f>
        <v/>
      </c>
      <c r="V931" s="20">
        <f>IF(I931="","",IF(IFERROR(INDEX(ctaLiq,MATCH(E931,ctaNom,0))="Sí",FALSE),IF(OR(I931="Gasto",I931="Transferencia",I931="Pago tarjeta"),-1,1)*O931,0)+IF(AND(U931&lt;&gt;"",IFERROR(INDEX(ctaLiq,MATCH(G931,ctaNom,0))="Sí",FALSE)),O931,0))</f>
        <v/>
      </c>
      <c r="W931" s="19">
        <f>IF(OR(F931="",I931=""),"",IF(COUNTIFS(F$6:F931,F931,I$6:I931,"?*")=1,MAX(W$5:W930)+1,""))</f>
        <v/>
      </c>
    </row>
    <row r="932">
      <c r="B932" s="15" t="n"/>
      <c r="C932" s="16" t="n"/>
      <c r="D932" s="17" t="n"/>
      <c r="E932" s="17" t="n"/>
      <c r="F932" s="17" t="n"/>
      <c r="G932" s="17" t="n"/>
      <c r="H932" s="18">
        <f>IF(AND(B932="",C932="",D932="",E932=""),"",IF(B932="","⚠ Falta fecha",IF(C932="","⚠ Falta monto",IF(D932="","⚠ Falta categoría",IF(ISNA(MATCH(D932,catNom,0)),"⚠ Categoría no existe",IF(E932="","⚠ Falta cuenta",IF(ISNA(MATCH(E932,ctaNom,0)),"⚠ Cuenta no existe",IF(AND(OR(I932="Transferencia",I932="Pago tarjeta"),G932=""),"⚠ Indica la cuenta «Hacia»",IF(AND(G932&lt;&gt;"",G932=E932),"⚠ «Hacia» igual a la cuenta",IF(AND(G932&lt;&gt;"",ISNA(MATCH(G932,ctaNom,0))),"⚠ «Hacia» no existe",IF(AND(I932="Pago tarjeta",IFERROR(INDEX(ctaTipo,MATCH(G932,ctaNom,0)),"")&lt;&gt;"Tarjeta de crédito"),"⚠ «Hacia» debe ser la tarjeta",IF(AND(I932="Trading",IFERROR(INDEX(ctaTipo,MATCH(E932,ctaNom,0)),"")&lt;&gt;"Cuenta de trading"),"⚠ Usa la cuenta de trading","✓"))))))))))))</f>
        <v/>
      </c>
      <c r="I932" s="19">
        <f>IF(OR(B932="",C932="",D932=""),"",IFERROR(INDEX(catTipo,MATCH(D932,catNom,0))&amp;"",""))</f>
        <v/>
      </c>
      <c r="J932" s="19">
        <f>IF(I932="","",IFERROR(INDEX(catGrupo,MATCH(D932,catNom,0))&amp;"",""))</f>
        <v/>
      </c>
      <c r="K932" s="19">
        <f>IF(I932="Gasto",IF(IFERROR(INDEX(catClas,MATCH(D932,catNom,0))&amp;"","")="","Variable",IFERROR(INDEX(catClas,MATCH(D932,catNom,0))&amp;"","")),"")</f>
        <v/>
      </c>
      <c r="L932" s="19">
        <f>IF(I932="","",IFERROR(INDEX(catAlim,MATCH(D932,catNom,0))&amp;"",""))</f>
        <v/>
      </c>
      <c r="M932" s="19">
        <f>IF(I932="","",IFERROR(INDEX(catComida,MATCH(D932,catNom,0))&amp;"",""))</f>
        <v/>
      </c>
      <c r="N932" s="19">
        <f>IF(I932="","",IFERROR(INDEX(ctaMon,MATCH(E932,ctaNom,0))&amp;"","DOP"))</f>
        <v/>
      </c>
      <c r="O932" s="20">
        <f>IF(I932="","",C932*IF(N932="USD",TasaUSD,1))</f>
        <v/>
      </c>
      <c r="P932" s="20">
        <f>IF(I932="","",IF(I932="Gasto",O932,0))</f>
        <v/>
      </c>
      <c r="Q932" s="20">
        <f>IF(I932="","",IF(I932="Ingreso",O932,0))</f>
        <v/>
      </c>
      <c r="R932" s="20">
        <f>IF(I932="","",IF(I932="Trading",O932,0))</f>
        <v/>
      </c>
      <c r="S932" s="19">
        <f>IF(I932="","",IF(AND(I932="Gasto",K932="Variable",J932&lt;&gt;"Trading",O932&gt;0,O932&lt;=Umbral),1,0))</f>
        <v/>
      </c>
      <c r="T932" s="20">
        <f>IF(OR(I932="",E932=""),"",IF(OR(I932="Gasto",I932="Transferencia",I932="Pago tarjeta"),-1,1)*C932)</f>
        <v/>
      </c>
      <c r="U932" s="20">
        <f>IF(OR(G932="",AND(I932&lt;&gt;"Transferencia",I932&lt;&gt;"Pago tarjeta")),"",IF(IFERROR(INDEX(ctaMon,MATCH(G932,ctaNom,0))&amp;"","DOP")=N932,C932,IF(N932="USD",C932*TasaUSD,C932/TasaUSD)))</f>
        <v/>
      </c>
      <c r="V932" s="20">
        <f>IF(I932="","",IF(IFERROR(INDEX(ctaLiq,MATCH(E932,ctaNom,0))="Sí",FALSE),IF(OR(I932="Gasto",I932="Transferencia",I932="Pago tarjeta"),-1,1)*O932,0)+IF(AND(U932&lt;&gt;"",IFERROR(INDEX(ctaLiq,MATCH(G932,ctaNom,0))="Sí",FALSE)),O932,0))</f>
        <v/>
      </c>
      <c r="W932" s="19">
        <f>IF(OR(F932="",I932=""),"",IF(COUNTIFS(F$6:F932,F932,I$6:I932,"?*")=1,MAX(W$5:W931)+1,""))</f>
        <v/>
      </c>
    </row>
    <row r="933">
      <c r="B933" s="15" t="n"/>
      <c r="C933" s="16" t="n"/>
      <c r="D933" s="17" t="n"/>
      <c r="E933" s="17" t="n"/>
      <c r="F933" s="17" t="n"/>
      <c r="G933" s="17" t="n"/>
      <c r="H933" s="18">
        <f>IF(AND(B933="",C933="",D933="",E933=""),"",IF(B933="","⚠ Falta fecha",IF(C933="","⚠ Falta monto",IF(D933="","⚠ Falta categoría",IF(ISNA(MATCH(D933,catNom,0)),"⚠ Categoría no existe",IF(E933="","⚠ Falta cuenta",IF(ISNA(MATCH(E933,ctaNom,0)),"⚠ Cuenta no existe",IF(AND(OR(I933="Transferencia",I933="Pago tarjeta"),G933=""),"⚠ Indica la cuenta «Hacia»",IF(AND(G933&lt;&gt;"",G933=E933),"⚠ «Hacia» igual a la cuenta",IF(AND(G933&lt;&gt;"",ISNA(MATCH(G933,ctaNom,0))),"⚠ «Hacia» no existe",IF(AND(I933="Pago tarjeta",IFERROR(INDEX(ctaTipo,MATCH(G933,ctaNom,0)),"")&lt;&gt;"Tarjeta de crédito"),"⚠ «Hacia» debe ser la tarjeta",IF(AND(I933="Trading",IFERROR(INDEX(ctaTipo,MATCH(E933,ctaNom,0)),"")&lt;&gt;"Cuenta de trading"),"⚠ Usa la cuenta de trading","✓"))))))))))))</f>
        <v/>
      </c>
      <c r="I933" s="19">
        <f>IF(OR(B933="",C933="",D933=""),"",IFERROR(INDEX(catTipo,MATCH(D933,catNom,0))&amp;"",""))</f>
        <v/>
      </c>
      <c r="J933" s="19">
        <f>IF(I933="","",IFERROR(INDEX(catGrupo,MATCH(D933,catNom,0))&amp;"",""))</f>
        <v/>
      </c>
      <c r="K933" s="19">
        <f>IF(I933="Gasto",IF(IFERROR(INDEX(catClas,MATCH(D933,catNom,0))&amp;"","")="","Variable",IFERROR(INDEX(catClas,MATCH(D933,catNom,0))&amp;"","")),"")</f>
        <v/>
      </c>
      <c r="L933" s="19">
        <f>IF(I933="","",IFERROR(INDEX(catAlim,MATCH(D933,catNom,0))&amp;"",""))</f>
        <v/>
      </c>
      <c r="M933" s="19">
        <f>IF(I933="","",IFERROR(INDEX(catComida,MATCH(D933,catNom,0))&amp;"",""))</f>
        <v/>
      </c>
      <c r="N933" s="19">
        <f>IF(I933="","",IFERROR(INDEX(ctaMon,MATCH(E933,ctaNom,0))&amp;"","DOP"))</f>
        <v/>
      </c>
      <c r="O933" s="20">
        <f>IF(I933="","",C933*IF(N933="USD",TasaUSD,1))</f>
        <v/>
      </c>
      <c r="P933" s="20">
        <f>IF(I933="","",IF(I933="Gasto",O933,0))</f>
        <v/>
      </c>
      <c r="Q933" s="20">
        <f>IF(I933="","",IF(I933="Ingreso",O933,0))</f>
        <v/>
      </c>
      <c r="R933" s="20">
        <f>IF(I933="","",IF(I933="Trading",O933,0))</f>
        <v/>
      </c>
      <c r="S933" s="19">
        <f>IF(I933="","",IF(AND(I933="Gasto",K933="Variable",J933&lt;&gt;"Trading",O933&gt;0,O933&lt;=Umbral),1,0))</f>
        <v/>
      </c>
      <c r="T933" s="20">
        <f>IF(OR(I933="",E933=""),"",IF(OR(I933="Gasto",I933="Transferencia",I933="Pago tarjeta"),-1,1)*C933)</f>
        <v/>
      </c>
      <c r="U933" s="20">
        <f>IF(OR(G933="",AND(I933&lt;&gt;"Transferencia",I933&lt;&gt;"Pago tarjeta")),"",IF(IFERROR(INDEX(ctaMon,MATCH(G933,ctaNom,0))&amp;"","DOP")=N933,C933,IF(N933="USD",C933*TasaUSD,C933/TasaUSD)))</f>
        <v/>
      </c>
      <c r="V933" s="20">
        <f>IF(I933="","",IF(IFERROR(INDEX(ctaLiq,MATCH(E933,ctaNom,0))="Sí",FALSE),IF(OR(I933="Gasto",I933="Transferencia",I933="Pago tarjeta"),-1,1)*O933,0)+IF(AND(U933&lt;&gt;"",IFERROR(INDEX(ctaLiq,MATCH(G933,ctaNom,0))="Sí",FALSE)),O933,0))</f>
        <v/>
      </c>
      <c r="W933" s="19">
        <f>IF(OR(F933="",I933=""),"",IF(COUNTIFS(F$6:F933,F933,I$6:I933,"?*")=1,MAX(W$5:W932)+1,""))</f>
        <v/>
      </c>
    </row>
    <row r="934">
      <c r="B934" s="15" t="n"/>
      <c r="C934" s="16" t="n"/>
      <c r="D934" s="17" t="n"/>
      <c r="E934" s="17" t="n"/>
      <c r="F934" s="17" t="n"/>
      <c r="G934" s="17" t="n"/>
      <c r="H934" s="18">
        <f>IF(AND(B934="",C934="",D934="",E934=""),"",IF(B934="","⚠ Falta fecha",IF(C934="","⚠ Falta monto",IF(D934="","⚠ Falta categoría",IF(ISNA(MATCH(D934,catNom,0)),"⚠ Categoría no existe",IF(E934="","⚠ Falta cuenta",IF(ISNA(MATCH(E934,ctaNom,0)),"⚠ Cuenta no existe",IF(AND(OR(I934="Transferencia",I934="Pago tarjeta"),G934=""),"⚠ Indica la cuenta «Hacia»",IF(AND(G934&lt;&gt;"",G934=E934),"⚠ «Hacia» igual a la cuenta",IF(AND(G934&lt;&gt;"",ISNA(MATCH(G934,ctaNom,0))),"⚠ «Hacia» no existe",IF(AND(I934="Pago tarjeta",IFERROR(INDEX(ctaTipo,MATCH(G934,ctaNom,0)),"")&lt;&gt;"Tarjeta de crédito"),"⚠ «Hacia» debe ser la tarjeta",IF(AND(I934="Trading",IFERROR(INDEX(ctaTipo,MATCH(E934,ctaNom,0)),"")&lt;&gt;"Cuenta de trading"),"⚠ Usa la cuenta de trading","✓"))))))))))))</f>
        <v/>
      </c>
      <c r="I934" s="19">
        <f>IF(OR(B934="",C934="",D934=""),"",IFERROR(INDEX(catTipo,MATCH(D934,catNom,0))&amp;"",""))</f>
        <v/>
      </c>
      <c r="J934" s="19">
        <f>IF(I934="","",IFERROR(INDEX(catGrupo,MATCH(D934,catNom,0))&amp;"",""))</f>
        <v/>
      </c>
      <c r="K934" s="19">
        <f>IF(I934="Gasto",IF(IFERROR(INDEX(catClas,MATCH(D934,catNom,0))&amp;"","")="","Variable",IFERROR(INDEX(catClas,MATCH(D934,catNom,0))&amp;"","")),"")</f>
        <v/>
      </c>
      <c r="L934" s="19">
        <f>IF(I934="","",IFERROR(INDEX(catAlim,MATCH(D934,catNom,0))&amp;"",""))</f>
        <v/>
      </c>
      <c r="M934" s="19">
        <f>IF(I934="","",IFERROR(INDEX(catComida,MATCH(D934,catNom,0))&amp;"",""))</f>
        <v/>
      </c>
      <c r="N934" s="19">
        <f>IF(I934="","",IFERROR(INDEX(ctaMon,MATCH(E934,ctaNom,0))&amp;"","DOP"))</f>
        <v/>
      </c>
      <c r="O934" s="20">
        <f>IF(I934="","",C934*IF(N934="USD",TasaUSD,1))</f>
        <v/>
      </c>
      <c r="P934" s="20">
        <f>IF(I934="","",IF(I934="Gasto",O934,0))</f>
        <v/>
      </c>
      <c r="Q934" s="20">
        <f>IF(I934="","",IF(I934="Ingreso",O934,0))</f>
        <v/>
      </c>
      <c r="R934" s="20">
        <f>IF(I934="","",IF(I934="Trading",O934,0))</f>
        <v/>
      </c>
      <c r="S934" s="19">
        <f>IF(I934="","",IF(AND(I934="Gasto",K934="Variable",J934&lt;&gt;"Trading",O934&gt;0,O934&lt;=Umbral),1,0))</f>
        <v/>
      </c>
      <c r="T934" s="20">
        <f>IF(OR(I934="",E934=""),"",IF(OR(I934="Gasto",I934="Transferencia",I934="Pago tarjeta"),-1,1)*C934)</f>
        <v/>
      </c>
      <c r="U934" s="20">
        <f>IF(OR(G934="",AND(I934&lt;&gt;"Transferencia",I934&lt;&gt;"Pago tarjeta")),"",IF(IFERROR(INDEX(ctaMon,MATCH(G934,ctaNom,0))&amp;"","DOP")=N934,C934,IF(N934="USD",C934*TasaUSD,C934/TasaUSD)))</f>
        <v/>
      </c>
      <c r="V934" s="20">
        <f>IF(I934="","",IF(IFERROR(INDEX(ctaLiq,MATCH(E934,ctaNom,0))="Sí",FALSE),IF(OR(I934="Gasto",I934="Transferencia",I934="Pago tarjeta"),-1,1)*O934,0)+IF(AND(U934&lt;&gt;"",IFERROR(INDEX(ctaLiq,MATCH(G934,ctaNom,0))="Sí",FALSE)),O934,0))</f>
        <v/>
      </c>
      <c r="W934" s="19">
        <f>IF(OR(F934="",I934=""),"",IF(COUNTIFS(F$6:F934,F934,I$6:I934,"?*")=1,MAX(W$5:W933)+1,""))</f>
        <v/>
      </c>
    </row>
    <row r="935">
      <c r="B935" s="15" t="n"/>
      <c r="C935" s="16" t="n"/>
      <c r="D935" s="17" t="n"/>
      <c r="E935" s="17" t="n"/>
      <c r="F935" s="17" t="n"/>
      <c r="G935" s="17" t="n"/>
      <c r="H935" s="18">
        <f>IF(AND(B935="",C935="",D935="",E935=""),"",IF(B935="","⚠ Falta fecha",IF(C935="","⚠ Falta monto",IF(D935="","⚠ Falta categoría",IF(ISNA(MATCH(D935,catNom,0)),"⚠ Categoría no existe",IF(E935="","⚠ Falta cuenta",IF(ISNA(MATCH(E935,ctaNom,0)),"⚠ Cuenta no existe",IF(AND(OR(I935="Transferencia",I935="Pago tarjeta"),G935=""),"⚠ Indica la cuenta «Hacia»",IF(AND(G935&lt;&gt;"",G935=E935),"⚠ «Hacia» igual a la cuenta",IF(AND(G935&lt;&gt;"",ISNA(MATCH(G935,ctaNom,0))),"⚠ «Hacia» no existe",IF(AND(I935="Pago tarjeta",IFERROR(INDEX(ctaTipo,MATCH(G935,ctaNom,0)),"")&lt;&gt;"Tarjeta de crédito"),"⚠ «Hacia» debe ser la tarjeta",IF(AND(I935="Trading",IFERROR(INDEX(ctaTipo,MATCH(E935,ctaNom,0)),"")&lt;&gt;"Cuenta de trading"),"⚠ Usa la cuenta de trading","✓"))))))))))))</f>
        <v/>
      </c>
      <c r="I935" s="19">
        <f>IF(OR(B935="",C935="",D935=""),"",IFERROR(INDEX(catTipo,MATCH(D935,catNom,0))&amp;"",""))</f>
        <v/>
      </c>
      <c r="J935" s="19">
        <f>IF(I935="","",IFERROR(INDEX(catGrupo,MATCH(D935,catNom,0))&amp;"",""))</f>
        <v/>
      </c>
      <c r="K935" s="19">
        <f>IF(I935="Gasto",IF(IFERROR(INDEX(catClas,MATCH(D935,catNom,0))&amp;"","")="","Variable",IFERROR(INDEX(catClas,MATCH(D935,catNom,0))&amp;"","")),"")</f>
        <v/>
      </c>
      <c r="L935" s="19">
        <f>IF(I935="","",IFERROR(INDEX(catAlim,MATCH(D935,catNom,0))&amp;"",""))</f>
        <v/>
      </c>
      <c r="M935" s="19">
        <f>IF(I935="","",IFERROR(INDEX(catComida,MATCH(D935,catNom,0))&amp;"",""))</f>
        <v/>
      </c>
      <c r="N935" s="19">
        <f>IF(I935="","",IFERROR(INDEX(ctaMon,MATCH(E935,ctaNom,0))&amp;"","DOP"))</f>
        <v/>
      </c>
      <c r="O935" s="20">
        <f>IF(I935="","",C935*IF(N935="USD",TasaUSD,1))</f>
        <v/>
      </c>
      <c r="P935" s="20">
        <f>IF(I935="","",IF(I935="Gasto",O935,0))</f>
        <v/>
      </c>
      <c r="Q935" s="20">
        <f>IF(I935="","",IF(I935="Ingreso",O935,0))</f>
        <v/>
      </c>
      <c r="R935" s="20">
        <f>IF(I935="","",IF(I935="Trading",O935,0))</f>
        <v/>
      </c>
      <c r="S935" s="19">
        <f>IF(I935="","",IF(AND(I935="Gasto",K935="Variable",J935&lt;&gt;"Trading",O935&gt;0,O935&lt;=Umbral),1,0))</f>
        <v/>
      </c>
      <c r="T935" s="20">
        <f>IF(OR(I935="",E935=""),"",IF(OR(I935="Gasto",I935="Transferencia",I935="Pago tarjeta"),-1,1)*C935)</f>
        <v/>
      </c>
      <c r="U935" s="20">
        <f>IF(OR(G935="",AND(I935&lt;&gt;"Transferencia",I935&lt;&gt;"Pago tarjeta")),"",IF(IFERROR(INDEX(ctaMon,MATCH(G935,ctaNom,0))&amp;"","DOP")=N935,C935,IF(N935="USD",C935*TasaUSD,C935/TasaUSD)))</f>
        <v/>
      </c>
      <c r="V935" s="20">
        <f>IF(I935="","",IF(IFERROR(INDEX(ctaLiq,MATCH(E935,ctaNom,0))="Sí",FALSE),IF(OR(I935="Gasto",I935="Transferencia",I935="Pago tarjeta"),-1,1)*O935,0)+IF(AND(U935&lt;&gt;"",IFERROR(INDEX(ctaLiq,MATCH(G935,ctaNom,0))="Sí",FALSE)),O935,0))</f>
        <v/>
      </c>
      <c r="W935" s="19">
        <f>IF(OR(F935="",I935=""),"",IF(COUNTIFS(F$6:F935,F935,I$6:I935,"?*")=1,MAX(W$5:W934)+1,""))</f>
        <v/>
      </c>
    </row>
    <row r="936">
      <c r="B936" s="15" t="n"/>
      <c r="C936" s="16" t="n"/>
      <c r="D936" s="17" t="n"/>
      <c r="E936" s="17" t="n"/>
      <c r="F936" s="17" t="n"/>
      <c r="G936" s="17" t="n"/>
      <c r="H936" s="18">
        <f>IF(AND(B936="",C936="",D936="",E936=""),"",IF(B936="","⚠ Falta fecha",IF(C936="","⚠ Falta monto",IF(D936="","⚠ Falta categoría",IF(ISNA(MATCH(D936,catNom,0)),"⚠ Categoría no existe",IF(E936="","⚠ Falta cuenta",IF(ISNA(MATCH(E936,ctaNom,0)),"⚠ Cuenta no existe",IF(AND(OR(I936="Transferencia",I936="Pago tarjeta"),G936=""),"⚠ Indica la cuenta «Hacia»",IF(AND(G936&lt;&gt;"",G936=E936),"⚠ «Hacia» igual a la cuenta",IF(AND(G936&lt;&gt;"",ISNA(MATCH(G936,ctaNom,0))),"⚠ «Hacia» no existe",IF(AND(I936="Pago tarjeta",IFERROR(INDEX(ctaTipo,MATCH(G936,ctaNom,0)),"")&lt;&gt;"Tarjeta de crédito"),"⚠ «Hacia» debe ser la tarjeta",IF(AND(I936="Trading",IFERROR(INDEX(ctaTipo,MATCH(E936,ctaNom,0)),"")&lt;&gt;"Cuenta de trading"),"⚠ Usa la cuenta de trading","✓"))))))))))))</f>
        <v/>
      </c>
      <c r="I936" s="19">
        <f>IF(OR(B936="",C936="",D936=""),"",IFERROR(INDEX(catTipo,MATCH(D936,catNom,0))&amp;"",""))</f>
        <v/>
      </c>
      <c r="J936" s="19">
        <f>IF(I936="","",IFERROR(INDEX(catGrupo,MATCH(D936,catNom,0))&amp;"",""))</f>
        <v/>
      </c>
      <c r="K936" s="19">
        <f>IF(I936="Gasto",IF(IFERROR(INDEX(catClas,MATCH(D936,catNom,0))&amp;"","")="","Variable",IFERROR(INDEX(catClas,MATCH(D936,catNom,0))&amp;"","")),"")</f>
        <v/>
      </c>
      <c r="L936" s="19">
        <f>IF(I936="","",IFERROR(INDEX(catAlim,MATCH(D936,catNom,0))&amp;"",""))</f>
        <v/>
      </c>
      <c r="M936" s="19">
        <f>IF(I936="","",IFERROR(INDEX(catComida,MATCH(D936,catNom,0))&amp;"",""))</f>
        <v/>
      </c>
      <c r="N936" s="19">
        <f>IF(I936="","",IFERROR(INDEX(ctaMon,MATCH(E936,ctaNom,0))&amp;"","DOP"))</f>
        <v/>
      </c>
      <c r="O936" s="20">
        <f>IF(I936="","",C936*IF(N936="USD",TasaUSD,1))</f>
        <v/>
      </c>
      <c r="P936" s="20">
        <f>IF(I936="","",IF(I936="Gasto",O936,0))</f>
        <v/>
      </c>
      <c r="Q936" s="20">
        <f>IF(I936="","",IF(I936="Ingreso",O936,0))</f>
        <v/>
      </c>
      <c r="R936" s="20">
        <f>IF(I936="","",IF(I936="Trading",O936,0))</f>
        <v/>
      </c>
      <c r="S936" s="19">
        <f>IF(I936="","",IF(AND(I936="Gasto",K936="Variable",J936&lt;&gt;"Trading",O936&gt;0,O936&lt;=Umbral),1,0))</f>
        <v/>
      </c>
      <c r="T936" s="20">
        <f>IF(OR(I936="",E936=""),"",IF(OR(I936="Gasto",I936="Transferencia",I936="Pago tarjeta"),-1,1)*C936)</f>
        <v/>
      </c>
      <c r="U936" s="20">
        <f>IF(OR(G936="",AND(I936&lt;&gt;"Transferencia",I936&lt;&gt;"Pago tarjeta")),"",IF(IFERROR(INDEX(ctaMon,MATCH(G936,ctaNom,0))&amp;"","DOP")=N936,C936,IF(N936="USD",C936*TasaUSD,C936/TasaUSD)))</f>
        <v/>
      </c>
      <c r="V936" s="20">
        <f>IF(I936="","",IF(IFERROR(INDEX(ctaLiq,MATCH(E936,ctaNom,0))="Sí",FALSE),IF(OR(I936="Gasto",I936="Transferencia",I936="Pago tarjeta"),-1,1)*O936,0)+IF(AND(U936&lt;&gt;"",IFERROR(INDEX(ctaLiq,MATCH(G936,ctaNom,0))="Sí",FALSE)),O936,0))</f>
        <v/>
      </c>
      <c r="W936" s="19">
        <f>IF(OR(F936="",I936=""),"",IF(COUNTIFS(F$6:F936,F936,I$6:I936,"?*")=1,MAX(W$5:W935)+1,""))</f>
        <v/>
      </c>
    </row>
    <row r="937">
      <c r="B937" s="15" t="n"/>
      <c r="C937" s="16" t="n"/>
      <c r="D937" s="17" t="n"/>
      <c r="E937" s="17" t="n"/>
      <c r="F937" s="17" t="n"/>
      <c r="G937" s="17" t="n"/>
      <c r="H937" s="18">
        <f>IF(AND(B937="",C937="",D937="",E937=""),"",IF(B937="","⚠ Falta fecha",IF(C937="","⚠ Falta monto",IF(D937="","⚠ Falta categoría",IF(ISNA(MATCH(D937,catNom,0)),"⚠ Categoría no existe",IF(E937="","⚠ Falta cuenta",IF(ISNA(MATCH(E937,ctaNom,0)),"⚠ Cuenta no existe",IF(AND(OR(I937="Transferencia",I937="Pago tarjeta"),G937=""),"⚠ Indica la cuenta «Hacia»",IF(AND(G937&lt;&gt;"",G937=E937),"⚠ «Hacia» igual a la cuenta",IF(AND(G937&lt;&gt;"",ISNA(MATCH(G937,ctaNom,0))),"⚠ «Hacia» no existe",IF(AND(I937="Pago tarjeta",IFERROR(INDEX(ctaTipo,MATCH(G937,ctaNom,0)),"")&lt;&gt;"Tarjeta de crédito"),"⚠ «Hacia» debe ser la tarjeta",IF(AND(I937="Trading",IFERROR(INDEX(ctaTipo,MATCH(E937,ctaNom,0)),"")&lt;&gt;"Cuenta de trading"),"⚠ Usa la cuenta de trading","✓"))))))))))))</f>
        <v/>
      </c>
      <c r="I937" s="19">
        <f>IF(OR(B937="",C937="",D937=""),"",IFERROR(INDEX(catTipo,MATCH(D937,catNom,0))&amp;"",""))</f>
        <v/>
      </c>
      <c r="J937" s="19">
        <f>IF(I937="","",IFERROR(INDEX(catGrupo,MATCH(D937,catNom,0))&amp;"",""))</f>
        <v/>
      </c>
      <c r="K937" s="19">
        <f>IF(I937="Gasto",IF(IFERROR(INDEX(catClas,MATCH(D937,catNom,0))&amp;"","")="","Variable",IFERROR(INDEX(catClas,MATCH(D937,catNom,0))&amp;"","")),"")</f>
        <v/>
      </c>
      <c r="L937" s="19">
        <f>IF(I937="","",IFERROR(INDEX(catAlim,MATCH(D937,catNom,0))&amp;"",""))</f>
        <v/>
      </c>
      <c r="M937" s="19">
        <f>IF(I937="","",IFERROR(INDEX(catComida,MATCH(D937,catNom,0))&amp;"",""))</f>
        <v/>
      </c>
      <c r="N937" s="19">
        <f>IF(I937="","",IFERROR(INDEX(ctaMon,MATCH(E937,ctaNom,0))&amp;"","DOP"))</f>
        <v/>
      </c>
      <c r="O937" s="20">
        <f>IF(I937="","",C937*IF(N937="USD",TasaUSD,1))</f>
        <v/>
      </c>
      <c r="P937" s="20">
        <f>IF(I937="","",IF(I937="Gasto",O937,0))</f>
        <v/>
      </c>
      <c r="Q937" s="20">
        <f>IF(I937="","",IF(I937="Ingreso",O937,0))</f>
        <v/>
      </c>
      <c r="R937" s="20">
        <f>IF(I937="","",IF(I937="Trading",O937,0))</f>
        <v/>
      </c>
      <c r="S937" s="19">
        <f>IF(I937="","",IF(AND(I937="Gasto",K937="Variable",J937&lt;&gt;"Trading",O937&gt;0,O937&lt;=Umbral),1,0))</f>
        <v/>
      </c>
      <c r="T937" s="20">
        <f>IF(OR(I937="",E937=""),"",IF(OR(I937="Gasto",I937="Transferencia",I937="Pago tarjeta"),-1,1)*C937)</f>
        <v/>
      </c>
      <c r="U937" s="20">
        <f>IF(OR(G937="",AND(I937&lt;&gt;"Transferencia",I937&lt;&gt;"Pago tarjeta")),"",IF(IFERROR(INDEX(ctaMon,MATCH(G937,ctaNom,0))&amp;"","DOP")=N937,C937,IF(N937="USD",C937*TasaUSD,C937/TasaUSD)))</f>
        <v/>
      </c>
      <c r="V937" s="20">
        <f>IF(I937="","",IF(IFERROR(INDEX(ctaLiq,MATCH(E937,ctaNom,0))="Sí",FALSE),IF(OR(I937="Gasto",I937="Transferencia",I937="Pago tarjeta"),-1,1)*O937,0)+IF(AND(U937&lt;&gt;"",IFERROR(INDEX(ctaLiq,MATCH(G937,ctaNom,0))="Sí",FALSE)),O937,0))</f>
        <v/>
      </c>
      <c r="W937" s="19">
        <f>IF(OR(F937="",I937=""),"",IF(COUNTIFS(F$6:F937,F937,I$6:I937,"?*")=1,MAX(W$5:W936)+1,""))</f>
        <v/>
      </c>
    </row>
    <row r="938">
      <c r="B938" s="15" t="n"/>
      <c r="C938" s="16" t="n"/>
      <c r="D938" s="17" t="n"/>
      <c r="E938" s="17" t="n"/>
      <c r="F938" s="17" t="n"/>
      <c r="G938" s="17" t="n"/>
      <c r="H938" s="18">
        <f>IF(AND(B938="",C938="",D938="",E938=""),"",IF(B938="","⚠ Falta fecha",IF(C938="","⚠ Falta monto",IF(D938="","⚠ Falta categoría",IF(ISNA(MATCH(D938,catNom,0)),"⚠ Categoría no existe",IF(E938="","⚠ Falta cuenta",IF(ISNA(MATCH(E938,ctaNom,0)),"⚠ Cuenta no existe",IF(AND(OR(I938="Transferencia",I938="Pago tarjeta"),G938=""),"⚠ Indica la cuenta «Hacia»",IF(AND(G938&lt;&gt;"",G938=E938),"⚠ «Hacia» igual a la cuenta",IF(AND(G938&lt;&gt;"",ISNA(MATCH(G938,ctaNom,0))),"⚠ «Hacia» no existe",IF(AND(I938="Pago tarjeta",IFERROR(INDEX(ctaTipo,MATCH(G938,ctaNom,0)),"")&lt;&gt;"Tarjeta de crédito"),"⚠ «Hacia» debe ser la tarjeta",IF(AND(I938="Trading",IFERROR(INDEX(ctaTipo,MATCH(E938,ctaNom,0)),"")&lt;&gt;"Cuenta de trading"),"⚠ Usa la cuenta de trading","✓"))))))))))))</f>
        <v/>
      </c>
      <c r="I938" s="19">
        <f>IF(OR(B938="",C938="",D938=""),"",IFERROR(INDEX(catTipo,MATCH(D938,catNom,0))&amp;"",""))</f>
        <v/>
      </c>
      <c r="J938" s="19">
        <f>IF(I938="","",IFERROR(INDEX(catGrupo,MATCH(D938,catNom,0))&amp;"",""))</f>
        <v/>
      </c>
      <c r="K938" s="19">
        <f>IF(I938="Gasto",IF(IFERROR(INDEX(catClas,MATCH(D938,catNom,0))&amp;"","")="","Variable",IFERROR(INDEX(catClas,MATCH(D938,catNom,0))&amp;"","")),"")</f>
        <v/>
      </c>
      <c r="L938" s="19">
        <f>IF(I938="","",IFERROR(INDEX(catAlim,MATCH(D938,catNom,0))&amp;"",""))</f>
        <v/>
      </c>
      <c r="M938" s="19">
        <f>IF(I938="","",IFERROR(INDEX(catComida,MATCH(D938,catNom,0))&amp;"",""))</f>
        <v/>
      </c>
      <c r="N938" s="19">
        <f>IF(I938="","",IFERROR(INDEX(ctaMon,MATCH(E938,ctaNom,0))&amp;"","DOP"))</f>
        <v/>
      </c>
      <c r="O938" s="20">
        <f>IF(I938="","",C938*IF(N938="USD",TasaUSD,1))</f>
        <v/>
      </c>
      <c r="P938" s="20">
        <f>IF(I938="","",IF(I938="Gasto",O938,0))</f>
        <v/>
      </c>
      <c r="Q938" s="20">
        <f>IF(I938="","",IF(I938="Ingreso",O938,0))</f>
        <v/>
      </c>
      <c r="R938" s="20">
        <f>IF(I938="","",IF(I938="Trading",O938,0))</f>
        <v/>
      </c>
      <c r="S938" s="19">
        <f>IF(I938="","",IF(AND(I938="Gasto",K938="Variable",J938&lt;&gt;"Trading",O938&gt;0,O938&lt;=Umbral),1,0))</f>
        <v/>
      </c>
      <c r="T938" s="20">
        <f>IF(OR(I938="",E938=""),"",IF(OR(I938="Gasto",I938="Transferencia",I938="Pago tarjeta"),-1,1)*C938)</f>
        <v/>
      </c>
      <c r="U938" s="20">
        <f>IF(OR(G938="",AND(I938&lt;&gt;"Transferencia",I938&lt;&gt;"Pago tarjeta")),"",IF(IFERROR(INDEX(ctaMon,MATCH(G938,ctaNom,0))&amp;"","DOP")=N938,C938,IF(N938="USD",C938*TasaUSD,C938/TasaUSD)))</f>
        <v/>
      </c>
      <c r="V938" s="20">
        <f>IF(I938="","",IF(IFERROR(INDEX(ctaLiq,MATCH(E938,ctaNom,0))="Sí",FALSE),IF(OR(I938="Gasto",I938="Transferencia",I938="Pago tarjeta"),-1,1)*O938,0)+IF(AND(U938&lt;&gt;"",IFERROR(INDEX(ctaLiq,MATCH(G938,ctaNom,0))="Sí",FALSE)),O938,0))</f>
        <v/>
      </c>
      <c r="W938" s="19">
        <f>IF(OR(F938="",I938=""),"",IF(COUNTIFS(F$6:F938,F938,I$6:I938,"?*")=1,MAX(W$5:W937)+1,""))</f>
        <v/>
      </c>
    </row>
    <row r="939">
      <c r="B939" s="15" t="n"/>
      <c r="C939" s="16" t="n"/>
      <c r="D939" s="17" t="n"/>
      <c r="E939" s="17" t="n"/>
      <c r="F939" s="17" t="n"/>
      <c r="G939" s="17" t="n"/>
      <c r="H939" s="18">
        <f>IF(AND(B939="",C939="",D939="",E939=""),"",IF(B939="","⚠ Falta fecha",IF(C939="","⚠ Falta monto",IF(D939="","⚠ Falta categoría",IF(ISNA(MATCH(D939,catNom,0)),"⚠ Categoría no existe",IF(E939="","⚠ Falta cuenta",IF(ISNA(MATCH(E939,ctaNom,0)),"⚠ Cuenta no existe",IF(AND(OR(I939="Transferencia",I939="Pago tarjeta"),G939=""),"⚠ Indica la cuenta «Hacia»",IF(AND(G939&lt;&gt;"",G939=E939),"⚠ «Hacia» igual a la cuenta",IF(AND(G939&lt;&gt;"",ISNA(MATCH(G939,ctaNom,0))),"⚠ «Hacia» no existe",IF(AND(I939="Pago tarjeta",IFERROR(INDEX(ctaTipo,MATCH(G939,ctaNom,0)),"")&lt;&gt;"Tarjeta de crédito"),"⚠ «Hacia» debe ser la tarjeta",IF(AND(I939="Trading",IFERROR(INDEX(ctaTipo,MATCH(E939,ctaNom,0)),"")&lt;&gt;"Cuenta de trading"),"⚠ Usa la cuenta de trading","✓"))))))))))))</f>
        <v/>
      </c>
      <c r="I939" s="19">
        <f>IF(OR(B939="",C939="",D939=""),"",IFERROR(INDEX(catTipo,MATCH(D939,catNom,0))&amp;"",""))</f>
        <v/>
      </c>
      <c r="J939" s="19">
        <f>IF(I939="","",IFERROR(INDEX(catGrupo,MATCH(D939,catNom,0))&amp;"",""))</f>
        <v/>
      </c>
      <c r="K939" s="19">
        <f>IF(I939="Gasto",IF(IFERROR(INDEX(catClas,MATCH(D939,catNom,0))&amp;"","")="","Variable",IFERROR(INDEX(catClas,MATCH(D939,catNom,0))&amp;"","")),"")</f>
        <v/>
      </c>
      <c r="L939" s="19">
        <f>IF(I939="","",IFERROR(INDEX(catAlim,MATCH(D939,catNom,0))&amp;"",""))</f>
        <v/>
      </c>
      <c r="M939" s="19">
        <f>IF(I939="","",IFERROR(INDEX(catComida,MATCH(D939,catNom,0))&amp;"",""))</f>
        <v/>
      </c>
      <c r="N939" s="19">
        <f>IF(I939="","",IFERROR(INDEX(ctaMon,MATCH(E939,ctaNom,0))&amp;"","DOP"))</f>
        <v/>
      </c>
      <c r="O939" s="20">
        <f>IF(I939="","",C939*IF(N939="USD",TasaUSD,1))</f>
        <v/>
      </c>
      <c r="P939" s="20">
        <f>IF(I939="","",IF(I939="Gasto",O939,0))</f>
        <v/>
      </c>
      <c r="Q939" s="20">
        <f>IF(I939="","",IF(I939="Ingreso",O939,0))</f>
        <v/>
      </c>
      <c r="R939" s="20">
        <f>IF(I939="","",IF(I939="Trading",O939,0))</f>
        <v/>
      </c>
      <c r="S939" s="19">
        <f>IF(I939="","",IF(AND(I939="Gasto",K939="Variable",J939&lt;&gt;"Trading",O939&gt;0,O939&lt;=Umbral),1,0))</f>
        <v/>
      </c>
      <c r="T939" s="20">
        <f>IF(OR(I939="",E939=""),"",IF(OR(I939="Gasto",I939="Transferencia",I939="Pago tarjeta"),-1,1)*C939)</f>
        <v/>
      </c>
      <c r="U939" s="20">
        <f>IF(OR(G939="",AND(I939&lt;&gt;"Transferencia",I939&lt;&gt;"Pago tarjeta")),"",IF(IFERROR(INDEX(ctaMon,MATCH(G939,ctaNom,0))&amp;"","DOP")=N939,C939,IF(N939="USD",C939*TasaUSD,C939/TasaUSD)))</f>
        <v/>
      </c>
      <c r="V939" s="20">
        <f>IF(I939="","",IF(IFERROR(INDEX(ctaLiq,MATCH(E939,ctaNom,0))="Sí",FALSE),IF(OR(I939="Gasto",I939="Transferencia",I939="Pago tarjeta"),-1,1)*O939,0)+IF(AND(U939&lt;&gt;"",IFERROR(INDEX(ctaLiq,MATCH(G939,ctaNom,0))="Sí",FALSE)),O939,0))</f>
        <v/>
      </c>
      <c r="W939" s="19">
        <f>IF(OR(F939="",I939=""),"",IF(COUNTIFS(F$6:F939,F939,I$6:I939,"?*")=1,MAX(W$5:W938)+1,""))</f>
        <v/>
      </c>
    </row>
    <row r="940">
      <c r="B940" s="15" t="n"/>
      <c r="C940" s="16" t="n"/>
      <c r="D940" s="17" t="n"/>
      <c r="E940" s="17" t="n"/>
      <c r="F940" s="17" t="n"/>
      <c r="G940" s="17" t="n"/>
      <c r="H940" s="18">
        <f>IF(AND(B940="",C940="",D940="",E940=""),"",IF(B940="","⚠ Falta fecha",IF(C940="","⚠ Falta monto",IF(D940="","⚠ Falta categoría",IF(ISNA(MATCH(D940,catNom,0)),"⚠ Categoría no existe",IF(E940="","⚠ Falta cuenta",IF(ISNA(MATCH(E940,ctaNom,0)),"⚠ Cuenta no existe",IF(AND(OR(I940="Transferencia",I940="Pago tarjeta"),G940=""),"⚠ Indica la cuenta «Hacia»",IF(AND(G940&lt;&gt;"",G940=E940),"⚠ «Hacia» igual a la cuenta",IF(AND(G940&lt;&gt;"",ISNA(MATCH(G940,ctaNom,0))),"⚠ «Hacia» no existe",IF(AND(I940="Pago tarjeta",IFERROR(INDEX(ctaTipo,MATCH(G940,ctaNom,0)),"")&lt;&gt;"Tarjeta de crédito"),"⚠ «Hacia» debe ser la tarjeta",IF(AND(I940="Trading",IFERROR(INDEX(ctaTipo,MATCH(E940,ctaNom,0)),"")&lt;&gt;"Cuenta de trading"),"⚠ Usa la cuenta de trading","✓"))))))))))))</f>
        <v/>
      </c>
      <c r="I940" s="19">
        <f>IF(OR(B940="",C940="",D940=""),"",IFERROR(INDEX(catTipo,MATCH(D940,catNom,0))&amp;"",""))</f>
        <v/>
      </c>
      <c r="J940" s="19">
        <f>IF(I940="","",IFERROR(INDEX(catGrupo,MATCH(D940,catNom,0))&amp;"",""))</f>
        <v/>
      </c>
      <c r="K940" s="19">
        <f>IF(I940="Gasto",IF(IFERROR(INDEX(catClas,MATCH(D940,catNom,0))&amp;"","")="","Variable",IFERROR(INDEX(catClas,MATCH(D940,catNom,0))&amp;"","")),"")</f>
        <v/>
      </c>
      <c r="L940" s="19">
        <f>IF(I940="","",IFERROR(INDEX(catAlim,MATCH(D940,catNom,0))&amp;"",""))</f>
        <v/>
      </c>
      <c r="M940" s="19">
        <f>IF(I940="","",IFERROR(INDEX(catComida,MATCH(D940,catNom,0))&amp;"",""))</f>
        <v/>
      </c>
      <c r="N940" s="19">
        <f>IF(I940="","",IFERROR(INDEX(ctaMon,MATCH(E940,ctaNom,0))&amp;"","DOP"))</f>
        <v/>
      </c>
      <c r="O940" s="20">
        <f>IF(I940="","",C940*IF(N940="USD",TasaUSD,1))</f>
        <v/>
      </c>
      <c r="P940" s="20">
        <f>IF(I940="","",IF(I940="Gasto",O940,0))</f>
        <v/>
      </c>
      <c r="Q940" s="20">
        <f>IF(I940="","",IF(I940="Ingreso",O940,0))</f>
        <v/>
      </c>
      <c r="R940" s="20">
        <f>IF(I940="","",IF(I940="Trading",O940,0))</f>
        <v/>
      </c>
      <c r="S940" s="19">
        <f>IF(I940="","",IF(AND(I940="Gasto",K940="Variable",J940&lt;&gt;"Trading",O940&gt;0,O940&lt;=Umbral),1,0))</f>
        <v/>
      </c>
      <c r="T940" s="20">
        <f>IF(OR(I940="",E940=""),"",IF(OR(I940="Gasto",I940="Transferencia",I940="Pago tarjeta"),-1,1)*C940)</f>
        <v/>
      </c>
      <c r="U940" s="20">
        <f>IF(OR(G940="",AND(I940&lt;&gt;"Transferencia",I940&lt;&gt;"Pago tarjeta")),"",IF(IFERROR(INDEX(ctaMon,MATCH(G940,ctaNom,0))&amp;"","DOP")=N940,C940,IF(N940="USD",C940*TasaUSD,C940/TasaUSD)))</f>
        <v/>
      </c>
      <c r="V940" s="20">
        <f>IF(I940="","",IF(IFERROR(INDEX(ctaLiq,MATCH(E940,ctaNom,0))="Sí",FALSE),IF(OR(I940="Gasto",I940="Transferencia",I940="Pago tarjeta"),-1,1)*O940,0)+IF(AND(U940&lt;&gt;"",IFERROR(INDEX(ctaLiq,MATCH(G940,ctaNom,0))="Sí",FALSE)),O940,0))</f>
        <v/>
      </c>
      <c r="W940" s="19">
        <f>IF(OR(F940="",I940=""),"",IF(COUNTIFS(F$6:F940,F940,I$6:I940,"?*")=1,MAX(W$5:W939)+1,""))</f>
        <v/>
      </c>
    </row>
    <row r="941">
      <c r="B941" s="15" t="n"/>
      <c r="C941" s="16" t="n"/>
      <c r="D941" s="17" t="n"/>
      <c r="E941" s="17" t="n"/>
      <c r="F941" s="17" t="n"/>
      <c r="G941" s="17" t="n"/>
      <c r="H941" s="18">
        <f>IF(AND(B941="",C941="",D941="",E941=""),"",IF(B941="","⚠ Falta fecha",IF(C941="","⚠ Falta monto",IF(D941="","⚠ Falta categoría",IF(ISNA(MATCH(D941,catNom,0)),"⚠ Categoría no existe",IF(E941="","⚠ Falta cuenta",IF(ISNA(MATCH(E941,ctaNom,0)),"⚠ Cuenta no existe",IF(AND(OR(I941="Transferencia",I941="Pago tarjeta"),G941=""),"⚠ Indica la cuenta «Hacia»",IF(AND(G941&lt;&gt;"",G941=E941),"⚠ «Hacia» igual a la cuenta",IF(AND(G941&lt;&gt;"",ISNA(MATCH(G941,ctaNom,0))),"⚠ «Hacia» no existe",IF(AND(I941="Pago tarjeta",IFERROR(INDEX(ctaTipo,MATCH(G941,ctaNom,0)),"")&lt;&gt;"Tarjeta de crédito"),"⚠ «Hacia» debe ser la tarjeta",IF(AND(I941="Trading",IFERROR(INDEX(ctaTipo,MATCH(E941,ctaNom,0)),"")&lt;&gt;"Cuenta de trading"),"⚠ Usa la cuenta de trading","✓"))))))))))))</f>
        <v/>
      </c>
      <c r="I941" s="19">
        <f>IF(OR(B941="",C941="",D941=""),"",IFERROR(INDEX(catTipo,MATCH(D941,catNom,0))&amp;"",""))</f>
        <v/>
      </c>
      <c r="J941" s="19">
        <f>IF(I941="","",IFERROR(INDEX(catGrupo,MATCH(D941,catNom,0))&amp;"",""))</f>
        <v/>
      </c>
      <c r="K941" s="19">
        <f>IF(I941="Gasto",IF(IFERROR(INDEX(catClas,MATCH(D941,catNom,0))&amp;"","")="","Variable",IFERROR(INDEX(catClas,MATCH(D941,catNom,0))&amp;"","")),"")</f>
        <v/>
      </c>
      <c r="L941" s="19">
        <f>IF(I941="","",IFERROR(INDEX(catAlim,MATCH(D941,catNom,0))&amp;"",""))</f>
        <v/>
      </c>
      <c r="M941" s="19">
        <f>IF(I941="","",IFERROR(INDEX(catComida,MATCH(D941,catNom,0))&amp;"",""))</f>
        <v/>
      </c>
      <c r="N941" s="19">
        <f>IF(I941="","",IFERROR(INDEX(ctaMon,MATCH(E941,ctaNom,0))&amp;"","DOP"))</f>
        <v/>
      </c>
      <c r="O941" s="20">
        <f>IF(I941="","",C941*IF(N941="USD",TasaUSD,1))</f>
        <v/>
      </c>
      <c r="P941" s="20">
        <f>IF(I941="","",IF(I941="Gasto",O941,0))</f>
        <v/>
      </c>
      <c r="Q941" s="20">
        <f>IF(I941="","",IF(I941="Ingreso",O941,0))</f>
        <v/>
      </c>
      <c r="R941" s="20">
        <f>IF(I941="","",IF(I941="Trading",O941,0))</f>
        <v/>
      </c>
      <c r="S941" s="19">
        <f>IF(I941="","",IF(AND(I941="Gasto",K941="Variable",J941&lt;&gt;"Trading",O941&gt;0,O941&lt;=Umbral),1,0))</f>
        <v/>
      </c>
      <c r="T941" s="20">
        <f>IF(OR(I941="",E941=""),"",IF(OR(I941="Gasto",I941="Transferencia",I941="Pago tarjeta"),-1,1)*C941)</f>
        <v/>
      </c>
      <c r="U941" s="20">
        <f>IF(OR(G941="",AND(I941&lt;&gt;"Transferencia",I941&lt;&gt;"Pago tarjeta")),"",IF(IFERROR(INDEX(ctaMon,MATCH(G941,ctaNom,0))&amp;"","DOP")=N941,C941,IF(N941="USD",C941*TasaUSD,C941/TasaUSD)))</f>
        <v/>
      </c>
      <c r="V941" s="20">
        <f>IF(I941="","",IF(IFERROR(INDEX(ctaLiq,MATCH(E941,ctaNom,0))="Sí",FALSE),IF(OR(I941="Gasto",I941="Transferencia",I941="Pago tarjeta"),-1,1)*O941,0)+IF(AND(U941&lt;&gt;"",IFERROR(INDEX(ctaLiq,MATCH(G941,ctaNom,0))="Sí",FALSE)),O941,0))</f>
        <v/>
      </c>
      <c r="W941" s="19">
        <f>IF(OR(F941="",I941=""),"",IF(COUNTIFS(F$6:F941,F941,I$6:I941,"?*")=1,MAX(W$5:W940)+1,""))</f>
        <v/>
      </c>
    </row>
    <row r="942">
      <c r="B942" s="15" t="n"/>
      <c r="C942" s="16" t="n"/>
      <c r="D942" s="17" t="n"/>
      <c r="E942" s="17" t="n"/>
      <c r="F942" s="17" t="n"/>
      <c r="G942" s="17" t="n"/>
      <c r="H942" s="18">
        <f>IF(AND(B942="",C942="",D942="",E942=""),"",IF(B942="","⚠ Falta fecha",IF(C942="","⚠ Falta monto",IF(D942="","⚠ Falta categoría",IF(ISNA(MATCH(D942,catNom,0)),"⚠ Categoría no existe",IF(E942="","⚠ Falta cuenta",IF(ISNA(MATCH(E942,ctaNom,0)),"⚠ Cuenta no existe",IF(AND(OR(I942="Transferencia",I942="Pago tarjeta"),G942=""),"⚠ Indica la cuenta «Hacia»",IF(AND(G942&lt;&gt;"",G942=E942),"⚠ «Hacia» igual a la cuenta",IF(AND(G942&lt;&gt;"",ISNA(MATCH(G942,ctaNom,0))),"⚠ «Hacia» no existe",IF(AND(I942="Pago tarjeta",IFERROR(INDEX(ctaTipo,MATCH(G942,ctaNom,0)),"")&lt;&gt;"Tarjeta de crédito"),"⚠ «Hacia» debe ser la tarjeta",IF(AND(I942="Trading",IFERROR(INDEX(ctaTipo,MATCH(E942,ctaNom,0)),"")&lt;&gt;"Cuenta de trading"),"⚠ Usa la cuenta de trading","✓"))))))))))))</f>
        <v/>
      </c>
      <c r="I942" s="19">
        <f>IF(OR(B942="",C942="",D942=""),"",IFERROR(INDEX(catTipo,MATCH(D942,catNom,0))&amp;"",""))</f>
        <v/>
      </c>
      <c r="J942" s="19">
        <f>IF(I942="","",IFERROR(INDEX(catGrupo,MATCH(D942,catNom,0))&amp;"",""))</f>
        <v/>
      </c>
      <c r="K942" s="19">
        <f>IF(I942="Gasto",IF(IFERROR(INDEX(catClas,MATCH(D942,catNom,0))&amp;"","")="","Variable",IFERROR(INDEX(catClas,MATCH(D942,catNom,0))&amp;"","")),"")</f>
        <v/>
      </c>
      <c r="L942" s="19">
        <f>IF(I942="","",IFERROR(INDEX(catAlim,MATCH(D942,catNom,0))&amp;"",""))</f>
        <v/>
      </c>
      <c r="M942" s="19">
        <f>IF(I942="","",IFERROR(INDEX(catComida,MATCH(D942,catNom,0))&amp;"",""))</f>
        <v/>
      </c>
      <c r="N942" s="19">
        <f>IF(I942="","",IFERROR(INDEX(ctaMon,MATCH(E942,ctaNom,0))&amp;"","DOP"))</f>
        <v/>
      </c>
      <c r="O942" s="20">
        <f>IF(I942="","",C942*IF(N942="USD",TasaUSD,1))</f>
        <v/>
      </c>
      <c r="P942" s="20">
        <f>IF(I942="","",IF(I942="Gasto",O942,0))</f>
        <v/>
      </c>
      <c r="Q942" s="20">
        <f>IF(I942="","",IF(I942="Ingreso",O942,0))</f>
        <v/>
      </c>
      <c r="R942" s="20">
        <f>IF(I942="","",IF(I942="Trading",O942,0))</f>
        <v/>
      </c>
      <c r="S942" s="19">
        <f>IF(I942="","",IF(AND(I942="Gasto",K942="Variable",J942&lt;&gt;"Trading",O942&gt;0,O942&lt;=Umbral),1,0))</f>
        <v/>
      </c>
      <c r="T942" s="20">
        <f>IF(OR(I942="",E942=""),"",IF(OR(I942="Gasto",I942="Transferencia",I942="Pago tarjeta"),-1,1)*C942)</f>
        <v/>
      </c>
      <c r="U942" s="20">
        <f>IF(OR(G942="",AND(I942&lt;&gt;"Transferencia",I942&lt;&gt;"Pago tarjeta")),"",IF(IFERROR(INDEX(ctaMon,MATCH(G942,ctaNom,0))&amp;"","DOP")=N942,C942,IF(N942="USD",C942*TasaUSD,C942/TasaUSD)))</f>
        <v/>
      </c>
      <c r="V942" s="20">
        <f>IF(I942="","",IF(IFERROR(INDEX(ctaLiq,MATCH(E942,ctaNom,0))="Sí",FALSE),IF(OR(I942="Gasto",I942="Transferencia",I942="Pago tarjeta"),-1,1)*O942,0)+IF(AND(U942&lt;&gt;"",IFERROR(INDEX(ctaLiq,MATCH(G942,ctaNom,0))="Sí",FALSE)),O942,0))</f>
        <v/>
      </c>
      <c r="W942" s="19">
        <f>IF(OR(F942="",I942=""),"",IF(COUNTIFS(F$6:F942,F942,I$6:I942,"?*")=1,MAX(W$5:W941)+1,""))</f>
        <v/>
      </c>
    </row>
    <row r="943">
      <c r="B943" s="15" t="n"/>
      <c r="C943" s="16" t="n"/>
      <c r="D943" s="17" t="n"/>
      <c r="E943" s="17" t="n"/>
      <c r="F943" s="17" t="n"/>
      <c r="G943" s="17" t="n"/>
      <c r="H943" s="18">
        <f>IF(AND(B943="",C943="",D943="",E943=""),"",IF(B943="","⚠ Falta fecha",IF(C943="","⚠ Falta monto",IF(D943="","⚠ Falta categoría",IF(ISNA(MATCH(D943,catNom,0)),"⚠ Categoría no existe",IF(E943="","⚠ Falta cuenta",IF(ISNA(MATCH(E943,ctaNom,0)),"⚠ Cuenta no existe",IF(AND(OR(I943="Transferencia",I943="Pago tarjeta"),G943=""),"⚠ Indica la cuenta «Hacia»",IF(AND(G943&lt;&gt;"",G943=E943),"⚠ «Hacia» igual a la cuenta",IF(AND(G943&lt;&gt;"",ISNA(MATCH(G943,ctaNom,0))),"⚠ «Hacia» no existe",IF(AND(I943="Pago tarjeta",IFERROR(INDEX(ctaTipo,MATCH(G943,ctaNom,0)),"")&lt;&gt;"Tarjeta de crédito"),"⚠ «Hacia» debe ser la tarjeta",IF(AND(I943="Trading",IFERROR(INDEX(ctaTipo,MATCH(E943,ctaNom,0)),"")&lt;&gt;"Cuenta de trading"),"⚠ Usa la cuenta de trading","✓"))))))))))))</f>
        <v/>
      </c>
      <c r="I943" s="19">
        <f>IF(OR(B943="",C943="",D943=""),"",IFERROR(INDEX(catTipo,MATCH(D943,catNom,0))&amp;"",""))</f>
        <v/>
      </c>
      <c r="J943" s="19">
        <f>IF(I943="","",IFERROR(INDEX(catGrupo,MATCH(D943,catNom,0))&amp;"",""))</f>
        <v/>
      </c>
      <c r="K943" s="19">
        <f>IF(I943="Gasto",IF(IFERROR(INDEX(catClas,MATCH(D943,catNom,0))&amp;"","")="","Variable",IFERROR(INDEX(catClas,MATCH(D943,catNom,0))&amp;"","")),"")</f>
        <v/>
      </c>
      <c r="L943" s="19">
        <f>IF(I943="","",IFERROR(INDEX(catAlim,MATCH(D943,catNom,0))&amp;"",""))</f>
        <v/>
      </c>
      <c r="M943" s="19">
        <f>IF(I943="","",IFERROR(INDEX(catComida,MATCH(D943,catNom,0))&amp;"",""))</f>
        <v/>
      </c>
      <c r="N943" s="19">
        <f>IF(I943="","",IFERROR(INDEX(ctaMon,MATCH(E943,ctaNom,0))&amp;"","DOP"))</f>
        <v/>
      </c>
      <c r="O943" s="20">
        <f>IF(I943="","",C943*IF(N943="USD",TasaUSD,1))</f>
        <v/>
      </c>
      <c r="P943" s="20">
        <f>IF(I943="","",IF(I943="Gasto",O943,0))</f>
        <v/>
      </c>
      <c r="Q943" s="20">
        <f>IF(I943="","",IF(I943="Ingreso",O943,0))</f>
        <v/>
      </c>
      <c r="R943" s="20">
        <f>IF(I943="","",IF(I943="Trading",O943,0))</f>
        <v/>
      </c>
      <c r="S943" s="19">
        <f>IF(I943="","",IF(AND(I943="Gasto",K943="Variable",J943&lt;&gt;"Trading",O943&gt;0,O943&lt;=Umbral),1,0))</f>
        <v/>
      </c>
      <c r="T943" s="20">
        <f>IF(OR(I943="",E943=""),"",IF(OR(I943="Gasto",I943="Transferencia",I943="Pago tarjeta"),-1,1)*C943)</f>
        <v/>
      </c>
      <c r="U943" s="20">
        <f>IF(OR(G943="",AND(I943&lt;&gt;"Transferencia",I943&lt;&gt;"Pago tarjeta")),"",IF(IFERROR(INDEX(ctaMon,MATCH(G943,ctaNom,0))&amp;"","DOP")=N943,C943,IF(N943="USD",C943*TasaUSD,C943/TasaUSD)))</f>
        <v/>
      </c>
      <c r="V943" s="20">
        <f>IF(I943="","",IF(IFERROR(INDEX(ctaLiq,MATCH(E943,ctaNom,0))="Sí",FALSE),IF(OR(I943="Gasto",I943="Transferencia",I943="Pago tarjeta"),-1,1)*O943,0)+IF(AND(U943&lt;&gt;"",IFERROR(INDEX(ctaLiq,MATCH(G943,ctaNom,0))="Sí",FALSE)),O943,0))</f>
        <v/>
      </c>
      <c r="W943" s="19">
        <f>IF(OR(F943="",I943=""),"",IF(COUNTIFS(F$6:F943,F943,I$6:I943,"?*")=1,MAX(W$5:W942)+1,""))</f>
        <v/>
      </c>
    </row>
    <row r="944">
      <c r="B944" s="15" t="n"/>
      <c r="C944" s="16" t="n"/>
      <c r="D944" s="17" t="n"/>
      <c r="E944" s="17" t="n"/>
      <c r="F944" s="17" t="n"/>
      <c r="G944" s="17" t="n"/>
      <c r="H944" s="18">
        <f>IF(AND(B944="",C944="",D944="",E944=""),"",IF(B944="","⚠ Falta fecha",IF(C944="","⚠ Falta monto",IF(D944="","⚠ Falta categoría",IF(ISNA(MATCH(D944,catNom,0)),"⚠ Categoría no existe",IF(E944="","⚠ Falta cuenta",IF(ISNA(MATCH(E944,ctaNom,0)),"⚠ Cuenta no existe",IF(AND(OR(I944="Transferencia",I944="Pago tarjeta"),G944=""),"⚠ Indica la cuenta «Hacia»",IF(AND(G944&lt;&gt;"",G944=E944),"⚠ «Hacia» igual a la cuenta",IF(AND(G944&lt;&gt;"",ISNA(MATCH(G944,ctaNom,0))),"⚠ «Hacia» no existe",IF(AND(I944="Pago tarjeta",IFERROR(INDEX(ctaTipo,MATCH(G944,ctaNom,0)),"")&lt;&gt;"Tarjeta de crédito"),"⚠ «Hacia» debe ser la tarjeta",IF(AND(I944="Trading",IFERROR(INDEX(ctaTipo,MATCH(E944,ctaNom,0)),"")&lt;&gt;"Cuenta de trading"),"⚠ Usa la cuenta de trading","✓"))))))))))))</f>
        <v/>
      </c>
      <c r="I944" s="19">
        <f>IF(OR(B944="",C944="",D944=""),"",IFERROR(INDEX(catTipo,MATCH(D944,catNom,0))&amp;"",""))</f>
        <v/>
      </c>
      <c r="J944" s="19">
        <f>IF(I944="","",IFERROR(INDEX(catGrupo,MATCH(D944,catNom,0))&amp;"",""))</f>
        <v/>
      </c>
      <c r="K944" s="19">
        <f>IF(I944="Gasto",IF(IFERROR(INDEX(catClas,MATCH(D944,catNom,0))&amp;"","")="","Variable",IFERROR(INDEX(catClas,MATCH(D944,catNom,0))&amp;"","")),"")</f>
        <v/>
      </c>
      <c r="L944" s="19">
        <f>IF(I944="","",IFERROR(INDEX(catAlim,MATCH(D944,catNom,0))&amp;"",""))</f>
        <v/>
      </c>
      <c r="M944" s="19">
        <f>IF(I944="","",IFERROR(INDEX(catComida,MATCH(D944,catNom,0))&amp;"",""))</f>
        <v/>
      </c>
      <c r="N944" s="19">
        <f>IF(I944="","",IFERROR(INDEX(ctaMon,MATCH(E944,ctaNom,0))&amp;"","DOP"))</f>
        <v/>
      </c>
      <c r="O944" s="20">
        <f>IF(I944="","",C944*IF(N944="USD",TasaUSD,1))</f>
        <v/>
      </c>
      <c r="P944" s="20">
        <f>IF(I944="","",IF(I944="Gasto",O944,0))</f>
        <v/>
      </c>
      <c r="Q944" s="20">
        <f>IF(I944="","",IF(I944="Ingreso",O944,0))</f>
        <v/>
      </c>
      <c r="R944" s="20">
        <f>IF(I944="","",IF(I944="Trading",O944,0))</f>
        <v/>
      </c>
      <c r="S944" s="19">
        <f>IF(I944="","",IF(AND(I944="Gasto",K944="Variable",J944&lt;&gt;"Trading",O944&gt;0,O944&lt;=Umbral),1,0))</f>
        <v/>
      </c>
      <c r="T944" s="20">
        <f>IF(OR(I944="",E944=""),"",IF(OR(I944="Gasto",I944="Transferencia",I944="Pago tarjeta"),-1,1)*C944)</f>
        <v/>
      </c>
      <c r="U944" s="20">
        <f>IF(OR(G944="",AND(I944&lt;&gt;"Transferencia",I944&lt;&gt;"Pago tarjeta")),"",IF(IFERROR(INDEX(ctaMon,MATCH(G944,ctaNom,0))&amp;"","DOP")=N944,C944,IF(N944="USD",C944*TasaUSD,C944/TasaUSD)))</f>
        <v/>
      </c>
      <c r="V944" s="20">
        <f>IF(I944="","",IF(IFERROR(INDEX(ctaLiq,MATCH(E944,ctaNom,0))="Sí",FALSE),IF(OR(I944="Gasto",I944="Transferencia",I944="Pago tarjeta"),-1,1)*O944,0)+IF(AND(U944&lt;&gt;"",IFERROR(INDEX(ctaLiq,MATCH(G944,ctaNom,0))="Sí",FALSE)),O944,0))</f>
        <v/>
      </c>
      <c r="W944" s="19">
        <f>IF(OR(F944="",I944=""),"",IF(COUNTIFS(F$6:F944,F944,I$6:I944,"?*")=1,MAX(W$5:W943)+1,""))</f>
        <v/>
      </c>
    </row>
    <row r="945">
      <c r="B945" s="15" t="n"/>
      <c r="C945" s="16" t="n"/>
      <c r="D945" s="17" t="n"/>
      <c r="E945" s="17" t="n"/>
      <c r="F945" s="17" t="n"/>
      <c r="G945" s="17" t="n"/>
      <c r="H945" s="18">
        <f>IF(AND(B945="",C945="",D945="",E945=""),"",IF(B945="","⚠ Falta fecha",IF(C945="","⚠ Falta monto",IF(D945="","⚠ Falta categoría",IF(ISNA(MATCH(D945,catNom,0)),"⚠ Categoría no existe",IF(E945="","⚠ Falta cuenta",IF(ISNA(MATCH(E945,ctaNom,0)),"⚠ Cuenta no existe",IF(AND(OR(I945="Transferencia",I945="Pago tarjeta"),G945=""),"⚠ Indica la cuenta «Hacia»",IF(AND(G945&lt;&gt;"",G945=E945),"⚠ «Hacia» igual a la cuenta",IF(AND(G945&lt;&gt;"",ISNA(MATCH(G945,ctaNom,0))),"⚠ «Hacia» no existe",IF(AND(I945="Pago tarjeta",IFERROR(INDEX(ctaTipo,MATCH(G945,ctaNom,0)),"")&lt;&gt;"Tarjeta de crédito"),"⚠ «Hacia» debe ser la tarjeta",IF(AND(I945="Trading",IFERROR(INDEX(ctaTipo,MATCH(E945,ctaNom,0)),"")&lt;&gt;"Cuenta de trading"),"⚠ Usa la cuenta de trading","✓"))))))))))))</f>
        <v/>
      </c>
      <c r="I945" s="19">
        <f>IF(OR(B945="",C945="",D945=""),"",IFERROR(INDEX(catTipo,MATCH(D945,catNom,0))&amp;"",""))</f>
        <v/>
      </c>
      <c r="J945" s="19">
        <f>IF(I945="","",IFERROR(INDEX(catGrupo,MATCH(D945,catNom,0))&amp;"",""))</f>
        <v/>
      </c>
      <c r="K945" s="19">
        <f>IF(I945="Gasto",IF(IFERROR(INDEX(catClas,MATCH(D945,catNom,0))&amp;"","")="","Variable",IFERROR(INDEX(catClas,MATCH(D945,catNom,0))&amp;"","")),"")</f>
        <v/>
      </c>
      <c r="L945" s="19">
        <f>IF(I945="","",IFERROR(INDEX(catAlim,MATCH(D945,catNom,0))&amp;"",""))</f>
        <v/>
      </c>
      <c r="M945" s="19">
        <f>IF(I945="","",IFERROR(INDEX(catComida,MATCH(D945,catNom,0))&amp;"",""))</f>
        <v/>
      </c>
      <c r="N945" s="19">
        <f>IF(I945="","",IFERROR(INDEX(ctaMon,MATCH(E945,ctaNom,0))&amp;"","DOP"))</f>
        <v/>
      </c>
      <c r="O945" s="20">
        <f>IF(I945="","",C945*IF(N945="USD",TasaUSD,1))</f>
        <v/>
      </c>
      <c r="P945" s="20">
        <f>IF(I945="","",IF(I945="Gasto",O945,0))</f>
        <v/>
      </c>
      <c r="Q945" s="20">
        <f>IF(I945="","",IF(I945="Ingreso",O945,0))</f>
        <v/>
      </c>
      <c r="R945" s="20">
        <f>IF(I945="","",IF(I945="Trading",O945,0))</f>
        <v/>
      </c>
      <c r="S945" s="19">
        <f>IF(I945="","",IF(AND(I945="Gasto",K945="Variable",J945&lt;&gt;"Trading",O945&gt;0,O945&lt;=Umbral),1,0))</f>
        <v/>
      </c>
      <c r="T945" s="20">
        <f>IF(OR(I945="",E945=""),"",IF(OR(I945="Gasto",I945="Transferencia",I945="Pago tarjeta"),-1,1)*C945)</f>
        <v/>
      </c>
      <c r="U945" s="20">
        <f>IF(OR(G945="",AND(I945&lt;&gt;"Transferencia",I945&lt;&gt;"Pago tarjeta")),"",IF(IFERROR(INDEX(ctaMon,MATCH(G945,ctaNom,0))&amp;"","DOP")=N945,C945,IF(N945="USD",C945*TasaUSD,C945/TasaUSD)))</f>
        <v/>
      </c>
      <c r="V945" s="20">
        <f>IF(I945="","",IF(IFERROR(INDEX(ctaLiq,MATCH(E945,ctaNom,0))="Sí",FALSE),IF(OR(I945="Gasto",I945="Transferencia",I945="Pago tarjeta"),-1,1)*O945,0)+IF(AND(U945&lt;&gt;"",IFERROR(INDEX(ctaLiq,MATCH(G945,ctaNom,0))="Sí",FALSE)),O945,0))</f>
        <v/>
      </c>
      <c r="W945" s="19">
        <f>IF(OR(F945="",I945=""),"",IF(COUNTIFS(F$6:F945,F945,I$6:I945,"?*")=1,MAX(W$5:W944)+1,""))</f>
        <v/>
      </c>
    </row>
    <row r="946">
      <c r="B946" s="15" t="n"/>
      <c r="C946" s="16" t="n"/>
      <c r="D946" s="17" t="n"/>
      <c r="E946" s="17" t="n"/>
      <c r="F946" s="17" t="n"/>
      <c r="G946" s="17" t="n"/>
      <c r="H946" s="18">
        <f>IF(AND(B946="",C946="",D946="",E946=""),"",IF(B946="","⚠ Falta fecha",IF(C946="","⚠ Falta monto",IF(D946="","⚠ Falta categoría",IF(ISNA(MATCH(D946,catNom,0)),"⚠ Categoría no existe",IF(E946="","⚠ Falta cuenta",IF(ISNA(MATCH(E946,ctaNom,0)),"⚠ Cuenta no existe",IF(AND(OR(I946="Transferencia",I946="Pago tarjeta"),G946=""),"⚠ Indica la cuenta «Hacia»",IF(AND(G946&lt;&gt;"",G946=E946),"⚠ «Hacia» igual a la cuenta",IF(AND(G946&lt;&gt;"",ISNA(MATCH(G946,ctaNom,0))),"⚠ «Hacia» no existe",IF(AND(I946="Pago tarjeta",IFERROR(INDEX(ctaTipo,MATCH(G946,ctaNom,0)),"")&lt;&gt;"Tarjeta de crédito"),"⚠ «Hacia» debe ser la tarjeta",IF(AND(I946="Trading",IFERROR(INDEX(ctaTipo,MATCH(E946,ctaNom,0)),"")&lt;&gt;"Cuenta de trading"),"⚠ Usa la cuenta de trading","✓"))))))))))))</f>
        <v/>
      </c>
      <c r="I946" s="19">
        <f>IF(OR(B946="",C946="",D946=""),"",IFERROR(INDEX(catTipo,MATCH(D946,catNom,0))&amp;"",""))</f>
        <v/>
      </c>
      <c r="J946" s="19">
        <f>IF(I946="","",IFERROR(INDEX(catGrupo,MATCH(D946,catNom,0))&amp;"",""))</f>
        <v/>
      </c>
      <c r="K946" s="19">
        <f>IF(I946="Gasto",IF(IFERROR(INDEX(catClas,MATCH(D946,catNom,0))&amp;"","")="","Variable",IFERROR(INDEX(catClas,MATCH(D946,catNom,0))&amp;"","")),"")</f>
        <v/>
      </c>
      <c r="L946" s="19">
        <f>IF(I946="","",IFERROR(INDEX(catAlim,MATCH(D946,catNom,0))&amp;"",""))</f>
        <v/>
      </c>
      <c r="M946" s="19">
        <f>IF(I946="","",IFERROR(INDEX(catComida,MATCH(D946,catNom,0))&amp;"",""))</f>
        <v/>
      </c>
      <c r="N946" s="19">
        <f>IF(I946="","",IFERROR(INDEX(ctaMon,MATCH(E946,ctaNom,0))&amp;"","DOP"))</f>
        <v/>
      </c>
      <c r="O946" s="20">
        <f>IF(I946="","",C946*IF(N946="USD",TasaUSD,1))</f>
        <v/>
      </c>
      <c r="P946" s="20">
        <f>IF(I946="","",IF(I946="Gasto",O946,0))</f>
        <v/>
      </c>
      <c r="Q946" s="20">
        <f>IF(I946="","",IF(I946="Ingreso",O946,0))</f>
        <v/>
      </c>
      <c r="R946" s="20">
        <f>IF(I946="","",IF(I946="Trading",O946,0))</f>
        <v/>
      </c>
      <c r="S946" s="19">
        <f>IF(I946="","",IF(AND(I946="Gasto",K946="Variable",J946&lt;&gt;"Trading",O946&gt;0,O946&lt;=Umbral),1,0))</f>
        <v/>
      </c>
      <c r="T946" s="20">
        <f>IF(OR(I946="",E946=""),"",IF(OR(I946="Gasto",I946="Transferencia",I946="Pago tarjeta"),-1,1)*C946)</f>
        <v/>
      </c>
      <c r="U946" s="20">
        <f>IF(OR(G946="",AND(I946&lt;&gt;"Transferencia",I946&lt;&gt;"Pago tarjeta")),"",IF(IFERROR(INDEX(ctaMon,MATCH(G946,ctaNom,0))&amp;"","DOP")=N946,C946,IF(N946="USD",C946*TasaUSD,C946/TasaUSD)))</f>
        <v/>
      </c>
      <c r="V946" s="20">
        <f>IF(I946="","",IF(IFERROR(INDEX(ctaLiq,MATCH(E946,ctaNom,0))="Sí",FALSE),IF(OR(I946="Gasto",I946="Transferencia",I946="Pago tarjeta"),-1,1)*O946,0)+IF(AND(U946&lt;&gt;"",IFERROR(INDEX(ctaLiq,MATCH(G946,ctaNom,0))="Sí",FALSE)),O946,0))</f>
        <v/>
      </c>
      <c r="W946" s="19">
        <f>IF(OR(F946="",I946=""),"",IF(COUNTIFS(F$6:F946,F946,I$6:I946,"?*")=1,MAX(W$5:W945)+1,""))</f>
        <v/>
      </c>
    </row>
    <row r="947">
      <c r="B947" s="15" t="n"/>
      <c r="C947" s="16" t="n"/>
      <c r="D947" s="17" t="n"/>
      <c r="E947" s="17" t="n"/>
      <c r="F947" s="17" t="n"/>
      <c r="G947" s="17" t="n"/>
      <c r="H947" s="18">
        <f>IF(AND(B947="",C947="",D947="",E947=""),"",IF(B947="","⚠ Falta fecha",IF(C947="","⚠ Falta monto",IF(D947="","⚠ Falta categoría",IF(ISNA(MATCH(D947,catNom,0)),"⚠ Categoría no existe",IF(E947="","⚠ Falta cuenta",IF(ISNA(MATCH(E947,ctaNom,0)),"⚠ Cuenta no existe",IF(AND(OR(I947="Transferencia",I947="Pago tarjeta"),G947=""),"⚠ Indica la cuenta «Hacia»",IF(AND(G947&lt;&gt;"",G947=E947),"⚠ «Hacia» igual a la cuenta",IF(AND(G947&lt;&gt;"",ISNA(MATCH(G947,ctaNom,0))),"⚠ «Hacia» no existe",IF(AND(I947="Pago tarjeta",IFERROR(INDEX(ctaTipo,MATCH(G947,ctaNom,0)),"")&lt;&gt;"Tarjeta de crédito"),"⚠ «Hacia» debe ser la tarjeta",IF(AND(I947="Trading",IFERROR(INDEX(ctaTipo,MATCH(E947,ctaNom,0)),"")&lt;&gt;"Cuenta de trading"),"⚠ Usa la cuenta de trading","✓"))))))))))))</f>
        <v/>
      </c>
      <c r="I947" s="19">
        <f>IF(OR(B947="",C947="",D947=""),"",IFERROR(INDEX(catTipo,MATCH(D947,catNom,0))&amp;"",""))</f>
        <v/>
      </c>
      <c r="J947" s="19">
        <f>IF(I947="","",IFERROR(INDEX(catGrupo,MATCH(D947,catNom,0))&amp;"",""))</f>
        <v/>
      </c>
      <c r="K947" s="19">
        <f>IF(I947="Gasto",IF(IFERROR(INDEX(catClas,MATCH(D947,catNom,0))&amp;"","")="","Variable",IFERROR(INDEX(catClas,MATCH(D947,catNom,0))&amp;"","")),"")</f>
        <v/>
      </c>
      <c r="L947" s="19">
        <f>IF(I947="","",IFERROR(INDEX(catAlim,MATCH(D947,catNom,0))&amp;"",""))</f>
        <v/>
      </c>
      <c r="M947" s="19">
        <f>IF(I947="","",IFERROR(INDEX(catComida,MATCH(D947,catNom,0))&amp;"",""))</f>
        <v/>
      </c>
      <c r="N947" s="19">
        <f>IF(I947="","",IFERROR(INDEX(ctaMon,MATCH(E947,ctaNom,0))&amp;"","DOP"))</f>
        <v/>
      </c>
      <c r="O947" s="20">
        <f>IF(I947="","",C947*IF(N947="USD",TasaUSD,1))</f>
        <v/>
      </c>
      <c r="P947" s="20">
        <f>IF(I947="","",IF(I947="Gasto",O947,0))</f>
        <v/>
      </c>
      <c r="Q947" s="20">
        <f>IF(I947="","",IF(I947="Ingreso",O947,0))</f>
        <v/>
      </c>
      <c r="R947" s="20">
        <f>IF(I947="","",IF(I947="Trading",O947,0))</f>
        <v/>
      </c>
      <c r="S947" s="19">
        <f>IF(I947="","",IF(AND(I947="Gasto",K947="Variable",J947&lt;&gt;"Trading",O947&gt;0,O947&lt;=Umbral),1,0))</f>
        <v/>
      </c>
      <c r="T947" s="20">
        <f>IF(OR(I947="",E947=""),"",IF(OR(I947="Gasto",I947="Transferencia",I947="Pago tarjeta"),-1,1)*C947)</f>
        <v/>
      </c>
      <c r="U947" s="20">
        <f>IF(OR(G947="",AND(I947&lt;&gt;"Transferencia",I947&lt;&gt;"Pago tarjeta")),"",IF(IFERROR(INDEX(ctaMon,MATCH(G947,ctaNom,0))&amp;"","DOP")=N947,C947,IF(N947="USD",C947*TasaUSD,C947/TasaUSD)))</f>
        <v/>
      </c>
      <c r="V947" s="20">
        <f>IF(I947="","",IF(IFERROR(INDEX(ctaLiq,MATCH(E947,ctaNom,0))="Sí",FALSE),IF(OR(I947="Gasto",I947="Transferencia",I947="Pago tarjeta"),-1,1)*O947,0)+IF(AND(U947&lt;&gt;"",IFERROR(INDEX(ctaLiq,MATCH(G947,ctaNom,0))="Sí",FALSE)),O947,0))</f>
        <v/>
      </c>
      <c r="W947" s="19">
        <f>IF(OR(F947="",I947=""),"",IF(COUNTIFS(F$6:F947,F947,I$6:I947,"?*")=1,MAX(W$5:W946)+1,""))</f>
        <v/>
      </c>
    </row>
    <row r="948">
      <c r="B948" s="15" t="n"/>
      <c r="C948" s="16" t="n"/>
      <c r="D948" s="17" t="n"/>
      <c r="E948" s="17" t="n"/>
      <c r="F948" s="17" t="n"/>
      <c r="G948" s="17" t="n"/>
      <c r="H948" s="18">
        <f>IF(AND(B948="",C948="",D948="",E948=""),"",IF(B948="","⚠ Falta fecha",IF(C948="","⚠ Falta monto",IF(D948="","⚠ Falta categoría",IF(ISNA(MATCH(D948,catNom,0)),"⚠ Categoría no existe",IF(E948="","⚠ Falta cuenta",IF(ISNA(MATCH(E948,ctaNom,0)),"⚠ Cuenta no existe",IF(AND(OR(I948="Transferencia",I948="Pago tarjeta"),G948=""),"⚠ Indica la cuenta «Hacia»",IF(AND(G948&lt;&gt;"",G948=E948),"⚠ «Hacia» igual a la cuenta",IF(AND(G948&lt;&gt;"",ISNA(MATCH(G948,ctaNom,0))),"⚠ «Hacia» no existe",IF(AND(I948="Pago tarjeta",IFERROR(INDEX(ctaTipo,MATCH(G948,ctaNom,0)),"")&lt;&gt;"Tarjeta de crédito"),"⚠ «Hacia» debe ser la tarjeta",IF(AND(I948="Trading",IFERROR(INDEX(ctaTipo,MATCH(E948,ctaNom,0)),"")&lt;&gt;"Cuenta de trading"),"⚠ Usa la cuenta de trading","✓"))))))))))))</f>
        <v/>
      </c>
      <c r="I948" s="19">
        <f>IF(OR(B948="",C948="",D948=""),"",IFERROR(INDEX(catTipo,MATCH(D948,catNom,0))&amp;"",""))</f>
        <v/>
      </c>
      <c r="J948" s="19">
        <f>IF(I948="","",IFERROR(INDEX(catGrupo,MATCH(D948,catNom,0))&amp;"",""))</f>
        <v/>
      </c>
      <c r="K948" s="19">
        <f>IF(I948="Gasto",IF(IFERROR(INDEX(catClas,MATCH(D948,catNom,0))&amp;"","")="","Variable",IFERROR(INDEX(catClas,MATCH(D948,catNom,0))&amp;"","")),"")</f>
        <v/>
      </c>
      <c r="L948" s="19">
        <f>IF(I948="","",IFERROR(INDEX(catAlim,MATCH(D948,catNom,0))&amp;"",""))</f>
        <v/>
      </c>
      <c r="M948" s="19">
        <f>IF(I948="","",IFERROR(INDEX(catComida,MATCH(D948,catNom,0))&amp;"",""))</f>
        <v/>
      </c>
      <c r="N948" s="19">
        <f>IF(I948="","",IFERROR(INDEX(ctaMon,MATCH(E948,ctaNom,0))&amp;"","DOP"))</f>
        <v/>
      </c>
      <c r="O948" s="20">
        <f>IF(I948="","",C948*IF(N948="USD",TasaUSD,1))</f>
        <v/>
      </c>
      <c r="P948" s="20">
        <f>IF(I948="","",IF(I948="Gasto",O948,0))</f>
        <v/>
      </c>
      <c r="Q948" s="20">
        <f>IF(I948="","",IF(I948="Ingreso",O948,0))</f>
        <v/>
      </c>
      <c r="R948" s="20">
        <f>IF(I948="","",IF(I948="Trading",O948,0))</f>
        <v/>
      </c>
      <c r="S948" s="19">
        <f>IF(I948="","",IF(AND(I948="Gasto",K948="Variable",J948&lt;&gt;"Trading",O948&gt;0,O948&lt;=Umbral),1,0))</f>
        <v/>
      </c>
      <c r="T948" s="20">
        <f>IF(OR(I948="",E948=""),"",IF(OR(I948="Gasto",I948="Transferencia",I948="Pago tarjeta"),-1,1)*C948)</f>
        <v/>
      </c>
      <c r="U948" s="20">
        <f>IF(OR(G948="",AND(I948&lt;&gt;"Transferencia",I948&lt;&gt;"Pago tarjeta")),"",IF(IFERROR(INDEX(ctaMon,MATCH(G948,ctaNom,0))&amp;"","DOP")=N948,C948,IF(N948="USD",C948*TasaUSD,C948/TasaUSD)))</f>
        <v/>
      </c>
      <c r="V948" s="20">
        <f>IF(I948="","",IF(IFERROR(INDEX(ctaLiq,MATCH(E948,ctaNom,0))="Sí",FALSE),IF(OR(I948="Gasto",I948="Transferencia",I948="Pago tarjeta"),-1,1)*O948,0)+IF(AND(U948&lt;&gt;"",IFERROR(INDEX(ctaLiq,MATCH(G948,ctaNom,0))="Sí",FALSE)),O948,0))</f>
        <v/>
      </c>
      <c r="W948" s="19">
        <f>IF(OR(F948="",I948=""),"",IF(COUNTIFS(F$6:F948,F948,I$6:I948,"?*")=1,MAX(W$5:W947)+1,""))</f>
        <v/>
      </c>
    </row>
    <row r="949">
      <c r="B949" s="15" t="n"/>
      <c r="C949" s="16" t="n"/>
      <c r="D949" s="17" t="n"/>
      <c r="E949" s="17" t="n"/>
      <c r="F949" s="17" t="n"/>
      <c r="G949" s="17" t="n"/>
      <c r="H949" s="18">
        <f>IF(AND(B949="",C949="",D949="",E949=""),"",IF(B949="","⚠ Falta fecha",IF(C949="","⚠ Falta monto",IF(D949="","⚠ Falta categoría",IF(ISNA(MATCH(D949,catNom,0)),"⚠ Categoría no existe",IF(E949="","⚠ Falta cuenta",IF(ISNA(MATCH(E949,ctaNom,0)),"⚠ Cuenta no existe",IF(AND(OR(I949="Transferencia",I949="Pago tarjeta"),G949=""),"⚠ Indica la cuenta «Hacia»",IF(AND(G949&lt;&gt;"",G949=E949),"⚠ «Hacia» igual a la cuenta",IF(AND(G949&lt;&gt;"",ISNA(MATCH(G949,ctaNom,0))),"⚠ «Hacia» no existe",IF(AND(I949="Pago tarjeta",IFERROR(INDEX(ctaTipo,MATCH(G949,ctaNom,0)),"")&lt;&gt;"Tarjeta de crédito"),"⚠ «Hacia» debe ser la tarjeta",IF(AND(I949="Trading",IFERROR(INDEX(ctaTipo,MATCH(E949,ctaNom,0)),"")&lt;&gt;"Cuenta de trading"),"⚠ Usa la cuenta de trading","✓"))))))))))))</f>
        <v/>
      </c>
      <c r="I949" s="19">
        <f>IF(OR(B949="",C949="",D949=""),"",IFERROR(INDEX(catTipo,MATCH(D949,catNom,0))&amp;"",""))</f>
        <v/>
      </c>
      <c r="J949" s="19">
        <f>IF(I949="","",IFERROR(INDEX(catGrupo,MATCH(D949,catNom,0))&amp;"",""))</f>
        <v/>
      </c>
      <c r="K949" s="19">
        <f>IF(I949="Gasto",IF(IFERROR(INDEX(catClas,MATCH(D949,catNom,0))&amp;"","")="","Variable",IFERROR(INDEX(catClas,MATCH(D949,catNom,0))&amp;"","")),"")</f>
        <v/>
      </c>
      <c r="L949" s="19">
        <f>IF(I949="","",IFERROR(INDEX(catAlim,MATCH(D949,catNom,0))&amp;"",""))</f>
        <v/>
      </c>
      <c r="M949" s="19">
        <f>IF(I949="","",IFERROR(INDEX(catComida,MATCH(D949,catNom,0))&amp;"",""))</f>
        <v/>
      </c>
      <c r="N949" s="19">
        <f>IF(I949="","",IFERROR(INDEX(ctaMon,MATCH(E949,ctaNom,0))&amp;"","DOP"))</f>
        <v/>
      </c>
      <c r="O949" s="20">
        <f>IF(I949="","",C949*IF(N949="USD",TasaUSD,1))</f>
        <v/>
      </c>
      <c r="P949" s="20">
        <f>IF(I949="","",IF(I949="Gasto",O949,0))</f>
        <v/>
      </c>
      <c r="Q949" s="20">
        <f>IF(I949="","",IF(I949="Ingreso",O949,0))</f>
        <v/>
      </c>
      <c r="R949" s="20">
        <f>IF(I949="","",IF(I949="Trading",O949,0))</f>
        <v/>
      </c>
      <c r="S949" s="19">
        <f>IF(I949="","",IF(AND(I949="Gasto",K949="Variable",J949&lt;&gt;"Trading",O949&gt;0,O949&lt;=Umbral),1,0))</f>
        <v/>
      </c>
      <c r="T949" s="20">
        <f>IF(OR(I949="",E949=""),"",IF(OR(I949="Gasto",I949="Transferencia",I949="Pago tarjeta"),-1,1)*C949)</f>
        <v/>
      </c>
      <c r="U949" s="20">
        <f>IF(OR(G949="",AND(I949&lt;&gt;"Transferencia",I949&lt;&gt;"Pago tarjeta")),"",IF(IFERROR(INDEX(ctaMon,MATCH(G949,ctaNom,0))&amp;"","DOP")=N949,C949,IF(N949="USD",C949*TasaUSD,C949/TasaUSD)))</f>
        <v/>
      </c>
      <c r="V949" s="20">
        <f>IF(I949="","",IF(IFERROR(INDEX(ctaLiq,MATCH(E949,ctaNom,0))="Sí",FALSE),IF(OR(I949="Gasto",I949="Transferencia",I949="Pago tarjeta"),-1,1)*O949,0)+IF(AND(U949&lt;&gt;"",IFERROR(INDEX(ctaLiq,MATCH(G949,ctaNom,0))="Sí",FALSE)),O949,0))</f>
        <v/>
      </c>
      <c r="W949" s="19">
        <f>IF(OR(F949="",I949=""),"",IF(COUNTIFS(F$6:F949,F949,I$6:I949,"?*")=1,MAX(W$5:W948)+1,""))</f>
        <v/>
      </c>
    </row>
    <row r="950">
      <c r="B950" s="15" t="n"/>
      <c r="C950" s="16" t="n"/>
      <c r="D950" s="17" t="n"/>
      <c r="E950" s="17" t="n"/>
      <c r="F950" s="17" t="n"/>
      <c r="G950" s="17" t="n"/>
      <c r="H950" s="18">
        <f>IF(AND(B950="",C950="",D950="",E950=""),"",IF(B950="","⚠ Falta fecha",IF(C950="","⚠ Falta monto",IF(D950="","⚠ Falta categoría",IF(ISNA(MATCH(D950,catNom,0)),"⚠ Categoría no existe",IF(E950="","⚠ Falta cuenta",IF(ISNA(MATCH(E950,ctaNom,0)),"⚠ Cuenta no existe",IF(AND(OR(I950="Transferencia",I950="Pago tarjeta"),G950=""),"⚠ Indica la cuenta «Hacia»",IF(AND(G950&lt;&gt;"",G950=E950),"⚠ «Hacia» igual a la cuenta",IF(AND(G950&lt;&gt;"",ISNA(MATCH(G950,ctaNom,0))),"⚠ «Hacia» no existe",IF(AND(I950="Pago tarjeta",IFERROR(INDEX(ctaTipo,MATCH(G950,ctaNom,0)),"")&lt;&gt;"Tarjeta de crédito"),"⚠ «Hacia» debe ser la tarjeta",IF(AND(I950="Trading",IFERROR(INDEX(ctaTipo,MATCH(E950,ctaNom,0)),"")&lt;&gt;"Cuenta de trading"),"⚠ Usa la cuenta de trading","✓"))))))))))))</f>
        <v/>
      </c>
      <c r="I950" s="19">
        <f>IF(OR(B950="",C950="",D950=""),"",IFERROR(INDEX(catTipo,MATCH(D950,catNom,0))&amp;"",""))</f>
        <v/>
      </c>
      <c r="J950" s="19">
        <f>IF(I950="","",IFERROR(INDEX(catGrupo,MATCH(D950,catNom,0))&amp;"",""))</f>
        <v/>
      </c>
      <c r="K950" s="19">
        <f>IF(I950="Gasto",IF(IFERROR(INDEX(catClas,MATCH(D950,catNom,0))&amp;"","")="","Variable",IFERROR(INDEX(catClas,MATCH(D950,catNom,0))&amp;"","")),"")</f>
        <v/>
      </c>
      <c r="L950" s="19">
        <f>IF(I950="","",IFERROR(INDEX(catAlim,MATCH(D950,catNom,0))&amp;"",""))</f>
        <v/>
      </c>
      <c r="M950" s="19">
        <f>IF(I950="","",IFERROR(INDEX(catComida,MATCH(D950,catNom,0))&amp;"",""))</f>
        <v/>
      </c>
      <c r="N950" s="19">
        <f>IF(I950="","",IFERROR(INDEX(ctaMon,MATCH(E950,ctaNom,0))&amp;"","DOP"))</f>
        <v/>
      </c>
      <c r="O950" s="20">
        <f>IF(I950="","",C950*IF(N950="USD",TasaUSD,1))</f>
        <v/>
      </c>
      <c r="P950" s="20">
        <f>IF(I950="","",IF(I950="Gasto",O950,0))</f>
        <v/>
      </c>
      <c r="Q950" s="20">
        <f>IF(I950="","",IF(I950="Ingreso",O950,0))</f>
        <v/>
      </c>
      <c r="R950" s="20">
        <f>IF(I950="","",IF(I950="Trading",O950,0))</f>
        <v/>
      </c>
      <c r="S950" s="19">
        <f>IF(I950="","",IF(AND(I950="Gasto",K950="Variable",J950&lt;&gt;"Trading",O950&gt;0,O950&lt;=Umbral),1,0))</f>
        <v/>
      </c>
      <c r="T950" s="20">
        <f>IF(OR(I950="",E950=""),"",IF(OR(I950="Gasto",I950="Transferencia",I950="Pago tarjeta"),-1,1)*C950)</f>
        <v/>
      </c>
      <c r="U950" s="20">
        <f>IF(OR(G950="",AND(I950&lt;&gt;"Transferencia",I950&lt;&gt;"Pago tarjeta")),"",IF(IFERROR(INDEX(ctaMon,MATCH(G950,ctaNom,0))&amp;"","DOP")=N950,C950,IF(N950="USD",C950*TasaUSD,C950/TasaUSD)))</f>
        <v/>
      </c>
      <c r="V950" s="20">
        <f>IF(I950="","",IF(IFERROR(INDEX(ctaLiq,MATCH(E950,ctaNom,0))="Sí",FALSE),IF(OR(I950="Gasto",I950="Transferencia",I950="Pago tarjeta"),-1,1)*O950,0)+IF(AND(U950&lt;&gt;"",IFERROR(INDEX(ctaLiq,MATCH(G950,ctaNom,0))="Sí",FALSE)),O950,0))</f>
        <v/>
      </c>
      <c r="W950" s="19">
        <f>IF(OR(F950="",I950=""),"",IF(COUNTIFS(F$6:F950,F950,I$6:I950,"?*")=1,MAX(W$5:W949)+1,""))</f>
        <v/>
      </c>
    </row>
    <row r="951">
      <c r="B951" s="15" t="n"/>
      <c r="C951" s="16" t="n"/>
      <c r="D951" s="17" t="n"/>
      <c r="E951" s="17" t="n"/>
      <c r="F951" s="17" t="n"/>
      <c r="G951" s="17" t="n"/>
      <c r="H951" s="18">
        <f>IF(AND(B951="",C951="",D951="",E951=""),"",IF(B951="","⚠ Falta fecha",IF(C951="","⚠ Falta monto",IF(D951="","⚠ Falta categoría",IF(ISNA(MATCH(D951,catNom,0)),"⚠ Categoría no existe",IF(E951="","⚠ Falta cuenta",IF(ISNA(MATCH(E951,ctaNom,0)),"⚠ Cuenta no existe",IF(AND(OR(I951="Transferencia",I951="Pago tarjeta"),G951=""),"⚠ Indica la cuenta «Hacia»",IF(AND(G951&lt;&gt;"",G951=E951),"⚠ «Hacia» igual a la cuenta",IF(AND(G951&lt;&gt;"",ISNA(MATCH(G951,ctaNom,0))),"⚠ «Hacia» no existe",IF(AND(I951="Pago tarjeta",IFERROR(INDEX(ctaTipo,MATCH(G951,ctaNom,0)),"")&lt;&gt;"Tarjeta de crédito"),"⚠ «Hacia» debe ser la tarjeta",IF(AND(I951="Trading",IFERROR(INDEX(ctaTipo,MATCH(E951,ctaNom,0)),"")&lt;&gt;"Cuenta de trading"),"⚠ Usa la cuenta de trading","✓"))))))))))))</f>
        <v/>
      </c>
      <c r="I951" s="19">
        <f>IF(OR(B951="",C951="",D951=""),"",IFERROR(INDEX(catTipo,MATCH(D951,catNom,0))&amp;"",""))</f>
        <v/>
      </c>
      <c r="J951" s="19">
        <f>IF(I951="","",IFERROR(INDEX(catGrupo,MATCH(D951,catNom,0))&amp;"",""))</f>
        <v/>
      </c>
      <c r="K951" s="19">
        <f>IF(I951="Gasto",IF(IFERROR(INDEX(catClas,MATCH(D951,catNom,0))&amp;"","")="","Variable",IFERROR(INDEX(catClas,MATCH(D951,catNom,0))&amp;"","")),"")</f>
        <v/>
      </c>
      <c r="L951" s="19">
        <f>IF(I951="","",IFERROR(INDEX(catAlim,MATCH(D951,catNom,0))&amp;"",""))</f>
        <v/>
      </c>
      <c r="M951" s="19">
        <f>IF(I951="","",IFERROR(INDEX(catComida,MATCH(D951,catNom,0))&amp;"",""))</f>
        <v/>
      </c>
      <c r="N951" s="19">
        <f>IF(I951="","",IFERROR(INDEX(ctaMon,MATCH(E951,ctaNom,0))&amp;"","DOP"))</f>
        <v/>
      </c>
      <c r="O951" s="20">
        <f>IF(I951="","",C951*IF(N951="USD",TasaUSD,1))</f>
        <v/>
      </c>
      <c r="P951" s="20">
        <f>IF(I951="","",IF(I951="Gasto",O951,0))</f>
        <v/>
      </c>
      <c r="Q951" s="20">
        <f>IF(I951="","",IF(I951="Ingreso",O951,0))</f>
        <v/>
      </c>
      <c r="R951" s="20">
        <f>IF(I951="","",IF(I951="Trading",O951,0))</f>
        <v/>
      </c>
      <c r="S951" s="19">
        <f>IF(I951="","",IF(AND(I951="Gasto",K951="Variable",J951&lt;&gt;"Trading",O951&gt;0,O951&lt;=Umbral),1,0))</f>
        <v/>
      </c>
      <c r="T951" s="20">
        <f>IF(OR(I951="",E951=""),"",IF(OR(I951="Gasto",I951="Transferencia",I951="Pago tarjeta"),-1,1)*C951)</f>
        <v/>
      </c>
      <c r="U951" s="20">
        <f>IF(OR(G951="",AND(I951&lt;&gt;"Transferencia",I951&lt;&gt;"Pago tarjeta")),"",IF(IFERROR(INDEX(ctaMon,MATCH(G951,ctaNom,0))&amp;"","DOP")=N951,C951,IF(N951="USD",C951*TasaUSD,C951/TasaUSD)))</f>
        <v/>
      </c>
      <c r="V951" s="20">
        <f>IF(I951="","",IF(IFERROR(INDEX(ctaLiq,MATCH(E951,ctaNom,0))="Sí",FALSE),IF(OR(I951="Gasto",I951="Transferencia",I951="Pago tarjeta"),-1,1)*O951,0)+IF(AND(U951&lt;&gt;"",IFERROR(INDEX(ctaLiq,MATCH(G951,ctaNom,0))="Sí",FALSE)),O951,0))</f>
        <v/>
      </c>
      <c r="W951" s="19">
        <f>IF(OR(F951="",I951=""),"",IF(COUNTIFS(F$6:F951,F951,I$6:I951,"?*")=1,MAX(W$5:W950)+1,""))</f>
        <v/>
      </c>
    </row>
    <row r="952">
      <c r="B952" s="15" t="n"/>
      <c r="C952" s="16" t="n"/>
      <c r="D952" s="17" t="n"/>
      <c r="E952" s="17" t="n"/>
      <c r="F952" s="17" t="n"/>
      <c r="G952" s="17" t="n"/>
      <c r="H952" s="18">
        <f>IF(AND(B952="",C952="",D952="",E952=""),"",IF(B952="","⚠ Falta fecha",IF(C952="","⚠ Falta monto",IF(D952="","⚠ Falta categoría",IF(ISNA(MATCH(D952,catNom,0)),"⚠ Categoría no existe",IF(E952="","⚠ Falta cuenta",IF(ISNA(MATCH(E952,ctaNom,0)),"⚠ Cuenta no existe",IF(AND(OR(I952="Transferencia",I952="Pago tarjeta"),G952=""),"⚠ Indica la cuenta «Hacia»",IF(AND(G952&lt;&gt;"",G952=E952),"⚠ «Hacia» igual a la cuenta",IF(AND(G952&lt;&gt;"",ISNA(MATCH(G952,ctaNom,0))),"⚠ «Hacia» no existe",IF(AND(I952="Pago tarjeta",IFERROR(INDEX(ctaTipo,MATCH(G952,ctaNom,0)),"")&lt;&gt;"Tarjeta de crédito"),"⚠ «Hacia» debe ser la tarjeta",IF(AND(I952="Trading",IFERROR(INDEX(ctaTipo,MATCH(E952,ctaNom,0)),"")&lt;&gt;"Cuenta de trading"),"⚠ Usa la cuenta de trading","✓"))))))))))))</f>
        <v/>
      </c>
      <c r="I952" s="19">
        <f>IF(OR(B952="",C952="",D952=""),"",IFERROR(INDEX(catTipo,MATCH(D952,catNom,0))&amp;"",""))</f>
        <v/>
      </c>
      <c r="J952" s="19">
        <f>IF(I952="","",IFERROR(INDEX(catGrupo,MATCH(D952,catNom,0))&amp;"",""))</f>
        <v/>
      </c>
      <c r="K952" s="19">
        <f>IF(I952="Gasto",IF(IFERROR(INDEX(catClas,MATCH(D952,catNom,0))&amp;"","")="","Variable",IFERROR(INDEX(catClas,MATCH(D952,catNom,0))&amp;"","")),"")</f>
        <v/>
      </c>
      <c r="L952" s="19">
        <f>IF(I952="","",IFERROR(INDEX(catAlim,MATCH(D952,catNom,0))&amp;"",""))</f>
        <v/>
      </c>
      <c r="M952" s="19">
        <f>IF(I952="","",IFERROR(INDEX(catComida,MATCH(D952,catNom,0))&amp;"",""))</f>
        <v/>
      </c>
      <c r="N952" s="19">
        <f>IF(I952="","",IFERROR(INDEX(ctaMon,MATCH(E952,ctaNom,0))&amp;"","DOP"))</f>
        <v/>
      </c>
      <c r="O952" s="20">
        <f>IF(I952="","",C952*IF(N952="USD",TasaUSD,1))</f>
        <v/>
      </c>
      <c r="P952" s="20">
        <f>IF(I952="","",IF(I952="Gasto",O952,0))</f>
        <v/>
      </c>
      <c r="Q952" s="20">
        <f>IF(I952="","",IF(I952="Ingreso",O952,0))</f>
        <v/>
      </c>
      <c r="R952" s="20">
        <f>IF(I952="","",IF(I952="Trading",O952,0))</f>
        <v/>
      </c>
      <c r="S952" s="19">
        <f>IF(I952="","",IF(AND(I952="Gasto",K952="Variable",J952&lt;&gt;"Trading",O952&gt;0,O952&lt;=Umbral),1,0))</f>
        <v/>
      </c>
      <c r="T952" s="20">
        <f>IF(OR(I952="",E952=""),"",IF(OR(I952="Gasto",I952="Transferencia",I952="Pago tarjeta"),-1,1)*C952)</f>
        <v/>
      </c>
      <c r="U952" s="20">
        <f>IF(OR(G952="",AND(I952&lt;&gt;"Transferencia",I952&lt;&gt;"Pago tarjeta")),"",IF(IFERROR(INDEX(ctaMon,MATCH(G952,ctaNom,0))&amp;"","DOP")=N952,C952,IF(N952="USD",C952*TasaUSD,C952/TasaUSD)))</f>
        <v/>
      </c>
      <c r="V952" s="20">
        <f>IF(I952="","",IF(IFERROR(INDEX(ctaLiq,MATCH(E952,ctaNom,0))="Sí",FALSE),IF(OR(I952="Gasto",I952="Transferencia",I952="Pago tarjeta"),-1,1)*O952,0)+IF(AND(U952&lt;&gt;"",IFERROR(INDEX(ctaLiq,MATCH(G952,ctaNom,0))="Sí",FALSE)),O952,0))</f>
        <v/>
      </c>
      <c r="W952" s="19">
        <f>IF(OR(F952="",I952=""),"",IF(COUNTIFS(F$6:F952,F952,I$6:I952,"?*")=1,MAX(W$5:W951)+1,""))</f>
        <v/>
      </c>
    </row>
    <row r="953">
      <c r="B953" s="15" t="n"/>
      <c r="C953" s="16" t="n"/>
      <c r="D953" s="17" t="n"/>
      <c r="E953" s="17" t="n"/>
      <c r="F953" s="17" t="n"/>
      <c r="G953" s="17" t="n"/>
      <c r="H953" s="18">
        <f>IF(AND(B953="",C953="",D953="",E953=""),"",IF(B953="","⚠ Falta fecha",IF(C953="","⚠ Falta monto",IF(D953="","⚠ Falta categoría",IF(ISNA(MATCH(D953,catNom,0)),"⚠ Categoría no existe",IF(E953="","⚠ Falta cuenta",IF(ISNA(MATCH(E953,ctaNom,0)),"⚠ Cuenta no existe",IF(AND(OR(I953="Transferencia",I953="Pago tarjeta"),G953=""),"⚠ Indica la cuenta «Hacia»",IF(AND(G953&lt;&gt;"",G953=E953),"⚠ «Hacia» igual a la cuenta",IF(AND(G953&lt;&gt;"",ISNA(MATCH(G953,ctaNom,0))),"⚠ «Hacia» no existe",IF(AND(I953="Pago tarjeta",IFERROR(INDEX(ctaTipo,MATCH(G953,ctaNom,0)),"")&lt;&gt;"Tarjeta de crédito"),"⚠ «Hacia» debe ser la tarjeta",IF(AND(I953="Trading",IFERROR(INDEX(ctaTipo,MATCH(E953,ctaNom,0)),"")&lt;&gt;"Cuenta de trading"),"⚠ Usa la cuenta de trading","✓"))))))))))))</f>
        <v/>
      </c>
      <c r="I953" s="19">
        <f>IF(OR(B953="",C953="",D953=""),"",IFERROR(INDEX(catTipo,MATCH(D953,catNom,0))&amp;"",""))</f>
        <v/>
      </c>
      <c r="J953" s="19">
        <f>IF(I953="","",IFERROR(INDEX(catGrupo,MATCH(D953,catNom,0))&amp;"",""))</f>
        <v/>
      </c>
      <c r="K953" s="19">
        <f>IF(I953="Gasto",IF(IFERROR(INDEX(catClas,MATCH(D953,catNom,0))&amp;"","")="","Variable",IFERROR(INDEX(catClas,MATCH(D953,catNom,0))&amp;"","")),"")</f>
        <v/>
      </c>
      <c r="L953" s="19">
        <f>IF(I953="","",IFERROR(INDEX(catAlim,MATCH(D953,catNom,0))&amp;"",""))</f>
        <v/>
      </c>
      <c r="M953" s="19">
        <f>IF(I953="","",IFERROR(INDEX(catComida,MATCH(D953,catNom,0))&amp;"",""))</f>
        <v/>
      </c>
      <c r="N953" s="19">
        <f>IF(I953="","",IFERROR(INDEX(ctaMon,MATCH(E953,ctaNom,0))&amp;"","DOP"))</f>
        <v/>
      </c>
      <c r="O953" s="20">
        <f>IF(I953="","",C953*IF(N953="USD",TasaUSD,1))</f>
        <v/>
      </c>
      <c r="P953" s="20">
        <f>IF(I953="","",IF(I953="Gasto",O953,0))</f>
        <v/>
      </c>
      <c r="Q953" s="20">
        <f>IF(I953="","",IF(I953="Ingreso",O953,0))</f>
        <v/>
      </c>
      <c r="R953" s="20">
        <f>IF(I953="","",IF(I953="Trading",O953,0))</f>
        <v/>
      </c>
      <c r="S953" s="19">
        <f>IF(I953="","",IF(AND(I953="Gasto",K953="Variable",J953&lt;&gt;"Trading",O953&gt;0,O953&lt;=Umbral),1,0))</f>
        <v/>
      </c>
      <c r="T953" s="20">
        <f>IF(OR(I953="",E953=""),"",IF(OR(I953="Gasto",I953="Transferencia",I953="Pago tarjeta"),-1,1)*C953)</f>
        <v/>
      </c>
      <c r="U953" s="20">
        <f>IF(OR(G953="",AND(I953&lt;&gt;"Transferencia",I953&lt;&gt;"Pago tarjeta")),"",IF(IFERROR(INDEX(ctaMon,MATCH(G953,ctaNom,0))&amp;"","DOP")=N953,C953,IF(N953="USD",C953*TasaUSD,C953/TasaUSD)))</f>
        <v/>
      </c>
      <c r="V953" s="20">
        <f>IF(I953="","",IF(IFERROR(INDEX(ctaLiq,MATCH(E953,ctaNom,0))="Sí",FALSE),IF(OR(I953="Gasto",I953="Transferencia",I953="Pago tarjeta"),-1,1)*O953,0)+IF(AND(U953&lt;&gt;"",IFERROR(INDEX(ctaLiq,MATCH(G953,ctaNom,0))="Sí",FALSE)),O953,0))</f>
        <v/>
      </c>
      <c r="W953" s="19">
        <f>IF(OR(F953="",I953=""),"",IF(COUNTIFS(F$6:F953,F953,I$6:I953,"?*")=1,MAX(W$5:W952)+1,""))</f>
        <v/>
      </c>
    </row>
    <row r="954">
      <c r="B954" s="15" t="n"/>
      <c r="C954" s="16" t="n"/>
      <c r="D954" s="17" t="n"/>
      <c r="E954" s="17" t="n"/>
      <c r="F954" s="17" t="n"/>
      <c r="G954" s="17" t="n"/>
      <c r="H954" s="18">
        <f>IF(AND(B954="",C954="",D954="",E954=""),"",IF(B954="","⚠ Falta fecha",IF(C954="","⚠ Falta monto",IF(D954="","⚠ Falta categoría",IF(ISNA(MATCH(D954,catNom,0)),"⚠ Categoría no existe",IF(E954="","⚠ Falta cuenta",IF(ISNA(MATCH(E954,ctaNom,0)),"⚠ Cuenta no existe",IF(AND(OR(I954="Transferencia",I954="Pago tarjeta"),G954=""),"⚠ Indica la cuenta «Hacia»",IF(AND(G954&lt;&gt;"",G954=E954),"⚠ «Hacia» igual a la cuenta",IF(AND(G954&lt;&gt;"",ISNA(MATCH(G954,ctaNom,0))),"⚠ «Hacia» no existe",IF(AND(I954="Pago tarjeta",IFERROR(INDEX(ctaTipo,MATCH(G954,ctaNom,0)),"")&lt;&gt;"Tarjeta de crédito"),"⚠ «Hacia» debe ser la tarjeta",IF(AND(I954="Trading",IFERROR(INDEX(ctaTipo,MATCH(E954,ctaNom,0)),"")&lt;&gt;"Cuenta de trading"),"⚠ Usa la cuenta de trading","✓"))))))))))))</f>
        <v/>
      </c>
      <c r="I954" s="19">
        <f>IF(OR(B954="",C954="",D954=""),"",IFERROR(INDEX(catTipo,MATCH(D954,catNom,0))&amp;"",""))</f>
        <v/>
      </c>
      <c r="J954" s="19">
        <f>IF(I954="","",IFERROR(INDEX(catGrupo,MATCH(D954,catNom,0))&amp;"",""))</f>
        <v/>
      </c>
      <c r="K954" s="19">
        <f>IF(I954="Gasto",IF(IFERROR(INDEX(catClas,MATCH(D954,catNom,0))&amp;"","")="","Variable",IFERROR(INDEX(catClas,MATCH(D954,catNom,0))&amp;"","")),"")</f>
        <v/>
      </c>
      <c r="L954" s="19">
        <f>IF(I954="","",IFERROR(INDEX(catAlim,MATCH(D954,catNom,0))&amp;"",""))</f>
        <v/>
      </c>
      <c r="M954" s="19">
        <f>IF(I954="","",IFERROR(INDEX(catComida,MATCH(D954,catNom,0))&amp;"",""))</f>
        <v/>
      </c>
      <c r="N954" s="19">
        <f>IF(I954="","",IFERROR(INDEX(ctaMon,MATCH(E954,ctaNom,0))&amp;"","DOP"))</f>
        <v/>
      </c>
      <c r="O954" s="20">
        <f>IF(I954="","",C954*IF(N954="USD",TasaUSD,1))</f>
        <v/>
      </c>
      <c r="P954" s="20">
        <f>IF(I954="","",IF(I954="Gasto",O954,0))</f>
        <v/>
      </c>
      <c r="Q954" s="20">
        <f>IF(I954="","",IF(I954="Ingreso",O954,0))</f>
        <v/>
      </c>
      <c r="R954" s="20">
        <f>IF(I954="","",IF(I954="Trading",O954,0))</f>
        <v/>
      </c>
      <c r="S954" s="19">
        <f>IF(I954="","",IF(AND(I954="Gasto",K954="Variable",J954&lt;&gt;"Trading",O954&gt;0,O954&lt;=Umbral),1,0))</f>
        <v/>
      </c>
      <c r="T954" s="20">
        <f>IF(OR(I954="",E954=""),"",IF(OR(I954="Gasto",I954="Transferencia",I954="Pago tarjeta"),-1,1)*C954)</f>
        <v/>
      </c>
      <c r="U954" s="20">
        <f>IF(OR(G954="",AND(I954&lt;&gt;"Transferencia",I954&lt;&gt;"Pago tarjeta")),"",IF(IFERROR(INDEX(ctaMon,MATCH(G954,ctaNom,0))&amp;"","DOP")=N954,C954,IF(N954="USD",C954*TasaUSD,C954/TasaUSD)))</f>
        <v/>
      </c>
      <c r="V954" s="20">
        <f>IF(I954="","",IF(IFERROR(INDEX(ctaLiq,MATCH(E954,ctaNom,0))="Sí",FALSE),IF(OR(I954="Gasto",I954="Transferencia",I954="Pago tarjeta"),-1,1)*O954,0)+IF(AND(U954&lt;&gt;"",IFERROR(INDEX(ctaLiq,MATCH(G954,ctaNom,0))="Sí",FALSE)),O954,0))</f>
        <v/>
      </c>
      <c r="W954" s="19">
        <f>IF(OR(F954="",I954=""),"",IF(COUNTIFS(F$6:F954,F954,I$6:I954,"?*")=1,MAX(W$5:W953)+1,""))</f>
        <v/>
      </c>
    </row>
    <row r="955">
      <c r="B955" s="15" t="n"/>
      <c r="C955" s="16" t="n"/>
      <c r="D955" s="17" t="n"/>
      <c r="E955" s="17" t="n"/>
      <c r="F955" s="17" t="n"/>
      <c r="G955" s="17" t="n"/>
      <c r="H955" s="18">
        <f>IF(AND(B955="",C955="",D955="",E955=""),"",IF(B955="","⚠ Falta fecha",IF(C955="","⚠ Falta monto",IF(D955="","⚠ Falta categoría",IF(ISNA(MATCH(D955,catNom,0)),"⚠ Categoría no existe",IF(E955="","⚠ Falta cuenta",IF(ISNA(MATCH(E955,ctaNom,0)),"⚠ Cuenta no existe",IF(AND(OR(I955="Transferencia",I955="Pago tarjeta"),G955=""),"⚠ Indica la cuenta «Hacia»",IF(AND(G955&lt;&gt;"",G955=E955),"⚠ «Hacia» igual a la cuenta",IF(AND(G955&lt;&gt;"",ISNA(MATCH(G955,ctaNom,0))),"⚠ «Hacia» no existe",IF(AND(I955="Pago tarjeta",IFERROR(INDEX(ctaTipo,MATCH(G955,ctaNom,0)),"")&lt;&gt;"Tarjeta de crédito"),"⚠ «Hacia» debe ser la tarjeta",IF(AND(I955="Trading",IFERROR(INDEX(ctaTipo,MATCH(E955,ctaNom,0)),"")&lt;&gt;"Cuenta de trading"),"⚠ Usa la cuenta de trading","✓"))))))))))))</f>
        <v/>
      </c>
      <c r="I955" s="19">
        <f>IF(OR(B955="",C955="",D955=""),"",IFERROR(INDEX(catTipo,MATCH(D955,catNom,0))&amp;"",""))</f>
        <v/>
      </c>
      <c r="J955" s="19">
        <f>IF(I955="","",IFERROR(INDEX(catGrupo,MATCH(D955,catNom,0))&amp;"",""))</f>
        <v/>
      </c>
      <c r="K955" s="19">
        <f>IF(I955="Gasto",IF(IFERROR(INDEX(catClas,MATCH(D955,catNom,0))&amp;"","")="","Variable",IFERROR(INDEX(catClas,MATCH(D955,catNom,0))&amp;"","")),"")</f>
        <v/>
      </c>
      <c r="L955" s="19">
        <f>IF(I955="","",IFERROR(INDEX(catAlim,MATCH(D955,catNom,0))&amp;"",""))</f>
        <v/>
      </c>
      <c r="M955" s="19">
        <f>IF(I955="","",IFERROR(INDEX(catComida,MATCH(D955,catNom,0))&amp;"",""))</f>
        <v/>
      </c>
      <c r="N955" s="19">
        <f>IF(I955="","",IFERROR(INDEX(ctaMon,MATCH(E955,ctaNom,0))&amp;"","DOP"))</f>
        <v/>
      </c>
      <c r="O955" s="20">
        <f>IF(I955="","",C955*IF(N955="USD",TasaUSD,1))</f>
        <v/>
      </c>
      <c r="P955" s="20">
        <f>IF(I955="","",IF(I955="Gasto",O955,0))</f>
        <v/>
      </c>
      <c r="Q955" s="20">
        <f>IF(I955="","",IF(I955="Ingreso",O955,0))</f>
        <v/>
      </c>
      <c r="R955" s="20">
        <f>IF(I955="","",IF(I955="Trading",O955,0))</f>
        <v/>
      </c>
      <c r="S955" s="19">
        <f>IF(I955="","",IF(AND(I955="Gasto",K955="Variable",J955&lt;&gt;"Trading",O955&gt;0,O955&lt;=Umbral),1,0))</f>
        <v/>
      </c>
      <c r="T955" s="20">
        <f>IF(OR(I955="",E955=""),"",IF(OR(I955="Gasto",I955="Transferencia",I955="Pago tarjeta"),-1,1)*C955)</f>
        <v/>
      </c>
      <c r="U955" s="20">
        <f>IF(OR(G955="",AND(I955&lt;&gt;"Transferencia",I955&lt;&gt;"Pago tarjeta")),"",IF(IFERROR(INDEX(ctaMon,MATCH(G955,ctaNom,0))&amp;"","DOP")=N955,C955,IF(N955="USD",C955*TasaUSD,C955/TasaUSD)))</f>
        <v/>
      </c>
      <c r="V955" s="20">
        <f>IF(I955="","",IF(IFERROR(INDEX(ctaLiq,MATCH(E955,ctaNom,0))="Sí",FALSE),IF(OR(I955="Gasto",I955="Transferencia",I955="Pago tarjeta"),-1,1)*O955,0)+IF(AND(U955&lt;&gt;"",IFERROR(INDEX(ctaLiq,MATCH(G955,ctaNom,0))="Sí",FALSE)),O955,0))</f>
        <v/>
      </c>
      <c r="W955" s="19">
        <f>IF(OR(F955="",I955=""),"",IF(COUNTIFS(F$6:F955,F955,I$6:I955,"?*")=1,MAX(W$5:W954)+1,""))</f>
        <v/>
      </c>
    </row>
    <row r="956">
      <c r="B956" s="15" t="n"/>
      <c r="C956" s="16" t="n"/>
      <c r="D956" s="17" t="n"/>
      <c r="E956" s="17" t="n"/>
      <c r="F956" s="17" t="n"/>
      <c r="G956" s="17" t="n"/>
      <c r="H956" s="18">
        <f>IF(AND(B956="",C956="",D956="",E956=""),"",IF(B956="","⚠ Falta fecha",IF(C956="","⚠ Falta monto",IF(D956="","⚠ Falta categoría",IF(ISNA(MATCH(D956,catNom,0)),"⚠ Categoría no existe",IF(E956="","⚠ Falta cuenta",IF(ISNA(MATCH(E956,ctaNom,0)),"⚠ Cuenta no existe",IF(AND(OR(I956="Transferencia",I956="Pago tarjeta"),G956=""),"⚠ Indica la cuenta «Hacia»",IF(AND(G956&lt;&gt;"",G956=E956),"⚠ «Hacia» igual a la cuenta",IF(AND(G956&lt;&gt;"",ISNA(MATCH(G956,ctaNom,0))),"⚠ «Hacia» no existe",IF(AND(I956="Pago tarjeta",IFERROR(INDEX(ctaTipo,MATCH(G956,ctaNom,0)),"")&lt;&gt;"Tarjeta de crédito"),"⚠ «Hacia» debe ser la tarjeta",IF(AND(I956="Trading",IFERROR(INDEX(ctaTipo,MATCH(E956,ctaNom,0)),"")&lt;&gt;"Cuenta de trading"),"⚠ Usa la cuenta de trading","✓"))))))))))))</f>
        <v/>
      </c>
      <c r="I956" s="19">
        <f>IF(OR(B956="",C956="",D956=""),"",IFERROR(INDEX(catTipo,MATCH(D956,catNom,0))&amp;"",""))</f>
        <v/>
      </c>
      <c r="J956" s="19">
        <f>IF(I956="","",IFERROR(INDEX(catGrupo,MATCH(D956,catNom,0))&amp;"",""))</f>
        <v/>
      </c>
      <c r="K956" s="19">
        <f>IF(I956="Gasto",IF(IFERROR(INDEX(catClas,MATCH(D956,catNom,0))&amp;"","")="","Variable",IFERROR(INDEX(catClas,MATCH(D956,catNom,0))&amp;"","")),"")</f>
        <v/>
      </c>
      <c r="L956" s="19">
        <f>IF(I956="","",IFERROR(INDEX(catAlim,MATCH(D956,catNom,0))&amp;"",""))</f>
        <v/>
      </c>
      <c r="M956" s="19">
        <f>IF(I956="","",IFERROR(INDEX(catComida,MATCH(D956,catNom,0))&amp;"",""))</f>
        <v/>
      </c>
      <c r="N956" s="19">
        <f>IF(I956="","",IFERROR(INDEX(ctaMon,MATCH(E956,ctaNom,0))&amp;"","DOP"))</f>
        <v/>
      </c>
      <c r="O956" s="20">
        <f>IF(I956="","",C956*IF(N956="USD",TasaUSD,1))</f>
        <v/>
      </c>
      <c r="P956" s="20">
        <f>IF(I956="","",IF(I956="Gasto",O956,0))</f>
        <v/>
      </c>
      <c r="Q956" s="20">
        <f>IF(I956="","",IF(I956="Ingreso",O956,0))</f>
        <v/>
      </c>
      <c r="R956" s="20">
        <f>IF(I956="","",IF(I956="Trading",O956,0))</f>
        <v/>
      </c>
      <c r="S956" s="19">
        <f>IF(I956="","",IF(AND(I956="Gasto",K956="Variable",J956&lt;&gt;"Trading",O956&gt;0,O956&lt;=Umbral),1,0))</f>
        <v/>
      </c>
      <c r="T956" s="20">
        <f>IF(OR(I956="",E956=""),"",IF(OR(I956="Gasto",I956="Transferencia",I956="Pago tarjeta"),-1,1)*C956)</f>
        <v/>
      </c>
      <c r="U956" s="20">
        <f>IF(OR(G956="",AND(I956&lt;&gt;"Transferencia",I956&lt;&gt;"Pago tarjeta")),"",IF(IFERROR(INDEX(ctaMon,MATCH(G956,ctaNom,0))&amp;"","DOP")=N956,C956,IF(N956="USD",C956*TasaUSD,C956/TasaUSD)))</f>
        <v/>
      </c>
      <c r="V956" s="20">
        <f>IF(I956="","",IF(IFERROR(INDEX(ctaLiq,MATCH(E956,ctaNom,0))="Sí",FALSE),IF(OR(I956="Gasto",I956="Transferencia",I956="Pago tarjeta"),-1,1)*O956,0)+IF(AND(U956&lt;&gt;"",IFERROR(INDEX(ctaLiq,MATCH(G956,ctaNom,0))="Sí",FALSE)),O956,0))</f>
        <v/>
      </c>
      <c r="W956" s="19">
        <f>IF(OR(F956="",I956=""),"",IF(COUNTIFS(F$6:F956,F956,I$6:I956,"?*")=1,MAX(W$5:W955)+1,""))</f>
        <v/>
      </c>
    </row>
    <row r="957">
      <c r="B957" s="15" t="n"/>
      <c r="C957" s="16" t="n"/>
      <c r="D957" s="17" t="n"/>
      <c r="E957" s="17" t="n"/>
      <c r="F957" s="17" t="n"/>
      <c r="G957" s="17" t="n"/>
      <c r="H957" s="18">
        <f>IF(AND(B957="",C957="",D957="",E957=""),"",IF(B957="","⚠ Falta fecha",IF(C957="","⚠ Falta monto",IF(D957="","⚠ Falta categoría",IF(ISNA(MATCH(D957,catNom,0)),"⚠ Categoría no existe",IF(E957="","⚠ Falta cuenta",IF(ISNA(MATCH(E957,ctaNom,0)),"⚠ Cuenta no existe",IF(AND(OR(I957="Transferencia",I957="Pago tarjeta"),G957=""),"⚠ Indica la cuenta «Hacia»",IF(AND(G957&lt;&gt;"",G957=E957),"⚠ «Hacia» igual a la cuenta",IF(AND(G957&lt;&gt;"",ISNA(MATCH(G957,ctaNom,0))),"⚠ «Hacia» no existe",IF(AND(I957="Pago tarjeta",IFERROR(INDEX(ctaTipo,MATCH(G957,ctaNom,0)),"")&lt;&gt;"Tarjeta de crédito"),"⚠ «Hacia» debe ser la tarjeta",IF(AND(I957="Trading",IFERROR(INDEX(ctaTipo,MATCH(E957,ctaNom,0)),"")&lt;&gt;"Cuenta de trading"),"⚠ Usa la cuenta de trading","✓"))))))))))))</f>
        <v/>
      </c>
      <c r="I957" s="19">
        <f>IF(OR(B957="",C957="",D957=""),"",IFERROR(INDEX(catTipo,MATCH(D957,catNom,0))&amp;"",""))</f>
        <v/>
      </c>
      <c r="J957" s="19">
        <f>IF(I957="","",IFERROR(INDEX(catGrupo,MATCH(D957,catNom,0))&amp;"",""))</f>
        <v/>
      </c>
      <c r="K957" s="19">
        <f>IF(I957="Gasto",IF(IFERROR(INDEX(catClas,MATCH(D957,catNom,0))&amp;"","")="","Variable",IFERROR(INDEX(catClas,MATCH(D957,catNom,0))&amp;"","")),"")</f>
        <v/>
      </c>
      <c r="L957" s="19">
        <f>IF(I957="","",IFERROR(INDEX(catAlim,MATCH(D957,catNom,0))&amp;"",""))</f>
        <v/>
      </c>
      <c r="M957" s="19">
        <f>IF(I957="","",IFERROR(INDEX(catComida,MATCH(D957,catNom,0))&amp;"",""))</f>
        <v/>
      </c>
      <c r="N957" s="19">
        <f>IF(I957="","",IFERROR(INDEX(ctaMon,MATCH(E957,ctaNom,0))&amp;"","DOP"))</f>
        <v/>
      </c>
      <c r="O957" s="20">
        <f>IF(I957="","",C957*IF(N957="USD",TasaUSD,1))</f>
        <v/>
      </c>
      <c r="P957" s="20">
        <f>IF(I957="","",IF(I957="Gasto",O957,0))</f>
        <v/>
      </c>
      <c r="Q957" s="20">
        <f>IF(I957="","",IF(I957="Ingreso",O957,0))</f>
        <v/>
      </c>
      <c r="R957" s="20">
        <f>IF(I957="","",IF(I957="Trading",O957,0))</f>
        <v/>
      </c>
      <c r="S957" s="19">
        <f>IF(I957="","",IF(AND(I957="Gasto",K957="Variable",J957&lt;&gt;"Trading",O957&gt;0,O957&lt;=Umbral),1,0))</f>
        <v/>
      </c>
      <c r="T957" s="20">
        <f>IF(OR(I957="",E957=""),"",IF(OR(I957="Gasto",I957="Transferencia",I957="Pago tarjeta"),-1,1)*C957)</f>
        <v/>
      </c>
      <c r="U957" s="20">
        <f>IF(OR(G957="",AND(I957&lt;&gt;"Transferencia",I957&lt;&gt;"Pago tarjeta")),"",IF(IFERROR(INDEX(ctaMon,MATCH(G957,ctaNom,0))&amp;"","DOP")=N957,C957,IF(N957="USD",C957*TasaUSD,C957/TasaUSD)))</f>
        <v/>
      </c>
      <c r="V957" s="20">
        <f>IF(I957="","",IF(IFERROR(INDEX(ctaLiq,MATCH(E957,ctaNom,0))="Sí",FALSE),IF(OR(I957="Gasto",I957="Transferencia",I957="Pago tarjeta"),-1,1)*O957,0)+IF(AND(U957&lt;&gt;"",IFERROR(INDEX(ctaLiq,MATCH(G957,ctaNom,0))="Sí",FALSE)),O957,0))</f>
        <v/>
      </c>
      <c r="W957" s="19">
        <f>IF(OR(F957="",I957=""),"",IF(COUNTIFS(F$6:F957,F957,I$6:I957,"?*")=1,MAX(W$5:W956)+1,""))</f>
        <v/>
      </c>
    </row>
    <row r="958">
      <c r="B958" s="15" t="n"/>
      <c r="C958" s="16" t="n"/>
      <c r="D958" s="17" t="n"/>
      <c r="E958" s="17" t="n"/>
      <c r="F958" s="17" t="n"/>
      <c r="G958" s="17" t="n"/>
      <c r="H958" s="18">
        <f>IF(AND(B958="",C958="",D958="",E958=""),"",IF(B958="","⚠ Falta fecha",IF(C958="","⚠ Falta monto",IF(D958="","⚠ Falta categoría",IF(ISNA(MATCH(D958,catNom,0)),"⚠ Categoría no existe",IF(E958="","⚠ Falta cuenta",IF(ISNA(MATCH(E958,ctaNom,0)),"⚠ Cuenta no existe",IF(AND(OR(I958="Transferencia",I958="Pago tarjeta"),G958=""),"⚠ Indica la cuenta «Hacia»",IF(AND(G958&lt;&gt;"",G958=E958),"⚠ «Hacia» igual a la cuenta",IF(AND(G958&lt;&gt;"",ISNA(MATCH(G958,ctaNom,0))),"⚠ «Hacia» no existe",IF(AND(I958="Pago tarjeta",IFERROR(INDEX(ctaTipo,MATCH(G958,ctaNom,0)),"")&lt;&gt;"Tarjeta de crédito"),"⚠ «Hacia» debe ser la tarjeta",IF(AND(I958="Trading",IFERROR(INDEX(ctaTipo,MATCH(E958,ctaNom,0)),"")&lt;&gt;"Cuenta de trading"),"⚠ Usa la cuenta de trading","✓"))))))))))))</f>
        <v/>
      </c>
      <c r="I958" s="19">
        <f>IF(OR(B958="",C958="",D958=""),"",IFERROR(INDEX(catTipo,MATCH(D958,catNom,0))&amp;"",""))</f>
        <v/>
      </c>
      <c r="J958" s="19">
        <f>IF(I958="","",IFERROR(INDEX(catGrupo,MATCH(D958,catNom,0))&amp;"",""))</f>
        <v/>
      </c>
      <c r="K958" s="19">
        <f>IF(I958="Gasto",IF(IFERROR(INDEX(catClas,MATCH(D958,catNom,0))&amp;"","")="","Variable",IFERROR(INDEX(catClas,MATCH(D958,catNom,0))&amp;"","")),"")</f>
        <v/>
      </c>
      <c r="L958" s="19">
        <f>IF(I958="","",IFERROR(INDEX(catAlim,MATCH(D958,catNom,0))&amp;"",""))</f>
        <v/>
      </c>
      <c r="M958" s="19">
        <f>IF(I958="","",IFERROR(INDEX(catComida,MATCH(D958,catNom,0))&amp;"",""))</f>
        <v/>
      </c>
      <c r="N958" s="19">
        <f>IF(I958="","",IFERROR(INDEX(ctaMon,MATCH(E958,ctaNom,0))&amp;"","DOP"))</f>
        <v/>
      </c>
      <c r="O958" s="20">
        <f>IF(I958="","",C958*IF(N958="USD",TasaUSD,1))</f>
        <v/>
      </c>
      <c r="P958" s="20">
        <f>IF(I958="","",IF(I958="Gasto",O958,0))</f>
        <v/>
      </c>
      <c r="Q958" s="20">
        <f>IF(I958="","",IF(I958="Ingreso",O958,0))</f>
        <v/>
      </c>
      <c r="R958" s="20">
        <f>IF(I958="","",IF(I958="Trading",O958,0))</f>
        <v/>
      </c>
      <c r="S958" s="19">
        <f>IF(I958="","",IF(AND(I958="Gasto",K958="Variable",J958&lt;&gt;"Trading",O958&gt;0,O958&lt;=Umbral),1,0))</f>
        <v/>
      </c>
      <c r="T958" s="20">
        <f>IF(OR(I958="",E958=""),"",IF(OR(I958="Gasto",I958="Transferencia",I958="Pago tarjeta"),-1,1)*C958)</f>
        <v/>
      </c>
      <c r="U958" s="20">
        <f>IF(OR(G958="",AND(I958&lt;&gt;"Transferencia",I958&lt;&gt;"Pago tarjeta")),"",IF(IFERROR(INDEX(ctaMon,MATCH(G958,ctaNom,0))&amp;"","DOP")=N958,C958,IF(N958="USD",C958*TasaUSD,C958/TasaUSD)))</f>
        <v/>
      </c>
      <c r="V958" s="20">
        <f>IF(I958="","",IF(IFERROR(INDEX(ctaLiq,MATCH(E958,ctaNom,0))="Sí",FALSE),IF(OR(I958="Gasto",I958="Transferencia",I958="Pago tarjeta"),-1,1)*O958,0)+IF(AND(U958&lt;&gt;"",IFERROR(INDEX(ctaLiq,MATCH(G958,ctaNom,0))="Sí",FALSE)),O958,0))</f>
        <v/>
      </c>
      <c r="W958" s="19">
        <f>IF(OR(F958="",I958=""),"",IF(COUNTIFS(F$6:F958,F958,I$6:I958,"?*")=1,MAX(W$5:W957)+1,""))</f>
        <v/>
      </c>
    </row>
    <row r="959">
      <c r="B959" s="15" t="n"/>
      <c r="C959" s="16" t="n"/>
      <c r="D959" s="17" t="n"/>
      <c r="E959" s="17" t="n"/>
      <c r="F959" s="17" t="n"/>
      <c r="G959" s="17" t="n"/>
      <c r="H959" s="18">
        <f>IF(AND(B959="",C959="",D959="",E959=""),"",IF(B959="","⚠ Falta fecha",IF(C959="","⚠ Falta monto",IF(D959="","⚠ Falta categoría",IF(ISNA(MATCH(D959,catNom,0)),"⚠ Categoría no existe",IF(E959="","⚠ Falta cuenta",IF(ISNA(MATCH(E959,ctaNom,0)),"⚠ Cuenta no existe",IF(AND(OR(I959="Transferencia",I959="Pago tarjeta"),G959=""),"⚠ Indica la cuenta «Hacia»",IF(AND(G959&lt;&gt;"",G959=E959),"⚠ «Hacia» igual a la cuenta",IF(AND(G959&lt;&gt;"",ISNA(MATCH(G959,ctaNom,0))),"⚠ «Hacia» no existe",IF(AND(I959="Pago tarjeta",IFERROR(INDEX(ctaTipo,MATCH(G959,ctaNom,0)),"")&lt;&gt;"Tarjeta de crédito"),"⚠ «Hacia» debe ser la tarjeta",IF(AND(I959="Trading",IFERROR(INDEX(ctaTipo,MATCH(E959,ctaNom,0)),"")&lt;&gt;"Cuenta de trading"),"⚠ Usa la cuenta de trading","✓"))))))))))))</f>
        <v/>
      </c>
      <c r="I959" s="19">
        <f>IF(OR(B959="",C959="",D959=""),"",IFERROR(INDEX(catTipo,MATCH(D959,catNom,0))&amp;"",""))</f>
        <v/>
      </c>
      <c r="J959" s="19">
        <f>IF(I959="","",IFERROR(INDEX(catGrupo,MATCH(D959,catNom,0))&amp;"",""))</f>
        <v/>
      </c>
      <c r="K959" s="19">
        <f>IF(I959="Gasto",IF(IFERROR(INDEX(catClas,MATCH(D959,catNom,0))&amp;"","")="","Variable",IFERROR(INDEX(catClas,MATCH(D959,catNom,0))&amp;"","")),"")</f>
        <v/>
      </c>
      <c r="L959" s="19">
        <f>IF(I959="","",IFERROR(INDEX(catAlim,MATCH(D959,catNom,0))&amp;"",""))</f>
        <v/>
      </c>
      <c r="M959" s="19">
        <f>IF(I959="","",IFERROR(INDEX(catComida,MATCH(D959,catNom,0))&amp;"",""))</f>
        <v/>
      </c>
      <c r="N959" s="19">
        <f>IF(I959="","",IFERROR(INDEX(ctaMon,MATCH(E959,ctaNom,0))&amp;"","DOP"))</f>
        <v/>
      </c>
      <c r="O959" s="20">
        <f>IF(I959="","",C959*IF(N959="USD",TasaUSD,1))</f>
        <v/>
      </c>
      <c r="P959" s="20">
        <f>IF(I959="","",IF(I959="Gasto",O959,0))</f>
        <v/>
      </c>
      <c r="Q959" s="20">
        <f>IF(I959="","",IF(I959="Ingreso",O959,0))</f>
        <v/>
      </c>
      <c r="R959" s="20">
        <f>IF(I959="","",IF(I959="Trading",O959,0))</f>
        <v/>
      </c>
      <c r="S959" s="19">
        <f>IF(I959="","",IF(AND(I959="Gasto",K959="Variable",J959&lt;&gt;"Trading",O959&gt;0,O959&lt;=Umbral),1,0))</f>
        <v/>
      </c>
      <c r="T959" s="20">
        <f>IF(OR(I959="",E959=""),"",IF(OR(I959="Gasto",I959="Transferencia",I959="Pago tarjeta"),-1,1)*C959)</f>
        <v/>
      </c>
      <c r="U959" s="20">
        <f>IF(OR(G959="",AND(I959&lt;&gt;"Transferencia",I959&lt;&gt;"Pago tarjeta")),"",IF(IFERROR(INDEX(ctaMon,MATCH(G959,ctaNom,0))&amp;"","DOP")=N959,C959,IF(N959="USD",C959*TasaUSD,C959/TasaUSD)))</f>
        <v/>
      </c>
      <c r="V959" s="20">
        <f>IF(I959="","",IF(IFERROR(INDEX(ctaLiq,MATCH(E959,ctaNom,0))="Sí",FALSE),IF(OR(I959="Gasto",I959="Transferencia",I959="Pago tarjeta"),-1,1)*O959,0)+IF(AND(U959&lt;&gt;"",IFERROR(INDEX(ctaLiq,MATCH(G959,ctaNom,0))="Sí",FALSE)),O959,0))</f>
        <v/>
      </c>
      <c r="W959" s="19">
        <f>IF(OR(F959="",I959=""),"",IF(COUNTIFS(F$6:F959,F959,I$6:I959,"?*")=1,MAX(W$5:W958)+1,""))</f>
        <v/>
      </c>
    </row>
    <row r="960">
      <c r="B960" s="15" t="n"/>
      <c r="C960" s="16" t="n"/>
      <c r="D960" s="17" t="n"/>
      <c r="E960" s="17" t="n"/>
      <c r="F960" s="17" t="n"/>
      <c r="G960" s="17" t="n"/>
      <c r="H960" s="18">
        <f>IF(AND(B960="",C960="",D960="",E960=""),"",IF(B960="","⚠ Falta fecha",IF(C960="","⚠ Falta monto",IF(D960="","⚠ Falta categoría",IF(ISNA(MATCH(D960,catNom,0)),"⚠ Categoría no existe",IF(E960="","⚠ Falta cuenta",IF(ISNA(MATCH(E960,ctaNom,0)),"⚠ Cuenta no existe",IF(AND(OR(I960="Transferencia",I960="Pago tarjeta"),G960=""),"⚠ Indica la cuenta «Hacia»",IF(AND(G960&lt;&gt;"",G960=E960),"⚠ «Hacia» igual a la cuenta",IF(AND(G960&lt;&gt;"",ISNA(MATCH(G960,ctaNom,0))),"⚠ «Hacia» no existe",IF(AND(I960="Pago tarjeta",IFERROR(INDEX(ctaTipo,MATCH(G960,ctaNom,0)),"")&lt;&gt;"Tarjeta de crédito"),"⚠ «Hacia» debe ser la tarjeta",IF(AND(I960="Trading",IFERROR(INDEX(ctaTipo,MATCH(E960,ctaNom,0)),"")&lt;&gt;"Cuenta de trading"),"⚠ Usa la cuenta de trading","✓"))))))))))))</f>
        <v/>
      </c>
      <c r="I960" s="19">
        <f>IF(OR(B960="",C960="",D960=""),"",IFERROR(INDEX(catTipo,MATCH(D960,catNom,0))&amp;"",""))</f>
        <v/>
      </c>
      <c r="J960" s="19">
        <f>IF(I960="","",IFERROR(INDEX(catGrupo,MATCH(D960,catNom,0))&amp;"",""))</f>
        <v/>
      </c>
      <c r="K960" s="19">
        <f>IF(I960="Gasto",IF(IFERROR(INDEX(catClas,MATCH(D960,catNom,0))&amp;"","")="","Variable",IFERROR(INDEX(catClas,MATCH(D960,catNom,0))&amp;"","")),"")</f>
        <v/>
      </c>
      <c r="L960" s="19">
        <f>IF(I960="","",IFERROR(INDEX(catAlim,MATCH(D960,catNom,0))&amp;"",""))</f>
        <v/>
      </c>
      <c r="M960" s="19">
        <f>IF(I960="","",IFERROR(INDEX(catComida,MATCH(D960,catNom,0))&amp;"",""))</f>
        <v/>
      </c>
      <c r="N960" s="19">
        <f>IF(I960="","",IFERROR(INDEX(ctaMon,MATCH(E960,ctaNom,0))&amp;"","DOP"))</f>
        <v/>
      </c>
      <c r="O960" s="20">
        <f>IF(I960="","",C960*IF(N960="USD",TasaUSD,1))</f>
        <v/>
      </c>
      <c r="P960" s="20">
        <f>IF(I960="","",IF(I960="Gasto",O960,0))</f>
        <v/>
      </c>
      <c r="Q960" s="20">
        <f>IF(I960="","",IF(I960="Ingreso",O960,0))</f>
        <v/>
      </c>
      <c r="R960" s="20">
        <f>IF(I960="","",IF(I960="Trading",O960,0))</f>
        <v/>
      </c>
      <c r="S960" s="19">
        <f>IF(I960="","",IF(AND(I960="Gasto",K960="Variable",J960&lt;&gt;"Trading",O960&gt;0,O960&lt;=Umbral),1,0))</f>
        <v/>
      </c>
      <c r="T960" s="20">
        <f>IF(OR(I960="",E960=""),"",IF(OR(I960="Gasto",I960="Transferencia",I960="Pago tarjeta"),-1,1)*C960)</f>
        <v/>
      </c>
      <c r="U960" s="20">
        <f>IF(OR(G960="",AND(I960&lt;&gt;"Transferencia",I960&lt;&gt;"Pago tarjeta")),"",IF(IFERROR(INDEX(ctaMon,MATCH(G960,ctaNom,0))&amp;"","DOP")=N960,C960,IF(N960="USD",C960*TasaUSD,C960/TasaUSD)))</f>
        <v/>
      </c>
      <c r="V960" s="20">
        <f>IF(I960="","",IF(IFERROR(INDEX(ctaLiq,MATCH(E960,ctaNom,0))="Sí",FALSE),IF(OR(I960="Gasto",I960="Transferencia",I960="Pago tarjeta"),-1,1)*O960,0)+IF(AND(U960&lt;&gt;"",IFERROR(INDEX(ctaLiq,MATCH(G960,ctaNom,0))="Sí",FALSE)),O960,0))</f>
        <v/>
      </c>
      <c r="W960" s="19">
        <f>IF(OR(F960="",I960=""),"",IF(COUNTIFS(F$6:F960,F960,I$6:I960,"?*")=1,MAX(W$5:W959)+1,""))</f>
        <v/>
      </c>
    </row>
    <row r="961">
      <c r="B961" s="15" t="n"/>
      <c r="C961" s="16" t="n"/>
      <c r="D961" s="17" t="n"/>
      <c r="E961" s="17" t="n"/>
      <c r="F961" s="17" t="n"/>
      <c r="G961" s="17" t="n"/>
      <c r="H961" s="18">
        <f>IF(AND(B961="",C961="",D961="",E961=""),"",IF(B961="","⚠ Falta fecha",IF(C961="","⚠ Falta monto",IF(D961="","⚠ Falta categoría",IF(ISNA(MATCH(D961,catNom,0)),"⚠ Categoría no existe",IF(E961="","⚠ Falta cuenta",IF(ISNA(MATCH(E961,ctaNom,0)),"⚠ Cuenta no existe",IF(AND(OR(I961="Transferencia",I961="Pago tarjeta"),G961=""),"⚠ Indica la cuenta «Hacia»",IF(AND(G961&lt;&gt;"",G961=E961),"⚠ «Hacia» igual a la cuenta",IF(AND(G961&lt;&gt;"",ISNA(MATCH(G961,ctaNom,0))),"⚠ «Hacia» no existe",IF(AND(I961="Pago tarjeta",IFERROR(INDEX(ctaTipo,MATCH(G961,ctaNom,0)),"")&lt;&gt;"Tarjeta de crédito"),"⚠ «Hacia» debe ser la tarjeta",IF(AND(I961="Trading",IFERROR(INDEX(ctaTipo,MATCH(E961,ctaNom,0)),"")&lt;&gt;"Cuenta de trading"),"⚠ Usa la cuenta de trading","✓"))))))))))))</f>
        <v/>
      </c>
      <c r="I961" s="19">
        <f>IF(OR(B961="",C961="",D961=""),"",IFERROR(INDEX(catTipo,MATCH(D961,catNom,0))&amp;"",""))</f>
        <v/>
      </c>
      <c r="J961" s="19">
        <f>IF(I961="","",IFERROR(INDEX(catGrupo,MATCH(D961,catNom,0))&amp;"",""))</f>
        <v/>
      </c>
      <c r="K961" s="19">
        <f>IF(I961="Gasto",IF(IFERROR(INDEX(catClas,MATCH(D961,catNom,0))&amp;"","")="","Variable",IFERROR(INDEX(catClas,MATCH(D961,catNom,0))&amp;"","")),"")</f>
        <v/>
      </c>
      <c r="L961" s="19">
        <f>IF(I961="","",IFERROR(INDEX(catAlim,MATCH(D961,catNom,0))&amp;"",""))</f>
        <v/>
      </c>
      <c r="M961" s="19">
        <f>IF(I961="","",IFERROR(INDEX(catComida,MATCH(D961,catNom,0))&amp;"",""))</f>
        <v/>
      </c>
      <c r="N961" s="19">
        <f>IF(I961="","",IFERROR(INDEX(ctaMon,MATCH(E961,ctaNom,0))&amp;"","DOP"))</f>
        <v/>
      </c>
      <c r="O961" s="20">
        <f>IF(I961="","",C961*IF(N961="USD",TasaUSD,1))</f>
        <v/>
      </c>
      <c r="P961" s="20">
        <f>IF(I961="","",IF(I961="Gasto",O961,0))</f>
        <v/>
      </c>
      <c r="Q961" s="20">
        <f>IF(I961="","",IF(I961="Ingreso",O961,0))</f>
        <v/>
      </c>
      <c r="R961" s="20">
        <f>IF(I961="","",IF(I961="Trading",O961,0))</f>
        <v/>
      </c>
      <c r="S961" s="19">
        <f>IF(I961="","",IF(AND(I961="Gasto",K961="Variable",J961&lt;&gt;"Trading",O961&gt;0,O961&lt;=Umbral),1,0))</f>
        <v/>
      </c>
      <c r="T961" s="20">
        <f>IF(OR(I961="",E961=""),"",IF(OR(I961="Gasto",I961="Transferencia",I961="Pago tarjeta"),-1,1)*C961)</f>
        <v/>
      </c>
      <c r="U961" s="20">
        <f>IF(OR(G961="",AND(I961&lt;&gt;"Transferencia",I961&lt;&gt;"Pago tarjeta")),"",IF(IFERROR(INDEX(ctaMon,MATCH(G961,ctaNom,0))&amp;"","DOP")=N961,C961,IF(N961="USD",C961*TasaUSD,C961/TasaUSD)))</f>
        <v/>
      </c>
      <c r="V961" s="20">
        <f>IF(I961="","",IF(IFERROR(INDEX(ctaLiq,MATCH(E961,ctaNom,0))="Sí",FALSE),IF(OR(I961="Gasto",I961="Transferencia",I961="Pago tarjeta"),-1,1)*O961,0)+IF(AND(U961&lt;&gt;"",IFERROR(INDEX(ctaLiq,MATCH(G961,ctaNom,0))="Sí",FALSE)),O961,0))</f>
        <v/>
      </c>
      <c r="W961" s="19">
        <f>IF(OR(F961="",I961=""),"",IF(COUNTIFS(F$6:F961,F961,I$6:I961,"?*")=1,MAX(W$5:W960)+1,""))</f>
        <v/>
      </c>
    </row>
    <row r="962">
      <c r="B962" s="15" t="n"/>
      <c r="C962" s="16" t="n"/>
      <c r="D962" s="17" t="n"/>
      <c r="E962" s="17" t="n"/>
      <c r="F962" s="17" t="n"/>
      <c r="G962" s="17" t="n"/>
      <c r="H962" s="18">
        <f>IF(AND(B962="",C962="",D962="",E962=""),"",IF(B962="","⚠ Falta fecha",IF(C962="","⚠ Falta monto",IF(D962="","⚠ Falta categoría",IF(ISNA(MATCH(D962,catNom,0)),"⚠ Categoría no existe",IF(E962="","⚠ Falta cuenta",IF(ISNA(MATCH(E962,ctaNom,0)),"⚠ Cuenta no existe",IF(AND(OR(I962="Transferencia",I962="Pago tarjeta"),G962=""),"⚠ Indica la cuenta «Hacia»",IF(AND(G962&lt;&gt;"",G962=E962),"⚠ «Hacia» igual a la cuenta",IF(AND(G962&lt;&gt;"",ISNA(MATCH(G962,ctaNom,0))),"⚠ «Hacia» no existe",IF(AND(I962="Pago tarjeta",IFERROR(INDEX(ctaTipo,MATCH(G962,ctaNom,0)),"")&lt;&gt;"Tarjeta de crédito"),"⚠ «Hacia» debe ser la tarjeta",IF(AND(I962="Trading",IFERROR(INDEX(ctaTipo,MATCH(E962,ctaNom,0)),"")&lt;&gt;"Cuenta de trading"),"⚠ Usa la cuenta de trading","✓"))))))))))))</f>
        <v/>
      </c>
      <c r="I962" s="19">
        <f>IF(OR(B962="",C962="",D962=""),"",IFERROR(INDEX(catTipo,MATCH(D962,catNom,0))&amp;"",""))</f>
        <v/>
      </c>
      <c r="J962" s="19">
        <f>IF(I962="","",IFERROR(INDEX(catGrupo,MATCH(D962,catNom,0))&amp;"",""))</f>
        <v/>
      </c>
      <c r="K962" s="19">
        <f>IF(I962="Gasto",IF(IFERROR(INDEX(catClas,MATCH(D962,catNom,0))&amp;"","")="","Variable",IFERROR(INDEX(catClas,MATCH(D962,catNom,0))&amp;"","")),"")</f>
        <v/>
      </c>
      <c r="L962" s="19">
        <f>IF(I962="","",IFERROR(INDEX(catAlim,MATCH(D962,catNom,0))&amp;"",""))</f>
        <v/>
      </c>
      <c r="M962" s="19">
        <f>IF(I962="","",IFERROR(INDEX(catComida,MATCH(D962,catNom,0))&amp;"",""))</f>
        <v/>
      </c>
      <c r="N962" s="19">
        <f>IF(I962="","",IFERROR(INDEX(ctaMon,MATCH(E962,ctaNom,0))&amp;"","DOP"))</f>
        <v/>
      </c>
      <c r="O962" s="20">
        <f>IF(I962="","",C962*IF(N962="USD",TasaUSD,1))</f>
        <v/>
      </c>
      <c r="P962" s="20">
        <f>IF(I962="","",IF(I962="Gasto",O962,0))</f>
        <v/>
      </c>
      <c r="Q962" s="20">
        <f>IF(I962="","",IF(I962="Ingreso",O962,0))</f>
        <v/>
      </c>
      <c r="R962" s="20">
        <f>IF(I962="","",IF(I962="Trading",O962,0))</f>
        <v/>
      </c>
      <c r="S962" s="19">
        <f>IF(I962="","",IF(AND(I962="Gasto",K962="Variable",J962&lt;&gt;"Trading",O962&gt;0,O962&lt;=Umbral),1,0))</f>
        <v/>
      </c>
      <c r="T962" s="20">
        <f>IF(OR(I962="",E962=""),"",IF(OR(I962="Gasto",I962="Transferencia",I962="Pago tarjeta"),-1,1)*C962)</f>
        <v/>
      </c>
      <c r="U962" s="20">
        <f>IF(OR(G962="",AND(I962&lt;&gt;"Transferencia",I962&lt;&gt;"Pago tarjeta")),"",IF(IFERROR(INDEX(ctaMon,MATCH(G962,ctaNom,0))&amp;"","DOP")=N962,C962,IF(N962="USD",C962*TasaUSD,C962/TasaUSD)))</f>
        <v/>
      </c>
      <c r="V962" s="20">
        <f>IF(I962="","",IF(IFERROR(INDEX(ctaLiq,MATCH(E962,ctaNom,0))="Sí",FALSE),IF(OR(I962="Gasto",I962="Transferencia",I962="Pago tarjeta"),-1,1)*O962,0)+IF(AND(U962&lt;&gt;"",IFERROR(INDEX(ctaLiq,MATCH(G962,ctaNom,0))="Sí",FALSE)),O962,0))</f>
        <v/>
      </c>
      <c r="W962" s="19">
        <f>IF(OR(F962="",I962=""),"",IF(COUNTIFS(F$6:F962,F962,I$6:I962,"?*")=1,MAX(W$5:W961)+1,""))</f>
        <v/>
      </c>
    </row>
    <row r="963">
      <c r="B963" s="15" t="n"/>
      <c r="C963" s="16" t="n"/>
      <c r="D963" s="17" t="n"/>
      <c r="E963" s="17" t="n"/>
      <c r="F963" s="17" t="n"/>
      <c r="G963" s="17" t="n"/>
      <c r="H963" s="18">
        <f>IF(AND(B963="",C963="",D963="",E963=""),"",IF(B963="","⚠ Falta fecha",IF(C963="","⚠ Falta monto",IF(D963="","⚠ Falta categoría",IF(ISNA(MATCH(D963,catNom,0)),"⚠ Categoría no existe",IF(E963="","⚠ Falta cuenta",IF(ISNA(MATCH(E963,ctaNom,0)),"⚠ Cuenta no existe",IF(AND(OR(I963="Transferencia",I963="Pago tarjeta"),G963=""),"⚠ Indica la cuenta «Hacia»",IF(AND(G963&lt;&gt;"",G963=E963),"⚠ «Hacia» igual a la cuenta",IF(AND(G963&lt;&gt;"",ISNA(MATCH(G963,ctaNom,0))),"⚠ «Hacia» no existe",IF(AND(I963="Pago tarjeta",IFERROR(INDEX(ctaTipo,MATCH(G963,ctaNom,0)),"")&lt;&gt;"Tarjeta de crédito"),"⚠ «Hacia» debe ser la tarjeta",IF(AND(I963="Trading",IFERROR(INDEX(ctaTipo,MATCH(E963,ctaNom,0)),"")&lt;&gt;"Cuenta de trading"),"⚠ Usa la cuenta de trading","✓"))))))))))))</f>
        <v/>
      </c>
      <c r="I963" s="19">
        <f>IF(OR(B963="",C963="",D963=""),"",IFERROR(INDEX(catTipo,MATCH(D963,catNom,0))&amp;"",""))</f>
        <v/>
      </c>
      <c r="J963" s="19">
        <f>IF(I963="","",IFERROR(INDEX(catGrupo,MATCH(D963,catNom,0))&amp;"",""))</f>
        <v/>
      </c>
      <c r="K963" s="19">
        <f>IF(I963="Gasto",IF(IFERROR(INDEX(catClas,MATCH(D963,catNom,0))&amp;"","")="","Variable",IFERROR(INDEX(catClas,MATCH(D963,catNom,0))&amp;"","")),"")</f>
        <v/>
      </c>
      <c r="L963" s="19">
        <f>IF(I963="","",IFERROR(INDEX(catAlim,MATCH(D963,catNom,0))&amp;"",""))</f>
        <v/>
      </c>
      <c r="M963" s="19">
        <f>IF(I963="","",IFERROR(INDEX(catComida,MATCH(D963,catNom,0))&amp;"",""))</f>
        <v/>
      </c>
      <c r="N963" s="19">
        <f>IF(I963="","",IFERROR(INDEX(ctaMon,MATCH(E963,ctaNom,0))&amp;"","DOP"))</f>
        <v/>
      </c>
      <c r="O963" s="20">
        <f>IF(I963="","",C963*IF(N963="USD",TasaUSD,1))</f>
        <v/>
      </c>
      <c r="P963" s="20">
        <f>IF(I963="","",IF(I963="Gasto",O963,0))</f>
        <v/>
      </c>
      <c r="Q963" s="20">
        <f>IF(I963="","",IF(I963="Ingreso",O963,0))</f>
        <v/>
      </c>
      <c r="R963" s="20">
        <f>IF(I963="","",IF(I963="Trading",O963,0))</f>
        <v/>
      </c>
      <c r="S963" s="19">
        <f>IF(I963="","",IF(AND(I963="Gasto",K963="Variable",J963&lt;&gt;"Trading",O963&gt;0,O963&lt;=Umbral),1,0))</f>
        <v/>
      </c>
      <c r="T963" s="20">
        <f>IF(OR(I963="",E963=""),"",IF(OR(I963="Gasto",I963="Transferencia",I963="Pago tarjeta"),-1,1)*C963)</f>
        <v/>
      </c>
      <c r="U963" s="20">
        <f>IF(OR(G963="",AND(I963&lt;&gt;"Transferencia",I963&lt;&gt;"Pago tarjeta")),"",IF(IFERROR(INDEX(ctaMon,MATCH(G963,ctaNom,0))&amp;"","DOP")=N963,C963,IF(N963="USD",C963*TasaUSD,C963/TasaUSD)))</f>
        <v/>
      </c>
      <c r="V963" s="20">
        <f>IF(I963="","",IF(IFERROR(INDEX(ctaLiq,MATCH(E963,ctaNom,0))="Sí",FALSE),IF(OR(I963="Gasto",I963="Transferencia",I963="Pago tarjeta"),-1,1)*O963,0)+IF(AND(U963&lt;&gt;"",IFERROR(INDEX(ctaLiq,MATCH(G963,ctaNom,0))="Sí",FALSE)),O963,0))</f>
        <v/>
      </c>
      <c r="W963" s="19">
        <f>IF(OR(F963="",I963=""),"",IF(COUNTIFS(F$6:F963,F963,I$6:I963,"?*")=1,MAX(W$5:W962)+1,""))</f>
        <v/>
      </c>
    </row>
    <row r="964">
      <c r="B964" s="15" t="n"/>
      <c r="C964" s="16" t="n"/>
      <c r="D964" s="17" t="n"/>
      <c r="E964" s="17" t="n"/>
      <c r="F964" s="17" t="n"/>
      <c r="G964" s="17" t="n"/>
      <c r="H964" s="18">
        <f>IF(AND(B964="",C964="",D964="",E964=""),"",IF(B964="","⚠ Falta fecha",IF(C964="","⚠ Falta monto",IF(D964="","⚠ Falta categoría",IF(ISNA(MATCH(D964,catNom,0)),"⚠ Categoría no existe",IF(E964="","⚠ Falta cuenta",IF(ISNA(MATCH(E964,ctaNom,0)),"⚠ Cuenta no existe",IF(AND(OR(I964="Transferencia",I964="Pago tarjeta"),G964=""),"⚠ Indica la cuenta «Hacia»",IF(AND(G964&lt;&gt;"",G964=E964),"⚠ «Hacia» igual a la cuenta",IF(AND(G964&lt;&gt;"",ISNA(MATCH(G964,ctaNom,0))),"⚠ «Hacia» no existe",IF(AND(I964="Pago tarjeta",IFERROR(INDEX(ctaTipo,MATCH(G964,ctaNom,0)),"")&lt;&gt;"Tarjeta de crédito"),"⚠ «Hacia» debe ser la tarjeta",IF(AND(I964="Trading",IFERROR(INDEX(ctaTipo,MATCH(E964,ctaNom,0)),"")&lt;&gt;"Cuenta de trading"),"⚠ Usa la cuenta de trading","✓"))))))))))))</f>
        <v/>
      </c>
      <c r="I964" s="19">
        <f>IF(OR(B964="",C964="",D964=""),"",IFERROR(INDEX(catTipo,MATCH(D964,catNom,0))&amp;"",""))</f>
        <v/>
      </c>
      <c r="J964" s="19">
        <f>IF(I964="","",IFERROR(INDEX(catGrupo,MATCH(D964,catNom,0))&amp;"",""))</f>
        <v/>
      </c>
      <c r="K964" s="19">
        <f>IF(I964="Gasto",IF(IFERROR(INDEX(catClas,MATCH(D964,catNom,0))&amp;"","")="","Variable",IFERROR(INDEX(catClas,MATCH(D964,catNom,0))&amp;"","")),"")</f>
        <v/>
      </c>
      <c r="L964" s="19">
        <f>IF(I964="","",IFERROR(INDEX(catAlim,MATCH(D964,catNom,0))&amp;"",""))</f>
        <v/>
      </c>
      <c r="M964" s="19">
        <f>IF(I964="","",IFERROR(INDEX(catComida,MATCH(D964,catNom,0))&amp;"",""))</f>
        <v/>
      </c>
      <c r="N964" s="19">
        <f>IF(I964="","",IFERROR(INDEX(ctaMon,MATCH(E964,ctaNom,0))&amp;"","DOP"))</f>
        <v/>
      </c>
      <c r="O964" s="20">
        <f>IF(I964="","",C964*IF(N964="USD",TasaUSD,1))</f>
        <v/>
      </c>
      <c r="P964" s="20">
        <f>IF(I964="","",IF(I964="Gasto",O964,0))</f>
        <v/>
      </c>
      <c r="Q964" s="20">
        <f>IF(I964="","",IF(I964="Ingreso",O964,0))</f>
        <v/>
      </c>
      <c r="R964" s="20">
        <f>IF(I964="","",IF(I964="Trading",O964,0))</f>
        <v/>
      </c>
      <c r="S964" s="19">
        <f>IF(I964="","",IF(AND(I964="Gasto",K964="Variable",J964&lt;&gt;"Trading",O964&gt;0,O964&lt;=Umbral),1,0))</f>
        <v/>
      </c>
      <c r="T964" s="20">
        <f>IF(OR(I964="",E964=""),"",IF(OR(I964="Gasto",I964="Transferencia",I964="Pago tarjeta"),-1,1)*C964)</f>
        <v/>
      </c>
      <c r="U964" s="20">
        <f>IF(OR(G964="",AND(I964&lt;&gt;"Transferencia",I964&lt;&gt;"Pago tarjeta")),"",IF(IFERROR(INDEX(ctaMon,MATCH(G964,ctaNom,0))&amp;"","DOP")=N964,C964,IF(N964="USD",C964*TasaUSD,C964/TasaUSD)))</f>
        <v/>
      </c>
      <c r="V964" s="20">
        <f>IF(I964="","",IF(IFERROR(INDEX(ctaLiq,MATCH(E964,ctaNom,0))="Sí",FALSE),IF(OR(I964="Gasto",I964="Transferencia",I964="Pago tarjeta"),-1,1)*O964,0)+IF(AND(U964&lt;&gt;"",IFERROR(INDEX(ctaLiq,MATCH(G964,ctaNom,0))="Sí",FALSE)),O964,0))</f>
        <v/>
      </c>
      <c r="W964" s="19">
        <f>IF(OR(F964="",I964=""),"",IF(COUNTIFS(F$6:F964,F964,I$6:I964,"?*")=1,MAX(W$5:W963)+1,""))</f>
        <v/>
      </c>
    </row>
    <row r="965">
      <c r="B965" s="15" t="n"/>
      <c r="C965" s="16" t="n"/>
      <c r="D965" s="17" t="n"/>
      <c r="E965" s="17" t="n"/>
      <c r="F965" s="17" t="n"/>
      <c r="G965" s="17" t="n"/>
      <c r="H965" s="18">
        <f>IF(AND(B965="",C965="",D965="",E965=""),"",IF(B965="","⚠ Falta fecha",IF(C965="","⚠ Falta monto",IF(D965="","⚠ Falta categoría",IF(ISNA(MATCH(D965,catNom,0)),"⚠ Categoría no existe",IF(E965="","⚠ Falta cuenta",IF(ISNA(MATCH(E965,ctaNom,0)),"⚠ Cuenta no existe",IF(AND(OR(I965="Transferencia",I965="Pago tarjeta"),G965=""),"⚠ Indica la cuenta «Hacia»",IF(AND(G965&lt;&gt;"",G965=E965),"⚠ «Hacia» igual a la cuenta",IF(AND(G965&lt;&gt;"",ISNA(MATCH(G965,ctaNom,0))),"⚠ «Hacia» no existe",IF(AND(I965="Pago tarjeta",IFERROR(INDEX(ctaTipo,MATCH(G965,ctaNom,0)),"")&lt;&gt;"Tarjeta de crédito"),"⚠ «Hacia» debe ser la tarjeta",IF(AND(I965="Trading",IFERROR(INDEX(ctaTipo,MATCH(E965,ctaNom,0)),"")&lt;&gt;"Cuenta de trading"),"⚠ Usa la cuenta de trading","✓"))))))))))))</f>
        <v/>
      </c>
      <c r="I965" s="19">
        <f>IF(OR(B965="",C965="",D965=""),"",IFERROR(INDEX(catTipo,MATCH(D965,catNom,0))&amp;"",""))</f>
        <v/>
      </c>
      <c r="J965" s="19">
        <f>IF(I965="","",IFERROR(INDEX(catGrupo,MATCH(D965,catNom,0))&amp;"",""))</f>
        <v/>
      </c>
      <c r="K965" s="19">
        <f>IF(I965="Gasto",IF(IFERROR(INDEX(catClas,MATCH(D965,catNom,0))&amp;"","")="","Variable",IFERROR(INDEX(catClas,MATCH(D965,catNom,0))&amp;"","")),"")</f>
        <v/>
      </c>
      <c r="L965" s="19">
        <f>IF(I965="","",IFERROR(INDEX(catAlim,MATCH(D965,catNom,0))&amp;"",""))</f>
        <v/>
      </c>
      <c r="M965" s="19">
        <f>IF(I965="","",IFERROR(INDEX(catComida,MATCH(D965,catNom,0))&amp;"",""))</f>
        <v/>
      </c>
      <c r="N965" s="19">
        <f>IF(I965="","",IFERROR(INDEX(ctaMon,MATCH(E965,ctaNom,0))&amp;"","DOP"))</f>
        <v/>
      </c>
      <c r="O965" s="20">
        <f>IF(I965="","",C965*IF(N965="USD",TasaUSD,1))</f>
        <v/>
      </c>
      <c r="P965" s="20">
        <f>IF(I965="","",IF(I965="Gasto",O965,0))</f>
        <v/>
      </c>
      <c r="Q965" s="20">
        <f>IF(I965="","",IF(I965="Ingreso",O965,0))</f>
        <v/>
      </c>
      <c r="R965" s="20">
        <f>IF(I965="","",IF(I965="Trading",O965,0))</f>
        <v/>
      </c>
      <c r="S965" s="19">
        <f>IF(I965="","",IF(AND(I965="Gasto",K965="Variable",J965&lt;&gt;"Trading",O965&gt;0,O965&lt;=Umbral),1,0))</f>
        <v/>
      </c>
      <c r="T965" s="20">
        <f>IF(OR(I965="",E965=""),"",IF(OR(I965="Gasto",I965="Transferencia",I965="Pago tarjeta"),-1,1)*C965)</f>
        <v/>
      </c>
      <c r="U965" s="20">
        <f>IF(OR(G965="",AND(I965&lt;&gt;"Transferencia",I965&lt;&gt;"Pago tarjeta")),"",IF(IFERROR(INDEX(ctaMon,MATCH(G965,ctaNom,0))&amp;"","DOP")=N965,C965,IF(N965="USD",C965*TasaUSD,C965/TasaUSD)))</f>
        <v/>
      </c>
      <c r="V965" s="20">
        <f>IF(I965="","",IF(IFERROR(INDEX(ctaLiq,MATCH(E965,ctaNom,0))="Sí",FALSE),IF(OR(I965="Gasto",I965="Transferencia",I965="Pago tarjeta"),-1,1)*O965,0)+IF(AND(U965&lt;&gt;"",IFERROR(INDEX(ctaLiq,MATCH(G965,ctaNom,0))="Sí",FALSE)),O965,0))</f>
        <v/>
      </c>
      <c r="W965" s="19">
        <f>IF(OR(F965="",I965=""),"",IF(COUNTIFS(F$6:F965,F965,I$6:I965,"?*")=1,MAX(W$5:W964)+1,""))</f>
        <v/>
      </c>
    </row>
    <row r="966">
      <c r="B966" s="15" t="n"/>
      <c r="C966" s="16" t="n"/>
      <c r="D966" s="17" t="n"/>
      <c r="E966" s="17" t="n"/>
      <c r="F966" s="17" t="n"/>
      <c r="G966" s="17" t="n"/>
      <c r="H966" s="18">
        <f>IF(AND(B966="",C966="",D966="",E966=""),"",IF(B966="","⚠ Falta fecha",IF(C966="","⚠ Falta monto",IF(D966="","⚠ Falta categoría",IF(ISNA(MATCH(D966,catNom,0)),"⚠ Categoría no existe",IF(E966="","⚠ Falta cuenta",IF(ISNA(MATCH(E966,ctaNom,0)),"⚠ Cuenta no existe",IF(AND(OR(I966="Transferencia",I966="Pago tarjeta"),G966=""),"⚠ Indica la cuenta «Hacia»",IF(AND(G966&lt;&gt;"",G966=E966),"⚠ «Hacia» igual a la cuenta",IF(AND(G966&lt;&gt;"",ISNA(MATCH(G966,ctaNom,0))),"⚠ «Hacia» no existe",IF(AND(I966="Pago tarjeta",IFERROR(INDEX(ctaTipo,MATCH(G966,ctaNom,0)),"")&lt;&gt;"Tarjeta de crédito"),"⚠ «Hacia» debe ser la tarjeta",IF(AND(I966="Trading",IFERROR(INDEX(ctaTipo,MATCH(E966,ctaNom,0)),"")&lt;&gt;"Cuenta de trading"),"⚠ Usa la cuenta de trading","✓"))))))))))))</f>
        <v/>
      </c>
      <c r="I966" s="19">
        <f>IF(OR(B966="",C966="",D966=""),"",IFERROR(INDEX(catTipo,MATCH(D966,catNom,0))&amp;"",""))</f>
        <v/>
      </c>
      <c r="J966" s="19">
        <f>IF(I966="","",IFERROR(INDEX(catGrupo,MATCH(D966,catNom,0))&amp;"",""))</f>
        <v/>
      </c>
      <c r="K966" s="19">
        <f>IF(I966="Gasto",IF(IFERROR(INDEX(catClas,MATCH(D966,catNom,0))&amp;"","")="","Variable",IFERROR(INDEX(catClas,MATCH(D966,catNom,0))&amp;"","")),"")</f>
        <v/>
      </c>
      <c r="L966" s="19">
        <f>IF(I966="","",IFERROR(INDEX(catAlim,MATCH(D966,catNom,0))&amp;"",""))</f>
        <v/>
      </c>
      <c r="M966" s="19">
        <f>IF(I966="","",IFERROR(INDEX(catComida,MATCH(D966,catNom,0))&amp;"",""))</f>
        <v/>
      </c>
      <c r="N966" s="19">
        <f>IF(I966="","",IFERROR(INDEX(ctaMon,MATCH(E966,ctaNom,0))&amp;"","DOP"))</f>
        <v/>
      </c>
      <c r="O966" s="20">
        <f>IF(I966="","",C966*IF(N966="USD",TasaUSD,1))</f>
        <v/>
      </c>
      <c r="P966" s="20">
        <f>IF(I966="","",IF(I966="Gasto",O966,0))</f>
        <v/>
      </c>
      <c r="Q966" s="20">
        <f>IF(I966="","",IF(I966="Ingreso",O966,0))</f>
        <v/>
      </c>
      <c r="R966" s="20">
        <f>IF(I966="","",IF(I966="Trading",O966,0))</f>
        <v/>
      </c>
      <c r="S966" s="19">
        <f>IF(I966="","",IF(AND(I966="Gasto",K966="Variable",J966&lt;&gt;"Trading",O966&gt;0,O966&lt;=Umbral),1,0))</f>
        <v/>
      </c>
      <c r="T966" s="20">
        <f>IF(OR(I966="",E966=""),"",IF(OR(I966="Gasto",I966="Transferencia",I966="Pago tarjeta"),-1,1)*C966)</f>
        <v/>
      </c>
      <c r="U966" s="20">
        <f>IF(OR(G966="",AND(I966&lt;&gt;"Transferencia",I966&lt;&gt;"Pago tarjeta")),"",IF(IFERROR(INDEX(ctaMon,MATCH(G966,ctaNom,0))&amp;"","DOP")=N966,C966,IF(N966="USD",C966*TasaUSD,C966/TasaUSD)))</f>
        <v/>
      </c>
      <c r="V966" s="20">
        <f>IF(I966="","",IF(IFERROR(INDEX(ctaLiq,MATCH(E966,ctaNom,0))="Sí",FALSE),IF(OR(I966="Gasto",I966="Transferencia",I966="Pago tarjeta"),-1,1)*O966,0)+IF(AND(U966&lt;&gt;"",IFERROR(INDEX(ctaLiq,MATCH(G966,ctaNom,0))="Sí",FALSE)),O966,0))</f>
        <v/>
      </c>
      <c r="W966" s="19">
        <f>IF(OR(F966="",I966=""),"",IF(COUNTIFS(F$6:F966,F966,I$6:I966,"?*")=1,MAX(W$5:W965)+1,""))</f>
        <v/>
      </c>
    </row>
    <row r="967">
      <c r="B967" s="15" t="n"/>
      <c r="C967" s="16" t="n"/>
      <c r="D967" s="17" t="n"/>
      <c r="E967" s="17" t="n"/>
      <c r="F967" s="17" t="n"/>
      <c r="G967" s="17" t="n"/>
      <c r="H967" s="18">
        <f>IF(AND(B967="",C967="",D967="",E967=""),"",IF(B967="","⚠ Falta fecha",IF(C967="","⚠ Falta monto",IF(D967="","⚠ Falta categoría",IF(ISNA(MATCH(D967,catNom,0)),"⚠ Categoría no existe",IF(E967="","⚠ Falta cuenta",IF(ISNA(MATCH(E967,ctaNom,0)),"⚠ Cuenta no existe",IF(AND(OR(I967="Transferencia",I967="Pago tarjeta"),G967=""),"⚠ Indica la cuenta «Hacia»",IF(AND(G967&lt;&gt;"",G967=E967),"⚠ «Hacia» igual a la cuenta",IF(AND(G967&lt;&gt;"",ISNA(MATCH(G967,ctaNom,0))),"⚠ «Hacia» no existe",IF(AND(I967="Pago tarjeta",IFERROR(INDEX(ctaTipo,MATCH(G967,ctaNom,0)),"")&lt;&gt;"Tarjeta de crédito"),"⚠ «Hacia» debe ser la tarjeta",IF(AND(I967="Trading",IFERROR(INDEX(ctaTipo,MATCH(E967,ctaNom,0)),"")&lt;&gt;"Cuenta de trading"),"⚠ Usa la cuenta de trading","✓"))))))))))))</f>
        <v/>
      </c>
      <c r="I967" s="19">
        <f>IF(OR(B967="",C967="",D967=""),"",IFERROR(INDEX(catTipo,MATCH(D967,catNom,0))&amp;"",""))</f>
        <v/>
      </c>
      <c r="J967" s="19">
        <f>IF(I967="","",IFERROR(INDEX(catGrupo,MATCH(D967,catNom,0))&amp;"",""))</f>
        <v/>
      </c>
      <c r="K967" s="19">
        <f>IF(I967="Gasto",IF(IFERROR(INDEX(catClas,MATCH(D967,catNom,0))&amp;"","")="","Variable",IFERROR(INDEX(catClas,MATCH(D967,catNom,0))&amp;"","")),"")</f>
        <v/>
      </c>
      <c r="L967" s="19">
        <f>IF(I967="","",IFERROR(INDEX(catAlim,MATCH(D967,catNom,0))&amp;"",""))</f>
        <v/>
      </c>
      <c r="M967" s="19">
        <f>IF(I967="","",IFERROR(INDEX(catComida,MATCH(D967,catNom,0))&amp;"",""))</f>
        <v/>
      </c>
      <c r="N967" s="19">
        <f>IF(I967="","",IFERROR(INDEX(ctaMon,MATCH(E967,ctaNom,0))&amp;"","DOP"))</f>
        <v/>
      </c>
      <c r="O967" s="20">
        <f>IF(I967="","",C967*IF(N967="USD",TasaUSD,1))</f>
        <v/>
      </c>
      <c r="P967" s="20">
        <f>IF(I967="","",IF(I967="Gasto",O967,0))</f>
        <v/>
      </c>
      <c r="Q967" s="20">
        <f>IF(I967="","",IF(I967="Ingreso",O967,0))</f>
        <v/>
      </c>
      <c r="R967" s="20">
        <f>IF(I967="","",IF(I967="Trading",O967,0))</f>
        <v/>
      </c>
      <c r="S967" s="19">
        <f>IF(I967="","",IF(AND(I967="Gasto",K967="Variable",J967&lt;&gt;"Trading",O967&gt;0,O967&lt;=Umbral),1,0))</f>
        <v/>
      </c>
      <c r="T967" s="20">
        <f>IF(OR(I967="",E967=""),"",IF(OR(I967="Gasto",I967="Transferencia",I967="Pago tarjeta"),-1,1)*C967)</f>
        <v/>
      </c>
      <c r="U967" s="20">
        <f>IF(OR(G967="",AND(I967&lt;&gt;"Transferencia",I967&lt;&gt;"Pago tarjeta")),"",IF(IFERROR(INDEX(ctaMon,MATCH(G967,ctaNom,0))&amp;"","DOP")=N967,C967,IF(N967="USD",C967*TasaUSD,C967/TasaUSD)))</f>
        <v/>
      </c>
      <c r="V967" s="20">
        <f>IF(I967="","",IF(IFERROR(INDEX(ctaLiq,MATCH(E967,ctaNom,0))="Sí",FALSE),IF(OR(I967="Gasto",I967="Transferencia",I967="Pago tarjeta"),-1,1)*O967,0)+IF(AND(U967&lt;&gt;"",IFERROR(INDEX(ctaLiq,MATCH(G967,ctaNom,0))="Sí",FALSE)),O967,0))</f>
        <v/>
      </c>
      <c r="W967" s="19">
        <f>IF(OR(F967="",I967=""),"",IF(COUNTIFS(F$6:F967,F967,I$6:I967,"?*")=1,MAX(W$5:W966)+1,""))</f>
        <v/>
      </c>
    </row>
    <row r="968">
      <c r="B968" s="15" t="n"/>
      <c r="C968" s="16" t="n"/>
      <c r="D968" s="17" t="n"/>
      <c r="E968" s="17" t="n"/>
      <c r="F968" s="17" t="n"/>
      <c r="G968" s="17" t="n"/>
      <c r="H968" s="18">
        <f>IF(AND(B968="",C968="",D968="",E968=""),"",IF(B968="","⚠ Falta fecha",IF(C968="","⚠ Falta monto",IF(D968="","⚠ Falta categoría",IF(ISNA(MATCH(D968,catNom,0)),"⚠ Categoría no existe",IF(E968="","⚠ Falta cuenta",IF(ISNA(MATCH(E968,ctaNom,0)),"⚠ Cuenta no existe",IF(AND(OR(I968="Transferencia",I968="Pago tarjeta"),G968=""),"⚠ Indica la cuenta «Hacia»",IF(AND(G968&lt;&gt;"",G968=E968),"⚠ «Hacia» igual a la cuenta",IF(AND(G968&lt;&gt;"",ISNA(MATCH(G968,ctaNom,0))),"⚠ «Hacia» no existe",IF(AND(I968="Pago tarjeta",IFERROR(INDEX(ctaTipo,MATCH(G968,ctaNom,0)),"")&lt;&gt;"Tarjeta de crédito"),"⚠ «Hacia» debe ser la tarjeta",IF(AND(I968="Trading",IFERROR(INDEX(ctaTipo,MATCH(E968,ctaNom,0)),"")&lt;&gt;"Cuenta de trading"),"⚠ Usa la cuenta de trading","✓"))))))))))))</f>
        <v/>
      </c>
      <c r="I968" s="19">
        <f>IF(OR(B968="",C968="",D968=""),"",IFERROR(INDEX(catTipo,MATCH(D968,catNom,0))&amp;"",""))</f>
        <v/>
      </c>
      <c r="J968" s="19">
        <f>IF(I968="","",IFERROR(INDEX(catGrupo,MATCH(D968,catNom,0))&amp;"",""))</f>
        <v/>
      </c>
      <c r="K968" s="19">
        <f>IF(I968="Gasto",IF(IFERROR(INDEX(catClas,MATCH(D968,catNom,0))&amp;"","")="","Variable",IFERROR(INDEX(catClas,MATCH(D968,catNom,0))&amp;"","")),"")</f>
        <v/>
      </c>
      <c r="L968" s="19">
        <f>IF(I968="","",IFERROR(INDEX(catAlim,MATCH(D968,catNom,0))&amp;"",""))</f>
        <v/>
      </c>
      <c r="M968" s="19">
        <f>IF(I968="","",IFERROR(INDEX(catComida,MATCH(D968,catNom,0))&amp;"",""))</f>
        <v/>
      </c>
      <c r="N968" s="19">
        <f>IF(I968="","",IFERROR(INDEX(ctaMon,MATCH(E968,ctaNom,0))&amp;"","DOP"))</f>
        <v/>
      </c>
      <c r="O968" s="20">
        <f>IF(I968="","",C968*IF(N968="USD",TasaUSD,1))</f>
        <v/>
      </c>
      <c r="P968" s="20">
        <f>IF(I968="","",IF(I968="Gasto",O968,0))</f>
        <v/>
      </c>
      <c r="Q968" s="20">
        <f>IF(I968="","",IF(I968="Ingreso",O968,0))</f>
        <v/>
      </c>
      <c r="R968" s="20">
        <f>IF(I968="","",IF(I968="Trading",O968,0))</f>
        <v/>
      </c>
      <c r="S968" s="19">
        <f>IF(I968="","",IF(AND(I968="Gasto",K968="Variable",J968&lt;&gt;"Trading",O968&gt;0,O968&lt;=Umbral),1,0))</f>
        <v/>
      </c>
      <c r="T968" s="20">
        <f>IF(OR(I968="",E968=""),"",IF(OR(I968="Gasto",I968="Transferencia",I968="Pago tarjeta"),-1,1)*C968)</f>
        <v/>
      </c>
      <c r="U968" s="20">
        <f>IF(OR(G968="",AND(I968&lt;&gt;"Transferencia",I968&lt;&gt;"Pago tarjeta")),"",IF(IFERROR(INDEX(ctaMon,MATCH(G968,ctaNom,0))&amp;"","DOP")=N968,C968,IF(N968="USD",C968*TasaUSD,C968/TasaUSD)))</f>
        <v/>
      </c>
      <c r="V968" s="20">
        <f>IF(I968="","",IF(IFERROR(INDEX(ctaLiq,MATCH(E968,ctaNom,0))="Sí",FALSE),IF(OR(I968="Gasto",I968="Transferencia",I968="Pago tarjeta"),-1,1)*O968,0)+IF(AND(U968&lt;&gt;"",IFERROR(INDEX(ctaLiq,MATCH(G968,ctaNom,0))="Sí",FALSE)),O968,0))</f>
        <v/>
      </c>
      <c r="W968" s="19">
        <f>IF(OR(F968="",I968=""),"",IF(COUNTIFS(F$6:F968,F968,I$6:I968,"?*")=1,MAX(W$5:W967)+1,""))</f>
        <v/>
      </c>
    </row>
    <row r="969">
      <c r="B969" s="15" t="n"/>
      <c r="C969" s="16" t="n"/>
      <c r="D969" s="17" t="n"/>
      <c r="E969" s="17" t="n"/>
      <c r="F969" s="17" t="n"/>
      <c r="G969" s="17" t="n"/>
      <c r="H969" s="18">
        <f>IF(AND(B969="",C969="",D969="",E969=""),"",IF(B969="","⚠ Falta fecha",IF(C969="","⚠ Falta monto",IF(D969="","⚠ Falta categoría",IF(ISNA(MATCH(D969,catNom,0)),"⚠ Categoría no existe",IF(E969="","⚠ Falta cuenta",IF(ISNA(MATCH(E969,ctaNom,0)),"⚠ Cuenta no existe",IF(AND(OR(I969="Transferencia",I969="Pago tarjeta"),G969=""),"⚠ Indica la cuenta «Hacia»",IF(AND(G969&lt;&gt;"",G969=E969),"⚠ «Hacia» igual a la cuenta",IF(AND(G969&lt;&gt;"",ISNA(MATCH(G969,ctaNom,0))),"⚠ «Hacia» no existe",IF(AND(I969="Pago tarjeta",IFERROR(INDEX(ctaTipo,MATCH(G969,ctaNom,0)),"")&lt;&gt;"Tarjeta de crédito"),"⚠ «Hacia» debe ser la tarjeta",IF(AND(I969="Trading",IFERROR(INDEX(ctaTipo,MATCH(E969,ctaNom,0)),"")&lt;&gt;"Cuenta de trading"),"⚠ Usa la cuenta de trading","✓"))))))))))))</f>
        <v/>
      </c>
      <c r="I969" s="19">
        <f>IF(OR(B969="",C969="",D969=""),"",IFERROR(INDEX(catTipo,MATCH(D969,catNom,0))&amp;"",""))</f>
        <v/>
      </c>
      <c r="J969" s="19">
        <f>IF(I969="","",IFERROR(INDEX(catGrupo,MATCH(D969,catNom,0))&amp;"",""))</f>
        <v/>
      </c>
      <c r="K969" s="19">
        <f>IF(I969="Gasto",IF(IFERROR(INDEX(catClas,MATCH(D969,catNom,0))&amp;"","")="","Variable",IFERROR(INDEX(catClas,MATCH(D969,catNom,0))&amp;"","")),"")</f>
        <v/>
      </c>
      <c r="L969" s="19">
        <f>IF(I969="","",IFERROR(INDEX(catAlim,MATCH(D969,catNom,0))&amp;"",""))</f>
        <v/>
      </c>
      <c r="M969" s="19">
        <f>IF(I969="","",IFERROR(INDEX(catComida,MATCH(D969,catNom,0))&amp;"",""))</f>
        <v/>
      </c>
      <c r="N969" s="19">
        <f>IF(I969="","",IFERROR(INDEX(ctaMon,MATCH(E969,ctaNom,0))&amp;"","DOP"))</f>
        <v/>
      </c>
      <c r="O969" s="20">
        <f>IF(I969="","",C969*IF(N969="USD",TasaUSD,1))</f>
        <v/>
      </c>
      <c r="P969" s="20">
        <f>IF(I969="","",IF(I969="Gasto",O969,0))</f>
        <v/>
      </c>
      <c r="Q969" s="20">
        <f>IF(I969="","",IF(I969="Ingreso",O969,0))</f>
        <v/>
      </c>
      <c r="R969" s="20">
        <f>IF(I969="","",IF(I969="Trading",O969,0))</f>
        <v/>
      </c>
      <c r="S969" s="19">
        <f>IF(I969="","",IF(AND(I969="Gasto",K969="Variable",J969&lt;&gt;"Trading",O969&gt;0,O969&lt;=Umbral),1,0))</f>
        <v/>
      </c>
      <c r="T969" s="20">
        <f>IF(OR(I969="",E969=""),"",IF(OR(I969="Gasto",I969="Transferencia",I969="Pago tarjeta"),-1,1)*C969)</f>
        <v/>
      </c>
      <c r="U969" s="20">
        <f>IF(OR(G969="",AND(I969&lt;&gt;"Transferencia",I969&lt;&gt;"Pago tarjeta")),"",IF(IFERROR(INDEX(ctaMon,MATCH(G969,ctaNom,0))&amp;"","DOP")=N969,C969,IF(N969="USD",C969*TasaUSD,C969/TasaUSD)))</f>
        <v/>
      </c>
      <c r="V969" s="20">
        <f>IF(I969="","",IF(IFERROR(INDEX(ctaLiq,MATCH(E969,ctaNom,0))="Sí",FALSE),IF(OR(I969="Gasto",I969="Transferencia",I969="Pago tarjeta"),-1,1)*O969,0)+IF(AND(U969&lt;&gt;"",IFERROR(INDEX(ctaLiq,MATCH(G969,ctaNom,0))="Sí",FALSE)),O969,0))</f>
        <v/>
      </c>
      <c r="W969" s="19">
        <f>IF(OR(F969="",I969=""),"",IF(COUNTIFS(F$6:F969,F969,I$6:I969,"?*")=1,MAX(W$5:W968)+1,""))</f>
        <v/>
      </c>
    </row>
    <row r="970">
      <c r="B970" s="15" t="n"/>
      <c r="C970" s="16" t="n"/>
      <c r="D970" s="17" t="n"/>
      <c r="E970" s="17" t="n"/>
      <c r="F970" s="17" t="n"/>
      <c r="G970" s="17" t="n"/>
      <c r="H970" s="18">
        <f>IF(AND(B970="",C970="",D970="",E970=""),"",IF(B970="","⚠ Falta fecha",IF(C970="","⚠ Falta monto",IF(D970="","⚠ Falta categoría",IF(ISNA(MATCH(D970,catNom,0)),"⚠ Categoría no existe",IF(E970="","⚠ Falta cuenta",IF(ISNA(MATCH(E970,ctaNom,0)),"⚠ Cuenta no existe",IF(AND(OR(I970="Transferencia",I970="Pago tarjeta"),G970=""),"⚠ Indica la cuenta «Hacia»",IF(AND(G970&lt;&gt;"",G970=E970),"⚠ «Hacia» igual a la cuenta",IF(AND(G970&lt;&gt;"",ISNA(MATCH(G970,ctaNom,0))),"⚠ «Hacia» no existe",IF(AND(I970="Pago tarjeta",IFERROR(INDEX(ctaTipo,MATCH(G970,ctaNom,0)),"")&lt;&gt;"Tarjeta de crédito"),"⚠ «Hacia» debe ser la tarjeta",IF(AND(I970="Trading",IFERROR(INDEX(ctaTipo,MATCH(E970,ctaNom,0)),"")&lt;&gt;"Cuenta de trading"),"⚠ Usa la cuenta de trading","✓"))))))))))))</f>
        <v/>
      </c>
      <c r="I970" s="19">
        <f>IF(OR(B970="",C970="",D970=""),"",IFERROR(INDEX(catTipo,MATCH(D970,catNom,0))&amp;"",""))</f>
        <v/>
      </c>
      <c r="J970" s="19">
        <f>IF(I970="","",IFERROR(INDEX(catGrupo,MATCH(D970,catNom,0))&amp;"",""))</f>
        <v/>
      </c>
      <c r="K970" s="19">
        <f>IF(I970="Gasto",IF(IFERROR(INDEX(catClas,MATCH(D970,catNom,0))&amp;"","")="","Variable",IFERROR(INDEX(catClas,MATCH(D970,catNom,0))&amp;"","")),"")</f>
        <v/>
      </c>
      <c r="L970" s="19">
        <f>IF(I970="","",IFERROR(INDEX(catAlim,MATCH(D970,catNom,0))&amp;"",""))</f>
        <v/>
      </c>
      <c r="M970" s="19">
        <f>IF(I970="","",IFERROR(INDEX(catComida,MATCH(D970,catNom,0))&amp;"",""))</f>
        <v/>
      </c>
      <c r="N970" s="19">
        <f>IF(I970="","",IFERROR(INDEX(ctaMon,MATCH(E970,ctaNom,0))&amp;"","DOP"))</f>
        <v/>
      </c>
      <c r="O970" s="20">
        <f>IF(I970="","",C970*IF(N970="USD",TasaUSD,1))</f>
        <v/>
      </c>
      <c r="P970" s="20">
        <f>IF(I970="","",IF(I970="Gasto",O970,0))</f>
        <v/>
      </c>
      <c r="Q970" s="20">
        <f>IF(I970="","",IF(I970="Ingreso",O970,0))</f>
        <v/>
      </c>
      <c r="R970" s="20">
        <f>IF(I970="","",IF(I970="Trading",O970,0))</f>
        <v/>
      </c>
      <c r="S970" s="19">
        <f>IF(I970="","",IF(AND(I970="Gasto",K970="Variable",J970&lt;&gt;"Trading",O970&gt;0,O970&lt;=Umbral),1,0))</f>
        <v/>
      </c>
      <c r="T970" s="20">
        <f>IF(OR(I970="",E970=""),"",IF(OR(I970="Gasto",I970="Transferencia",I970="Pago tarjeta"),-1,1)*C970)</f>
        <v/>
      </c>
      <c r="U970" s="20">
        <f>IF(OR(G970="",AND(I970&lt;&gt;"Transferencia",I970&lt;&gt;"Pago tarjeta")),"",IF(IFERROR(INDEX(ctaMon,MATCH(G970,ctaNom,0))&amp;"","DOP")=N970,C970,IF(N970="USD",C970*TasaUSD,C970/TasaUSD)))</f>
        <v/>
      </c>
      <c r="V970" s="20">
        <f>IF(I970="","",IF(IFERROR(INDEX(ctaLiq,MATCH(E970,ctaNom,0))="Sí",FALSE),IF(OR(I970="Gasto",I970="Transferencia",I970="Pago tarjeta"),-1,1)*O970,0)+IF(AND(U970&lt;&gt;"",IFERROR(INDEX(ctaLiq,MATCH(G970,ctaNom,0))="Sí",FALSE)),O970,0))</f>
        <v/>
      </c>
      <c r="W970" s="19">
        <f>IF(OR(F970="",I970=""),"",IF(COUNTIFS(F$6:F970,F970,I$6:I970,"?*")=1,MAX(W$5:W969)+1,""))</f>
        <v/>
      </c>
    </row>
    <row r="971">
      <c r="B971" s="15" t="n"/>
      <c r="C971" s="16" t="n"/>
      <c r="D971" s="17" t="n"/>
      <c r="E971" s="17" t="n"/>
      <c r="F971" s="17" t="n"/>
      <c r="G971" s="17" t="n"/>
      <c r="H971" s="18">
        <f>IF(AND(B971="",C971="",D971="",E971=""),"",IF(B971="","⚠ Falta fecha",IF(C971="","⚠ Falta monto",IF(D971="","⚠ Falta categoría",IF(ISNA(MATCH(D971,catNom,0)),"⚠ Categoría no existe",IF(E971="","⚠ Falta cuenta",IF(ISNA(MATCH(E971,ctaNom,0)),"⚠ Cuenta no existe",IF(AND(OR(I971="Transferencia",I971="Pago tarjeta"),G971=""),"⚠ Indica la cuenta «Hacia»",IF(AND(G971&lt;&gt;"",G971=E971),"⚠ «Hacia» igual a la cuenta",IF(AND(G971&lt;&gt;"",ISNA(MATCH(G971,ctaNom,0))),"⚠ «Hacia» no existe",IF(AND(I971="Pago tarjeta",IFERROR(INDEX(ctaTipo,MATCH(G971,ctaNom,0)),"")&lt;&gt;"Tarjeta de crédito"),"⚠ «Hacia» debe ser la tarjeta",IF(AND(I971="Trading",IFERROR(INDEX(ctaTipo,MATCH(E971,ctaNom,0)),"")&lt;&gt;"Cuenta de trading"),"⚠ Usa la cuenta de trading","✓"))))))))))))</f>
        <v/>
      </c>
      <c r="I971" s="19">
        <f>IF(OR(B971="",C971="",D971=""),"",IFERROR(INDEX(catTipo,MATCH(D971,catNom,0))&amp;"",""))</f>
        <v/>
      </c>
      <c r="J971" s="19">
        <f>IF(I971="","",IFERROR(INDEX(catGrupo,MATCH(D971,catNom,0))&amp;"",""))</f>
        <v/>
      </c>
      <c r="K971" s="19">
        <f>IF(I971="Gasto",IF(IFERROR(INDEX(catClas,MATCH(D971,catNom,0))&amp;"","")="","Variable",IFERROR(INDEX(catClas,MATCH(D971,catNom,0))&amp;"","")),"")</f>
        <v/>
      </c>
      <c r="L971" s="19">
        <f>IF(I971="","",IFERROR(INDEX(catAlim,MATCH(D971,catNom,0))&amp;"",""))</f>
        <v/>
      </c>
      <c r="M971" s="19">
        <f>IF(I971="","",IFERROR(INDEX(catComida,MATCH(D971,catNom,0))&amp;"",""))</f>
        <v/>
      </c>
      <c r="N971" s="19">
        <f>IF(I971="","",IFERROR(INDEX(ctaMon,MATCH(E971,ctaNom,0))&amp;"","DOP"))</f>
        <v/>
      </c>
      <c r="O971" s="20">
        <f>IF(I971="","",C971*IF(N971="USD",TasaUSD,1))</f>
        <v/>
      </c>
      <c r="P971" s="20">
        <f>IF(I971="","",IF(I971="Gasto",O971,0))</f>
        <v/>
      </c>
      <c r="Q971" s="20">
        <f>IF(I971="","",IF(I971="Ingreso",O971,0))</f>
        <v/>
      </c>
      <c r="R971" s="20">
        <f>IF(I971="","",IF(I971="Trading",O971,0))</f>
        <v/>
      </c>
      <c r="S971" s="19">
        <f>IF(I971="","",IF(AND(I971="Gasto",K971="Variable",J971&lt;&gt;"Trading",O971&gt;0,O971&lt;=Umbral),1,0))</f>
        <v/>
      </c>
      <c r="T971" s="20">
        <f>IF(OR(I971="",E971=""),"",IF(OR(I971="Gasto",I971="Transferencia",I971="Pago tarjeta"),-1,1)*C971)</f>
        <v/>
      </c>
      <c r="U971" s="20">
        <f>IF(OR(G971="",AND(I971&lt;&gt;"Transferencia",I971&lt;&gt;"Pago tarjeta")),"",IF(IFERROR(INDEX(ctaMon,MATCH(G971,ctaNom,0))&amp;"","DOP")=N971,C971,IF(N971="USD",C971*TasaUSD,C971/TasaUSD)))</f>
        <v/>
      </c>
      <c r="V971" s="20">
        <f>IF(I971="","",IF(IFERROR(INDEX(ctaLiq,MATCH(E971,ctaNom,0))="Sí",FALSE),IF(OR(I971="Gasto",I971="Transferencia",I971="Pago tarjeta"),-1,1)*O971,0)+IF(AND(U971&lt;&gt;"",IFERROR(INDEX(ctaLiq,MATCH(G971,ctaNom,0))="Sí",FALSE)),O971,0))</f>
        <v/>
      </c>
      <c r="W971" s="19">
        <f>IF(OR(F971="",I971=""),"",IF(COUNTIFS(F$6:F971,F971,I$6:I971,"?*")=1,MAX(W$5:W970)+1,""))</f>
        <v/>
      </c>
    </row>
    <row r="972">
      <c r="B972" s="15" t="n"/>
      <c r="C972" s="16" t="n"/>
      <c r="D972" s="17" t="n"/>
      <c r="E972" s="17" t="n"/>
      <c r="F972" s="17" t="n"/>
      <c r="G972" s="17" t="n"/>
      <c r="H972" s="18">
        <f>IF(AND(B972="",C972="",D972="",E972=""),"",IF(B972="","⚠ Falta fecha",IF(C972="","⚠ Falta monto",IF(D972="","⚠ Falta categoría",IF(ISNA(MATCH(D972,catNom,0)),"⚠ Categoría no existe",IF(E972="","⚠ Falta cuenta",IF(ISNA(MATCH(E972,ctaNom,0)),"⚠ Cuenta no existe",IF(AND(OR(I972="Transferencia",I972="Pago tarjeta"),G972=""),"⚠ Indica la cuenta «Hacia»",IF(AND(G972&lt;&gt;"",G972=E972),"⚠ «Hacia» igual a la cuenta",IF(AND(G972&lt;&gt;"",ISNA(MATCH(G972,ctaNom,0))),"⚠ «Hacia» no existe",IF(AND(I972="Pago tarjeta",IFERROR(INDEX(ctaTipo,MATCH(G972,ctaNom,0)),"")&lt;&gt;"Tarjeta de crédito"),"⚠ «Hacia» debe ser la tarjeta",IF(AND(I972="Trading",IFERROR(INDEX(ctaTipo,MATCH(E972,ctaNom,0)),"")&lt;&gt;"Cuenta de trading"),"⚠ Usa la cuenta de trading","✓"))))))))))))</f>
        <v/>
      </c>
      <c r="I972" s="19">
        <f>IF(OR(B972="",C972="",D972=""),"",IFERROR(INDEX(catTipo,MATCH(D972,catNom,0))&amp;"",""))</f>
        <v/>
      </c>
      <c r="J972" s="19">
        <f>IF(I972="","",IFERROR(INDEX(catGrupo,MATCH(D972,catNom,0))&amp;"",""))</f>
        <v/>
      </c>
      <c r="K972" s="19">
        <f>IF(I972="Gasto",IF(IFERROR(INDEX(catClas,MATCH(D972,catNom,0))&amp;"","")="","Variable",IFERROR(INDEX(catClas,MATCH(D972,catNom,0))&amp;"","")),"")</f>
        <v/>
      </c>
      <c r="L972" s="19">
        <f>IF(I972="","",IFERROR(INDEX(catAlim,MATCH(D972,catNom,0))&amp;"",""))</f>
        <v/>
      </c>
      <c r="M972" s="19">
        <f>IF(I972="","",IFERROR(INDEX(catComida,MATCH(D972,catNom,0))&amp;"",""))</f>
        <v/>
      </c>
      <c r="N972" s="19">
        <f>IF(I972="","",IFERROR(INDEX(ctaMon,MATCH(E972,ctaNom,0))&amp;"","DOP"))</f>
        <v/>
      </c>
      <c r="O972" s="20">
        <f>IF(I972="","",C972*IF(N972="USD",TasaUSD,1))</f>
        <v/>
      </c>
      <c r="P972" s="20">
        <f>IF(I972="","",IF(I972="Gasto",O972,0))</f>
        <v/>
      </c>
      <c r="Q972" s="20">
        <f>IF(I972="","",IF(I972="Ingreso",O972,0))</f>
        <v/>
      </c>
      <c r="R972" s="20">
        <f>IF(I972="","",IF(I972="Trading",O972,0))</f>
        <v/>
      </c>
      <c r="S972" s="19">
        <f>IF(I972="","",IF(AND(I972="Gasto",K972="Variable",J972&lt;&gt;"Trading",O972&gt;0,O972&lt;=Umbral),1,0))</f>
        <v/>
      </c>
      <c r="T972" s="20">
        <f>IF(OR(I972="",E972=""),"",IF(OR(I972="Gasto",I972="Transferencia",I972="Pago tarjeta"),-1,1)*C972)</f>
        <v/>
      </c>
      <c r="U972" s="20">
        <f>IF(OR(G972="",AND(I972&lt;&gt;"Transferencia",I972&lt;&gt;"Pago tarjeta")),"",IF(IFERROR(INDEX(ctaMon,MATCH(G972,ctaNom,0))&amp;"","DOP")=N972,C972,IF(N972="USD",C972*TasaUSD,C972/TasaUSD)))</f>
        <v/>
      </c>
      <c r="V972" s="20">
        <f>IF(I972="","",IF(IFERROR(INDEX(ctaLiq,MATCH(E972,ctaNom,0))="Sí",FALSE),IF(OR(I972="Gasto",I972="Transferencia",I972="Pago tarjeta"),-1,1)*O972,0)+IF(AND(U972&lt;&gt;"",IFERROR(INDEX(ctaLiq,MATCH(G972,ctaNom,0))="Sí",FALSE)),O972,0))</f>
        <v/>
      </c>
      <c r="W972" s="19">
        <f>IF(OR(F972="",I972=""),"",IF(COUNTIFS(F$6:F972,F972,I$6:I972,"?*")=1,MAX(W$5:W971)+1,""))</f>
        <v/>
      </c>
    </row>
    <row r="973">
      <c r="B973" s="15" t="n"/>
      <c r="C973" s="16" t="n"/>
      <c r="D973" s="17" t="n"/>
      <c r="E973" s="17" t="n"/>
      <c r="F973" s="17" t="n"/>
      <c r="G973" s="17" t="n"/>
      <c r="H973" s="18">
        <f>IF(AND(B973="",C973="",D973="",E973=""),"",IF(B973="","⚠ Falta fecha",IF(C973="","⚠ Falta monto",IF(D973="","⚠ Falta categoría",IF(ISNA(MATCH(D973,catNom,0)),"⚠ Categoría no existe",IF(E973="","⚠ Falta cuenta",IF(ISNA(MATCH(E973,ctaNom,0)),"⚠ Cuenta no existe",IF(AND(OR(I973="Transferencia",I973="Pago tarjeta"),G973=""),"⚠ Indica la cuenta «Hacia»",IF(AND(G973&lt;&gt;"",G973=E973),"⚠ «Hacia» igual a la cuenta",IF(AND(G973&lt;&gt;"",ISNA(MATCH(G973,ctaNom,0))),"⚠ «Hacia» no existe",IF(AND(I973="Pago tarjeta",IFERROR(INDEX(ctaTipo,MATCH(G973,ctaNom,0)),"")&lt;&gt;"Tarjeta de crédito"),"⚠ «Hacia» debe ser la tarjeta",IF(AND(I973="Trading",IFERROR(INDEX(ctaTipo,MATCH(E973,ctaNom,0)),"")&lt;&gt;"Cuenta de trading"),"⚠ Usa la cuenta de trading","✓"))))))))))))</f>
        <v/>
      </c>
      <c r="I973" s="19">
        <f>IF(OR(B973="",C973="",D973=""),"",IFERROR(INDEX(catTipo,MATCH(D973,catNom,0))&amp;"",""))</f>
        <v/>
      </c>
      <c r="J973" s="19">
        <f>IF(I973="","",IFERROR(INDEX(catGrupo,MATCH(D973,catNom,0))&amp;"",""))</f>
        <v/>
      </c>
      <c r="K973" s="19">
        <f>IF(I973="Gasto",IF(IFERROR(INDEX(catClas,MATCH(D973,catNom,0))&amp;"","")="","Variable",IFERROR(INDEX(catClas,MATCH(D973,catNom,0))&amp;"","")),"")</f>
        <v/>
      </c>
      <c r="L973" s="19">
        <f>IF(I973="","",IFERROR(INDEX(catAlim,MATCH(D973,catNom,0))&amp;"",""))</f>
        <v/>
      </c>
      <c r="M973" s="19">
        <f>IF(I973="","",IFERROR(INDEX(catComida,MATCH(D973,catNom,0))&amp;"",""))</f>
        <v/>
      </c>
      <c r="N973" s="19">
        <f>IF(I973="","",IFERROR(INDEX(ctaMon,MATCH(E973,ctaNom,0))&amp;"","DOP"))</f>
        <v/>
      </c>
      <c r="O973" s="20">
        <f>IF(I973="","",C973*IF(N973="USD",TasaUSD,1))</f>
        <v/>
      </c>
      <c r="P973" s="20">
        <f>IF(I973="","",IF(I973="Gasto",O973,0))</f>
        <v/>
      </c>
      <c r="Q973" s="20">
        <f>IF(I973="","",IF(I973="Ingreso",O973,0))</f>
        <v/>
      </c>
      <c r="R973" s="20">
        <f>IF(I973="","",IF(I973="Trading",O973,0))</f>
        <v/>
      </c>
      <c r="S973" s="19">
        <f>IF(I973="","",IF(AND(I973="Gasto",K973="Variable",J973&lt;&gt;"Trading",O973&gt;0,O973&lt;=Umbral),1,0))</f>
        <v/>
      </c>
      <c r="T973" s="20">
        <f>IF(OR(I973="",E973=""),"",IF(OR(I973="Gasto",I973="Transferencia",I973="Pago tarjeta"),-1,1)*C973)</f>
        <v/>
      </c>
      <c r="U973" s="20">
        <f>IF(OR(G973="",AND(I973&lt;&gt;"Transferencia",I973&lt;&gt;"Pago tarjeta")),"",IF(IFERROR(INDEX(ctaMon,MATCH(G973,ctaNom,0))&amp;"","DOP")=N973,C973,IF(N973="USD",C973*TasaUSD,C973/TasaUSD)))</f>
        <v/>
      </c>
      <c r="V973" s="20">
        <f>IF(I973="","",IF(IFERROR(INDEX(ctaLiq,MATCH(E973,ctaNom,0))="Sí",FALSE),IF(OR(I973="Gasto",I973="Transferencia",I973="Pago tarjeta"),-1,1)*O973,0)+IF(AND(U973&lt;&gt;"",IFERROR(INDEX(ctaLiq,MATCH(G973,ctaNom,0))="Sí",FALSE)),O973,0))</f>
        <v/>
      </c>
      <c r="W973" s="19">
        <f>IF(OR(F973="",I973=""),"",IF(COUNTIFS(F$6:F973,F973,I$6:I973,"?*")=1,MAX(W$5:W972)+1,""))</f>
        <v/>
      </c>
    </row>
    <row r="974">
      <c r="B974" s="15" t="n"/>
      <c r="C974" s="16" t="n"/>
      <c r="D974" s="17" t="n"/>
      <c r="E974" s="17" t="n"/>
      <c r="F974" s="17" t="n"/>
      <c r="G974" s="17" t="n"/>
      <c r="H974" s="18">
        <f>IF(AND(B974="",C974="",D974="",E974=""),"",IF(B974="","⚠ Falta fecha",IF(C974="","⚠ Falta monto",IF(D974="","⚠ Falta categoría",IF(ISNA(MATCH(D974,catNom,0)),"⚠ Categoría no existe",IF(E974="","⚠ Falta cuenta",IF(ISNA(MATCH(E974,ctaNom,0)),"⚠ Cuenta no existe",IF(AND(OR(I974="Transferencia",I974="Pago tarjeta"),G974=""),"⚠ Indica la cuenta «Hacia»",IF(AND(G974&lt;&gt;"",G974=E974),"⚠ «Hacia» igual a la cuenta",IF(AND(G974&lt;&gt;"",ISNA(MATCH(G974,ctaNom,0))),"⚠ «Hacia» no existe",IF(AND(I974="Pago tarjeta",IFERROR(INDEX(ctaTipo,MATCH(G974,ctaNom,0)),"")&lt;&gt;"Tarjeta de crédito"),"⚠ «Hacia» debe ser la tarjeta",IF(AND(I974="Trading",IFERROR(INDEX(ctaTipo,MATCH(E974,ctaNom,0)),"")&lt;&gt;"Cuenta de trading"),"⚠ Usa la cuenta de trading","✓"))))))))))))</f>
        <v/>
      </c>
      <c r="I974" s="19">
        <f>IF(OR(B974="",C974="",D974=""),"",IFERROR(INDEX(catTipo,MATCH(D974,catNom,0))&amp;"",""))</f>
        <v/>
      </c>
      <c r="J974" s="19">
        <f>IF(I974="","",IFERROR(INDEX(catGrupo,MATCH(D974,catNom,0))&amp;"",""))</f>
        <v/>
      </c>
      <c r="K974" s="19">
        <f>IF(I974="Gasto",IF(IFERROR(INDEX(catClas,MATCH(D974,catNom,0))&amp;"","")="","Variable",IFERROR(INDEX(catClas,MATCH(D974,catNom,0))&amp;"","")),"")</f>
        <v/>
      </c>
      <c r="L974" s="19">
        <f>IF(I974="","",IFERROR(INDEX(catAlim,MATCH(D974,catNom,0))&amp;"",""))</f>
        <v/>
      </c>
      <c r="M974" s="19">
        <f>IF(I974="","",IFERROR(INDEX(catComida,MATCH(D974,catNom,0))&amp;"",""))</f>
        <v/>
      </c>
      <c r="N974" s="19">
        <f>IF(I974="","",IFERROR(INDEX(ctaMon,MATCH(E974,ctaNom,0))&amp;"","DOP"))</f>
        <v/>
      </c>
      <c r="O974" s="20">
        <f>IF(I974="","",C974*IF(N974="USD",TasaUSD,1))</f>
        <v/>
      </c>
      <c r="P974" s="20">
        <f>IF(I974="","",IF(I974="Gasto",O974,0))</f>
        <v/>
      </c>
      <c r="Q974" s="20">
        <f>IF(I974="","",IF(I974="Ingreso",O974,0))</f>
        <v/>
      </c>
      <c r="R974" s="20">
        <f>IF(I974="","",IF(I974="Trading",O974,0))</f>
        <v/>
      </c>
      <c r="S974" s="19">
        <f>IF(I974="","",IF(AND(I974="Gasto",K974="Variable",J974&lt;&gt;"Trading",O974&gt;0,O974&lt;=Umbral),1,0))</f>
        <v/>
      </c>
      <c r="T974" s="20">
        <f>IF(OR(I974="",E974=""),"",IF(OR(I974="Gasto",I974="Transferencia",I974="Pago tarjeta"),-1,1)*C974)</f>
        <v/>
      </c>
      <c r="U974" s="20">
        <f>IF(OR(G974="",AND(I974&lt;&gt;"Transferencia",I974&lt;&gt;"Pago tarjeta")),"",IF(IFERROR(INDEX(ctaMon,MATCH(G974,ctaNom,0))&amp;"","DOP")=N974,C974,IF(N974="USD",C974*TasaUSD,C974/TasaUSD)))</f>
        <v/>
      </c>
      <c r="V974" s="20">
        <f>IF(I974="","",IF(IFERROR(INDEX(ctaLiq,MATCH(E974,ctaNom,0))="Sí",FALSE),IF(OR(I974="Gasto",I974="Transferencia",I974="Pago tarjeta"),-1,1)*O974,0)+IF(AND(U974&lt;&gt;"",IFERROR(INDEX(ctaLiq,MATCH(G974,ctaNom,0))="Sí",FALSE)),O974,0))</f>
        <v/>
      </c>
      <c r="W974" s="19">
        <f>IF(OR(F974="",I974=""),"",IF(COUNTIFS(F$6:F974,F974,I$6:I974,"?*")=1,MAX(W$5:W973)+1,""))</f>
        <v/>
      </c>
    </row>
    <row r="975">
      <c r="B975" s="15" t="n"/>
      <c r="C975" s="16" t="n"/>
      <c r="D975" s="17" t="n"/>
      <c r="E975" s="17" t="n"/>
      <c r="F975" s="17" t="n"/>
      <c r="G975" s="17" t="n"/>
      <c r="H975" s="18">
        <f>IF(AND(B975="",C975="",D975="",E975=""),"",IF(B975="","⚠ Falta fecha",IF(C975="","⚠ Falta monto",IF(D975="","⚠ Falta categoría",IF(ISNA(MATCH(D975,catNom,0)),"⚠ Categoría no existe",IF(E975="","⚠ Falta cuenta",IF(ISNA(MATCH(E975,ctaNom,0)),"⚠ Cuenta no existe",IF(AND(OR(I975="Transferencia",I975="Pago tarjeta"),G975=""),"⚠ Indica la cuenta «Hacia»",IF(AND(G975&lt;&gt;"",G975=E975),"⚠ «Hacia» igual a la cuenta",IF(AND(G975&lt;&gt;"",ISNA(MATCH(G975,ctaNom,0))),"⚠ «Hacia» no existe",IF(AND(I975="Pago tarjeta",IFERROR(INDEX(ctaTipo,MATCH(G975,ctaNom,0)),"")&lt;&gt;"Tarjeta de crédito"),"⚠ «Hacia» debe ser la tarjeta",IF(AND(I975="Trading",IFERROR(INDEX(ctaTipo,MATCH(E975,ctaNom,0)),"")&lt;&gt;"Cuenta de trading"),"⚠ Usa la cuenta de trading","✓"))))))))))))</f>
        <v/>
      </c>
      <c r="I975" s="19">
        <f>IF(OR(B975="",C975="",D975=""),"",IFERROR(INDEX(catTipo,MATCH(D975,catNom,0))&amp;"",""))</f>
        <v/>
      </c>
      <c r="J975" s="19">
        <f>IF(I975="","",IFERROR(INDEX(catGrupo,MATCH(D975,catNom,0))&amp;"",""))</f>
        <v/>
      </c>
      <c r="K975" s="19">
        <f>IF(I975="Gasto",IF(IFERROR(INDEX(catClas,MATCH(D975,catNom,0))&amp;"","")="","Variable",IFERROR(INDEX(catClas,MATCH(D975,catNom,0))&amp;"","")),"")</f>
        <v/>
      </c>
      <c r="L975" s="19">
        <f>IF(I975="","",IFERROR(INDEX(catAlim,MATCH(D975,catNom,0))&amp;"",""))</f>
        <v/>
      </c>
      <c r="M975" s="19">
        <f>IF(I975="","",IFERROR(INDEX(catComida,MATCH(D975,catNom,0))&amp;"",""))</f>
        <v/>
      </c>
      <c r="N975" s="19">
        <f>IF(I975="","",IFERROR(INDEX(ctaMon,MATCH(E975,ctaNom,0))&amp;"","DOP"))</f>
        <v/>
      </c>
      <c r="O975" s="20">
        <f>IF(I975="","",C975*IF(N975="USD",TasaUSD,1))</f>
        <v/>
      </c>
      <c r="P975" s="20">
        <f>IF(I975="","",IF(I975="Gasto",O975,0))</f>
        <v/>
      </c>
      <c r="Q975" s="20">
        <f>IF(I975="","",IF(I975="Ingreso",O975,0))</f>
        <v/>
      </c>
      <c r="R975" s="20">
        <f>IF(I975="","",IF(I975="Trading",O975,0))</f>
        <v/>
      </c>
      <c r="S975" s="19">
        <f>IF(I975="","",IF(AND(I975="Gasto",K975="Variable",J975&lt;&gt;"Trading",O975&gt;0,O975&lt;=Umbral),1,0))</f>
        <v/>
      </c>
      <c r="T975" s="20">
        <f>IF(OR(I975="",E975=""),"",IF(OR(I975="Gasto",I975="Transferencia",I975="Pago tarjeta"),-1,1)*C975)</f>
        <v/>
      </c>
      <c r="U975" s="20">
        <f>IF(OR(G975="",AND(I975&lt;&gt;"Transferencia",I975&lt;&gt;"Pago tarjeta")),"",IF(IFERROR(INDEX(ctaMon,MATCH(G975,ctaNom,0))&amp;"","DOP")=N975,C975,IF(N975="USD",C975*TasaUSD,C975/TasaUSD)))</f>
        <v/>
      </c>
      <c r="V975" s="20">
        <f>IF(I975="","",IF(IFERROR(INDEX(ctaLiq,MATCH(E975,ctaNom,0))="Sí",FALSE),IF(OR(I975="Gasto",I975="Transferencia",I975="Pago tarjeta"),-1,1)*O975,0)+IF(AND(U975&lt;&gt;"",IFERROR(INDEX(ctaLiq,MATCH(G975,ctaNom,0))="Sí",FALSE)),O975,0))</f>
        <v/>
      </c>
      <c r="W975" s="19">
        <f>IF(OR(F975="",I975=""),"",IF(COUNTIFS(F$6:F975,F975,I$6:I975,"?*")=1,MAX(W$5:W974)+1,""))</f>
        <v/>
      </c>
    </row>
    <row r="976">
      <c r="B976" s="15" t="n"/>
      <c r="C976" s="16" t="n"/>
      <c r="D976" s="17" t="n"/>
      <c r="E976" s="17" t="n"/>
      <c r="F976" s="17" t="n"/>
      <c r="G976" s="17" t="n"/>
      <c r="H976" s="18">
        <f>IF(AND(B976="",C976="",D976="",E976=""),"",IF(B976="","⚠ Falta fecha",IF(C976="","⚠ Falta monto",IF(D976="","⚠ Falta categoría",IF(ISNA(MATCH(D976,catNom,0)),"⚠ Categoría no existe",IF(E976="","⚠ Falta cuenta",IF(ISNA(MATCH(E976,ctaNom,0)),"⚠ Cuenta no existe",IF(AND(OR(I976="Transferencia",I976="Pago tarjeta"),G976=""),"⚠ Indica la cuenta «Hacia»",IF(AND(G976&lt;&gt;"",G976=E976),"⚠ «Hacia» igual a la cuenta",IF(AND(G976&lt;&gt;"",ISNA(MATCH(G976,ctaNom,0))),"⚠ «Hacia» no existe",IF(AND(I976="Pago tarjeta",IFERROR(INDEX(ctaTipo,MATCH(G976,ctaNom,0)),"")&lt;&gt;"Tarjeta de crédito"),"⚠ «Hacia» debe ser la tarjeta",IF(AND(I976="Trading",IFERROR(INDEX(ctaTipo,MATCH(E976,ctaNom,0)),"")&lt;&gt;"Cuenta de trading"),"⚠ Usa la cuenta de trading","✓"))))))))))))</f>
        <v/>
      </c>
      <c r="I976" s="19">
        <f>IF(OR(B976="",C976="",D976=""),"",IFERROR(INDEX(catTipo,MATCH(D976,catNom,0))&amp;"",""))</f>
        <v/>
      </c>
      <c r="J976" s="19">
        <f>IF(I976="","",IFERROR(INDEX(catGrupo,MATCH(D976,catNom,0))&amp;"",""))</f>
        <v/>
      </c>
      <c r="K976" s="19">
        <f>IF(I976="Gasto",IF(IFERROR(INDEX(catClas,MATCH(D976,catNom,0))&amp;"","")="","Variable",IFERROR(INDEX(catClas,MATCH(D976,catNom,0))&amp;"","")),"")</f>
        <v/>
      </c>
      <c r="L976" s="19">
        <f>IF(I976="","",IFERROR(INDEX(catAlim,MATCH(D976,catNom,0))&amp;"",""))</f>
        <v/>
      </c>
      <c r="M976" s="19">
        <f>IF(I976="","",IFERROR(INDEX(catComida,MATCH(D976,catNom,0))&amp;"",""))</f>
        <v/>
      </c>
      <c r="N976" s="19">
        <f>IF(I976="","",IFERROR(INDEX(ctaMon,MATCH(E976,ctaNom,0))&amp;"","DOP"))</f>
        <v/>
      </c>
      <c r="O976" s="20">
        <f>IF(I976="","",C976*IF(N976="USD",TasaUSD,1))</f>
        <v/>
      </c>
      <c r="P976" s="20">
        <f>IF(I976="","",IF(I976="Gasto",O976,0))</f>
        <v/>
      </c>
      <c r="Q976" s="20">
        <f>IF(I976="","",IF(I976="Ingreso",O976,0))</f>
        <v/>
      </c>
      <c r="R976" s="20">
        <f>IF(I976="","",IF(I976="Trading",O976,0))</f>
        <v/>
      </c>
      <c r="S976" s="19">
        <f>IF(I976="","",IF(AND(I976="Gasto",K976="Variable",J976&lt;&gt;"Trading",O976&gt;0,O976&lt;=Umbral),1,0))</f>
        <v/>
      </c>
      <c r="T976" s="20">
        <f>IF(OR(I976="",E976=""),"",IF(OR(I976="Gasto",I976="Transferencia",I976="Pago tarjeta"),-1,1)*C976)</f>
        <v/>
      </c>
      <c r="U976" s="20">
        <f>IF(OR(G976="",AND(I976&lt;&gt;"Transferencia",I976&lt;&gt;"Pago tarjeta")),"",IF(IFERROR(INDEX(ctaMon,MATCH(G976,ctaNom,0))&amp;"","DOP")=N976,C976,IF(N976="USD",C976*TasaUSD,C976/TasaUSD)))</f>
        <v/>
      </c>
      <c r="V976" s="20">
        <f>IF(I976="","",IF(IFERROR(INDEX(ctaLiq,MATCH(E976,ctaNom,0))="Sí",FALSE),IF(OR(I976="Gasto",I976="Transferencia",I976="Pago tarjeta"),-1,1)*O976,0)+IF(AND(U976&lt;&gt;"",IFERROR(INDEX(ctaLiq,MATCH(G976,ctaNom,0))="Sí",FALSE)),O976,0))</f>
        <v/>
      </c>
      <c r="W976" s="19">
        <f>IF(OR(F976="",I976=""),"",IF(COUNTIFS(F$6:F976,F976,I$6:I976,"?*")=1,MAX(W$5:W975)+1,""))</f>
        <v/>
      </c>
    </row>
    <row r="977">
      <c r="B977" s="15" t="n"/>
      <c r="C977" s="16" t="n"/>
      <c r="D977" s="17" t="n"/>
      <c r="E977" s="17" t="n"/>
      <c r="F977" s="17" t="n"/>
      <c r="G977" s="17" t="n"/>
      <c r="H977" s="18">
        <f>IF(AND(B977="",C977="",D977="",E977=""),"",IF(B977="","⚠ Falta fecha",IF(C977="","⚠ Falta monto",IF(D977="","⚠ Falta categoría",IF(ISNA(MATCH(D977,catNom,0)),"⚠ Categoría no existe",IF(E977="","⚠ Falta cuenta",IF(ISNA(MATCH(E977,ctaNom,0)),"⚠ Cuenta no existe",IF(AND(OR(I977="Transferencia",I977="Pago tarjeta"),G977=""),"⚠ Indica la cuenta «Hacia»",IF(AND(G977&lt;&gt;"",G977=E977),"⚠ «Hacia» igual a la cuenta",IF(AND(G977&lt;&gt;"",ISNA(MATCH(G977,ctaNom,0))),"⚠ «Hacia» no existe",IF(AND(I977="Pago tarjeta",IFERROR(INDEX(ctaTipo,MATCH(G977,ctaNom,0)),"")&lt;&gt;"Tarjeta de crédito"),"⚠ «Hacia» debe ser la tarjeta",IF(AND(I977="Trading",IFERROR(INDEX(ctaTipo,MATCH(E977,ctaNom,0)),"")&lt;&gt;"Cuenta de trading"),"⚠ Usa la cuenta de trading","✓"))))))))))))</f>
        <v/>
      </c>
      <c r="I977" s="19">
        <f>IF(OR(B977="",C977="",D977=""),"",IFERROR(INDEX(catTipo,MATCH(D977,catNom,0))&amp;"",""))</f>
        <v/>
      </c>
      <c r="J977" s="19">
        <f>IF(I977="","",IFERROR(INDEX(catGrupo,MATCH(D977,catNom,0))&amp;"",""))</f>
        <v/>
      </c>
      <c r="K977" s="19">
        <f>IF(I977="Gasto",IF(IFERROR(INDEX(catClas,MATCH(D977,catNom,0))&amp;"","")="","Variable",IFERROR(INDEX(catClas,MATCH(D977,catNom,0))&amp;"","")),"")</f>
        <v/>
      </c>
      <c r="L977" s="19">
        <f>IF(I977="","",IFERROR(INDEX(catAlim,MATCH(D977,catNom,0))&amp;"",""))</f>
        <v/>
      </c>
      <c r="M977" s="19">
        <f>IF(I977="","",IFERROR(INDEX(catComida,MATCH(D977,catNom,0))&amp;"",""))</f>
        <v/>
      </c>
      <c r="N977" s="19">
        <f>IF(I977="","",IFERROR(INDEX(ctaMon,MATCH(E977,ctaNom,0))&amp;"","DOP"))</f>
        <v/>
      </c>
      <c r="O977" s="20">
        <f>IF(I977="","",C977*IF(N977="USD",TasaUSD,1))</f>
        <v/>
      </c>
      <c r="P977" s="20">
        <f>IF(I977="","",IF(I977="Gasto",O977,0))</f>
        <v/>
      </c>
      <c r="Q977" s="20">
        <f>IF(I977="","",IF(I977="Ingreso",O977,0))</f>
        <v/>
      </c>
      <c r="R977" s="20">
        <f>IF(I977="","",IF(I977="Trading",O977,0))</f>
        <v/>
      </c>
      <c r="S977" s="19">
        <f>IF(I977="","",IF(AND(I977="Gasto",K977="Variable",J977&lt;&gt;"Trading",O977&gt;0,O977&lt;=Umbral),1,0))</f>
        <v/>
      </c>
      <c r="T977" s="20">
        <f>IF(OR(I977="",E977=""),"",IF(OR(I977="Gasto",I977="Transferencia",I977="Pago tarjeta"),-1,1)*C977)</f>
        <v/>
      </c>
      <c r="U977" s="20">
        <f>IF(OR(G977="",AND(I977&lt;&gt;"Transferencia",I977&lt;&gt;"Pago tarjeta")),"",IF(IFERROR(INDEX(ctaMon,MATCH(G977,ctaNom,0))&amp;"","DOP")=N977,C977,IF(N977="USD",C977*TasaUSD,C977/TasaUSD)))</f>
        <v/>
      </c>
      <c r="V977" s="20">
        <f>IF(I977="","",IF(IFERROR(INDEX(ctaLiq,MATCH(E977,ctaNom,0))="Sí",FALSE),IF(OR(I977="Gasto",I977="Transferencia",I977="Pago tarjeta"),-1,1)*O977,0)+IF(AND(U977&lt;&gt;"",IFERROR(INDEX(ctaLiq,MATCH(G977,ctaNom,0))="Sí",FALSE)),O977,0))</f>
        <v/>
      </c>
      <c r="W977" s="19">
        <f>IF(OR(F977="",I977=""),"",IF(COUNTIFS(F$6:F977,F977,I$6:I977,"?*")=1,MAX(W$5:W976)+1,""))</f>
        <v/>
      </c>
    </row>
    <row r="978">
      <c r="B978" s="15" t="n"/>
      <c r="C978" s="16" t="n"/>
      <c r="D978" s="17" t="n"/>
      <c r="E978" s="17" t="n"/>
      <c r="F978" s="17" t="n"/>
      <c r="G978" s="17" t="n"/>
      <c r="H978" s="18">
        <f>IF(AND(B978="",C978="",D978="",E978=""),"",IF(B978="","⚠ Falta fecha",IF(C978="","⚠ Falta monto",IF(D978="","⚠ Falta categoría",IF(ISNA(MATCH(D978,catNom,0)),"⚠ Categoría no existe",IF(E978="","⚠ Falta cuenta",IF(ISNA(MATCH(E978,ctaNom,0)),"⚠ Cuenta no existe",IF(AND(OR(I978="Transferencia",I978="Pago tarjeta"),G978=""),"⚠ Indica la cuenta «Hacia»",IF(AND(G978&lt;&gt;"",G978=E978),"⚠ «Hacia» igual a la cuenta",IF(AND(G978&lt;&gt;"",ISNA(MATCH(G978,ctaNom,0))),"⚠ «Hacia» no existe",IF(AND(I978="Pago tarjeta",IFERROR(INDEX(ctaTipo,MATCH(G978,ctaNom,0)),"")&lt;&gt;"Tarjeta de crédito"),"⚠ «Hacia» debe ser la tarjeta",IF(AND(I978="Trading",IFERROR(INDEX(ctaTipo,MATCH(E978,ctaNom,0)),"")&lt;&gt;"Cuenta de trading"),"⚠ Usa la cuenta de trading","✓"))))))))))))</f>
        <v/>
      </c>
      <c r="I978" s="19">
        <f>IF(OR(B978="",C978="",D978=""),"",IFERROR(INDEX(catTipo,MATCH(D978,catNom,0))&amp;"",""))</f>
        <v/>
      </c>
      <c r="J978" s="19">
        <f>IF(I978="","",IFERROR(INDEX(catGrupo,MATCH(D978,catNom,0))&amp;"",""))</f>
        <v/>
      </c>
      <c r="K978" s="19">
        <f>IF(I978="Gasto",IF(IFERROR(INDEX(catClas,MATCH(D978,catNom,0))&amp;"","")="","Variable",IFERROR(INDEX(catClas,MATCH(D978,catNom,0))&amp;"","")),"")</f>
        <v/>
      </c>
      <c r="L978" s="19">
        <f>IF(I978="","",IFERROR(INDEX(catAlim,MATCH(D978,catNom,0))&amp;"",""))</f>
        <v/>
      </c>
      <c r="M978" s="19">
        <f>IF(I978="","",IFERROR(INDEX(catComida,MATCH(D978,catNom,0))&amp;"",""))</f>
        <v/>
      </c>
      <c r="N978" s="19">
        <f>IF(I978="","",IFERROR(INDEX(ctaMon,MATCH(E978,ctaNom,0))&amp;"","DOP"))</f>
        <v/>
      </c>
      <c r="O978" s="20">
        <f>IF(I978="","",C978*IF(N978="USD",TasaUSD,1))</f>
        <v/>
      </c>
      <c r="P978" s="20">
        <f>IF(I978="","",IF(I978="Gasto",O978,0))</f>
        <v/>
      </c>
      <c r="Q978" s="20">
        <f>IF(I978="","",IF(I978="Ingreso",O978,0))</f>
        <v/>
      </c>
      <c r="R978" s="20">
        <f>IF(I978="","",IF(I978="Trading",O978,0))</f>
        <v/>
      </c>
      <c r="S978" s="19">
        <f>IF(I978="","",IF(AND(I978="Gasto",K978="Variable",J978&lt;&gt;"Trading",O978&gt;0,O978&lt;=Umbral),1,0))</f>
        <v/>
      </c>
      <c r="T978" s="20">
        <f>IF(OR(I978="",E978=""),"",IF(OR(I978="Gasto",I978="Transferencia",I978="Pago tarjeta"),-1,1)*C978)</f>
        <v/>
      </c>
      <c r="U978" s="20">
        <f>IF(OR(G978="",AND(I978&lt;&gt;"Transferencia",I978&lt;&gt;"Pago tarjeta")),"",IF(IFERROR(INDEX(ctaMon,MATCH(G978,ctaNom,0))&amp;"","DOP")=N978,C978,IF(N978="USD",C978*TasaUSD,C978/TasaUSD)))</f>
        <v/>
      </c>
      <c r="V978" s="20">
        <f>IF(I978="","",IF(IFERROR(INDEX(ctaLiq,MATCH(E978,ctaNom,0))="Sí",FALSE),IF(OR(I978="Gasto",I978="Transferencia",I978="Pago tarjeta"),-1,1)*O978,0)+IF(AND(U978&lt;&gt;"",IFERROR(INDEX(ctaLiq,MATCH(G978,ctaNom,0))="Sí",FALSE)),O978,0))</f>
        <v/>
      </c>
      <c r="W978" s="19">
        <f>IF(OR(F978="",I978=""),"",IF(COUNTIFS(F$6:F978,F978,I$6:I978,"?*")=1,MAX(W$5:W977)+1,""))</f>
        <v/>
      </c>
    </row>
    <row r="979">
      <c r="B979" s="15" t="n"/>
      <c r="C979" s="16" t="n"/>
      <c r="D979" s="17" t="n"/>
      <c r="E979" s="17" t="n"/>
      <c r="F979" s="17" t="n"/>
      <c r="G979" s="17" t="n"/>
      <c r="H979" s="18">
        <f>IF(AND(B979="",C979="",D979="",E979=""),"",IF(B979="","⚠ Falta fecha",IF(C979="","⚠ Falta monto",IF(D979="","⚠ Falta categoría",IF(ISNA(MATCH(D979,catNom,0)),"⚠ Categoría no existe",IF(E979="","⚠ Falta cuenta",IF(ISNA(MATCH(E979,ctaNom,0)),"⚠ Cuenta no existe",IF(AND(OR(I979="Transferencia",I979="Pago tarjeta"),G979=""),"⚠ Indica la cuenta «Hacia»",IF(AND(G979&lt;&gt;"",G979=E979),"⚠ «Hacia» igual a la cuenta",IF(AND(G979&lt;&gt;"",ISNA(MATCH(G979,ctaNom,0))),"⚠ «Hacia» no existe",IF(AND(I979="Pago tarjeta",IFERROR(INDEX(ctaTipo,MATCH(G979,ctaNom,0)),"")&lt;&gt;"Tarjeta de crédito"),"⚠ «Hacia» debe ser la tarjeta",IF(AND(I979="Trading",IFERROR(INDEX(ctaTipo,MATCH(E979,ctaNom,0)),"")&lt;&gt;"Cuenta de trading"),"⚠ Usa la cuenta de trading","✓"))))))))))))</f>
        <v/>
      </c>
      <c r="I979" s="19">
        <f>IF(OR(B979="",C979="",D979=""),"",IFERROR(INDEX(catTipo,MATCH(D979,catNom,0))&amp;"",""))</f>
        <v/>
      </c>
      <c r="J979" s="19">
        <f>IF(I979="","",IFERROR(INDEX(catGrupo,MATCH(D979,catNom,0))&amp;"",""))</f>
        <v/>
      </c>
      <c r="K979" s="19">
        <f>IF(I979="Gasto",IF(IFERROR(INDEX(catClas,MATCH(D979,catNom,0))&amp;"","")="","Variable",IFERROR(INDEX(catClas,MATCH(D979,catNom,0))&amp;"","")),"")</f>
        <v/>
      </c>
      <c r="L979" s="19">
        <f>IF(I979="","",IFERROR(INDEX(catAlim,MATCH(D979,catNom,0))&amp;"",""))</f>
        <v/>
      </c>
      <c r="M979" s="19">
        <f>IF(I979="","",IFERROR(INDEX(catComida,MATCH(D979,catNom,0))&amp;"",""))</f>
        <v/>
      </c>
      <c r="N979" s="19">
        <f>IF(I979="","",IFERROR(INDEX(ctaMon,MATCH(E979,ctaNom,0))&amp;"","DOP"))</f>
        <v/>
      </c>
      <c r="O979" s="20">
        <f>IF(I979="","",C979*IF(N979="USD",TasaUSD,1))</f>
        <v/>
      </c>
      <c r="P979" s="20">
        <f>IF(I979="","",IF(I979="Gasto",O979,0))</f>
        <v/>
      </c>
      <c r="Q979" s="20">
        <f>IF(I979="","",IF(I979="Ingreso",O979,0))</f>
        <v/>
      </c>
      <c r="R979" s="20">
        <f>IF(I979="","",IF(I979="Trading",O979,0))</f>
        <v/>
      </c>
      <c r="S979" s="19">
        <f>IF(I979="","",IF(AND(I979="Gasto",K979="Variable",J979&lt;&gt;"Trading",O979&gt;0,O979&lt;=Umbral),1,0))</f>
        <v/>
      </c>
      <c r="T979" s="20">
        <f>IF(OR(I979="",E979=""),"",IF(OR(I979="Gasto",I979="Transferencia",I979="Pago tarjeta"),-1,1)*C979)</f>
        <v/>
      </c>
      <c r="U979" s="20">
        <f>IF(OR(G979="",AND(I979&lt;&gt;"Transferencia",I979&lt;&gt;"Pago tarjeta")),"",IF(IFERROR(INDEX(ctaMon,MATCH(G979,ctaNom,0))&amp;"","DOP")=N979,C979,IF(N979="USD",C979*TasaUSD,C979/TasaUSD)))</f>
        <v/>
      </c>
      <c r="V979" s="20">
        <f>IF(I979="","",IF(IFERROR(INDEX(ctaLiq,MATCH(E979,ctaNom,0))="Sí",FALSE),IF(OR(I979="Gasto",I979="Transferencia",I979="Pago tarjeta"),-1,1)*O979,0)+IF(AND(U979&lt;&gt;"",IFERROR(INDEX(ctaLiq,MATCH(G979,ctaNom,0))="Sí",FALSE)),O979,0))</f>
        <v/>
      </c>
      <c r="W979" s="19">
        <f>IF(OR(F979="",I979=""),"",IF(COUNTIFS(F$6:F979,F979,I$6:I979,"?*")=1,MAX(W$5:W978)+1,""))</f>
        <v/>
      </c>
    </row>
    <row r="980">
      <c r="B980" s="15" t="n"/>
      <c r="C980" s="16" t="n"/>
      <c r="D980" s="17" t="n"/>
      <c r="E980" s="17" t="n"/>
      <c r="F980" s="17" t="n"/>
      <c r="G980" s="17" t="n"/>
      <c r="H980" s="18">
        <f>IF(AND(B980="",C980="",D980="",E980=""),"",IF(B980="","⚠ Falta fecha",IF(C980="","⚠ Falta monto",IF(D980="","⚠ Falta categoría",IF(ISNA(MATCH(D980,catNom,0)),"⚠ Categoría no existe",IF(E980="","⚠ Falta cuenta",IF(ISNA(MATCH(E980,ctaNom,0)),"⚠ Cuenta no existe",IF(AND(OR(I980="Transferencia",I980="Pago tarjeta"),G980=""),"⚠ Indica la cuenta «Hacia»",IF(AND(G980&lt;&gt;"",G980=E980),"⚠ «Hacia» igual a la cuenta",IF(AND(G980&lt;&gt;"",ISNA(MATCH(G980,ctaNom,0))),"⚠ «Hacia» no existe",IF(AND(I980="Pago tarjeta",IFERROR(INDEX(ctaTipo,MATCH(G980,ctaNom,0)),"")&lt;&gt;"Tarjeta de crédito"),"⚠ «Hacia» debe ser la tarjeta",IF(AND(I980="Trading",IFERROR(INDEX(ctaTipo,MATCH(E980,ctaNom,0)),"")&lt;&gt;"Cuenta de trading"),"⚠ Usa la cuenta de trading","✓"))))))))))))</f>
        <v/>
      </c>
      <c r="I980" s="19">
        <f>IF(OR(B980="",C980="",D980=""),"",IFERROR(INDEX(catTipo,MATCH(D980,catNom,0))&amp;"",""))</f>
        <v/>
      </c>
      <c r="J980" s="19">
        <f>IF(I980="","",IFERROR(INDEX(catGrupo,MATCH(D980,catNom,0))&amp;"",""))</f>
        <v/>
      </c>
      <c r="K980" s="19">
        <f>IF(I980="Gasto",IF(IFERROR(INDEX(catClas,MATCH(D980,catNom,0))&amp;"","")="","Variable",IFERROR(INDEX(catClas,MATCH(D980,catNom,0))&amp;"","")),"")</f>
        <v/>
      </c>
      <c r="L980" s="19">
        <f>IF(I980="","",IFERROR(INDEX(catAlim,MATCH(D980,catNom,0))&amp;"",""))</f>
        <v/>
      </c>
      <c r="M980" s="19">
        <f>IF(I980="","",IFERROR(INDEX(catComida,MATCH(D980,catNom,0))&amp;"",""))</f>
        <v/>
      </c>
      <c r="N980" s="19">
        <f>IF(I980="","",IFERROR(INDEX(ctaMon,MATCH(E980,ctaNom,0))&amp;"","DOP"))</f>
        <v/>
      </c>
      <c r="O980" s="20">
        <f>IF(I980="","",C980*IF(N980="USD",TasaUSD,1))</f>
        <v/>
      </c>
      <c r="P980" s="20">
        <f>IF(I980="","",IF(I980="Gasto",O980,0))</f>
        <v/>
      </c>
      <c r="Q980" s="20">
        <f>IF(I980="","",IF(I980="Ingreso",O980,0))</f>
        <v/>
      </c>
      <c r="R980" s="20">
        <f>IF(I980="","",IF(I980="Trading",O980,0))</f>
        <v/>
      </c>
      <c r="S980" s="19">
        <f>IF(I980="","",IF(AND(I980="Gasto",K980="Variable",J980&lt;&gt;"Trading",O980&gt;0,O980&lt;=Umbral),1,0))</f>
        <v/>
      </c>
      <c r="T980" s="20">
        <f>IF(OR(I980="",E980=""),"",IF(OR(I980="Gasto",I980="Transferencia",I980="Pago tarjeta"),-1,1)*C980)</f>
        <v/>
      </c>
      <c r="U980" s="20">
        <f>IF(OR(G980="",AND(I980&lt;&gt;"Transferencia",I980&lt;&gt;"Pago tarjeta")),"",IF(IFERROR(INDEX(ctaMon,MATCH(G980,ctaNom,0))&amp;"","DOP")=N980,C980,IF(N980="USD",C980*TasaUSD,C980/TasaUSD)))</f>
        <v/>
      </c>
      <c r="V980" s="20">
        <f>IF(I980="","",IF(IFERROR(INDEX(ctaLiq,MATCH(E980,ctaNom,0))="Sí",FALSE),IF(OR(I980="Gasto",I980="Transferencia",I980="Pago tarjeta"),-1,1)*O980,0)+IF(AND(U980&lt;&gt;"",IFERROR(INDEX(ctaLiq,MATCH(G980,ctaNom,0))="Sí",FALSE)),O980,0))</f>
        <v/>
      </c>
      <c r="W980" s="19">
        <f>IF(OR(F980="",I980=""),"",IF(COUNTIFS(F$6:F980,F980,I$6:I980,"?*")=1,MAX(W$5:W979)+1,""))</f>
        <v/>
      </c>
    </row>
    <row r="981">
      <c r="B981" s="15" t="n"/>
      <c r="C981" s="16" t="n"/>
      <c r="D981" s="17" t="n"/>
      <c r="E981" s="17" t="n"/>
      <c r="F981" s="17" t="n"/>
      <c r="G981" s="17" t="n"/>
      <c r="H981" s="18">
        <f>IF(AND(B981="",C981="",D981="",E981=""),"",IF(B981="","⚠ Falta fecha",IF(C981="","⚠ Falta monto",IF(D981="","⚠ Falta categoría",IF(ISNA(MATCH(D981,catNom,0)),"⚠ Categoría no existe",IF(E981="","⚠ Falta cuenta",IF(ISNA(MATCH(E981,ctaNom,0)),"⚠ Cuenta no existe",IF(AND(OR(I981="Transferencia",I981="Pago tarjeta"),G981=""),"⚠ Indica la cuenta «Hacia»",IF(AND(G981&lt;&gt;"",G981=E981),"⚠ «Hacia» igual a la cuenta",IF(AND(G981&lt;&gt;"",ISNA(MATCH(G981,ctaNom,0))),"⚠ «Hacia» no existe",IF(AND(I981="Pago tarjeta",IFERROR(INDEX(ctaTipo,MATCH(G981,ctaNom,0)),"")&lt;&gt;"Tarjeta de crédito"),"⚠ «Hacia» debe ser la tarjeta",IF(AND(I981="Trading",IFERROR(INDEX(ctaTipo,MATCH(E981,ctaNom,0)),"")&lt;&gt;"Cuenta de trading"),"⚠ Usa la cuenta de trading","✓"))))))))))))</f>
        <v/>
      </c>
      <c r="I981" s="19">
        <f>IF(OR(B981="",C981="",D981=""),"",IFERROR(INDEX(catTipo,MATCH(D981,catNom,0))&amp;"",""))</f>
        <v/>
      </c>
      <c r="J981" s="19">
        <f>IF(I981="","",IFERROR(INDEX(catGrupo,MATCH(D981,catNom,0))&amp;"",""))</f>
        <v/>
      </c>
      <c r="K981" s="19">
        <f>IF(I981="Gasto",IF(IFERROR(INDEX(catClas,MATCH(D981,catNom,0))&amp;"","")="","Variable",IFERROR(INDEX(catClas,MATCH(D981,catNom,0))&amp;"","")),"")</f>
        <v/>
      </c>
      <c r="L981" s="19">
        <f>IF(I981="","",IFERROR(INDEX(catAlim,MATCH(D981,catNom,0))&amp;"",""))</f>
        <v/>
      </c>
      <c r="M981" s="19">
        <f>IF(I981="","",IFERROR(INDEX(catComida,MATCH(D981,catNom,0))&amp;"",""))</f>
        <v/>
      </c>
      <c r="N981" s="19">
        <f>IF(I981="","",IFERROR(INDEX(ctaMon,MATCH(E981,ctaNom,0))&amp;"","DOP"))</f>
        <v/>
      </c>
      <c r="O981" s="20">
        <f>IF(I981="","",C981*IF(N981="USD",TasaUSD,1))</f>
        <v/>
      </c>
      <c r="P981" s="20">
        <f>IF(I981="","",IF(I981="Gasto",O981,0))</f>
        <v/>
      </c>
      <c r="Q981" s="20">
        <f>IF(I981="","",IF(I981="Ingreso",O981,0))</f>
        <v/>
      </c>
      <c r="R981" s="20">
        <f>IF(I981="","",IF(I981="Trading",O981,0))</f>
        <v/>
      </c>
      <c r="S981" s="19">
        <f>IF(I981="","",IF(AND(I981="Gasto",K981="Variable",J981&lt;&gt;"Trading",O981&gt;0,O981&lt;=Umbral),1,0))</f>
        <v/>
      </c>
      <c r="T981" s="20">
        <f>IF(OR(I981="",E981=""),"",IF(OR(I981="Gasto",I981="Transferencia",I981="Pago tarjeta"),-1,1)*C981)</f>
        <v/>
      </c>
      <c r="U981" s="20">
        <f>IF(OR(G981="",AND(I981&lt;&gt;"Transferencia",I981&lt;&gt;"Pago tarjeta")),"",IF(IFERROR(INDEX(ctaMon,MATCH(G981,ctaNom,0))&amp;"","DOP")=N981,C981,IF(N981="USD",C981*TasaUSD,C981/TasaUSD)))</f>
        <v/>
      </c>
      <c r="V981" s="20">
        <f>IF(I981="","",IF(IFERROR(INDEX(ctaLiq,MATCH(E981,ctaNom,0))="Sí",FALSE),IF(OR(I981="Gasto",I981="Transferencia",I981="Pago tarjeta"),-1,1)*O981,0)+IF(AND(U981&lt;&gt;"",IFERROR(INDEX(ctaLiq,MATCH(G981,ctaNom,0))="Sí",FALSE)),O981,0))</f>
        <v/>
      </c>
      <c r="W981" s="19">
        <f>IF(OR(F981="",I981=""),"",IF(COUNTIFS(F$6:F981,F981,I$6:I981,"?*")=1,MAX(W$5:W980)+1,""))</f>
        <v/>
      </c>
    </row>
    <row r="982">
      <c r="B982" s="15" t="n"/>
      <c r="C982" s="16" t="n"/>
      <c r="D982" s="17" t="n"/>
      <c r="E982" s="17" t="n"/>
      <c r="F982" s="17" t="n"/>
      <c r="G982" s="17" t="n"/>
      <c r="H982" s="18">
        <f>IF(AND(B982="",C982="",D982="",E982=""),"",IF(B982="","⚠ Falta fecha",IF(C982="","⚠ Falta monto",IF(D982="","⚠ Falta categoría",IF(ISNA(MATCH(D982,catNom,0)),"⚠ Categoría no existe",IF(E982="","⚠ Falta cuenta",IF(ISNA(MATCH(E982,ctaNom,0)),"⚠ Cuenta no existe",IF(AND(OR(I982="Transferencia",I982="Pago tarjeta"),G982=""),"⚠ Indica la cuenta «Hacia»",IF(AND(G982&lt;&gt;"",G982=E982),"⚠ «Hacia» igual a la cuenta",IF(AND(G982&lt;&gt;"",ISNA(MATCH(G982,ctaNom,0))),"⚠ «Hacia» no existe",IF(AND(I982="Pago tarjeta",IFERROR(INDEX(ctaTipo,MATCH(G982,ctaNom,0)),"")&lt;&gt;"Tarjeta de crédito"),"⚠ «Hacia» debe ser la tarjeta",IF(AND(I982="Trading",IFERROR(INDEX(ctaTipo,MATCH(E982,ctaNom,0)),"")&lt;&gt;"Cuenta de trading"),"⚠ Usa la cuenta de trading","✓"))))))))))))</f>
        <v/>
      </c>
      <c r="I982" s="19">
        <f>IF(OR(B982="",C982="",D982=""),"",IFERROR(INDEX(catTipo,MATCH(D982,catNom,0))&amp;"",""))</f>
        <v/>
      </c>
      <c r="J982" s="19">
        <f>IF(I982="","",IFERROR(INDEX(catGrupo,MATCH(D982,catNom,0))&amp;"",""))</f>
        <v/>
      </c>
      <c r="K982" s="19">
        <f>IF(I982="Gasto",IF(IFERROR(INDEX(catClas,MATCH(D982,catNom,0))&amp;"","")="","Variable",IFERROR(INDEX(catClas,MATCH(D982,catNom,0))&amp;"","")),"")</f>
        <v/>
      </c>
      <c r="L982" s="19">
        <f>IF(I982="","",IFERROR(INDEX(catAlim,MATCH(D982,catNom,0))&amp;"",""))</f>
        <v/>
      </c>
      <c r="M982" s="19">
        <f>IF(I982="","",IFERROR(INDEX(catComida,MATCH(D982,catNom,0))&amp;"",""))</f>
        <v/>
      </c>
      <c r="N982" s="19">
        <f>IF(I982="","",IFERROR(INDEX(ctaMon,MATCH(E982,ctaNom,0))&amp;"","DOP"))</f>
        <v/>
      </c>
      <c r="O982" s="20">
        <f>IF(I982="","",C982*IF(N982="USD",TasaUSD,1))</f>
        <v/>
      </c>
      <c r="P982" s="20">
        <f>IF(I982="","",IF(I982="Gasto",O982,0))</f>
        <v/>
      </c>
      <c r="Q982" s="20">
        <f>IF(I982="","",IF(I982="Ingreso",O982,0))</f>
        <v/>
      </c>
      <c r="R982" s="20">
        <f>IF(I982="","",IF(I982="Trading",O982,0))</f>
        <v/>
      </c>
      <c r="S982" s="19">
        <f>IF(I982="","",IF(AND(I982="Gasto",K982="Variable",J982&lt;&gt;"Trading",O982&gt;0,O982&lt;=Umbral),1,0))</f>
        <v/>
      </c>
      <c r="T982" s="20">
        <f>IF(OR(I982="",E982=""),"",IF(OR(I982="Gasto",I982="Transferencia",I982="Pago tarjeta"),-1,1)*C982)</f>
        <v/>
      </c>
      <c r="U982" s="20">
        <f>IF(OR(G982="",AND(I982&lt;&gt;"Transferencia",I982&lt;&gt;"Pago tarjeta")),"",IF(IFERROR(INDEX(ctaMon,MATCH(G982,ctaNom,0))&amp;"","DOP")=N982,C982,IF(N982="USD",C982*TasaUSD,C982/TasaUSD)))</f>
        <v/>
      </c>
      <c r="V982" s="20">
        <f>IF(I982="","",IF(IFERROR(INDEX(ctaLiq,MATCH(E982,ctaNom,0))="Sí",FALSE),IF(OR(I982="Gasto",I982="Transferencia",I982="Pago tarjeta"),-1,1)*O982,0)+IF(AND(U982&lt;&gt;"",IFERROR(INDEX(ctaLiq,MATCH(G982,ctaNom,0))="Sí",FALSE)),O982,0))</f>
        <v/>
      </c>
      <c r="W982" s="19">
        <f>IF(OR(F982="",I982=""),"",IF(COUNTIFS(F$6:F982,F982,I$6:I982,"?*")=1,MAX(W$5:W981)+1,""))</f>
        <v/>
      </c>
    </row>
    <row r="983">
      <c r="B983" s="15" t="n"/>
      <c r="C983" s="16" t="n"/>
      <c r="D983" s="17" t="n"/>
      <c r="E983" s="17" t="n"/>
      <c r="F983" s="17" t="n"/>
      <c r="G983" s="17" t="n"/>
      <c r="H983" s="18">
        <f>IF(AND(B983="",C983="",D983="",E983=""),"",IF(B983="","⚠ Falta fecha",IF(C983="","⚠ Falta monto",IF(D983="","⚠ Falta categoría",IF(ISNA(MATCH(D983,catNom,0)),"⚠ Categoría no existe",IF(E983="","⚠ Falta cuenta",IF(ISNA(MATCH(E983,ctaNom,0)),"⚠ Cuenta no existe",IF(AND(OR(I983="Transferencia",I983="Pago tarjeta"),G983=""),"⚠ Indica la cuenta «Hacia»",IF(AND(G983&lt;&gt;"",G983=E983),"⚠ «Hacia» igual a la cuenta",IF(AND(G983&lt;&gt;"",ISNA(MATCH(G983,ctaNom,0))),"⚠ «Hacia» no existe",IF(AND(I983="Pago tarjeta",IFERROR(INDEX(ctaTipo,MATCH(G983,ctaNom,0)),"")&lt;&gt;"Tarjeta de crédito"),"⚠ «Hacia» debe ser la tarjeta",IF(AND(I983="Trading",IFERROR(INDEX(ctaTipo,MATCH(E983,ctaNom,0)),"")&lt;&gt;"Cuenta de trading"),"⚠ Usa la cuenta de trading","✓"))))))))))))</f>
        <v/>
      </c>
      <c r="I983" s="19">
        <f>IF(OR(B983="",C983="",D983=""),"",IFERROR(INDEX(catTipo,MATCH(D983,catNom,0))&amp;"",""))</f>
        <v/>
      </c>
      <c r="J983" s="19">
        <f>IF(I983="","",IFERROR(INDEX(catGrupo,MATCH(D983,catNom,0))&amp;"",""))</f>
        <v/>
      </c>
      <c r="K983" s="19">
        <f>IF(I983="Gasto",IF(IFERROR(INDEX(catClas,MATCH(D983,catNom,0))&amp;"","")="","Variable",IFERROR(INDEX(catClas,MATCH(D983,catNom,0))&amp;"","")),"")</f>
        <v/>
      </c>
      <c r="L983" s="19">
        <f>IF(I983="","",IFERROR(INDEX(catAlim,MATCH(D983,catNom,0))&amp;"",""))</f>
        <v/>
      </c>
      <c r="M983" s="19">
        <f>IF(I983="","",IFERROR(INDEX(catComida,MATCH(D983,catNom,0))&amp;"",""))</f>
        <v/>
      </c>
      <c r="N983" s="19">
        <f>IF(I983="","",IFERROR(INDEX(ctaMon,MATCH(E983,ctaNom,0))&amp;"","DOP"))</f>
        <v/>
      </c>
      <c r="O983" s="20">
        <f>IF(I983="","",C983*IF(N983="USD",TasaUSD,1))</f>
        <v/>
      </c>
      <c r="P983" s="20">
        <f>IF(I983="","",IF(I983="Gasto",O983,0))</f>
        <v/>
      </c>
      <c r="Q983" s="20">
        <f>IF(I983="","",IF(I983="Ingreso",O983,0))</f>
        <v/>
      </c>
      <c r="R983" s="20">
        <f>IF(I983="","",IF(I983="Trading",O983,0))</f>
        <v/>
      </c>
      <c r="S983" s="19">
        <f>IF(I983="","",IF(AND(I983="Gasto",K983="Variable",J983&lt;&gt;"Trading",O983&gt;0,O983&lt;=Umbral),1,0))</f>
        <v/>
      </c>
      <c r="T983" s="20">
        <f>IF(OR(I983="",E983=""),"",IF(OR(I983="Gasto",I983="Transferencia",I983="Pago tarjeta"),-1,1)*C983)</f>
        <v/>
      </c>
      <c r="U983" s="20">
        <f>IF(OR(G983="",AND(I983&lt;&gt;"Transferencia",I983&lt;&gt;"Pago tarjeta")),"",IF(IFERROR(INDEX(ctaMon,MATCH(G983,ctaNom,0))&amp;"","DOP")=N983,C983,IF(N983="USD",C983*TasaUSD,C983/TasaUSD)))</f>
        <v/>
      </c>
      <c r="V983" s="20">
        <f>IF(I983="","",IF(IFERROR(INDEX(ctaLiq,MATCH(E983,ctaNom,0))="Sí",FALSE),IF(OR(I983="Gasto",I983="Transferencia",I983="Pago tarjeta"),-1,1)*O983,0)+IF(AND(U983&lt;&gt;"",IFERROR(INDEX(ctaLiq,MATCH(G983,ctaNom,0))="Sí",FALSE)),O983,0))</f>
        <v/>
      </c>
      <c r="W983" s="19">
        <f>IF(OR(F983="",I983=""),"",IF(COUNTIFS(F$6:F983,F983,I$6:I983,"?*")=1,MAX(W$5:W982)+1,""))</f>
        <v/>
      </c>
    </row>
    <row r="984">
      <c r="B984" s="15" t="n"/>
      <c r="C984" s="16" t="n"/>
      <c r="D984" s="17" t="n"/>
      <c r="E984" s="17" t="n"/>
      <c r="F984" s="17" t="n"/>
      <c r="G984" s="17" t="n"/>
      <c r="H984" s="18">
        <f>IF(AND(B984="",C984="",D984="",E984=""),"",IF(B984="","⚠ Falta fecha",IF(C984="","⚠ Falta monto",IF(D984="","⚠ Falta categoría",IF(ISNA(MATCH(D984,catNom,0)),"⚠ Categoría no existe",IF(E984="","⚠ Falta cuenta",IF(ISNA(MATCH(E984,ctaNom,0)),"⚠ Cuenta no existe",IF(AND(OR(I984="Transferencia",I984="Pago tarjeta"),G984=""),"⚠ Indica la cuenta «Hacia»",IF(AND(G984&lt;&gt;"",G984=E984),"⚠ «Hacia» igual a la cuenta",IF(AND(G984&lt;&gt;"",ISNA(MATCH(G984,ctaNom,0))),"⚠ «Hacia» no existe",IF(AND(I984="Pago tarjeta",IFERROR(INDEX(ctaTipo,MATCH(G984,ctaNom,0)),"")&lt;&gt;"Tarjeta de crédito"),"⚠ «Hacia» debe ser la tarjeta",IF(AND(I984="Trading",IFERROR(INDEX(ctaTipo,MATCH(E984,ctaNom,0)),"")&lt;&gt;"Cuenta de trading"),"⚠ Usa la cuenta de trading","✓"))))))))))))</f>
        <v/>
      </c>
      <c r="I984" s="19">
        <f>IF(OR(B984="",C984="",D984=""),"",IFERROR(INDEX(catTipo,MATCH(D984,catNom,0))&amp;"",""))</f>
        <v/>
      </c>
      <c r="J984" s="19">
        <f>IF(I984="","",IFERROR(INDEX(catGrupo,MATCH(D984,catNom,0))&amp;"",""))</f>
        <v/>
      </c>
      <c r="K984" s="19">
        <f>IF(I984="Gasto",IF(IFERROR(INDEX(catClas,MATCH(D984,catNom,0))&amp;"","")="","Variable",IFERROR(INDEX(catClas,MATCH(D984,catNom,0))&amp;"","")),"")</f>
        <v/>
      </c>
      <c r="L984" s="19">
        <f>IF(I984="","",IFERROR(INDEX(catAlim,MATCH(D984,catNom,0))&amp;"",""))</f>
        <v/>
      </c>
      <c r="M984" s="19">
        <f>IF(I984="","",IFERROR(INDEX(catComida,MATCH(D984,catNom,0))&amp;"",""))</f>
        <v/>
      </c>
      <c r="N984" s="19">
        <f>IF(I984="","",IFERROR(INDEX(ctaMon,MATCH(E984,ctaNom,0))&amp;"","DOP"))</f>
        <v/>
      </c>
      <c r="O984" s="20">
        <f>IF(I984="","",C984*IF(N984="USD",TasaUSD,1))</f>
        <v/>
      </c>
      <c r="P984" s="20">
        <f>IF(I984="","",IF(I984="Gasto",O984,0))</f>
        <v/>
      </c>
      <c r="Q984" s="20">
        <f>IF(I984="","",IF(I984="Ingreso",O984,0))</f>
        <v/>
      </c>
      <c r="R984" s="20">
        <f>IF(I984="","",IF(I984="Trading",O984,0))</f>
        <v/>
      </c>
      <c r="S984" s="19">
        <f>IF(I984="","",IF(AND(I984="Gasto",K984="Variable",J984&lt;&gt;"Trading",O984&gt;0,O984&lt;=Umbral),1,0))</f>
        <v/>
      </c>
      <c r="T984" s="20">
        <f>IF(OR(I984="",E984=""),"",IF(OR(I984="Gasto",I984="Transferencia",I984="Pago tarjeta"),-1,1)*C984)</f>
        <v/>
      </c>
      <c r="U984" s="20">
        <f>IF(OR(G984="",AND(I984&lt;&gt;"Transferencia",I984&lt;&gt;"Pago tarjeta")),"",IF(IFERROR(INDEX(ctaMon,MATCH(G984,ctaNom,0))&amp;"","DOP")=N984,C984,IF(N984="USD",C984*TasaUSD,C984/TasaUSD)))</f>
        <v/>
      </c>
      <c r="V984" s="20">
        <f>IF(I984="","",IF(IFERROR(INDEX(ctaLiq,MATCH(E984,ctaNom,0))="Sí",FALSE),IF(OR(I984="Gasto",I984="Transferencia",I984="Pago tarjeta"),-1,1)*O984,0)+IF(AND(U984&lt;&gt;"",IFERROR(INDEX(ctaLiq,MATCH(G984,ctaNom,0))="Sí",FALSE)),O984,0))</f>
        <v/>
      </c>
      <c r="W984" s="19">
        <f>IF(OR(F984="",I984=""),"",IF(COUNTIFS(F$6:F984,F984,I$6:I984,"?*")=1,MAX(W$5:W983)+1,""))</f>
        <v/>
      </c>
    </row>
    <row r="985">
      <c r="B985" s="15" t="n"/>
      <c r="C985" s="16" t="n"/>
      <c r="D985" s="17" t="n"/>
      <c r="E985" s="17" t="n"/>
      <c r="F985" s="17" t="n"/>
      <c r="G985" s="17" t="n"/>
      <c r="H985" s="18">
        <f>IF(AND(B985="",C985="",D985="",E985=""),"",IF(B985="","⚠ Falta fecha",IF(C985="","⚠ Falta monto",IF(D985="","⚠ Falta categoría",IF(ISNA(MATCH(D985,catNom,0)),"⚠ Categoría no existe",IF(E985="","⚠ Falta cuenta",IF(ISNA(MATCH(E985,ctaNom,0)),"⚠ Cuenta no existe",IF(AND(OR(I985="Transferencia",I985="Pago tarjeta"),G985=""),"⚠ Indica la cuenta «Hacia»",IF(AND(G985&lt;&gt;"",G985=E985),"⚠ «Hacia» igual a la cuenta",IF(AND(G985&lt;&gt;"",ISNA(MATCH(G985,ctaNom,0))),"⚠ «Hacia» no existe",IF(AND(I985="Pago tarjeta",IFERROR(INDEX(ctaTipo,MATCH(G985,ctaNom,0)),"")&lt;&gt;"Tarjeta de crédito"),"⚠ «Hacia» debe ser la tarjeta",IF(AND(I985="Trading",IFERROR(INDEX(ctaTipo,MATCH(E985,ctaNom,0)),"")&lt;&gt;"Cuenta de trading"),"⚠ Usa la cuenta de trading","✓"))))))))))))</f>
        <v/>
      </c>
      <c r="I985" s="19">
        <f>IF(OR(B985="",C985="",D985=""),"",IFERROR(INDEX(catTipo,MATCH(D985,catNom,0))&amp;"",""))</f>
        <v/>
      </c>
      <c r="J985" s="19">
        <f>IF(I985="","",IFERROR(INDEX(catGrupo,MATCH(D985,catNom,0))&amp;"",""))</f>
        <v/>
      </c>
      <c r="K985" s="19">
        <f>IF(I985="Gasto",IF(IFERROR(INDEX(catClas,MATCH(D985,catNom,0))&amp;"","")="","Variable",IFERROR(INDEX(catClas,MATCH(D985,catNom,0))&amp;"","")),"")</f>
        <v/>
      </c>
      <c r="L985" s="19">
        <f>IF(I985="","",IFERROR(INDEX(catAlim,MATCH(D985,catNom,0))&amp;"",""))</f>
        <v/>
      </c>
      <c r="M985" s="19">
        <f>IF(I985="","",IFERROR(INDEX(catComida,MATCH(D985,catNom,0))&amp;"",""))</f>
        <v/>
      </c>
      <c r="N985" s="19">
        <f>IF(I985="","",IFERROR(INDEX(ctaMon,MATCH(E985,ctaNom,0))&amp;"","DOP"))</f>
        <v/>
      </c>
      <c r="O985" s="20">
        <f>IF(I985="","",C985*IF(N985="USD",TasaUSD,1))</f>
        <v/>
      </c>
      <c r="P985" s="20">
        <f>IF(I985="","",IF(I985="Gasto",O985,0))</f>
        <v/>
      </c>
      <c r="Q985" s="20">
        <f>IF(I985="","",IF(I985="Ingreso",O985,0))</f>
        <v/>
      </c>
      <c r="R985" s="20">
        <f>IF(I985="","",IF(I985="Trading",O985,0))</f>
        <v/>
      </c>
      <c r="S985" s="19">
        <f>IF(I985="","",IF(AND(I985="Gasto",K985="Variable",J985&lt;&gt;"Trading",O985&gt;0,O985&lt;=Umbral),1,0))</f>
        <v/>
      </c>
      <c r="T985" s="20">
        <f>IF(OR(I985="",E985=""),"",IF(OR(I985="Gasto",I985="Transferencia",I985="Pago tarjeta"),-1,1)*C985)</f>
        <v/>
      </c>
      <c r="U985" s="20">
        <f>IF(OR(G985="",AND(I985&lt;&gt;"Transferencia",I985&lt;&gt;"Pago tarjeta")),"",IF(IFERROR(INDEX(ctaMon,MATCH(G985,ctaNom,0))&amp;"","DOP")=N985,C985,IF(N985="USD",C985*TasaUSD,C985/TasaUSD)))</f>
        <v/>
      </c>
      <c r="V985" s="20">
        <f>IF(I985="","",IF(IFERROR(INDEX(ctaLiq,MATCH(E985,ctaNom,0))="Sí",FALSE),IF(OR(I985="Gasto",I985="Transferencia",I985="Pago tarjeta"),-1,1)*O985,0)+IF(AND(U985&lt;&gt;"",IFERROR(INDEX(ctaLiq,MATCH(G985,ctaNom,0))="Sí",FALSE)),O985,0))</f>
        <v/>
      </c>
      <c r="W985" s="19">
        <f>IF(OR(F985="",I985=""),"",IF(COUNTIFS(F$6:F985,F985,I$6:I985,"?*")=1,MAX(W$5:W984)+1,""))</f>
        <v/>
      </c>
    </row>
    <row r="986">
      <c r="B986" s="15" t="n"/>
      <c r="C986" s="16" t="n"/>
      <c r="D986" s="17" t="n"/>
      <c r="E986" s="17" t="n"/>
      <c r="F986" s="17" t="n"/>
      <c r="G986" s="17" t="n"/>
      <c r="H986" s="18">
        <f>IF(AND(B986="",C986="",D986="",E986=""),"",IF(B986="","⚠ Falta fecha",IF(C986="","⚠ Falta monto",IF(D986="","⚠ Falta categoría",IF(ISNA(MATCH(D986,catNom,0)),"⚠ Categoría no existe",IF(E986="","⚠ Falta cuenta",IF(ISNA(MATCH(E986,ctaNom,0)),"⚠ Cuenta no existe",IF(AND(OR(I986="Transferencia",I986="Pago tarjeta"),G986=""),"⚠ Indica la cuenta «Hacia»",IF(AND(G986&lt;&gt;"",G986=E986),"⚠ «Hacia» igual a la cuenta",IF(AND(G986&lt;&gt;"",ISNA(MATCH(G986,ctaNom,0))),"⚠ «Hacia» no existe",IF(AND(I986="Pago tarjeta",IFERROR(INDEX(ctaTipo,MATCH(G986,ctaNom,0)),"")&lt;&gt;"Tarjeta de crédito"),"⚠ «Hacia» debe ser la tarjeta",IF(AND(I986="Trading",IFERROR(INDEX(ctaTipo,MATCH(E986,ctaNom,0)),"")&lt;&gt;"Cuenta de trading"),"⚠ Usa la cuenta de trading","✓"))))))))))))</f>
        <v/>
      </c>
      <c r="I986" s="19">
        <f>IF(OR(B986="",C986="",D986=""),"",IFERROR(INDEX(catTipo,MATCH(D986,catNom,0))&amp;"",""))</f>
        <v/>
      </c>
      <c r="J986" s="19">
        <f>IF(I986="","",IFERROR(INDEX(catGrupo,MATCH(D986,catNom,0))&amp;"",""))</f>
        <v/>
      </c>
      <c r="K986" s="19">
        <f>IF(I986="Gasto",IF(IFERROR(INDEX(catClas,MATCH(D986,catNom,0))&amp;"","")="","Variable",IFERROR(INDEX(catClas,MATCH(D986,catNom,0))&amp;"","")),"")</f>
        <v/>
      </c>
      <c r="L986" s="19">
        <f>IF(I986="","",IFERROR(INDEX(catAlim,MATCH(D986,catNom,0))&amp;"",""))</f>
        <v/>
      </c>
      <c r="M986" s="19">
        <f>IF(I986="","",IFERROR(INDEX(catComida,MATCH(D986,catNom,0))&amp;"",""))</f>
        <v/>
      </c>
      <c r="N986" s="19">
        <f>IF(I986="","",IFERROR(INDEX(ctaMon,MATCH(E986,ctaNom,0))&amp;"","DOP"))</f>
        <v/>
      </c>
      <c r="O986" s="20">
        <f>IF(I986="","",C986*IF(N986="USD",TasaUSD,1))</f>
        <v/>
      </c>
      <c r="P986" s="20">
        <f>IF(I986="","",IF(I986="Gasto",O986,0))</f>
        <v/>
      </c>
      <c r="Q986" s="20">
        <f>IF(I986="","",IF(I986="Ingreso",O986,0))</f>
        <v/>
      </c>
      <c r="R986" s="20">
        <f>IF(I986="","",IF(I986="Trading",O986,0))</f>
        <v/>
      </c>
      <c r="S986" s="19">
        <f>IF(I986="","",IF(AND(I986="Gasto",K986="Variable",J986&lt;&gt;"Trading",O986&gt;0,O986&lt;=Umbral),1,0))</f>
        <v/>
      </c>
      <c r="T986" s="20">
        <f>IF(OR(I986="",E986=""),"",IF(OR(I986="Gasto",I986="Transferencia",I986="Pago tarjeta"),-1,1)*C986)</f>
        <v/>
      </c>
      <c r="U986" s="20">
        <f>IF(OR(G986="",AND(I986&lt;&gt;"Transferencia",I986&lt;&gt;"Pago tarjeta")),"",IF(IFERROR(INDEX(ctaMon,MATCH(G986,ctaNom,0))&amp;"","DOP")=N986,C986,IF(N986="USD",C986*TasaUSD,C986/TasaUSD)))</f>
        <v/>
      </c>
      <c r="V986" s="20">
        <f>IF(I986="","",IF(IFERROR(INDEX(ctaLiq,MATCH(E986,ctaNom,0))="Sí",FALSE),IF(OR(I986="Gasto",I986="Transferencia",I986="Pago tarjeta"),-1,1)*O986,0)+IF(AND(U986&lt;&gt;"",IFERROR(INDEX(ctaLiq,MATCH(G986,ctaNom,0))="Sí",FALSE)),O986,0))</f>
        <v/>
      </c>
      <c r="W986" s="19">
        <f>IF(OR(F986="",I986=""),"",IF(COUNTIFS(F$6:F986,F986,I$6:I986,"?*")=1,MAX(W$5:W985)+1,""))</f>
        <v/>
      </c>
    </row>
    <row r="987">
      <c r="B987" s="15" t="n"/>
      <c r="C987" s="16" t="n"/>
      <c r="D987" s="17" t="n"/>
      <c r="E987" s="17" t="n"/>
      <c r="F987" s="17" t="n"/>
      <c r="G987" s="17" t="n"/>
      <c r="H987" s="18">
        <f>IF(AND(B987="",C987="",D987="",E987=""),"",IF(B987="","⚠ Falta fecha",IF(C987="","⚠ Falta monto",IF(D987="","⚠ Falta categoría",IF(ISNA(MATCH(D987,catNom,0)),"⚠ Categoría no existe",IF(E987="","⚠ Falta cuenta",IF(ISNA(MATCH(E987,ctaNom,0)),"⚠ Cuenta no existe",IF(AND(OR(I987="Transferencia",I987="Pago tarjeta"),G987=""),"⚠ Indica la cuenta «Hacia»",IF(AND(G987&lt;&gt;"",G987=E987),"⚠ «Hacia» igual a la cuenta",IF(AND(G987&lt;&gt;"",ISNA(MATCH(G987,ctaNom,0))),"⚠ «Hacia» no existe",IF(AND(I987="Pago tarjeta",IFERROR(INDEX(ctaTipo,MATCH(G987,ctaNom,0)),"")&lt;&gt;"Tarjeta de crédito"),"⚠ «Hacia» debe ser la tarjeta",IF(AND(I987="Trading",IFERROR(INDEX(ctaTipo,MATCH(E987,ctaNom,0)),"")&lt;&gt;"Cuenta de trading"),"⚠ Usa la cuenta de trading","✓"))))))))))))</f>
        <v/>
      </c>
      <c r="I987" s="19">
        <f>IF(OR(B987="",C987="",D987=""),"",IFERROR(INDEX(catTipo,MATCH(D987,catNom,0))&amp;"",""))</f>
        <v/>
      </c>
      <c r="J987" s="19">
        <f>IF(I987="","",IFERROR(INDEX(catGrupo,MATCH(D987,catNom,0))&amp;"",""))</f>
        <v/>
      </c>
      <c r="K987" s="19">
        <f>IF(I987="Gasto",IF(IFERROR(INDEX(catClas,MATCH(D987,catNom,0))&amp;"","")="","Variable",IFERROR(INDEX(catClas,MATCH(D987,catNom,0))&amp;"","")),"")</f>
        <v/>
      </c>
      <c r="L987" s="19">
        <f>IF(I987="","",IFERROR(INDEX(catAlim,MATCH(D987,catNom,0))&amp;"",""))</f>
        <v/>
      </c>
      <c r="M987" s="19">
        <f>IF(I987="","",IFERROR(INDEX(catComida,MATCH(D987,catNom,0))&amp;"",""))</f>
        <v/>
      </c>
      <c r="N987" s="19">
        <f>IF(I987="","",IFERROR(INDEX(ctaMon,MATCH(E987,ctaNom,0))&amp;"","DOP"))</f>
        <v/>
      </c>
      <c r="O987" s="20">
        <f>IF(I987="","",C987*IF(N987="USD",TasaUSD,1))</f>
        <v/>
      </c>
      <c r="P987" s="20">
        <f>IF(I987="","",IF(I987="Gasto",O987,0))</f>
        <v/>
      </c>
      <c r="Q987" s="20">
        <f>IF(I987="","",IF(I987="Ingreso",O987,0))</f>
        <v/>
      </c>
      <c r="R987" s="20">
        <f>IF(I987="","",IF(I987="Trading",O987,0))</f>
        <v/>
      </c>
      <c r="S987" s="19">
        <f>IF(I987="","",IF(AND(I987="Gasto",K987="Variable",J987&lt;&gt;"Trading",O987&gt;0,O987&lt;=Umbral),1,0))</f>
        <v/>
      </c>
      <c r="T987" s="20">
        <f>IF(OR(I987="",E987=""),"",IF(OR(I987="Gasto",I987="Transferencia",I987="Pago tarjeta"),-1,1)*C987)</f>
        <v/>
      </c>
      <c r="U987" s="20">
        <f>IF(OR(G987="",AND(I987&lt;&gt;"Transferencia",I987&lt;&gt;"Pago tarjeta")),"",IF(IFERROR(INDEX(ctaMon,MATCH(G987,ctaNom,0))&amp;"","DOP")=N987,C987,IF(N987="USD",C987*TasaUSD,C987/TasaUSD)))</f>
        <v/>
      </c>
      <c r="V987" s="20">
        <f>IF(I987="","",IF(IFERROR(INDEX(ctaLiq,MATCH(E987,ctaNom,0))="Sí",FALSE),IF(OR(I987="Gasto",I987="Transferencia",I987="Pago tarjeta"),-1,1)*O987,0)+IF(AND(U987&lt;&gt;"",IFERROR(INDEX(ctaLiq,MATCH(G987,ctaNom,0))="Sí",FALSE)),O987,0))</f>
        <v/>
      </c>
      <c r="W987" s="19">
        <f>IF(OR(F987="",I987=""),"",IF(COUNTIFS(F$6:F987,F987,I$6:I987,"?*")=1,MAX(W$5:W986)+1,""))</f>
        <v/>
      </c>
    </row>
    <row r="988">
      <c r="B988" s="15" t="n"/>
      <c r="C988" s="16" t="n"/>
      <c r="D988" s="17" t="n"/>
      <c r="E988" s="17" t="n"/>
      <c r="F988" s="17" t="n"/>
      <c r="G988" s="17" t="n"/>
      <c r="H988" s="18">
        <f>IF(AND(B988="",C988="",D988="",E988=""),"",IF(B988="","⚠ Falta fecha",IF(C988="","⚠ Falta monto",IF(D988="","⚠ Falta categoría",IF(ISNA(MATCH(D988,catNom,0)),"⚠ Categoría no existe",IF(E988="","⚠ Falta cuenta",IF(ISNA(MATCH(E988,ctaNom,0)),"⚠ Cuenta no existe",IF(AND(OR(I988="Transferencia",I988="Pago tarjeta"),G988=""),"⚠ Indica la cuenta «Hacia»",IF(AND(G988&lt;&gt;"",G988=E988),"⚠ «Hacia» igual a la cuenta",IF(AND(G988&lt;&gt;"",ISNA(MATCH(G988,ctaNom,0))),"⚠ «Hacia» no existe",IF(AND(I988="Pago tarjeta",IFERROR(INDEX(ctaTipo,MATCH(G988,ctaNom,0)),"")&lt;&gt;"Tarjeta de crédito"),"⚠ «Hacia» debe ser la tarjeta",IF(AND(I988="Trading",IFERROR(INDEX(ctaTipo,MATCH(E988,ctaNom,0)),"")&lt;&gt;"Cuenta de trading"),"⚠ Usa la cuenta de trading","✓"))))))))))))</f>
        <v/>
      </c>
      <c r="I988" s="19">
        <f>IF(OR(B988="",C988="",D988=""),"",IFERROR(INDEX(catTipo,MATCH(D988,catNom,0))&amp;"",""))</f>
        <v/>
      </c>
      <c r="J988" s="19">
        <f>IF(I988="","",IFERROR(INDEX(catGrupo,MATCH(D988,catNom,0))&amp;"",""))</f>
        <v/>
      </c>
      <c r="K988" s="19">
        <f>IF(I988="Gasto",IF(IFERROR(INDEX(catClas,MATCH(D988,catNom,0))&amp;"","")="","Variable",IFERROR(INDEX(catClas,MATCH(D988,catNom,0))&amp;"","")),"")</f>
        <v/>
      </c>
      <c r="L988" s="19">
        <f>IF(I988="","",IFERROR(INDEX(catAlim,MATCH(D988,catNom,0))&amp;"",""))</f>
        <v/>
      </c>
      <c r="M988" s="19">
        <f>IF(I988="","",IFERROR(INDEX(catComida,MATCH(D988,catNom,0))&amp;"",""))</f>
        <v/>
      </c>
      <c r="N988" s="19">
        <f>IF(I988="","",IFERROR(INDEX(ctaMon,MATCH(E988,ctaNom,0))&amp;"","DOP"))</f>
        <v/>
      </c>
      <c r="O988" s="20">
        <f>IF(I988="","",C988*IF(N988="USD",TasaUSD,1))</f>
        <v/>
      </c>
      <c r="P988" s="20">
        <f>IF(I988="","",IF(I988="Gasto",O988,0))</f>
        <v/>
      </c>
      <c r="Q988" s="20">
        <f>IF(I988="","",IF(I988="Ingreso",O988,0))</f>
        <v/>
      </c>
      <c r="R988" s="20">
        <f>IF(I988="","",IF(I988="Trading",O988,0))</f>
        <v/>
      </c>
      <c r="S988" s="19">
        <f>IF(I988="","",IF(AND(I988="Gasto",K988="Variable",J988&lt;&gt;"Trading",O988&gt;0,O988&lt;=Umbral),1,0))</f>
        <v/>
      </c>
      <c r="T988" s="20">
        <f>IF(OR(I988="",E988=""),"",IF(OR(I988="Gasto",I988="Transferencia",I988="Pago tarjeta"),-1,1)*C988)</f>
        <v/>
      </c>
      <c r="U988" s="20">
        <f>IF(OR(G988="",AND(I988&lt;&gt;"Transferencia",I988&lt;&gt;"Pago tarjeta")),"",IF(IFERROR(INDEX(ctaMon,MATCH(G988,ctaNom,0))&amp;"","DOP")=N988,C988,IF(N988="USD",C988*TasaUSD,C988/TasaUSD)))</f>
        <v/>
      </c>
      <c r="V988" s="20">
        <f>IF(I988="","",IF(IFERROR(INDEX(ctaLiq,MATCH(E988,ctaNom,0))="Sí",FALSE),IF(OR(I988="Gasto",I988="Transferencia",I988="Pago tarjeta"),-1,1)*O988,0)+IF(AND(U988&lt;&gt;"",IFERROR(INDEX(ctaLiq,MATCH(G988,ctaNom,0))="Sí",FALSE)),O988,0))</f>
        <v/>
      </c>
      <c r="W988" s="19">
        <f>IF(OR(F988="",I988=""),"",IF(COUNTIFS(F$6:F988,F988,I$6:I988,"?*")=1,MAX(W$5:W987)+1,""))</f>
        <v/>
      </c>
    </row>
    <row r="989">
      <c r="B989" s="15" t="n"/>
      <c r="C989" s="16" t="n"/>
      <c r="D989" s="17" t="n"/>
      <c r="E989" s="17" t="n"/>
      <c r="F989" s="17" t="n"/>
      <c r="G989" s="17" t="n"/>
      <c r="H989" s="18">
        <f>IF(AND(B989="",C989="",D989="",E989=""),"",IF(B989="","⚠ Falta fecha",IF(C989="","⚠ Falta monto",IF(D989="","⚠ Falta categoría",IF(ISNA(MATCH(D989,catNom,0)),"⚠ Categoría no existe",IF(E989="","⚠ Falta cuenta",IF(ISNA(MATCH(E989,ctaNom,0)),"⚠ Cuenta no existe",IF(AND(OR(I989="Transferencia",I989="Pago tarjeta"),G989=""),"⚠ Indica la cuenta «Hacia»",IF(AND(G989&lt;&gt;"",G989=E989),"⚠ «Hacia» igual a la cuenta",IF(AND(G989&lt;&gt;"",ISNA(MATCH(G989,ctaNom,0))),"⚠ «Hacia» no existe",IF(AND(I989="Pago tarjeta",IFERROR(INDEX(ctaTipo,MATCH(G989,ctaNom,0)),"")&lt;&gt;"Tarjeta de crédito"),"⚠ «Hacia» debe ser la tarjeta",IF(AND(I989="Trading",IFERROR(INDEX(ctaTipo,MATCH(E989,ctaNom,0)),"")&lt;&gt;"Cuenta de trading"),"⚠ Usa la cuenta de trading","✓"))))))))))))</f>
        <v/>
      </c>
      <c r="I989" s="19">
        <f>IF(OR(B989="",C989="",D989=""),"",IFERROR(INDEX(catTipo,MATCH(D989,catNom,0))&amp;"",""))</f>
        <v/>
      </c>
      <c r="J989" s="19">
        <f>IF(I989="","",IFERROR(INDEX(catGrupo,MATCH(D989,catNom,0))&amp;"",""))</f>
        <v/>
      </c>
      <c r="K989" s="19">
        <f>IF(I989="Gasto",IF(IFERROR(INDEX(catClas,MATCH(D989,catNom,0))&amp;"","")="","Variable",IFERROR(INDEX(catClas,MATCH(D989,catNom,0))&amp;"","")),"")</f>
        <v/>
      </c>
      <c r="L989" s="19">
        <f>IF(I989="","",IFERROR(INDEX(catAlim,MATCH(D989,catNom,0))&amp;"",""))</f>
        <v/>
      </c>
      <c r="M989" s="19">
        <f>IF(I989="","",IFERROR(INDEX(catComida,MATCH(D989,catNom,0))&amp;"",""))</f>
        <v/>
      </c>
      <c r="N989" s="19">
        <f>IF(I989="","",IFERROR(INDEX(ctaMon,MATCH(E989,ctaNom,0))&amp;"","DOP"))</f>
        <v/>
      </c>
      <c r="O989" s="20">
        <f>IF(I989="","",C989*IF(N989="USD",TasaUSD,1))</f>
        <v/>
      </c>
      <c r="P989" s="20">
        <f>IF(I989="","",IF(I989="Gasto",O989,0))</f>
        <v/>
      </c>
      <c r="Q989" s="20">
        <f>IF(I989="","",IF(I989="Ingreso",O989,0))</f>
        <v/>
      </c>
      <c r="R989" s="20">
        <f>IF(I989="","",IF(I989="Trading",O989,0))</f>
        <v/>
      </c>
      <c r="S989" s="19">
        <f>IF(I989="","",IF(AND(I989="Gasto",K989="Variable",J989&lt;&gt;"Trading",O989&gt;0,O989&lt;=Umbral),1,0))</f>
        <v/>
      </c>
      <c r="T989" s="20">
        <f>IF(OR(I989="",E989=""),"",IF(OR(I989="Gasto",I989="Transferencia",I989="Pago tarjeta"),-1,1)*C989)</f>
        <v/>
      </c>
      <c r="U989" s="20">
        <f>IF(OR(G989="",AND(I989&lt;&gt;"Transferencia",I989&lt;&gt;"Pago tarjeta")),"",IF(IFERROR(INDEX(ctaMon,MATCH(G989,ctaNom,0))&amp;"","DOP")=N989,C989,IF(N989="USD",C989*TasaUSD,C989/TasaUSD)))</f>
        <v/>
      </c>
      <c r="V989" s="20">
        <f>IF(I989="","",IF(IFERROR(INDEX(ctaLiq,MATCH(E989,ctaNom,0))="Sí",FALSE),IF(OR(I989="Gasto",I989="Transferencia",I989="Pago tarjeta"),-1,1)*O989,0)+IF(AND(U989&lt;&gt;"",IFERROR(INDEX(ctaLiq,MATCH(G989,ctaNom,0))="Sí",FALSE)),O989,0))</f>
        <v/>
      </c>
      <c r="W989" s="19">
        <f>IF(OR(F989="",I989=""),"",IF(COUNTIFS(F$6:F989,F989,I$6:I989,"?*")=1,MAX(W$5:W988)+1,""))</f>
        <v/>
      </c>
    </row>
    <row r="990">
      <c r="B990" s="15" t="n"/>
      <c r="C990" s="16" t="n"/>
      <c r="D990" s="17" t="n"/>
      <c r="E990" s="17" t="n"/>
      <c r="F990" s="17" t="n"/>
      <c r="G990" s="17" t="n"/>
      <c r="H990" s="18">
        <f>IF(AND(B990="",C990="",D990="",E990=""),"",IF(B990="","⚠ Falta fecha",IF(C990="","⚠ Falta monto",IF(D990="","⚠ Falta categoría",IF(ISNA(MATCH(D990,catNom,0)),"⚠ Categoría no existe",IF(E990="","⚠ Falta cuenta",IF(ISNA(MATCH(E990,ctaNom,0)),"⚠ Cuenta no existe",IF(AND(OR(I990="Transferencia",I990="Pago tarjeta"),G990=""),"⚠ Indica la cuenta «Hacia»",IF(AND(G990&lt;&gt;"",G990=E990),"⚠ «Hacia» igual a la cuenta",IF(AND(G990&lt;&gt;"",ISNA(MATCH(G990,ctaNom,0))),"⚠ «Hacia» no existe",IF(AND(I990="Pago tarjeta",IFERROR(INDEX(ctaTipo,MATCH(G990,ctaNom,0)),"")&lt;&gt;"Tarjeta de crédito"),"⚠ «Hacia» debe ser la tarjeta",IF(AND(I990="Trading",IFERROR(INDEX(ctaTipo,MATCH(E990,ctaNom,0)),"")&lt;&gt;"Cuenta de trading"),"⚠ Usa la cuenta de trading","✓"))))))))))))</f>
        <v/>
      </c>
      <c r="I990" s="19">
        <f>IF(OR(B990="",C990="",D990=""),"",IFERROR(INDEX(catTipo,MATCH(D990,catNom,0))&amp;"",""))</f>
        <v/>
      </c>
      <c r="J990" s="19">
        <f>IF(I990="","",IFERROR(INDEX(catGrupo,MATCH(D990,catNom,0))&amp;"",""))</f>
        <v/>
      </c>
      <c r="K990" s="19">
        <f>IF(I990="Gasto",IF(IFERROR(INDEX(catClas,MATCH(D990,catNom,0))&amp;"","")="","Variable",IFERROR(INDEX(catClas,MATCH(D990,catNom,0))&amp;"","")),"")</f>
        <v/>
      </c>
      <c r="L990" s="19">
        <f>IF(I990="","",IFERROR(INDEX(catAlim,MATCH(D990,catNom,0))&amp;"",""))</f>
        <v/>
      </c>
      <c r="M990" s="19">
        <f>IF(I990="","",IFERROR(INDEX(catComida,MATCH(D990,catNom,0))&amp;"",""))</f>
        <v/>
      </c>
      <c r="N990" s="19">
        <f>IF(I990="","",IFERROR(INDEX(ctaMon,MATCH(E990,ctaNom,0))&amp;"","DOP"))</f>
        <v/>
      </c>
      <c r="O990" s="20">
        <f>IF(I990="","",C990*IF(N990="USD",TasaUSD,1))</f>
        <v/>
      </c>
      <c r="P990" s="20">
        <f>IF(I990="","",IF(I990="Gasto",O990,0))</f>
        <v/>
      </c>
      <c r="Q990" s="20">
        <f>IF(I990="","",IF(I990="Ingreso",O990,0))</f>
        <v/>
      </c>
      <c r="R990" s="20">
        <f>IF(I990="","",IF(I990="Trading",O990,0))</f>
        <v/>
      </c>
      <c r="S990" s="19">
        <f>IF(I990="","",IF(AND(I990="Gasto",K990="Variable",J990&lt;&gt;"Trading",O990&gt;0,O990&lt;=Umbral),1,0))</f>
        <v/>
      </c>
      <c r="T990" s="20">
        <f>IF(OR(I990="",E990=""),"",IF(OR(I990="Gasto",I990="Transferencia",I990="Pago tarjeta"),-1,1)*C990)</f>
        <v/>
      </c>
      <c r="U990" s="20">
        <f>IF(OR(G990="",AND(I990&lt;&gt;"Transferencia",I990&lt;&gt;"Pago tarjeta")),"",IF(IFERROR(INDEX(ctaMon,MATCH(G990,ctaNom,0))&amp;"","DOP")=N990,C990,IF(N990="USD",C990*TasaUSD,C990/TasaUSD)))</f>
        <v/>
      </c>
      <c r="V990" s="20">
        <f>IF(I990="","",IF(IFERROR(INDEX(ctaLiq,MATCH(E990,ctaNom,0))="Sí",FALSE),IF(OR(I990="Gasto",I990="Transferencia",I990="Pago tarjeta"),-1,1)*O990,0)+IF(AND(U990&lt;&gt;"",IFERROR(INDEX(ctaLiq,MATCH(G990,ctaNom,0))="Sí",FALSE)),O990,0))</f>
        <v/>
      </c>
      <c r="W990" s="19">
        <f>IF(OR(F990="",I990=""),"",IF(COUNTIFS(F$6:F990,F990,I$6:I990,"?*")=1,MAX(W$5:W989)+1,""))</f>
        <v/>
      </c>
    </row>
    <row r="991">
      <c r="B991" s="15" t="n"/>
      <c r="C991" s="16" t="n"/>
      <c r="D991" s="17" t="n"/>
      <c r="E991" s="17" t="n"/>
      <c r="F991" s="17" t="n"/>
      <c r="G991" s="17" t="n"/>
      <c r="H991" s="18">
        <f>IF(AND(B991="",C991="",D991="",E991=""),"",IF(B991="","⚠ Falta fecha",IF(C991="","⚠ Falta monto",IF(D991="","⚠ Falta categoría",IF(ISNA(MATCH(D991,catNom,0)),"⚠ Categoría no existe",IF(E991="","⚠ Falta cuenta",IF(ISNA(MATCH(E991,ctaNom,0)),"⚠ Cuenta no existe",IF(AND(OR(I991="Transferencia",I991="Pago tarjeta"),G991=""),"⚠ Indica la cuenta «Hacia»",IF(AND(G991&lt;&gt;"",G991=E991),"⚠ «Hacia» igual a la cuenta",IF(AND(G991&lt;&gt;"",ISNA(MATCH(G991,ctaNom,0))),"⚠ «Hacia» no existe",IF(AND(I991="Pago tarjeta",IFERROR(INDEX(ctaTipo,MATCH(G991,ctaNom,0)),"")&lt;&gt;"Tarjeta de crédito"),"⚠ «Hacia» debe ser la tarjeta",IF(AND(I991="Trading",IFERROR(INDEX(ctaTipo,MATCH(E991,ctaNom,0)),"")&lt;&gt;"Cuenta de trading"),"⚠ Usa la cuenta de trading","✓"))))))))))))</f>
        <v/>
      </c>
      <c r="I991" s="19">
        <f>IF(OR(B991="",C991="",D991=""),"",IFERROR(INDEX(catTipo,MATCH(D991,catNom,0))&amp;"",""))</f>
        <v/>
      </c>
      <c r="J991" s="19">
        <f>IF(I991="","",IFERROR(INDEX(catGrupo,MATCH(D991,catNom,0))&amp;"",""))</f>
        <v/>
      </c>
      <c r="K991" s="19">
        <f>IF(I991="Gasto",IF(IFERROR(INDEX(catClas,MATCH(D991,catNom,0))&amp;"","")="","Variable",IFERROR(INDEX(catClas,MATCH(D991,catNom,0))&amp;"","")),"")</f>
        <v/>
      </c>
      <c r="L991" s="19">
        <f>IF(I991="","",IFERROR(INDEX(catAlim,MATCH(D991,catNom,0))&amp;"",""))</f>
        <v/>
      </c>
      <c r="M991" s="19">
        <f>IF(I991="","",IFERROR(INDEX(catComida,MATCH(D991,catNom,0))&amp;"",""))</f>
        <v/>
      </c>
      <c r="N991" s="19">
        <f>IF(I991="","",IFERROR(INDEX(ctaMon,MATCH(E991,ctaNom,0))&amp;"","DOP"))</f>
        <v/>
      </c>
      <c r="O991" s="20">
        <f>IF(I991="","",C991*IF(N991="USD",TasaUSD,1))</f>
        <v/>
      </c>
      <c r="P991" s="20">
        <f>IF(I991="","",IF(I991="Gasto",O991,0))</f>
        <v/>
      </c>
      <c r="Q991" s="20">
        <f>IF(I991="","",IF(I991="Ingreso",O991,0))</f>
        <v/>
      </c>
      <c r="R991" s="20">
        <f>IF(I991="","",IF(I991="Trading",O991,0))</f>
        <v/>
      </c>
      <c r="S991" s="19">
        <f>IF(I991="","",IF(AND(I991="Gasto",K991="Variable",J991&lt;&gt;"Trading",O991&gt;0,O991&lt;=Umbral),1,0))</f>
        <v/>
      </c>
      <c r="T991" s="20">
        <f>IF(OR(I991="",E991=""),"",IF(OR(I991="Gasto",I991="Transferencia",I991="Pago tarjeta"),-1,1)*C991)</f>
        <v/>
      </c>
      <c r="U991" s="20">
        <f>IF(OR(G991="",AND(I991&lt;&gt;"Transferencia",I991&lt;&gt;"Pago tarjeta")),"",IF(IFERROR(INDEX(ctaMon,MATCH(G991,ctaNom,0))&amp;"","DOP")=N991,C991,IF(N991="USD",C991*TasaUSD,C991/TasaUSD)))</f>
        <v/>
      </c>
      <c r="V991" s="20">
        <f>IF(I991="","",IF(IFERROR(INDEX(ctaLiq,MATCH(E991,ctaNom,0))="Sí",FALSE),IF(OR(I991="Gasto",I991="Transferencia",I991="Pago tarjeta"),-1,1)*O991,0)+IF(AND(U991&lt;&gt;"",IFERROR(INDEX(ctaLiq,MATCH(G991,ctaNom,0))="Sí",FALSE)),O991,0))</f>
        <v/>
      </c>
      <c r="W991" s="19">
        <f>IF(OR(F991="",I991=""),"",IF(COUNTIFS(F$6:F991,F991,I$6:I991,"?*")=1,MAX(W$5:W990)+1,""))</f>
        <v/>
      </c>
    </row>
    <row r="992">
      <c r="B992" s="15" t="n"/>
      <c r="C992" s="16" t="n"/>
      <c r="D992" s="17" t="n"/>
      <c r="E992" s="17" t="n"/>
      <c r="F992" s="17" t="n"/>
      <c r="G992" s="17" t="n"/>
      <c r="H992" s="18">
        <f>IF(AND(B992="",C992="",D992="",E992=""),"",IF(B992="","⚠ Falta fecha",IF(C992="","⚠ Falta monto",IF(D992="","⚠ Falta categoría",IF(ISNA(MATCH(D992,catNom,0)),"⚠ Categoría no existe",IF(E992="","⚠ Falta cuenta",IF(ISNA(MATCH(E992,ctaNom,0)),"⚠ Cuenta no existe",IF(AND(OR(I992="Transferencia",I992="Pago tarjeta"),G992=""),"⚠ Indica la cuenta «Hacia»",IF(AND(G992&lt;&gt;"",G992=E992),"⚠ «Hacia» igual a la cuenta",IF(AND(G992&lt;&gt;"",ISNA(MATCH(G992,ctaNom,0))),"⚠ «Hacia» no existe",IF(AND(I992="Pago tarjeta",IFERROR(INDEX(ctaTipo,MATCH(G992,ctaNom,0)),"")&lt;&gt;"Tarjeta de crédito"),"⚠ «Hacia» debe ser la tarjeta",IF(AND(I992="Trading",IFERROR(INDEX(ctaTipo,MATCH(E992,ctaNom,0)),"")&lt;&gt;"Cuenta de trading"),"⚠ Usa la cuenta de trading","✓"))))))))))))</f>
        <v/>
      </c>
      <c r="I992" s="19">
        <f>IF(OR(B992="",C992="",D992=""),"",IFERROR(INDEX(catTipo,MATCH(D992,catNom,0))&amp;"",""))</f>
        <v/>
      </c>
      <c r="J992" s="19">
        <f>IF(I992="","",IFERROR(INDEX(catGrupo,MATCH(D992,catNom,0))&amp;"",""))</f>
        <v/>
      </c>
      <c r="K992" s="19">
        <f>IF(I992="Gasto",IF(IFERROR(INDEX(catClas,MATCH(D992,catNom,0))&amp;"","")="","Variable",IFERROR(INDEX(catClas,MATCH(D992,catNom,0))&amp;"","")),"")</f>
        <v/>
      </c>
      <c r="L992" s="19">
        <f>IF(I992="","",IFERROR(INDEX(catAlim,MATCH(D992,catNom,0))&amp;"",""))</f>
        <v/>
      </c>
      <c r="M992" s="19">
        <f>IF(I992="","",IFERROR(INDEX(catComida,MATCH(D992,catNom,0))&amp;"",""))</f>
        <v/>
      </c>
      <c r="N992" s="19">
        <f>IF(I992="","",IFERROR(INDEX(ctaMon,MATCH(E992,ctaNom,0))&amp;"","DOP"))</f>
        <v/>
      </c>
      <c r="O992" s="20">
        <f>IF(I992="","",C992*IF(N992="USD",TasaUSD,1))</f>
        <v/>
      </c>
      <c r="P992" s="20">
        <f>IF(I992="","",IF(I992="Gasto",O992,0))</f>
        <v/>
      </c>
      <c r="Q992" s="20">
        <f>IF(I992="","",IF(I992="Ingreso",O992,0))</f>
        <v/>
      </c>
      <c r="R992" s="20">
        <f>IF(I992="","",IF(I992="Trading",O992,0))</f>
        <v/>
      </c>
      <c r="S992" s="19">
        <f>IF(I992="","",IF(AND(I992="Gasto",K992="Variable",J992&lt;&gt;"Trading",O992&gt;0,O992&lt;=Umbral),1,0))</f>
        <v/>
      </c>
      <c r="T992" s="20">
        <f>IF(OR(I992="",E992=""),"",IF(OR(I992="Gasto",I992="Transferencia",I992="Pago tarjeta"),-1,1)*C992)</f>
        <v/>
      </c>
      <c r="U992" s="20">
        <f>IF(OR(G992="",AND(I992&lt;&gt;"Transferencia",I992&lt;&gt;"Pago tarjeta")),"",IF(IFERROR(INDEX(ctaMon,MATCH(G992,ctaNom,0))&amp;"","DOP")=N992,C992,IF(N992="USD",C992*TasaUSD,C992/TasaUSD)))</f>
        <v/>
      </c>
      <c r="V992" s="20">
        <f>IF(I992="","",IF(IFERROR(INDEX(ctaLiq,MATCH(E992,ctaNom,0))="Sí",FALSE),IF(OR(I992="Gasto",I992="Transferencia",I992="Pago tarjeta"),-1,1)*O992,0)+IF(AND(U992&lt;&gt;"",IFERROR(INDEX(ctaLiq,MATCH(G992,ctaNom,0))="Sí",FALSE)),O992,0))</f>
        <v/>
      </c>
      <c r="W992" s="19">
        <f>IF(OR(F992="",I992=""),"",IF(COUNTIFS(F$6:F992,F992,I$6:I992,"?*")=1,MAX(W$5:W991)+1,""))</f>
        <v/>
      </c>
    </row>
    <row r="993">
      <c r="B993" s="15" t="n"/>
      <c r="C993" s="16" t="n"/>
      <c r="D993" s="17" t="n"/>
      <c r="E993" s="17" t="n"/>
      <c r="F993" s="17" t="n"/>
      <c r="G993" s="17" t="n"/>
      <c r="H993" s="18">
        <f>IF(AND(B993="",C993="",D993="",E993=""),"",IF(B993="","⚠ Falta fecha",IF(C993="","⚠ Falta monto",IF(D993="","⚠ Falta categoría",IF(ISNA(MATCH(D993,catNom,0)),"⚠ Categoría no existe",IF(E993="","⚠ Falta cuenta",IF(ISNA(MATCH(E993,ctaNom,0)),"⚠ Cuenta no existe",IF(AND(OR(I993="Transferencia",I993="Pago tarjeta"),G993=""),"⚠ Indica la cuenta «Hacia»",IF(AND(G993&lt;&gt;"",G993=E993),"⚠ «Hacia» igual a la cuenta",IF(AND(G993&lt;&gt;"",ISNA(MATCH(G993,ctaNom,0))),"⚠ «Hacia» no existe",IF(AND(I993="Pago tarjeta",IFERROR(INDEX(ctaTipo,MATCH(G993,ctaNom,0)),"")&lt;&gt;"Tarjeta de crédito"),"⚠ «Hacia» debe ser la tarjeta",IF(AND(I993="Trading",IFERROR(INDEX(ctaTipo,MATCH(E993,ctaNom,0)),"")&lt;&gt;"Cuenta de trading"),"⚠ Usa la cuenta de trading","✓"))))))))))))</f>
        <v/>
      </c>
      <c r="I993" s="19">
        <f>IF(OR(B993="",C993="",D993=""),"",IFERROR(INDEX(catTipo,MATCH(D993,catNom,0))&amp;"",""))</f>
        <v/>
      </c>
      <c r="J993" s="19">
        <f>IF(I993="","",IFERROR(INDEX(catGrupo,MATCH(D993,catNom,0))&amp;"",""))</f>
        <v/>
      </c>
      <c r="K993" s="19">
        <f>IF(I993="Gasto",IF(IFERROR(INDEX(catClas,MATCH(D993,catNom,0))&amp;"","")="","Variable",IFERROR(INDEX(catClas,MATCH(D993,catNom,0))&amp;"","")),"")</f>
        <v/>
      </c>
      <c r="L993" s="19">
        <f>IF(I993="","",IFERROR(INDEX(catAlim,MATCH(D993,catNom,0))&amp;"",""))</f>
        <v/>
      </c>
      <c r="M993" s="19">
        <f>IF(I993="","",IFERROR(INDEX(catComida,MATCH(D993,catNom,0))&amp;"",""))</f>
        <v/>
      </c>
      <c r="N993" s="19">
        <f>IF(I993="","",IFERROR(INDEX(ctaMon,MATCH(E993,ctaNom,0))&amp;"","DOP"))</f>
        <v/>
      </c>
      <c r="O993" s="20">
        <f>IF(I993="","",C993*IF(N993="USD",TasaUSD,1))</f>
        <v/>
      </c>
      <c r="P993" s="20">
        <f>IF(I993="","",IF(I993="Gasto",O993,0))</f>
        <v/>
      </c>
      <c r="Q993" s="20">
        <f>IF(I993="","",IF(I993="Ingreso",O993,0))</f>
        <v/>
      </c>
      <c r="R993" s="20">
        <f>IF(I993="","",IF(I993="Trading",O993,0))</f>
        <v/>
      </c>
      <c r="S993" s="19">
        <f>IF(I993="","",IF(AND(I993="Gasto",K993="Variable",J993&lt;&gt;"Trading",O993&gt;0,O993&lt;=Umbral),1,0))</f>
        <v/>
      </c>
      <c r="T993" s="20">
        <f>IF(OR(I993="",E993=""),"",IF(OR(I993="Gasto",I993="Transferencia",I993="Pago tarjeta"),-1,1)*C993)</f>
        <v/>
      </c>
      <c r="U993" s="20">
        <f>IF(OR(G993="",AND(I993&lt;&gt;"Transferencia",I993&lt;&gt;"Pago tarjeta")),"",IF(IFERROR(INDEX(ctaMon,MATCH(G993,ctaNom,0))&amp;"","DOP")=N993,C993,IF(N993="USD",C993*TasaUSD,C993/TasaUSD)))</f>
        <v/>
      </c>
      <c r="V993" s="20">
        <f>IF(I993="","",IF(IFERROR(INDEX(ctaLiq,MATCH(E993,ctaNom,0))="Sí",FALSE),IF(OR(I993="Gasto",I993="Transferencia",I993="Pago tarjeta"),-1,1)*O993,0)+IF(AND(U993&lt;&gt;"",IFERROR(INDEX(ctaLiq,MATCH(G993,ctaNom,0))="Sí",FALSE)),O993,0))</f>
        <v/>
      </c>
      <c r="W993" s="19">
        <f>IF(OR(F993="",I993=""),"",IF(COUNTIFS(F$6:F993,F993,I$6:I993,"?*")=1,MAX(W$5:W992)+1,""))</f>
        <v/>
      </c>
    </row>
    <row r="994">
      <c r="B994" s="15" t="n"/>
      <c r="C994" s="16" t="n"/>
      <c r="D994" s="17" t="n"/>
      <c r="E994" s="17" t="n"/>
      <c r="F994" s="17" t="n"/>
      <c r="G994" s="17" t="n"/>
      <c r="H994" s="18">
        <f>IF(AND(B994="",C994="",D994="",E994=""),"",IF(B994="","⚠ Falta fecha",IF(C994="","⚠ Falta monto",IF(D994="","⚠ Falta categoría",IF(ISNA(MATCH(D994,catNom,0)),"⚠ Categoría no existe",IF(E994="","⚠ Falta cuenta",IF(ISNA(MATCH(E994,ctaNom,0)),"⚠ Cuenta no existe",IF(AND(OR(I994="Transferencia",I994="Pago tarjeta"),G994=""),"⚠ Indica la cuenta «Hacia»",IF(AND(G994&lt;&gt;"",G994=E994),"⚠ «Hacia» igual a la cuenta",IF(AND(G994&lt;&gt;"",ISNA(MATCH(G994,ctaNom,0))),"⚠ «Hacia» no existe",IF(AND(I994="Pago tarjeta",IFERROR(INDEX(ctaTipo,MATCH(G994,ctaNom,0)),"")&lt;&gt;"Tarjeta de crédito"),"⚠ «Hacia» debe ser la tarjeta",IF(AND(I994="Trading",IFERROR(INDEX(ctaTipo,MATCH(E994,ctaNom,0)),"")&lt;&gt;"Cuenta de trading"),"⚠ Usa la cuenta de trading","✓"))))))))))))</f>
        <v/>
      </c>
      <c r="I994" s="19">
        <f>IF(OR(B994="",C994="",D994=""),"",IFERROR(INDEX(catTipo,MATCH(D994,catNom,0))&amp;"",""))</f>
        <v/>
      </c>
      <c r="J994" s="19">
        <f>IF(I994="","",IFERROR(INDEX(catGrupo,MATCH(D994,catNom,0))&amp;"",""))</f>
        <v/>
      </c>
      <c r="K994" s="19">
        <f>IF(I994="Gasto",IF(IFERROR(INDEX(catClas,MATCH(D994,catNom,0))&amp;"","")="","Variable",IFERROR(INDEX(catClas,MATCH(D994,catNom,0))&amp;"","")),"")</f>
        <v/>
      </c>
      <c r="L994" s="19">
        <f>IF(I994="","",IFERROR(INDEX(catAlim,MATCH(D994,catNom,0))&amp;"",""))</f>
        <v/>
      </c>
      <c r="M994" s="19">
        <f>IF(I994="","",IFERROR(INDEX(catComida,MATCH(D994,catNom,0))&amp;"",""))</f>
        <v/>
      </c>
      <c r="N994" s="19">
        <f>IF(I994="","",IFERROR(INDEX(ctaMon,MATCH(E994,ctaNom,0))&amp;"","DOP"))</f>
        <v/>
      </c>
      <c r="O994" s="20">
        <f>IF(I994="","",C994*IF(N994="USD",TasaUSD,1))</f>
        <v/>
      </c>
      <c r="P994" s="20">
        <f>IF(I994="","",IF(I994="Gasto",O994,0))</f>
        <v/>
      </c>
      <c r="Q994" s="20">
        <f>IF(I994="","",IF(I994="Ingreso",O994,0))</f>
        <v/>
      </c>
      <c r="R994" s="20">
        <f>IF(I994="","",IF(I994="Trading",O994,0))</f>
        <v/>
      </c>
      <c r="S994" s="19">
        <f>IF(I994="","",IF(AND(I994="Gasto",K994="Variable",J994&lt;&gt;"Trading",O994&gt;0,O994&lt;=Umbral),1,0))</f>
        <v/>
      </c>
      <c r="T994" s="20">
        <f>IF(OR(I994="",E994=""),"",IF(OR(I994="Gasto",I994="Transferencia",I994="Pago tarjeta"),-1,1)*C994)</f>
        <v/>
      </c>
      <c r="U994" s="20">
        <f>IF(OR(G994="",AND(I994&lt;&gt;"Transferencia",I994&lt;&gt;"Pago tarjeta")),"",IF(IFERROR(INDEX(ctaMon,MATCH(G994,ctaNom,0))&amp;"","DOP")=N994,C994,IF(N994="USD",C994*TasaUSD,C994/TasaUSD)))</f>
        <v/>
      </c>
      <c r="V994" s="20">
        <f>IF(I994="","",IF(IFERROR(INDEX(ctaLiq,MATCH(E994,ctaNom,0))="Sí",FALSE),IF(OR(I994="Gasto",I994="Transferencia",I994="Pago tarjeta"),-1,1)*O994,0)+IF(AND(U994&lt;&gt;"",IFERROR(INDEX(ctaLiq,MATCH(G994,ctaNom,0))="Sí",FALSE)),O994,0))</f>
        <v/>
      </c>
      <c r="W994" s="19">
        <f>IF(OR(F994="",I994=""),"",IF(COUNTIFS(F$6:F994,F994,I$6:I994,"?*")=1,MAX(W$5:W993)+1,""))</f>
        <v/>
      </c>
    </row>
    <row r="995">
      <c r="B995" s="15" t="n"/>
      <c r="C995" s="16" t="n"/>
      <c r="D995" s="17" t="n"/>
      <c r="E995" s="17" t="n"/>
      <c r="F995" s="17" t="n"/>
      <c r="G995" s="17" t="n"/>
      <c r="H995" s="18">
        <f>IF(AND(B995="",C995="",D995="",E995=""),"",IF(B995="","⚠ Falta fecha",IF(C995="","⚠ Falta monto",IF(D995="","⚠ Falta categoría",IF(ISNA(MATCH(D995,catNom,0)),"⚠ Categoría no existe",IF(E995="","⚠ Falta cuenta",IF(ISNA(MATCH(E995,ctaNom,0)),"⚠ Cuenta no existe",IF(AND(OR(I995="Transferencia",I995="Pago tarjeta"),G995=""),"⚠ Indica la cuenta «Hacia»",IF(AND(G995&lt;&gt;"",G995=E995),"⚠ «Hacia» igual a la cuenta",IF(AND(G995&lt;&gt;"",ISNA(MATCH(G995,ctaNom,0))),"⚠ «Hacia» no existe",IF(AND(I995="Pago tarjeta",IFERROR(INDEX(ctaTipo,MATCH(G995,ctaNom,0)),"")&lt;&gt;"Tarjeta de crédito"),"⚠ «Hacia» debe ser la tarjeta",IF(AND(I995="Trading",IFERROR(INDEX(ctaTipo,MATCH(E995,ctaNom,0)),"")&lt;&gt;"Cuenta de trading"),"⚠ Usa la cuenta de trading","✓"))))))))))))</f>
        <v/>
      </c>
      <c r="I995" s="19">
        <f>IF(OR(B995="",C995="",D995=""),"",IFERROR(INDEX(catTipo,MATCH(D995,catNom,0))&amp;"",""))</f>
        <v/>
      </c>
      <c r="J995" s="19">
        <f>IF(I995="","",IFERROR(INDEX(catGrupo,MATCH(D995,catNom,0))&amp;"",""))</f>
        <v/>
      </c>
      <c r="K995" s="19">
        <f>IF(I995="Gasto",IF(IFERROR(INDEX(catClas,MATCH(D995,catNom,0))&amp;"","")="","Variable",IFERROR(INDEX(catClas,MATCH(D995,catNom,0))&amp;"","")),"")</f>
        <v/>
      </c>
      <c r="L995" s="19">
        <f>IF(I995="","",IFERROR(INDEX(catAlim,MATCH(D995,catNom,0))&amp;"",""))</f>
        <v/>
      </c>
      <c r="M995" s="19">
        <f>IF(I995="","",IFERROR(INDEX(catComida,MATCH(D995,catNom,0))&amp;"",""))</f>
        <v/>
      </c>
      <c r="N995" s="19">
        <f>IF(I995="","",IFERROR(INDEX(ctaMon,MATCH(E995,ctaNom,0))&amp;"","DOP"))</f>
        <v/>
      </c>
      <c r="O995" s="20">
        <f>IF(I995="","",C995*IF(N995="USD",TasaUSD,1))</f>
        <v/>
      </c>
      <c r="P995" s="20">
        <f>IF(I995="","",IF(I995="Gasto",O995,0))</f>
        <v/>
      </c>
      <c r="Q995" s="20">
        <f>IF(I995="","",IF(I995="Ingreso",O995,0))</f>
        <v/>
      </c>
      <c r="R995" s="20">
        <f>IF(I995="","",IF(I995="Trading",O995,0))</f>
        <v/>
      </c>
      <c r="S995" s="19">
        <f>IF(I995="","",IF(AND(I995="Gasto",K995="Variable",J995&lt;&gt;"Trading",O995&gt;0,O995&lt;=Umbral),1,0))</f>
        <v/>
      </c>
      <c r="T995" s="20">
        <f>IF(OR(I995="",E995=""),"",IF(OR(I995="Gasto",I995="Transferencia",I995="Pago tarjeta"),-1,1)*C995)</f>
        <v/>
      </c>
      <c r="U995" s="20">
        <f>IF(OR(G995="",AND(I995&lt;&gt;"Transferencia",I995&lt;&gt;"Pago tarjeta")),"",IF(IFERROR(INDEX(ctaMon,MATCH(G995,ctaNom,0))&amp;"","DOP")=N995,C995,IF(N995="USD",C995*TasaUSD,C995/TasaUSD)))</f>
        <v/>
      </c>
      <c r="V995" s="20">
        <f>IF(I995="","",IF(IFERROR(INDEX(ctaLiq,MATCH(E995,ctaNom,0))="Sí",FALSE),IF(OR(I995="Gasto",I995="Transferencia",I995="Pago tarjeta"),-1,1)*O995,0)+IF(AND(U995&lt;&gt;"",IFERROR(INDEX(ctaLiq,MATCH(G995,ctaNom,0))="Sí",FALSE)),O995,0))</f>
        <v/>
      </c>
      <c r="W995" s="19">
        <f>IF(OR(F995="",I995=""),"",IF(COUNTIFS(F$6:F995,F995,I$6:I995,"?*")=1,MAX(W$5:W994)+1,""))</f>
        <v/>
      </c>
    </row>
    <row r="996">
      <c r="B996" s="15" t="n"/>
      <c r="C996" s="16" t="n"/>
      <c r="D996" s="17" t="n"/>
      <c r="E996" s="17" t="n"/>
      <c r="F996" s="17" t="n"/>
      <c r="G996" s="17" t="n"/>
      <c r="H996" s="18">
        <f>IF(AND(B996="",C996="",D996="",E996=""),"",IF(B996="","⚠ Falta fecha",IF(C996="","⚠ Falta monto",IF(D996="","⚠ Falta categoría",IF(ISNA(MATCH(D996,catNom,0)),"⚠ Categoría no existe",IF(E996="","⚠ Falta cuenta",IF(ISNA(MATCH(E996,ctaNom,0)),"⚠ Cuenta no existe",IF(AND(OR(I996="Transferencia",I996="Pago tarjeta"),G996=""),"⚠ Indica la cuenta «Hacia»",IF(AND(G996&lt;&gt;"",G996=E996),"⚠ «Hacia» igual a la cuenta",IF(AND(G996&lt;&gt;"",ISNA(MATCH(G996,ctaNom,0))),"⚠ «Hacia» no existe",IF(AND(I996="Pago tarjeta",IFERROR(INDEX(ctaTipo,MATCH(G996,ctaNom,0)),"")&lt;&gt;"Tarjeta de crédito"),"⚠ «Hacia» debe ser la tarjeta",IF(AND(I996="Trading",IFERROR(INDEX(ctaTipo,MATCH(E996,ctaNom,0)),"")&lt;&gt;"Cuenta de trading"),"⚠ Usa la cuenta de trading","✓"))))))))))))</f>
        <v/>
      </c>
      <c r="I996" s="19">
        <f>IF(OR(B996="",C996="",D996=""),"",IFERROR(INDEX(catTipo,MATCH(D996,catNom,0))&amp;"",""))</f>
        <v/>
      </c>
      <c r="J996" s="19">
        <f>IF(I996="","",IFERROR(INDEX(catGrupo,MATCH(D996,catNom,0))&amp;"",""))</f>
        <v/>
      </c>
      <c r="K996" s="19">
        <f>IF(I996="Gasto",IF(IFERROR(INDEX(catClas,MATCH(D996,catNom,0))&amp;"","")="","Variable",IFERROR(INDEX(catClas,MATCH(D996,catNom,0))&amp;"","")),"")</f>
        <v/>
      </c>
      <c r="L996" s="19">
        <f>IF(I996="","",IFERROR(INDEX(catAlim,MATCH(D996,catNom,0))&amp;"",""))</f>
        <v/>
      </c>
      <c r="M996" s="19">
        <f>IF(I996="","",IFERROR(INDEX(catComida,MATCH(D996,catNom,0))&amp;"",""))</f>
        <v/>
      </c>
      <c r="N996" s="19">
        <f>IF(I996="","",IFERROR(INDEX(ctaMon,MATCH(E996,ctaNom,0))&amp;"","DOP"))</f>
        <v/>
      </c>
      <c r="O996" s="20">
        <f>IF(I996="","",C996*IF(N996="USD",TasaUSD,1))</f>
        <v/>
      </c>
      <c r="P996" s="20">
        <f>IF(I996="","",IF(I996="Gasto",O996,0))</f>
        <v/>
      </c>
      <c r="Q996" s="20">
        <f>IF(I996="","",IF(I996="Ingreso",O996,0))</f>
        <v/>
      </c>
      <c r="R996" s="20">
        <f>IF(I996="","",IF(I996="Trading",O996,0))</f>
        <v/>
      </c>
      <c r="S996" s="19">
        <f>IF(I996="","",IF(AND(I996="Gasto",K996="Variable",J996&lt;&gt;"Trading",O996&gt;0,O996&lt;=Umbral),1,0))</f>
        <v/>
      </c>
      <c r="T996" s="20">
        <f>IF(OR(I996="",E996=""),"",IF(OR(I996="Gasto",I996="Transferencia",I996="Pago tarjeta"),-1,1)*C996)</f>
        <v/>
      </c>
      <c r="U996" s="20">
        <f>IF(OR(G996="",AND(I996&lt;&gt;"Transferencia",I996&lt;&gt;"Pago tarjeta")),"",IF(IFERROR(INDEX(ctaMon,MATCH(G996,ctaNom,0))&amp;"","DOP")=N996,C996,IF(N996="USD",C996*TasaUSD,C996/TasaUSD)))</f>
        <v/>
      </c>
      <c r="V996" s="20">
        <f>IF(I996="","",IF(IFERROR(INDEX(ctaLiq,MATCH(E996,ctaNom,0))="Sí",FALSE),IF(OR(I996="Gasto",I996="Transferencia",I996="Pago tarjeta"),-1,1)*O996,0)+IF(AND(U996&lt;&gt;"",IFERROR(INDEX(ctaLiq,MATCH(G996,ctaNom,0))="Sí",FALSE)),O996,0))</f>
        <v/>
      </c>
      <c r="W996" s="19">
        <f>IF(OR(F996="",I996=""),"",IF(COUNTIFS(F$6:F996,F996,I$6:I996,"?*")=1,MAX(W$5:W995)+1,""))</f>
        <v/>
      </c>
    </row>
    <row r="997">
      <c r="B997" s="15" t="n"/>
      <c r="C997" s="16" t="n"/>
      <c r="D997" s="17" t="n"/>
      <c r="E997" s="17" t="n"/>
      <c r="F997" s="17" t="n"/>
      <c r="G997" s="17" t="n"/>
      <c r="H997" s="18">
        <f>IF(AND(B997="",C997="",D997="",E997=""),"",IF(B997="","⚠ Falta fecha",IF(C997="","⚠ Falta monto",IF(D997="","⚠ Falta categoría",IF(ISNA(MATCH(D997,catNom,0)),"⚠ Categoría no existe",IF(E997="","⚠ Falta cuenta",IF(ISNA(MATCH(E997,ctaNom,0)),"⚠ Cuenta no existe",IF(AND(OR(I997="Transferencia",I997="Pago tarjeta"),G997=""),"⚠ Indica la cuenta «Hacia»",IF(AND(G997&lt;&gt;"",G997=E997),"⚠ «Hacia» igual a la cuenta",IF(AND(G997&lt;&gt;"",ISNA(MATCH(G997,ctaNom,0))),"⚠ «Hacia» no existe",IF(AND(I997="Pago tarjeta",IFERROR(INDEX(ctaTipo,MATCH(G997,ctaNom,0)),"")&lt;&gt;"Tarjeta de crédito"),"⚠ «Hacia» debe ser la tarjeta",IF(AND(I997="Trading",IFERROR(INDEX(ctaTipo,MATCH(E997,ctaNom,0)),"")&lt;&gt;"Cuenta de trading"),"⚠ Usa la cuenta de trading","✓"))))))))))))</f>
        <v/>
      </c>
      <c r="I997" s="19">
        <f>IF(OR(B997="",C997="",D997=""),"",IFERROR(INDEX(catTipo,MATCH(D997,catNom,0))&amp;"",""))</f>
        <v/>
      </c>
      <c r="J997" s="19">
        <f>IF(I997="","",IFERROR(INDEX(catGrupo,MATCH(D997,catNom,0))&amp;"",""))</f>
        <v/>
      </c>
      <c r="K997" s="19">
        <f>IF(I997="Gasto",IF(IFERROR(INDEX(catClas,MATCH(D997,catNom,0))&amp;"","")="","Variable",IFERROR(INDEX(catClas,MATCH(D997,catNom,0))&amp;"","")),"")</f>
        <v/>
      </c>
      <c r="L997" s="19">
        <f>IF(I997="","",IFERROR(INDEX(catAlim,MATCH(D997,catNom,0))&amp;"",""))</f>
        <v/>
      </c>
      <c r="M997" s="19">
        <f>IF(I997="","",IFERROR(INDEX(catComida,MATCH(D997,catNom,0))&amp;"",""))</f>
        <v/>
      </c>
      <c r="N997" s="19">
        <f>IF(I997="","",IFERROR(INDEX(ctaMon,MATCH(E997,ctaNom,0))&amp;"","DOP"))</f>
        <v/>
      </c>
      <c r="O997" s="20">
        <f>IF(I997="","",C997*IF(N997="USD",TasaUSD,1))</f>
        <v/>
      </c>
      <c r="P997" s="20">
        <f>IF(I997="","",IF(I997="Gasto",O997,0))</f>
        <v/>
      </c>
      <c r="Q997" s="20">
        <f>IF(I997="","",IF(I997="Ingreso",O997,0))</f>
        <v/>
      </c>
      <c r="R997" s="20">
        <f>IF(I997="","",IF(I997="Trading",O997,0))</f>
        <v/>
      </c>
      <c r="S997" s="19">
        <f>IF(I997="","",IF(AND(I997="Gasto",K997="Variable",J997&lt;&gt;"Trading",O997&gt;0,O997&lt;=Umbral),1,0))</f>
        <v/>
      </c>
      <c r="T997" s="20">
        <f>IF(OR(I997="",E997=""),"",IF(OR(I997="Gasto",I997="Transferencia",I997="Pago tarjeta"),-1,1)*C997)</f>
        <v/>
      </c>
      <c r="U997" s="20">
        <f>IF(OR(G997="",AND(I997&lt;&gt;"Transferencia",I997&lt;&gt;"Pago tarjeta")),"",IF(IFERROR(INDEX(ctaMon,MATCH(G997,ctaNom,0))&amp;"","DOP")=N997,C997,IF(N997="USD",C997*TasaUSD,C997/TasaUSD)))</f>
        <v/>
      </c>
      <c r="V997" s="20">
        <f>IF(I997="","",IF(IFERROR(INDEX(ctaLiq,MATCH(E997,ctaNom,0))="Sí",FALSE),IF(OR(I997="Gasto",I997="Transferencia",I997="Pago tarjeta"),-1,1)*O997,0)+IF(AND(U997&lt;&gt;"",IFERROR(INDEX(ctaLiq,MATCH(G997,ctaNom,0))="Sí",FALSE)),O997,0))</f>
        <v/>
      </c>
      <c r="W997" s="19">
        <f>IF(OR(F997="",I997=""),"",IF(COUNTIFS(F$6:F997,F997,I$6:I997,"?*")=1,MAX(W$5:W996)+1,""))</f>
        <v/>
      </c>
    </row>
    <row r="998">
      <c r="B998" s="15" t="n"/>
      <c r="C998" s="16" t="n"/>
      <c r="D998" s="17" t="n"/>
      <c r="E998" s="17" t="n"/>
      <c r="F998" s="17" t="n"/>
      <c r="G998" s="17" t="n"/>
      <c r="H998" s="18">
        <f>IF(AND(B998="",C998="",D998="",E998=""),"",IF(B998="","⚠ Falta fecha",IF(C998="","⚠ Falta monto",IF(D998="","⚠ Falta categoría",IF(ISNA(MATCH(D998,catNom,0)),"⚠ Categoría no existe",IF(E998="","⚠ Falta cuenta",IF(ISNA(MATCH(E998,ctaNom,0)),"⚠ Cuenta no existe",IF(AND(OR(I998="Transferencia",I998="Pago tarjeta"),G998=""),"⚠ Indica la cuenta «Hacia»",IF(AND(G998&lt;&gt;"",G998=E998),"⚠ «Hacia» igual a la cuenta",IF(AND(G998&lt;&gt;"",ISNA(MATCH(G998,ctaNom,0))),"⚠ «Hacia» no existe",IF(AND(I998="Pago tarjeta",IFERROR(INDEX(ctaTipo,MATCH(G998,ctaNom,0)),"")&lt;&gt;"Tarjeta de crédito"),"⚠ «Hacia» debe ser la tarjeta",IF(AND(I998="Trading",IFERROR(INDEX(ctaTipo,MATCH(E998,ctaNom,0)),"")&lt;&gt;"Cuenta de trading"),"⚠ Usa la cuenta de trading","✓"))))))))))))</f>
        <v/>
      </c>
      <c r="I998" s="19">
        <f>IF(OR(B998="",C998="",D998=""),"",IFERROR(INDEX(catTipo,MATCH(D998,catNom,0))&amp;"",""))</f>
        <v/>
      </c>
      <c r="J998" s="19">
        <f>IF(I998="","",IFERROR(INDEX(catGrupo,MATCH(D998,catNom,0))&amp;"",""))</f>
        <v/>
      </c>
      <c r="K998" s="19">
        <f>IF(I998="Gasto",IF(IFERROR(INDEX(catClas,MATCH(D998,catNom,0))&amp;"","")="","Variable",IFERROR(INDEX(catClas,MATCH(D998,catNom,0))&amp;"","")),"")</f>
        <v/>
      </c>
      <c r="L998" s="19">
        <f>IF(I998="","",IFERROR(INDEX(catAlim,MATCH(D998,catNom,0))&amp;"",""))</f>
        <v/>
      </c>
      <c r="M998" s="19">
        <f>IF(I998="","",IFERROR(INDEX(catComida,MATCH(D998,catNom,0))&amp;"",""))</f>
        <v/>
      </c>
      <c r="N998" s="19">
        <f>IF(I998="","",IFERROR(INDEX(ctaMon,MATCH(E998,ctaNom,0))&amp;"","DOP"))</f>
        <v/>
      </c>
      <c r="O998" s="20">
        <f>IF(I998="","",C998*IF(N998="USD",TasaUSD,1))</f>
        <v/>
      </c>
      <c r="P998" s="20">
        <f>IF(I998="","",IF(I998="Gasto",O998,0))</f>
        <v/>
      </c>
      <c r="Q998" s="20">
        <f>IF(I998="","",IF(I998="Ingreso",O998,0))</f>
        <v/>
      </c>
      <c r="R998" s="20">
        <f>IF(I998="","",IF(I998="Trading",O998,0))</f>
        <v/>
      </c>
      <c r="S998" s="19">
        <f>IF(I998="","",IF(AND(I998="Gasto",K998="Variable",J998&lt;&gt;"Trading",O998&gt;0,O998&lt;=Umbral),1,0))</f>
        <v/>
      </c>
      <c r="T998" s="20">
        <f>IF(OR(I998="",E998=""),"",IF(OR(I998="Gasto",I998="Transferencia",I998="Pago tarjeta"),-1,1)*C998)</f>
        <v/>
      </c>
      <c r="U998" s="20">
        <f>IF(OR(G998="",AND(I998&lt;&gt;"Transferencia",I998&lt;&gt;"Pago tarjeta")),"",IF(IFERROR(INDEX(ctaMon,MATCH(G998,ctaNom,0))&amp;"","DOP")=N998,C998,IF(N998="USD",C998*TasaUSD,C998/TasaUSD)))</f>
        <v/>
      </c>
      <c r="V998" s="20">
        <f>IF(I998="","",IF(IFERROR(INDEX(ctaLiq,MATCH(E998,ctaNom,0))="Sí",FALSE),IF(OR(I998="Gasto",I998="Transferencia",I998="Pago tarjeta"),-1,1)*O998,0)+IF(AND(U998&lt;&gt;"",IFERROR(INDEX(ctaLiq,MATCH(G998,ctaNom,0))="Sí",FALSE)),O998,0))</f>
        <v/>
      </c>
      <c r="W998" s="19">
        <f>IF(OR(F998="",I998=""),"",IF(COUNTIFS(F$6:F998,F998,I$6:I998,"?*")=1,MAX(W$5:W997)+1,""))</f>
        <v/>
      </c>
    </row>
    <row r="999">
      <c r="B999" s="15" t="n"/>
      <c r="C999" s="16" t="n"/>
      <c r="D999" s="17" t="n"/>
      <c r="E999" s="17" t="n"/>
      <c r="F999" s="17" t="n"/>
      <c r="G999" s="17" t="n"/>
      <c r="H999" s="18">
        <f>IF(AND(B999="",C999="",D999="",E999=""),"",IF(B999="","⚠ Falta fecha",IF(C999="","⚠ Falta monto",IF(D999="","⚠ Falta categoría",IF(ISNA(MATCH(D999,catNom,0)),"⚠ Categoría no existe",IF(E999="","⚠ Falta cuenta",IF(ISNA(MATCH(E999,ctaNom,0)),"⚠ Cuenta no existe",IF(AND(OR(I999="Transferencia",I999="Pago tarjeta"),G999=""),"⚠ Indica la cuenta «Hacia»",IF(AND(G999&lt;&gt;"",G999=E999),"⚠ «Hacia» igual a la cuenta",IF(AND(G999&lt;&gt;"",ISNA(MATCH(G999,ctaNom,0))),"⚠ «Hacia» no existe",IF(AND(I999="Pago tarjeta",IFERROR(INDEX(ctaTipo,MATCH(G999,ctaNom,0)),"")&lt;&gt;"Tarjeta de crédito"),"⚠ «Hacia» debe ser la tarjeta",IF(AND(I999="Trading",IFERROR(INDEX(ctaTipo,MATCH(E999,ctaNom,0)),"")&lt;&gt;"Cuenta de trading"),"⚠ Usa la cuenta de trading","✓"))))))))))))</f>
        <v/>
      </c>
      <c r="I999" s="19">
        <f>IF(OR(B999="",C999="",D999=""),"",IFERROR(INDEX(catTipo,MATCH(D999,catNom,0))&amp;"",""))</f>
        <v/>
      </c>
      <c r="J999" s="19">
        <f>IF(I999="","",IFERROR(INDEX(catGrupo,MATCH(D999,catNom,0))&amp;"",""))</f>
        <v/>
      </c>
      <c r="K999" s="19">
        <f>IF(I999="Gasto",IF(IFERROR(INDEX(catClas,MATCH(D999,catNom,0))&amp;"","")="","Variable",IFERROR(INDEX(catClas,MATCH(D999,catNom,0))&amp;"","")),"")</f>
        <v/>
      </c>
      <c r="L999" s="19">
        <f>IF(I999="","",IFERROR(INDEX(catAlim,MATCH(D999,catNom,0))&amp;"",""))</f>
        <v/>
      </c>
      <c r="M999" s="19">
        <f>IF(I999="","",IFERROR(INDEX(catComida,MATCH(D999,catNom,0))&amp;"",""))</f>
        <v/>
      </c>
      <c r="N999" s="19">
        <f>IF(I999="","",IFERROR(INDEX(ctaMon,MATCH(E999,ctaNom,0))&amp;"","DOP"))</f>
        <v/>
      </c>
      <c r="O999" s="20">
        <f>IF(I999="","",C999*IF(N999="USD",TasaUSD,1))</f>
        <v/>
      </c>
      <c r="P999" s="20">
        <f>IF(I999="","",IF(I999="Gasto",O999,0))</f>
        <v/>
      </c>
      <c r="Q999" s="20">
        <f>IF(I999="","",IF(I999="Ingreso",O999,0))</f>
        <v/>
      </c>
      <c r="R999" s="20">
        <f>IF(I999="","",IF(I999="Trading",O999,0))</f>
        <v/>
      </c>
      <c r="S999" s="19">
        <f>IF(I999="","",IF(AND(I999="Gasto",K999="Variable",J999&lt;&gt;"Trading",O999&gt;0,O999&lt;=Umbral),1,0))</f>
        <v/>
      </c>
      <c r="T999" s="20">
        <f>IF(OR(I999="",E999=""),"",IF(OR(I999="Gasto",I999="Transferencia",I999="Pago tarjeta"),-1,1)*C999)</f>
        <v/>
      </c>
      <c r="U999" s="20">
        <f>IF(OR(G999="",AND(I999&lt;&gt;"Transferencia",I999&lt;&gt;"Pago tarjeta")),"",IF(IFERROR(INDEX(ctaMon,MATCH(G999,ctaNom,0))&amp;"","DOP")=N999,C999,IF(N999="USD",C999*TasaUSD,C999/TasaUSD)))</f>
        <v/>
      </c>
      <c r="V999" s="20">
        <f>IF(I999="","",IF(IFERROR(INDEX(ctaLiq,MATCH(E999,ctaNom,0))="Sí",FALSE),IF(OR(I999="Gasto",I999="Transferencia",I999="Pago tarjeta"),-1,1)*O999,0)+IF(AND(U999&lt;&gt;"",IFERROR(INDEX(ctaLiq,MATCH(G999,ctaNom,0))="Sí",FALSE)),O999,0))</f>
        <v/>
      </c>
      <c r="W999" s="19">
        <f>IF(OR(F999="",I999=""),"",IF(COUNTIFS(F$6:F999,F999,I$6:I999,"?*")=1,MAX(W$5:W998)+1,""))</f>
        <v/>
      </c>
    </row>
    <row r="1000">
      <c r="B1000" s="15" t="n"/>
      <c r="C1000" s="16" t="n"/>
      <c r="D1000" s="17" t="n"/>
      <c r="E1000" s="17" t="n"/>
      <c r="F1000" s="17" t="n"/>
      <c r="G1000" s="17" t="n"/>
      <c r="H1000" s="18">
        <f>IF(AND(B1000="",C1000="",D1000="",E1000=""),"",IF(B1000="","⚠ Falta fecha",IF(C1000="","⚠ Falta monto",IF(D1000="","⚠ Falta categoría",IF(ISNA(MATCH(D1000,catNom,0)),"⚠ Categoría no existe",IF(E1000="","⚠ Falta cuenta",IF(ISNA(MATCH(E1000,ctaNom,0)),"⚠ Cuenta no existe",IF(AND(OR(I1000="Transferencia",I1000="Pago tarjeta"),G1000=""),"⚠ Indica la cuenta «Hacia»",IF(AND(G1000&lt;&gt;"",G1000=E1000),"⚠ «Hacia» igual a la cuenta",IF(AND(G1000&lt;&gt;"",ISNA(MATCH(G1000,ctaNom,0))),"⚠ «Hacia» no existe",IF(AND(I1000="Pago tarjeta",IFERROR(INDEX(ctaTipo,MATCH(G1000,ctaNom,0)),"")&lt;&gt;"Tarjeta de crédito"),"⚠ «Hacia» debe ser la tarjeta",IF(AND(I1000="Trading",IFERROR(INDEX(ctaTipo,MATCH(E1000,ctaNom,0)),"")&lt;&gt;"Cuenta de trading"),"⚠ Usa la cuenta de trading","✓"))))))))))))</f>
        <v/>
      </c>
      <c r="I1000" s="19">
        <f>IF(OR(B1000="",C1000="",D1000=""),"",IFERROR(INDEX(catTipo,MATCH(D1000,catNom,0))&amp;"",""))</f>
        <v/>
      </c>
      <c r="J1000" s="19">
        <f>IF(I1000="","",IFERROR(INDEX(catGrupo,MATCH(D1000,catNom,0))&amp;"",""))</f>
        <v/>
      </c>
      <c r="K1000" s="19">
        <f>IF(I1000="Gasto",IF(IFERROR(INDEX(catClas,MATCH(D1000,catNom,0))&amp;"","")="","Variable",IFERROR(INDEX(catClas,MATCH(D1000,catNom,0))&amp;"","")),"")</f>
        <v/>
      </c>
      <c r="L1000" s="19">
        <f>IF(I1000="","",IFERROR(INDEX(catAlim,MATCH(D1000,catNom,0))&amp;"",""))</f>
        <v/>
      </c>
      <c r="M1000" s="19">
        <f>IF(I1000="","",IFERROR(INDEX(catComida,MATCH(D1000,catNom,0))&amp;"",""))</f>
        <v/>
      </c>
      <c r="N1000" s="19">
        <f>IF(I1000="","",IFERROR(INDEX(ctaMon,MATCH(E1000,ctaNom,0))&amp;"","DOP"))</f>
        <v/>
      </c>
      <c r="O1000" s="20">
        <f>IF(I1000="","",C1000*IF(N1000="USD",TasaUSD,1))</f>
        <v/>
      </c>
      <c r="P1000" s="20">
        <f>IF(I1000="","",IF(I1000="Gasto",O1000,0))</f>
        <v/>
      </c>
      <c r="Q1000" s="20">
        <f>IF(I1000="","",IF(I1000="Ingreso",O1000,0))</f>
        <v/>
      </c>
      <c r="R1000" s="20">
        <f>IF(I1000="","",IF(I1000="Trading",O1000,0))</f>
        <v/>
      </c>
      <c r="S1000" s="19">
        <f>IF(I1000="","",IF(AND(I1000="Gasto",K1000="Variable",J1000&lt;&gt;"Trading",O1000&gt;0,O1000&lt;=Umbral),1,0))</f>
        <v/>
      </c>
      <c r="T1000" s="20">
        <f>IF(OR(I1000="",E1000=""),"",IF(OR(I1000="Gasto",I1000="Transferencia",I1000="Pago tarjeta"),-1,1)*C1000)</f>
        <v/>
      </c>
      <c r="U1000" s="20">
        <f>IF(OR(G1000="",AND(I1000&lt;&gt;"Transferencia",I1000&lt;&gt;"Pago tarjeta")),"",IF(IFERROR(INDEX(ctaMon,MATCH(G1000,ctaNom,0))&amp;"","DOP")=N1000,C1000,IF(N1000="USD",C1000*TasaUSD,C1000/TasaUSD)))</f>
        <v/>
      </c>
      <c r="V1000" s="20">
        <f>IF(I1000="","",IF(IFERROR(INDEX(ctaLiq,MATCH(E1000,ctaNom,0))="Sí",FALSE),IF(OR(I1000="Gasto",I1000="Transferencia",I1000="Pago tarjeta"),-1,1)*O1000,0)+IF(AND(U1000&lt;&gt;"",IFERROR(INDEX(ctaLiq,MATCH(G1000,ctaNom,0))="Sí",FALSE)),O1000,0))</f>
        <v/>
      </c>
      <c r="W1000" s="19">
        <f>IF(OR(F1000="",I1000=""),"",IF(COUNTIFS(F$6:F1000,F1000,I$6:I1000,"?*")=1,MAX(W$5:W999)+1,""))</f>
        <v/>
      </c>
    </row>
    <row r="1001">
      <c r="B1001" s="15" t="n"/>
      <c r="C1001" s="16" t="n"/>
      <c r="D1001" s="17" t="n"/>
      <c r="E1001" s="17" t="n"/>
      <c r="F1001" s="17" t="n"/>
      <c r="G1001" s="17" t="n"/>
      <c r="H1001" s="18">
        <f>IF(AND(B1001="",C1001="",D1001="",E1001=""),"",IF(B1001="","⚠ Falta fecha",IF(C1001="","⚠ Falta monto",IF(D1001="","⚠ Falta categoría",IF(ISNA(MATCH(D1001,catNom,0)),"⚠ Categoría no existe",IF(E1001="","⚠ Falta cuenta",IF(ISNA(MATCH(E1001,ctaNom,0)),"⚠ Cuenta no existe",IF(AND(OR(I1001="Transferencia",I1001="Pago tarjeta"),G1001=""),"⚠ Indica la cuenta «Hacia»",IF(AND(G1001&lt;&gt;"",G1001=E1001),"⚠ «Hacia» igual a la cuenta",IF(AND(G1001&lt;&gt;"",ISNA(MATCH(G1001,ctaNom,0))),"⚠ «Hacia» no existe",IF(AND(I1001="Pago tarjeta",IFERROR(INDEX(ctaTipo,MATCH(G1001,ctaNom,0)),"")&lt;&gt;"Tarjeta de crédito"),"⚠ «Hacia» debe ser la tarjeta",IF(AND(I1001="Trading",IFERROR(INDEX(ctaTipo,MATCH(E1001,ctaNom,0)),"")&lt;&gt;"Cuenta de trading"),"⚠ Usa la cuenta de trading","✓"))))))))))))</f>
        <v/>
      </c>
      <c r="I1001" s="19">
        <f>IF(OR(B1001="",C1001="",D1001=""),"",IFERROR(INDEX(catTipo,MATCH(D1001,catNom,0))&amp;"",""))</f>
        <v/>
      </c>
      <c r="J1001" s="19">
        <f>IF(I1001="","",IFERROR(INDEX(catGrupo,MATCH(D1001,catNom,0))&amp;"",""))</f>
        <v/>
      </c>
      <c r="K1001" s="19">
        <f>IF(I1001="Gasto",IF(IFERROR(INDEX(catClas,MATCH(D1001,catNom,0))&amp;"","")="","Variable",IFERROR(INDEX(catClas,MATCH(D1001,catNom,0))&amp;"","")),"")</f>
        <v/>
      </c>
      <c r="L1001" s="19">
        <f>IF(I1001="","",IFERROR(INDEX(catAlim,MATCH(D1001,catNom,0))&amp;"",""))</f>
        <v/>
      </c>
      <c r="M1001" s="19">
        <f>IF(I1001="","",IFERROR(INDEX(catComida,MATCH(D1001,catNom,0))&amp;"",""))</f>
        <v/>
      </c>
      <c r="N1001" s="19">
        <f>IF(I1001="","",IFERROR(INDEX(ctaMon,MATCH(E1001,ctaNom,0))&amp;"","DOP"))</f>
        <v/>
      </c>
      <c r="O1001" s="20">
        <f>IF(I1001="","",C1001*IF(N1001="USD",TasaUSD,1))</f>
        <v/>
      </c>
      <c r="P1001" s="20">
        <f>IF(I1001="","",IF(I1001="Gasto",O1001,0))</f>
        <v/>
      </c>
      <c r="Q1001" s="20">
        <f>IF(I1001="","",IF(I1001="Ingreso",O1001,0))</f>
        <v/>
      </c>
      <c r="R1001" s="20">
        <f>IF(I1001="","",IF(I1001="Trading",O1001,0))</f>
        <v/>
      </c>
      <c r="S1001" s="19">
        <f>IF(I1001="","",IF(AND(I1001="Gasto",K1001="Variable",J1001&lt;&gt;"Trading",O1001&gt;0,O1001&lt;=Umbral),1,0))</f>
        <v/>
      </c>
      <c r="T1001" s="20">
        <f>IF(OR(I1001="",E1001=""),"",IF(OR(I1001="Gasto",I1001="Transferencia",I1001="Pago tarjeta"),-1,1)*C1001)</f>
        <v/>
      </c>
      <c r="U1001" s="20">
        <f>IF(OR(G1001="",AND(I1001&lt;&gt;"Transferencia",I1001&lt;&gt;"Pago tarjeta")),"",IF(IFERROR(INDEX(ctaMon,MATCH(G1001,ctaNom,0))&amp;"","DOP")=N1001,C1001,IF(N1001="USD",C1001*TasaUSD,C1001/TasaUSD)))</f>
        <v/>
      </c>
      <c r="V1001" s="20">
        <f>IF(I1001="","",IF(IFERROR(INDEX(ctaLiq,MATCH(E1001,ctaNom,0))="Sí",FALSE),IF(OR(I1001="Gasto",I1001="Transferencia",I1001="Pago tarjeta"),-1,1)*O1001,0)+IF(AND(U1001&lt;&gt;"",IFERROR(INDEX(ctaLiq,MATCH(G1001,ctaNom,0))="Sí",FALSE)),O1001,0))</f>
        <v/>
      </c>
      <c r="W1001" s="19">
        <f>IF(OR(F1001="",I1001=""),"",IF(COUNTIFS(F$6:F1001,F1001,I$6:I1001,"?*")=1,MAX(W$5:W1000)+1,""))</f>
        <v/>
      </c>
    </row>
    <row r="1002">
      <c r="B1002" s="15" t="n"/>
      <c r="C1002" s="16" t="n"/>
      <c r="D1002" s="17" t="n"/>
      <c r="E1002" s="17" t="n"/>
      <c r="F1002" s="17" t="n"/>
      <c r="G1002" s="17" t="n"/>
      <c r="H1002" s="18">
        <f>IF(AND(B1002="",C1002="",D1002="",E1002=""),"",IF(B1002="","⚠ Falta fecha",IF(C1002="","⚠ Falta monto",IF(D1002="","⚠ Falta categoría",IF(ISNA(MATCH(D1002,catNom,0)),"⚠ Categoría no existe",IF(E1002="","⚠ Falta cuenta",IF(ISNA(MATCH(E1002,ctaNom,0)),"⚠ Cuenta no existe",IF(AND(OR(I1002="Transferencia",I1002="Pago tarjeta"),G1002=""),"⚠ Indica la cuenta «Hacia»",IF(AND(G1002&lt;&gt;"",G1002=E1002),"⚠ «Hacia» igual a la cuenta",IF(AND(G1002&lt;&gt;"",ISNA(MATCH(G1002,ctaNom,0))),"⚠ «Hacia» no existe",IF(AND(I1002="Pago tarjeta",IFERROR(INDEX(ctaTipo,MATCH(G1002,ctaNom,0)),"")&lt;&gt;"Tarjeta de crédito"),"⚠ «Hacia» debe ser la tarjeta",IF(AND(I1002="Trading",IFERROR(INDEX(ctaTipo,MATCH(E1002,ctaNom,0)),"")&lt;&gt;"Cuenta de trading"),"⚠ Usa la cuenta de trading","✓"))))))))))))</f>
        <v/>
      </c>
      <c r="I1002" s="19">
        <f>IF(OR(B1002="",C1002="",D1002=""),"",IFERROR(INDEX(catTipo,MATCH(D1002,catNom,0))&amp;"",""))</f>
        <v/>
      </c>
      <c r="J1002" s="19">
        <f>IF(I1002="","",IFERROR(INDEX(catGrupo,MATCH(D1002,catNom,0))&amp;"",""))</f>
        <v/>
      </c>
      <c r="K1002" s="19">
        <f>IF(I1002="Gasto",IF(IFERROR(INDEX(catClas,MATCH(D1002,catNom,0))&amp;"","")="","Variable",IFERROR(INDEX(catClas,MATCH(D1002,catNom,0))&amp;"","")),"")</f>
        <v/>
      </c>
      <c r="L1002" s="19">
        <f>IF(I1002="","",IFERROR(INDEX(catAlim,MATCH(D1002,catNom,0))&amp;"",""))</f>
        <v/>
      </c>
      <c r="M1002" s="19">
        <f>IF(I1002="","",IFERROR(INDEX(catComida,MATCH(D1002,catNom,0))&amp;"",""))</f>
        <v/>
      </c>
      <c r="N1002" s="19">
        <f>IF(I1002="","",IFERROR(INDEX(ctaMon,MATCH(E1002,ctaNom,0))&amp;"","DOP"))</f>
        <v/>
      </c>
      <c r="O1002" s="20">
        <f>IF(I1002="","",C1002*IF(N1002="USD",TasaUSD,1))</f>
        <v/>
      </c>
      <c r="P1002" s="20">
        <f>IF(I1002="","",IF(I1002="Gasto",O1002,0))</f>
        <v/>
      </c>
      <c r="Q1002" s="20">
        <f>IF(I1002="","",IF(I1002="Ingreso",O1002,0))</f>
        <v/>
      </c>
      <c r="R1002" s="20">
        <f>IF(I1002="","",IF(I1002="Trading",O1002,0))</f>
        <v/>
      </c>
      <c r="S1002" s="19">
        <f>IF(I1002="","",IF(AND(I1002="Gasto",K1002="Variable",J1002&lt;&gt;"Trading",O1002&gt;0,O1002&lt;=Umbral),1,0))</f>
        <v/>
      </c>
      <c r="T1002" s="20">
        <f>IF(OR(I1002="",E1002=""),"",IF(OR(I1002="Gasto",I1002="Transferencia",I1002="Pago tarjeta"),-1,1)*C1002)</f>
        <v/>
      </c>
      <c r="U1002" s="20">
        <f>IF(OR(G1002="",AND(I1002&lt;&gt;"Transferencia",I1002&lt;&gt;"Pago tarjeta")),"",IF(IFERROR(INDEX(ctaMon,MATCH(G1002,ctaNom,0))&amp;"","DOP")=N1002,C1002,IF(N1002="USD",C1002*TasaUSD,C1002/TasaUSD)))</f>
        <v/>
      </c>
      <c r="V1002" s="20">
        <f>IF(I1002="","",IF(IFERROR(INDEX(ctaLiq,MATCH(E1002,ctaNom,0))="Sí",FALSE),IF(OR(I1002="Gasto",I1002="Transferencia",I1002="Pago tarjeta"),-1,1)*O1002,0)+IF(AND(U1002&lt;&gt;"",IFERROR(INDEX(ctaLiq,MATCH(G1002,ctaNom,0))="Sí",FALSE)),O1002,0))</f>
        <v/>
      </c>
      <c r="W1002" s="19">
        <f>IF(OR(F1002="",I1002=""),"",IF(COUNTIFS(F$6:F1002,F1002,I$6:I1002,"?*")=1,MAX(W$5:W1001)+1,""))</f>
        <v/>
      </c>
    </row>
    <row r="1003">
      <c r="B1003" s="15" t="n"/>
      <c r="C1003" s="16" t="n"/>
      <c r="D1003" s="17" t="n"/>
      <c r="E1003" s="17" t="n"/>
      <c r="F1003" s="17" t="n"/>
      <c r="G1003" s="17" t="n"/>
      <c r="H1003" s="18">
        <f>IF(AND(B1003="",C1003="",D1003="",E1003=""),"",IF(B1003="","⚠ Falta fecha",IF(C1003="","⚠ Falta monto",IF(D1003="","⚠ Falta categoría",IF(ISNA(MATCH(D1003,catNom,0)),"⚠ Categoría no existe",IF(E1003="","⚠ Falta cuenta",IF(ISNA(MATCH(E1003,ctaNom,0)),"⚠ Cuenta no existe",IF(AND(OR(I1003="Transferencia",I1003="Pago tarjeta"),G1003=""),"⚠ Indica la cuenta «Hacia»",IF(AND(G1003&lt;&gt;"",G1003=E1003),"⚠ «Hacia» igual a la cuenta",IF(AND(G1003&lt;&gt;"",ISNA(MATCH(G1003,ctaNom,0))),"⚠ «Hacia» no existe",IF(AND(I1003="Pago tarjeta",IFERROR(INDEX(ctaTipo,MATCH(G1003,ctaNom,0)),"")&lt;&gt;"Tarjeta de crédito"),"⚠ «Hacia» debe ser la tarjeta",IF(AND(I1003="Trading",IFERROR(INDEX(ctaTipo,MATCH(E1003,ctaNom,0)),"")&lt;&gt;"Cuenta de trading"),"⚠ Usa la cuenta de trading","✓"))))))))))))</f>
        <v/>
      </c>
      <c r="I1003" s="19">
        <f>IF(OR(B1003="",C1003="",D1003=""),"",IFERROR(INDEX(catTipo,MATCH(D1003,catNom,0))&amp;"",""))</f>
        <v/>
      </c>
      <c r="J1003" s="19">
        <f>IF(I1003="","",IFERROR(INDEX(catGrupo,MATCH(D1003,catNom,0))&amp;"",""))</f>
        <v/>
      </c>
      <c r="K1003" s="19">
        <f>IF(I1003="Gasto",IF(IFERROR(INDEX(catClas,MATCH(D1003,catNom,0))&amp;"","")="","Variable",IFERROR(INDEX(catClas,MATCH(D1003,catNom,0))&amp;"","")),"")</f>
        <v/>
      </c>
      <c r="L1003" s="19">
        <f>IF(I1003="","",IFERROR(INDEX(catAlim,MATCH(D1003,catNom,0))&amp;"",""))</f>
        <v/>
      </c>
      <c r="M1003" s="19">
        <f>IF(I1003="","",IFERROR(INDEX(catComida,MATCH(D1003,catNom,0))&amp;"",""))</f>
        <v/>
      </c>
      <c r="N1003" s="19">
        <f>IF(I1003="","",IFERROR(INDEX(ctaMon,MATCH(E1003,ctaNom,0))&amp;"","DOP"))</f>
        <v/>
      </c>
      <c r="O1003" s="20">
        <f>IF(I1003="","",C1003*IF(N1003="USD",TasaUSD,1))</f>
        <v/>
      </c>
      <c r="P1003" s="20">
        <f>IF(I1003="","",IF(I1003="Gasto",O1003,0))</f>
        <v/>
      </c>
      <c r="Q1003" s="20">
        <f>IF(I1003="","",IF(I1003="Ingreso",O1003,0))</f>
        <v/>
      </c>
      <c r="R1003" s="20">
        <f>IF(I1003="","",IF(I1003="Trading",O1003,0))</f>
        <v/>
      </c>
      <c r="S1003" s="19">
        <f>IF(I1003="","",IF(AND(I1003="Gasto",K1003="Variable",J1003&lt;&gt;"Trading",O1003&gt;0,O1003&lt;=Umbral),1,0))</f>
        <v/>
      </c>
      <c r="T1003" s="20">
        <f>IF(OR(I1003="",E1003=""),"",IF(OR(I1003="Gasto",I1003="Transferencia",I1003="Pago tarjeta"),-1,1)*C1003)</f>
        <v/>
      </c>
      <c r="U1003" s="20">
        <f>IF(OR(G1003="",AND(I1003&lt;&gt;"Transferencia",I1003&lt;&gt;"Pago tarjeta")),"",IF(IFERROR(INDEX(ctaMon,MATCH(G1003,ctaNom,0))&amp;"","DOP")=N1003,C1003,IF(N1003="USD",C1003*TasaUSD,C1003/TasaUSD)))</f>
        <v/>
      </c>
      <c r="V1003" s="20">
        <f>IF(I1003="","",IF(IFERROR(INDEX(ctaLiq,MATCH(E1003,ctaNom,0))="Sí",FALSE),IF(OR(I1003="Gasto",I1003="Transferencia",I1003="Pago tarjeta"),-1,1)*O1003,0)+IF(AND(U1003&lt;&gt;"",IFERROR(INDEX(ctaLiq,MATCH(G1003,ctaNom,0))="Sí",FALSE)),O1003,0))</f>
        <v/>
      </c>
      <c r="W1003" s="19">
        <f>IF(OR(F1003="",I1003=""),"",IF(COUNTIFS(F$6:F1003,F1003,I$6:I1003,"?*")=1,MAX(W$5:W1002)+1,""))</f>
        <v/>
      </c>
    </row>
    <row r="1004">
      <c r="B1004" s="15" t="n"/>
      <c r="C1004" s="16" t="n"/>
      <c r="D1004" s="17" t="n"/>
      <c r="E1004" s="17" t="n"/>
      <c r="F1004" s="17" t="n"/>
      <c r="G1004" s="17" t="n"/>
      <c r="H1004" s="18">
        <f>IF(AND(B1004="",C1004="",D1004="",E1004=""),"",IF(B1004="","⚠ Falta fecha",IF(C1004="","⚠ Falta monto",IF(D1004="","⚠ Falta categoría",IF(ISNA(MATCH(D1004,catNom,0)),"⚠ Categoría no existe",IF(E1004="","⚠ Falta cuenta",IF(ISNA(MATCH(E1004,ctaNom,0)),"⚠ Cuenta no existe",IF(AND(OR(I1004="Transferencia",I1004="Pago tarjeta"),G1004=""),"⚠ Indica la cuenta «Hacia»",IF(AND(G1004&lt;&gt;"",G1004=E1004),"⚠ «Hacia» igual a la cuenta",IF(AND(G1004&lt;&gt;"",ISNA(MATCH(G1004,ctaNom,0))),"⚠ «Hacia» no existe",IF(AND(I1004="Pago tarjeta",IFERROR(INDEX(ctaTipo,MATCH(G1004,ctaNom,0)),"")&lt;&gt;"Tarjeta de crédito"),"⚠ «Hacia» debe ser la tarjeta",IF(AND(I1004="Trading",IFERROR(INDEX(ctaTipo,MATCH(E1004,ctaNom,0)),"")&lt;&gt;"Cuenta de trading"),"⚠ Usa la cuenta de trading","✓"))))))))))))</f>
        <v/>
      </c>
      <c r="I1004" s="19">
        <f>IF(OR(B1004="",C1004="",D1004=""),"",IFERROR(INDEX(catTipo,MATCH(D1004,catNom,0))&amp;"",""))</f>
        <v/>
      </c>
      <c r="J1004" s="19">
        <f>IF(I1004="","",IFERROR(INDEX(catGrupo,MATCH(D1004,catNom,0))&amp;"",""))</f>
        <v/>
      </c>
      <c r="K1004" s="19">
        <f>IF(I1004="Gasto",IF(IFERROR(INDEX(catClas,MATCH(D1004,catNom,0))&amp;"","")="","Variable",IFERROR(INDEX(catClas,MATCH(D1004,catNom,0))&amp;"","")),"")</f>
        <v/>
      </c>
      <c r="L1004" s="19">
        <f>IF(I1004="","",IFERROR(INDEX(catAlim,MATCH(D1004,catNom,0))&amp;"",""))</f>
        <v/>
      </c>
      <c r="M1004" s="19">
        <f>IF(I1004="","",IFERROR(INDEX(catComida,MATCH(D1004,catNom,0))&amp;"",""))</f>
        <v/>
      </c>
      <c r="N1004" s="19">
        <f>IF(I1004="","",IFERROR(INDEX(ctaMon,MATCH(E1004,ctaNom,0))&amp;"","DOP"))</f>
        <v/>
      </c>
      <c r="O1004" s="20">
        <f>IF(I1004="","",C1004*IF(N1004="USD",TasaUSD,1))</f>
        <v/>
      </c>
      <c r="P1004" s="20">
        <f>IF(I1004="","",IF(I1004="Gasto",O1004,0))</f>
        <v/>
      </c>
      <c r="Q1004" s="20">
        <f>IF(I1004="","",IF(I1004="Ingreso",O1004,0))</f>
        <v/>
      </c>
      <c r="R1004" s="20">
        <f>IF(I1004="","",IF(I1004="Trading",O1004,0))</f>
        <v/>
      </c>
      <c r="S1004" s="19">
        <f>IF(I1004="","",IF(AND(I1004="Gasto",K1004="Variable",J1004&lt;&gt;"Trading",O1004&gt;0,O1004&lt;=Umbral),1,0))</f>
        <v/>
      </c>
      <c r="T1004" s="20">
        <f>IF(OR(I1004="",E1004=""),"",IF(OR(I1004="Gasto",I1004="Transferencia",I1004="Pago tarjeta"),-1,1)*C1004)</f>
        <v/>
      </c>
      <c r="U1004" s="20">
        <f>IF(OR(G1004="",AND(I1004&lt;&gt;"Transferencia",I1004&lt;&gt;"Pago tarjeta")),"",IF(IFERROR(INDEX(ctaMon,MATCH(G1004,ctaNom,0))&amp;"","DOP")=N1004,C1004,IF(N1004="USD",C1004*TasaUSD,C1004/TasaUSD)))</f>
        <v/>
      </c>
      <c r="V1004" s="20">
        <f>IF(I1004="","",IF(IFERROR(INDEX(ctaLiq,MATCH(E1004,ctaNom,0))="Sí",FALSE),IF(OR(I1004="Gasto",I1004="Transferencia",I1004="Pago tarjeta"),-1,1)*O1004,0)+IF(AND(U1004&lt;&gt;"",IFERROR(INDEX(ctaLiq,MATCH(G1004,ctaNom,0))="Sí",FALSE)),O1004,0))</f>
        <v/>
      </c>
      <c r="W1004" s="19">
        <f>IF(OR(F1004="",I1004=""),"",IF(COUNTIFS(F$6:F1004,F1004,I$6:I1004,"?*")=1,MAX(W$5:W1003)+1,""))</f>
        <v/>
      </c>
    </row>
    <row r="1005">
      <c r="B1005" s="15" t="n"/>
      <c r="C1005" s="16" t="n"/>
      <c r="D1005" s="17" t="n"/>
      <c r="E1005" s="17" t="n"/>
      <c r="F1005" s="17" t="n"/>
      <c r="G1005" s="17" t="n"/>
      <c r="H1005" s="18">
        <f>IF(AND(B1005="",C1005="",D1005="",E1005=""),"",IF(B1005="","⚠ Falta fecha",IF(C1005="","⚠ Falta monto",IF(D1005="","⚠ Falta categoría",IF(ISNA(MATCH(D1005,catNom,0)),"⚠ Categoría no existe",IF(E1005="","⚠ Falta cuenta",IF(ISNA(MATCH(E1005,ctaNom,0)),"⚠ Cuenta no existe",IF(AND(OR(I1005="Transferencia",I1005="Pago tarjeta"),G1005=""),"⚠ Indica la cuenta «Hacia»",IF(AND(G1005&lt;&gt;"",G1005=E1005),"⚠ «Hacia» igual a la cuenta",IF(AND(G1005&lt;&gt;"",ISNA(MATCH(G1005,ctaNom,0))),"⚠ «Hacia» no existe",IF(AND(I1005="Pago tarjeta",IFERROR(INDEX(ctaTipo,MATCH(G1005,ctaNom,0)),"")&lt;&gt;"Tarjeta de crédito"),"⚠ «Hacia» debe ser la tarjeta",IF(AND(I1005="Trading",IFERROR(INDEX(ctaTipo,MATCH(E1005,ctaNom,0)),"")&lt;&gt;"Cuenta de trading"),"⚠ Usa la cuenta de trading","✓"))))))))))))</f>
        <v/>
      </c>
      <c r="I1005" s="19">
        <f>IF(OR(B1005="",C1005="",D1005=""),"",IFERROR(INDEX(catTipo,MATCH(D1005,catNom,0))&amp;"",""))</f>
        <v/>
      </c>
      <c r="J1005" s="19">
        <f>IF(I1005="","",IFERROR(INDEX(catGrupo,MATCH(D1005,catNom,0))&amp;"",""))</f>
        <v/>
      </c>
      <c r="K1005" s="19">
        <f>IF(I1005="Gasto",IF(IFERROR(INDEX(catClas,MATCH(D1005,catNom,0))&amp;"","")="","Variable",IFERROR(INDEX(catClas,MATCH(D1005,catNom,0))&amp;"","")),"")</f>
        <v/>
      </c>
      <c r="L1005" s="19">
        <f>IF(I1005="","",IFERROR(INDEX(catAlim,MATCH(D1005,catNom,0))&amp;"",""))</f>
        <v/>
      </c>
      <c r="M1005" s="19">
        <f>IF(I1005="","",IFERROR(INDEX(catComida,MATCH(D1005,catNom,0))&amp;"",""))</f>
        <v/>
      </c>
      <c r="N1005" s="19">
        <f>IF(I1005="","",IFERROR(INDEX(ctaMon,MATCH(E1005,ctaNom,0))&amp;"","DOP"))</f>
        <v/>
      </c>
      <c r="O1005" s="20">
        <f>IF(I1005="","",C1005*IF(N1005="USD",TasaUSD,1))</f>
        <v/>
      </c>
      <c r="P1005" s="20">
        <f>IF(I1005="","",IF(I1005="Gasto",O1005,0))</f>
        <v/>
      </c>
      <c r="Q1005" s="20">
        <f>IF(I1005="","",IF(I1005="Ingreso",O1005,0))</f>
        <v/>
      </c>
      <c r="R1005" s="20">
        <f>IF(I1005="","",IF(I1005="Trading",O1005,0))</f>
        <v/>
      </c>
      <c r="S1005" s="19">
        <f>IF(I1005="","",IF(AND(I1005="Gasto",K1005="Variable",J1005&lt;&gt;"Trading",O1005&gt;0,O1005&lt;=Umbral),1,0))</f>
        <v/>
      </c>
      <c r="T1005" s="20">
        <f>IF(OR(I1005="",E1005=""),"",IF(OR(I1005="Gasto",I1005="Transferencia",I1005="Pago tarjeta"),-1,1)*C1005)</f>
        <v/>
      </c>
      <c r="U1005" s="20">
        <f>IF(OR(G1005="",AND(I1005&lt;&gt;"Transferencia",I1005&lt;&gt;"Pago tarjeta")),"",IF(IFERROR(INDEX(ctaMon,MATCH(G1005,ctaNom,0))&amp;"","DOP")=N1005,C1005,IF(N1005="USD",C1005*TasaUSD,C1005/TasaUSD)))</f>
        <v/>
      </c>
      <c r="V1005" s="20">
        <f>IF(I1005="","",IF(IFERROR(INDEX(ctaLiq,MATCH(E1005,ctaNom,0))="Sí",FALSE),IF(OR(I1005="Gasto",I1005="Transferencia",I1005="Pago tarjeta"),-1,1)*O1005,0)+IF(AND(U1005&lt;&gt;"",IFERROR(INDEX(ctaLiq,MATCH(G1005,ctaNom,0))="Sí",FALSE)),O1005,0))</f>
        <v/>
      </c>
      <c r="W1005" s="19">
        <f>IF(OR(F1005="",I1005=""),"",IF(COUNTIFS(F$6:F1005,F1005,I$6:I1005,"?*")=1,MAX(W$5:W1004)+1,""))</f>
        <v/>
      </c>
    </row>
    <row r="1006">
      <c r="B1006" s="15" t="n"/>
      <c r="C1006" s="16" t="n"/>
      <c r="D1006" s="17" t="n"/>
      <c r="E1006" s="17" t="n"/>
      <c r="F1006" s="17" t="n"/>
      <c r="G1006" s="17" t="n"/>
      <c r="H1006" s="18">
        <f>IF(AND(B1006="",C1006="",D1006="",E1006=""),"",IF(B1006="","⚠ Falta fecha",IF(C1006="","⚠ Falta monto",IF(D1006="","⚠ Falta categoría",IF(ISNA(MATCH(D1006,catNom,0)),"⚠ Categoría no existe",IF(E1006="","⚠ Falta cuenta",IF(ISNA(MATCH(E1006,ctaNom,0)),"⚠ Cuenta no existe",IF(AND(OR(I1006="Transferencia",I1006="Pago tarjeta"),G1006=""),"⚠ Indica la cuenta «Hacia»",IF(AND(G1006&lt;&gt;"",G1006=E1006),"⚠ «Hacia» igual a la cuenta",IF(AND(G1006&lt;&gt;"",ISNA(MATCH(G1006,ctaNom,0))),"⚠ «Hacia» no existe",IF(AND(I1006="Pago tarjeta",IFERROR(INDEX(ctaTipo,MATCH(G1006,ctaNom,0)),"")&lt;&gt;"Tarjeta de crédito"),"⚠ «Hacia» debe ser la tarjeta",IF(AND(I1006="Trading",IFERROR(INDEX(ctaTipo,MATCH(E1006,ctaNom,0)),"")&lt;&gt;"Cuenta de trading"),"⚠ Usa la cuenta de trading","✓"))))))))))))</f>
        <v/>
      </c>
      <c r="I1006" s="19">
        <f>IF(OR(B1006="",C1006="",D1006=""),"",IFERROR(INDEX(catTipo,MATCH(D1006,catNom,0))&amp;"",""))</f>
        <v/>
      </c>
      <c r="J1006" s="19">
        <f>IF(I1006="","",IFERROR(INDEX(catGrupo,MATCH(D1006,catNom,0))&amp;"",""))</f>
        <v/>
      </c>
      <c r="K1006" s="19">
        <f>IF(I1006="Gasto",IF(IFERROR(INDEX(catClas,MATCH(D1006,catNom,0))&amp;"","")="","Variable",IFERROR(INDEX(catClas,MATCH(D1006,catNom,0))&amp;"","")),"")</f>
        <v/>
      </c>
      <c r="L1006" s="19">
        <f>IF(I1006="","",IFERROR(INDEX(catAlim,MATCH(D1006,catNom,0))&amp;"",""))</f>
        <v/>
      </c>
      <c r="M1006" s="19">
        <f>IF(I1006="","",IFERROR(INDEX(catComida,MATCH(D1006,catNom,0))&amp;"",""))</f>
        <v/>
      </c>
      <c r="N1006" s="19">
        <f>IF(I1006="","",IFERROR(INDEX(ctaMon,MATCH(E1006,ctaNom,0))&amp;"","DOP"))</f>
        <v/>
      </c>
      <c r="O1006" s="20">
        <f>IF(I1006="","",C1006*IF(N1006="USD",TasaUSD,1))</f>
        <v/>
      </c>
      <c r="P1006" s="20">
        <f>IF(I1006="","",IF(I1006="Gasto",O1006,0))</f>
        <v/>
      </c>
      <c r="Q1006" s="20">
        <f>IF(I1006="","",IF(I1006="Ingreso",O1006,0))</f>
        <v/>
      </c>
      <c r="R1006" s="20">
        <f>IF(I1006="","",IF(I1006="Trading",O1006,0))</f>
        <v/>
      </c>
      <c r="S1006" s="19">
        <f>IF(I1006="","",IF(AND(I1006="Gasto",K1006="Variable",J1006&lt;&gt;"Trading",O1006&gt;0,O1006&lt;=Umbral),1,0))</f>
        <v/>
      </c>
      <c r="T1006" s="20">
        <f>IF(OR(I1006="",E1006=""),"",IF(OR(I1006="Gasto",I1006="Transferencia",I1006="Pago tarjeta"),-1,1)*C1006)</f>
        <v/>
      </c>
      <c r="U1006" s="20">
        <f>IF(OR(G1006="",AND(I1006&lt;&gt;"Transferencia",I1006&lt;&gt;"Pago tarjeta")),"",IF(IFERROR(INDEX(ctaMon,MATCH(G1006,ctaNom,0))&amp;"","DOP")=N1006,C1006,IF(N1006="USD",C1006*TasaUSD,C1006/TasaUSD)))</f>
        <v/>
      </c>
      <c r="V1006" s="20">
        <f>IF(I1006="","",IF(IFERROR(INDEX(ctaLiq,MATCH(E1006,ctaNom,0))="Sí",FALSE),IF(OR(I1006="Gasto",I1006="Transferencia",I1006="Pago tarjeta"),-1,1)*O1006,0)+IF(AND(U1006&lt;&gt;"",IFERROR(INDEX(ctaLiq,MATCH(G1006,ctaNom,0))="Sí",FALSE)),O1006,0))</f>
        <v/>
      </c>
      <c r="W1006" s="19">
        <f>IF(OR(F1006="",I1006=""),"",IF(COUNTIFS(F$6:F1006,F1006,I$6:I1006,"?*")=1,MAX(W$5:W1005)+1,""))</f>
        <v/>
      </c>
    </row>
    <row r="1007">
      <c r="B1007" s="15" t="n"/>
      <c r="C1007" s="16" t="n"/>
      <c r="D1007" s="17" t="n"/>
      <c r="E1007" s="17" t="n"/>
      <c r="F1007" s="17" t="n"/>
      <c r="G1007" s="17" t="n"/>
      <c r="H1007" s="18">
        <f>IF(AND(B1007="",C1007="",D1007="",E1007=""),"",IF(B1007="","⚠ Falta fecha",IF(C1007="","⚠ Falta monto",IF(D1007="","⚠ Falta categoría",IF(ISNA(MATCH(D1007,catNom,0)),"⚠ Categoría no existe",IF(E1007="","⚠ Falta cuenta",IF(ISNA(MATCH(E1007,ctaNom,0)),"⚠ Cuenta no existe",IF(AND(OR(I1007="Transferencia",I1007="Pago tarjeta"),G1007=""),"⚠ Indica la cuenta «Hacia»",IF(AND(G1007&lt;&gt;"",G1007=E1007),"⚠ «Hacia» igual a la cuenta",IF(AND(G1007&lt;&gt;"",ISNA(MATCH(G1007,ctaNom,0))),"⚠ «Hacia» no existe",IF(AND(I1007="Pago tarjeta",IFERROR(INDEX(ctaTipo,MATCH(G1007,ctaNom,0)),"")&lt;&gt;"Tarjeta de crédito"),"⚠ «Hacia» debe ser la tarjeta",IF(AND(I1007="Trading",IFERROR(INDEX(ctaTipo,MATCH(E1007,ctaNom,0)),"")&lt;&gt;"Cuenta de trading"),"⚠ Usa la cuenta de trading","✓"))))))))))))</f>
        <v/>
      </c>
      <c r="I1007" s="19">
        <f>IF(OR(B1007="",C1007="",D1007=""),"",IFERROR(INDEX(catTipo,MATCH(D1007,catNom,0))&amp;"",""))</f>
        <v/>
      </c>
      <c r="J1007" s="19">
        <f>IF(I1007="","",IFERROR(INDEX(catGrupo,MATCH(D1007,catNom,0))&amp;"",""))</f>
        <v/>
      </c>
      <c r="K1007" s="19">
        <f>IF(I1007="Gasto",IF(IFERROR(INDEX(catClas,MATCH(D1007,catNom,0))&amp;"","")="","Variable",IFERROR(INDEX(catClas,MATCH(D1007,catNom,0))&amp;"","")),"")</f>
        <v/>
      </c>
      <c r="L1007" s="19">
        <f>IF(I1007="","",IFERROR(INDEX(catAlim,MATCH(D1007,catNom,0))&amp;"",""))</f>
        <v/>
      </c>
      <c r="M1007" s="19">
        <f>IF(I1007="","",IFERROR(INDEX(catComida,MATCH(D1007,catNom,0))&amp;"",""))</f>
        <v/>
      </c>
      <c r="N1007" s="19">
        <f>IF(I1007="","",IFERROR(INDEX(ctaMon,MATCH(E1007,ctaNom,0))&amp;"","DOP"))</f>
        <v/>
      </c>
      <c r="O1007" s="20">
        <f>IF(I1007="","",C1007*IF(N1007="USD",TasaUSD,1))</f>
        <v/>
      </c>
      <c r="P1007" s="20">
        <f>IF(I1007="","",IF(I1007="Gasto",O1007,0))</f>
        <v/>
      </c>
      <c r="Q1007" s="20">
        <f>IF(I1007="","",IF(I1007="Ingreso",O1007,0))</f>
        <v/>
      </c>
      <c r="R1007" s="20">
        <f>IF(I1007="","",IF(I1007="Trading",O1007,0))</f>
        <v/>
      </c>
      <c r="S1007" s="19">
        <f>IF(I1007="","",IF(AND(I1007="Gasto",K1007="Variable",J1007&lt;&gt;"Trading",O1007&gt;0,O1007&lt;=Umbral),1,0))</f>
        <v/>
      </c>
      <c r="T1007" s="20">
        <f>IF(OR(I1007="",E1007=""),"",IF(OR(I1007="Gasto",I1007="Transferencia",I1007="Pago tarjeta"),-1,1)*C1007)</f>
        <v/>
      </c>
      <c r="U1007" s="20">
        <f>IF(OR(G1007="",AND(I1007&lt;&gt;"Transferencia",I1007&lt;&gt;"Pago tarjeta")),"",IF(IFERROR(INDEX(ctaMon,MATCH(G1007,ctaNom,0))&amp;"","DOP")=N1007,C1007,IF(N1007="USD",C1007*TasaUSD,C1007/TasaUSD)))</f>
        <v/>
      </c>
      <c r="V1007" s="20">
        <f>IF(I1007="","",IF(IFERROR(INDEX(ctaLiq,MATCH(E1007,ctaNom,0))="Sí",FALSE),IF(OR(I1007="Gasto",I1007="Transferencia",I1007="Pago tarjeta"),-1,1)*O1007,0)+IF(AND(U1007&lt;&gt;"",IFERROR(INDEX(ctaLiq,MATCH(G1007,ctaNom,0))="Sí",FALSE)),O1007,0))</f>
        <v/>
      </c>
      <c r="W1007" s="19">
        <f>IF(OR(F1007="",I1007=""),"",IF(COUNTIFS(F$6:F1007,F1007,I$6:I1007,"?*")=1,MAX(W$5:W1006)+1,""))</f>
        <v/>
      </c>
    </row>
    <row r="1008">
      <c r="B1008" s="15" t="n"/>
      <c r="C1008" s="16" t="n"/>
      <c r="D1008" s="17" t="n"/>
      <c r="E1008" s="17" t="n"/>
      <c r="F1008" s="17" t="n"/>
      <c r="G1008" s="17" t="n"/>
      <c r="H1008" s="18">
        <f>IF(AND(B1008="",C1008="",D1008="",E1008=""),"",IF(B1008="","⚠ Falta fecha",IF(C1008="","⚠ Falta monto",IF(D1008="","⚠ Falta categoría",IF(ISNA(MATCH(D1008,catNom,0)),"⚠ Categoría no existe",IF(E1008="","⚠ Falta cuenta",IF(ISNA(MATCH(E1008,ctaNom,0)),"⚠ Cuenta no existe",IF(AND(OR(I1008="Transferencia",I1008="Pago tarjeta"),G1008=""),"⚠ Indica la cuenta «Hacia»",IF(AND(G1008&lt;&gt;"",G1008=E1008),"⚠ «Hacia» igual a la cuenta",IF(AND(G1008&lt;&gt;"",ISNA(MATCH(G1008,ctaNom,0))),"⚠ «Hacia» no existe",IF(AND(I1008="Pago tarjeta",IFERROR(INDEX(ctaTipo,MATCH(G1008,ctaNom,0)),"")&lt;&gt;"Tarjeta de crédito"),"⚠ «Hacia» debe ser la tarjeta",IF(AND(I1008="Trading",IFERROR(INDEX(ctaTipo,MATCH(E1008,ctaNom,0)),"")&lt;&gt;"Cuenta de trading"),"⚠ Usa la cuenta de trading","✓"))))))))))))</f>
        <v/>
      </c>
      <c r="I1008" s="19">
        <f>IF(OR(B1008="",C1008="",D1008=""),"",IFERROR(INDEX(catTipo,MATCH(D1008,catNom,0))&amp;"",""))</f>
        <v/>
      </c>
      <c r="J1008" s="19">
        <f>IF(I1008="","",IFERROR(INDEX(catGrupo,MATCH(D1008,catNom,0))&amp;"",""))</f>
        <v/>
      </c>
      <c r="K1008" s="19">
        <f>IF(I1008="Gasto",IF(IFERROR(INDEX(catClas,MATCH(D1008,catNom,0))&amp;"","")="","Variable",IFERROR(INDEX(catClas,MATCH(D1008,catNom,0))&amp;"","")),"")</f>
        <v/>
      </c>
      <c r="L1008" s="19">
        <f>IF(I1008="","",IFERROR(INDEX(catAlim,MATCH(D1008,catNom,0))&amp;"",""))</f>
        <v/>
      </c>
      <c r="M1008" s="19">
        <f>IF(I1008="","",IFERROR(INDEX(catComida,MATCH(D1008,catNom,0))&amp;"",""))</f>
        <v/>
      </c>
      <c r="N1008" s="19">
        <f>IF(I1008="","",IFERROR(INDEX(ctaMon,MATCH(E1008,ctaNom,0))&amp;"","DOP"))</f>
        <v/>
      </c>
      <c r="O1008" s="20">
        <f>IF(I1008="","",C1008*IF(N1008="USD",TasaUSD,1))</f>
        <v/>
      </c>
      <c r="P1008" s="20">
        <f>IF(I1008="","",IF(I1008="Gasto",O1008,0))</f>
        <v/>
      </c>
      <c r="Q1008" s="20">
        <f>IF(I1008="","",IF(I1008="Ingreso",O1008,0))</f>
        <v/>
      </c>
      <c r="R1008" s="20">
        <f>IF(I1008="","",IF(I1008="Trading",O1008,0))</f>
        <v/>
      </c>
      <c r="S1008" s="19">
        <f>IF(I1008="","",IF(AND(I1008="Gasto",K1008="Variable",J1008&lt;&gt;"Trading",O1008&gt;0,O1008&lt;=Umbral),1,0))</f>
        <v/>
      </c>
      <c r="T1008" s="20">
        <f>IF(OR(I1008="",E1008=""),"",IF(OR(I1008="Gasto",I1008="Transferencia",I1008="Pago tarjeta"),-1,1)*C1008)</f>
        <v/>
      </c>
      <c r="U1008" s="20">
        <f>IF(OR(G1008="",AND(I1008&lt;&gt;"Transferencia",I1008&lt;&gt;"Pago tarjeta")),"",IF(IFERROR(INDEX(ctaMon,MATCH(G1008,ctaNom,0))&amp;"","DOP")=N1008,C1008,IF(N1008="USD",C1008*TasaUSD,C1008/TasaUSD)))</f>
        <v/>
      </c>
      <c r="V1008" s="20">
        <f>IF(I1008="","",IF(IFERROR(INDEX(ctaLiq,MATCH(E1008,ctaNom,0))="Sí",FALSE),IF(OR(I1008="Gasto",I1008="Transferencia",I1008="Pago tarjeta"),-1,1)*O1008,0)+IF(AND(U1008&lt;&gt;"",IFERROR(INDEX(ctaLiq,MATCH(G1008,ctaNom,0))="Sí",FALSE)),O1008,0))</f>
        <v/>
      </c>
      <c r="W1008" s="19">
        <f>IF(OR(F1008="",I1008=""),"",IF(COUNTIFS(F$6:F1008,F1008,I$6:I1008,"?*")=1,MAX(W$5:W1007)+1,""))</f>
        <v/>
      </c>
    </row>
    <row r="1009">
      <c r="B1009" s="15" t="n"/>
      <c r="C1009" s="16" t="n"/>
      <c r="D1009" s="17" t="n"/>
      <c r="E1009" s="17" t="n"/>
      <c r="F1009" s="17" t="n"/>
      <c r="G1009" s="17" t="n"/>
      <c r="H1009" s="18">
        <f>IF(AND(B1009="",C1009="",D1009="",E1009=""),"",IF(B1009="","⚠ Falta fecha",IF(C1009="","⚠ Falta monto",IF(D1009="","⚠ Falta categoría",IF(ISNA(MATCH(D1009,catNom,0)),"⚠ Categoría no existe",IF(E1009="","⚠ Falta cuenta",IF(ISNA(MATCH(E1009,ctaNom,0)),"⚠ Cuenta no existe",IF(AND(OR(I1009="Transferencia",I1009="Pago tarjeta"),G1009=""),"⚠ Indica la cuenta «Hacia»",IF(AND(G1009&lt;&gt;"",G1009=E1009),"⚠ «Hacia» igual a la cuenta",IF(AND(G1009&lt;&gt;"",ISNA(MATCH(G1009,ctaNom,0))),"⚠ «Hacia» no existe",IF(AND(I1009="Pago tarjeta",IFERROR(INDEX(ctaTipo,MATCH(G1009,ctaNom,0)),"")&lt;&gt;"Tarjeta de crédito"),"⚠ «Hacia» debe ser la tarjeta",IF(AND(I1009="Trading",IFERROR(INDEX(ctaTipo,MATCH(E1009,ctaNom,0)),"")&lt;&gt;"Cuenta de trading"),"⚠ Usa la cuenta de trading","✓"))))))))))))</f>
        <v/>
      </c>
      <c r="I1009" s="19">
        <f>IF(OR(B1009="",C1009="",D1009=""),"",IFERROR(INDEX(catTipo,MATCH(D1009,catNom,0))&amp;"",""))</f>
        <v/>
      </c>
      <c r="J1009" s="19">
        <f>IF(I1009="","",IFERROR(INDEX(catGrupo,MATCH(D1009,catNom,0))&amp;"",""))</f>
        <v/>
      </c>
      <c r="K1009" s="19">
        <f>IF(I1009="Gasto",IF(IFERROR(INDEX(catClas,MATCH(D1009,catNom,0))&amp;"","")="","Variable",IFERROR(INDEX(catClas,MATCH(D1009,catNom,0))&amp;"","")),"")</f>
        <v/>
      </c>
      <c r="L1009" s="19">
        <f>IF(I1009="","",IFERROR(INDEX(catAlim,MATCH(D1009,catNom,0))&amp;"",""))</f>
        <v/>
      </c>
      <c r="M1009" s="19">
        <f>IF(I1009="","",IFERROR(INDEX(catComida,MATCH(D1009,catNom,0))&amp;"",""))</f>
        <v/>
      </c>
      <c r="N1009" s="19">
        <f>IF(I1009="","",IFERROR(INDEX(ctaMon,MATCH(E1009,ctaNom,0))&amp;"","DOP"))</f>
        <v/>
      </c>
      <c r="O1009" s="20">
        <f>IF(I1009="","",C1009*IF(N1009="USD",TasaUSD,1))</f>
        <v/>
      </c>
      <c r="P1009" s="20">
        <f>IF(I1009="","",IF(I1009="Gasto",O1009,0))</f>
        <v/>
      </c>
      <c r="Q1009" s="20">
        <f>IF(I1009="","",IF(I1009="Ingreso",O1009,0))</f>
        <v/>
      </c>
      <c r="R1009" s="20">
        <f>IF(I1009="","",IF(I1009="Trading",O1009,0))</f>
        <v/>
      </c>
      <c r="S1009" s="19">
        <f>IF(I1009="","",IF(AND(I1009="Gasto",K1009="Variable",J1009&lt;&gt;"Trading",O1009&gt;0,O1009&lt;=Umbral),1,0))</f>
        <v/>
      </c>
      <c r="T1009" s="20">
        <f>IF(OR(I1009="",E1009=""),"",IF(OR(I1009="Gasto",I1009="Transferencia",I1009="Pago tarjeta"),-1,1)*C1009)</f>
        <v/>
      </c>
      <c r="U1009" s="20">
        <f>IF(OR(G1009="",AND(I1009&lt;&gt;"Transferencia",I1009&lt;&gt;"Pago tarjeta")),"",IF(IFERROR(INDEX(ctaMon,MATCH(G1009,ctaNom,0))&amp;"","DOP")=N1009,C1009,IF(N1009="USD",C1009*TasaUSD,C1009/TasaUSD)))</f>
        <v/>
      </c>
      <c r="V1009" s="20">
        <f>IF(I1009="","",IF(IFERROR(INDEX(ctaLiq,MATCH(E1009,ctaNom,0))="Sí",FALSE),IF(OR(I1009="Gasto",I1009="Transferencia",I1009="Pago tarjeta"),-1,1)*O1009,0)+IF(AND(U1009&lt;&gt;"",IFERROR(INDEX(ctaLiq,MATCH(G1009,ctaNom,0))="Sí",FALSE)),O1009,0))</f>
        <v/>
      </c>
      <c r="W1009" s="19">
        <f>IF(OR(F1009="",I1009=""),"",IF(COUNTIFS(F$6:F1009,F1009,I$6:I1009,"?*")=1,MAX(W$5:W1008)+1,""))</f>
        <v/>
      </c>
    </row>
    <row r="1010">
      <c r="B1010" s="15" t="n"/>
      <c r="C1010" s="16" t="n"/>
      <c r="D1010" s="17" t="n"/>
      <c r="E1010" s="17" t="n"/>
      <c r="F1010" s="17" t="n"/>
      <c r="G1010" s="17" t="n"/>
      <c r="H1010" s="18">
        <f>IF(AND(B1010="",C1010="",D1010="",E1010=""),"",IF(B1010="","⚠ Falta fecha",IF(C1010="","⚠ Falta monto",IF(D1010="","⚠ Falta categoría",IF(ISNA(MATCH(D1010,catNom,0)),"⚠ Categoría no existe",IF(E1010="","⚠ Falta cuenta",IF(ISNA(MATCH(E1010,ctaNom,0)),"⚠ Cuenta no existe",IF(AND(OR(I1010="Transferencia",I1010="Pago tarjeta"),G1010=""),"⚠ Indica la cuenta «Hacia»",IF(AND(G1010&lt;&gt;"",G1010=E1010),"⚠ «Hacia» igual a la cuenta",IF(AND(G1010&lt;&gt;"",ISNA(MATCH(G1010,ctaNom,0))),"⚠ «Hacia» no existe",IF(AND(I1010="Pago tarjeta",IFERROR(INDEX(ctaTipo,MATCH(G1010,ctaNom,0)),"")&lt;&gt;"Tarjeta de crédito"),"⚠ «Hacia» debe ser la tarjeta",IF(AND(I1010="Trading",IFERROR(INDEX(ctaTipo,MATCH(E1010,ctaNom,0)),"")&lt;&gt;"Cuenta de trading"),"⚠ Usa la cuenta de trading","✓"))))))))))))</f>
        <v/>
      </c>
      <c r="I1010" s="19">
        <f>IF(OR(B1010="",C1010="",D1010=""),"",IFERROR(INDEX(catTipo,MATCH(D1010,catNom,0))&amp;"",""))</f>
        <v/>
      </c>
      <c r="J1010" s="19">
        <f>IF(I1010="","",IFERROR(INDEX(catGrupo,MATCH(D1010,catNom,0))&amp;"",""))</f>
        <v/>
      </c>
      <c r="K1010" s="19">
        <f>IF(I1010="Gasto",IF(IFERROR(INDEX(catClas,MATCH(D1010,catNom,0))&amp;"","")="","Variable",IFERROR(INDEX(catClas,MATCH(D1010,catNom,0))&amp;"","")),"")</f>
        <v/>
      </c>
      <c r="L1010" s="19">
        <f>IF(I1010="","",IFERROR(INDEX(catAlim,MATCH(D1010,catNom,0))&amp;"",""))</f>
        <v/>
      </c>
      <c r="M1010" s="19">
        <f>IF(I1010="","",IFERROR(INDEX(catComida,MATCH(D1010,catNom,0))&amp;"",""))</f>
        <v/>
      </c>
      <c r="N1010" s="19">
        <f>IF(I1010="","",IFERROR(INDEX(ctaMon,MATCH(E1010,ctaNom,0))&amp;"","DOP"))</f>
        <v/>
      </c>
      <c r="O1010" s="20">
        <f>IF(I1010="","",C1010*IF(N1010="USD",TasaUSD,1))</f>
        <v/>
      </c>
      <c r="P1010" s="20">
        <f>IF(I1010="","",IF(I1010="Gasto",O1010,0))</f>
        <v/>
      </c>
      <c r="Q1010" s="20">
        <f>IF(I1010="","",IF(I1010="Ingreso",O1010,0))</f>
        <v/>
      </c>
      <c r="R1010" s="20">
        <f>IF(I1010="","",IF(I1010="Trading",O1010,0))</f>
        <v/>
      </c>
      <c r="S1010" s="19">
        <f>IF(I1010="","",IF(AND(I1010="Gasto",K1010="Variable",J1010&lt;&gt;"Trading",O1010&gt;0,O1010&lt;=Umbral),1,0))</f>
        <v/>
      </c>
      <c r="T1010" s="20">
        <f>IF(OR(I1010="",E1010=""),"",IF(OR(I1010="Gasto",I1010="Transferencia",I1010="Pago tarjeta"),-1,1)*C1010)</f>
        <v/>
      </c>
      <c r="U1010" s="20">
        <f>IF(OR(G1010="",AND(I1010&lt;&gt;"Transferencia",I1010&lt;&gt;"Pago tarjeta")),"",IF(IFERROR(INDEX(ctaMon,MATCH(G1010,ctaNom,0))&amp;"","DOP")=N1010,C1010,IF(N1010="USD",C1010*TasaUSD,C1010/TasaUSD)))</f>
        <v/>
      </c>
      <c r="V1010" s="20">
        <f>IF(I1010="","",IF(IFERROR(INDEX(ctaLiq,MATCH(E1010,ctaNom,0))="Sí",FALSE),IF(OR(I1010="Gasto",I1010="Transferencia",I1010="Pago tarjeta"),-1,1)*O1010,0)+IF(AND(U1010&lt;&gt;"",IFERROR(INDEX(ctaLiq,MATCH(G1010,ctaNom,0))="Sí",FALSE)),O1010,0))</f>
        <v/>
      </c>
      <c r="W1010" s="19">
        <f>IF(OR(F1010="",I1010=""),"",IF(COUNTIFS(F$6:F1010,F1010,I$6:I1010,"?*")=1,MAX(W$5:W1009)+1,""))</f>
        <v/>
      </c>
    </row>
    <row r="1011">
      <c r="B1011" s="15" t="n"/>
      <c r="C1011" s="16" t="n"/>
      <c r="D1011" s="17" t="n"/>
      <c r="E1011" s="17" t="n"/>
      <c r="F1011" s="17" t="n"/>
      <c r="G1011" s="17" t="n"/>
      <c r="H1011" s="18">
        <f>IF(AND(B1011="",C1011="",D1011="",E1011=""),"",IF(B1011="","⚠ Falta fecha",IF(C1011="","⚠ Falta monto",IF(D1011="","⚠ Falta categoría",IF(ISNA(MATCH(D1011,catNom,0)),"⚠ Categoría no existe",IF(E1011="","⚠ Falta cuenta",IF(ISNA(MATCH(E1011,ctaNom,0)),"⚠ Cuenta no existe",IF(AND(OR(I1011="Transferencia",I1011="Pago tarjeta"),G1011=""),"⚠ Indica la cuenta «Hacia»",IF(AND(G1011&lt;&gt;"",G1011=E1011),"⚠ «Hacia» igual a la cuenta",IF(AND(G1011&lt;&gt;"",ISNA(MATCH(G1011,ctaNom,0))),"⚠ «Hacia» no existe",IF(AND(I1011="Pago tarjeta",IFERROR(INDEX(ctaTipo,MATCH(G1011,ctaNom,0)),"")&lt;&gt;"Tarjeta de crédito"),"⚠ «Hacia» debe ser la tarjeta",IF(AND(I1011="Trading",IFERROR(INDEX(ctaTipo,MATCH(E1011,ctaNom,0)),"")&lt;&gt;"Cuenta de trading"),"⚠ Usa la cuenta de trading","✓"))))))))))))</f>
        <v/>
      </c>
      <c r="I1011" s="19">
        <f>IF(OR(B1011="",C1011="",D1011=""),"",IFERROR(INDEX(catTipo,MATCH(D1011,catNom,0))&amp;"",""))</f>
        <v/>
      </c>
      <c r="J1011" s="19">
        <f>IF(I1011="","",IFERROR(INDEX(catGrupo,MATCH(D1011,catNom,0))&amp;"",""))</f>
        <v/>
      </c>
      <c r="K1011" s="19">
        <f>IF(I1011="Gasto",IF(IFERROR(INDEX(catClas,MATCH(D1011,catNom,0))&amp;"","")="","Variable",IFERROR(INDEX(catClas,MATCH(D1011,catNom,0))&amp;"","")),"")</f>
        <v/>
      </c>
      <c r="L1011" s="19">
        <f>IF(I1011="","",IFERROR(INDEX(catAlim,MATCH(D1011,catNom,0))&amp;"",""))</f>
        <v/>
      </c>
      <c r="M1011" s="19">
        <f>IF(I1011="","",IFERROR(INDEX(catComida,MATCH(D1011,catNom,0))&amp;"",""))</f>
        <v/>
      </c>
      <c r="N1011" s="19">
        <f>IF(I1011="","",IFERROR(INDEX(ctaMon,MATCH(E1011,ctaNom,0))&amp;"","DOP"))</f>
        <v/>
      </c>
      <c r="O1011" s="20">
        <f>IF(I1011="","",C1011*IF(N1011="USD",TasaUSD,1))</f>
        <v/>
      </c>
      <c r="P1011" s="20">
        <f>IF(I1011="","",IF(I1011="Gasto",O1011,0))</f>
        <v/>
      </c>
      <c r="Q1011" s="20">
        <f>IF(I1011="","",IF(I1011="Ingreso",O1011,0))</f>
        <v/>
      </c>
      <c r="R1011" s="20">
        <f>IF(I1011="","",IF(I1011="Trading",O1011,0))</f>
        <v/>
      </c>
      <c r="S1011" s="19">
        <f>IF(I1011="","",IF(AND(I1011="Gasto",K1011="Variable",J1011&lt;&gt;"Trading",O1011&gt;0,O1011&lt;=Umbral),1,0))</f>
        <v/>
      </c>
      <c r="T1011" s="20">
        <f>IF(OR(I1011="",E1011=""),"",IF(OR(I1011="Gasto",I1011="Transferencia",I1011="Pago tarjeta"),-1,1)*C1011)</f>
        <v/>
      </c>
      <c r="U1011" s="20">
        <f>IF(OR(G1011="",AND(I1011&lt;&gt;"Transferencia",I1011&lt;&gt;"Pago tarjeta")),"",IF(IFERROR(INDEX(ctaMon,MATCH(G1011,ctaNom,0))&amp;"","DOP")=N1011,C1011,IF(N1011="USD",C1011*TasaUSD,C1011/TasaUSD)))</f>
        <v/>
      </c>
      <c r="V1011" s="20">
        <f>IF(I1011="","",IF(IFERROR(INDEX(ctaLiq,MATCH(E1011,ctaNom,0))="Sí",FALSE),IF(OR(I1011="Gasto",I1011="Transferencia",I1011="Pago tarjeta"),-1,1)*O1011,0)+IF(AND(U1011&lt;&gt;"",IFERROR(INDEX(ctaLiq,MATCH(G1011,ctaNom,0))="Sí",FALSE)),O1011,0))</f>
        <v/>
      </c>
      <c r="W1011" s="19">
        <f>IF(OR(F1011="",I1011=""),"",IF(COUNTIFS(F$6:F1011,F1011,I$6:I1011,"?*")=1,MAX(W$5:W1010)+1,""))</f>
        <v/>
      </c>
    </row>
    <row r="1012">
      <c r="B1012" s="15" t="n"/>
      <c r="C1012" s="16" t="n"/>
      <c r="D1012" s="17" t="n"/>
      <c r="E1012" s="17" t="n"/>
      <c r="F1012" s="17" t="n"/>
      <c r="G1012" s="17" t="n"/>
      <c r="H1012" s="18">
        <f>IF(AND(B1012="",C1012="",D1012="",E1012=""),"",IF(B1012="","⚠ Falta fecha",IF(C1012="","⚠ Falta monto",IF(D1012="","⚠ Falta categoría",IF(ISNA(MATCH(D1012,catNom,0)),"⚠ Categoría no existe",IF(E1012="","⚠ Falta cuenta",IF(ISNA(MATCH(E1012,ctaNom,0)),"⚠ Cuenta no existe",IF(AND(OR(I1012="Transferencia",I1012="Pago tarjeta"),G1012=""),"⚠ Indica la cuenta «Hacia»",IF(AND(G1012&lt;&gt;"",G1012=E1012),"⚠ «Hacia» igual a la cuenta",IF(AND(G1012&lt;&gt;"",ISNA(MATCH(G1012,ctaNom,0))),"⚠ «Hacia» no existe",IF(AND(I1012="Pago tarjeta",IFERROR(INDEX(ctaTipo,MATCH(G1012,ctaNom,0)),"")&lt;&gt;"Tarjeta de crédito"),"⚠ «Hacia» debe ser la tarjeta",IF(AND(I1012="Trading",IFERROR(INDEX(ctaTipo,MATCH(E1012,ctaNom,0)),"")&lt;&gt;"Cuenta de trading"),"⚠ Usa la cuenta de trading","✓"))))))))))))</f>
        <v/>
      </c>
      <c r="I1012" s="19">
        <f>IF(OR(B1012="",C1012="",D1012=""),"",IFERROR(INDEX(catTipo,MATCH(D1012,catNom,0))&amp;"",""))</f>
        <v/>
      </c>
      <c r="J1012" s="19">
        <f>IF(I1012="","",IFERROR(INDEX(catGrupo,MATCH(D1012,catNom,0))&amp;"",""))</f>
        <v/>
      </c>
      <c r="K1012" s="19">
        <f>IF(I1012="Gasto",IF(IFERROR(INDEX(catClas,MATCH(D1012,catNom,0))&amp;"","")="","Variable",IFERROR(INDEX(catClas,MATCH(D1012,catNom,0))&amp;"","")),"")</f>
        <v/>
      </c>
      <c r="L1012" s="19">
        <f>IF(I1012="","",IFERROR(INDEX(catAlim,MATCH(D1012,catNom,0))&amp;"",""))</f>
        <v/>
      </c>
      <c r="M1012" s="19">
        <f>IF(I1012="","",IFERROR(INDEX(catComida,MATCH(D1012,catNom,0))&amp;"",""))</f>
        <v/>
      </c>
      <c r="N1012" s="19">
        <f>IF(I1012="","",IFERROR(INDEX(ctaMon,MATCH(E1012,ctaNom,0))&amp;"","DOP"))</f>
        <v/>
      </c>
      <c r="O1012" s="20">
        <f>IF(I1012="","",C1012*IF(N1012="USD",TasaUSD,1))</f>
        <v/>
      </c>
      <c r="P1012" s="20">
        <f>IF(I1012="","",IF(I1012="Gasto",O1012,0))</f>
        <v/>
      </c>
      <c r="Q1012" s="20">
        <f>IF(I1012="","",IF(I1012="Ingreso",O1012,0))</f>
        <v/>
      </c>
      <c r="R1012" s="20">
        <f>IF(I1012="","",IF(I1012="Trading",O1012,0))</f>
        <v/>
      </c>
      <c r="S1012" s="19">
        <f>IF(I1012="","",IF(AND(I1012="Gasto",K1012="Variable",J1012&lt;&gt;"Trading",O1012&gt;0,O1012&lt;=Umbral),1,0))</f>
        <v/>
      </c>
      <c r="T1012" s="20">
        <f>IF(OR(I1012="",E1012=""),"",IF(OR(I1012="Gasto",I1012="Transferencia",I1012="Pago tarjeta"),-1,1)*C1012)</f>
        <v/>
      </c>
      <c r="U1012" s="20">
        <f>IF(OR(G1012="",AND(I1012&lt;&gt;"Transferencia",I1012&lt;&gt;"Pago tarjeta")),"",IF(IFERROR(INDEX(ctaMon,MATCH(G1012,ctaNom,0))&amp;"","DOP")=N1012,C1012,IF(N1012="USD",C1012*TasaUSD,C1012/TasaUSD)))</f>
        <v/>
      </c>
      <c r="V1012" s="20">
        <f>IF(I1012="","",IF(IFERROR(INDEX(ctaLiq,MATCH(E1012,ctaNom,0))="Sí",FALSE),IF(OR(I1012="Gasto",I1012="Transferencia",I1012="Pago tarjeta"),-1,1)*O1012,0)+IF(AND(U1012&lt;&gt;"",IFERROR(INDEX(ctaLiq,MATCH(G1012,ctaNom,0))="Sí",FALSE)),O1012,0))</f>
        <v/>
      </c>
      <c r="W1012" s="19">
        <f>IF(OR(F1012="",I1012=""),"",IF(COUNTIFS(F$6:F1012,F1012,I$6:I1012,"?*")=1,MAX(W$5:W1011)+1,""))</f>
        <v/>
      </c>
    </row>
    <row r="1013">
      <c r="B1013" s="15" t="n"/>
      <c r="C1013" s="16" t="n"/>
      <c r="D1013" s="17" t="n"/>
      <c r="E1013" s="17" t="n"/>
      <c r="F1013" s="17" t="n"/>
      <c r="G1013" s="17" t="n"/>
      <c r="H1013" s="18">
        <f>IF(AND(B1013="",C1013="",D1013="",E1013=""),"",IF(B1013="","⚠ Falta fecha",IF(C1013="","⚠ Falta monto",IF(D1013="","⚠ Falta categoría",IF(ISNA(MATCH(D1013,catNom,0)),"⚠ Categoría no existe",IF(E1013="","⚠ Falta cuenta",IF(ISNA(MATCH(E1013,ctaNom,0)),"⚠ Cuenta no existe",IF(AND(OR(I1013="Transferencia",I1013="Pago tarjeta"),G1013=""),"⚠ Indica la cuenta «Hacia»",IF(AND(G1013&lt;&gt;"",G1013=E1013),"⚠ «Hacia» igual a la cuenta",IF(AND(G1013&lt;&gt;"",ISNA(MATCH(G1013,ctaNom,0))),"⚠ «Hacia» no existe",IF(AND(I1013="Pago tarjeta",IFERROR(INDEX(ctaTipo,MATCH(G1013,ctaNom,0)),"")&lt;&gt;"Tarjeta de crédito"),"⚠ «Hacia» debe ser la tarjeta",IF(AND(I1013="Trading",IFERROR(INDEX(ctaTipo,MATCH(E1013,ctaNom,0)),"")&lt;&gt;"Cuenta de trading"),"⚠ Usa la cuenta de trading","✓"))))))))))))</f>
        <v/>
      </c>
      <c r="I1013" s="19">
        <f>IF(OR(B1013="",C1013="",D1013=""),"",IFERROR(INDEX(catTipo,MATCH(D1013,catNom,0))&amp;"",""))</f>
        <v/>
      </c>
      <c r="J1013" s="19">
        <f>IF(I1013="","",IFERROR(INDEX(catGrupo,MATCH(D1013,catNom,0))&amp;"",""))</f>
        <v/>
      </c>
      <c r="K1013" s="19">
        <f>IF(I1013="Gasto",IF(IFERROR(INDEX(catClas,MATCH(D1013,catNom,0))&amp;"","")="","Variable",IFERROR(INDEX(catClas,MATCH(D1013,catNom,0))&amp;"","")),"")</f>
        <v/>
      </c>
      <c r="L1013" s="19">
        <f>IF(I1013="","",IFERROR(INDEX(catAlim,MATCH(D1013,catNom,0))&amp;"",""))</f>
        <v/>
      </c>
      <c r="M1013" s="19">
        <f>IF(I1013="","",IFERROR(INDEX(catComida,MATCH(D1013,catNom,0))&amp;"",""))</f>
        <v/>
      </c>
      <c r="N1013" s="19">
        <f>IF(I1013="","",IFERROR(INDEX(ctaMon,MATCH(E1013,ctaNom,0))&amp;"","DOP"))</f>
        <v/>
      </c>
      <c r="O1013" s="20">
        <f>IF(I1013="","",C1013*IF(N1013="USD",TasaUSD,1))</f>
        <v/>
      </c>
      <c r="P1013" s="20">
        <f>IF(I1013="","",IF(I1013="Gasto",O1013,0))</f>
        <v/>
      </c>
      <c r="Q1013" s="20">
        <f>IF(I1013="","",IF(I1013="Ingreso",O1013,0))</f>
        <v/>
      </c>
      <c r="R1013" s="20">
        <f>IF(I1013="","",IF(I1013="Trading",O1013,0))</f>
        <v/>
      </c>
      <c r="S1013" s="19">
        <f>IF(I1013="","",IF(AND(I1013="Gasto",K1013="Variable",J1013&lt;&gt;"Trading",O1013&gt;0,O1013&lt;=Umbral),1,0))</f>
        <v/>
      </c>
      <c r="T1013" s="20">
        <f>IF(OR(I1013="",E1013=""),"",IF(OR(I1013="Gasto",I1013="Transferencia",I1013="Pago tarjeta"),-1,1)*C1013)</f>
        <v/>
      </c>
      <c r="U1013" s="20">
        <f>IF(OR(G1013="",AND(I1013&lt;&gt;"Transferencia",I1013&lt;&gt;"Pago tarjeta")),"",IF(IFERROR(INDEX(ctaMon,MATCH(G1013,ctaNom,0))&amp;"","DOP")=N1013,C1013,IF(N1013="USD",C1013*TasaUSD,C1013/TasaUSD)))</f>
        <v/>
      </c>
      <c r="V1013" s="20">
        <f>IF(I1013="","",IF(IFERROR(INDEX(ctaLiq,MATCH(E1013,ctaNom,0))="Sí",FALSE),IF(OR(I1013="Gasto",I1013="Transferencia",I1013="Pago tarjeta"),-1,1)*O1013,0)+IF(AND(U1013&lt;&gt;"",IFERROR(INDEX(ctaLiq,MATCH(G1013,ctaNom,0))="Sí",FALSE)),O1013,0))</f>
        <v/>
      </c>
      <c r="W1013" s="19">
        <f>IF(OR(F1013="",I1013=""),"",IF(COUNTIFS(F$6:F1013,F1013,I$6:I1013,"?*")=1,MAX(W$5:W1012)+1,""))</f>
        <v/>
      </c>
    </row>
    <row r="1014">
      <c r="B1014" s="15" t="n"/>
      <c r="C1014" s="16" t="n"/>
      <c r="D1014" s="17" t="n"/>
      <c r="E1014" s="17" t="n"/>
      <c r="F1014" s="17" t="n"/>
      <c r="G1014" s="17" t="n"/>
      <c r="H1014" s="18">
        <f>IF(AND(B1014="",C1014="",D1014="",E1014=""),"",IF(B1014="","⚠ Falta fecha",IF(C1014="","⚠ Falta monto",IF(D1014="","⚠ Falta categoría",IF(ISNA(MATCH(D1014,catNom,0)),"⚠ Categoría no existe",IF(E1014="","⚠ Falta cuenta",IF(ISNA(MATCH(E1014,ctaNom,0)),"⚠ Cuenta no existe",IF(AND(OR(I1014="Transferencia",I1014="Pago tarjeta"),G1014=""),"⚠ Indica la cuenta «Hacia»",IF(AND(G1014&lt;&gt;"",G1014=E1014),"⚠ «Hacia» igual a la cuenta",IF(AND(G1014&lt;&gt;"",ISNA(MATCH(G1014,ctaNom,0))),"⚠ «Hacia» no existe",IF(AND(I1014="Pago tarjeta",IFERROR(INDEX(ctaTipo,MATCH(G1014,ctaNom,0)),"")&lt;&gt;"Tarjeta de crédito"),"⚠ «Hacia» debe ser la tarjeta",IF(AND(I1014="Trading",IFERROR(INDEX(ctaTipo,MATCH(E1014,ctaNom,0)),"")&lt;&gt;"Cuenta de trading"),"⚠ Usa la cuenta de trading","✓"))))))))))))</f>
        <v/>
      </c>
      <c r="I1014" s="19">
        <f>IF(OR(B1014="",C1014="",D1014=""),"",IFERROR(INDEX(catTipo,MATCH(D1014,catNom,0))&amp;"",""))</f>
        <v/>
      </c>
      <c r="J1014" s="19">
        <f>IF(I1014="","",IFERROR(INDEX(catGrupo,MATCH(D1014,catNom,0))&amp;"",""))</f>
        <v/>
      </c>
      <c r="K1014" s="19">
        <f>IF(I1014="Gasto",IF(IFERROR(INDEX(catClas,MATCH(D1014,catNom,0))&amp;"","")="","Variable",IFERROR(INDEX(catClas,MATCH(D1014,catNom,0))&amp;"","")),"")</f>
        <v/>
      </c>
      <c r="L1014" s="19">
        <f>IF(I1014="","",IFERROR(INDEX(catAlim,MATCH(D1014,catNom,0))&amp;"",""))</f>
        <v/>
      </c>
      <c r="M1014" s="19">
        <f>IF(I1014="","",IFERROR(INDEX(catComida,MATCH(D1014,catNom,0))&amp;"",""))</f>
        <v/>
      </c>
      <c r="N1014" s="19">
        <f>IF(I1014="","",IFERROR(INDEX(ctaMon,MATCH(E1014,ctaNom,0))&amp;"","DOP"))</f>
        <v/>
      </c>
      <c r="O1014" s="20">
        <f>IF(I1014="","",C1014*IF(N1014="USD",TasaUSD,1))</f>
        <v/>
      </c>
      <c r="P1014" s="20">
        <f>IF(I1014="","",IF(I1014="Gasto",O1014,0))</f>
        <v/>
      </c>
      <c r="Q1014" s="20">
        <f>IF(I1014="","",IF(I1014="Ingreso",O1014,0))</f>
        <v/>
      </c>
      <c r="R1014" s="20">
        <f>IF(I1014="","",IF(I1014="Trading",O1014,0))</f>
        <v/>
      </c>
      <c r="S1014" s="19">
        <f>IF(I1014="","",IF(AND(I1014="Gasto",K1014="Variable",J1014&lt;&gt;"Trading",O1014&gt;0,O1014&lt;=Umbral),1,0))</f>
        <v/>
      </c>
      <c r="T1014" s="20">
        <f>IF(OR(I1014="",E1014=""),"",IF(OR(I1014="Gasto",I1014="Transferencia",I1014="Pago tarjeta"),-1,1)*C1014)</f>
        <v/>
      </c>
      <c r="U1014" s="20">
        <f>IF(OR(G1014="",AND(I1014&lt;&gt;"Transferencia",I1014&lt;&gt;"Pago tarjeta")),"",IF(IFERROR(INDEX(ctaMon,MATCH(G1014,ctaNom,0))&amp;"","DOP")=N1014,C1014,IF(N1014="USD",C1014*TasaUSD,C1014/TasaUSD)))</f>
        <v/>
      </c>
      <c r="V1014" s="20">
        <f>IF(I1014="","",IF(IFERROR(INDEX(ctaLiq,MATCH(E1014,ctaNom,0))="Sí",FALSE),IF(OR(I1014="Gasto",I1014="Transferencia",I1014="Pago tarjeta"),-1,1)*O1014,0)+IF(AND(U1014&lt;&gt;"",IFERROR(INDEX(ctaLiq,MATCH(G1014,ctaNom,0))="Sí",FALSE)),O1014,0))</f>
        <v/>
      </c>
      <c r="W1014" s="19">
        <f>IF(OR(F1014="",I1014=""),"",IF(COUNTIFS(F$6:F1014,F1014,I$6:I1014,"?*")=1,MAX(W$5:W1013)+1,""))</f>
        <v/>
      </c>
    </row>
    <row r="1015">
      <c r="B1015" s="15" t="n"/>
      <c r="C1015" s="16" t="n"/>
      <c r="D1015" s="17" t="n"/>
      <c r="E1015" s="17" t="n"/>
      <c r="F1015" s="17" t="n"/>
      <c r="G1015" s="17" t="n"/>
      <c r="H1015" s="18">
        <f>IF(AND(B1015="",C1015="",D1015="",E1015=""),"",IF(B1015="","⚠ Falta fecha",IF(C1015="","⚠ Falta monto",IF(D1015="","⚠ Falta categoría",IF(ISNA(MATCH(D1015,catNom,0)),"⚠ Categoría no existe",IF(E1015="","⚠ Falta cuenta",IF(ISNA(MATCH(E1015,ctaNom,0)),"⚠ Cuenta no existe",IF(AND(OR(I1015="Transferencia",I1015="Pago tarjeta"),G1015=""),"⚠ Indica la cuenta «Hacia»",IF(AND(G1015&lt;&gt;"",G1015=E1015),"⚠ «Hacia» igual a la cuenta",IF(AND(G1015&lt;&gt;"",ISNA(MATCH(G1015,ctaNom,0))),"⚠ «Hacia» no existe",IF(AND(I1015="Pago tarjeta",IFERROR(INDEX(ctaTipo,MATCH(G1015,ctaNom,0)),"")&lt;&gt;"Tarjeta de crédito"),"⚠ «Hacia» debe ser la tarjeta",IF(AND(I1015="Trading",IFERROR(INDEX(ctaTipo,MATCH(E1015,ctaNom,0)),"")&lt;&gt;"Cuenta de trading"),"⚠ Usa la cuenta de trading","✓"))))))))))))</f>
        <v/>
      </c>
      <c r="I1015" s="19">
        <f>IF(OR(B1015="",C1015="",D1015=""),"",IFERROR(INDEX(catTipo,MATCH(D1015,catNom,0))&amp;"",""))</f>
        <v/>
      </c>
      <c r="J1015" s="19">
        <f>IF(I1015="","",IFERROR(INDEX(catGrupo,MATCH(D1015,catNom,0))&amp;"",""))</f>
        <v/>
      </c>
      <c r="K1015" s="19">
        <f>IF(I1015="Gasto",IF(IFERROR(INDEX(catClas,MATCH(D1015,catNom,0))&amp;"","")="","Variable",IFERROR(INDEX(catClas,MATCH(D1015,catNom,0))&amp;"","")),"")</f>
        <v/>
      </c>
      <c r="L1015" s="19">
        <f>IF(I1015="","",IFERROR(INDEX(catAlim,MATCH(D1015,catNom,0))&amp;"",""))</f>
        <v/>
      </c>
      <c r="M1015" s="19">
        <f>IF(I1015="","",IFERROR(INDEX(catComida,MATCH(D1015,catNom,0))&amp;"",""))</f>
        <v/>
      </c>
      <c r="N1015" s="19">
        <f>IF(I1015="","",IFERROR(INDEX(ctaMon,MATCH(E1015,ctaNom,0))&amp;"","DOP"))</f>
        <v/>
      </c>
      <c r="O1015" s="20">
        <f>IF(I1015="","",C1015*IF(N1015="USD",TasaUSD,1))</f>
        <v/>
      </c>
      <c r="P1015" s="20">
        <f>IF(I1015="","",IF(I1015="Gasto",O1015,0))</f>
        <v/>
      </c>
      <c r="Q1015" s="20">
        <f>IF(I1015="","",IF(I1015="Ingreso",O1015,0))</f>
        <v/>
      </c>
      <c r="R1015" s="20">
        <f>IF(I1015="","",IF(I1015="Trading",O1015,0))</f>
        <v/>
      </c>
      <c r="S1015" s="19">
        <f>IF(I1015="","",IF(AND(I1015="Gasto",K1015="Variable",J1015&lt;&gt;"Trading",O1015&gt;0,O1015&lt;=Umbral),1,0))</f>
        <v/>
      </c>
      <c r="T1015" s="20">
        <f>IF(OR(I1015="",E1015=""),"",IF(OR(I1015="Gasto",I1015="Transferencia",I1015="Pago tarjeta"),-1,1)*C1015)</f>
        <v/>
      </c>
      <c r="U1015" s="20">
        <f>IF(OR(G1015="",AND(I1015&lt;&gt;"Transferencia",I1015&lt;&gt;"Pago tarjeta")),"",IF(IFERROR(INDEX(ctaMon,MATCH(G1015,ctaNom,0))&amp;"","DOP")=N1015,C1015,IF(N1015="USD",C1015*TasaUSD,C1015/TasaUSD)))</f>
        <v/>
      </c>
      <c r="V1015" s="20">
        <f>IF(I1015="","",IF(IFERROR(INDEX(ctaLiq,MATCH(E1015,ctaNom,0))="Sí",FALSE),IF(OR(I1015="Gasto",I1015="Transferencia",I1015="Pago tarjeta"),-1,1)*O1015,0)+IF(AND(U1015&lt;&gt;"",IFERROR(INDEX(ctaLiq,MATCH(G1015,ctaNom,0))="Sí",FALSE)),O1015,0))</f>
        <v/>
      </c>
      <c r="W1015" s="19">
        <f>IF(OR(F1015="",I1015=""),"",IF(COUNTIFS(F$6:F1015,F1015,I$6:I1015,"?*")=1,MAX(W$5:W1014)+1,""))</f>
        <v/>
      </c>
    </row>
    <row r="1016">
      <c r="B1016" s="15" t="n"/>
      <c r="C1016" s="16" t="n"/>
      <c r="D1016" s="17" t="n"/>
      <c r="E1016" s="17" t="n"/>
      <c r="F1016" s="17" t="n"/>
      <c r="G1016" s="17" t="n"/>
      <c r="H1016" s="18">
        <f>IF(AND(B1016="",C1016="",D1016="",E1016=""),"",IF(B1016="","⚠ Falta fecha",IF(C1016="","⚠ Falta monto",IF(D1016="","⚠ Falta categoría",IF(ISNA(MATCH(D1016,catNom,0)),"⚠ Categoría no existe",IF(E1016="","⚠ Falta cuenta",IF(ISNA(MATCH(E1016,ctaNom,0)),"⚠ Cuenta no existe",IF(AND(OR(I1016="Transferencia",I1016="Pago tarjeta"),G1016=""),"⚠ Indica la cuenta «Hacia»",IF(AND(G1016&lt;&gt;"",G1016=E1016),"⚠ «Hacia» igual a la cuenta",IF(AND(G1016&lt;&gt;"",ISNA(MATCH(G1016,ctaNom,0))),"⚠ «Hacia» no existe",IF(AND(I1016="Pago tarjeta",IFERROR(INDEX(ctaTipo,MATCH(G1016,ctaNom,0)),"")&lt;&gt;"Tarjeta de crédito"),"⚠ «Hacia» debe ser la tarjeta",IF(AND(I1016="Trading",IFERROR(INDEX(ctaTipo,MATCH(E1016,ctaNom,0)),"")&lt;&gt;"Cuenta de trading"),"⚠ Usa la cuenta de trading","✓"))))))))))))</f>
        <v/>
      </c>
      <c r="I1016" s="19">
        <f>IF(OR(B1016="",C1016="",D1016=""),"",IFERROR(INDEX(catTipo,MATCH(D1016,catNom,0))&amp;"",""))</f>
        <v/>
      </c>
      <c r="J1016" s="19">
        <f>IF(I1016="","",IFERROR(INDEX(catGrupo,MATCH(D1016,catNom,0))&amp;"",""))</f>
        <v/>
      </c>
      <c r="K1016" s="19">
        <f>IF(I1016="Gasto",IF(IFERROR(INDEX(catClas,MATCH(D1016,catNom,0))&amp;"","")="","Variable",IFERROR(INDEX(catClas,MATCH(D1016,catNom,0))&amp;"","")),"")</f>
        <v/>
      </c>
      <c r="L1016" s="19">
        <f>IF(I1016="","",IFERROR(INDEX(catAlim,MATCH(D1016,catNom,0))&amp;"",""))</f>
        <v/>
      </c>
      <c r="M1016" s="19">
        <f>IF(I1016="","",IFERROR(INDEX(catComida,MATCH(D1016,catNom,0))&amp;"",""))</f>
        <v/>
      </c>
      <c r="N1016" s="19">
        <f>IF(I1016="","",IFERROR(INDEX(ctaMon,MATCH(E1016,ctaNom,0))&amp;"","DOP"))</f>
        <v/>
      </c>
      <c r="O1016" s="20">
        <f>IF(I1016="","",C1016*IF(N1016="USD",TasaUSD,1))</f>
        <v/>
      </c>
      <c r="P1016" s="20">
        <f>IF(I1016="","",IF(I1016="Gasto",O1016,0))</f>
        <v/>
      </c>
      <c r="Q1016" s="20">
        <f>IF(I1016="","",IF(I1016="Ingreso",O1016,0))</f>
        <v/>
      </c>
      <c r="R1016" s="20">
        <f>IF(I1016="","",IF(I1016="Trading",O1016,0))</f>
        <v/>
      </c>
      <c r="S1016" s="19">
        <f>IF(I1016="","",IF(AND(I1016="Gasto",K1016="Variable",J1016&lt;&gt;"Trading",O1016&gt;0,O1016&lt;=Umbral),1,0))</f>
        <v/>
      </c>
      <c r="T1016" s="20">
        <f>IF(OR(I1016="",E1016=""),"",IF(OR(I1016="Gasto",I1016="Transferencia",I1016="Pago tarjeta"),-1,1)*C1016)</f>
        <v/>
      </c>
      <c r="U1016" s="20">
        <f>IF(OR(G1016="",AND(I1016&lt;&gt;"Transferencia",I1016&lt;&gt;"Pago tarjeta")),"",IF(IFERROR(INDEX(ctaMon,MATCH(G1016,ctaNom,0))&amp;"","DOP")=N1016,C1016,IF(N1016="USD",C1016*TasaUSD,C1016/TasaUSD)))</f>
        <v/>
      </c>
      <c r="V1016" s="20">
        <f>IF(I1016="","",IF(IFERROR(INDEX(ctaLiq,MATCH(E1016,ctaNom,0))="Sí",FALSE),IF(OR(I1016="Gasto",I1016="Transferencia",I1016="Pago tarjeta"),-1,1)*O1016,0)+IF(AND(U1016&lt;&gt;"",IFERROR(INDEX(ctaLiq,MATCH(G1016,ctaNom,0))="Sí",FALSE)),O1016,0))</f>
        <v/>
      </c>
      <c r="W1016" s="19">
        <f>IF(OR(F1016="",I1016=""),"",IF(COUNTIFS(F$6:F1016,F1016,I$6:I1016,"?*")=1,MAX(W$5:W1015)+1,""))</f>
        <v/>
      </c>
    </row>
    <row r="1017">
      <c r="B1017" s="15" t="n"/>
      <c r="C1017" s="16" t="n"/>
      <c r="D1017" s="17" t="n"/>
      <c r="E1017" s="17" t="n"/>
      <c r="F1017" s="17" t="n"/>
      <c r="G1017" s="17" t="n"/>
      <c r="H1017" s="18">
        <f>IF(AND(B1017="",C1017="",D1017="",E1017=""),"",IF(B1017="","⚠ Falta fecha",IF(C1017="","⚠ Falta monto",IF(D1017="","⚠ Falta categoría",IF(ISNA(MATCH(D1017,catNom,0)),"⚠ Categoría no existe",IF(E1017="","⚠ Falta cuenta",IF(ISNA(MATCH(E1017,ctaNom,0)),"⚠ Cuenta no existe",IF(AND(OR(I1017="Transferencia",I1017="Pago tarjeta"),G1017=""),"⚠ Indica la cuenta «Hacia»",IF(AND(G1017&lt;&gt;"",G1017=E1017),"⚠ «Hacia» igual a la cuenta",IF(AND(G1017&lt;&gt;"",ISNA(MATCH(G1017,ctaNom,0))),"⚠ «Hacia» no existe",IF(AND(I1017="Pago tarjeta",IFERROR(INDEX(ctaTipo,MATCH(G1017,ctaNom,0)),"")&lt;&gt;"Tarjeta de crédito"),"⚠ «Hacia» debe ser la tarjeta",IF(AND(I1017="Trading",IFERROR(INDEX(ctaTipo,MATCH(E1017,ctaNom,0)),"")&lt;&gt;"Cuenta de trading"),"⚠ Usa la cuenta de trading","✓"))))))))))))</f>
        <v/>
      </c>
      <c r="I1017" s="19">
        <f>IF(OR(B1017="",C1017="",D1017=""),"",IFERROR(INDEX(catTipo,MATCH(D1017,catNom,0))&amp;"",""))</f>
        <v/>
      </c>
      <c r="J1017" s="19">
        <f>IF(I1017="","",IFERROR(INDEX(catGrupo,MATCH(D1017,catNom,0))&amp;"",""))</f>
        <v/>
      </c>
      <c r="K1017" s="19">
        <f>IF(I1017="Gasto",IF(IFERROR(INDEX(catClas,MATCH(D1017,catNom,0))&amp;"","")="","Variable",IFERROR(INDEX(catClas,MATCH(D1017,catNom,0))&amp;"","")),"")</f>
        <v/>
      </c>
      <c r="L1017" s="19">
        <f>IF(I1017="","",IFERROR(INDEX(catAlim,MATCH(D1017,catNom,0))&amp;"",""))</f>
        <v/>
      </c>
      <c r="M1017" s="19">
        <f>IF(I1017="","",IFERROR(INDEX(catComida,MATCH(D1017,catNom,0))&amp;"",""))</f>
        <v/>
      </c>
      <c r="N1017" s="19">
        <f>IF(I1017="","",IFERROR(INDEX(ctaMon,MATCH(E1017,ctaNom,0))&amp;"","DOP"))</f>
        <v/>
      </c>
      <c r="O1017" s="20">
        <f>IF(I1017="","",C1017*IF(N1017="USD",TasaUSD,1))</f>
        <v/>
      </c>
      <c r="P1017" s="20">
        <f>IF(I1017="","",IF(I1017="Gasto",O1017,0))</f>
        <v/>
      </c>
      <c r="Q1017" s="20">
        <f>IF(I1017="","",IF(I1017="Ingreso",O1017,0))</f>
        <v/>
      </c>
      <c r="R1017" s="20">
        <f>IF(I1017="","",IF(I1017="Trading",O1017,0))</f>
        <v/>
      </c>
      <c r="S1017" s="19">
        <f>IF(I1017="","",IF(AND(I1017="Gasto",K1017="Variable",J1017&lt;&gt;"Trading",O1017&gt;0,O1017&lt;=Umbral),1,0))</f>
        <v/>
      </c>
      <c r="T1017" s="20">
        <f>IF(OR(I1017="",E1017=""),"",IF(OR(I1017="Gasto",I1017="Transferencia",I1017="Pago tarjeta"),-1,1)*C1017)</f>
        <v/>
      </c>
      <c r="U1017" s="20">
        <f>IF(OR(G1017="",AND(I1017&lt;&gt;"Transferencia",I1017&lt;&gt;"Pago tarjeta")),"",IF(IFERROR(INDEX(ctaMon,MATCH(G1017,ctaNom,0))&amp;"","DOP")=N1017,C1017,IF(N1017="USD",C1017*TasaUSD,C1017/TasaUSD)))</f>
        <v/>
      </c>
      <c r="V1017" s="20">
        <f>IF(I1017="","",IF(IFERROR(INDEX(ctaLiq,MATCH(E1017,ctaNom,0))="Sí",FALSE),IF(OR(I1017="Gasto",I1017="Transferencia",I1017="Pago tarjeta"),-1,1)*O1017,0)+IF(AND(U1017&lt;&gt;"",IFERROR(INDEX(ctaLiq,MATCH(G1017,ctaNom,0))="Sí",FALSE)),O1017,0))</f>
        <v/>
      </c>
      <c r="W1017" s="19">
        <f>IF(OR(F1017="",I1017=""),"",IF(COUNTIFS(F$6:F1017,F1017,I$6:I1017,"?*")=1,MAX(W$5:W1016)+1,""))</f>
        <v/>
      </c>
    </row>
    <row r="1018">
      <c r="B1018" s="15" t="n"/>
      <c r="C1018" s="16" t="n"/>
      <c r="D1018" s="17" t="n"/>
      <c r="E1018" s="17" t="n"/>
      <c r="F1018" s="17" t="n"/>
      <c r="G1018" s="17" t="n"/>
      <c r="H1018" s="18">
        <f>IF(AND(B1018="",C1018="",D1018="",E1018=""),"",IF(B1018="","⚠ Falta fecha",IF(C1018="","⚠ Falta monto",IF(D1018="","⚠ Falta categoría",IF(ISNA(MATCH(D1018,catNom,0)),"⚠ Categoría no existe",IF(E1018="","⚠ Falta cuenta",IF(ISNA(MATCH(E1018,ctaNom,0)),"⚠ Cuenta no existe",IF(AND(OR(I1018="Transferencia",I1018="Pago tarjeta"),G1018=""),"⚠ Indica la cuenta «Hacia»",IF(AND(G1018&lt;&gt;"",G1018=E1018),"⚠ «Hacia» igual a la cuenta",IF(AND(G1018&lt;&gt;"",ISNA(MATCH(G1018,ctaNom,0))),"⚠ «Hacia» no existe",IF(AND(I1018="Pago tarjeta",IFERROR(INDEX(ctaTipo,MATCH(G1018,ctaNom,0)),"")&lt;&gt;"Tarjeta de crédito"),"⚠ «Hacia» debe ser la tarjeta",IF(AND(I1018="Trading",IFERROR(INDEX(ctaTipo,MATCH(E1018,ctaNom,0)),"")&lt;&gt;"Cuenta de trading"),"⚠ Usa la cuenta de trading","✓"))))))))))))</f>
        <v/>
      </c>
      <c r="I1018" s="19">
        <f>IF(OR(B1018="",C1018="",D1018=""),"",IFERROR(INDEX(catTipo,MATCH(D1018,catNom,0))&amp;"",""))</f>
        <v/>
      </c>
      <c r="J1018" s="19">
        <f>IF(I1018="","",IFERROR(INDEX(catGrupo,MATCH(D1018,catNom,0))&amp;"",""))</f>
        <v/>
      </c>
      <c r="K1018" s="19">
        <f>IF(I1018="Gasto",IF(IFERROR(INDEX(catClas,MATCH(D1018,catNom,0))&amp;"","")="","Variable",IFERROR(INDEX(catClas,MATCH(D1018,catNom,0))&amp;"","")),"")</f>
        <v/>
      </c>
      <c r="L1018" s="19">
        <f>IF(I1018="","",IFERROR(INDEX(catAlim,MATCH(D1018,catNom,0))&amp;"",""))</f>
        <v/>
      </c>
      <c r="M1018" s="19">
        <f>IF(I1018="","",IFERROR(INDEX(catComida,MATCH(D1018,catNom,0))&amp;"",""))</f>
        <v/>
      </c>
      <c r="N1018" s="19">
        <f>IF(I1018="","",IFERROR(INDEX(ctaMon,MATCH(E1018,ctaNom,0))&amp;"","DOP"))</f>
        <v/>
      </c>
      <c r="O1018" s="20">
        <f>IF(I1018="","",C1018*IF(N1018="USD",TasaUSD,1))</f>
        <v/>
      </c>
      <c r="P1018" s="20">
        <f>IF(I1018="","",IF(I1018="Gasto",O1018,0))</f>
        <v/>
      </c>
      <c r="Q1018" s="20">
        <f>IF(I1018="","",IF(I1018="Ingreso",O1018,0))</f>
        <v/>
      </c>
      <c r="R1018" s="20">
        <f>IF(I1018="","",IF(I1018="Trading",O1018,0))</f>
        <v/>
      </c>
      <c r="S1018" s="19">
        <f>IF(I1018="","",IF(AND(I1018="Gasto",K1018="Variable",J1018&lt;&gt;"Trading",O1018&gt;0,O1018&lt;=Umbral),1,0))</f>
        <v/>
      </c>
      <c r="T1018" s="20">
        <f>IF(OR(I1018="",E1018=""),"",IF(OR(I1018="Gasto",I1018="Transferencia",I1018="Pago tarjeta"),-1,1)*C1018)</f>
        <v/>
      </c>
      <c r="U1018" s="20">
        <f>IF(OR(G1018="",AND(I1018&lt;&gt;"Transferencia",I1018&lt;&gt;"Pago tarjeta")),"",IF(IFERROR(INDEX(ctaMon,MATCH(G1018,ctaNom,0))&amp;"","DOP")=N1018,C1018,IF(N1018="USD",C1018*TasaUSD,C1018/TasaUSD)))</f>
        <v/>
      </c>
      <c r="V1018" s="20">
        <f>IF(I1018="","",IF(IFERROR(INDEX(ctaLiq,MATCH(E1018,ctaNom,0))="Sí",FALSE),IF(OR(I1018="Gasto",I1018="Transferencia",I1018="Pago tarjeta"),-1,1)*O1018,0)+IF(AND(U1018&lt;&gt;"",IFERROR(INDEX(ctaLiq,MATCH(G1018,ctaNom,0))="Sí",FALSE)),O1018,0))</f>
        <v/>
      </c>
      <c r="W1018" s="19">
        <f>IF(OR(F1018="",I1018=""),"",IF(COUNTIFS(F$6:F1018,F1018,I$6:I1018,"?*")=1,MAX(W$5:W1017)+1,""))</f>
        <v/>
      </c>
    </row>
    <row r="1019">
      <c r="B1019" s="15" t="n"/>
      <c r="C1019" s="16" t="n"/>
      <c r="D1019" s="17" t="n"/>
      <c r="E1019" s="17" t="n"/>
      <c r="F1019" s="17" t="n"/>
      <c r="G1019" s="17" t="n"/>
      <c r="H1019" s="18">
        <f>IF(AND(B1019="",C1019="",D1019="",E1019=""),"",IF(B1019="","⚠ Falta fecha",IF(C1019="","⚠ Falta monto",IF(D1019="","⚠ Falta categoría",IF(ISNA(MATCH(D1019,catNom,0)),"⚠ Categoría no existe",IF(E1019="","⚠ Falta cuenta",IF(ISNA(MATCH(E1019,ctaNom,0)),"⚠ Cuenta no existe",IF(AND(OR(I1019="Transferencia",I1019="Pago tarjeta"),G1019=""),"⚠ Indica la cuenta «Hacia»",IF(AND(G1019&lt;&gt;"",G1019=E1019),"⚠ «Hacia» igual a la cuenta",IF(AND(G1019&lt;&gt;"",ISNA(MATCH(G1019,ctaNom,0))),"⚠ «Hacia» no existe",IF(AND(I1019="Pago tarjeta",IFERROR(INDEX(ctaTipo,MATCH(G1019,ctaNom,0)),"")&lt;&gt;"Tarjeta de crédito"),"⚠ «Hacia» debe ser la tarjeta",IF(AND(I1019="Trading",IFERROR(INDEX(ctaTipo,MATCH(E1019,ctaNom,0)),"")&lt;&gt;"Cuenta de trading"),"⚠ Usa la cuenta de trading","✓"))))))))))))</f>
        <v/>
      </c>
      <c r="I1019" s="19">
        <f>IF(OR(B1019="",C1019="",D1019=""),"",IFERROR(INDEX(catTipo,MATCH(D1019,catNom,0))&amp;"",""))</f>
        <v/>
      </c>
      <c r="J1019" s="19">
        <f>IF(I1019="","",IFERROR(INDEX(catGrupo,MATCH(D1019,catNom,0))&amp;"",""))</f>
        <v/>
      </c>
      <c r="K1019" s="19">
        <f>IF(I1019="Gasto",IF(IFERROR(INDEX(catClas,MATCH(D1019,catNom,0))&amp;"","")="","Variable",IFERROR(INDEX(catClas,MATCH(D1019,catNom,0))&amp;"","")),"")</f>
        <v/>
      </c>
      <c r="L1019" s="19">
        <f>IF(I1019="","",IFERROR(INDEX(catAlim,MATCH(D1019,catNom,0))&amp;"",""))</f>
        <v/>
      </c>
      <c r="M1019" s="19">
        <f>IF(I1019="","",IFERROR(INDEX(catComida,MATCH(D1019,catNom,0))&amp;"",""))</f>
        <v/>
      </c>
      <c r="N1019" s="19">
        <f>IF(I1019="","",IFERROR(INDEX(ctaMon,MATCH(E1019,ctaNom,0))&amp;"","DOP"))</f>
        <v/>
      </c>
      <c r="O1019" s="20">
        <f>IF(I1019="","",C1019*IF(N1019="USD",TasaUSD,1))</f>
        <v/>
      </c>
      <c r="P1019" s="20">
        <f>IF(I1019="","",IF(I1019="Gasto",O1019,0))</f>
        <v/>
      </c>
      <c r="Q1019" s="20">
        <f>IF(I1019="","",IF(I1019="Ingreso",O1019,0))</f>
        <v/>
      </c>
      <c r="R1019" s="20">
        <f>IF(I1019="","",IF(I1019="Trading",O1019,0))</f>
        <v/>
      </c>
      <c r="S1019" s="19">
        <f>IF(I1019="","",IF(AND(I1019="Gasto",K1019="Variable",J1019&lt;&gt;"Trading",O1019&gt;0,O1019&lt;=Umbral),1,0))</f>
        <v/>
      </c>
      <c r="T1019" s="20">
        <f>IF(OR(I1019="",E1019=""),"",IF(OR(I1019="Gasto",I1019="Transferencia",I1019="Pago tarjeta"),-1,1)*C1019)</f>
        <v/>
      </c>
      <c r="U1019" s="20">
        <f>IF(OR(G1019="",AND(I1019&lt;&gt;"Transferencia",I1019&lt;&gt;"Pago tarjeta")),"",IF(IFERROR(INDEX(ctaMon,MATCH(G1019,ctaNom,0))&amp;"","DOP")=N1019,C1019,IF(N1019="USD",C1019*TasaUSD,C1019/TasaUSD)))</f>
        <v/>
      </c>
      <c r="V1019" s="20">
        <f>IF(I1019="","",IF(IFERROR(INDEX(ctaLiq,MATCH(E1019,ctaNom,0))="Sí",FALSE),IF(OR(I1019="Gasto",I1019="Transferencia",I1019="Pago tarjeta"),-1,1)*O1019,0)+IF(AND(U1019&lt;&gt;"",IFERROR(INDEX(ctaLiq,MATCH(G1019,ctaNom,0))="Sí",FALSE)),O1019,0))</f>
        <v/>
      </c>
      <c r="W1019" s="19">
        <f>IF(OR(F1019="",I1019=""),"",IF(COUNTIFS(F$6:F1019,F1019,I$6:I1019,"?*")=1,MAX(W$5:W1018)+1,""))</f>
        <v/>
      </c>
    </row>
    <row r="1020">
      <c r="B1020" s="15" t="n"/>
      <c r="C1020" s="16" t="n"/>
      <c r="D1020" s="17" t="n"/>
      <c r="E1020" s="17" t="n"/>
      <c r="F1020" s="17" t="n"/>
      <c r="G1020" s="17" t="n"/>
      <c r="H1020" s="18">
        <f>IF(AND(B1020="",C1020="",D1020="",E1020=""),"",IF(B1020="","⚠ Falta fecha",IF(C1020="","⚠ Falta monto",IF(D1020="","⚠ Falta categoría",IF(ISNA(MATCH(D1020,catNom,0)),"⚠ Categoría no existe",IF(E1020="","⚠ Falta cuenta",IF(ISNA(MATCH(E1020,ctaNom,0)),"⚠ Cuenta no existe",IF(AND(OR(I1020="Transferencia",I1020="Pago tarjeta"),G1020=""),"⚠ Indica la cuenta «Hacia»",IF(AND(G1020&lt;&gt;"",G1020=E1020),"⚠ «Hacia» igual a la cuenta",IF(AND(G1020&lt;&gt;"",ISNA(MATCH(G1020,ctaNom,0))),"⚠ «Hacia» no existe",IF(AND(I1020="Pago tarjeta",IFERROR(INDEX(ctaTipo,MATCH(G1020,ctaNom,0)),"")&lt;&gt;"Tarjeta de crédito"),"⚠ «Hacia» debe ser la tarjeta",IF(AND(I1020="Trading",IFERROR(INDEX(ctaTipo,MATCH(E1020,ctaNom,0)),"")&lt;&gt;"Cuenta de trading"),"⚠ Usa la cuenta de trading","✓"))))))))))))</f>
        <v/>
      </c>
      <c r="I1020" s="19">
        <f>IF(OR(B1020="",C1020="",D1020=""),"",IFERROR(INDEX(catTipo,MATCH(D1020,catNom,0))&amp;"",""))</f>
        <v/>
      </c>
      <c r="J1020" s="19">
        <f>IF(I1020="","",IFERROR(INDEX(catGrupo,MATCH(D1020,catNom,0))&amp;"",""))</f>
        <v/>
      </c>
      <c r="K1020" s="19">
        <f>IF(I1020="Gasto",IF(IFERROR(INDEX(catClas,MATCH(D1020,catNom,0))&amp;"","")="","Variable",IFERROR(INDEX(catClas,MATCH(D1020,catNom,0))&amp;"","")),"")</f>
        <v/>
      </c>
      <c r="L1020" s="19">
        <f>IF(I1020="","",IFERROR(INDEX(catAlim,MATCH(D1020,catNom,0))&amp;"",""))</f>
        <v/>
      </c>
      <c r="M1020" s="19">
        <f>IF(I1020="","",IFERROR(INDEX(catComida,MATCH(D1020,catNom,0))&amp;"",""))</f>
        <v/>
      </c>
      <c r="N1020" s="19">
        <f>IF(I1020="","",IFERROR(INDEX(ctaMon,MATCH(E1020,ctaNom,0))&amp;"","DOP"))</f>
        <v/>
      </c>
      <c r="O1020" s="20">
        <f>IF(I1020="","",C1020*IF(N1020="USD",TasaUSD,1))</f>
        <v/>
      </c>
      <c r="P1020" s="20">
        <f>IF(I1020="","",IF(I1020="Gasto",O1020,0))</f>
        <v/>
      </c>
      <c r="Q1020" s="20">
        <f>IF(I1020="","",IF(I1020="Ingreso",O1020,0))</f>
        <v/>
      </c>
      <c r="R1020" s="20">
        <f>IF(I1020="","",IF(I1020="Trading",O1020,0))</f>
        <v/>
      </c>
      <c r="S1020" s="19">
        <f>IF(I1020="","",IF(AND(I1020="Gasto",K1020="Variable",J1020&lt;&gt;"Trading",O1020&gt;0,O1020&lt;=Umbral),1,0))</f>
        <v/>
      </c>
      <c r="T1020" s="20">
        <f>IF(OR(I1020="",E1020=""),"",IF(OR(I1020="Gasto",I1020="Transferencia",I1020="Pago tarjeta"),-1,1)*C1020)</f>
        <v/>
      </c>
      <c r="U1020" s="20">
        <f>IF(OR(G1020="",AND(I1020&lt;&gt;"Transferencia",I1020&lt;&gt;"Pago tarjeta")),"",IF(IFERROR(INDEX(ctaMon,MATCH(G1020,ctaNom,0))&amp;"","DOP")=N1020,C1020,IF(N1020="USD",C1020*TasaUSD,C1020/TasaUSD)))</f>
        <v/>
      </c>
      <c r="V1020" s="20">
        <f>IF(I1020="","",IF(IFERROR(INDEX(ctaLiq,MATCH(E1020,ctaNom,0))="Sí",FALSE),IF(OR(I1020="Gasto",I1020="Transferencia",I1020="Pago tarjeta"),-1,1)*O1020,0)+IF(AND(U1020&lt;&gt;"",IFERROR(INDEX(ctaLiq,MATCH(G1020,ctaNom,0))="Sí",FALSE)),O1020,0))</f>
        <v/>
      </c>
      <c r="W1020" s="19">
        <f>IF(OR(F1020="",I1020=""),"",IF(COUNTIFS(F$6:F1020,F1020,I$6:I1020,"?*")=1,MAX(W$5:W1019)+1,""))</f>
        <v/>
      </c>
    </row>
    <row r="1021">
      <c r="B1021" s="15" t="n"/>
      <c r="C1021" s="16" t="n"/>
      <c r="D1021" s="17" t="n"/>
      <c r="E1021" s="17" t="n"/>
      <c r="F1021" s="17" t="n"/>
      <c r="G1021" s="17" t="n"/>
      <c r="H1021" s="18">
        <f>IF(AND(B1021="",C1021="",D1021="",E1021=""),"",IF(B1021="","⚠ Falta fecha",IF(C1021="","⚠ Falta monto",IF(D1021="","⚠ Falta categoría",IF(ISNA(MATCH(D1021,catNom,0)),"⚠ Categoría no existe",IF(E1021="","⚠ Falta cuenta",IF(ISNA(MATCH(E1021,ctaNom,0)),"⚠ Cuenta no existe",IF(AND(OR(I1021="Transferencia",I1021="Pago tarjeta"),G1021=""),"⚠ Indica la cuenta «Hacia»",IF(AND(G1021&lt;&gt;"",G1021=E1021),"⚠ «Hacia» igual a la cuenta",IF(AND(G1021&lt;&gt;"",ISNA(MATCH(G1021,ctaNom,0))),"⚠ «Hacia» no existe",IF(AND(I1021="Pago tarjeta",IFERROR(INDEX(ctaTipo,MATCH(G1021,ctaNom,0)),"")&lt;&gt;"Tarjeta de crédito"),"⚠ «Hacia» debe ser la tarjeta",IF(AND(I1021="Trading",IFERROR(INDEX(ctaTipo,MATCH(E1021,ctaNom,0)),"")&lt;&gt;"Cuenta de trading"),"⚠ Usa la cuenta de trading","✓"))))))))))))</f>
        <v/>
      </c>
      <c r="I1021" s="19">
        <f>IF(OR(B1021="",C1021="",D1021=""),"",IFERROR(INDEX(catTipo,MATCH(D1021,catNom,0))&amp;"",""))</f>
        <v/>
      </c>
      <c r="J1021" s="19">
        <f>IF(I1021="","",IFERROR(INDEX(catGrupo,MATCH(D1021,catNom,0))&amp;"",""))</f>
        <v/>
      </c>
      <c r="K1021" s="19">
        <f>IF(I1021="Gasto",IF(IFERROR(INDEX(catClas,MATCH(D1021,catNom,0))&amp;"","")="","Variable",IFERROR(INDEX(catClas,MATCH(D1021,catNom,0))&amp;"","")),"")</f>
        <v/>
      </c>
      <c r="L1021" s="19">
        <f>IF(I1021="","",IFERROR(INDEX(catAlim,MATCH(D1021,catNom,0))&amp;"",""))</f>
        <v/>
      </c>
      <c r="M1021" s="19">
        <f>IF(I1021="","",IFERROR(INDEX(catComida,MATCH(D1021,catNom,0))&amp;"",""))</f>
        <v/>
      </c>
      <c r="N1021" s="19">
        <f>IF(I1021="","",IFERROR(INDEX(ctaMon,MATCH(E1021,ctaNom,0))&amp;"","DOP"))</f>
        <v/>
      </c>
      <c r="O1021" s="20">
        <f>IF(I1021="","",C1021*IF(N1021="USD",TasaUSD,1))</f>
        <v/>
      </c>
      <c r="P1021" s="20">
        <f>IF(I1021="","",IF(I1021="Gasto",O1021,0))</f>
        <v/>
      </c>
      <c r="Q1021" s="20">
        <f>IF(I1021="","",IF(I1021="Ingreso",O1021,0))</f>
        <v/>
      </c>
      <c r="R1021" s="20">
        <f>IF(I1021="","",IF(I1021="Trading",O1021,0))</f>
        <v/>
      </c>
      <c r="S1021" s="19">
        <f>IF(I1021="","",IF(AND(I1021="Gasto",K1021="Variable",J1021&lt;&gt;"Trading",O1021&gt;0,O1021&lt;=Umbral),1,0))</f>
        <v/>
      </c>
      <c r="T1021" s="20">
        <f>IF(OR(I1021="",E1021=""),"",IF(OR(I1021="Gasto",I1021="Transferencia",I1021="Pago tarjeta"),-1,1)*C1021)</f>
        <v/>
      </c>
      <c r="U1021" s="20">
        <f>IF(OR(G1021="",AND(I1021&lt;&gt;"Transferencia",I1021&lt;&gt;"Pago tarjeta")),"",IF(IFERROR(INDEX(ctaMon,MATCH(G1021,ctaNom,0))&amp;"","DOP")=N1021,C1021,IF(N1021="USD",C1021*TasaUSD,C1021/TasaUSD)))</f>
        <v/>
      </c>
      <c r="V1021" s="20">
        <f>IF(I1021="","",IF(IFERROR(INDEX(ctaLiq,MATCH(E1021,ctaNom,0))="Sí",FALSE),IF(OR(I1021="Gasto",I1021="Transferencia",I1021="Pago tarjeta"),-1,1)*O1021,0)+IF(AND(U1021&lt;&gt;"",IFERROR(INDEX(ctaLiq,MATCH(G1021,ctaNom,0))="Sí",FALSE)),O1021,0))</f>
        <v/>
      </c>
      <c r="W1021" s="19">
        <f>IF(OR(F1021="",I1021=""),"",IF(COUNTIFS(F$6:F1021,F1021,I$6:I1021,"?*")=1,MAX(W$5:W1020)+1,""))</f>
        <v/>
      </c>
    </row>
    <row r="1022">
      <c r="B1022" s="15" t="n"/>
      <c r="C1022" s="16" t="n"/>
      <c r="D1022" s="17" t="n"/>
      <c r="E1022" s="17" t="n"/>
      <c r="F1022" s="17" t="n"/>
      <c r="G1022" s="17" t="n"/>
      <c r="H1022" s="18">
        <f>IF(AND(B1022="",C1022="",D1022="",E1022=""),"",IF(B1022="","⚠ Falta fecha",IF(C1022="","⚠ Falta monto",IF(D1022="","⚠ Falta categoría",IF(ISNA(MATCH(D1022,catNom,0)),"⚠ Categoría no existe",IF(E1022="","⚠ Falta cuenta",IF(ISNA(MATCH(E1022,ctaNom,0)),"⚠ Cuenta no existe",IF(AND(OR(I1022="Transferencia",I1022="Pago tarjeta"),G1022=""),"⚠ Indica la cuenta «Hacia»",IF(AND(G1022&lt;&gt;"",G1022=E1022),"⚠ «Hacia» igual a la cuenta",IF(AND(G1022&lt;&gt;"",ISNA(MATCH(G1022,ctaNom,0))),"⚠ «Hacia» no existe",IF(AND(I1022="Pago tarjeta",IFERROR(INDEX(ctaTipo,MATCH(G1022,ctaNom,0)),"")&lt;&gt;"Tarjeta de crédito"),"⚠ «Hacia» debe ser la tarjeta",IF(AND(I1022="Trading",IFERROR(INDEX(ctaTipo,MATCH(E1022,ctaNom,0)),"")&lt;&gt;"Cuenta de trading"),"⚠ Usa la cuenta de trading","✓"))))))))))))</f>
        <v/>
      </c>
      <c r="I1022" s="19">
        <f>IF(OR(B1022="",C1022="",D1022=""),"",IFERROR(INDEX(catTipo,MATCH(D1022,catNom,0))&amp;"",""))</f>
        <v/>
      </c>
      <c r="J1022" s="19">
        <f>IF(I1022="","",IFERROR(INDEX(catGrupo,MATCH(D1022,catNom,0))&amp;"",""))</f>
        <v/>
      </c>
      <c r="K1022" s="19">
        <f>IF(I1022="Gasto",IF(IFERROR(INDEX(catClas,MATCH(D1022,catNom,0))&amp;"","")="","Variable",IFERROR(INDEX(catClas,MATCH(D1022,catNom,0))&amp;"","")),"")</f>
        <v/>
      </c>
      <c r="L1022" s="19">
        <f>IF(I1022="","",IFERROR(INDEX(catAlim,MATCH(D1022,catNom,0))&amp;"",""))</f>
        <v/>
      </c>
      <c r="M1022" s="19">
        <f>IF(I1022="","",IFERROR(INDEX(catComida,MATCH(D1022,catNom,0))&amp;"",""))</f>
        <v/>
      </c>
      <c r="N1022" s="19">
        <f>IF(I1022="","",IFERROR(INDEX(ctaMon,MATCH(E1022,ctaNom,0))&amp;"","DOP"))</f>
        <v/>
      </c>
      <c r="O1022" s="20">
        <f>IF(I1022="","",C1022*IF(N1022="USD",TasaUSD,1))</f>
        <v/>
      </c>
      <c r="P1022" s="20">
        <f>IF(I1022="","",IF(I1022="Gasto",O1022,0))</f>
        <v/>
      </c>
      <c r="Q1022" s="20">
        <f>IF(I1022="","",IF(I1022="Ingreso",O1022,0))</f>
        <v/>
      </c>
      <c r="R1022" s="20">
        <f>IF(I1022="","",IF(I1022="Trading",O1022,0))</f>
        <v/>
      </c>
      <c r="S1022" s="19">
        <f>IF(I1022="","",IF(AND(I1022="Gasto",K1022="Variable",J1022&lt;&gt;"Trading",O1022&gt;0,O1022&lt;=Umbral),1,0))</f>
        <v/>
      </c>
      <c r="T1022" s="20">
        <f>IF(OR(I1022="",E1022=""),"",IF(OR(I1022="Gasto",I1022="Transferencia",I1022="Pago tarjeta"),-1,1)*C1022)</f>
        <v/>
      </c>
      <c r="U1022" s="20">
        <f>IF(OR(G1022="",AND(I1022&lt;&gt;"Transferencia",I1022&lt;&gt;"Pago tarjeta")),"",IF(IFERROR(INDEX(ctaMon,MATCH(G1022,ctaNom,0))&amp;"","DOP")=N1022,C1022,IF(N1022="USD",C1022*TasaUSD,C1022/TasaUSD)))</f>
        <v/>
      </c>
      <c r="V1022" s="20">
        <f>IF(I1022="","",IF(IFERROR(INDEX(ctaLiq,MATCH(E1022,ctaNom,0))="Sí",FALSE),IF(OR(I1022="Gasto",I1022="Transferencia",I1022="Pago tarjeta"),-1,1)*O1022,0)+IF(AND(U1022&lt;&gt;"",IFERROR(INDEX(ctaLiq,MATCH(G1022,ctaNom,0))="Sí",FALSE)),O1022,0))</f>
        <v/>
      </c>
      <c r="W1022" s="19">
        <f>IF(OR(F1022="",I1022=""),"",IF(COUNTIFS(F$6:F1022,F1022,I$6:I1022,"?*")=1,MAX(W$5:W1021)+1,""))</f>
        <v/>
      </c>
    </row>
    <row r="1023">
      <c r="B1023" s="15" t="n"/>
      <c r="C1023" s="16" t="n"/>
      <c r="D1023" s="17" t="n"/>
      <c r="E1023" s="17" t="n"/>
      <c r="F1023" s="17" t="n"/>
      <c r="G1023" s="17" t="n"/>
      <c r="H1023" s="18">
        <f>IF(AND(B1023="",C1023="",D1023="",E1023=""),"",IF(B1023="","⚠ Falta fecha",IF(C1023="","⚠ Falta monto",IF(D1023="","⚠ Falta categoría",IF(ISNA(MATCH(D1023,catNom,0)),"⚠ Categoría no existe",IF(E1023="","⚠ Falta cuenta",IF(ISNA(MATCH(E1023,ctaNom,0)),"⚠ Cuenta no existe",IF(AND(OR(I1023="Transferencia",I1023="Pago tarjeta"),G1023=""),"⚠ Indica la cuenta «Hacia»",IF(AND(G1023&lt;&gt;"",G1023=E1023),"⚠ «Hacia» igual a la cuenta",IF(AND(G1023&lt;&gt;"",ISNA(MATCH(G1023,ctaNom,0))),"⚠ «Hacia» no existe",IF(AND(I1023="Pago tarjeta",IFERROR(INDEX(ctaTipo,MATCH(G1023,ctaNom,0)),"")&lt;&gt;"Tarjeta de crédito"),"⚠ «Hacia» debe ser la tarjeta",IF(AND(I1023="Trading",IFERROR(INDEX(ctaTipo,MATCH(E1023,ctaNom,0)),"")&lt;&gt;"Cuenta de trading"),"⚠ Usa la cuenta de trading","✓"))))))))))))</f>
        <v/>
      </c>
      <c r="I1023" s="19">
        <f>IF(OR(B1023="",C1023="",D1023=""),"",IFERROR(INDEX(catTipo,MATCH(D1023,catNom,0))&amp;"",""))</f>
        <v/>
      </c>
      <c r="J1023" s="19">
        <f>IF(I1023="","",IFERROR(INDEX(catGrupo,MATCH(D1023,catNom,0))&amp;"",""))</f>
        <v/>
      </c>
      <c r="K1023" s="19">
        <f>IF(I1023="Gasto",IF(IFERROR(INDEX(catClas,MATCH(D1023,catNom,0))&amp;"","")="","Variable",IFERROR(INDEX(catClas,MATCH(D1023,catNom,0))&amp;"","")),"")</f>
        <v/>
      </c>
      <c r="L1023" s="19">
        <f>IF(I1023="","",IFERROR(INDEX(catAlim,MATCH(D1023,catNom,0))&amp;"",""))</f>
        <v/>
      </c>
      <c r="M1023" s="19">
        <f>IF(I1023="","",IFERROR(INDEX(catComida,MATCH(D1023,catNom,0))&amp;"",""))</f>
        <v/>
      </c>
      <c r="N1023" s="19">
        <f>IF(I1023="","",IFERROR(INDEX(ctaMon,MATCH(E1023,ctaNom,0))&amp;"","DOP"))</f>
        <v/>
      </c>
      <c r="O1023" s="20">
        <f>IF(I1023="","",C1023*IF(N1023="USD",TasaUSD,1))</f>
        <v/>
      </c>
      <c r="P1023" s="20">
        <f>IF(I1023="","",IF(I1023="Gasto",O1023,0))</f>
        <v/>
      </c>
      <c r="Q1023" s="20">
        <f>IF(I1023="","",IF(I1023="Ingreso",O1023,0))</f>
        <v/>
      </c>
      <c r="R1023" s="20">
        <f>IF(I1023="","",IF(I1023="Trading",O1023,0))</f>
        <v/>
      </c>
      <c r="S1023" s="19">
        <f>IF(I1023="","",IF(AND(I1023="Gasto",K1023="Variable",J1023&lt;&gt;"Trading",O1023&gt;0,O1023&lt;=Umbral),1,0))</f>
        <v/>
      </c>
      <c r="T1023" s="20">
        <f>IF(OR(I1023="",E1023=""),"",IF(OR(I1023="Gasto",I1023="Transferencia",I1023="Pago tarjeta"),-1,1)*C1023)</f>
        <v/>
      </c>
      <c r="U1023" s="20">
        <f>IF(OR(G1023="",AND(I1023&lt;&gt;"Transferencia",I1023&lt;&gt;"Pago tarjeta")),"",IF(IFERROR(INDEX(ctaMon,MATCH(G1023,ctaNom,0))&amp;"","DOP")=N1023,C1023,IF(N1023="USD",C1023*TasaUSD,C1023/TasaUSD)))</f>
        <v/>
      </c>
      <c r="V1023" s="20">
        <f>IF(I1023="","",IF(IFERROR(INDEX(ctaLiq,MATCH(E1023,ctaNom,0))="Sí",FALSE),IF(OR(I1023="Gasto",I1023="Transferencia",I1023="Pago tarjeta"),-1,1)*O1023,0)+IF(AND(U1023&lt;&gt;"",IFERROR(INDEX(ctaLiq,MATCH(G1023,ctaNom,0))="Sí",FALSE)),O1023,0))</f>
        <v/>
      </c>
      <c r="W1023" s="19">
        <f>IF(OR(F1023="",I1023=""),"",IF(COUNTIFS(F$6:F1023,F1023,I$6:I1023,"?*")=1,MAX(W$5:W1022)+1,""))</f>
        <v/>
      </c>
    </row>
    <row r="1024">
      <c r="B1024" s="15" t="n"/>
      <c r="C1024" s="16" t="n"/>
      <c r="D1024" s="17" t="n"/>
      <c r="E1024" s="17" t="n"/>
      <c r="F1024" s="17" t="n"/>
      <c r="G1024" s="17" t="n"/>
      <c r="H1024" s="18">
        <f>IF(AND(B1024="",C1024="",D1024="",E1024=""),"",IF(B1024="","⚠ Falta fecha",IF(C1024="","⚠ Falta monto",IF(D1024="","⚠ Falta categoría",IF(ISNA(MATCH(D1024,catNom,0)),"⚠ Categoría no existe",IF(E1024="","⚠ Falta cuenta",IF(ISNA(MATCH(E1024,ctaNom,0)),"⚠ Cuenta no existe",IF(AND(OR(I1024="Transferencia",I1024="Pago tarjeta"),G1024=""),"⚠ Indica la cuenta «Hacia»",IF(AND(G1024&lt;&gt;"",G1024=E1024),"⚠ «Hacia» igual a la cuenta",IF(AND(G1024&lt;&gt;"",ISNA(MATCH(G1024,ctaNom,0))),"⚠ «Hacia» no existe",IF(AND(I1024="Pago tarjeta",IFERROR(INDEX(ctaTipo,MATCH(G1024,ctaNom,0)),"")&lt;&gt;"Tarjeta de crédito"),"⚠ «Hacia» debe ser la tarjeta",IF(AND(I1024="Trading",IFERROR(INDEX(ctaTipo,MATCH(E1024,ctaNom,0)),"")&lt;&gt;"Cuenta de trading"),"⚠ Usa la cuenta de trading","✓"))))))))))))</f>
        <v/>
      </c>
      <c r="I1024" s="19">
        <f>IF(OR(B1024="",C1024="",D1024=""),"",IFERROR(INDEX(catTipo,MATCH(D1024,catNom,0))&amp;"",""))</f>
        <v/>
      </c>
      <c r="J1024" s="19">
        <f>IF(I1024="","",IFERROR(INDEX(catGrupo,MATCH(D1024,catNom,0))&amp;"",""))</f>
        <v/>
      </c>
      <c r="K1024" s="19">
        <f>IF(I1024="Gasto",IF(IFERROR(INDEX(catClas,MATCH(D1024,catNom,0))&amp;"","")="","Variable",IFERROR(INDEX(catClas,MATCH(D1024,catNom,0))&amp;"","")),"")</f>
        <v/>
      </c>
      <c r="L1024" s="19">
        <f>IF(I1024="","",IFERROR(INDEX(catAlim,MATCH(D1024,catNom,0))&amp;"",""))</f>
        <v/>
      </c>
      <c r="M1024" s="19">
        <f>IF(I1024="","",IFERROR(INDEX(catComida,MATCH(D1024,catNom,0))&amp;"",""))</f>
        <v/>
      </c>
      <c r="N1024" s="19">
        <f>IF(I1024="","",IFERROR(INDEX(ctaMon,MATCH(E1024,ctaNom,0))&amp;"","DOP"))</f>
        <v/>
      </c>
      <c r="O1024" s="20">
        <f>IF(I1024="","",C1024*IF(N1024="USD",TasaUSD,1))</f>
        <v/>
      </c>
      <c r="P1024" s="20">
        <f>IF(I1024="","",IF(I1024="Gasto",O1024,0))</f>
        <v/>
      </c>
      <c r="Q1024" s="20">
        <f>IF(I1024="","",IF(I1024="Ingreso",O1024,0))</f>
        <v/>
      </c>
      <c r="R1024" s="20">
        <f>IF(I1024="","",IF(I1024="Trading",O1024,0))</f>
        <v/>
      </c>
      <c r="S1024" s="19">
        <f>IF(I1024="","",IF(AND(I1024="Gasto",K1024="Variable",J1024&lt;&gt;"Trading",O1024&gt;0,O1024&lt;=Umbral),1,0))</f>
        <v/>
      </c>
      <c r="T1024" s="20">
        <f>IF(OR(I1024="",E1024=""),"",IF(OR(I1024="Gasto",I1024="Transferencia",I1024="Pago tarjeta"),-1,1)*C1024)</f>
        <v/>
      </c>
      <c r="U1024" s="20">
        <f>IF(OR(G1024="",AND(I1024&lt;&gt;"Transferencia",I1024&lt;&gt;"Pago tarjeta")),"",IF(IFERROR(INDEX(ctaMon,MATCH(G1024,ctaNom,0))&amp;"","DOP")=N1024,C1024,IF(N1024="USD",C1024*TasaUSD,C1024/TasaUSD)))</f>
        <v/>
      </c>
      <c r="V1024" s="20">
        <f>IF(I1024="","",IF(IFERROR(INDEX(ctaLiq,MATCH(E1024,ctaNom,0))="Sí",FALSE),IF(OR(I1024="Gasto",I1024="Transferencia",I1024="Pago tarjeta"),-1,1)*O1024,0)+IF(AND(U1024&lt;&gt;"",IFERROR(INDEX(ctaLiq,MATCH(G1024,ctaNom,0))="Sí",FALSE)),O1024,0))</f>
        <v/>
      </c>
      <c r="W1024" s="19">
        <f>IF(OR(F1024="",I1024=""),"",IF(COUNTIFS(F$6:F1024,F1024,I$6:I1024,"?*")=1,MAX(W$5:W1023)+1,""))</f>
        <v/>
      </c>
    </row>
    <row r="1025">
      <c r="B1025" s="15" t="n"/>
      <c r="C1025" s="16" t="n"/>
      <c r="D1025" s="17" t="n"/>
      <c r="E1025" s="17" t="n"/>
      <c r="F1025" s="17" t="n"/>
      <c r="G1025" s="17" t="n"/>
      <c r="H1025" s="18">
        <f>IF(AND(B1025="",C1025="",D1025="",E1025=""),"",IF(B1025="","⚠ Falta fecha",IF(C1025="","⚠ Falta monto",IF(D1025="","⚠ Falta categoría",IF(ISNA(MATCH(D1025,catNom,0)),"⚠ Categoría no existe",IF(E1025="","⚠ Falta cuenta",IF(ISNA(MATCH(E1025,ctaNom,0)),"⚠ Cuenta no existe",IF(AND(OR(I1025="Transferencia",I1025="Pago tarjeta"),G1025=""),"⚠ Indica la cuenta «Hacia»",IF(AND(G1025&lt;&gt;"",G1025=E1025),"⚠ «Hacia» igual a la cuenta",IF(AND(G1025&lt;&gt;"",ISNA(MATCH(G1025,ctaNom,0))),"⚠ «Hacia» no existe",IF(AND(I1025="Pago tarjeta",IFERROR(INDEX(ctaTipo,MATCH(G1025,ctaNom,0)),"")&lt;&gt;"Tarjeta de crédito"),"⚠ «Hacia» debe ser la tarjeta",IF(AND(I1025="Trading",IFERROR(INDEX(ctaTipo,MATCH(E1025,ctaNom,0)),"")&lt;&gt;"Cuenta de trading"),"⚠ Usa la cuenta de trading","✓"))))))))))))</f>
        <v/>
      </c>
      <c r="I1025" s="19">
        <f>IF(OR(B1025="",C1025="",D1025=""),"",IFERROR(INDEX(catTipo,MATCH(D1025,catNom,0))&amp;"",""))</f>
        <v/>
      </c>
      <c r="J1025" s="19">
        <f>IF(I1025="","",IFERROR(INDEX(catGrupo,MATCH(D1025,catNom,0))&amp;"",""))</f>
        <v/>
      </c>
      <c r="K1025" s="19">
        <f>IF(I1025="Gasto",IF(IFERROR(INDEX(catClas,MATCH(D1025,catNom,0))&amp;"","")="","Variable",IFERROR(INDEX(catClas,MATCH(D1025,catNom,0))&amp;"","")),"")</f>
        <v/>
      </c>
      <c r="L1025" s="19">
        <f>IF(I1025="","",IFERROR(INDEX(catAlim,MATCH(D1025,catNom,0))&amp;"",""))</f>
        <v/>
      </c>
      <c r="M1025" s="19">
        <f>IF(I1025="","",IFERROR(INDEX(catComida,MATCH(D1025,catNom,0))&amp;"",""))</f>
        <v/>
      </c>
      <c r="N1025" s="19">
        <f>IF(I1025="","",IFERROR(INDEX(ctaMon,MATCH(E1025,ctaNom,0))&amp;"","DOP"))</f>
        <v/>
      </c>
      <c r="O1025" s="20">
        <f>IF(I1025="","",C1025*IF(N1025="USD",TasaUSD,1))</f>
        <v/>
      </c>
      <c r="P1025" s="20">
        <f>IF(I1025="","",IF(I1025="Gasto",O1025,0))</f>
        <v/>
      </c>
      <c r="Q1025" s="20">
        <f>IF(I1025="","",IF(I1025="Ingreso",O1025,0))</f>
        <v/>
      </c>
      <c r="R1025" s="20">
        <f>IF(I1025="","",IF(I1025="Trading",O1025,0))</f>
        <v/>
      </c>
      <c r="S1025" s="19">
        <f>IF(I1025="","",IF(AND(I1025="Gasto",K1025="Variable",J1025&lt;&gt;"Trading",O1025&gt;0,O1025&lt;=Umbral),1,0))</f>
        <v/>
      </c>
      <c r="T1025" s="20">
        <f>IF(OR(I1025="",E1025=""),"",IF(OR(I1025="Gasto",I1025="Transferencia",I1025="Pago tarjeta"),-1,1)*C1025)</f>
        <v/>
      </c>
      <c r="U1025" s="20">
        <f>IF(OR(G1025="",AND(I1025&lt;&gt;"Transferencia",I1025&lt;&gt;"Pago tarjeta")),"",IF(IFERROR(INDEX(ctaMon,MATCH(G1025,ctaNom,0))&amp;"","DOP")=N1025,C1025,IF(N1025="USD",C1025*TasaUSD,C1025/TasaUSD)))</f>
        <v/>
      </c>
      <c r="V1025" s="20">
        <f>IF(I1025="","",IF(IFERROR(INDEX(ctaLiq,MATCH(E1025,ctaNom,0))="Sí",FALSE),IF(OR(I1025="Gasto",I1025="Transferencia",I1025="Pago tarjeta"),-1,1)*O1025,0)+IF(AND(U1025&lt;&gt;"",IFERROR(INDEX(ctaLiq,MATCH(G1025,ctaNom,0))="Sí",FALSE)),O1025,0))</f>
        <v/>
      </c>
      <c r="W1025" s="19">
        <f>IF(OR(F1025="",I1025=""),"",IF(COUNTIFS(F$6:F1025,F1025,I$6:I1025,"?*")=1,MAX(W$5:W1024)+1,""))</f>
        <v/>
      </c>
    </row>
    <row r="1026">
      <c r="B1026" s="15" t="n"/>
      <c r="C1026" s="16" t="n"/>
      <c r="D1026" s="17" t="n"/>
      <c r="E1026" s="17" t="n"/>
      <c r="F1026" s="17" t="n"/>
      <c r="G1026" s="17" t="n"/>
      <c r="H1026" s="18">
        <f>IF(AND(B1026="",C1026="",D1026="",E1026=""),"",IF(B1026="","⚠ Falta fecha",IF(C1026="","⚠ Falta monto",IF(D1026="","⚠ Falta categoría",IF(ISNA(MATCH(D1026,catNom,0)),"⚠ Categoría no existe",IF(E1026="","⚠ Falta cuenta",IF(ISNA(MATCH(E1026,ctaNom,0)),"⚠ Cuenta no existe",IF(AND(OR(I1026="Transferencia",I1026="Pago tarjeta"),G1026=""),"⚠ Indica la cuenta «Hacia»",IF(AND(G1026&lt;&gt;"",G1026=E1026),"⚠ «Hacia» igual a la cuenta",IF(AND(G1026&lt;&gt;"",ISNA(MATCH(G1026,ctaNom,0))),"⚠ «Hacia» no existe",IF(AND(I1026="Pago tarjeta",IFERROR(INDEX(ctaTipo,MATCH(G1026,ctaNom,0)),"")&lt;&gt;"Tarjeta de crédito"),"⚠ «Hacia» debe ser la tarjeta",IF(AND(I1026="Trading",IFERROR(INDEX(ctaTipo,MATCH(E1026,ctaNom,0)),"")&lt;&gt;"Cuenta de trading"),"⚠ Usa la cuenta de trading","✓"))))))))))))</f>
        <v/>
      </c>
      <c r="I1026" s="19">
        <f>IF(OR(B1026="",C1026="",D1026=""),"",IFERROR(INDEX(catTipo,MATCH(D1026,catNom,0))&amp;"",""))</f>
        <v/>
      </c>
      <c r="J1026" s="19">
        <f>IF(I1026="","",IFERROR(INDEX(catGrupo,MATCH(D1026,catNom,0))&amp;"",""))</f>
        <v/>
      </c>
      <c r="K1026" s="19">
        <f>IF(I1026="Gasto",IF(IFERROR(INDEX(catClas,MATCH(D1026,catNom,0))&amp;"","")="","Variable",IFERROR(INDEX(catClas,MATCH(D1026,catNom,0))&amp;"","")),"")</f>
        <v/>
      </c>
      <c r="L1026" s="19">
        <f>IF(I1026="","",IFERROR(INDEX(catAlim,MATCH(D1026,catNom,0))&amp;"",""))</f>
        <v/>
      </c>
      <c r="M1026" s="19">
        <f>IF(I1026="","",IFERROR(INDEX(catComida,MATCH(D1026,catNom,0))&amp;"",""))</f>
        <v/>
      </c>
      <c r="N1026" s="19">
        <f>IF(I1026="","",IFERROR(INDEX(ctaMon,MATCH(E1026,ctaNom,0))&amp;"","DOP"))</f>
        <v/>
      </c>
      <c r="O1026" s="20">
        <f>IF(I1026="","",C1026*IF(N1026="USD",TasaUSD,1))</f>
        <v/>
      </c>
      <c r="P1026" s="20">
        <f>IF(I1026="","",IF(I1026="Gasto",O1026,0))</f>
        <v/>
      </c>
      <c r="Q1026" s="20">
        <f>IF(I1026="","",IF(I1026="Ingreso",O1026,0))</f>
        <v/>
      </c>
      <c r="R1026" s="20">
        <f>IF(I1026="","",IF(I1026="Trading",O1026,0))</f>
        <v/>
      </c>
      <c r="S1026" s="19">
        <f>IF(I1026="","",IF(AND(I1026="Gasto",K1026="Variable",J1026&lt;&gt;"Trading",O1026&gt;0,O1026&lt;=Umbral),1,0))</f>
        <v/>
      </c>
      <c r="T1026" s="20">
        <f>IF(OR(I1026="",E1026=""),"",IF(OR(I1026="Gasto",I1026="Transferencia",I1026="Pago tarjeta"),-1,1)*C1026)</f>
        <v/>
      </c>
      <c r="U1026" s="20">
        <f>IF(OR(G1026="",AND(I1026&lt;&gt;"Transferencia",I1026&lt;&gt;"Pago tarjeta")),"",IF(IFERROR(INDEX(ctaMon,MATCH(G1026,ctaNom,0))&amp;"","DOP")=N1026,C1026,IF(N1026="USD",C1026*TasaUSD,C1026/TasaUSD)))</f>
        <v/>
      </c>
      <c r="V1026" s="20">
        <f>IF(I1026="","",IF(IFERROR(INDEX(ctaLiq,MATCH(E1026,ctaNom,0))="Sí",FALSE),IF(OR(I1026="Gasto",I1026="Transferencia",I1026="Pago tarjeta"),-1,1)*O1026,0)+IF(AND(U1026&lt;&gt;"",IFERROR(INDEX(ctaLiq,MATCH(G1026,ctaNom,0))="Sí",FALSE)),O1026,0))</f>
        <v/>
      </c>
      <c r="W1026" s="19">
        <f>IF(OR(F1026="",I1026=""),"",IF(COUNTIFS(F$6:F1026,F1026,I$6:I1026,"?*")=1,MAX(W$5:W1025)+1,""))</f>
        <v/>
      </c>
    </row>
    <row r="1027">
      <c r="B1027" s="15" t="n"/>
      <c r="C1027" s="16" t="n"/>
      <c r="D1027" s="17" t="n"/>
      <c r="E1027" s="17" t="n"/>
      <c r="F1027" s="17" t="n"/>
      <c r="G1027" s="17" t="n"/>
      <c r="H1027" s="18">
        <f>IF(AND(B1027="",C1027="",D1027="",E1027=""),"",IF(B1027="","⚠ Falta fecha",IF(C1027="","⚠ Falta monto",IF(D1027="","⚠ Falta categoría",IF(ISNA(MATCH(D1027,catNom,0)),"⚠ Categoría no existe",IF(E1027="","⚠ Falta cuenta",IF(ISNA(MATCH(E1027,ctaNom,0)),"⚠ Cuenta no existe",IF(AND(OR(I1027="Transferencia",I1027="Pago tarjeta"),G1027=""),"⚠ Indica la cuenta «Hacia»",IF(AND(G1027&lt;&gt;"",G1027=E1027),"⚠ «Hacia» igual a la cuenta",IF(AND(G1027&lt;&gt;"",ISNA(MATCH(G1027,ctaNom,0))),"⚠ «Hacia» no existe",IF(AND(I1027="Pago tarjeta",IFERROR(INDEX(ctaTipo,MATCH(G1027,ctaNom,0)),"")&lt;&gt;"Tarjeta de crédito"),"⚠ «Hacia» debe ser la tarjeta",IF(AND(I1027="Trading",IFERROR(INDEX(ctaTipo,MATCH(E1027,ctaNom,0)),"")&lt;&gt;"Cuenta de trading"),"⚠ Usa la cuenta de trading","✓"))))))))))))</f>
        <v/>
      </c>
      <c r="I1027" s="19">
        <f>IF(OR(B1027="",C1027="",D1027=""),"",IFERROR(INDEX(catTipo,MATCH(D1027,catNom,0))&amp;"",""))</f>
        <v/>
      </c>
      <c r="J1027" s="19">
        <f>IF(I1027="","",IFERROR(INDEX(catGrupo,MATCH(D1027,catNom,0))&amp;"",""))</f>
        <v/>
      </c>
      <c r="K1027" s="19">
        <f>IF(I1027="Gasto",IF(IFERROR(INDEX(catClas,MATCH(D1027,catNom,0))&amp;"","")="","Variable",IFERROR(INDEX(catClas,MATCH(D1027,catNom,0))&amp;"","")),"")</f>
        <v/>
      </c>
      <c r="L1027" s="19">
        <f>IF(I1027="","",IFERROR(INDEX(catAlim,MATCH(D1027,catNom,0))&amp;"",""))</f>
        <v/>
      </c>
      <c r="M1027" s="19">
        <f>IF(I1027="","",IFERROR(INDEX(catComida,MATCH(D1027,catNom,0))&amp;"",""))</f>
        <v/>
      </c>
      <c r="N1027" s="19">
        <f>IF(I1027="","",IFERROR(INDEX(ctaMon,MATCH(E1027,ctaNom,0))&amp;"","DOP"))</f>
        <v/>
      </c>
      <c r="O1027" s="20">
        <f>IF(I1027="","",C1027*IF(N1027="USD",TasaUSD,1))</f>
        <v/>
      </c>
      <c r="P1027" s="20">
        <f>IF(I1027="","",IF(I1027="Gasto",O1027,0))</f>
        <v/>
      </c>
      <c r="Q1027" s="20">
        <f>IF(I1027="","",IF(I1027="Ingreso",O1027,0))</f>
        <v/>
      </c>
      <c r="R1027" s="20">
        <f>IF(I1027="","",IF(I1027="Trading",O1027,0))</f>
        <v/>
      </c>
      <c r="S1027" s="19">
        <f>IF(I1027="","",IF(AND(I1027="Gasto",K1027="Variable",J1027&lt;&gt;"Trading",O1027&gt;0,O1027&lt;=Umbral),1,0))</f>
        <v/>
      </c>
      <c r="T1027" s="20">
        <f>IF(OR(I1027="",E1027=""),"",IF(OR(I1027="Gasto",I1027="Transferencia",I1027="Pago tarjeta"),-1,1)*C1027)</f>
        <v/>
      </c>
      <c r="U1027" s="20">
        <f>IF(OR(G1027="",AND(I1027&lt;&gt;"Transferencia",I1027&lt;&gt;"Pago tarjeta")),"",IF(IFERROR(INDEX(ctaMon,MATCH(G1027,ctaNom,0))&amp;"","DOP")=N1027,C1027,IF(N1027="USD",C1027*TasaUSD,C1027/TasaUSD)))</f>
        <v/>
      </c>
      <c r="V1027" s="20">
        <f>IF(I1027="","",IF(IFERROR(INDEX(ctaLiq,MATCH(E1027,ctaNom,0))="Sí",FALSE),IF(OR(I1027="Gasto",I1027="Transferencia",I1027="Pago tarjeta"),-1,1)*O1027,0)+IF(AND(U1027&lt;&gt;"",IFERROR(INDEX(ctaLiq,MATCH(G1027,ctaNom,0))="Sí",FALSE)),O1027,0))</f>
        <v/>
      </c>
      <c r="W1027" s="19">
        <f>IF(OR(F1027="",I1027=""),"",IF(COUNTIFS(F$6:F1027,F1027,I$6:I1027,"?*")=1,MAX(W$5:W1026)+1,""))</f>
        <v/>
      </c>
    </row>
    <row r="1028">
      <c r="B1028" s="15" t="n"/>
      <c r="C1028" s="16" t="n"/>
      <c r="D1028" s="17" t="n"/>
      <c r="E1028" s="17" t="n"/>
      <c r="F1028" s="17" t="n"/>
      <c r="G1028" s="17" t="n"/>
      <c r="H1028" s="18">
        <f>IF(AND(B1028="",C1028="",D1028="",E1028=""),"",IF(B1028="","⚠ Falta fecha",IF(C1028="","⚠ Falta monto",IF(D1028="","⚠ Falta categoría",IF(ISNA(MATCH(D1028,catNom,0)),"⚠ Categoría no existe",IF(E1028="","⚠ Falta cuenta",IF(ISNA(MATCH(E1028,ctaNom,0)),"⚠ Cuenta no existe",IF(AND(OR(I1028="Transferencia",I1028="Pago tarjeta"),G1028=""),"⚠ Indica la cuenta «Hacia»",IF(AND(G1028&lt;&gt;"",G1028=E1028),"⚠ «Hacia» igual a la cuenta",IF(AND(G1028&lt;&gt;"",ISNA(MATCH(G1028,ctaNom,0))),"⚠ «Hacia» no existe",IF(AND(I1028="Pago tarjeta",IFERROR(INDEX(ctaTipo,MATCH(G1028,ctaNom,0)),"")&lt;&gt;"Tarjeta de crédito"),"⚠ «Hacia» debe ser la tarjeta",IF(AND(I1028="Trading",IFERROR(INDEX(ctaTipo,MATCH(E1028,ctaNom,0)),"")&lt;&gt;"Cuenta de trading"),"⚠ Usa la cuenta de trading","✓"))))))))))))</f>
        <v/>
      </c>
      <c r="I1028" s="19">
        <f>IF(OR(B1028="",C1028="",D1028=""),"",IFERROR(INDEX(catTipo,MATCH(D1028,catNom,0))&amp;"",""))</f>
        <v/>
      </c>
      <c r="J1028" s="19">
        <f>IF(I1028="","",IFERROR(INDEX(catGrupo,MATCH(D1028,catNom,0))&amp;"",""))</f>
        <v/>
      </c>
      <c r="K1028" s="19">
        <f>IF(I1028="Gasto",IF(IFERROR(INDEX(catClas,MATCH(D1028,catNom,0))&amp;"","")="","Variable",IFERROR(INDEX(catClas,MATCH(D1028,catNom,0))&amp;"","")),"")</f>
        <v/>
      </c>
      <c r="L1028" s="19">
        <f>IF(I1028="","",IFERROR(INDEX(catAlim,MATCH(D1028,catNom,0))&amp;"",""))</f>
        <v/>
      </c>
      <c r="M1028" s="19">
        <f>IF(I1028="","",IFERROR(INDEX(catComida,MATCH(D1028,catNom,0))&amp;"",""))</f>
        <v/>
      </c>
      <c r="N1028" s="19">
        <f>IF(I1028="","",IFERROR(INDEX(ctaMon,MATCH(E1028,ctaNom,0))&amp;"","DOP"))</f>
        <v/>
      </c>
      <c r="O1028" s="20">
        <f>IF(I1028="","",C1028*IF(N1028="USD",TasaUSD,1))</f>
        <v/>
      </c>
      <c r="P1028" s="20">
        <f>IF(I1028="","",IF(I1028="Gasto",O1028,0))</f>
        <v/>
      </c>
      <c r="Q1028" s="20">
        <f>IF(I1028="","",IF(I1028="Ingreso",O1028,0))</f>
        <v/>
      </c>
      <c r="R1028" s="20">
        <f>IF(I1028="","",IF(I1028="Trading",O1028,0))</f>
        <v/>
      </c>
      <c r="S1028" s="19">
        <f>IF(I1028="","",IF(AND(I1028="Gasto",K1028="Variable",J1028&lt;&gt;"Trading",O1028&gt;0,O1028&lt;=Umbral),1,0))</f>
        <v/>
      </c>
      <c r="T1028" s="20">
        <f>IF(OR(I1028="",E1028=""),"",IF(OR(I1028="Gasto",I1028="Transferencia",I1028="Pago tarjeta"),-1,1)*C1028)</f>
        <v/>
      </c>
      <c r="U1028" s="20">
        <f>IF(OR(G1028="",AND(I1028&lt;&gt;"Transferencia",I1028&lt;&gt;"Pago tarjeta")),"",IF(IFERROR(INDEX(ctaMon,MATCH(G1028,ctaNom,0))&amp;"","DOP")=N1028,C1028,IF(N1028="USD",C1028*TasaUSD,C1028/TasaUSD)))</f>
        <v/>
      </c>
      <c r="V1028" s="20">
        <f>IF(I1028="","",IF(IFERROR(INDEX(ctaLiq,MATCH(E1028,ctaNom,0))="Sí",FALSE),IF(OR(I1028="Gasto",I1028="Transferencia",I1028="Pago tarjeta"),-1,1)*O1028,0)+IF(AND(U1028&lt;&gt;"",IFERROR(INDEX(ctaLiq,MATCH(G1028,ctaNom,0))="Sí",FALSE)),O1028,0))</f>
        <v/>
      </c>
      <c r="W1028" s="19">
        <f>IF(OR(F1028="",I1028=""),"",IF(COUNTIFS(F$6:F1028,F1028,I$6:I1028,"?*")=1,MAX(W$5:W1027)+1,""))</f>
        <v/>
      </c>
    </row>
    <row r="1029">
      <c r="B1029" s="15" t="n"/>
      <c r="C1029" s="16" t="n"/>
      <c r="D1029" s="17" t="n"/>
      <c r="E1029" s="17" t="n"/>
      <c r="F1029" s="17" t="n"/>
      <c r="G1029" s="17" t="n"/>
      <c r="H1029" s="18">
        <f>IF(AND(B1029="",C1029="",D1029="",E1029=""),"",IF(B1029="","⚠ Falta fecha",IF(C1029="","⚠ Falta monto",IF(D1029="","⚠ Falta categoría",IF(ISNA(MATCH(D1029,catNom,0)),"⚠ Categoría no existe",IF(E1029="","⚠ Falta cuenta",IF(ISNA(MATCH(E1029,ctaNom,0)),"⚠ Cuenta no existe",IF(AND(OR(I1029="Transferencia",I1029="Pago tarjeta"),G1029=""),"⚠ Indica la cuenta «Hacia»",IF(AND(G1029&lt;&gt;"",G1029=E1029),"⚠ «Hacia» igual a la cuenta",IF(AND(G1029&lt;&gt;"",ISNA(MATCH(G1029,ctaNom,0))),"⚠ «Hacia» no existe",IF(AND(I1029="Pago tarjeta",IFERROR(INDEX(ctaTipo,MATCH(G1029,ctaNom,0)),"")&lt;&gt;"Tarjeta de crédito"),"⚠ «Hacia» debe ser la tarjeta",IF(AND(I1029="Trading",IFERROR(INDEX(ctaTipo,MATCH(E1029,ctaNom,0)),"")&lt;&gt;"Cuenta de trading"),"⚠ Usa la cuenta de trading","✓"))))))))))))</f>
        <v/>
      </c>
      <c r="I1029" s="19">
        <f>IF(OR(B1029="",C1029="",D1029=""),"",IFERROR(INDEX(catTipo,MATCH(D1029,catNom,0))&amp;"",""))</f>
        <v/>
      </c>
      <c r="J1029" s="19">
        <f>IF(I1029="","",IFERROR(INDEX(catGrupo,MATCH(D1029,catNom,0))&amp;"",""))</f>
        <v/>
      </c>
      <c r="K1029" s="19">
        <f>IF(I1029="Gasto",IF(IFERROR(INDEX(catClas,MATCH(D1029,catNom,0))&amp;"","")="","Variable",IFERROR(INDEX(catClas,MATCH(D1029,catNom,0))&amp;"","")),"")</f>
        <v/>
      </c>
      <c r="L1029" s="19">
        <f>IF(I1029="","",IFERROR(INDEX(catAlim,MATCH(D1029,catNom,0))&amp;"",""))</f>
        <v/>
      </c>
      <c r="M1029" s="19">
        <f>IF(I1029="","",IFERROR(INDEX(catComida,MATCH(D1029,catNom,0))&amp;"",""))</f>
        <v/>
      </c>
      <c r="N1029" s="19">
        <f>IF(I1029="","",IFERROR(INDEX(ctaMon,MATCH(E1029,ctaNom,0))&amp;"","DOP"))</f>
        <v/>
      </c>
      <c r="O1029" s="20">
        <f>IF(I1029="","",C1029*IF(N1029="USD",TasaUSD,1))</f>
        <v/>
      </c>
      <c r="P1029" s="20">
        <f>IF(I1029="","",IF(I1029="Gasto",O1029,0))</f>
        <v/>
      </c>
      <c r="Q1029" s="20">
        <f>IF(I1029="","",IF(I1029="Ingreso",O1029,0))</f>
        <v/>
      </c>
      <c r="R1029" s="20">
        <f>IF(I1029="","",IF(I1029="Trading",O1029,0))</f>
        <v/>
      </c>
      <c r="S1029" s="19">
        <f>IF(I1029="","",IF(AND(I1029="Gasto",K1029="Variable",J1029&lt;&gt;"Trading",O1029&gt;0,O1029&lt;=Umbral),1,0))</f>
        <v/>
      </c>
      <c r="T1029" s="20">
        <f>IF(OR(I1029="",E1029=""),"",IF(OR(I1029="Gasto",I1029="Transferencia",I1029="Pago tarjeta"),-1,1)*C1029)</f>
        <v/>
      </c>
      <c r="U1029" s="20">
        <f>IF(OR(G1029="",AND(I1029&lt;&gt;"Transferencia",I1029&lt;&gt;"Pago tarjeta")),"",IF(IFERROR(INDEX(ctaMon,MATCH(G1029,ctaNom,0))&amp;"","DOP")=N1029,C1029,IF(N1029="USD",C1029*TasaUSD,C1029/TasaUSD)))</f>
        <v/>
      </c>
      <c r="V1029" s="20">
        <f>IF(I1029="","",IF(IFERROR(INDEX(ctaLiq,MATCH(E1029,ctaNom,0))="Sí",FALSE),IF(OR(I1029="Gasto",I1029="Transferencia",I1029="Pago tarjeta"),-1,1)*O1029,0)+IF(AND(U1029&lt;&gt;"",IFERROR(INDEX(ctaLiq,MATCH(G1029,ctaNom,0))="Sí",FALSE)),O1029,0))</f>
        <v/>
      </c>
      <c r="W1029" s="19">
        <f>IF(OR(F1029="",I1029=""),"",IF(COUNTIFS(F$6:F1029,F1029,I$6:I1029,"?*")=1,MAX(W$5:W1028)+1,""))</f>
        <v/>
      </c>
    </row>
    <row r="1030">
      <c r="B1030" s="15" t="n"/>
      <c r="C1030" s="16" t="n"/>
      <c r="D1030" s="17" t="n"/>
      <c r="E1030" s="17" t="n"/>
      <c r="F1030" s="17" t="n"/>
      <c r="G1030" s="17" t="n"/>
      <c r="H1030" s="18">
        <f>IF(AND(B1030="",C1030="",D1030="",E1030=""),"",IF(B1030="","⚠ Falta fecha",IF(C1030="","⚠ Falta monto",IF(D1030="","⚠ Falta categoría",IF(ISNA(MATCH(D1030,catNom,0)),"⚠ Categoría no existe",IF(E1030="","⚠ Falta cuenta",IF(ISNA(MATCH(E1030,ctaNom,0)),"⚠ Cuenta no existe",IF(AND(OR(I1030="Transferencia",I1030="Pago tarjeta"),G1030=""),"⚠ Indica la cuenta «Hacia»",IF(AND(G1030&lt;&gt;"",G1030=E1030),"⚠ «Hacia» igual a la cuenta",IF(AND(G1030&lt;&gt;"",ISNA(MATCH(G1030,ctaNom,0))),"⚠ «Hacia» no existe",IF(AND(I1030="Pago tarjeta",IFERROR(INDEX(ctaTipo,MATCH(G1030,ctaNom,0)),"")&lt;&gt;"Tarjeta de crédito"),"⚠ «Hacia» debe ser la tarjeta",IF(AND(I1030="Trading",IFERROR(INDEX(ctaTipo,MATCH(E1030,ctaNom,0)),"")&lt;&gt;"Cuenta de trading"),"⚠ Usa la cuenta de trading","✓"))))))))))))</f>
        <v/>
      </c>
      <c r="I1030" s="19">
        <f>IF(OR(B1030="",C1030="",D1030=""),"",IFERROR(INDEX(catTipo,MATCH(D1030,catNom,0))&amp;"",""))</f>
        <v/>
      </c>
      <c r="J1030" s="19">
        <f>IF(I1030="","",IFERROR(INDEX(catGrupo,MATCH(D1030,catNom,0))&amp;"",""))</f>
        <v/>
      </c>
      <c r="K1030" s="19">
        <f>IF(I1030="Gasto",IF(IFERROR(INDEX(catClas,MATCH(D1030,catNom,0))&amp;"","")="","Variable",IFERROR(INDEX(catClas,MATCH(D1030,catNom,0))&amp;"","")),"")</f>
        <v/>
      </c>
      <c r="L1030" s="19">
        <f>IF(I1030="","",IFERROR(INDEX(catAlim,MATCH(D1030,catNom,0))&amp;"",""))</f>
        <v/>
      </c>
      <c r="M1030" s="19">
        <f>IF(I1030="","",IFERROR(INDEX(catComida,MATCH(D1030,catNom,0))&amp;"",""))</f>
        <v/>
      </c>
      <c r="N1030" s="19">
        <f>IF(I1030="","",IFERROR(INDEX(ctaMon,MATCH(E1030,ctaNom,0))&amp;"","DOP"))</f>
        <v/>
      </c>
      <c r="O1030" s="20">
        <f>IF(I1030="","",C1030*IF(N1030="USD",TasaUSD,1))</f>
        <v/>
      </c>
      <c r="P1030" s="20">
        <f>IF(I1030="","",IF(I1030="Gasto",O1030,0))</f>
        <v/>
      </c>
      <c r="Q1030" s="20">
        <f>IF(I1030="","",IF(I1030="Ingreso",O1030,0))</f>
        <v/>
      </c>
      <c r="R1030" s="20">
        <f>IF(I1030="","",IF(I1030="Trading",O1030,0))</f>
        <v/>
      </c>
      <c r="S1030" s="19">
        <f>IF(I1030="","",IF(AND(I1030="Gasto",K1030="Variable",J1030&lt;&gt;"Trading",O1030&gt;0,O1030&lt;=Umbral),1,0))</f>
        <v/>
      </c>
      <c r="T1030" s="20">
        <f>IF(OR(I1030="",E1030=""),"",IF(OR(I1030="Gasto",I1030="Transferencia",I1030="Pago tarjeta"),-1,1)*C1030)</f>
        <v/>
      </c>
      <c r="U1030" s="20">
        <f>IF(OR(G1030="",AND(I1030&lt;&gt;"Transferencia",I1030&lt;&gt;"Pago tarjeta")),"",IF(IFERROR(INDEX(ctaMon,MATCH(G1030,ctaNom,0))&amp;"","DOP")=N1030,C1030,IF(N1030="USD",C1030*TasaUSD,C1030/TasaUSD)))</f>
        <v/>
      </c>
      <c r="V1030" s="20">
        <f>IF(I1030="","",IF(IFERROR(INDEX(ctaLiq,MATCH(E1030,ctaNom,0))="Sí",FALSE),IF(OR(I1030="Gasto",I1030="Transferencia",I1030="Pago tarjeta"),-1,1)*O1030,0)+IF(AND(U1030&lt;&gt;"",IFERROR(INDEX(ctaLiq,MATCH(G1030,ctaNom,0))="Sí",FALSE)),O1030,0))</f>
        <v/>
      </c>
      <c r="W1030" s="19">
        <f>IF(OR(F1030="",I1030=""),"",IF(COUNTIFS(F$6:F1030,F1030,I$6:I1030,"?*")=1,MAX(W$5:W1029)+1,""))</f>
        <v/>
      </c>
    </row>
    <row r="1031">
      <c r="B1031" s="15" t="n"/>
      <c r="C1031" s="16" t="n"/>
      <c r="D1031" s="17" t="n"/>
      <c r="E1031" s="17" t="n"/>
      <c r="F1031" s="17" t="n"/>
      <c r="G1031" s="17" t="n"/>
      <c r="H1031" s="18">
        <f>IF(AND(B1031="",C1031="",D1031="",E1031=""),"",IF(B1031="","⚠ Falta fecha",IF(C1031="","⚠ Falta monto",IF(D1031="","⚠ Falta categoría",IF(ISNA(MATCH(D1031,catNom,0)),"⚠ Categoría no existe",IF(E1031="","⚠ Falta cuenta",IF(ISNA(MATCH(E1031,ctaNom,0)),"⚠ Cuenta no existe",IF(AND(OR(I1031="Transferencia",I1031="Pago tarjeta"),G1031=""),"⚠ Indica la cuenta «Hacia»",IF(AND(G1031&lt;&gt;"",G1031=E1031),"⚠ «Hacia» igual a la cuenta",IF(AND(G1031&lt;&gt;"",ISNA(MATCH(G1031,ctaNom,0))),"⚠ «Hacia» no existe",IF(AND(I1031="Pago tarjeta",IFERROR(INDEX(ctaTipo,MATCH(G1031,ctaNom,0)),"")&lt;&gt;"Tarjeta de crédito"),"⚠ «Hacia» debe ser la tarjeta",IF(AND(I1031="Trading",IFERROR(INDEX(ctaTipo,MATCH(E1031,ctaNom,0)),"")&lt;&gt;"Cuenta de trading"),"⚠ Usa la cuenta de trading","✓"))))))))))))</f>
        <v/>
      </c>
      <c r="I1031" s="19">
        <f>IF(OR(B1031="",C1031="",D1031=""),"",IFERROR(INDEX(catTipo,MATCH(D1031,catNom,0))&amp;"",""))</f>
        <v/>
      </c>
      <c r="J1031" s="19">
        <f>IF(I1031="","",IFERROR(INDEX(catGrupo,MATCH(D1031,catNom,0))&amp;"",""))</f>
        <v/>
      </c>
      <c r="K1031" s="19">
        <f>IF(I1031="Gasto",IF(IFERROR(INDEX(catClas,MATCH(D1031,catNom,0))&amp;"","")="","Variable",IFERROR(INDEX(catClas,MATCH(D1031,catNom,0))&amp;"","")),"")</f>
        <v/>
      </c>
      <c r="L1031" s="19">
        <f>IF(I1031="","",IFERROR(INDEX(catAlim,MATCH(D1031,catNom,0))&amp;"",""))</f>
        <v/>
      </c>
      <c r="M1031" s="19">
        <f>IF(I1031="","",IFERROR(INDEX(catComida,MATCH(D1031,catNom,0))&amp;"",""))</f>
        <v/>
      </c>
      <c r="N1031" s="19">
        <f>IF(I1031="","",IFERROR(INDEX(ctaMon,MATCH(E1031,ctaNom,0))&amp;"","DOP"))</f>
        <v/>
      </c>
      <c r="O1031" s="20">
        <f>IF(I1031="","",C1031*IF(N1031="USD",TasaUSD,1))</f>
        <v/>
      </c>
      <c r="P1031" s="20">
        <f>IF(I1031="","",IF(I1031="Gasto",O1031,0))</f>
        <v/>
      </c>
      <c r="Q1031" s="20">
        <f>IF(I1031="","",IF(I1031="Ingreso",O1031,0))</f>
        <v/>
      </c>
      <c r="R1031" s="20">
        <f>IF(I1031="","",IF(I1031="Trading",O1031,0))</f>
        <v/>
      </c>
      <c r="S1031" s="19">
        <f>IF(I1031="","",IF(AND(I1031="Gasto",K1031="Variable",J1031&lt;&gt;"Trading",O1031&gt;0,O1031&lt;=Umbral),1,0))</f>
        <v/>
      </c>
      <c r="T1031" s="20">
        <f>IF(OR(I1031="",E1031=""),"",IF(OR(I1031="Gasto",I1031="Transferencia",I1031="Pago tarjeta"),-1,1)*C1031)</f>
        <v/>
      </c>
      <c r="U1031" s="20">
        <f>IF(OR(G1031="",AND(I1031&lt;&gt;"Transferencia",I1031&lt;&gt;"Pago tarjeta")),"",IF(IFERROR(INDEX(ctaMon,MATCH(G1031,ctaNom,0))&amp;"","DOP")=N1031,C1031,IF(N1031="USD",C1031*TasaUSD,C1031/TasaUSD)))</f>
        <v/>
      </c>
      <c r="V1031" s="20">
        <f>IF(I1031="","",IF(IFERROR(INDEX(ctaLiq,MATCH(E1031,ctaNom,0))="Sí",FALSE),IF(OR(I1031="Gasto",I1031="Transferencia",I1031="Pago tarjeta"),-1,1)*O1031,0)+IF(AND(U1031&lt;&gt;"",IFERROR(INDEX(ctaLiq,MATCH(G1031,ctaNom,0))="Sí",FALSE)),O1031,0))</f>
        <v/>
      </c>
      <c r="W1031" s="19">
        <f>IF(OR(F1031="",I1031=""),"",IF(COUNTIFS(F$6:F1031,F1031,I$6:I1031,"?*")=1,MAX(W$5:W1030)+1,""))</f>
        <v/>
      </c>
    </row>
    <row r="1032">
      <c r="B1032" s="15" t="n"/>
      <c r="C1032" s="16" t="n"/>
      <c r="D1032" s="17" t="n"/>
      <c r="E1032" s="17" t="n"/>
      <c r="F1032" s="17" t="n"/>
      <c r="G1032" s="17" t="n"/>
      <c r="H1032" s="18">
        <f>IF(AND(B1032="",C1032="",D1032="",E1032=""),"",IF(B1032="","⚠ Falta fecha",IF(C1032="","⚠ Falta monto",IF(D1032="","⚠ Falta categoría",IF(ISNA(MATCH(D1032,catNom,0)),"⚠ Categoría no existe",IF(E1032="","⚠ Falta cuenta",IF(ISNA(MATCH(E1032,ctaNom,0)),"⚠ Cuenta no existe",IF(AND(OR(I1032="Transferencia",I1032="Pago tarjeta"),G1032=""),"⚠ Indica la cuenta «Hacia»",IF(AND(G1032&lt;&gt;"",G1032=E1032),"⚠ «Hacia» igual a la cuenta",IF(AND(G1032&lt;&gt;"",ISNA(MATCH(G1032,ctaNom,0))),"⚠ «Hacia» no existe",IF(AND(I1032="Pago tarjeta",IFERROR(INDEX(ctaTipo,MATCH(G1032,ctaNom,0)),"")&lt;&gt;"Tarjeta de crédito"),"⚠ «Hacia» debe ser la tarjeta",IF(AND(I1032="Trading",IFERROR(INDEX(ctaTipo,MATCH(E1032,ctaNom,0)),"")&lt;&gt;"Cuenta de trading"),"⚠ Usa la cuenta de trading","✓"))))))))))))</f>
        <v/>
      </c>
      <c r="I1032" s="19">
        <f>IF(OR(B1032="",C1032="",D1032=""),"",IFERROR(INDEX(catTipo,MATCH(D1032,catNom,0))&amp;"",""))</f>
        <v/>
      </c>
      <c r="J1032" s="19">
        <f>IF(I1032="","",IFERROR(INDEX(catGrupo,MATCH(D1032,catNom,0))&amp;"",""))</f>
        <v/>
      </c>
      <c r="K1032" s="19">
        <f>IF(I1032="Gasto",IF(IFERROR(INDEX(catClas,MATCH(D1032,catNom,0))&amp;"","")="","Variable",IFERROR(INDEX(catClas,MATCH(D1032,catNom,0))&amp;"","")),"")</f>
        <v/>
      </c>
      <c r="L1032" s="19">
        <f>IF(I1032="","",IFERROR(INDEX(catAlim,MATCH(D1032,catNom,0))&amp;"",""))</f>
        <v/>
      </c>
      <c r="M1032" s="19">
        <f>IF(I1032="","",IFERROR(INDEX(catComida,MATCH(D1032,catNom,0))&amp;"",""))</f>
        <v/>
      </c>
      <c r="N1032" s="19">
        <f>IF(I1032="","",IFERROR(INDEX(ctaMon,MATCH(E1032,ctaNom,0))&amp;"","DOP"))</f>
        <v/>
      </c>
      <c r="O1032" s="20">
        <f>IF(I1032="","",C1032*IF(N1032="USD",TasaUSD,1))</f>
        <v/>
      </c>
      <c r="P1032" s="20">
        <f>IF(I1032="","",IF(I1032="Gasto",O1032,0))</f>
        <v/>
      </c>
      <c r="Q1032" s="20">
        <f>IF(I1032="","",IF(I1032="Ingreso",O1032,0))</f>
        <v/>
      </c>
      <c r="R1032" s="20">
        <f>IF(I1032="","",IF(I1032="Trading",O1032,0))</f>
        <v/>
      </c>
      <c r="S1032" s="19">
        <f>IF(I1032="","",IF(AND(I1032="Gasto",K1032="Variable",J1032&lt;&gt;"Trading",O1032&gt;0,O1032&lt;=Umbral),1,0))</f>
        <v/>
      </c>
      <c r="T1032" s="20">
        <f>IF(OR(I1032="",E1032=""),"",IF(OR(I1032="Gasto",I1032="Transferencia",I1032="Pago tarjeta"),-1,1)*C1032)</f>
        <v/>
      </c>
      <c r="U1032" s="20">
        <f>IF(OR(G1032="",AND(I1032&lt;&gt;"Transferencia",I1032&lt;&gt;"Pago tarjeta")),"",IF(IFERROR(INDEX(ctaMon,MATCH(G1032,ctaNom,0))&amp;"","DOP")=N1032,C1032,IF(N1032="USD",C1032*TasaUSD,C1032/TasaUSD)))</f>
        <v/>
      </c>
      <c r="V1032" s="20">
        <f>IF(I1032="","",IF(IFERROR(INDEX(ctaLiq,MATCH(E1032,ctaNom,0))="Sí",FALSE),IF(OR(I1032="Gasto",I1032="Transferencia",I1032="Pago tarjeta"),-1,1)*O1032,0)+IF(AND(U1032&lt;&gt;"",IFERROR(INDEX(ctaLiq,MATCH(G1032,ctaNom,0))="Sí",FALSE)),O1032,0))</f>
        <v/>
      </c>
      <c r="W1032" s="19">
        <f>IF(OR(F1032="",I1032=""),"",IF(COUNTIFS(F$6:F1032,F1032,I$6:I1032,"?*")=1,MAX(W$5:W1031)+1,""))</f>
        <v/>
      </c>
    </row>
    <row r="1033">
      <c r="B1033" s="15" t="n"/>
      <c r="C1033" s="16" t="n"/>
      <c r="D1033" s="17" t="n"/>
      <c r="E1033" s="17" t="n"/>
      <c r="F1033" s="17" t="n"/>
      <c r="G1033" s="17" t="n"/>
      <c r="H1033" s="18">
        <f>IF(AND(B1033="",C1033="",D1033="",E1033=""),"",IF(B1033="","⚠ Falta fecha",IF(C1033="","⚠ Falta monto",IF(D1033="","⚠ Falta categoría",IF(ISNA(MATCH(D1033,catNom,0)),"⚠ Categoría no existe",IF(E1033="","⚠ Falta cuenta",IF(ISNA(MATCH(E1033,ctaNom,0)),"⚠ Cuenta no existe",IF(AND(OR(I1033="Transferencia",I1033="Pago tarjeta"),G1033=""),"⚠ Indica la cuenta «Hacia»",IF(AND(G1033&lt;&gt;"",G1033=E1033),"⚠ «Hacia» igual a la cuenta",IF(AND(G1033&lt;&gt;"",ISNA(MATCH(G1033,ctaNom,0))),"⚠ «Hacia» no existe",IF(AND(I1033="Pago tarjeta",IFERROR(INDEX(ctaTipo,MATCH(G1033,ctaNom,0)),"")&lt;&gt;"Tarjeta de crédito"),"⚠ «Hacia» debe ser la tarjeta",IF(AND(I1033="Trading",IFERROR(INDEX(ctaTipo,MATCH(E1033,ctaNom,0)),"")&lt;&gt;"Cuenta de trading"),"⚠ Usa la cuenta de trading","✓"))))))))))))</f>
        <v/>
      </c>
      <c r="I1033" s="19">
        <f>IF(OR(B1033="",C1033="",D1033=""),"",IFERROR(INDEX(catTipo,MATCH(D1033,catNom,0))&amp;"",""))</f>
        <v/>
      </c>
      <c r="J1033" s="19">
        <f>IF(I1033="","",IFERROR(INDEX(catGrupo,MATCH(D1033,catNom,0))&amp;"",""))</f>
        <v/>
      </c>
      <c r="K1033" s="19">
        <f>IF(I1033="Gasto",IF(IFERROR(INDEX(catClas,MATCH(D1033,catNom,0))&amp;"","")="","Variable",IFERROR(INDEX(catClas,MATCH(D1033,catNom,0))&amp;"","")),"")</f>
        <v/>
      </c>
      <c r="L1033" s="19">
        <f>IF(I1033="","",IFERROR(INDEX(catAlim,MATCH(D1033,catNom,0))&amp;"",""))</f>
        <v/>
      </c>
      <c r="M1033" s="19">
        <f>IF(I1033="","",IFERROR(INDEX(catComida,MATCH(D1033,catNom,0))&amp;"",""))</f>
        <v/>
      </c>
      <c r="N1033" s="19">
        <f>IF(I1033="","",IFERROR(INDEX(ctaMon,MATCH(E1033,ctaNom,0))&amp;"","DOP"))</f>
        <v/>
      </c>
      <c r="O1033" s="20">
        <f>IF(I1033="","",C1033*IF(N1033="USD",TasaUSD,1))</f>
        <v/>
      </c>
      <c r="P1033" s="20">
        <f>IF(I1033="","",IF(I1033="Gasto",O1033,0))</f>
        <v/>
      </c>
      <c r="Q1033" s="20">
        <f>IF(I1033="","",IF(I1033="Ingreso",O1033,0))</f>
        <v/>
      </c>
      <c r="R1033" s="20">
        <f>IF(I1033="","",IF(I1033="Trading",O1033,0))</f>
        <v/>
      </c>
      <c r="S1033" s="19">
        <f>IF(I1033="","",IF(AND(I1033="Gasto",K1033="Variable",J1033&lt;&gt;"Trading",O1033&gt;0,O1033&lt;=Umbral),1,0))</f>
        <v/>
      </c>
      <c r="T1033" s="20">
        <f>IF(OR(I1033="",E1033=""),"",IF(OR(I1033="Gasto",I1033="Transferencia",I1033="Pago tarjeta"),-1,1)*C1033)</f>
        <v/>
      </c>
      <c r="U1033" s="20">
        <f>IF(OR(G1033="",AND(I1033&lt;&gt;"Transferencia",I1033&lt;&gt;"Pago tarjeta")),"",IF(IFERROR(INDEX(ctaMon,MATCH(G1033,ctaNom,0))&amp;"","DOP")=N1033,C1033,IF(N1033="USD",C1033*TasaUSD,C1033/TasaUSD)))</f>
        <v/>
      </c>
      <c r="V1033" s="20">
        <f>IF(I1033="","",IF(IFERROR(INDEX(ctaLiq,MATCH(E1033,ctaNom,0))="Sí",FALSE),IF(OR(I1033="Gasto",I1033="Transferencia",I1033="Pago tarjeta"),-1,1)*O1033,0)+IF(AND(U1033&lt;&gt;"",IFERROR(INDEX(ctaLiq,MATCH(G1033,ctaNom,0))="Sí",FALSE)),O1033,0))</f>
        <v/>
      </c>
      <c r="W1033" s="19">
        <f>IF(OR(F1033="",I1033=""),"",IF(COUNTIFS(F$6:F1033,F1033,I$6:I1033,"?*")=1,MAX(W$5:W1032)+1,""))</f>
        <v/>
      </c>
    </row>
    <row r="1034">
      <c r="B1034" s="15" t="n"/>
      <c r="C1034" s="16" t="n"/>
      <c r="D1034" s="17" t="n"/>
      <c r="E1034" s="17" t="n"/>
      <c r="F1034" s="17" t="n"/>
      <c r="G1034" s="17" t="n"/>
      <c r="H1034" s="18">
        <f>IF(AND(B1034="",C1034="",D1034="",E1034=""),"",IF(B1034="","⚠ Falta fecha",IF(C1034="","⚠ Falta monto",IF(D1034="","⚠ Falta categoría",IF(ISNA(MATCH(D1034,catNom,0)),"⚠ Categoría no existe",IF(E1034="","⚠ Falta cuenta",IF(ISNA(MATCH(E1034,ctaNom,0)),"⚠ Cuenta no existe",IF(AND(OR(I1034="Transferencia",I1034="Pago tarjeta"),G1034=""),"⚠ Indica la cuenta «Hacia»",IF(AND(G1034&lt;&gt;"",G1034=E1034),"⚠ «Hacia» igual a la cuenta",IF(AND(G1034&lt;&gt;"",ISNA(MATCH(G1034,ctaNom,0))),"⚠ «Hacia» no existe",IF(AND(I1034="Pago tarjeta",IFERROR(INDEX(ctaTipo,MATCH(G1034,ctaNom,0)),"")&lt;&gt;"Tarjeta de crédito"),"⚠ «Hacia» debe ser la tarjeta",IF(AND(I1034="Trading",IFERROR(INDEX(ctaTipo,MATCH(E1034,ctaNom,0)),"")&lt;&gt;"Cuenta de trading"),"⚠ Usa la cuenta de trading","✓"))))))))))))</f>
        <v/>
      </c>
      <c r="I1034" s="19">
        <f>IF(OR(B1034="",C1034="",D1034=""),"",IFERROR(INDEX(catTipo,MATCH(D1034,catNom,0))&amp;"",""))</f>
        <v/>
      </c>
      <c r="J1034" s="19">
        <f>IF(I1034="","",IFERROR(INDEX(catGrupo,MATCH(D1034,catNom,0))&amp;"",""))</f>
        <v/>
      </c>
      <c r="K1034" s="19">
        <f>IF(I1034="Gasto",IF(IFERROR(INDEX(catClas,MATCH(D1034,catNom,0))&amp;"","")="","Variable",IFERROR(INDEX(catClas,MATCH(D1034,catNom,0))&amp;"","")),"")</f>
        <v/>
      </c>
      <c r="L1034" s="19">
        <f>IF(I1034="","",IFERROR(INDEX(catAlim,MATCH(D1034,catNom,0))&amp;"",""))</f>
        <v/>
      </c>
      <c r="M1034" s="19">
        <f>IF(I1034="","",IFERROR(INDEX(catComida,MATCH(D1034,catNom,0))&amp;"",""))</f>
        <v/>
      </c>
      <c r="N1034" s="19">
        <f>IF(I1034="","",IFERROR(INDEX(ctaMon,MATCH(E1034,ctaNom,0))&amp;"","DOP"))</f>
        <v/>
      </c>
      <c r="O1034" s="20">
        <f>IF(I1034="","",C1034*IF(N1034="USD",TasaUSD,1))</f>
        <v/>
      </c>
      <c r="P1034" s="20">
        <f>IF(I1034="","",IF(I1034="Gasto",O1034,0))</f>
        <v/>
      </c>
      <c r="Q1034" s="20">
        <f>IF(I1034="","",IF(I1034="Ingreso",O1034,0))</f>
        <v/>
      </c>
      <c r="R1034" s="20">
        <f>IF(I1034="","",IF(I1034="Trading",O1034,0))</f>
        <v/>
      </c>
      <c r="S1034" s="19">
        <f>IF(I1034="","",IF(AND(I1034="Gasto",K1034="Variable",J1034&lt;&gt;"Trading",O1034&gt;0,O1034&lt;=Umbral),1,0))</f>
        <v/>
      </c>
      <c r="T1034" s="20">
        <f>IF(OR(I1034="",E1034=""),"",IF(OR(I1034="Gasto",I1034="Transferencia",I1034="Pago tarjeta"),-1,1)*C1034)</f>
        <v/>
      </c>
      <c r="U1034" s="20">
        <f>IF(OR(G1034="",AND(I1034&lt;&gt;"Transferencia",I1034&lt;&gt;"Pago tarjeta")),"",IF(IFERROR(INDEX(ctaMon,MATCH(G1034,ctaNom,0))&amp;"","DOP")=N1034,C1034,IF(N1034="USD",C1034*TasaUSD,C1034/TasaUSD)))</f>
        <v/>
      </c>
      <c r="V1034" s="20">
        <f>IF(I1034="","",IF(IFERROR(INDEX(ctaLiq,MATCH(E1034,ctaNom,0))="Sí",FALSE),IF(OR(I1034="Gasto",I1034="Transferencia",I1034="Pago tarjeta"),-1,1)*O1034,0)+IF(AND(U1034&lt;&gt;"",IFERROR(INDEX(ctaLiq,MATCH(G1034,ctaNom,0))="Sí",FALSE)),O1034,0))</f>
        <v/>
      </c>
      <c r="W1034" s="19">
        <f>IF(OR(F1034="",I1034=""),"",IF(COUNTIFS(F$6:F1034,F1034,I$6:I1034,"?*")=1,MAX(W$5:W1033)+1,""))</f>
        <v/>
      </c>
    </row>
    <row r="1035">
      <c r="B1035" s="15" t="n"/>
      <c r="C1035" s="16" t="n"/>
      <c r="D1035" s="17" t="n"/>
      <c r="E1035" s="17" t="n"/>
      <c r="F1035" s="17" t="n"/>
      <c r="G1035" s="17" t="n"/>
      <c r="H1035" s="18">
        <f>IF(AND(B1035="",C1035="",D1035="",E1035=""),"",IF(B1035="","⚠ Falta fecha",IF(C1035="","⚠ Falta monto",IF(D1035="","⚠ Falta categoría",IF(ISNA(MATCH(D1035,catNom,0)),"⚠ Categoría no existe",IF(E1035="","⚠ Falta cuenta",IF(ISNA(MATCH(E1035,ctaNom,0)),"⚠ Cuenta no existe",IF(AND(OR(I1035="Transferencia",I1035="Pago tarjeta"),G1035=""),"⚠ Indica la cuenta «Hacia»",IF(AND(G1035&lt;&gt;"",G1035=E1035),"⚠ «Hacia» igual a la cuenta",IF(AND(G1035&lt;&gt;"",ISNA(MATCH(G1035,ctaNom,0))),"⚠ «Hacia» no existe",IF(AND(I1035="Pago tarjeta",IFERROR(INDEX(ctaTipo,MATCH(G1035,ctaNom,0)),"")&lt;&gt;"Tarjeta de crédito"),"⚠ «Hacia» debe ser la tarjeta",IF(AND(I1035="Trading",IFERROR(INDEX(ctaTipo,MATCH(E1035,ctaNom,0)),"")&lt;&gt;"Cuenta de trading"),"⚠ Usa la cuenta de trading","✓"))))))))))))</f>
        <v/>
      </c>
      <c r="I1035" s="19">
        <f>IF(OR(B1035="",C1035="",D1035=""),"",IFERROR(INDEX(catTipo,MATCH(D1035,catNom,0))&amp;"",""))</f>
        <v/>
      </c>
      <c r="J1035" s="19">
        <f>IF(I1035="","",IFERROR(INDEX(catGrupo,MATCH(D1035,catNom,0))&amp;"",""))</f>
        <v/>
      </c>
      <c r="K1035" s="19">
        <f>IF(I1035="Gasto",IF(IFERROR(INDEX(catClas,MATCH(D1035,catNom,0))&amp;"","")="","Variable",IFERROR(INDEX(catClas,MATCH(D1035,catNom,0))&amp;"","")),"")</f>
        <v/>
      </c>
      <c r="L1035" s="19">
        <f>IF(I1035="","",IFERROR(INDEX(catAlim,MATCH(D1035,catNom,0))&amp;"",""))</f>
        <v/>
      </c>
      <c r="M1035" s="19">
        <f>IF(I1035="","",IFERROR(INDEX(catComida,MATCH(D1035,catNom,0))&amp;"",""))</f>
        <v/>
      </c>
      <c r="N1035" s="19">
        <f>IF(I1035="","",IFERROR(INDEX(ctaMon,MATCH(E1035,ctaNom,0))&amp;"","DOP"))</f>
        <v/>
      </c>
      <c r="O1035" s="20">
        <f>IF(I1035="","",C1035*IF(N1035="USD",TasaUSD,1))</f>
        <v/>
      </c>
      <c r="P1035" s="20">
        <f>IF(I1035="","",IF(I1035="Gasto",O1035,0))</f>
        <v/>
      </c>
      <c r="Q1035" s="20">
        <f>IF(I1035="","",IF(I1035="Ingreso",O1035,0))</f>
        <v/>
      </c>
      <c r="R1035" s="20">
        <f>IF(I1035="","",IF(I1035="Trading",O1035,0))</f>
        <v/>
      </c>
      <c r="S1035" s="19">
        <f>IF(I1035="","",IF(AND(I1035="Gasto",K1035="Variable",J1035&lt;&gt;"Trading",O1035&gt;0,O1035&lt;=Umbral),1,0))</f>
        <v/>
      </c>
      <c r="T1035" s="20">
        <f>IF(OR(I1035="",E1035=""),"",IF(OR(I1035="Gasto",I1035="Transferencia",I1035="Pago tarjeta"),-1,1)*C1035)</f>
        <v/>
      </c>
      <c r="U1035" s="20">
        <f>IF(OR(G1035="",AND(I1035&lt;&gt;"Transferencia",I1035&lt;&gt;"Pago tarjeta")),"",IF(IFERROR(INDEX(ctaMon,MATCH(G1035,ctaNom,0))&amp;"","DOP")=N1035,C1035,IF(N1035="USD",C1035*TasaUSD,C1035/TasaUSD)))</f>
        <v/>
      </c>
      <c r="V1035" s="20">
        <f>IF(I1035="","",IF(IFERROR(INDEX(ctaLiq,MATCH(E1035,ctaNom,0))="Sí",FALSE),IF(OR(I1035="Gasto",I1035="Transferencia",I1035="Pago tarjeta"),-1,1)*O1035,0)+IF(AND(U1035&lt;&gt;"",IFERROR(INDEX(ctaLiq,MATCH(G1035,ctaNom,0))="Sí",FALSE)),O1035,0))</f>
        <v/>
      </c>
      <c r="W1035" s="19">
        <f>IF(OR(F1035="",I1035=""),"",IF(COUNTIFS(F$6:F1035,F1035,I$6:I1035,"?*")=1,MAX(W$5:W1034)+1,""))</f>
        <v/>
      </c>
    </row>
    <row r="1036">
      <c r="B1036" s="15" t="n"/>
      <c r="C1036" s="16" t="n"/>
      <c r="D1036" s="17" t="n"/>
      <c r="E1036" s="17" t="n"/>
      <c r="F1036" s="17" t="n"/>
      <c r="G1036" s="17" t="n"/>
      <c r="H1036" s="18">
        <f>IF(AND(B1036="",C1036="",D1036="",E1036=""),"",IF(B1036="","⚠ Falta fecha",IF(C1036="","⚠ Falta monto",IF(D1036="","⚠ Falta categoría",IF(ISNA(MATCH(D1036,catNom,0)),"⚠ Categoría no existe",IF(E1036="","⚠ Falta cuenta",IF(ISNA(MATCH(E1036,ctaNom,0)),"⚠ Cuenta no existe",IF(AND(OR(I1036="Transferencia",I1036="Pago tarjeta"),G1036=""),"⚠ Indica la cuenta «Hacia»",IF(AND(G1036&lt;&gt;"",G1036=E1036),"⚠ «Hacia» igual a la cuenta",IF(AND(G1036&lt;&gt;"",ISNA(MATCH(G1036,ctaNom,0))),"⚠ «Hacia» no existe",IF(AND(I1036="Pago tarjeta",IFERROR(INDEX(ctaTipo,MATCH(G1036,ctaNom,0)),"")&lt;&gt;"Tarjeta de crédito"),"⚠ «Hacia» debe ser la tarjeta",IF(AND(I1036="Trading",IFERROR(INDEX(ctaTipo,MATCH(E1036,ctaNom,0)),"")&lt;&gt;"Cuenta de trading"),"⚠ Usa la cuenta de trading","✓"))))))))))))</f>
        <v/>
      </c>
      <c r="I1036" s="19">
        <f>IF(OR(B1036="",C1036="",D1036=""),"",IFERROR(INDEX(catTipo,MATCH(D1036,catNom,0))&amp;"",""))</f>
        <v/>
      </c>
      <c r="J1036" s="19">
        <f>IF(I1036="","",IFERROR(INDEX(catGrupo,MATCH(D1036,catNom,0))&amp;"",""))</f>
        <v/>
      </c>
      <c r="K1036" s="19">
        <f>IF(I1036="Gasto",IF(IFERROR(INDEX(catClas,MATCH(D1036,catNom,0))&amp;"","")="","Variable",IFERROR(INDEX(catClas,MATCH(D1036,catNom,0))&amp;"","")),"")</f>
        <v/>
      </c>
      <c r="L1036" s="19">
        <f>IF(I1036="","",IFERROR(INDEX(catAlim,MATCH(D1036,catNom,0))&amp;"",""))</f>
        <v/>
      </c>
      <c r="M1036" s="19">
        <f>IF(I1036="","",IFERROR(INDEX(catComida,MATCH(D1036,catNom,0))&amp;"",""))</f>
        <v/>
      </c>
      <c r="N1036" s="19">
        <f>IF(I1036="","",IFERROR(INDEX(ctaMon,MATCH(E1036,ctaNom,0))&amp;"","DOP"))</f>
        <v/>
      </c>
      <c r="O1036" s="20">
        <f>IF(I1036="","",C1036*IF(N1036="USD",TasaUSD,1))</f>
        <v/>
      </c>
      <c r="P1036" s="20">
        <f>IF(I1036="","",IF(I1036="Gasto",O1036,0))</f>
        <v/>
      </c>
      <c r="Q1036" s="20">
        <f>IF(I1036="","",IF(I1036="Ingreso",O1036,0))</f>
        <v/>
      </c>
      <c r="R1036" s="20">
        <f>IF(I1036="","",IF(I1036="Trading",O1036,0))</f>
        <v/>
      </c>
      <c r="S1036" s="19">
        <f>IF(I1036="","",IF(AND(I1036="Gasto",K1036="Variable",J1036&lt;&gt;"Trading",O1036&gt;0,O1036&lt;=Umbral),1,0))</f>
        <v/>
      </c>
      <c r="T1036" s="20">
        <f>IF(OR(I1036="",E1036=""),"",IF(OR(I1036="Gasto",I1036="Transferencia",I1036="Pago tarjeta"),-1,1)*C1036)</f>
        <v/>
      </c>
      <c r="U1036" s="20">
        <f>IF(OR(G1036="",AND(I1036&lt;&gt;"Transferencia",I1036&lt;&gt;"Pago tarjeta")),"",IF(IFERROR(INDEX(ctaMon,MATCH(G1036,ctaNom,0))&amp;"","DOP")=N1036,C1036,IF(N1036="USD",C1036*TasaUSD,C1036/TasaUSD)))</f>
        <v/>
      </c>
      <c r="V1036" s="20">
        <f>IF(I1036="","",IF(IFERROR(INDEX(ctaLiq,MATCH(E1036,ctaNom,0))="Sí",FALSE),IF(OR(I1036="Gasto",I1036="Transferencia",I1036="Pago tarjeta"),-1,1)*O1036,0)+IF(AND(U1036&lt;&gt;"",IFERROR(INDEX(ctaLiq,MATCH(G1036,ctaNom,0))="Sí",FALSE)),O1036,0))</f>
        <v/>
      </c>
      <c r="W1036" s="19">
        <f>IF(OR(F1036="",I1036=""),"",IF(COUNTIFS(F$6:F1036,F1036,I$6:I1036,"?*")=1,MAX(W$5:W1035)+1,""))</f>
        <v/>
      </c>
    </row>
    <row r="1037">
      <c r="B1037" s="15" t="n"/>
      <c r="C1037" s="16" t="n"/>
      <c r="D1037" s="17" t="n"/>
      <c r="E1037" s="17" t="n"/>
      <c r="F1037" s="17" t="n"/>
      <c r="G1037" s="17" t="n"/>
      <c r="H1037" s="18">
        <f>IF(AND(B1037="",C1037="",D1037="",E1037=""),"",IF(B1037="","⚠ Falta fecha",IF(C1037="","⚠ Falta monto",IF(D1037="","⚠ Falta categoría",IF(ISNA(MATCH(D1037,catNom,0)),"⚠ Categoría no existe",IF(E1037="","⚠ Falta cuenta",IF(ISNA(MATCH(E1037,ctaNom,0)),"⚠ Cuenta no existe",IF(AND(OR(I1037="Transferencia",I1037="Pago tarjeta"),G1037=""),"⚠ Indica la cuenta «Hacia»",IF(AND(G1037&lt;&gt;"",G1037=E1037),"⚠ «Hacia» igual a la cuenta",IF(AND(G1037&lt;&gt;"",ISNA(MATCH(G1037,ctaNom,0))),"⚠ «Hacia» no existe",IF(AND(I1037="Pago tarjeta",IFERROR(INDEX(ctaTipo,MATCH(G1037,ctaNom,0)),"")&lt;&gt;"Tarjeta de crédito"),"⚠ «Hacia» debe ser la tarjeta",IF(AND(I1037="Trading",IFERROR(INDEX(ctaTipo,MATCH(E1037,ctaNom,0)),"")&lt;&gt;"Cuenta de trading"),"⚠ Usa la cuenta de trading","✓"))))))))))))</f>
        <v/>
      </c>
      <c r="I1037" s="19">
        <f>IF(OR(B1037="",C1037="",D1037=""),"",IFERROR(INDEX(catTipo,MATCH(D1037,catNom,0))&amp;"",""))</f>
        <v/>
      </c>
      <c r="J1037" s="19">
        <f>IF(I1037="","",IFERROR(INDEX(catGrupo,MATCH(D1037,catNom,0))&amp;"",""))</f>
        <v/>
      </c>
      <c r="K1037" s="19">
        <f>IF(I1037="Gasto",IF(IFERROR(INDEX(catClas,MATCH(D1037,catNom,0))&amp;"","")="","Variable",IFERROR(INDEX(catClas,MATCH(D1037,catNom,0))&amp;"","")),"")</f>
        <v/>
      </c>
      <c r="L1037" s="19">
        <f>IF(I1037="","",IFERROR(INDEX(catAlim,MATCH(D1037,catNom,0))&amp;"",""))</f>
        <v/>
      </c>
      <c r="M1037" s="19">
        <f>IF(I1037="","",IFERROR(INDEX(catComida,MATCH(D1037,catNom,0))&amp;"",""))</f>
        <v/>
      </c>
      <c r="N1037" s="19">
        <f>IF(I1037="","",IFERROR(INDEX(ctaMon,MATCH(E1037,ctaNom,0))&amp;"","DOP"))</f>
        <v/>
      </c>
      <c r="O1037" s="20">
        <f>IF(I1037="","",C1037*IF(N1037="USD",TasaUSD,1))</f>
        <v/>
      </c>
      <c r="P1037" s="20">
        <f>IF(I1037="","",IF(I1037="Gasto",O1037,0))</f>
        <v/>
      </c>
      <c r="Q1037" s="20">
        <f>IF(I1037="","",IF(I1037="Ingreso",O1037,0))</f>
        <v/>
      </c>
      <c r="R1037" s="20">
        <f>IF(I1037="","",IF(I1037="Trading",O1037,0))</f>
        <v/>
      </c>
      <c r="S1037" s="19">
        <f>IF(I1037="","",IF(AND(I1037="Gasto",K1037="Variable",J1037&lt;&gt;"Trading",O1037&gt;0,O1037&lt;=Umbral),1,0))</f>
        <v/>
      </c>
      <c r="T1037" s="20">
        <f>IF(OR(I1037="",E1037=""),"",IF(OR(I1037="Gasto",I1037="Transferencia",I1037="Pago tarjeta"),-1,1)*C1037)</f>
        <v/>
      </c>
      <c r="U1037" s="20">
        <f>IF(OR(G1037="",AND(I1037&lt;&gt;"Transferencia",I1037&lt;&gt;"Pago tarjeta")),"",IF(IFERROR(INDEX(ctaMon,MATCH(G1037,ctaNom,0))&amp;"","DOP")=N1037,C1037,IF(N1037="USD",C1037*TasaUSD,C1037/TasaUSD)))</f>
        <v/>
      </c>
      <c r="V1037" s="20">
        <f>IF(I1037="","",IF(IFERROR(INDEX(ctaLiq,MATCH(E1037,ctaNom,0))="Sí",FALSE),IF(OR(I1037="Gasto",I1037="Transferencia",I1037="Pago tarjeta"),-1,1)*O1037,0)+IF(AND(U1037&lt;&gt;"",IFERROR(INDEX(ctaLiq,MATCH(G1037,ctaNom,0))="Sí",FALSE)),O1037,0))</f>
        <v/>
      </c>
      <c r="W1037" s="19">
        <f>IF(OR(F1037="",I1037=""),"",IF(COUNTIFS(F$6:F1037,F1037,I$6:I1037,"?*")=1,MAX(W$5:W1036)+1,""))</f>
        <v/>
      </c>
    </row>
    <row r="1038">
      <c r="B1038" s="15" t="n"/>
      <c r="C1038" s="16" t="n"/>
      <c r="D1038" s="17" t="n"/>
      <c r="E1038" s="17" t="n"/>
      <c r="F1038" s="17" t="n"/>
      <c r="G1038" s="17" t="n"/>
      <c r="H1038" s="18">
        <f>IF(AND(B1038="",C1038="",D1038="",E1038=""),"",IF(B1038="","⚠ Falta fecha",IF(C1038="","⚠ Falta monto",IF(D1038="","⚠ Falta categoría",IF(ISNA(MATCH(D1038,catNom,0)),"⚠ Categoría no existe",IF(E1038="","⚠ Falta cuenta",IF(ISNA(MATCH(E1038,ctaNom,0)),"⚠ Cuenta no existe",IF(AND(OR(I1038="Transferencia",I1038="Pago tarjeta"),G1038=""),"⚠ Indica la cuenta «Hacia»",IF(AND(G1038&lt;&gt;"",G1038=E1038),"⚠ «Hacia» igual a la cuenta",IF(AND(G1038&lt;&gt;"",ISNA(MATCH(G1038,ctaNom,0))),"⚠ «Hacia» no existe",IF(AND(I1038="Pago tarjeta",IFERROR(INDEX(ctaTipo,MATCH(G1038,ctaNom,0)),"")&lt;&gt;"Tarjeta de crédito"),"⚠ «Hacia» debe ser la tarjeta",IF(AND(I1038="Trading",IFERROR(INDEX(ctaTipo,MATCH(E1038,ctaNom,0)),"")&lt;&gt;"Cuenta de trading"),"⚠ Usa la cuenta de trading","✓"))))))))))))</f>
        <v/>
      </c>
      <c r="I1038" s="19">
        <f>IF(OR(B1038="",C1038="",D1038=""),"",IFERROR(INDEX(catTipo,MATCH(D1038,catNom,0))&amp;"",""))</f>
        <v/>
      </c>
      <c r="J1038" s="19">
        <f>IF(I1038="","",IFERROR(INDEX(catGrupo,MATCH(D1038,catNom,0))&amp;"",""))</f>
        <v/>
      </c>
      <c r="K1038" s="19">
        <f>IF(I1038="Gasto",IF(IFERROR(INDEX(catClas,MATCH(D1038,catNom,0))&amp;"","")="","Variable",IFERROR(INDEX(catClas,MATCH(D1038,catNom,0))&amp;"","")),"")</f>
        <v/>
      </c>
      <c r="L1038" s="19">
        <f>IF(I1038="","",IFERROR(INDEX(catAlim,MATCH(D1038,catNom,0))&amp;"",""))</f>
        <v/>
      </c>
      <c r="M1038" s="19">
        <f>IF(I1038="","",IFERROR(INDEX(catComida,MATCH(D1038,catNom,0))&amp;"",""))</f>
        <v/>
      </c>
      <c r="N1038" s="19">
        <f>IF(I1038="","",IFERROR(INDEX(ctaMon,MATCH(E1038,ctaNom,0))&amp;"","DOP"))</f>
        <v/>
      </c>
      <c r="O1038" s="20">
        <f>IF(I1038="","",C1038*IF(N1038="USD",TasaUSD,1))</f>
        <v/>
      </c>
      <c r="P1038" s="20">
        <f>IF(I1038="","",IF(I1038="Gasto",O1038,0))</f>
        <v/>
      </c>
      <c r="Q1038" s="20">
        <f>IF(I1038="","",IF(I1038="Ingreso",O1038,0))</f>
        <v/>
      </c>
      <c r="R1038" s="20">
        <f>IF(I1038="","",IF(I1038="Trading",O1038,0))</f>
        <v/>
      </c>
      <c r="S1038" s="19">
        <f>IF(I1038="","",IF(AND(I1038="Gasto",K1038="Variable",J1038&lt;&gt;"Trading",O1038&gt;0,O1038&lt;=Umbral),1,0))</f>
        <v/>
      </c>
      <c r="T1038" s="20">
        <f>IF(OR(I1038="",E1038=""),"",IF(OR(I1038="Gasto",I1038="Transferencia",I1038="Pago tarjeta"),-1,1)*C1038)</f>
        <v/>
      </c>
      <c r="U1038" s="20">
        <f>IF(OR(G1038="",AND(I1038&lt;&gt;"Transferencia",I1038&lt;&gt;"Pago tarjeta")),"",IF(IFERROR(INDEX(ctaMon,MATCH(G1038,ctaNom,0))&amp;"","DOP")=N1038,C1038,IF(N1038="USD",C1038*TasaUSD,C1038/TasaUSD)))</f>
        <v/>
      </c>
      <c r="V1038" s="20">
        <f>IF(I1038="","",IF(IFERROR(INDEX(ctaLiq,MATCH(E1038,ctaNom,0))="Sí",FALSE),IF(OR(I1038="Gasto",I1038="Transferencia",I1038="Pago tarjeta"),-1,1)*O1038,0)+IF(AND(U1038&lt;&gt;"",IFERROR(INDEX(ctaLiq,MATCH(G1038,ctaNom,0))="Sí",FALSE)),O1038,0))</f>
        <v/>
      </c>
      <c r="W1038" s="19">
        <f>IF(OR(F1038="",I1038=""),"",IF(COUNTIFS(F$6:F1038,F1038,I$6:I1038,"?*")=1,MAX(W$5:W1037)+1,""))</f>
        <v/>
      </c>
    </row>
    <row r="1039">
      <c r="B1039" s="15" t="n"/>
      <c r="C1039" s="16" t="n"/>
      <c r="D1039" s="17" t="n"/>
      <c r="E1039" s="17" t="n"/>
      <c r="F1039" s="17" t="n"/>
      <c r="G1039" s="17" t="n"/>
      <c r="H1039" s="18">
        <f>IF(AND(B1039="",C1039="",D1039="",E1039=""),"",IF(B1039="","⚠ Falta fecha",IF(C1039="","⚠ Falta monto",IF(D1039="","⚠ Falta categoría",IF(ISNA(MATCH(D1039,catNom,0)),"⚠ Categoría no existe",IF(E1039="","⚠ Falta cuenta",IF(ISNA(MATCH(E1039,ctaNom,0)),"⚠ Cuenta no existe",IF(AND(OR(I1039="Transferencia",I1039="Pago tarjeta"),G1039=""),"⚠ Indica la cuenta «Hacia»",IF(AND(G1039&lt;&gt;"",G1039=E1039),"⚠ «Hacia» igual a la cuenta",IF(AND(G1039&lt;&gt;"",ISNA(MATCH(G1039,ctaNom,0))),"⚠ «Hacia» no existe",IF(AND(I1039="Pago tarjeta",IFERROR(INDEX(ctaTipo,MATCH(G1039,ctaNom,0)),"")&lt;&gt;"Tarjeta de crédito"),"⚠ «Hacia» debe ser la tarjeta",IF(AND(I1039="Trading",IFERROR(INDEX(ctaTipo,MATCH(E1039,ctaNom,0)),"")&lt;&gt;"Cuenta de trading"),"⚠ Usa la cuenta de trading","✓"))))))))))))</f>
        <v/>
      </c>
      <c r="I1039" s="19">
        <f>IF(OR(B1039="",C1039="",D1039=""),"",IFERROR(INDEX(catTipo,MATCH(D1039,catNom,0))&amp;"",""))</f>
        <v/>
      </c>
      <c r="J1039" s="19">
        <f>IF(I1039="","",IFERROR(INDEX(catGrupo,MATCH(D1039,catNom,0))&amp;"",""))</f>
        <v/>
      </c>
      <c r="K1039" s="19">
        <f>IF(I1039="Gasto",IF(IFERROR(INDEX(catClas,MATCH(D1039,catNom,0))&amp;"","")="","Variable",IFERROR(INDEX(catClas,MATCH(D1039,catNom,0))&amp;"","")),"")</f>
        <v/>
      </c>
      <c r="L1039" s="19">
        <f>IF(I1039="","",IFERROR(INDEX(catAlim,MATCH(D1039,catNom,0))&amp;"",""))</f>
        <v/>
      </c>
      <c r="M1039" s="19">
        <f>IF(I1039="","",IFERROR(INDEX(catComida,MATCH(D1039,catNom,0))&amp;"",""))</f>
        <v/>
      </c>
      <c r="N1039" s="19">
        <f>IF(I1039="","",IFERROR(INDEX(ctaMon,MATCH(E1039,ctaNom,0))&amp;"","DOP"))</f>
        <v/>
      </c>
      <c r="O1039" s="20">
        <f>IF(I1039="","",C1039*IF(N1039="USD",TasaUSD,1))</f>
        <v/>
      </c>
      <c r="P1039" s="20">
        <f>IF(I1039="","",IF(I1039="Gasto",O1039,0))</f>
        <v/>
      </c>
      <c r="Q1039" s="20">
        <f>IF(I1039="","",IF(I1039="Ingreso",O1039,0))</f>
        <v/>
      </c>
      <c r="R1039" s="20">
        <f>IF(I1039="","",IF(I1039="Trading",O1039,0))</f>
        <v/>
      </c>
      <c r="S1039" s="19">
        <f>IF(I1039="","",IF(AND(I1039="Gasto",K1039="Variable",J1039&lt;&gt;"Trading",O1039&gt;0,O1039&lt;=Umbral),1,0))</f>
        <v/>
      </c>
      <c r="T1039" s="20">
        <f>IF(OR(I1039="",E1039=""),"",IF(OR(I1039="Gasto",I1039="Transferencia",I1039="Pago tarjeta"),-1,1)*C1039)</f>
        <v/>
      </c>
      <c r="U1039" s="20">
        <f>IF(OR(G1039="",AND(I1039&lt;&gt;"Transferencia",I1039&lt;&gt;"Pago tarjeta")),"",IF(IFERROR(INDEX(ctaMon,MATCH(G1039,ctaNom,0))&amp;"","DOP")=N1039,C1039,IF(N1039="USD",C1039*TasaUSD,C1039/TasaUSD)))</f>
        <v/>
      </c>
      <c r="V1039" s="20">
        <f>IF(I1039="","",IF(IFERROR(INDEX(ctaLiq,MATCH(E1039,ctaNom,0))="Sí",FALSE),IF(OR(I1039="Gasto",I1039="Transferencia",I1039="Pago tarjeta"),-1,1)*O1039,0)+IF(AND(U1039&lt;&gt;"",IFERROR(INDEX(ctaLiq,MATCH(G1039,ctaNom,0))="Sí",FALSE)),O1039,0))</f>
        <v/>
      </c>
      <c r="W1039" s="19">
        <f>IF(OR(F1039="",I1039=""),"",IF(COUNTIFS(F$6:F1039,F1039,I$6:I1039,"?*")=1,MAX(W$5:W1038)+1,""))</f>
        <v/>
      </c>
    </row>
    <row r="1040">
      <c r="B1040" s="15" t="n"/>
      <c r="C1040" s="16" t="n"/>
      <c r="D1040" s="17" t="n"/>
      <c r="E1040" s="17" t="n"/>
      <c r="F1040" s="17" t="n"/>
      <c r="G1040" s="17" t="n"/>
      <c r="H1040" s="18">
        <f>IF(AND(B1040="",C1040="",D1040="",E1040=""),"",IF(B1040="","⚠ Falta fecha",IF(C1040="","⚠ Falta monto",IF(D1040="","⚠ Falta categoría",IF(ISNA(MATCH(D1040,catNom,0)),"⚠ Categoría no existe",IF(E1040="","⚠ Falta cuenta",IF(ISNA(MATCH(E1040,ctaNom,0)),"⚠ Cuenta no existe",IF(AND(OR(I1040="Transferencia",I1040="Pago tarjeta"),G1040=""),"⚠ Indica la cuenta «Hacia»",IF(AND(G1040&lt;&gt;"",G1040=E1040),"⚠ «Hacia» igual a la cuenta",IF(AND(G1040&lt;&gt;"",ISNA(MATCH(G1040,ctaNom,0))),"⚠ «Hacia» no existe",IF(AND(I1040="Pago tarjeta",IFERROR(INDEX(ctaTipo,MATCH(G1040,ctaNom,0)),"")&lt;&gt;"Tarjeta de crédito"),"⚠ «Hacia» debe ser la tarjeta",IF(AND(I1040="Trading",IFERROR(INDEX(ctaTipo,MATCH(E1040,ctaNom,0)),"")&lt;&gt;"Cuenta de trading"),"⚠ Usa la cuenta de trading","✓"))))))))))))</f>
        <v/>
      </c>
      <c r="I1040" s="19">
        <f>IF(OR(B1040="",C1040="",D1040=""),"",IFERROR(INDEX(catTipo,MATCH(D1040,catNom,0))&amp;"",""))</f>
        <v/>
      </c>
      <c r="J1040" s="19">
        <f>IF(I1040="","",IFERROR(INDEX(catGrupo,MATCH(D1040,catNom,0))&amp;"",""))</f>
        <v/>
      </c>
      <c r="K1040" s="19">
        <f>IF(I1040="Gasto",IF(IFERROR(INDEX(catClas,MATCH(D1040,catNom,0))&amp;"","")="","Variable",IFERROR(INDEX(catClas,MATCH(D1040,catNom,0))&amp;"","")),"")</f>
        <v/>
      </c>
      <c r="L1040" s="19">
        <f>IF(I1040="","",IFERROR(INDEX(catAlim,MATCH(D1040,catNom,0))&amp;"",""))</f>
        <v/>
      </c>
      <c r="M1040" s="19">
        <f>IF(I1040="","",IFERROR(INDEX(catComida,MATCH(D1040,catNom,0))&amp;"",""))</f>
        <v/>
      </c>
      <c r="N1040" s="19">
        <f>IF(I1040="","",IFERROR(INDEX(ctaMon,MATCH(E1040,ctaNom,0))&amp;"","DOP"))</f>
        <v/>
      </c>
      <c r="O1040" s="20">
        <f>IF(I1040="","",C1040*IF(N1040="USD",TasaUSD,1))</f>
        <v/>
      </c>
      <c r="P1040" s="20">
        <f>IF(I1040="","",IF(I1040="Gasto",O1040,0))</f>
        <v/>
      </c>
      <c r="Q1040" s="20">
        <f>IF(I1040="","",IF(I1040="Ingreso",O1040,0))</f>
        <v/>
      </c>
      <c r="R1040" s="20">
        <f>IF(I1040="","",IF(I1040="Trading",O1040,0))</f>
        <v/>
      </c>
      <c r="S1040" s="19">
        <f>IF(I1040="","",IF(AND(I1040="Gasto",K1040="Variable",J1040&lt;&gt;"Trading",O1040&gt;0,O1040&lt;=Umbral),1,0))</f>
        <v/>
      </c>
      <c r="T1040" s="20">
        <f>IF(OR(I1040="",E1040=""),"",IF(OR(I1040="Gasto",I1040="Transferencia",I1040="Pago tarjeta"),-1,1)*C1040)</f>
        <v/>
      </c>
      <c r="U1040" s="20">
        <f>IF(OR(G1040="",AND(I1040&lt;&gt;"Transferencia",I1040&lt;&gt;"Pago tarjeta")),"",IF(IFERROR(INDEX(ctaMon,MATCH(G1040,ctaNom,0))&amp;"","DOP")=N1040,C1040,IF(N1040="USD",C1040*TasaUSD,C1040/TasaUSD)))</f>
        <v/>
      </c>
      <c r="V1040" s="20">
        <f>IF(I1040="","",IF(IFERROR(INDEX(ctaLiq,MATCH(E1040,ctaNom,0))="Sí",FALSE),IF(OR(I1040="Gasto",I1040="Transferencia",I1040="Pago tarjeta"),-1,1)*O1040,0)+IF(AND(U1040&lt;&gt;"",IFERROR(INDEX(ctaLiq,MATCH(G1040,ctaNom,0))="Sí",FALSE)),O1040,0))</f>
        <v/>
      </c>
      <c r="W1040" s="19">
        <f>IF(OR(F1040="",I1040=""),"",IF(COUNTIFS(F$6:F1040,F1040,I$6:I1040,"?*")=1,MAX(W$5:W1039)+1,""))</f>
        <v/>
      </c>
    </row>
    <row r="1041">
      <c r="B1041" s="15" t="n"/>
      <c r="C1041" s="16" t="n"/>
      <c r="D1041" s="17" t="n"/>
      <c r="E1041" s="17" t="n"/>
      <c r="F1041" s="17" t="n"/>
      <c r="G1041" s="17" t="n"/>
      <c r="H1041" s="18">
        <f>IF(AND(B1041="",C1041="",D1041="",E1041=""),"",IF(B1041="","⚠ Falta fecha",IF(C1041="","⚠ Falta monto",IF(D1041="","⚠ Falta categoría",IF(ISNA(MATCH(D1041,catNom,0)),"⚠ Categoría no existe",IF(E1041="","⚠ Falta cuenta",IF(ISNA(MATCH(E1041,ctaNom,0)),"⚠ Cuenta no existe",IF(AND(OR(I1041="Transferencia",I1041="Pago tarjeta"),G1041=""),"⚠ Indica la cuenta «Hacia»",IF(AND(G1041&lt;&gt;"",G1041=E1041),"⚠ «Hacia» igual a la cuenta",IF(AND(G1041&lt;&gt;"",ISNA(MATCH(G1041,ctaNom,0))),"⚠ «Hacia» no existe",IF(AND(I1041="Pago tarjeta",IFERROR(INDEX(ctaTipo,MATCH(G1041,ctaNom,0)),"")&lt;&gt;"Tarjeta de crédito"),"⚠ «Hacia» debe ser la tarjeta",IF(AND(I1041="Trading",IFERROR(INDEX(ctaTipo,MATCH(E1041,ctaNom,0)),"")&lt;&gt;"Cuenta de trading"),"⚠ Usa la cuenta de trading","✓"))))))))))))</f>
        <v/>
      </c>
      <c r="I1041" s="19">
        <f>IF(OR(B1041="",C1041="",D1041=""),"",IFERROR(INDEX(catTipo,MATCH(D1041,catNom,0))&amp;"",""))</f>
        <v/>
      </c>
      <c r="J1041" s="19">
        <f>IF(I1041="","",IFERROR(INDEX(catGrupo,MATCH(D1041,catNom,0))&amp;"",""))</f>
        <v/>
      </c>
      <c r="K1041" s="19">
        <f>IF(I1041="Gasto",IF(IFERROR(INDEX(catClas,MATCH(D1041,catNom,0))&amp;"","")="","Variable",IFERROR(INDEX(catClas,MATCH(D1041,catNom,0))&amp;"","")),"")</f>
        <v/>
      </c>
      <c r="L1041" s="19">
        <f>IF(I1041="","",IFERROR(INDEX(catAlim,MATCH(D1041,catNom,0))&amp;"",""))</f>
        <v/>
      </c>
      <c r="M1041" s="19">
        <f>IF(I1041="","",IFERROR(INDEX(catComida,MATCH(D1041,catNom,0))&amp;"",""))</f>
        <v/>
      </c>
      <c r="N1041" s="19">
        <f>IF(I1041="","",IFERROR(INDEX(ctaMon,MATCH(E1041,ctaNom,0))&amp;"","DOP"))</f>
        <v/>
      </c>
      <c r="O1041" s="20">
        <f>IF(I1041="","",C1041*IF(N1041="USD",TasaUSD,1))</f>
        <v/>
      </c>
      <c r="P1041" s="20">
        <f>IF(I1041="","",IF(I1041="Gasto",O1041,0))</f>
        <v/>
      </c>
      <c r="Q1041" s="20">
        <f>IF(I1041="","",IF(I1041="Ingreso",O1041,0))</f>
        <v/>
      </c>
      <c r="R1041" s="20">
        <f>IF(I1041="","",IF(I1041="Trading",O1041,0))</f>
        <v/>
      </c>
      <c r="S1041" s="19">
        <f>IF(I1041="","",IF(AND(I1041="Gasto",K1041="Variable",J1041&lt;&gt;"Trading",O1041&gt;0,O1041&lt;=Umbral),1,0))</f>
        <v/>
      </c>
      <c r="T1041" s="20">
        <f>IF(OR(I1041="",E1041=""),"",IF(OR(I1041="Gasto",I1041="Transferencia",I1041="Pago tarjeta"),-1,1)*C1041)</f>
        <v/>
      </c>
      <c r="U1041" s="20">
        <f>IF(OR(G1041="",AND(I1041&lt;&gt;"Transferencia",I1041&lt;&gt;"Pago tarjeta")),"",IF(IFERROR(INDEX(ctaMon,MATCH(G1041,ctaNom,0))&amp;"","DOP")=N1041,C1041,IF(N1041="USD",C1041*TasaUSD,C1041/TasaUSD)))</f>
        <v/>
      </c>
      <c r="V1041" s="20">
        <f>IF(I1041="","",IF(IFERROR(INDEX(ctaLiq,MATCH(E1041,ctaNom,0))="Sí",FALSE),IF(OR(I1041="Gasto",I1041="Transferencia",I1041="Pago tarjeta"),-1,1)*O1041,0)+IF(AND(U1041&lt;&gt;"",IFERROR(INDEX(ctaLiq,MATCH(G1041,ctaNom,0))="Sí",FALSE)),O1041,0))</f>
        <v/>
      </c>
      <c r="W1041" s="19">
        <f>IF(OR(F1041="",I1041=""),"",IF(COUNTIFS(F$6:F1041,F1041,I$6:I1041,"?*")=1,MAX(W$5:W1040)+1,""))</f>
        <v/>
      </c>
    </row>
    <row r="1042">
      <c r="B1042" s="15" t="n"/>
      <c r="C1042" s="16" t="n"/>
      <c r="D1042" s="17" t="n"/>
      <c r="E1042" s="17" t="n"/>
      <c r="F1042" s="17" t="n"/>
      <c r="G1042" s="17" t="n"/>
      <c r="H1042" s="18">
        <f>IF(AND(B1042="",C1042="",D1042="",E1042=""),"",IF(B1042="","⚠ Falta fecha",IF(C1042="","⚠ Falta monto",IF(D1042="","⚠ Falta categoría",IF(ISNA(MATCH(D1042,catNom,0)),"⚠ Categoría no existe",IF(E1042="","⚠ Falta cuenta",IF(ISNA(MATCH(E1042,ctaNom,0)),"⚠ Cuenta no existe",IF(AND(OR(I1042="Transferencia",I1042="Pago tarjeta"),G1042=""),"⚠ Indica la cuenta «Hacia»",IF(AND(G1042&lt;&gt;"",G1042=E1042),"⚠ «Hacia» igual a la cuenta",IF(AND(G1042&lt;&gt;"",ISNA(MATCH(G1042,ctaNom,0))),"⚠ «Hacia» no existe",IF(AND(I1042="Pago tarjeta",IFERROR(INDEX(ctaTipo,MATCH(G1042,ctaNom,0)),"")&lt;&gt;"Tarjeta de crédito"),"⚠ «Hacia» debe ser la tarjeta",IF(AND(I1042="Trading",IFERROR(INDEX(ctaTipo,MATCH(E1042,ctaNom,0)),"")&lt;&gt;"Cuenta de trading"),"⚠ Usa la cuenta de trading","✓"))))))))))))</f>
        <v/>
      </c>
      <c r="I1042" s="19">
        <f>IF(OR(B1042="",C1042="",D1042=""),"",IFERROR(INDEX(catTipo,MATCH(D1042,catNom,0))&amp;"",""))</f>
        <v/>
      </c>
      <c r="J1042" s="19">
        <f>IF(I1042="","",IFERROR(INDEX(catGrupo,MATCH(D1042,catNom,0))&amp;"",""))</f>
        <v/>
      </c>
      <c r="K1042" s="19">
        <f>IF(I1042="Gasto",IF(IFERROR(INDEX(catClas,MATCH(D1042,catNom,0))&amp;"","")="","Variable",IFERROR(INDEX(catClas,MATCH(D1042,catNom,0))&amp;"","")),"")</f>
        <v/>
      </c>
      <c r="L1042" s="19">
        <f>IF(I1042="","",IFERROR(INDEX(catAlim,MATCH(D1042,catNom,0))&amp;"",""))</f>
        <v/>
      </c>
      <c r="M1042" s="19">
        <f>IF(I1042="","",IFERROR(INDEX(catComida,MATCH(D1042,catNom,0))&amp;"",""))</f>
        <v/>
      </c>
      <c r="N1042" s="19">
        <f>IF(I1042="","",IFERROR(INDEX(ctaMon,MATCH(E1042,ctaNom,0))&amp;"","DOP"))</f>
        <v/>
      </c>
      <c r="O1042" s="20">
        <f>IF(I1042="","",C1042*IF(N1042="USD",TasaUSD,1))</f>
        <v/>
      </c>
      <c r="P1042" s="20">
        <f>IF(I1042="","",IF(I1042="Gasto",O1042,0))</f>
        <v/>
      </c>
      <c r="Q1042" s="20">
        <f>IF(I1042="","",IF(I1042="Ingreso",O1042,0))</f>
        <v/>
      </c>
      <c r="R1042" s="20">
        <f>IF(I1042="","",IF(I1042="Trading",O1042,0))</f>
        <v/>
      </c>
      <c r="S1042" s="19">
        <f>IF(I1042="","",IF(AND(I1042="Gasto",K1042="Variable",J1042&lt;&gt;"Trading",O1042&gt;0,O1042&lt;=Umbral),1,0))</f>
        <v/>
      </c>
      <c r="T1042" s="20">
        <f>IF(OR(I1042="",E1042=""),"",IF(OR(I1042="Gasto",I1042="Transferencia",I1042="Pago tarjeta"),-1,1)*C1042)</f>
        <v/>
      </c>
      <c r="U1042" s="20">
        <f>IF(OR(G1042="",AND(I1042&lt;&gt;"Transferencia",I1042&lt;&gt;"Pago tarjeta")),"",IF(IFERROR(INDEX(ctaMon,MATCH(G1042,ctaNom,0))&amp;"","DOP")=N1042,C1042,IF(N1042="USD",C1042*TasaUSD,C1042/TasaUSD)))</f>
        <v/>
      </c>
      <c r="V1042" s="20">
        <f>IF(I1042="","",IF(IFERROR(INDEX(ctaLiq,MATCH(E1042,ctaNom,0))="Sí",FALSE),IF(OR(I1042="Gasto",I1042="Transferencia",I1042="Pago tarjeta"),-1,1)*O1042,0)+IF(AND(U1042&lt;&gt;"",IFERROR(INDEX(ctaLiq,MATCH(G1042,ctaNom,0))="Sí",FALSE)),O1042,0))</f>
        <v/>
      </c>
      <c r="W1042" s="19">
        <f>IF(OR(F1042="",I1042=""),"",IF(COUNTIFS(F$6:F1042,F1042,I$6:I1042,"?*")=1,MAX(W$5:W1041)+1,""))</f>
        <v/>
      </c>
    </row>
    <row r="1043">
      <c r="B1043" s="15" t="n"/>
      <c r="C1043" s="16" t="n"/>
      <c r="D1043" s="17" t="n"/>
      <c r="E1043" s="17" t="n"/>
      <c r="F1043" s="17" t="n"/>
      <c r="G1043" s="17" t="n"/>
      <c r="H1043" s="18">
        <f>IF(AND(B1043="",C1043="",D1043="",E1043=""),"",IF(B1043="","⚠ Falta fecha",IF(C1043="","⚠ Falta monto",IF(D1043="","⚠ Falta categoría",IF(ISNA(MATCH(D1043,catNom,0)),"⚠ Categoría no existe",IF(E1043="","⚠ Falta cuenta",IF(ISNA(MATCH(E1043,ctaNom,0)),"⚠ Cuenta no existe",IF(AND(OR(I1043="Transferencia",I1043="Pago tarjeta"),G1043=""),"⚠ Indica la cuenta «Hacia»",IF(AND(G1043&lt;&gt;"",G1043=E1043),"⚠ «Hacia» igual a la cuenta",IF(AND(G1043&lt;&gt;"",ISNA(MATCH(G1043,ctaNom,0))),"⚠ «Hacia» no existe",IF(AND(I1043="Pago tarjeta",IFERROR(INDEX(ctaTipo,MATCH(G1043,ctaNom,0)),"")&lt;&gt;"Tarjeta de crédito"),"⚠ «Hacia» debe ser la tarjeta",IF(AND(I1043="Trading",IFERROR(INDEX(ctaTipo,MATCH(E1043,ctaNom,0)),"")&lt;&gt;"Cuenta de trading"),"⚠ Usa la cuenta de trading","✓"))))))))))))</f>
        <v/>
      </c>
      <c r="I1043" s="19">
        <f>IF(OR(B1043="",C1043="",D1043=""),"",IFERROR(INDEX(catTipo,MATCH(D1043,catNom,0))&amp;"",""))</f>
        <v/>
      </c>
      <c r="J1043" s="19">
        <f>IF(I1043="","",IFERROR(INDEX(catGrupo,MATCH(D1043,catNom,0))&amp;"",""))</f>
        <v/>
      </c>
      <c r="K1043" s="19">
        <f>IF(I1043="Gasto",IF(IFERROR(INDEX(catClas,MATCH(D1043,catNom,0))&amp;"","")="","Variable",IFERROR(INDEX(catClas,MATCH(D1043,catNom,0))&amp;"","")),"")</f>
        <v/>
      </c>
      <c r="L1043" s="19">
        <f>IF(I1043="","",IFERROR(INDEX(catAlim,MATCH(D1043,catNom,0))&amp;"",""))</f>
        <v/>
      </c>
      <c r="M1043" s="19">
        <f>IF(I1043="","",IFERROR(INDEX(catComida,MATCH(D1043,catNom,0))&amp;"",""))</f>
        <v/>
      </c>
      <c r="N1043" s="19">
        <f>IF(I1043="","",IFERROR(INDEX(ctaMon,MATCH(E1043,ctaNom,0))&amp;"","DOP"))</f>
        <v/>
      </c>
      <c r="O1043" s="20">
        <f>IF(I1043="","",C1043*IF(N1043="USD",TasaUSD,1))</f>
        <v/>
      </c>
      <c r="P1043" s="20">
        <f>IF(I1043="","",IF(I1043="Gasto",O1043,0))</f>
        <v/>
      </c>
      <c r="Q1043" s="20">
        <f>IF(I1043="","",IF(I1043="Ingreso",O1043,0))</f>
        <v/>
      </c>
      <c r="R1043" s="20">
        <f>IF(I1043="","",IF(I1043="Trading",O1043,0))</f>
        <v/>
      </c>
      <c r="S1043" s="19">
        <f>IF(I1043="","",IF(AND(I1043="Gasto",K1043="Variable",J1043&lt;&gt;"Trading",O1043&gt;0,O1043&lt;=Umbral),1,0))</f>
        <v/>
      </c>
      <c r="T1043" s="20">
        <f>IF(OR(I1043="",E1043=""),"",IF(OR(I1043="Gasto",I1043="Transferencia",I1043="Pago tarjeta"),-1,1)*C1043)</f>
        <v/>
      </c>
      <c r="U1043" s="20">
        <f>IF(OR(G1043="",AND(I1043&lt;&gt;"Transferencia",I1043&lt;&gt;"Pago tarjeta")),"",IF(IFERROR(INDEX(ctaMon,MATCH(G1043,ctaNom,0))&amp;"","DOP")=N1043,C1043,IF(N1043="USD",C1043*TasaUSD,C1043/TasaUSD)))</f>
        <v/>
      </c>
      <c r="V1043" s="20">
        <f>IF(I1043="","",IF(IFERROR(INDEX(ctaLiq,MATCH(E1043,ctaNom,0))="Sí",FALSE),IF(OR(I1043="Gasto",I1043="Transferencia",I1043="Pago tarjeta"),-1,1)*O1043,0)+IF(AND(U1043&lt;&gt;"",IFERROR(INDEX(ctaLiq,MATCH(G1043,ctaNom,0))="Sí",FALSE)),O1043,0))</f>
        <v/>
      </c>
      <c r="W1043" s="19">
        <f>IF(OR(F1043="",I1043=""),"",IF(COUNTIFS(F$6:F1043,F1043,I$6:I1043,"?*")=1,MAX(W$5:W1042)+1,""))</f>
        <v/>
      </c>
    </row>
    <row r="1044">
      <c r="B1044" s="15" t="n"/>
      <c r="C1044" s="16" t="n"/>
      <c r="D1044" s="17" t="n"/>
      <c r="E1044" s="17" t="n"/>
      <c r="F1044" s="17" t="n"/>
      <c r="G1044" s="17" t="n"/>
      <c r="H1044" s="18">
        <f>IF(AND(B1044="",C1044="",D1044="",E1044=""),"",IF(B1044="","⚠ Falta fecha",IF(C1044="","⚠ Falta monto",IF(D1044="","⚠ Falta categoría",IF(ISNA(MATCH(D1044,catNom,0)),"⚠ Categoría no existe",IF(E1044="","⚠ Falta cuenta",IF(ISNA(MATCH(E1044,ctaNom,0)),"⚠ Cuenta no existe",IF(AND(OR(I1044="Transferencia",I1044="Pago tarjeta"),G1044=""),"⚠ Indica la cuenta «Hacia»",IF(AND(G1044&lt;&gt;"",G1044=E1044),"⚠ «Hacia» igual a la cuenta",IF(AND(G1044&lt;&gt;"",ISNA(MATCH(G1044,ctaNom,0))),"⚠ «Hacia» no existe",IF(AND(I1044="Pago tarjeta",IFERROR(INDEX(ctaTipo,MATCH(G1044,ctaNom,0)),"")&lt;&gt;"Tarjeta de crédito"),"⚠ «Hacia» debe ser la tarjeta",IF(AND(I1044="Trading",IFERROR(INDEX(ctaTipo,MATCH(E1044,ctaNom,0)),"")&lt;&gt;"Cuenta de trading"),"⚠ Usa la cuenta de trading","✓"))))))))))))</f>
        <v/>
      </c>
      <c r="I1044" s="19">
        <f>IF(OR(B1044="",C1044="",D1044=""),"",IFERROR(INDEX(catTipo,MATCH(D1044,catNom,0))&amp;"",""))</f>
        <v/>
      </c>
      <c r="J1044" s="19">
        <f>IF(I1044="","",IFERROR(INDEX(catGrupo,MATCH(D1044,catNom,0))&amp;"",""))</f>
        <v/>
      </c>
      <c r="K1044" s="19">
        <f>IF(I1044="Gasto",IF(IFERROR(INDEX(catClas,MATCH(D1044,catNom,0))&amp;"","")="","Variable",IFERROR(INDEX(catClas,MATCH(D1044,catNom,0))&amp;"","")),"")</f>
        <v/>
      </c>
      <c r="L1044" s="19">
        <f>IF(I1044="","",IFERROR(INDEX(catAlim,MATCH(D1044,catNom,0))&amp;"",""))</f>
        <v/>
      </c>
      <c r="M1044" s="19">
        <f>IF(I1044="","",IFERROR(INDEX(catComida,MATCH(D1044,catNom,0))&amp;"",""))</f>
        <v/>
      </c>
      <c r="N1044" s="19">
        <f>IF(I1044="","",IFERROR(INDEX(ctaMon,MATCH(E1044,ctaNom,0))&amp;"","DOP"))</f>
        <v/>
      </c>
      <c r="O1044" s="20">
        <f>IF(I1044="","",C1044*IF(N1044="USD",TasaUSD,1))</f>
        <v/>
      </c>
      <c r="P1044" s="20">
        <f>IF(I1044="","",IF(I1044="Gasto",O1044,0))</f>
        <v/>
      </c>
      <c r="Q1044" s="20">
        <f>IF(I1044="","",IF(I1044="Ingreso",O1044,0))</f>
        <v/>
      </c>
      <c r="R1044" s="20">
        <f>IF(I1044="","",IF(I1044="Trading",O1044,0))</f>
        <v/>
      </c>
      <c r="S1044" s="19">
        <f>IF(I1044="","",IF(AND(I1044="Gasto",K1044="Variable",J1044&lt;&gt;"Trading",O1044&gt;0,O1044&lt;=Umbral),1,0))</f>
        <v/>
      </c>
      <c r="T1044" s="20">
        <f>IF(OR(I1044="",E1044=""),"",IF(OR(I1044="Gasto",I1044="Transferencia",I1044="Pago tarjeta"),-1,1)*C1044)</f>
        <v/>
      </c>
      <c r="U1044" s="20">
        <f>IF(OR(G1044="",AND(I1044&lt;&gt;"Transferencia",I1044&lt;&gt;"Pago tarjeta")),"",IF(IFERROR(INDEX(ctaMon,MATCH(G1044,ctaNom,0))&amp;"","DOP")=N1044,C1044,IF(N1044="USD",C1044*TasaUSD,C1044/TasaUSD)))</f>
        <v/>
      </c>
      <c r="V1044" s="20">
        <f>IF(I1044="","",IF(IFERROR(INDEX(ctaLiq,MATCH(E1044,ctaNom,0))="Sí",FALSE),IF(OR(I1044="Gasto",I1044="Transferencia",I1044="Pago tarjeta"),-1,1)*O1044,0)+IF(AND(U1044&lt;&gt;"",IFERROR(INDEX(ctaLiq,MATCH(G1044,ctaNom,0))="Sí",FALSE)),O1044,0))</f>
        <v/>
      </c>
      <c r="W1044" s="19">
        <f>IF(OR(F1044="",I1044=""),"",IF(COUNTIFS(F$6:F1044,F1044,I$6:I1044,"?*")=1,MAX(W$5:W1043)+1,""))</f>
        <v/>
      </c>
    </row>
    <row r="1045">
      <c r="B1045" s="15" t="n"/>
      <c r="C1045" s="16" t="n"/>
      <c r="D1045" s="17" t="n"/>
      <c r="E1045" s="17" t="n"/>
      <c r="F1045" s="17" t="n"/>
      <c r="G1045" s="17" t="n"/>
      <c r="H1045" s="18">
        <f>IF(AND(B1045="",C1045="",D1045="",E1045=""),"",IF(B1045="","⚠ Falta fecha",IF(C1045="","⚠ Falta monto",IF(D1045="","⚠ Falta categoría",IF(ISNA(MATCH(D1045,catNom,0)),"⚠ Categoría no existe",IF(E1045="","⚠ Falta cuenta",IF(ISNA(MATCH(E1045,ctaNom,0)),"⚠ Cuenta no existe",IF(AND(OR(I1045="Transferencia",I1045="Pago tarjeta"),G1045=""),"⚠ Indica la cuenta «Hacia»",IF(AND(G1045&lt;&gt;"",G1045=E1045),"⚠ «Hacia» igual a la cuenta",IF(AND(G1045&lt;&gt;"",ISNA(MATCH(G1045,ctaNom,0))),"⚠ «Hacia» no existe",IF(AND(I1045="Pago tarjeta",IFERROR(INDEX(ctaTipo,MATCH(G1045,ctaNom,0)),"")&lt;&gt;"Tarjeta de crédito"),"⚠ «Hacia» debe ser la tarjeta",IF(AND(I1045="Trading",IFERROR(INDEX(ctaTipo,MATCH(E1045,ctaNom,0)),"")&lt;&gt;"Cuenta de trading"),"⚠ Usa la cuenta de trading","✓"))))))))))))</f>
        <v/>
      </c>
      <c r="I1045" s="19">
        <f>IF(OR(B1045="",C1045="",D1045=""),"",IFERROR(INDEX(catTipo,MATCH(D1045,catNom,0))&amp;"",""))</f>
        <v/>
      </c>
      <c r="J1045" s="19">
        <f>IF(I1045="","",IFERROR(INDEX(catGrupo,MATCH(D1045,catNom,0))&amp;"",""))</f>
        <v/>
      </c>
      <c r="K1045" s="19">
        <f>IF(I1045="Gasto",IF(IFERROR(INDEX(catClas,MATCH(D1045,catNom,0))&amp;"","")="","Variable",IFERROR(INDEX(catClas,MATCH(D1045,catNom,0))&amp;"","")),"")</f>
        <v/>
      </c>
      <c r="L1045" s="19">
        <f>IF(I1045="","",IFERROR(INDEX(catAlim,MATCH(D1045,catNom,0))&amp;"",""))</f>
        <v/>
      </c>
      <c r="M1045" s="19">
        <f>IF(I1045="","",IFERROR(INDEX(catComida,MATCH(D1045,catNom,0))&amp;"",""))</f>
        <v/>
      </c>
      <c r="N1045" s="19">
        <f>IF(I1045="","",IFERROR(INDEX(ctaMon,MATCH(E1045,ctaNom,0))&amp;"","DOP"))</f>
        <v/>
      </c>
      <c r="O1045" s="20">
        <f>IF(I1045="","",C1045*IF(N1045="USD",TasaUSD,1))</f>
        <v/>
      </c>
      <c r="P1045" s="20">
        <f>IF(I1045="","",IF(I1045="Gasto",O1045,0))</f>
        <v/>
      </c>
      <c r="Q1045" s="20">
        <f>IF(I1045="","",IF(I1045="Ingreso",O1045,0))</f>
        <v/>
      </c>
      <c r="R1045" s="20">
        <f>IF(I1045="","",IF(I1045="Trading",O1045,0))</f>
        <v/>
      </c>
      <c r="S1045" s="19">
        <f>IF(I1045="","",IF(AND(I1045="Gasto",K1045="Variable",J1045&lt;&gt;"Trading",O1045&gt;0,O1045&lt;=Umbral),1,0))</f>
        <v/>
      </c>
      <c r="T1045" s="20">
        <f>IF(OR(I1045="",E1045=""),"",IF(OR(I1045="Gasto",I1045="Transferencia",I1045="Pago tarjeta"),-1,1)*C1045)</f>
        <v/>
      </c>
      <c r="U1045" s="20">
        <f>IF(OR(G1045="",AND(I1045&lt;&gt;"Transferencia",I1045&lt;&gt;"Pago tarjeta")),"",IF(IFERROR(INDEX(ctaMon,MATCH(G1045,ctaNom,0))&amp;"","DOP")=N1045,C1045,IF(N1045="USD",C1045*TasaUSD,C1045/TasaUSD)))</f>
        <v/>
      </c>
      <c r="V1045" s="20">
        <f>IF(I1045="","",IF(IFERROR(INDEX(ctaLiq,MATCH(E1045,ctaNom,0))="Sí",FALSE),IF(OR(I1045="Gasto",I1045="Transferencia",I1045="Pago tarjeta"),-1,1)*O1045,0)+IF(AND(U1045&lt;&gt;"",IFERROR(INDEX(ctaLiq,MATCH(G1045,ctaNom,0))="Sí",FALSE)),O1045,0))</f>
        <v/>
      </c>
      <c r="W1045" s="19">
        <f>IF(OR(F1045="",I1045=""),"",IF(COUNTIFS(F$6:F1045,F1045,I$6:I1045,"?*")=1,MAX(W$5:W1044)+1,""))</f>
        <v/>
      </c>
    </row>
    <row r="1046">
      <c r="B1046" s="15" t="n"/>
      <c r="C1046" s="16" t="n"/>
      <c r="D1046" s="17" t="n"/>
      <c r="E1046" s="17" t="n"/>
      <c r="F1046" s="17" t="n"/>
      <c r="G1046" s="17" t="n"/>
      <c r="H1046" s="18">
        <f>IF(AND(B1046="",C1046="",D1046="",E1046=""),"",IF(B1046="","⚠ Falta fecha",IF(C1046="","⚠ Falta monto",IF(D1046="","⚠ Falta categoría",IF(ISNA(MATCH(D1046,catNom,0)),"⚠ Categoría no existe",IF(E1046="","⚠ Falta cuenta",IF(ISNA(MATCH(E1046,ctaNom,0)),"⚠ Cuenta no existe",IF(AND(OR(I1046="Transferencia",I1046="Pago tarjeta"),G1046=""),"⚠ Indica la cuenta «Hacia»",IF(AND(G1046&lt;&gt;"",G1046=E1046),"⚠ «Hacia» igual a la cuenta",IF(AND(G1046&lt;&gt;"",ISNA(MATCH(G1046,ctaNom,0))),"⚠ «Hacia» no existe",IF(AND(I1046="Pago tarjeta",IFERROR(INDEX(ctaTipo,MATCH(G1046,ctaNom,0)),"")&lt;&gt;"Tarjeta de crédito"),"⚠ «Hacia» debe ser la tarjeta",IF(AND(I1046="Trading",IFERROR(INDEX(ctaTipo,MATCH(E1046,ctaNom,0)),"")&lt;&gt;"Cuenta de trading"),"⚠ Usa la cuenta de trading","✓"))))))))))))</f>
        <v/>
      </c>
      <c r="I1046" s="19">
        <f>IF(OR(B1046="",C1046="",D1046=""),"",IFERROR(INDEX(catTipo,MATCH(D1046,catNom,0))&amp;"",""))</f>
        <v/>
      </c>
      <c r="J1046" s="19">
        <f>IF(I1046="","",IFERROR(INDEX(catGrupo,MATCH(D1046,catNom,0))&amp;"",""))</f>
        <v/>
      </c>
      <c r="K1046" s="19">
        <f>IF(I1046="Gasto",IF(IFERROR(INDEX(catClas,MATCH(D1046,catNom,0))&amp;"","")="","Variable",IFERROR(INDEX(catClas,MATCH(D1046,catNom,0))&amp;"","")),"")</f>
        <v/>
      </c>
      <c r="L1046" s="19">
        <f>IF(I1046="","",IFERROR(INDEX(catAlim,MATCH(D1046,catNom,0))&amp;"",""))</f>
        <v/>
      </c>
      <c r="M1046" s="19">
        <f>IF(I1046="","",IFERROR(INDEX(catComida,MATCH(D1046,catNom,0))&amp;"",""))</f>
        <v/>
      </c>
      <c r="N1046" s="19">
        <f>IF(I1046="","",IFERROR(INDEX(ctaMon,MATCH(E1046,ctaNom,0))&amp;"","DOP"))</f>
        <v/>
      </c>
      <c r="O1046" s="20">
        <f>IF(I1046="","",C1046*IF(N1046="USD",TasaUSD,1))</f>
        <v/>
      </c>
      <c r="P1046" s="20">
        <f>IF(I1046="","",IF(I1046="Gasto",O1046,0))</f>
        <v/>
      </c>
      <c r="Q1046" s="20">
        <f>IF(I1046="","",IF(I1046="Ingreso",O1046,0))</f>
        <v/>
      </c>
      <c r="R1046" s="20">
        <f>IF(I1046="","",IF(I1046="Trading",O1046,0))</f>
        <v/>
      </c>
      <c r="S1046" s="19">
        <f>IF(I1046="","",IF(AND(I1046="Gasto",K1046="Variable",J1046&lt;&gt;"Trading",O1046&gt;0,O1046&lt;=Umbral),1,0))</f>
        <v/>
      </c>
      <c r="T1046" s="20">
        <f>IF(OR(I1046="",E1046=""),"",IF(OR(I1046="Gasto",I1046="Transferencia",I1046="Pago tarjeta"),-1,1)*C1046)</f>
        <v/>
      </c>
      <c r="U1046" s="20">
        <f>IF(OR(G1046="",AND(I1046&lt;&gt;"Transferencia",I1046&lt;&gt;"Pago tarjeta")),"",IF(IFERROR(INDEX(ctaMon,MATCH(G1046,ctaNom,0))&amp;"","DOP")=N1046,C1046,IF(N1046="USD",C1046*TasaUSD,C1046/TasaUSD)))</f>
        <v/>
      </c>
      <c r="V1046" s="20">
        <f>IF(I1046="","",IF(IFERROR(INDEX(ctaLiq,MATCH(E1046,ctaNom,0))="Sí",FALSE),IF(OR(I1046="Gasto",I1046="Transferencia",I1046="Pago tarjeta"),-1,1)*O1046,0)+IF(AND(U1046&lt;&gt;"",IFERROR(INDEX(ctaLiq,MATCH(G1046,ctaNom,0))="Sí",FALSE)),O1046,0))</f>
        <v/>
      </c>
      <c r="W1046" s="19">
        <f>IF(OR(F1046="",I1046=""),"",IF(COUNTIFS(F$6:F1046,F1046,I$6:I1046,"?*")=1,MAX(W$5:W1045)+1,""))</f>
        <v/>
      </c>
    </row>
    <row r="1047">
      <c r="B1047" s="15" t="n"/>
      <c r="C1047" s="16" t="n"/>
      <c r="D1047" s="17" t="n"/>
      <c r="E1047" s="17" t="n"/>
      <c r="F1047" s="17" t="n"/>
      <c r="G1047" s="17" t="n"/>
      <c r="H1047" s="18">
        <f>IF(AND(B1047="",C1047="",D1047="",E1047=""),"",IF(B1047="","⚠ Falta fecha",IF(C1047="","⚠ Falta monto",IF(D1047="","⚠ Falta categoría",IF(ISNA(MATCH(D1047,catNom,0)),"⚠ Categoría no existe",IF(E1047="","⚠ Falta cuenta",IF(ISNA(MATCH(E1047,ctaNom,0)),"⚠ Cuenta no existe",IF(AND(OR(I1047="Transferencia",I1047="Pago tarjeta"),G1047=""),"⚠ Indica la cuenta «Hacia»",IF(AND(G1047&lt;&gt;"",G1047=E1047),"⚠ «Hacia» igual a la cuenta",IF(AND(G1047&lt;&gt;"",ISNA(MATCH(G1047,ctaNom,0))),"⚠ «Hacia» no existe",IF(AND(I1047="Pago tarjeta",IFERROR(INDEX(ctaTipo,MATCH(G1047,ctaNom,0)),"")&lt;&gt;"Tarjeta de crédito"),"⚠ «Hacia» debe ser la tarjeta",IF(AND(I1047="Trading",IFERROR(INDEX(ctaTipo,MATCH(E1047,ctaNom,0)),"")&lt;&gt;"Cuenta de trading"),"⚠ Usa la cuenta de trading","✓"))))))))))))</f>
        <v/>
      </c>
      <c r="I1047" s="19">
        <f>IF(OR(B1047="",C1047="",D1047=""),"",IFERROR(INDEX(catTipo,MATCH(D1047,catNom,0))&amp;"",""))</f>
        <v/>
      </c>
      <c r="J1047" s="19">
        <f>IF(I1047="","",IFERROR(INDEX(catGrupo,MATCH(D1047,catNom,0))&amp;"",""))</f>
        <v/>
      </c>
      <c r="K1047" s="19">
        <f>IF(I1047="Gasto",IF(IFERROR(INDEX(catClas,MATCH(D1047,catNom,0))&amp;"","")="","Variable",IFERROR(INDEX(catClas,MATCH(D1047,catNom,0))&amp;"","")),"")</f>
        <v/>
      </c>
      <c r="L1047" s="19">
        <f>IF(I1047="","",IFERROR(INDEX(catAlim,MATCH(D1047,catNom,0))&amp;"",""))</f>
        <v/>
      </c>
      <c r="M1047" s="19">
        <f>IF(I1047="","",IFERROR(INDEX(catComida,MATCH(D1047,catNom,0))&amp;"",""))</f>
        <v/>
      </c>
      <c r="N1047" s="19">
        <f>IF(I1047="","",IFERROR(INDEX(ctaMon,MATCH(E1047,ctaNom,0))&amp;"","DOP"))</f>
        <v/>
      </c>
      <c r="O1047" s="20">
        <f>IF(I1047="","",C1047*IF(N1047="USD",TasaUSD,1))</f>
        <v/>
      </c>
      <c r="P1047" s="20">
        <f>IF(I1047="","",IF(I1047="Gasto",O1047,0))</f>
        <v/>
      </c>
      <c r="Q1047" s="20">
        <f>IF(I1047="","",IF(I1047="Ingreso",O1047,0))</f>
        <v/>
      </c>
      <c r="R1047" s="20">
        <f>IF(I1047="","",IF(I1047="Trading",O1047,0))</f>
        <v/>
      </c>
      <c r="S1047" s="19">
        <f>IF(I1047="","",IF(AND(I1047="Gasto",K1047="Variable",J1047&lt;&gt;"Trading",O1047&gt;0,O1047&lt;=Umbral),1,0))</f>
        <v/>
      </c>
      <c r="T1047" s="20">
        <f>IF(OR(I1047="",E1047=""),"",IF(OR(I1047="Gasto",I1047="Transferencia",I1047="Pago tarjeta"),-1,1)*C1047)</f>
        <v/>
      </c>
      <c r="U1047" s="20">
        <f>IF(OR(G1047="",AND(I1047&lt;&gt;"Transferencia",I1047&lt;&gt;"Pago tarjeta")),"",IF(IFERROR(INDEX(ctaMon,MATCH(G1047,ctaNom,0))&amp;"","DOP")=N1047,C1047,IF(N1047="USD",C1047*TasaUSD,C1047/TasaUSD)))</f>
        <v/>
      </c>
      <c r="V1047" s="20">
        <f>IF(I1047="","",IF(IFERROR(INDEX(ctaLiq,MATCH(E1047,ctaNom,0))="Sí",FALSE),IF(OR(I1047="Gasto",I1047="Transferencia",I1047="Pago tarjeta"),-1,1)*O1047,0)+IF(AND(U1047&lt;&gt;"",IFERROR(INDEX(ctaLiq,MATCH(G1047,ctaNom,0))="Sí",FALSE)),O1047,0))</f>
        <v/>
      </c>
      <c r="W1047" s="19">
        <f>IF(OR(F1047="",I1047=""),"",IF(COUNTIFS(F$6:F1047,F1047,I$6:I1047,"?*")=1,MAX(W$5:W1046)+1,""))</f>
        <v/>
      </c>
    </row>
    <row r="1048">
      <c r="B1048" s="15" t="n"/>
      <c r="C1048" s="16" t="n"/>
      <c r="D1048" s="17" t="n"/>
      <c r="E1048" s="17" t="n"/>
      <c r="F1048" s="17" t="n"/>
      <c r="G1048" s="17" t="n"/>
      <c r="H1048" s="18">
        <f>IF(AND(B1048="",C1048="",D1048="",E1048=""),"",IF(B1048="","⚠ Falta fecha",IF(C1048="","⚠ Falta monto",IF(D1048="","⚠ Falta categoría",IF(ISNA(MATCH(D1048,catNom,0)),"⚠ Categoría no existe",IF(E1048="","⚠ Falta cuenta",IF(ISNA(MATCH(E1048,ctaNom,0)),"⚠ Cuenta no existe",IF(AND(OR(I1048="Transferencia",I1048="Pago tarjeta"),G1048=""),"⚠ Indica la cuenta «Hacia»",IF(AND(G1048&lt;&gt;"",G1048=E1048),"⚠ «Hacia» igual a la cuenta",IF(AND(G1048&lt;&gt;"",ISNA(MATCH(G1048,ctaNom,0))),"⚠ «Hacia» no existe",IF(AND(I1048="Pago tarjeta",IFERROR(INDEX(ctaTipo,MATCH(G1048,ctaNom,0)),"")&lt;&gt;"Tarjeta de crédito"),"⚠ «Hacia» debe ser la tarjeta",IF(AND(I1048="Trading",IFERROR(INDEX(ctaTipo,MATCH(E1048,ctaNom,0)),"")&lt;&gt;"Cuenta de trading"),"⚠ Usa la cuenta de trading","✓"))))))))))))</f>
        <v/>
      </c>
      <c r="I1048" s="19">
        <f>IF(OR(B1048="",C1048="",D1048=""),"",IFERROR(INDEX(catTipo,MATCH(D1048,catNom,0))&amp;"",""))</f>
        <v/>
      </c>
      <c r="J1048" s="19">
        <f>IF(I1048="","",IFERROR(INDEX(catGrupo,MATCH(D1048,catNom,0))&amp;"",""))</f>
        <v/>
      </c>
      <c r="K1048" s="19">
        <f>IF(I1048="Gasto",IF(IFERROR(INDEX(catClas,MATCH(D1048,catNom,0))&amp;"","")="","Variable",IFERROR(INDEX(catClas,MATCH(D1048,catNom,0))&amp;"","")),"")</f>
        <v/>
      </c>
      <c r="L1048" s="19">
        <f>IF(I1048="","",IFERROR(INDEX(catAlim,MATCH(D1048,catNom,0))&amp;"",""))</f>
        <v/>
      </c>
      <c r="M1048" s="19">
        <f>IF(I1048="","",IFERROR(INDEX(catComida,MATCH(D1048,catNom,0))&amp;"",""))</f>
        <v/>
      </c>
      <c r="N1048" s="19">
        <f>IF(I1048="","",IFERROR(INDEX(ctaMon,MATCH(E1048,ctaNom,0))&amp;"","DOP"))</f>
        <v/>
      </c>
      <c r="O1048" s="20">
        <f>IF(I1048="","",C1048*IF(N1048="USD",TasaUSD,1))</f>
        <v/>
      </c>
      <c r="P1048" s="20">
        <f>IF(I1048="","",IF(I1048="Gasto",O1048,0))</f>
        <v/>
      </c>
      <c r="Q1048" s="20">
        <f>IF(I1048="","",IF(I1048="Ingreso",O1048,0))</f>
        <v/>
      </c>
      <c r="R1048" s="20">
        <f>IF(I1048="","",IF(I1048="Trading",O1048,0))</f>
        <v/>
      </c>
      <c r="S1048" s="19">
        <f>IF(I1048="","",IF(AND(I1048="Gasto",K1048="Variable",J1048&lt;&gt;"Trading",O1048&gt;0,O1048&lt;=Umbral),1,0))</f>
        <v/>
      </c>
      <c r="T1048" s="20">
        <f>IF(OR(I1048="",E1048=""),"",IF(OR(I1048="Gasto",I1048="Transferencia",I1048="Pago tarjeta"),-1,1)*C1048)</f>
        <v/>
      </c>
      <c r="U1048" s="20">
        <f>IF(OR(G1048="",AND(I1048&lt;&gt;"Transferencia",I1048&lt;&gt;"Pago tarjeta")),"",IF(IFERROR(INDEX(ctaMon,MATCH(G1048,ctaNom,0))&amp;"","DOP")=N1048,C1048,IF(N1048="USD",C1048*TasaUSD,C1048/TasaUSD)))</f>
        <v/>
      </c>
      <c r="V1048" s="20">
        <f>IF(I1048="","",IF(IFERROR(INDEX(ctaLiq,MATCH(E1048,ctaNom,0))="Sí",FALSE),IF(OR(I1048="Gasto",I1048="Transferencia",I1048="Pago tarjeta"),-1,1)*O1048,0)+IF(AND(U1048&lt;&gt;"",IFERROR(INDEX(ctaLiq,MATCH(G1048,ctaNom,0))="Sí",FALSE)),O1048,0))</f>
        <v/>
      </c>
      <c r="W1048" s="19">
        <f>IF(OR(F1048="",I1048=""),"",IF(COUNTIFS(F$6:F1048,F1048,I$6:I1048,"?*")=1,MAX(W$5:W1047)+1,""))</f>
        <v/>
      </c>
    </row>
    <row r="1049">
      <c r="B1049" s="15" t="n"/>
      <c r="C1049" s="16" t="n"/>
      <c r="D1049" s="17" t="n"/>
      <c r="E1049" s="17" t="n"/>
      <c r="F1049" s="17" t="n"/>
      <c r="G1049" s="17" t="n"/>
      <c r="H1049" s="18">
        <f>IF(AND(B1049="",C1049="",D1049="",E1049=""),"",IF(B1049="","⚠ Falta fecha",IF(C1049="","⚠ Falta monto",IF(D1049="","⚠ Falta categoría",IF(ISNA(MATCH(D1049,catNom,0)),"⚠ Categoría no existe",IF(E1049="","⚠ Falta cuenta",IF(ISNA(MATCH(E1049,ctaNom,0)),"⚠ Cuenta no existe",IF(AND(OR(I1049="Transferencia",I1049="Pago tarjeta"),G1049=""),"⚠ Indica la cuenta «Hacia»",IF(AND(G1049&lt;&gt;"",G1049=E1049),"⚠ «Hacia» igual a la cuenta",IF(AND(G1049&lt;&gt;"",ISNA(MATCH(G1049,ctaNom,0))),"⚠ «Hacia» no existe",IF(AND(I1049="Pago tarjeta",IFERROR(INDEX(ctaTipo,MATCH(G1049,ctaNom,0)),"")&lt;&gt;"Tarjeta de crédito"),"⚠ «Hacia» debe ser la tarjeta",IF(AND(I1049="Trading",IFERROR(INDEX(ctaTipo,MATCH(E1049,ctaNom,0)),"")&lt;&gt;"Cuenta de trading"),"⚠ Usa la cuenta de trading","✓"))))))))))))</f>
        <v/>
      </c>
      <c r="I1049" s="19">
        <f>IF(OR(B1049="",C1049="",D1049=""),"",IFERROR(INDEX(catTipo,MATCH(D1049,catNom,0))&amp;"",""))</f>
        <v/>
      </c>
      <c r="J1049" s="19">
        <f>IF(I1049="","",IFERROR(INDEX(catGrupo,MATCH(D1049,catNom,0))&amp;"",""))</f>
        <v/>
      </c>
      <c r="K1049" s="19">
        <f>IF(I1049="Gasto",IF(IFERROR(INDEX(catClas,MATCH(D1049,catNom,0))&amp;"","")="","Variable",IFERROR(INDEX(catClas,MATCH(D1049,catNom,0))&amp;"","")),"")</f>
        <v/>
      </c>
      <c r="L1049" s="19">
        <f>IF(I1049="","",IFERROR(INDEX(catAlim,MATCH(D1049,catNom,0))&amp;"",""))</f>
        <v/>
      </c>
      <c r="M1049" s="19">
        <f>IF(I1049="","",IFERROR(INDEX(catComida,MATCH(D1049,catNom,0))&amp;"",""))</f>
        <v/>
      </c>
      <c r="N1049" s="19">
        <f>IF(I1049="","",IFERROR(INDEX(ctaMon,MATCH(E1049,ctaNom,0))&amp;"","DOP"))</f>
        <v/>
      </c>
      <c r="O1049" s="20">
        <f>IF(I1049="","",C1049*IF(N1049="USD",TasaUSD,1))</f>
        <v/>
      </c>
      <c r="P1049" s="20">
        <f>IF(I1049="","",IF(I1049="Gasto",O1049,0))</f>
        <v/>
      </c>
      <c r="Q1049" s="20">
        <f>IF(I1049="","",IF(I1049="Ingreso",O1049,0))</f>
        <v/>
      </c>
      <c r="R1049" s="20">
        <f>IF(I1049="","",IF(I1049="Trading",O1049,0))</f>
        <v/>
      </c>
      <c r="S1049" s="19">
        <f>IF(I1049="","",IF(AND(I1049="Gasto",K1049="Variable",J1049&lt;&gt;"Trading",O1049&gt;0,O1049&lt;=Umbral),1,0))</f>
        <v/>
      </c>
      <c r="T1049" s="20">
        <f>IF(OR(I1049="",E1049=""),"",IF(OR(I1049="Gasto",I1049="Transferencia",I1049="Pago tarjeta"),-1,1)*C1049)</f>
        <v/>
      </c>
      <c r="U1049" s="20">
        <f>IF(OR(G1049="",AND(I1049&lt;&gt;"Transferencia",I1049&lt;&gt;"Pago tarjeta")),"",IF(IFERROR(INDEX(ctaMon,MATCH(G1049,ctaNom,0))&amp;"","DOP")=N1049,C1049,IF(N1049="USD",C1049*TasaUSD,C1049/TasaUSD)))</f>
        <v/>
      </c>
      <c r="V1049" s="20">
        <f>IF(I1049="","",IF(IFERROR(INDEX(ctaLiq,MATCH(E1049,ctaNom,0))="Sí",FALSE),IF(OR(I1049="Gasto",I1049="Transferencia",I1049="Pago tarjeta"),-1,1)*O1049,0)+IF(AND(U1049&lt;&gt;"",IFERROR(INDEX(ctaLiq,MATCH(G1049,ctaNom,0))="Sí",FALSE)),O1049,0))</f>
        <v/>
      </c>
      <c r="W1049" s="19">
        <f>IF(OR(F1049="",I1049=""),"",IF(COUNTIFS(F$6:F1049,F1049,I$6:I1049,"?*")=1,MAX(W$5:W1048)+1,""))</f>
        <v/>
      </c>
    </row>
    <row r="1050">
      <c r="B1050" s="15" t="n"/>
      <c r="C1050" s="16" t="n"/>
      <c r="D1050" s="17" t="n"/>
      <c r="E1050" s="17" t="n"/>
      <c r="F1050" s="17" t="n"/>
      <c r="G1050" s="17" t="n"/>
      <c r="H1050" s="18">
        <f>IF(AND(B1050="",C1050="",D1050="",E1050=""),"",IF(B1050="","⚠ Falta fecha",IF(C1050="","⚠ Falta monto",IF(D1050="","⚠ Falta categoría",IF(ISNA(MATCH(D1050,catNom,0)),"⚠ Categoría no existe",IF(E1050="","⚠ Falta cuenta",IF(ISNA(MATCH(E1050,ctaNom,0)),"⚠ Cuenta no existe",IF(AND(OR(I1050="Transferencia",I1050="Pago tarjeta"),G1050=""),"⚠ Indica la cuenta «Hacia»",IF(AND(G1050&lt;&gt;"",G1050=E1050),"⚠ «Hacia» igual a la cuenta",IF(AND(G1050&lt;&gt;"",ISNA(MATCH(G1050,ctaNom,0))),"⚠ «Hacia» no existe",IF(AND(I1050="Pago tarjeta",IFERROR(INDEX(ctaTipo,MATCH(G1050,ctaNom,0)),"")&lt;&gt;"Tarjeta de crédito"),"⚠ «Hacia» debe ser la tarjeta",IF(AND(I1050="Trading",IFERROR(INDEX(ctaTipo,MATCH(E1050,ctaNom,0)),"")&lt;&gt;"Cuenta de trading"),"⚠ Usa la cuenta de trading","✓"))))))))))))</f>
        <v/>
      </c>
      <c r="I1050" s="19">
        <f>IF(OR(B1050="",C1050="",D1050=""),"",IFERROR(INDEX(catTipo,MATCH(D1050,catNom,0))&amp;"",""))</f>
        <v/>
      </c>
      <c r="J1050" s="19">
        <f>IF(I1050="","",IFERROR(INDEX(catGrupo,MATCH(D1050,catNom,0))&amp;"",""))</f>
        <v/>
      </c>
      <c r="K1050" s="19">
        <f>IF(I1050="Gasto",IF(IFERROR(INDEX(catClas,MATCH(D1050,catNom,0))&amp;"","")="","Variable",IFERROR(INDEX(catClas,MATCH(D1050,catNom,0))&amp;"","")),"")</f>
        <v/>
      </c>
      <c r="L1050" s="19">
        <f>IF(I1050="","",IFERROR(INDEX(catAlim,MATCH(D1050,catNom,0))&amp;"",""))</f>
        <v/>
      </c>
      <c r="M1050" s="19">
        <f>IF(I1050="","",IFERROR(INDEX(catComida,MATCH(D1050,catNom,0))&amp;"",""))</f>
        <v/>
      </c>
      <c r="N1050" s="19">
        <f>IF(I1050="","",IFERROR(INDEX(ctaMon,MATCH(E1050,ctaNom,0))&amp;"","DOP"))</f>
        <v/>
      </c>
      <c r="O1050" s="20">
        <f>IF(I1050="","",C1050*IF(N1050="USD",TasaUSD,1))</f>
        <v/>
      </c>
      <c r="P1050" s="20">
        <f>IF(I1050="","",IF(I1050="Gasto",O1050,0))</f>
        <v/>
      </c>
      <c r="Q1050" s="20">
        <f>IF(I1050="","",IF(I1050="Ingreso",O1050,0))</f>
        <v/>
      </c>
      <c r="R1050" s="20">
        <f>IF(I1050="","",IF(I1050="Trading",O1050,0))</f>
        <v/>
      </c>
      <c r="S1050" s="19">
        <f>IF(I1050="","",IF(AND(I1050="Gasto",K1050="Variable",J1050&lt;&gt;"Trading",O1050&gt;0,O1050&lt;=Umbral),1,0))</f>
        <v/>
      </c>
      <c r="T1050" s="20">
        <f>IF(OR(I1050="",E1050=""),"",IF(OR(I1050="Gasto",I1050="Transferencia",I1050="Pago tarjeta"),-1,1)*C1050)</f>
        <v/>
      </c>
      <c r="U1050" s="20">
        <f>IF(OR(G1050="",AND(I1050&lt;&gt;"Transferencia",I1050&lt;&gt;"Pago tarjeta")),"",IF(IFERROR(INDEX(ctaMon,MATCH(G1050,ctaNom,0))&amp;"","DOP")=N1050,C1050,IF(N1050="USD",C1050*TasaUSD,C1050/TasaUSD)))</f>
        <v/>
      </c>
      <c r="V1050" s="20">
        <f>IF(I1050="","",IF(IFERROR(INDEX(ctaLiq,MATCH(E1050,ctaNom,0))="Sí",FALSE),IF(OR(I1050="Gasto",I1050="Transferencia",I1050="Pago tarjeta"),-1,1)*O1050,0)+IF(AND(U1050&lt;&gt;"",IFERROR(INDEX(ctaLiq,MATCH(G1050,ctaNom,0))="Sí",FALSE)),O1050,0))</f>
        <v/>
      </c>
      <c r="W1050" s="19">
        <f>IF(OR(F1050="",I1050=""),"",IF(COUNTIFS(F$6:F1050,F1050,I$6:I1050,"?*")=1,MAX(W$5:W1049)+1,""))</f>
        <v/>
      </c>
    </row>
    <row r="1051">
      <c r="B1051" s="15" t="n"/>
      <c r="C1051" s="16" t="n"/>
      <c r="D1051" s="17" t="n"/>
      <c r="E1051" s="17" t="n"/>
      <c r="F1051" s="17" t="n"/>
      <c r="G1051" s="17" t="n"/>
      <c r="H1051" s="18">
        <f>IF(AND(B1051="",C1051="",D1051="",E1051=""),"",IF(B1051="","⚠ Falta fecha",IF(C1051="","⚠ Falta monto",IF(D1051="","⚠ Falta categoría",IF(ISNA(MATCH(D1051,catNom,0)),"⚠ Categoría no existe",IF(E1051="","⚠ Falta cuenta",IF(ISNA(MATCH(E1051,ctaNom,0)),"⚠ Cuenta no existe",IF(AND(OR(I1051="Transferencia",I1051="Pago tarjeta"),G1051=""),"⚠ Indica la cuenta «Hacia»",IF(AND(G1051&lt;&gt;"",G1051=E1051),"⚠ «Hacia» igual a la cuenta",IF(AND(G1051&lt;&gt;"",ISNA(MATCH(G1051,ctaNom,0))),"⚠ «Hacia» no existe",IF(AND(I1051="Pago tarjeta",IFERROR(INDEX(ctaTipo,MATCH(G1051,ctaNom,0)),"")&lt;&gt;"Tarjeta de crédito"),"⚠ «Hacia» debe ser la tarjeta",IF(AND(I1051="Trading",IFERROR(INDEX(ctaTipo,MATCH(E1051,ctaNom,0)),"")&lt;&gt;"Cuenta de trading"),"⚠ Usa la cuenta de trading","✓"))))))))))))</f>
        <v/>
      </c>
      <c r="I1051" s="19">
        <f>IF(OR(B1051="",C1051="",D1051=""),"",IFERROR(INDEX(catTipo,MATCH(D1051,catNom,0))&amp;"",""))</f>
        <v/>
      </c>
      <c r="J1051" s="19">
        <f>IF(I1051="","",IFERROR(INDEX(catGrupo,MATCH(D1051,catNom,0))&amp;"",""))</f>
        <v/>
      </c>
      <c r="K1051" s="19">
        <f>IF(I1051="Gasto",IF(IFERROR(INDEX(catClas,MATCH(D1051,catNom,0))&amp;"","")="","Variable",IFERROR(INDEX(catClas,MATCH(D1051,catNom,0))&amp;"","")),"")</f>
        <v/>
      </c>
      <c r="L1051" s="19">
        <f>IF(I1051="","",IFERROR(INDEX(catAlim,MATCH(D1051,catNom,0))&amp;"",""))</f>
        <v/>
      </c>
      <c r="M1051" s="19">
        <f>IF(I1051="","",IFERROR(INDEX(catComida,MATCH(D1051,catNom,0))&amp;"",""))</f>
        <v/>
      </c>
      <c r="N1051" s="19">
        <f>IF(I1051="","",IFERROR(INDEX(ctaMon,MATCH(E1051,ctaNom,0))&amp;"","DOP"))</f>
        <v/>
      </c>
      <c r="O1051" s="20">
        <f>IF(I1051="","",C1051*IF(N1051="USD",TasaUSD,1))</f>
        <v/>
      </c>
      <c r="P1051" s="20">
        <f>IF(I1051="","",IF(I1051="Gasto",O1051,0))</f>
        <v/>
      </c>
      <c r="Q1051" s="20">
        <f>IF(I1051="","",IF(I1051="Ingreso",O1051,0))</f>
        <v/>
      </c>
      <c r="R1051" s="20">
        <f>IF(I1051="","",IF(I1051="Trading",O1051,0))</f>
        <v/>
      </c>
      <c r="S1051" s="19">
        <f>IF(I1051="","",IF(AND(I1051="Gasto",K1051="Variable",J1051&lt;&gt;"Trading",O1051&gt;0,O1051&lt;=Umbral),1,0))</f>
        <v/>
      </c>
      <c r="T1051" s="20">
        <f>IF(OR(I1051="",E1051=""),"",IF(OR(I1051="Gasto",I1051="Transferencia",I1051="Pago tarjeta"),-1,1)*C1051)</f>
        <v/>
      </c>
      <c r="U1051" s="20">
        <f>IF(OR(G1051="",AND(I1051&lt;&gt;"Transferencia",I1051&lt;&gt;"Pago tarjeta")),"",IF(IFERROR(INDEX(ctaMon,MATCH(G1051,ctaNom,0))&amp;"","DOP")=N1051,C1051,IF(N1051="USD",C1051*TasaUSD,C1051/TasaUSD)))</f>
        <v/>
      </c>
      <c r="V1051" s="20">
        <f>IF(I1051="","",IF(IFERROR(INDEX(ctaLiq,MATCH(E1051,ctaNom,0))="Sí",FALSE),IF(OR(I1051="Gasto",I1051="Transferencia",I1051="Pago tarjeta"),-1,1)*O1051,0)+IF(AND(U1051&lt;&gt;"",IFERROR(INDEX(ctaLiq,MATCH(G1051,ctaNom,0))="Sí",FALSE)),O1051,0))</f>
        <v/>
      </c>
      <c r="W1051" s="19">
        <f>IF(OR(F1051="",I1051=""),"",IF(COUNTIFS(F$6:F1051,F1051,I$6:I1051,"?*")=1,MAX(W$5:W1050)+1,""))</f>
        <v/>
      </c>
    </row>
    <row r="1052">
      <c r="B1052" s="15" t="n"/>
      <c r="C1052" s="16" t="n"/>
      <c r="D1052" s="17" t="n"/>
      <c r="E1052" s="17" t="n"/>
      <c r="F1052" s="17" t="n"/>
      <c r="G1052" s="17" t="n"/>
      <c r="H1052" s="18">
        <f>IF(AND(B1052="",C1052="",D1052="",E1052=""),"",IF(B1052="","⚠ Falta fecha",IF(C1052="","⚠ Falta monto",IF(D1052="","⚠ Falta categoría",IF(ISNA(MATCH(D1052,catNom,0)),"⚠ Categoría no existe",IF(E1052="","⚠ Falta cuenta",IF(ISNA(MATCH(E1052,ctaNom,0)),"⚠ Cuenta no existe",IF(AND(OR(I1052="Transferencia",I1052="Pago tarjeta"),G1052=""),"⚠ Indica la cuenta «Hacia»",IF(AND(G1052&lt;&gt;"",G1052=E1052),"⚠ «Hacia» igual a la cuenta",IF(AND(G1052&lt;&gt;"",ISNA(MATCH(G1052,ctaNom,0))),"⚠ «Hacia» no existe",IF(AND(I1052="Pago tarjeta",IFERROR(INDEX(ctaTipo,MATCH(G1052,ctaNom,0)),"")&lt;&gt;"Tarjeta de crédito"),"⚠ «Hacia» debe ser la tarjeta",IF(AND(I1052="Trading",IFERROR(INDEX(ctaTipo,MATCH(E1052,ctaNom,0)),"")&lt;&gt;"Cuenta de trading"),"⚠ Usa la cuenta de trading","✓"))))))))))))</f>
        <v/>
      </c>
      <c r="I1052" s="19">
        <f>IF(OR(B1052="",C1052="",D1052=""),"",IFERROR(INDEX(catTipo,MATCH(D1052,catNom,0))&amp;"",""))</f>
        <v/>
      </c>
      <c r="J1052" s="19">
        <f>IF(I1052="","",IFERROR(INDEX(catGrupo,MATCH(D1052,catNom,0))&amp;"",""))</f>
        <v/>
      </c>
      <c r="K1052" s="19">
        <f>IF(I1052="Gasto",IF(IFERROR(INDEX(catClas,MATCH(D1052,catNom,0))&amp;"","")="","Variable",IFERROR(INDEX(catClas,MATCH(D1052,catNom,0))&amp;"","")),"")</f>
        <v/>
      </c>
      <c r="L1052" s="19">
        <f>IF(I1052="","",IFERROR(INDEX(catAlim,MATCH(D1052,catNom,0))&amp;"",""))</f>
        <v/>
      </c>
      <c r="M1052" s="19">
        <f>IF(I1052="","",IFERROR(INDEX(catComida,MATCH(D1052,catNom,0))&amp;"",""))</f>
        <v/>
      </c>
      <c r="N1052" s="19">
        <f>IF(I1052="","",IFERROR(INDEX(ctaMon,MATCH(E1052,ctaNom,0))&amp;"","DOP"))</f>
        <v/>
      </c>
      <c r="O1052" s="20">
        <f>IF(I1052="","",C1052*IF(N1052="USD",TasaUSD,1))</f>
        <v/>
      </c>
      <c r="P1052" s="20">
        <f>IF(I1052="","",IF(I1052="Gasto",O1052,0))</f>
        <v/>
      </c>
      <c r="Q1052" s="20">
        <f>IF(I1052="","",IF(I1052="Ingreso",O1052,0))</f>
        <v/>
      </c>
      <c r="R1052" s="20">
        <f>IF(I1052="","",IF(I1052="Trading",O1052,0))</f>
        <v/>
      </c>
      <c r="S1052" s="19">
        <f>IF(I1052="","",IF(AND(I1052="Gasto",K1052="Variable",J1052&lt;&gt;"Trading",O1052&gt;0,O1052&lt;=Umbral),1,0))</f>
        <v/>
      </c>
      <c r="T1052" s="20">
        <f>IF(OR(I1052="",E1052=""),"",IF(OR(I1052="Gasto",I1052="Transferencia",I1052="Pago tarjeta"),-1,1)*C1052)</f>
        <v/>
      </c>
      <c r="U1052" s="20">
        <f>IF(OR(G1052="",AND(I1052&lt;&gt;"Transferencia",I1052&lt;&gt;"Pago tarjeta")),"",IF(IFERROR(INDEX(ctaMon,MATCH(G1052,ctaNom,0))&amp;"","DOP")=N1052,C1052,IF(N1052="USD",C1052*TasaUSD,C1052/TasaUSD)))</f>
        <v/>
      </c>
      <c r="V1052" s="20">
        <f>IF(I1052="","",IF(IFERROR(INDEX(ctaLiq,MATCH(E1052,ctaNom,0))="Sí",FALSE),IF(OR(I1052="Gasto",I1052="Transferencia",I1052="Pago tarjeta"),-1,1)*O1052,0)+IF(AND(U1052&lt;&gt;"",IFERROR(INDEX(ctaLiq,MATCH(G1052,ctaNom,0))="Sí",FALSE)),O1052,0))</f>
        <v/>
      </c>
      <c r="W1052" s="19">
        <f>IF(OR(F1052="",I1052=""),"",IF(COUNTIFS(F$6:F1052,F1052,I$6:I1052,"?*")=1,MAX(W$5:W1051)+1,""))</f>
        <v/>
      </c>
    </row>
    <row r="1053">
      <c r="B1053" s="15" t="n"/>
      <c r="C1053" s="16" t="n"/>
      <c r="D1053" s="17" t="n"/>
      <c r="E1053" s="17" t="n"/>
      <c r="F1053" s="17" t="n"/>
      <c r="G1053" s="17" t="n"/>
      <c r="H1053" s="18">
        <f>IF(AND(B1053="",C1053="",D1053="",E1053=""),"",IF(B1053="","⚠ Falta fecha",IF(C1053="","⚠ Falta monto",IF(D1053="","⚠ Falta categoría",IF(ISNA(MATCH(D1053,catNom,0)),"⚠ Categoría no existe",IF(E1053="","⚠ Falta cuenta",IF(ISNA(MATCH(E1053,ctaNom,0)),"⚠ Cuenta no existe",IF(AND(OR(I1053="Transferencia",I1053="Pago tarjeta"),G1053=""),"⚠ Indica la cuenta «Hacia»",IF(AND(G1053&lt;&gt;"",G1053=E1053),"⚠ «Hacia» igual a la cuenta",IF(AND(G1053&lt;&gt;"",ISNA(MATCH(G1053,ctaNom,0))),"⚠ «Hacia» no existe",IF(AND(I1053="Pago tarjeta",IFERROR(INDEX(ctaTipo,MATCH(G1053,ctaNom,0)),"")&lt;&gt;"Tarjeta de crédito"),"⚠ «Hacia» debe ser la tarjeta",IF(AND(I1053="Trading",IFERROR(INDEX(ctaTipo,MATCH(E1053,ctaNom,0)),"")&lt;&gt;"Cuenta de trading"),"⚠ Usa la cuenta de trading","✓"))))))))))))</f>
        <v/>
      </c>
      <c r="I1053" s="19">
        <f>IF(OR(B1053="",C1053="",D1053=""),"",IFERROR(INDEX(catTipo,MATCH(D1053,catNom,0))&amp;"",""))</f>
        <v/>
      </c>
      <c r="J1053" s="19">
        <f>IF(I1053="","",IFERROR(INDEX(catGrupo,MATCH(D1053,catNom,0))&amp;"",""))</f>
        <v/>
      </c>
      <c r="K1053" s="19">
        <f>IF(I1053="Gasto",IF(IFERROR(INDEX(catClas,MATCH(D1053,catNom,0))&amp;"","")="","Variable",IFERROR(INDEX(catClas,MATCH(D1053,catNom,0))&amp;"","")),"")</f>
        <v/>
      </c>
      <c r="L1053" s="19">
        <f>IF(I1053="","",IFERROR(INDEX(catAlim,MATCH(D1053,catNom,0))&amp;"",""))</f>
        <v/>
      </c>
      <c r="M1053" s="19">
        <f>IF(I1053="","",IFERROR(INDEX(catComida,MATCH(D1053,catNom,0))&amp;"",""))</f>
        <v/>
      </c>
      <c r="N1053" s="19">
        <f>IF(I1053="","",IFERROR(INDEX(ctaMon,MATCH(E1053,ctaNom,0))&amp;"","DOP"))</f>
        <v/>
      </c>
      <c r="O1053" s="20">
        <f>IF(I1053="","",C1053*IF(N1053="USD",TasaUSD,1))</f>
        <v/>
      </c>
      <c r="P1053" s="20">
        <f>IF(I1053="","",IF(I1053="Gasto",O1053,0))</f>
        <v/>
      </c>
      <c r="Q1053" s="20">
        <f>IF(I1053="","",IF(I1053="Ingreso",O1053,0))</f>
        <v/>
      </c>
      <c r="R1053" s="20">
        <f>IF(I1053="","",IF(I1053="Trading",O1053,0))</f>
        <v/>
      </c>
      <c r="S1053" s="19">
        <f>IF(I1053="","",IF(AND(I1053="Gasto",K1053="Variable",J1053&lt;&gt;"Trading",O1053&gt;0,O1053&lt;=Umbral),1,0))</f>
        <v/>
      </c>
      <c r="T1053" s="20">
        <f>IF(OR(I1053="",E1053=""),"",IF(OR(I1053="Gasto",I1053="Transferencia",I1053="Pago tarjeta"),-1,1)*C1053)</f>
        <v/>
      </c>
      <c r="U1053" s="20">
        <f>IF(OR(G1053="",AND(I1053&lt;&gt;"Transferencia",I1053&lt;&gt;"Pago tarjeta")),"",IF(IFERROR(INDEX(ctaMon,MATCH(G1053,ctaNom,0))&amp;"","DOP")=N1053,C1053,IF(N1053="USD",C1053*TasaUSD,C1053/TasaUSD)))</f>
        <v/>
      </c>
      <c r="V1053" s="20">
        <f>IF(I1053="","",IF(IFERROR(INDEX(ctaLiq,MATCH(E1053,ctaNom,0))="Sí",FALSE),IF(OR(I1053="Gasto",I1053="Transferencia",I1053="Pago tarjeta"),-1,1)*O1053,0)+IF(AND(U1053&lt;&gt;"",IFERROR(INDEX(ctaLiq,MATCH(G1053,ctaNom,0))="Sí",FALSE)),O1053,0))</f>
        <v/>
      </c>
      <c r="W1053" s="19">
        <f>IF(OR(F1053="",I1053=""),"",IF(COUNTIFS(F$6:F1053,F1053,I$6:I1053,"?*")=1,MAX(W$5:W1052)+1,""))</f>
        <v/>
      </c>
    </row>
    <row r="1054">
      <c r="B1054" s="15" t="n"/>
      <c r="C1054" s="16" t="n"/>
      <c r="D1054" s="17" t="n"/>
      <c r="E1054" s="17" t="n"/>
      <c r="F1054" s="17" t="n"/>
      <c r="G1054" s="17" t="n"/>
      <c r="H1054" s="18">
        <f>IF(AND(B1054="",C1054="",D1054="",E1054=""),"",IF(B1054="","⚠ Falta fecha",IF(C1054="","⚠ Falta monto",IF(D1054="","⚠ Falta categoría",IF(ISNA(MATCH(D1054,catNom,0)),"⚠ Categoría no existe",IF(E1054="","⚠ Falta cuenta",IF(ISNA(MATCH(E1054,ctaNom,0)),"⚠ Cuenta no existe",IF(AND(OR(I1054="Transferencia",I1054="Pago tarjeta"),G1054=""),"⚠ Indica la cuenta «Hacia»",IF(AND(G1054&lt;&gt;"",G1054=E1054),"⚠ «Hacia» igual a la cuenta",IF(AND(G1054&lt;&gt;"",ISNA(MATCH(G1054,ctaNom,0))),"⚠ «Hacia» no existe",IF(AND(I1054="Pago tarjeta",IFERROR(INDEX(ctaTipo,MATCH(G1054,ctaNom,0)),"")&lt;&gt;"Tarjeta de crédito"),"⚠ «Hacia» debe ser la tarjeta",IF(AND(I1054="Trading",IFERROR(INDEX(ctaTipo,MATCH(E1054,ctaNom,0)),"")&lt;&gt;"Cuenta de trading"),"⚠ Usa la cuenta de trading","✓"))))))))))))</f>
        <v/>
      </c>
      <c r="I1054" s="19">
        <f>IF(OR(B1054="",C1054="",D1054=""),"",IFERROR(INDEX(catTipo,MATCH(D1054,catNom,0))&amp;"",""))</f>
        <v/>
      </c>
      <c r="J1054" s="19">
        <f>IF(I1054="","",IFERROR(INDEX(catGrupo,MATCH(D1054,catNom,0))&amp;"",""))</f>
        <v/>
      </c>
      <c r="K1054" s="19">
        <f>IF(I1054="Gasto",IF(IFERROR(INDEX(catClas,MATCH(D1054,catNom,0))&amp;"","")="","Variable",IFERROR(INDEX(catClas,MATCH(D1054,catNom,0))&amp;"","")),"")</f>
        <v/>
      </c>
      <c r="L1054" s="19">
        <f>IF(I1054="","",IFERROR(INDEX(catAlim,MATCH(D1054,catNom,0))&amp;"",""))</f>
        <v/>
      </c>
      <c r="M1054" s="19">
        <f>IF(I1054="","",IFERROR(INDEX(catComida,MATCH(D1054,catNom,0))&amp;"",""))</f>
        <v/>
      </c>
      <c r="N1054" s="19">
        <f>IF(I1054="","",IFERROR(INDEX(ctaMon,MATCH(E1054,ctaNom,0))&amp;"","DOP"))</f>
        <v/>
      </c>
      <c r="O1054" s="20">
        <f>IF(I1054="","",C1054*IF(N1054="USD",TasaUSD,1))</f>
        <v/>
      </c>
      <c r="P1054" s="20">
        <f>IF(I1054="","",IF(I1054="Gasto",O1054,0))</f>
        <v/>
      </c>
      <c r="Q1054" s="20">
        <f>IF(I1054="","",IF(I1054="Ingreso",O1054,0))</f>
        <v/>
      </c>
      <c r="R1054" s="20">
        <f>IF(I1054="","",IF(I1054="Trading",O1054,0))</f>
        <v/>
      </c>
      <c r="S1054" s="19">
        <f>IF(I1054="","",IF(AND(I1054="Gasto",K1054="Variable",J1054&lt;&gt;"Trading",O1054&gt;0,O1054&lt;=Umbral),1,0))</f>
        <v/>
      </c>
      <c r="T1054" s="20">
        <f>IF(OR(I1054="",E1054=""),"",IF(OR(I1054="Gasto",I1054="Transferencia",I1054="Pago tarjeta"),-1,1)*C1054)</f>
        <v/>
      </c>
      <c r="U1054" s="20">
        <f>IF(OR(G1054="",AND(I1054&lt;&gt;"Transferencia",I1054&lt;&gt;"Pago tarjeta")),"",IF(IFERROR(INDEX(ctaMon,MATCH(G1054,ctaNom,0))&amp;"","DOP")=N1054,C1054,IF(N1054="USD",C1054*TasaUSD,C1054/TasaUSD)))</f>
        <v/>
      </c>
      <c r="V1054" s="20">
        <f>IF(I1054="","",IF(IFERROR(INDEX(ctaLiq,MATCH(E1054,ctaNom,0))="Sí",FALSE),IF(OR(I1054="Gasto",I1054="Transferencia",I1054="Pago tarjeta"),-1,1)*O1054,0)+IF(AND(U1054&lt;&gt;"",IFERROR(INDEX(ctaLiq,MATCH(G1054,ctaNom,0))="Sí",FALSE)),O1054,0))</f>
        <v/>
      </c>
      <c r="W1054" s="19">
        <f>IF(OR(F1054="",I1054=""),"",IF(COUNTIFS(F$6:F1054,F1054,I$6:I1054,"?*")=1,MAX(W$5:W1053)+1,""))</f>
        <v/>
      </c>
    </row>
    <row r="1055">
      <c r="B1055" s="15" t="n"/>
      <c r="C1055" s="16" t="n"/>
      <c r="D1055" s="17" t="n"/>
      <c r="E1055" s="17" t="n"/>
      <c r="F1055" s="17" t="n"/>
      <c r="G1055" s="17" t="n"/>
      <c r="H1055" s="18">
        <f>IF(AND(B1055="",C1055="",D1055="",E1055=""),"",IF(B1055="","⚠ Falta fecha",IF(C1055="","⚠ Falta monto",IF(D1055="","⚠ Falta categoría",IF(ISNA(MATCH(D1055,catNom,0)),"⚠ Categoría no existe",IF(E1055="","⚠ Falta cuenta",IF(ISNA(MATCH(E1055,ctaNom,0)),"⚠ Cuenta no existe",IF(AND(OR(I1055="Transferencia",I1055="Pago tarjeta"),G1055=""),"⚠ Indica la cuenta «Hacia»",IF(AND(G1055&lt;&gt;"",G1055=E1055),"⚠ «Hacia» igual a la cuenta",IF(AND(G1055&lt;&gt;"",ISNA(MATCH(G1055,ctaNom,0))),"⚠ «Hacia» no existe",IF(AND(I1055="Pago tarjeta",IFERROR(INDEX(ctaTipo,MATCH(G1055,ctaNom,0)),"")&lt;&gt;"Tarjeta de crédito"),"⚠ «Hacia» debe ser la tarjeta",IF(AND(I1055="Trading",IFERROR(INDEX(ctaTipo,MATCH(E1055,ctaNom,0)),"")&lt;&gt;"Cuenta de trading"),"⚠ Usa la cuenta de trading","✓"))))))))))))</f>
        <v/>
      </c>
      <c r="I1055" s="19">
        <f>IF(OR(B1055="",C1055="",D1055=""),"",IFERROR(INDEX(catTipo,MATCH(D1055,catNom,0))&amp;"",""))</f>
        <v/>
      </c>
      <c r="J1055" s="19">
        <f>IF(I1055="","",IFERROR(INDEX(catGrupo,MATCH(D1055,catNom,0))&amp;"",""))</f>
        <v/>
      </c>
      <c r="K1055" s="19">
        <f>IF(I1055="Gasto",IF(IFERROR(INDEX(catClas,MATCH(D1055,catNom,0))&amp;"","")="","Variable",IFERROR(INDEX(catClas,MATCH(D1055,catNom,0))&amp;"","")),"")</f>
        <v/>
      </c>
      <c r="L1055" s="19">
        <f>IF(I1055="","",IFERROR(INDEX(catAlim,MATCH(D1055,catNom,0))&amp;"",""))</f>
        <v/>
      </c>
      <c r="M1055" s="19">
        <f>IF(I1055="","",IFERROR(INDEX(catComida,MATCH(D1055,catNom,0))&amp;"",""))</f>
        <v/>
      </c>
      <c r="N1055" s="19">
        <f>IF(I1055="","",IFERROR(INDEX(ctaMon,MATCH(E1055,ctaNom,0))&amp;"","DOP"))</f>
        <v/>
      </c>
      <c r="O1055" s="20">
        <f>IF(I1055="","",C1055*IF(N1055="USD",TasaUSD,1))</f>
        <v/>
      </c>
      <c r="P1055" s="20">
        <f>IF(I1055="","",IF(I1055="Gasto",O1055,0))</f>
        <v/>
      </c>
      <c r="Q1055" s="20">
        <f>IF(I1055="","",IF(I1055="Ingreso",O1055,0))</f>
        <v/>
      </c>
      <c r="R1055" s="20">
        <f>IF(I1055="","",IF(I1055="Trading",O1055,0))</f>
        <v/>
      </c>
      <c r="S1055" s="19">
        <f>IF(I1055="","",IF(AND(I1055="Gasto",K1055="Variable",J1055&lt;&gt;"Trading",O1055&gt;0,O1055&lt;=Umbral),1,0))</f>
        <v/>
      </c>
      <c r="T1055" s="20">
        <f>IF(OR(I1055="",E1055=""),"",IF(OR(I1055="Gasto",I1055="Transferencia",I1055="Pago tarjeta"),-1,1)*C1055)</f>
        <v/>
      </c>
      <c r="U1055" s="20">
        <f>IF(OR(G1055="",AND(I1055&lt;&gt;"Transferencia",I1055&lt;&gt;"Pago tarjeta")),"",IF(IFERROR(INDEX(ctaMon,MATCH(G1055,ctaNom,0))&amp;"","DOP")=N1055,C1055,IF(N1055="USD",C1055*TasaUSD,C1055/TasaUSD)))</f>
        <v/>
      </c>
      <c r="V1055" s="20">
        <f>IF(I1055="","",IF(IFERROR(INDEX(ctaLiq,MATCH(E1055,ctaNom,0))="Sí",FALSE),IF(OR(I1055="Gasto",I1055="Transferencia",I1055="Pago tarjeta"),-1,1)*O1055,0)+IF(AND(U1055&lt;&gt;"",IFERROR(INDEX(ctaLiq,MATCH(G1055,ctaNom,0))="Sí",FALSE)),O1055,0))</f>
        <v/>
      </c>
      <c r="W1055" s="19">
        <f>IF(OR(F1055="",I1055=""),"",IF(COUNTIFS(F$6:F1055,F1055,I$6:I1055,"?*")=1,MAX(W$5:W1054)+1,""))</f>
        <v/>
      </c>
    </row>
    <row r="1056">
      <c r="B1056" s="15" t="n"/>
      <c r="C1056" s="16" t="n"/>
      <c r="D1056" s="17" t="n"/>
      <c r="E1056" s="17" t="n"/>
      <c r="F1056" s="17" t="n"/>
      <c r="G1056" s="17" t="n"/>
      <c r="H1056" s="18">
        <f>IF(AND(B1056="",C1056="",D1056="",E1056=""),"",IF(B1056="","⚠ Falta fecha",IF(C1056="","⚠ Falta monto",IF(D1056="","⚠ Falta categoría",IF(ISNA(MATCH(D1056,catNom,0)),"⚠ Categoría no existe",IF(E1056="","⚠ Falta cuenta",IF(ISNA(MATCH(E1056,ctaNom,0)),"⚠ Cuenta no existe",IF(AND(OR(I1056="Transferencia",I1056="Pago tarjeta"),G1056=""),"⚠ Indica la cuenta «Hacia»",IF(AND(G1056&lt;&gt;"",G1056=E1056),"⚠ «Hacia» igual a la cuenta",IF(AND(G1056&lt;&gt;"",ISNA(MATCH(G1056,ctaNom,0))),"⚠ «Hacia» no existe",IF(AND(I1056="Pago tarjeta",IFERROR(INDEX(ctaTipo,MATCH(G1056,ctaNom,0)),"")&lt;&gt;"Tarjeta de crédito"),"⚠ «Hacia» debe ser la tarjeta",IF(AND(I1056="Trading",IFERROR(INDEX(ctaTipo,MATCH(E1056,ctaNom,0)),"")&lt;&gt;"Cuenta de trading"),"⚠ Usa la cuenta de trading","✓"))))))))))))</f>
        <v/>
      </c>
      <c r="I1056" s="19">
        <f>IF(OR(B1056="",C1056="",D1056=""),"",IFERROR(INDEX(catTipo,MATCH(D1056,catNom,0))&amp;"",""))</f>
        <v/>
      </c>
      <c r="J1056" s="19">
        <f>IF(I1056="","",IFERROR(INDEX(catGrupo,MATCH(D1056,catNom,0))&amp;"",""))</f>
        <v/>
      </c>
      <c r="K1056" s="19">
        <f>IF(I1056="Gasto",IF(IFERROR(INDEX(catClas,MATCH(D1056,catNom,0))&amp;"","")="","Variable",IFERROR(INDEX(catClas,MATCH(D1056,catNom,0))&amp;"","")),"")</f>
        <v/>
      </c>
      <c r="L1056" s="19">
        <f>IF(I1056="","",IFERROR(INDEX(catAlim,MATCH(D1056,catNom,0))&amp;"",""))</f>
        <v/>
      </c>
      <c r="M1056" s="19">
        <f>IF(I1056="","",IFERROR(INDEX(catComida,MATCH(D1056,catNom,0))&amp;"",""))</f>
        <v/>
      </c>
      <c r="N1056" s="19">
        <f>IF(I1056="","",IFERROR(INDEX(ctaMon,MATCH(E1056,ctaNom,0))&amp;"","DOP"))</f>
        <v/>
      </c>
      <c r="O1056" s="20">
        <f>IF(I1056="","",C1056*IF(N1056="USD",TasaUSD,1))</f>
        <v/>
      </c>
      <c r="P1056" s="20">
        <f>IF(I1056="","",IF(I1056="Gasto",O1056,0))</f>
        <v/>
      </c>
      <c r="Q1056" s="20">
        <f>IF(I1056="","",IF(I1056="Ingreso",O1056,0))</f>
        <v/>
      </c>
      <c r="R1056" s="20">
        <f>IF(I1056="","",IF(I1056="Trading",O1056,0))</f>
        <v/>
      </c>
      <c r="S1056" s="19">
        <f>IF(I1056="","",IF(AND(I1056="Gasto",K1056="Variable",J1056&lt;&gt;"Trading",O1056&gt;0,O1056&lt;=Umbral),1,0))</f>
        <v/>
      </c>
      <c r="T1056" s="20">
        <f>IF(OR(I1056="",E1056=""),"",IF(OR(I1056="Gasto",I1056="Transferencia",I1056="Pago tarjeta"),-1,1)*C1056)</f>
        <v/>
      </c>
      <c r="U1056" s="20">
        <f>IF(OR(G1056="",AND(I1056&lt;&gt;"Transferencia",I1056&lt;&gt;"Pago tarjeta")),"",IF(IFERROR(INDEX(ctaMon,MATCH(G1056,ctaNom,0))&amp;"","DOP")=N1056,C1056,IF(N1056="USD",C1056*TasaUSD,C1056/TasaUSD)))</f>
        <v/>
      </c>
      <c r="V1056" s="20">
        <f>IF(I1056="","",IF(IFERROR(INDEX(ctaLiq,MATCH(E1056,ctaNom,0))="Sí",FALSE),IF(OR(I1056="Gasto",I1056="Transferencia",I1056="Pago tarjeta"),-1,1)*O1056,0)+IF(AND(U1056&lt;&gt;"",IFERROR(INDEX(ctaLiq,MATCH(G1056,ctaNom,0))="Sí",FALSE)),O1056,0))</f>
        <v/>
      </c>
      <c r="W1056" s="19">
        <f>IF(OR(F1056="",I1056=""),"",IF(COUNTIFS(F$6:F1056,F1056,I$6:I1056,"?*")=1,MAX(W$5:W1055)+1,""))</f>
        <v/>
      </c>
    </row>
    <row r="1057">
      <c r="B1057" s="15" t="n"/>
      <c r="C1057" s="16" t="n"/>
      <c r="D1057" s="17" t="n"/>
      <c r="E1057" s="17" t="n"/>
      <c r="F1057" s="17" t="n"/>
      <c r="G1057" s="17" t="n"/>
      <c r="H1057" s="18">
        <f>IF(AND(B1057="",C1057="",D1057="",E1057=""),"",IF(B1057="","⚠ Falta fecha",IF(C1057="","⚠ Falta monto",IF(D1057="","⚠ Falta categoría",IF(ISNA(MATCH(D1057,catNom,0)),"⚠ Categoría no existe",IF(E1057="","⚠ Falta cuenta",IF(ISNA(MATCH(E1057,ctaNom,0)),"⚠ Cuenta no existe",IF(AND(OR(I1057="Transferencia",I1057="Pago tarjeta"),G1057=""),"⚠ Indica la cuenta «Hacia»",IF(AND(G1057&lt;&gt;"",G1057=E1057),"⚠ «Hacia» igual a la cuenta",IF(AND(G1057&lt;&gt;"",ISNA(MATCH(G1057,ctaNom,0))),"⚠ «Hacia» no existe",IF(AND(I1057="Pago tarjeta",IFERROR(INDEX(ctaTipo,MATCH(G1057,ctaNom,0)),"")&lt;&gt;"Tarjeta de crédito"),"⚠ «Hacia» debe ser la tarjeta",IF(AND(I1057="Trading",IFERROR(INDEX(ctaTipo,MATCH(E1057,ctaNom,0)),"")&lt;&gt;"Cuenta de trading"),"⚠ Usa la cuenta de trading","✓"))))))))))))</f>
        <v/>
      </c>
      <c r="I1057" s="19">
        <f>IF(OR(B1057="",C1057="",D1057=""),"",IFERROR(INDEX(catTipo,MATCH(D1057,catNom,0))&amp;"",""))</f>
        <v/>
      </c>
      <c r="J1057" s="19">
        <f>IF(I1057="","",IFERROR(INDEX(catGrupo,MATCH(D1057,catNom,0))&amp;"",""))</f>
        <v/>
      </c>
      <c r="K1057" s="19">
        <f>IF(I1057="Gasto",IF(IFERROR(INDEX(catClas,MATCH(D1057,catNom,0))&amp;"","")="","Variable",IFERROR(INDEX(catClas,MATCH(D1057,catNom,0))&amp;"","")),"")</f>
        <v/>
      </c>
      <c r="L1057" s="19">
        <f>IF(I1057="","",IFERROR(INDEX(catAlim,MATCH(D1057,catNom,0))&amp;"",""))</f>
        <v/>
      </c>
      <c r="M1057" s="19">
        <f>IF(I1057="","",IFERROR(INDEX(catComida,MATCH(D1057,catNom,0))&amp;"",""))</f>
        <v/>
      </c>
      <c r="N1057" s="19">
        <f>IF(I1057="","",IFERROR(INDEX(ctaMon,MATCH(E1057,ctaNom,0))&amp;"","DOP"))</f>
        <v/>
      </c>
      <c r="O1057" s="20">
        <f>IF(I1057="","",C1057*IF(N1057="USD",TasaUSD,1))</f>
        <v/>
      </c>
      <c r="P1057" s="20">
        <f>IF(I1057="","",IF(I1057="Gasto",O1057,0))</f>
        <v/>
      </c>
      <c r="Q1057" s="20">
        <f>IF(I1057="","",IF(I1057="Ingreso",O1057,0))</f>
        <v/>
      </c>
      <c r="R1057" s="20">
        <f>IF(I1057="","",IF(I1057="Trading",O1057,0))</f>
        <v/>
      </c>
      <c r="S1057" s="19">
        <f>IF(I1057="","",IF(AND(I1057="Gasto",K1057="Variable",J1057&lt;&gt;"Trading",O1057&gt;0,O1057&lt;=Umbral),1,0))</f>
        <v/>
      </c>
      <c r="T1057" s="20">
        <f>IF(OR(I1057="",E1057=""),"",IF(OR(I1057="Gasto",I1057="Transferencia",I1057="Pago tarjeta"),-1,1)*C1057)</f>
        <v/>
      </c>
      <c r="U1057" s="20">
        <f>IF(OR(G1057="",AND(I1057&lt;&gt;"Transferencia",I1057&lt;&gt;"Pago tarjeta")),"",IF(IFERROR(INDEX(ctaMon,MATCH(G1057,ctaNom,0))&amp;"","DOP")=N1057,C1057,IF(N1057="USD",C1057*TasaUSD,C1057/TasaUSD)))</f>
        <v/>
      </c>
      <c r="V1057" s="20">
        <f>IF(I1057="","",IF(IFERROR(INDEX(ctaLiq,MATCH(E1057,ctaNom,0))="Sí",FALSE),IF(OR(I1057="Gasto",I1057="Transferencia",I1057="Pago tarjeta"),-1,1)*O1057,0)+IF(AND(U1057&lt;&gt;"",IFERROR(INDEX(ctaLiq,MATCH(G1057,ctaNom,0))="Sí",FALSE)),O1057,0))</f>
        <v/>
      </c>
      <c r="W1057" s="19">
        <f>IF(OR(F1057="",I1057=""),"",IF(COUNTIFS(F$6:F1057,F1057,I$6:I1057,"?*")=1,MAX(W$5:W1056)+1,""))</f>
        <v/>
      </c>
    </row>
    <row r="1058">
      <c r="B1058" s="15" t="n"/>
      <c r="C1058" s="16" t="n"/>
      <c r="D1058" s="17" t="n"/>
      <c r="E1058" s="17" t="n"/>
      <c r="F1058" s="17" t="n"/>
      <c r="G1058" s="17" t="n"/>
      <c r="H1058" s="18">
        <f>IF(AND(B1058="",C1058="",D1058="",E1058=""),"",IF(B1058="","⚠ Falta fecha",IF(C1058="","⚠ Falta monto",IF(D1058="","⚠ Falta categoría",IF(ISNA(MATCH(D1058,catNom,0)),"⚠ Categoría no existe",IF(E1058="","⚠ Falta cuenta",IF(ISNA(MATCH(E1058,ctaNom,0)),"⚠ Cuenta no existe",IF(AND(OR(I1058="Transferencia",I1058="Pago tarjeta"),G1058=""),"⚠ Indica la cuenta «Hacia»",IF(AND(G1058&lt;&gt;"",G1058=E1058),"⚠ «Hacia» igual a la cuenta",IF(AND(G1058&lt;&gt;"",ISNA(MATCH(G1058,ctaNom,0))),"⚠ «Hacia» no existe",IF(AND(I1058="Pago tarjeta",IFERROR(INDEX(ctaTipo,MATCH(G1058,ctaNom,0)),"")&lt;&gt;"Tarjeta de crédito"),"⚠ «Hacia» debe ser la tarjeta",IF(AND(I1058="Trading",IFERROR(INDEX(ctaTipo,MATCH(E1058,ctaNom,0)),"")&lt;&gt;"Cuenta de trading"),"⚠ Usa la cuenta de trading","✓"))))))))))))</f>
        <v/>
      </c>
      <c r="I1058" s="19">
        <f>IF(OR(B1058="",C1058="",D1058=""),"",IFERROR(INDEX(catTipo,MATCH(D1058,catNom,0))&amp;"",""))</f>
        <v/>
      </c>
      <c r="J1058" s="19">
        <f>IF(I1058="","",IFERROR(INDEX(catGrupo,MATCH(D1058,catNom,0))&amp;"",""))</f>
        <v/>
      </c>
      <c r="K1058" s="19">
        <f>IF(I1058="Gasto",IF(IFERROR(INDEX(catClas,MATCH(D1058,catNom,0))&amp;"","")="","Variable",IFERROR(INDEX(catClas,MATCH(D1058,catNom,0))&amp;"","")),"")</f>
        <v/>
      </c>
      <c r="L1058" s="19">
        <f>IF(I1058="","",IFERROR(INDEX(catAlim,MATCH(D1058,catNom,0))&amp;"",""))</f>
        <v/>
      </c>
      <c r="M1058" s="19">
        <f>IF(I1058="","",IFERROR(INDEX(catComida,MATCH(D1058,catNom,0))&amp;"",""))</f>
        <v/>
      </c>
      <c r="N1058" s="19">
        <f>IF(I1058="","",IFERROR(INDEX(ctaMon,MATCH(E1058,ctaNom,0))&amp;"","DOP"))</f>
        <v/>
      </c>
      <c r="O1058" s="20">
        <f>IF(I1058="","",C1058*IF(N1058="USD",TasaUSD,1))</f>
        <v/>
      </c>
      <c r="P1058" s="20">
        <f>IF(I1058="","",IF(I1058="Gasto",O1058,0))</f>
        <v/>
      </c>
      <c r="Q1058" s="20">
        <f>IF(I1058="","",IF(I1058="Ingreso",O1058,0))</f>
        <v/>
      </c>
      <c r="R1058" s="20">
        <f>IF(I1058="","",IF(I1058="Trading",O1058,0))</f>
        <v/>
      </c>
      <c r="S1058" s="19">
        <f>IF(I1058="","",IF(AND(I1058="Gasto",K1058="Variable",J1058&lt;&gt;"Trading",O1058&gt;0,O1058&lt;=Umbral),1,0))</f>
        <v/>
      </c>
      <c r="T1058" s="20">
        <f>IF(OR(I1058="",E1058=""),"",IF(OR(I1058="Gasto",I1058="Transferencia",I1058="Pago tarjeta"),-1,1)*C1058)</f>
        <v/>
      </c>
      <c r="U1058" s="20">
        <f>IF(OR(G1058="",AND(I1058&lt;&gt;"Transferencia",I1058&lt;&gt;"Pago tarjeta")),"",IF(IFERROR(INDEX(ctaMon,MATCH(G1058,ctaNom,0))&amp;"","DOP")=N1058,C1058,IF(N1058="USD",C1058*TasaUSD,C1058/TasaUSD)))</f>
        <v/>
      </c>
      <c r="V1058" s="20">
        <f>IF(I1058="","",IF(IFERROR(INDEX(ctaLiq,MATCH(E1058,ctaNom,0))="Sí",FALSE),IF(OR(I1058="Gasto",I1058="Transferencia",I1058="Pago tarjeta"),-1,1)*O1058,0)+IF(AND(U1058&lt;&gt;"",IFERROR(INDEX(ctaLiq,MATCH(G1058,ctaNom,0))="Sí",FALSE)),O1058,0))</f>
        <v/>
      </c>
      <c r="W1058" s="19">
        <f>IF(OR(F1058="",I1058=""),"",IF(COUNTIFS(F$6:F1058,F1058,I$6:I1058,"?*")=1,MAX(W$5:W1057)+1,""))</f>
        <v/>
      </c>
    </row>
    <row r="1059">
      <c r="B1059" s="15" t="n"/>
      <c r="C1059" s="16" t="n"/>
      <c r="D1059" s="17" t="n"/>
      <c r="E1059" s="17" t="n"/>
      <c r="F1059" s="17" t="n"/>
      <c r="G1059" s="17" t="n"/>
      <c r="H1059" s="18">
        <f>IF(AND(B1059="",C1059="",D1059="",E1059=""),"",IF(B1059="","⚠ Falta fecha",IF(C1059="","⚠ Falta monto",IF(D1059="","⚠ Falta categoría",IF(ISNA(MATCH(D1059,catNom,0)),"⚠ Categoría no existe",IF(E1059="","⚠ Falta cuenta",IF(ISNA(MATCH(E1059,ctaNom,0)),"⚠ Cuenta no existe",IF(AND(OR(I1059="Transferencia",I1059="Pago tarjeta"),G1059=""),"⚠ Indica la cuenta «Hacia»",IF(AND(G1059&lt;&gt;"",G1059=E1059),"⚠ «Hacia» igual a la cuenta",IF(AND(G1059&lt;&gt;"",ISNA(MATCH(G1059,ctaNom,0))),"⚠ «Hacia» no existe",IF(AND(I1059="Pago tarjeta",IFERROR(INDEX(ctaTipo,MATCH(G1059,ctaNom,0)),"")&lt;&gt;"Tarjeta de crédito"),"⚠ «Hacia» debe ser la tarjeta",IF(AND(I1059="Trading",IFERROR(INDEX(ctaTipo,MATCH(E1059,ctaNom,0)),"")&lt;&gt;"Cuenta de trading"),"⚠ Usa la cuenta de trading","✓"))))))))))))</f>
        <v/>
      </c>
      <c r="I1059" s="19">
        <f>IF(OR(B1059="",C1059="",D1059=""),"",IFERROR(INDEX(catTipo,MATCH(D1059,catNom,0))&amp;"",""))</f>
        <v/>
      </c>
      <c r="J1059" s="19">
        <f>IF(I1059="","",IFERROR(INDEX(catGrupo,MATCH(D1059,catNom,0))&amp;"",""))</f>
        <v/>
      </c>
      <c r="K1059" s="19">
        <f>IF(I1059="Gasto",IF(IFERROR(INDEX(catClas,MATCH(D1059,catNom,0))&amp;"","")="","Variable",IFERROR(INDEX(catClas,MATCH(D1059,catNom,0))&amp;"","")),"")</f>
        <v/>
      </c>
      <c r="L1059" s="19">
        <f>IF(I1059="","",IFERROR(INDEX(catAlim,MATCH(D1059,catNom,0))&amp;"",""))</f>
        <v/>
      </c>
      <c r="M1059" s="19">
        <f>IF(I1059="","",IFERROR(INDEX(catComida,MATCH(D1059,catNom,0))&amp;"",""))</f>
        <v/>
      </c>
      <c r="N1059" s="19">
        <f>IF(I1059="","",IFERROR(INDEX(ctaMon,MATCH(E1059,ctaNom,0))&amp;"","DOP"))</f>
        <v/>
      </c>
      <c r="O1059" s="20">
        <f>IF(I1059="","",C1059*IF(N1059="USD",TasaUSD,1))</f>
        <v/>
      </c>
      <c r="P1059" s="20">
        <f>IF(I1059="","",IF(I1059="Gasto",O1059,0))</f>
        <v/>
      </c>
      <c r="Q1059" s="20">
        <f>IF(I1059="","",IF(I1059="Ingreso",O1059,0))</f>
        <v/>
      </c>
      <c r="R1059" s="20">
        <f>IF(I1059="","",IF(I1059="Trading",O1059,0))</f>
        <v/>
      </c>
      <c r="S1059" s="19">
        <f>IF(I1059="","",IF(AND(I1059="Gasto",K1059="Variable",J1059&lt;&gt;"Trading",O1059&gt;0,O1059&lt;=Umbral),1,0))</f>
        <v/>
      </c>
      <c r="T1059" s="20">
        <f>IF(OR(I1059="",E1059=""),"",IF(OR(I1059="Gasto",I1059="Transferencia",I1059="Pago tarjeta"),-1,1)*C1059)</f>
        <v/>
      </c>
      <c r="U1059" s="20">
        <f>IF(OR(G1059="",AND(I1059&lt;&gt;"Transferencia",I1059&lt;&gt;"Pago tarjeta")),"",IF(IFERROR(INDEX(ctaMon,MATCH(G1059,ctaNom,0))&amp;"","DOP")=N1059,C1059,IF(N1059="USD",C1059*TasaUSD,C1059/TasaUSD)))</f>
        <v/>
      </c>
      <c r="V1059" s="20">
        <f>IF(I1059="","",IF(IFERROR(INDEX(ctaLiq,MATCH(E1059,ctaNom,0))="Sí",FALSE),IF(OR(I1059="Gasto",I1059="Transferencia",I1059="Pago tarjeta"),-1,1)*O1059,0)+IF(AND(U1059&lt;&gt;"",IFERROR(INDEX(ctaLiq,MATCH(G1059,ctaNom,0))="Sí",FALSE)),O1059,0))</f>
        <v/>
      </c>
      <c r="W1059" s="19">
        <f>IF(OR(F1059="",I1059=""),"",IF(COUNTIFS(F$6:F1059,F1059,I$6:I1059,"?*")=1,MAX(W$5:W1058)+1,""))</f>
        <v/>
      </c>
    </row>
    <row r="1060">
      <c r="B1060" s="15" t="n"/>
      <c r="C1060" s="16" t="n"/>
      <c r="D1060" s="17" t="n"/>
      <c r="E1060" s="17" t="n"/>
      <c r="F1060" s="17" t="n"/>
      <c r="G1060" s="17" t="n"/>
      <c r="H1060" s="18">
        <f>IF(AND(B1060="",C1060="",D1060="",E1060=""),"",IF(B1060="","⚠ Falta fecha",IF(C1060="","⚠ Falta monto",IF(D1060="","⚠ Falta categoría",IF(ISNA(MATCH(D1060,catNom,0)),"⚠ Categoría no existe",IF(E1060="","⚠ Falta cuenta",IF(ISNA(MATCH(E1060,ctaNom,0)),"⚠ Cuenta no existe",IF(AND(OR(I1060="Transferencia",I1060="Pago tarjeta"),G1060=""),"⚠ Indica la cuenta «Hacia»",IF(AND(G1060&lt;&gt;"",G1060=E1060),"⚠ «Hacia» igual a la cuenta",IF(AND(G1060&lt;&gt;"",ISNA(MATCH(G1060,ctaNom,0))),"⚠ «Hacia» no existe",IF(AND(I1060="Pago tarjeta",IFERROR(INDEX(ctaTipo,MATCH(G1060,ctaNom,0)),"")&lt;&gt;"Tarjeta de crédito"),"⚠ «Hacia» debe ser la tarjeta",IF(AND(I1060="Trading",IFERROR(INDEX(ctaTipo,MATCH(E1060,ctaNom,0)),"")&lt;&gt;"Cuenta de trading"),"⚠ Usa la cuenta de trading","✓"))))))))))))</f>
        <v/>
      </c>
      <c r="I1060" s="19">
        <f>IF(OR(B1060="",C1060="",D1060=""),"",IFERROR(INDEX(catTipo,MATCH(D1060,catNom,0))&amp;"",""))</f>
        <v/>
      </c>
      <c r="J1060" s="19">
        <f>IF(I1060="","",IFERROR(INDEX(catGrupo,MATCH(D1060,catNom,0))&amp;"",""))</f>
        <v/>
      </c>
      <c r="K1060" s="19">
        <f>IF(I1060="Gasto",IF(IFERROR(INDEX(catClas,MATCH(D1060,catNom,0))&amp;"","")="","Variable",IFERROR(INDEX(catClas,MATCH(D1060,catNom,0))&amp;"","")),"")</f>
        <v/>
      </c>
      <c r="L1060" s="19">
        <f>IF(I1060="","",IFERROR(INDEX(catAlim,MATCH(D1060,catNom,0))&amp;"",""))</f>
        <v/>
      </c>
      <c r="M1060" s="19">
        <f>IF(I1060="","",IFERROR(INDEX(catComida,MATCH(D1060,catNom,0))&amp;"",""))</f>
        <v/>
      </c>
      <c r="N1060" s="19">
        <f>IF(I1060="","",IFERROR(INDEX(ctaMon,MATCH(E1060,ctaNom,0))&amp;"","DOP"))</f>
        <v/>
      </c>
      <c r="O1060" s="20">
        <f>IF(I1060="","",C1060*IF(N1060="USD",TasaUSD,1))</f>
        <v/>
      </c>
      <c r="P1060" s="20">
        <f>IF(I1060="","",IF(I1060="Gasto",O1060,0))</f>
        <v/>
      </c>
      <c r="Q1060" s="20">
        <f>IF(I1060="","",IF(I1060="Ingreso",O1060,0))</f>
        <v/>
      </c>
      <c r="R1060" s="20">
        <f>IF(I1060="","",IF(I1060="Trading",O1060,0))</f>
        <v/>
      </c>
      <c r="S1060" s="19">
        <f>IF(I1060="","",IF(AND(I1060="Gasto",K1060="Variable",J1060&lt;&gt;"Trading",O1060&gt;0,O1060&lt;=Umbral),1,0))</f>
        <v/>
      </c>
      <c r="T1060" s="20">
        <f>IF(OR(I1060="",E1060=""),"",IF(OR(I1060="Gasto",I1060="Transferencia",I1060="Pago tarjeta"),-1,1)*C1060)</f>
        <v/>
      </c>
      <c r="U1060" s="20">
        <f>IF(OR(G1060="",AND(I1060&lt;&gt;"Transferencia",I1060&lt;&gt;"Pago tarjeta")),"",IF(IFERROR(INDEX(ctaMon,MATCH(G1060,ctaNom,0))&amp;"","DOP")=N1060,C1060,IF(N1060="USD",C1060*TasaUSD,C1060/TasaUSD)))</f>
        <v/>
      </c>
      <c r="V1060" s="20">
        <f>IF(I1060="","",IF(IFERROR(INDEX(ctaLiq,MATCH(E1060,ctaNom,0))="Sí",FALSE),IF(OR(I1060="Gasto",I1060="Transferencia",I1060="Pago tarjeta"),-1,1)*O1060,0)+IF(AND(U1060&lt;&gt;"",IFERROR(INDEX(ctaLiq,MATCH(G1060,ctaNom,0))="Sí",FALSE)),O1060,0))</f>
        <v/>
      </c>
      <c r="W1060" s="19">
        <f>IF(OR(F1060="",I1060=""),"",IF(COUNTIFS(F$6:F1060,F1060,I$6:I1060,"?*")=1,MAX(W$5:W1059)+1,""))</f>
        <v/>
      </c>
    </row>
    <row r="1061">
      <c r="B1061" s="15" t="n"/>
      <c r="C1061" s="16" t="n"/>
      <c r="D1061" s="17" t="n"/>
      <c r="E1061" s="17" t="n"/>
      <c r="F1061" s="17" t="n"/>
      <c r="G1061" s="17" t="n"/>
      <c r="H1061" s="18">
        <f>IF(AND(B1061="",C1061="",D1061="",E1061=""),"",IF(B1061="","⚠ Falta fecha",IF(C1061="","⚠ Falta monto",IF(D1061="","⚠ Falta categoría",IF(ISNA(MATCH(D1061,catNom,0)),"⚠ Categoría no existe",IF(E1061="","⚠ Falta cuenta",IF(ISNA(MATCH(E1061,ctaNom,0)),"⚠ Cuenta no existe",IF(AND(OR(I1061="Transferencia",I1061="Pago tarjeta"),G1061=""),"⚠ Indica la cuenta «Hacia»",IF(AND(G1061&lt;&gt;"",G1061=E1061),"⚠ «Hacia» igual a la cuenta",IF(AND(G1061&lt;&gt;"",ISNA(MATCH(G1061,ctaNom,0))),"⚠ «Hacia» no existe",IF(AND(I1061="Pago tarjeta",IFERROR(INDEX(ctaTipo,MATCH(G1061,ctaNom,0)),"")&lt;&gt;"Tarjeta de crédito"),"⚠ «Hacia» debe ser la tarjeta",IF(AND(I1061="Trading",IFERROR(INDEX(ctaTipo,MATCH(E1061,ctaNom,0)),"")&lt;&gt;"Cuenta de trading"),"⚠ Usa la cuenta de trading","✓"))))))))))))</f>
        <v/>
      </c>
      <c r="I1061" s="19">
        <f>IF(OR(B1061="",C1061="",D1061=""),"",IFERROR(INDEX(catTipo,MATCH(D1061,catNom,0))&amp;"",""))</f>
        <v/>
      </c>
      <c r="J1061" s="19">
        <f>IF(I1061="","",IFERROR(INDEX(catGrupo,MATCH(D1061,catNom,0))&amp;"",""))</f>
        <v/>
      </c>
      <c r="K1061" s="19">
        <f>IF(I1061="Gasto",IF(IFERROR(INDEX(catClas,MATCH(D1061,catNom,0))&amp;"","")="","Variable",IFERROR(INDEX(catClas,MATCH(D1061,catNom,0))&amp;"","")),"")</f>
        <v/>
      </c>
      <c r="L1061" s="19">
        <f>IF(I1061="","",IFERROR(INDEX(catAlim,MATCH(D1061,catNom,0))&amp;"",""))</f>
        <v/>
      </c>
      <c r="M1061" s="19">
        <f>IF(I1061="","",IFERROR(INDEX(catComida,MATCH(D1061,catNom,0))&amp;"",""))</f>
        <v/>
      </c>
      <c r="N1061" s="19">
        <f>IF(I1061="","",IFERROR(INDEX(ctaMon,MATCH(E1061,ctaNom,0))&amp;"","DOP"))</f>
        <v/>
      </c>
      <c r="O1061" s="20">
        <f>IF(I1061="","",C1061*IF(N1061="USD",TasaUSD,1))</f>
        <v/>
      </c>
      <c r="P1061" s="20">
        <f>IF(I1061="","",IF(I1061="Gasto",O1061,0))</f>
        <v/>
      </c>
      <c r="Q1061" s="20">
        <f>IF(I1061="","",IF(I1061="Ingreso",O1061,0))</f>
        <v/>
      </c>
      <c r="R1061" s="20">
        <f>IF(I1061="","",IF(I1061="Trading",O1061,0))</f>
        <v/>
      </c>
      <c r="S1061" s="19">
        <f>IF(I1061="","",IF(AND(I1061="Gasto",K1061="Variable",J1061&lt;&gt;"Trading",O1061&gt;0,O1061&lt;=Umbral),1,0))</f>
        <v/>
      </c>
      <c r="T1061" s="20">
        <f>IF(OR(I1061="",E1061=""),"",IF(OR(I1061="Gasto",I1061="Transferencia",I1061="Pago tarjeta"),-1,1)*C1061)</f>
        <v/>
      </c>
      <c r="U1061" s="20">
        <f>IF(OR(G1061="",AND(I1061&lt;&gt;"Transferencia",I1061&lt;&gt;"Pago tarjeta")),"",IF(IFERROR(INDEX(ctaMon,MATCH(G1061,ctaNom,0))&amp;"","DOP")=N1061,C1061,IF(N1061="USD",C1061*TasaUSD,C1061/TasaUSD)))</f>
        <v/>
      </c>
      <c r="V1061" s="20">
        <f>IF(I1061="","",IF(IFERROR(INDEX(ctaLiq,MATCH(E1061,ctaNom,0))="Sí",FALSE),IF(OR(I1061="Gasto",I1061="Transferencia",I1061="Pago tarjeta"),-1,1)*O1061,0)+IF(AND(U1061&lt;&gt;"",IFERROR(INDEX(ctaLiq,MATCH(G1061,ctaNom,0))="Sí",FALSE)),O1061,0))</f>
        <v/>
      </c>
      <c r="W1061" s="19">
        <f>IF(OR(F1061="",I1061=""),"",IF(COUNTIFS(F$6:F1061,F1061,I$6:I1061,"?*")=1,MAX(W$5:W1060)+1,""))</f>
        <v/>
      </c>
    </row>
    <row r="1062">
      <c r="B1062" s="15" t="n"/>
      <c r="C1062" s="16" t="n"/>
      <c r="D1062" s="17" t="n"/>
      <c r="E1062" s="17" t="n"/>
      <c r="F1062" s="17" t="n"/>
      <c r="G1062" s="17" t="n"/>
      <c r="H1062" s="18">
        <f>IF(AND(B1062="",C1062="",D1062="",E1062=""),"",IF(B1062="","⚠ Falta fecha",IF(C1062="","⚠ Falta monto",IF(D1062="","⚠ Falta categoría",IF(ISNA(MATCH(D1062,catNom,0)),"⚠ Categoría no existe",IF(E1062="","⚠ Falta cuenta",IF(ISNA(MATCH(E1062,ctaNom,0)),"⚠ Cuenta no existe",IF(AND(OR(I1062="Transferencia",I1062="Pago tarjeta"),G1062=""),"⚠ Indica la cuenta «Hacia»",IF(AND(G1062&lt;&gt;"",G1062=E1062),"⚠ «Hacia» igual a la cuenta",IF(AND(G1062&lt;&gt;"",ISNA(MATCH(G1062,ctaNom,0))),"⚠ «Hacia» no existe",IF(AND(I1062="Pago tarjeta",IFERROR(INDEX(ctaTipo,MATCH(G1062,ctaNom,0)),"")&lt;&gt;"Tarjeta de crédito"),"⚠ «Hacia» debe ser la tarjeta",IF(AND(I1062="Trading",IFERROR(INDEX(ctaTipo,MATCH(E1062,ctaNom,0)),"")&lt;&gt;"Cuenta de trading"),"⚠ Usa la cuenta de trading","✓"))))))))))))</f>
        <v/>
      </c>
      <c r="I1062" s="19">
        <f>IF(OR(B1062="",C1062="",D1062=""),"",IFERROR(INDEX(catTipo,MATCH(D1062,catNom,0))&amp;"",""))</f>
        <v/>
      </c>
      <c r="J1062" s="19">
        <f>IF(I1062="","",IFERROR(INDEX(catGrupo,MATCH(D1062,catNom,0))&amp;"",""))</f>
        <v/>
      </c>
      <c r="K1062" s="19">
        <f>IF(I1062="Gasto",IF(IFERROR(INDEX(catClas,MATCH(D1062,catNom,0))&amp;"","")="","Variable",IFERROR(INDEX(catClas,MATCH(D1062,catNom,0))&amp;"","")),"")</f>
        <v/>
      </c>
      <c r="L1062" s="19">
        <f>IF(I1062="","",IFERROR(INDEX(catAlim,MATCH(D1062,catNom,0))&amp;"",""))</f>
        <v/>
      </c>
      <c r="M1062" s="19">
        <f>IF(I1062="","",IFERROR(INDEX(catComida,MATCH(D1062,catNom,0))&amp;"",""))</f>
        <v/>
      </c>
      <c r="N1062" s="19">
        <f>IF(I1062="","",IFERROR(INDEX(ctaMon,MATCH(E1062,ctaNom,0))&amp;"","DOP"))</f>
        <v/>
      </c>
      <c r="O1062" s="20">
        <f>IF(I1062="","",C1062*IF(N1062="USD",TasaUSD,1))</f>
        <v/>
      </c>
      <c r="P1062" s="20">
        <f>IF(I1062="","",IF(I1062="Gasto",O1062,0))</f>
        <v/>
      </c>
      <c r="Q1062" s="20">
        <f>IF(I1062="","",IF(I1062="Ingreso",O1062,0))</f>
        <v/>
      </c>
      <c r="R1062" s="20">
        <f>IF(I1062="","",IF(I1062="Trading",O1062,0))</f>
        <v/>
      </c>
      <c r="S1062" s="19">
        <f>IF(I1062="","",IF(AND(I1062="Gasto",K1062="Variable",J1062&lt;&gt;"Trading",O1062&gt;0,O1062&lt;=Umbral),1,0))</f>
        <v/>
      </c>
      <c r="T1062" s="20">
        <f>IF(OR(I1062="",E1062=""),"",IF(OR(I1062="Gasto",I1062="Transferencia",I1062="Pago tarjeta"),-1,1)*C1062)</f>
        <v/>
      </c>
      <c r="U1062" s="20">
        <f>IF(OR(G1062="",AND(I1062&lt;&gt;"Transferencia",I1062&lt;&gt;"Pago tarjeta")),"",IF(IFERROR(INDEX(ctaMon,MATCH(G1062,ctaNom,0))&amp;"","DOP")=N1062,C1062,IF(N1062="USD",C1062*TasaUSD,C1062/TasaUSD)))</f>
        <v/>
      </c>
      <c r="V1062" s="20">
        <f>IF(I1062="","",IF(IFERROR(INDEX(ctaLiq,MATCH(E1062,ctaNom,0))="Sí",FALSE),IF(OR(I1062="Gasto",I1062="Transferencia",I1062="Pago tarjeta"),-1,1)*O1062,0)+IF(AND(U1062&lt;&gt;"",IFERROR(INDEX(ctaLiq,MATCH(G1062,ctaNom,0))="Sí",FALSE)),O1062,0))</f>
        <v/>
      </c>
      <c r="W1062" s="19">
        <f>IF(OR(F1062="",I1062=""),"",IF(COUNTIFS(F$6:F1062,F1062,I$6:I1062,"?*")=1,MAX(W$5:W1061)+1,""))</f>
        <v/>
      </c>
    </row>
    <row r="1063">
      <c r="B1063" s="15" t="n"/>
      <c r="C1063" s="16" t="n"/>
      <c r="D1063" s="17" t="n"/>
      <c r="E1063" s="17" t="n"/>
      <c r="F1063" s="17" t="n"/>
      <c r="G1063" s="17" t="n"/>
      <c r="H1063" s="18">
        <f>IF(AND(B1063="",C1063="",D1063="",E1063=""),"",IF(B1063="","⚠ Falta fecha",IF(C1063="","⚠ Falta monto",IF(D1063="","⚠ Falta categoría",IF(ISNA(MATCH(D1063,catNom,0)),"⚠ Categoría no existe",IF(E1063="","⚠ Falta cuenta",IF(ISNA(MATCH(E1063,ctaNom,0)),"⚠ Cuenta no existe",IF(AND(OR(I1063="Transferencia",I1063="Pago tarjeta"),G1063=""),"⚠ Indica la cuenta «Hacia»",IF(AND(G1063&lt;&gt;"",G1063=E1063),"⚠ «Hacia» igual a la cuenta",IF(AND(G1063&lt;&gt;"",ISNA(MATCH(G1063,ctaNom,0))),"⚠ «Hacia» no existe",IF(AND(I1063="Pago tarjeta",IFERROR(INDEX(ctaTipo,MATCH(G1063,ctaNom,0)),"")&lt;&gt;"Tarjeta de crédito"),"⚠ «Hacia» debe ser la tarjeta",IF(AND(I1063="Trading",IFERROR(INDEX(ctaTipo,MATCH(E1063,ctaNom,0)),"")&lt;&gt;"Cuenta de trading"),"⚠ Usa la cuenta de trading","✓"))))))))))))</f>
        <v/>
      </c>
      <c r="I1063" s="19">
        <f>IF(OR(B1063="",C1063="",D1063=""),"",IFERROR(INDEX(catTipo,MATCH(D1063,catNom,0))&amp;"",""))</f>
        <v/>
      </c>
      <c r="J1063" s="19">
        <f>IF(I1063="","",IFERROR(INDEX(catGrupo,MATCH(D1063,catNom,0))&amp;"",""))</f>
        <v/>
      </c>
      <c r="K1063" s="19">
        <f>IF(I1063="Gasto",IF(IFERROR(INDEX(catClas,MATCH(D1063,catNom,0))&amp;"","")="","Variable",IFERROR(INDEX(catClas,MATCH(D1063,catNom,0))&amp;"","")),"")</f>
        <v/>
      </c>
      <c r="L1063" s="19">
        <f>IF(I1063="","",IFERROR(INDEX(catAlim,MATCH(D1063,catNom,0))&amp;"",""))</f>
        <v/>
      </c>
      <c r="M1063" s="19">
        <f>IF(I1063="","",IFERROR(INDEX(catComida,MATCH(D1063,catNom,0))&amp;"",""))</f>
        <v/>
      </c>
      <c r="N1063" s="19">
        <f>IF(I1063="","",IFERROR(INDEX(ctaMon,MATCH(E1063,ctaNom,0))&amp;"","DOP"))</f>
        <v/>
      </c>
      <c r="O1063" s="20">
        <f>IF(I1063="","",C1063*IF(N1063="USD",TasaUSD,1))</f>
        <v/>
      </c>
      <c r="P1063" s="20">
        <f>IF(I1063="","",IF(I1063="Gasto",O1063,0))</f>
        <v/>
      </c>
      <c r="Q1063" s="20">
        <f>IF(I1063="","",IF(I1063="Ingreso",O1063,0))</f>
        <v/>
      </c>
      <c r="R1063" s="20">
        <f>IF(I1063="","",IF(I1063="Trading",O1063,0))</f>
        <v/>
      </c>
      <c r="S1063" s="19">
        <f>IF(I1063="","",IF(AND(I1063="Gasto",K1063="Variable",J1063&lt;&gt;"Trading",O1063&gt;0,O1063&lt;=Umbral),1,0))</f>
        <v/>
      </c>
      <c r="T1063" s="20">
        <f>IF(OR(I1063="",E1063=""),"",IF(OR(I1063="Gasto",I1063="Transferencia",I1063="Pago tarjeta"),-1,1)*C1063)</f>
        <v/>
      </c>
      <c r="U1063" s="20">
        <f>IF(OR(G1063="",AND(I1063&lt;&gt;"Transferencia",I1063&lt;&gt;"Pago tarjeta")),"",IF(IFERROR(INDEX(ctaMon,MATCH(G1063,ctaNom,0))&amp;"","DOP")=N1063,C1063,IF(N1063="USD",C1063*TasaUSD,C1063/TasaUSD)))</f>
        <v/>
      </c>
      <c r="V1063" s="20">
        <f>IF(I1063="","",IF(IFERROR(INDEX(ctaLiq,MATCH(E1063,ctaNom,0))="Sí",FALSE),IF(OR(I1063="Gasto",I1063="Transferencia",I1063="Pago tarjeta"),-1,1)*O1063,0)+IF(AND(U1063&lt;&gt;"",IFERROR(INDEX(ctaLiq,MATCH(G1063,ctaNom,0))="Sí",FALSE)),O1063,0))</f>
        <v/>
      </c>
      <c r="W1063" s="19">
        <f>IF(OR(F1063="",I1063=""),"",IF(COUNTIFS(F$6:F1063,F1063,I$6:I1063,"?*")=1,MAX(W$5:W1062)+1,""))</f>
        <v/>
      </c>
    </row>
    <row r="1064">
      <c r="B1064" s="15" t="n"/>
      <c r="C1064" s="16" t="n"/>
      <c r="D1064" s="17" t="n"/>
      <c r="E1064" s="17" t="n"/>
      <c r="F1064" s="17" t="n"/>
      <c r="G1064" s="17" t="n"/>
      <c r="H1064" s="18">
        <f>IF(AND(B1064="",C1064="",D1064="",E1064=""),"",IF(B1064="","⚠ Falta fecha",IF(C1064="","⚠ Falta monto",IF(D1064="","⚠ Falta categoría",IF(ISNA(MATCH(D1064,catNom,0)),"⚠ Categoría no existe",IF(E1064="","⚠ Falta cuenta",IF(ISNA(MATCH(E1064,ctaNom,0)),"⚠ Cuenta no existe",IF(AND(OR(I1064="Transferencia",I1064="Pago tarjeta"),G1064=""),"⚠ Indica la cuenta «Hacia»",IF(AND(G1064&lt;&gt;"",G1064=E1064),"⚠ «Hacia» igual a la cuenta",IF(AND(G1064&lt;&gt;"",ISNA(MATCH(G1064,ctaNom,0))),"⚠ «Hacia» no existe",IF(AND(I1064="Pago tarjeta",IFERROR(INDEX(ctaTipo,MATCH(G1064,ctaNom,0)),"")&lt;&gt;"Tarjeta de crédito"),"⚠ «Hacia» debe ser la tarjeta",IF(AND(I1064="Trading",IFERROR(INDEX(ctaTipo,MATCH(E1064,ctaNom,0)),"")&lt;&gt;"Cuenta de trading"),"⚠ Usa la cuenta de trading","✓"))))))))))))</f>
        <v/>
      </c>
      <c r="I1064" s="19">
        <f>IF(OR(B1064="",C1064="",D1064=""),"",IFERROR(INDEX(catTipo,MATCH(D1064,catNom,0))&amp;"",""))</f>
        <v/>
      </c>
      <c r="J1064" s="19">
        <f>IF(I1064="","",IFERROR(INDEX(catGrupo,MATCH(D1064,catNom,0))&amp;"",""))</f>
        <v/>
      </c>
      <c r="K1064" s="19">
        <f>IF(I1064="Gasto",IF(IFERROR(INDEX(catClas,MATCH(D1064,catNom,0))&amp;"","")="","Variable",IFERROR(INDEX(catClas,MATCH(D1064,catNom,0))&amp;"","")),"")</f>
        <v/>
      </c>
      <c r="L1064" s="19">
        <f>IF(I1064="","",IFERROR(INDEX(catAlim,MATCH(D1064,catNom,0))&amp;"",""))</f>
        <v/>
      </c>
      <c r="M1064" s="19">
        <f>IF(I1064="","",IFERROR(INDEX(catComida,MATCH(D1064,catNom,0))&amp;"",""))</f>
        <v/>
      </c>
      <c r="N1064" s="19">
        <f>IF(I1064="","",IFERROR(INDEX(ctaMon,MATCH(E1064,ctaNom,0))&amp;"","DOP"))</f>
        <v/>
      </c>
      <c r="O1064" s="20">
        <f>IF(I1064="","",C1064*IF(N1064="USD",TasaUSD,1))</f>
        <v/>
      </c>
      <c r="P1064" s="20">
        <f>IF(I1064="","",IF(I1064="Gasto",O1064,0))</f>
        <v/>
      </c>
      <c r="Q1064" s="20">
        <f>IF(I1064="","",IF(I1064="Ingreso",O1064,0))</f>
        <v/>
      </c>
      <c r="R1064" s="20">
        <f>IF(I1064="","",IF(I1064="Trading",O1064,0))</f>
        <v/>
      </c>
      <c r="S1064" s="19">
        <f>IF(I1064="","",IF(AND(I1064="Gasto",K1064="Variable",J1064&lt;&gt;"Trading",O1064&gt;0,O1064&lt;=Umbral),1,0))</f>
        <v/>
      </c>
      <c r="T1064" s="20">
        <f>IF(OR(I1064="",E1064=""),"",IF(OR(I1064="Gasto",I1064="Transferencia",I1064="Pago tarjeta"),-1,1)*C1064)</f>
        <v/>
      </c>
      <c r="U1064" s="20">
        <f>IF(OR(G1064="",AND(I1064&lt;&gt;"Transferencia",I1064&lt;&gt;"Pago tarjeta")),"",IF(IFERROR(INDEX(ctaMon,MATCH(G1064,ctaNom,0))&amp;"","DOP")=N1064,C1064,IF(N1064="USD",C1064*TasaUSD,C1064/TasaUSD)))</f>
        <v/>
      </c>
      <c r="V1064" s="20">
        <f>IF(I1064="","",IF(IFERROR(INDEX(ctaLiq,MATCH(E1064,ctaNom,0))="Sí",FALSE),IF(OR(I1064="Gasto",I1064="Transferencia",I1064="Pago tarjeta"),-1,1)*O1064,0)+IF(AND(U1064&lt;&gt;"",IFERROR(INDEX(ctaLiq,MATCH(G1064,ctaNom,0))="Sí",FALSE)),O1064,0))</f>
        <v/>
      </c>
      <c r="W1064" s="19">
        <f>IF(OR(F1064="",I1064=""),"",IF(COUNTIFS(F$6:F1064,F1064,I$6:I1064,"?*")=1,MAX(W$5:W1063)+1,""))</f>
        <v/>
      </c>
    </row>
    <row r="1065">
      <c r="B1065" s="15" t="n"/>
      <c r="C1065" s="16" t="n"/>
      <c r="D1065" s="17" t="n"/>
      <c r="E1065" s="17" t="n"/>
      <c r="F1065" s="17" t="n"/>
      <c r="G1065" s="17" t="n"/>
      <c r="H1065" s="18">
        <f>IF(AND(B1065="",C1065="",D1065="",E1065=""),"",IF(B1065="","⚠ Falta fecha",IF(C1065="","⚠ Falta monto",IF(D1065="","⚠ Falta categoría",IF(ISNA(MATCH(D1065,catNom,0)),"⚠ Categoría no existe",IF(E1065="","⚠ Falta cuenta",IF(ISNA(MATCH(E1065,ctaNom,0)),"⚠ Cuenta no existe",IF(AND(OR(I1065="Transferencia",I1065="Pago tarjeta"),G1065=""),"⚠ Indica la cuenta «Hacia»",IF(AND(G1065&lt;&gt;"",G1065=E1065),"⚠ «Hacia» igual a la cuenta",IF(AND(G1065&lt;&gt;"",ISNA(MATCH(G1065,ctaNom,0))),"⚠ «Hacia» no existe",IF(AND(I1065="Pago tarjeta",IFERROR(INDEX(ctaTipo,MATCH(G1065,ctaNom,0)),"")&lt;&gt;"Tarjeta de crédito"),"⚠ «Hacia» debe ser la tarjeta",IF(AND(I1065="Trading",IFERROR(INDEX(ctaTipo,MATCH(E1065,ctaNom,0)),"")&lt;&gt;"Cuenta de trading"),"⚠ Usa la cuenta de trading","✓"))))))))))))</f>
        <v/>
      </c>
      <c r="I1065" s="19">
        <f>IF(OR(B1065="",C1065="",D1065=""),"",IFERROR(INDEX(catTipo,MATCH(D1065,catNom,0))&amp;"",""))</f>
        <v/>
      </c>
      <c r="J1065" s="19">
        <f>IF(I1065="","",IFERROR(INDEX(catGrupo,MATCH(D1065,catNom,0))&amp;"",""))</f>
        <v/>
      </c>
      <c r="K1065" s="19">
        <f>IF(I1065="Gasto",IF(IFERROR(INDEX(catClas,MATCH(D1065,catNom,0))&amp;"","")="","Variable",IFERROR(INDEX(catClas,MATCH(D1065,catNom,0))&amp;"","")),"")</f>
        <v/>
      </c>
      <c r="L1065" s="19">
        <f>IF(I1065="","",IFERROR(INDEX(catAlim,MATCH(D1065,catNom,0))&amp;"",""))</f>
        <v/>
      </c>
      <c r="M1065" s="19">
        <f>IF(I1065="","",IFERROR(INDEX(catComida,MATCH(D1065,catNom,0))&amp;"",""))</f>
        <v/>
      </c>
      <c r="N1065" s="19">
        <f>IF(I1065="","",IFERROR(INDEX(ctaMon,MATCH(E1065,ctaNom,0))&amp;"","DOP"))</f>
        <v/>
      </c>
      <c r="O1065" s="20">
        <f>IF(I1065="","",C1065*IF(N1065="USD",TasaUSD,1))</f>
        <v/>
      </c>
      <c r="P1065" s="20">
        <f>IF(I1065="","",IF(I1065="Gasto",O1065,0))</f>
        <v/>
      </c>
      <c r="Q1065" s="20">
        <f>IF(I1065="","",IF(I1065="Ingreso",O1065,0))</f>
        <v/>
      </c>
      <c r="R1065" s="20">
        <f>IF(I1065="","",IF(I1065="Trading",O1065,0))</f>
        <v/>
      </c>
      <c r="S1065" s="19">
        <f>IF(I1065="","",IF(AND(I1065="Gasto",K1065="Variable",J1065&lt;&gt;"Trading",O1065&gt;0,O1065&lt;=Umbral),1,0))</f>
        <v/>
      </c>
      <c r="T1065" s="20">
        <f>IF(OR(I1065="",E1065=""),"",IF(OR(I1065="Gasto",I1065="Transferencia",I1065="Pago tarjeta"),-1,1)*C1065)</f>
        <v/>
      </c>
      <c r="U1065" s="20">
        <f>IF(OR(G1065="",AND(I1065&lt;&gt;"Transferencia",I1065&lt;&gt;"Pago tarjeta")),"",IF(IFERROR(INDEX(ctaMon,MATCH(G1065,ctaNom,0))&amp;"","DOP")=N1065,C1065,IF(N1065="USD",C1065*TasaUSD,C1065/TasaUSD)))</f>
        <v/>
      </c>
      <c r="V1065" s="20">
        <f>IF(I1065="","",IF(IFERROR(INDEX(ctaLiq,MATCH(E1065,ctaNom,0))="Sí",FALSE),IF(OR(I1065="Gasto",I1065="Transferencia",I1065="Pago tarjeta"),-1,1)*O1065,0)+IF(AND(U1065&lt;&gt;"",IFERROR(INDEX(ctaLiq,MATCH(G1065,ctaNom,0))="Sí",FALSE)),O1065,0))</f>
        <v/>
      </c>
      <c r="W1065" s="19">
        <f>IF(OR(F1065="",I1065=""),"",IF(COUNTIFS(F$6:F1065,F1065,I$6:I1065,"?*")=1,MAX(W$5:W1064)+1,""))</f>
        <v/>
      </c>
    </row>
    <row r="1066">
      <c r="B1066" s="15" t="n"/>
      <c r="C1066" s="16" t="n"/>
      <c r="D1066" s="17" t="n"/>
      <c r="E1066" s="17" t="n"/>
      <c r="F1066" s="17" t="n"/>
      <c r="G1066" s="17" t="n"/>
      <c r="H1066" s="18">
        <f>IF(AND(B1066="",C1066="",D1066="",E1066=""),"",IF(B1066="","⚠ Falta fecha",IF(C1066="","⚠ Falta monto",IF(D1066="","⚠ Falta categoría",IF(ISNA(MATCH(D1066,catNom,0)),"⚠ Categoría no existe",IF(E1066="","⚠ Falta cuenta",IF(ISNA(MATCH(E1066,ctaNom,0)),"⚠ Cuenta no existe",IF(AND(OR(I1066="Transferencia",I1066="Pago tarjeta"),G1066=""),"⚠ Indica la cuenta «Hacia»",IF(AND(G1066&lt;&gt;"",G1066=E1066),"⚠ «Hacia» igual a la cuenta",IF(AND(G1066&lt;&gt;"",ISNA(MATCH(G1066,ctaNom,0))),"⚠ «Hacia» no existe",IF(AND(I1066="Pago tarjeta",IFERROR(INDEX(ctaTipo,MATCH(G1066,ctaNom,0)),"")&lt;&gt;"Tarjeta de crédito"),"⚠ «Hacia» debe ser la tarjeta",IF(AND(I1066="Trading",IFERROR(INDEX(ctaTipo,MATCH(E1066,ctaNom,0)),"")&lt;&gt;"Cuenta de trading"),"⚠ Usa la cuenta de trading","✓"))))))))))))</f>
        <v/>
      </c>
      <c r="I1066" s="19">
        <f>IF(OR(B1066="",C1066="",D1066=""),"",IFERROR(INDEX(catTipo,MATCH(D1066,catNom,0))&amp;"",""))</f>
        <v/>
      </c>
      <c r="J1066" s="19">
        <f>IF(I1066="","",IFERROR(INDEX(catGrupo,MATCH(D1066,catNom,0))&amp;"",""))</f>
        <v/>
      </c>
      <c r="K1066" s="19">
        <f>IF(I1066="Gasto",IF(IFERROR(INDEX(catClas,MATCH(D1066,catNom,0))&amp;"","")="","Variable",IFERROR(INDEX(catClas,MATCH(D1066,catNom,0))&amp;"","")),"")</f>
        <v/>
      </c>
      <c r="L1066" s="19">
        <f>IF(I1066="","",IFERROR(INDEX(catAlim,MATCH(D1066,catNom,0))&amp;"",""))</f>
        <v/>
      </c>
      <c r="M1066" s="19">
        <f>IF(I1066="","",IFERROR(INDEX(catComida,MATCH(D1066,catNom,0))&amp;"",""))</f>
        <v/>
      </c>
      <c r="N1066" s="19">
        <f>IF(I1066="","",IFERROR(INDEX(ctaMon,MATCH(E1066,ctaNom,0))&amp;"","DOP"))</f>
        <v/>
      </c>
      <c r="O1066" s="20">
        <f>IF(I1066="","",C1066*IF(N1066="USD",TasaUSD,1))</f>
        <v/>
      </c>
      <c r="P1066" s="20">
        <f>IF(I1066="","",IF(I1066="Gasto",O1066,0))</f>
        <v/>
      </c>
      <c r="Q1066" s="20">
        <f>IF(I1066="","",IF(I1066="Ingreso",O1066,0))</f>
        <v/>
      </c>
      <c r="R1066" s="20">
        <f>IF(I1066="","",IF(I1066="Trading",O1066,0))</f>
        <v/>
      </c>
      <c r="S1066" s="19">
        <f>IF(I1066="","",IF(AND(I1066="Gasto",K1066="Variable",J1066&lt;&gt;"Trading",O1066&gt;0,O1066&lt;=Umbral),1,0))</f>
        <v/>
      </c>
      <c r="T1066" s="20">
        <f>IF(OR(I1066="",E1066=""),"",IF(OR(I1066="Gasto",I1066="Transferencia",I1066="Pago tarjeta"),-1,1)*C1066)</f>
        <v/>
      </c>
      <c r="U1066" s="20">
        <f>IF(OR(G1066="",AND(I1066&lt;&gt;"Transferencia",I1066&lt;&gt;"Pago tarjeta")),"",IF(IFERROR(INDEX(ctaMon,MATCH(G1066,ctaNom,0))&amp;"","DOP")=N1066,C1066,IF(N1066="USD",C1066*TasaUSD,C1066/TasaUSD)))</f>
        <v/>
      </c>
      <c r="V1066" s="20">
        <f>IF(I1066="","",IF(IFERROR(INDEX(ctaLiq,MATCH(E1066,ctaNom,0))="Sí",FALSE),IF(OR(I1066="Gasto",I1066="Transferencia",I1066="Pago tarjeta"),-1,1)*O1066,0)+IF(AND(U1066&lt;&gt;"",IFERROR(INDEX(ctaLiq,MATCH(G1066,ctaNom,0))="Sí",FALSE)),O1066,0))</f>
        <v/>
      </c>
      <c r="W1066" s="19">
        <f>IF(OR(F1066="",I1066=""),"",IF(COUNTIFS(F$6:F1066,F1066,I$6:I1066,"?*")=1,MAX(W$5:W1065)+1,""))</f>
        <v/>
      </c>
    </row>
    <row r="1067">
      <c r="B1067" s="15" t="n"/>
      <c r="C1067" s="16" t="n"/>
      <c r="D1067" s="17" t="n"/>
      <c r="E1067" s="17" t="n"/>
      <c r="F1067" s="17" t="n"/>
      <c r="G1067" s="17" t="n"/>
      <c r="H1067" s="18">
        <f>IF(AND(B1067="",C1067="",D1067="",E1067=""),"",IF(B1067="","⚠ Falta fecha",IF(C1067="","⚠ Falta monto",IF(D1067="","⚠ Falta categoría",IF(ISNA(MATCH(D1067,catNom,0)),"⚠ Categoría no existe",IF(E1067="","⚠ Falta cuenta",IF(ISNA(MATCH(E1067,ctaNom,0)),"⚠ Cuenta no existe",IF(AND(OR(I1067="Transferencia",I1067="Pago tarjeta"),G1067=""),"⚠ Indica la cuenta «Hacia»",IF(AND(G1067&lt;&gt;"",G1067=E1067),"⚠ «Hacia» igual a la cuenta",IF(AND(G1067&lt;&gt;"",ISNA(MATCH(G1067,ctaNom,0))),"⚠ «Hacia» no existe",IF(AND(I1067="Pago tarjeta",IFERROR(INDEX(ctaTipo,MATCH(G1067,ctaNom,0)),"")&lt;&gt;"Tarjeta de crédito"),"⚠ «Hacia» debe ser la tarjeta",IF(AND(I1067="Trading",IFERROR(INDEX(ctaTipo,MATCH(E1067,ctaNom,0)),"")&lt;&gt;"Cuenta de trading"),"⚠ Usa la cuenta de trading","✓"))))))))))))</f>
        <v/>
      </c>
      <c r="I1067" s="19">
        <f>IF(OR(B1067="",C1067="",D1067=""),"",IFERROR(INDEX(catTipo,MATCH(D1067,catNom,0))&amp;"",""))</f>
        <v/>
      </c>
      <c r="J1067" s="19">
        <f>IF(I1067="","",IFERROR(INDEX(catGrupo,MATCH(D1067,catNom,0))&amp;"",""))</f>
        <v/>
      </c>
      <c r="K1067" s="19">
        <f>IF(I1067="Gasto",IF(IFERROR(INDEX(catClas,MATCH(D1067,catNom,0))&amp;"","")="","Variable",IFERROR(INDEX(catClas,MATCH(D1067,catNom,0))&amp;"","")),"")</f>
        <v/>
      </c>
      <c r="L1067" s="19">
        <f>IF(I1067="","",IFERROR(INDEX(catAlim,MATCH(D1067,catNom,0))&amp;"",""))</f>
        <v/>
      </c>
      <c r="M1067" s="19">
        <f>IF(I1067="","",IFERROR(INDEX(catComida,MATCH(D1067,catNom,0))&amp;"",""))</f>
        <v/>
      </c>
      <c r="N1067" s="19">
        <f>IF(I1067="","",IFERROR(INDEX(ctaMon,MATCH(E1067,ctaNom,0))&amp;"","DOP"))</f>
        <v/>
      </c>
      <c r="O1067" s="20">
        <f>IF(I1067="","",C1067*IF(N1067="USD",TasaUSD,1))</f>
        <v/>
      </c>
      <c r="P1067" s="20">
        <f>IF(I1067="","",IF(I1067="Gasto",O1067,0))</f>
        <v/>
      </c>
      <c r="Q1067" s="20">
        <f>IF(I1067="","",IF(I1067="Ingreso",O1067,0))</f>
        <v/>
      </c>
      <c r="R1067" s="20">
        <f>IF(I1067="","",IF(I1067="Trading",O1067,0))</f>
        <v/>
      </c>
      <c r="S1067" s="19">
        <f>IF(I1067="","",IF(AND(I1067="Gasto",K1067="Variable",J1067&lt;&gt;"Trading",O1067&gt;0,O1067&lt;=Umbral),1,0))</f>
        <v/>
      </c>
      <c r="T1067" s="20">
        <f>IF(OR(I1067="",E1067=""),"",IF(OR(I1067="Gasto",I1067="Transferencia",I1067="Pago tarjeta"),-1,1)*C1067)</f>
        <v/>
      </c>
      <c r="U1067" s="20">
        <f>IF(OR(G1067="",AND(I1067&lt;&gt;"Transferencia",I1067&lt;&gt;"Pago tarjeta")),"",IF(IFERROR(INDEX(ctaMon,MATCH(G1067,ctaNom,0))&amp;"","DOP")=N1067,C1067,IF(N1067="USD",C1067*TasaUSD,C1067/TasaUSD)))</f>
        <v/>
      </c>
      <c r="V1067" s="20">
        <f>IF(I1067="","",IF(IFERROR(INDEX(ctaLiq,MATCH(E1067,ctaNom,0))="Sí",FALSE),IF(OR(I1067="Gasto",I1067="Transferencia",I1067="Pago tarjeta"),-1,1)*O1067,0)+IF(AND(U1067&lt;&gt;"",IFERROR(INDEX(ctaLiq,MATCH(G1067,ctaNom,0))="Sí",FALSE)),O1067,0))</f>
        <v/>
      </c>
      <c r="W1067" s="19">
        <f>IF(OR(F1067="",I1067=""),"",IF(COUNTIFS(F$6:F1067,F1067,I$6:I1067,"?*")=1,MAX(W$5:W1066)+1,""))</f>
        <v/>
      </c>
    </row>
    <row r="1068">
      <c r="B1068" s="15" t="n"/>
      <c r="C1068" s="16" t="n"/>
      <c r="D1068" s="17" t="n"/>
      <c r="E1068" s="17" t="n"/>
      <c r="F1068" s="17" t="n"/>
      <c r="G1068" s="17" t="n"/>
      <c r="H1068" s="18">
        <f>IF(AND(B1068="",C1068="",D1068="",E1068=""),"",IF(B1068="","⚠ Falta fecha",IF(C1068="","⚠ Falta monto",IF(D1068="","⚠ Falta categoría",IF(ISNA(MATCH(D1068,catNom,0)),"⚠ Categoría no existe",IF(E1068="","⚠ Falta cuenta",IF(ISNA(MATCH(E1068,ctaNom,0)),"⚠ Cuenta no existe",IF(AND(OR(I1068="Transferencia",I1068="Pago tarjeta"),G1068=""),"⚠ Indica la cuenta «Hacia»",IF(AND(G1068&lt;&gt;"",G1068=E1068),"⚠ «Hacia» igual a la cuenta",IF(AND(G1068&lt;&gt;"",ISNA(MATCH(G1068,ctaNom,0))),"⚠ «Hacia» no existe",IF(AND(I1068="Pago tarjeta",IFERROR(INDEX(ctaTipo,MATCH(G1068,ctaNom,0)),"")&lt;&gt;"Tarjeta de crédito"),"⚠ «Hacia» debe ser la tarjeta",IF(AND(I1068="Trading",IFERROR(INDEX(ctaTipo,MATCH(E1068,ctaNom,0)),"")&lt;&gt;"Cuenta de trading"),"⚠ Usa la cuenta de trading","✓"))))))))))))</f>
        <v/>
      </c>
      <c r="I1068" s="19">
        <f>IF(OR(B1068="",C1068="",D1068=""),"",IFERROR(INDEX(catTipo,MATCH(D1068,catNom,0))&amp;"",""))</f>
        <v/>
      </c>
      <c r="J1068" s="19">
        <f>IF(I1068="","",IFERROR(INDEX(catGrupo,MATCH(D1068,catNom,0))&amp;"",""))</f>
        <v/>
      </c>
      <c r="K1068" s="19">
        <f>IF(I1068="Gasto",IF(IFERROR(INDEX(catClas,MATCH(D1068,catNom,0))&amp;"","")="","Variable",IFERROR(INDEX(catClas,MATCH(D1068,catNom,0))&amp;"","")),"")</f>
        <v/>
      </c>
      <c r="L1068" s="19">
        <f>IF(I1068="","",IFERROR(INDEX(catAlim,MATCH(D1068,catNom,0))&amp;"",""))</f>
        <v/>
      </c>
      <c r="M1068" s="19">
        <f>IF(I1068="","",IFERROR(INDEX(catComida,MATCH(D1068,catNom,0))&amp;"",""))</f>
        <v/>
      </c>
      <c r="N1068" s="19">
        <f>IF(I1068="","",IFERROR(INDEX(ctaMon,MATCH(E1068,ctaNom,0))&amp;"","DOP"))</f>
        <v/>
      </c>
      <c r="O1068" s="20">
        <f>IF(I1068="","",C1068*IF(N1068="USD",TasaUSD,1))</f>
        <v/>
      </c>
      <c r="P1068" s="20">
        <f>IF(I1068="","",IF(I1068="Gasto",O1068,0))</f>
        <v/>
      </c>
      <c r="Q1068" s="20">
        <f>IF(I1068="","",IF(I1068="Ingreso",O1068,0))</f>
        <v/>
      </c>
      <c r="R1068" s="20">
        <f>IF(I1068="","",IF(I1068="Trading",O1068,0))</f>
        <v/>
      </c>
      <c r="S1068" s="19">
        <f>IF(I1068="","",IF(AND(I1068="Gasto",K1068="Variable",J1068&lt;&gt;"Trading",O1068&gt;0,O1068&lt;=Umbral),1,0))</f>
        <v/>
      </c>
      <c r="T1068" s="20">
        <f>IF(OR(I1068="",E1068=""),"",IF(OR(I1068="Gasto",I1068="Transferencia",I1068="Pago tarjeta"),-1,1)*C1068)</f>
        <v/>
      </c>
      <c r="U1068" s="20">
        <f>IF(OR(G1068="",AND(I1068&lt;&gt;"Transferencia",I1068&lt;&gt;"Pago tarjeta")),"",IF(IFERROR(INDEX(ctaMon,MATCH(G1068,ctaNom,0))&amp;"","DOP")=N1068,C1068,IF(N1068="USD",C1068*TasaUSD,C1068/TasaUSD)))</f>
        <v/>
      </c>
      <c r="V1068" s="20">
        <f>IF(I1068="","",IF(IFERROR(INDEX(ctaLiq,MATCH(E1068,ctaNom,0))="Sí",FALSE),IF(OR(I1068="Gasto",I1068="Transferencia",I1068="Pago tarjeta"),-1,1)*O1068,0)+IF(AND(U1068&lt;&gt;"",IFERROR(INDEX(ctaLiq,MATCH(G1068,ctaNom,0))="Sí",FALSE)),O1068,0))</f>
        <v/>
      </c>
      <c r="W1068" s="19">
        <f>IF(OR(F1068="",I1068=""),"",IF(COUNTIFS(F$6:F1068,F1068,I$6:I1068,"?*")=1,MAX(W$5:W1067)+1,""))</f>
        <v/>
      </c>
    </row>
    <row r="1069">
      <c r="B1069" s="15" t="n"/>
      <c r="C1069" s="16" t="n"/>
      <c r="D1069" s="17" t="n"/>
      <c r="E1069" s="17" t="n"/>
      <c r="F1069" s="17" t="n"/>
      <c r="G1069" s="17" t="n"/>
      <c r="H1069" s="18">
        <f>IF(AND(B1069="",C1069="",D1069="",E1069=""),"",IF(B1069="","⚠ Falta fecha",IF(C1069="","⚠ Falta monto",IF(D1069="","⚠ Falta categoría",IF(ISNA(MATCH(D1069,catNom,0)),"⚠ Categoría no existe",IF(E1069="","⚠ Falta cuenta",IF(ISNA(MATCH(E1069,ctaNom,0)),"⚠ Cuenta no existe",IF(AND(OR(I1069="Transferencia",I1069="Pago tarjeta"),G1069=""),"⚠ Indica la cuenta «Hacia»",IF(AND(G1069&lt;&gt;"",G1069=E1069),"⚠ «Hacia» igual a la cuenta",IF(AND(G1069&lt;&gt;"",ISNA(MATCH(G1069,ctaNom,0))),"⚠ «Hacia» no existe",IF(AND(I1069="Pago tarjeta",IFERROR(INDEX(ctaTipo,MATCH(G1069,ctaNom,0)),"")&lt;&gt;"Tarjeta de crédito"),"⚠ «Hacia» debe ser la tarjeta",IF(AND(I1069="Trading",IFERROR(INDEX(ctaTipo,MATCH(E1069,ctaNom,0)),"")&lt;&gt;"Cuenta de trading"),"⚠ Usa la cuenta de trading","✓"))))))))))))</f>
        <v/>
      </c>
      <c r="I1069" s="19">
        <f>IF(OR(B1069="",C1069="",D1069=""),"",IFERROR(INDEX(catTipo,MATCH(D1069,catNom,0))&amp;"",""))</f>
        <v/>
      </c>
      <c r="J1069" s="19">
        <f>IF(I1069="","",IFERROR(INDEX(catGrupo,MATCH(D1069,catNom,0))&amp;"",""))</f>
        <v/>
      </c>
      <c r="K1069" s="19">
        <f>IF(I1069="Gasto",IF(IFERROR(INDEX(catClas,MATCH(D1069,catNom,0))&amp;"","")="","Variable",IFERROR(INDEX(catClas,MATCH(D1069,catNom,0))&amp;"","")),"")</f>
        <v/>
      </c>
      <c r="L1069" s="19">
        <f>IF(I1069="","",IFERROR(INDEX(catAlim,MATCH(D1069,catNom,0))&amp;"",""))</f>
        <v/>
      </c>
      <c r="M1069" s="19">
        <f>IF(I1069="","",IFERROR(INDEX(catComida,MATCH(D1069,catNom,0))&amp;"",""))</f>
        <v/>
      </c>
      <c r="N1069" s="19">
        <f>IF(I1069="","",IFERROR(INDEX(ctaMon,MATCH(E1069,ctaNom,0))&amp;"","DOP"))</f>
        <v/>
      </c>
      <c r="O1069" s="20">
        <f>IF(I1069="","",C1069*IF(N1069="USD",TasaUSD,1))</f>
        <v/>
      </c>
      <c r="P1069" s="20">
        <f>IF(I1069="","",IF(I1069="Gasto",O1069,0))</f>
        <v/>
      </c>
      <c r="Q1069" s="20">
        <f>IF(I1069="","",IF(I1069="Ingreso",O1069,0))</f>
        <v/>
      </c>
      <c r="R1069" s="20">
        <f>IF(I1069="","",IF(I1069="Trading",O1069,0))</f>
        <v/>
      </c>
      <c r="S1069" s="19">
        <f>IF(I1069="","",IF(AND(I1069="Gasto",K1069="Variable",J1069&lt;&gt;"Trading",O1069&gt;0,O1069&lt;=Umbral),1,0))</f>
        <v/>
      </c>
      <c r="T1069" s="20">
        <f>IF(OR(I1069="",E1069=""),"",IF(OR(I1069="Gasto",I1069="Transferencia",I1069="Pago tarjeta"),-1,1)*C1069)</f>
        <v/>
      </c>
      <c r="U1069" s="20">
        <f>IF(OR(G1069="",AND(I1069&lt;&gt;"Transferencia",I1069&lt;&gt;"Pago tarjeta")),"",IF(IFERROR(INDEX(ctaMon,MATCH(G1069,ctaNom,0))&amp;"","DOP")=N1069,C1069,IF(N1069="USD",C1069*TasaUSD,C1069/TasaUSD)))</f>
        <v/>
      </c>
      <c r="V1069" s="20">
        <f>IF(I1069="","",IF(IFERROR(INDEX(ctaLiq,MATCH(E1069,ctaNom,0))="Sí",FALSE),IF(OR(I1069="Gasto",I1069="Transferencia",I1069="Pago tarjeta"),-1,1)*O1069,0)+IF(AND(U1069&lt;&gt;"",IFERROR(INDEX(ctaLiq,MATCH(G1069,ctaNom,0))="Sí",FALSE)),O1069,0))</f>
        <v/>
      </c>
      <c r="W1069" s="19">
        <f>IF(OR(F1069="",I1069=""),"",IF(COUNTIFS(F$6:F1069,F1069,I$6:I1069,"?*")=1,MAX(W$5:W1068)+1,""))</f>
        <v/>
      </c>
    </row>
    <row r="1070">
      <c r="B1070" s="15" t="n"/>
      <c r="C1070" s="16" t="n"/>
      <c r="D1070" s="17" t="n"/>
      <c r="E1070" s="17" t="n"/>
      <c r="F1070" s="17" t="n"/>
      <c r="G1070" s="17" t="n"/>
      <c r="H1070" s="18">
        <f>IF(AND(B1070="",C1070="",D1070="",E1070=""),"",IF(B1070="","⚠ Falta fecha",IF(C1070="","⚠ Falta monto",IF(D1070="","⚠ Falta categoría",IF(ISNA(MATCH(D1070,catNom,0)),"⚠ Categoría no existe",IF(E1070="","⚠ Falta cuenta",IF(ISNA(MATCH(E1070,ctaNom,0)),"⚠ Cuenta no existe",IF(AND(OR(I1070="Transferencia",I1070="Pago tarjeta"),G1070=""),"⚠ Indica la cuenta «Hacia»",IF(AND(G1070&lt;&gt;"",G1070=E1070),"⚠ «Hacia» igual a la cuenta",IF(AND(G1070&lt;&gt;"",ISNA(MATCH(G1070,ctaNom,0))),"⚠ «Hacia» no existe",IF(AND(I1070="Pago tarjeta",IFERROR(INDEX(ctaTipo,MATCH(G1070,ctaNom,0)),"")&lt;&gt;"Tarjeta de crédito"),"⚠ «Hacia» debe ser la tarjeta",IF(AND(I1070="Trading",IFERROR(INDEX(ctaTipo,MATCH(E1070,ctaNom,0)),"")&lt;&gt;"Cuenta de trading"),"⚠ Usa la cuenta de trading","✓"))))))))))))</f>
        <v/>
      </c>
      <c r="I1070" s="19">
        <f>IF(OR(B1070="",C1070="",D1070=""),"",IFERROR(INDEX(catTipo,MATCH(D1070,catNom,0))&amp;"",""))</f>
        <v/>
      </c>
      <c r="J1070" s="19">
        <f>IF(I1070="","",IFERROR(INDEX(catGrupo,MATCH(D1070,catNom,0))&amp;"",""))</f>
        <v/>
      </c>
      <c r="K1070" s="19">
        <f>IF(I1070="Gasto",IF(IFERROR(INDEX(catClas,MATCH(D1070,catNom,0))&amp;"","")="","Variable",IFERROR(INDEX(catClas,MATCH(D1070,catNom,0))&amp;"","")),"")</f>
        <v/>
      </c>
      <c r="L1070" s="19">
        <f>IF(I1070="","",IFERROR(INDEX(catAlim,MATCH(D1070,catNom,0))&amp;"",""))</f>
        <v/>
      </c>
      <c r="M1070" s="19">
        <f>IF(I1070="","",IFERROR(INDEX(catComida,MATCH(D1070,catNom,0))&amp;"",""))</f>
        <v/>
      </c>
      <c r="N1070" s="19">
        <f>IF(I1070="","",IFERROR(INDEX(ctaMon,MATCH(E1070,ctaNom,0))&amp;"","DOP"))</f>
        <v/>
      </c>
      <c r="O1070" s="20">
        <f>IF(I1070="","",C1070*IF(N1070="USD",TasaUSD,1))</f>
        <v/>
      </c>
      <c r="P1070" s="20">
        <f>IF(I1070="","",IF(I1070="Gasto",O1070,0))</f>
        <v/>
      </c>
      <c r="Q1070" s="20">
        <f>IF(I1070="","",IF(I1070="Ingreso",O1070,0))</f>
        <v/>
      </c>
      <c r="R1070" s="20">
        <f>IF(I1070="","",IF(I1070="Trading",O1070,0))</f>
        <v/>
      </c>
      <c r="S1070" s="19">
        <f>IF(I1070="","",IF(AND(I1070="Gasto",K1070="Variable",J1070&lt;&gt;"Trading",O1070&gt;0,O1070&lt;=Umbral),1,0))</f>
        <v/>
      </c>
      <c r="T1070" s="20">
        <f>IF(OR(I1070="",E1070=""),"",IF(OR(I1070="Gasto",I1070="Transferencia",I1070="Pago tarjeta"),-1,1)*C1070)</f>
        <v/>
      </c>
      <c r="U1070" s="20">
        <f>IF(OR(G1070="",AND(I1070&lt;&gt;"Transferencia",I1070&lt;&gt;"Pago tarjeta")),"",IF(IFERROR(INDEX(ctaMon,MATCH(G1070,ctaNom,0))&amp;"","DOP")=N1070,C1070,IF(N1070="USD",C1070*TasaUSD,C1070/TasaUSD)))</f>
        <v/>
      </c>
      <c r="V1070" s="20">
        <f>IF(I1070="","",IF(IFERROR(INDEX(ctaLiq,MATCH(E1070,ctaNom,0))="Sí",FALSE),IF(OR(I1070="Gasto",I1070="Transferencia",I1070="Pago tarjeta"),-1,1)*O1070,0)+IF(AND(U1070&lt;&gt;"",IFERROR(INDEX(ctaLiq,MATCH(G1070,ctaNom,0))="Sí",FALSE)),O1070,0))</f>
        <v/>
      </c>
      <c r="W1070" s="19">
        <f>IF(OR(F1070="",I1070=""),"",IF(COUNTIFS(F$6:F1070,F1070,I$6:I1070,"?*")=1,MAX(W$5:W1069)+1,""))</f>
        <v/>
      </c>
    </row>
    <row r="1071">
      <c r="B1071" s="15" t="n"/>
      <c r="C1071" s="16" t="n"/>
      <c r="D1071" s="17" t="n"/>
      <c r="E1071" s="17" t="n"/>
      <c r="F1071" s="17" t="n"/>
      <c r="G1071" s="17" t="n"/>
      <c r="H1071" s="18">
        <f>IF(AND(B1071="",C1071="",D1071="",E1071=""),"",IF(B1071="","⚠ Falta fecha",IF(C1071="","⚠ Falta monto",IF(D1071="","⚠ Falta categoría",IF(ISNA(MATCH(D1071,catNom,0)),"⚠ Categoría no existe",IF(E1071="","⚠ Falta cuenta",IF(ISNA(MATCH(E1071,ctaNom,0)),"⚠ Cuenta no existe",IF(AND(OR(I1071="Transferencia",I1071="Pago tarjeta"),G1071=""),"⚠ Indica la cuenta «Hacia»",IF(AND(G1071&lt;&gt;"",G1071=E1071),"⚠ «Hacia» igual a la cuenta",IF(AND(G1071&lt;&gt;"",ISNA(MATCH(G1071,ctaNom,0))),"⚠ «Hacia» no existe",IF(AND(I1071="Pago tarjeta",IFERROR(INDEX(ctaTipo,MATCH(G1071,ctaNom,0)),"")&lt;&gt;"Tarjeta de crédito"),"⚠ «Hacia» debe ser la tarjeta",IF(AND(I1071="Trading",IFERROR(INDEX(ctaTipo,MATCH(E1071,ctaNom,0)),"")&lt;&gt;"Cuenta de trading"),"⚠ Usa la cuenta de trading","✓"))))))))))))</f>
        <v/>
      </c>
      <c r="I1071" s="19">
        <f>IF(OR(B1071="",C1071="",D1071=""),"",IFERROR(INDEX(catTipo,MATCH(D1071,catNom,0))&amp;"",""))</f>
        <v/>
      </c>
      <c r="J1071" s="19">
        <f>IF(I1071="","",IFERROR(INDEX(catGrupo,MATCH(D1071,catNom,0))&amp;"",""))</f>
        <v/>
      </c>
      <c r="K1071" s="19">
        <f>IF(I1071="Gasto",IF(IFERROR(INDEX(catClas,MATCH(D1071,catNom,0))&amp;"","")="","Variable",IFERROR(INDEX(catClas,MATCH(D1071,catNom,0))&amp;"","")),"")</f>
        <v/>
      </c>
      <c r="L1071" s="19">
        <f>IF(I1071="","",IFERROR(INDEX(catAlim,MATCH(D1071,catNom,0))&amp;"",""))</f>
        <v/>
      </c>
      <c r="M1071" s="19">
        <f>IF(I1071="","",IFERROR(INDEX(catComida,MATCH(D1071,catNom,0))&amp;"",""))</f>
        <v/>
      </c>
      <c r="N1071" s="19">
        <f>IF(I1071="","",IFERROR(INDEX(ctaMon,MATCH(E1071,ctaNom,0))&amp;"","DOP"))</f>
        <v/>
      </c>
      <c r="O1071" s="20">
        <f>IF(I1071="","",C1071*IF(N1071="USD",TasaUSD,1))</f>
        <v/>
      </c>
      <c r="P1071" s="20">
        <f>IF(I1071="","",IF(I1071="Gasto",O1071,0))</f>
        <v/>
      </c>
      <c r="Q1071" s="20">
        <f>IF(I1071="","",IF(I1071="Ingreso",O1071,0))</f>
        <v/>
      </c>
      <c r="R1071" s="20">
        <f>IF(I1071="","",IF(I1071="Trading",O1071,0))</f>
        <v/>
      </c>
      <c r="S1071" s="19">
        <f>IF(I1071="","",IF(AND(I1071="Gasto",K1071="Variable",J1071&lt;&gt;"Trading",O1071&gt;0,O1071&lt;=Umbral),1,0))</f>
        <v/>
      </c>
      <c r="T1071" s="20">
        <f>IF(OR(I1071="",E1071=""),"",IF(OR(I1071="Gasto",I1071="Transferencia",I1071="Pago tarjeta"),-1,1)*C1071)</f>
        <v/>
      </c>
      <c r="U1071" s="20">
        <f>IF(OR(G1071="",AND(I1071&lt;&gt;"Transferencia",I1071&lt;&gt;"Pago tarjeta")),"",IF(IFERROR(INDEX(ctaMon,MATCH(G1071,ctaNom,0))&amp;"","DOP")=N1071,C1071,IF(N1071="USD",C1071*TasaUSD,C1071/TasaUSD)))</f>
        <v/>
      </c>
      <c r="V1071" s="20">
        <f>IF(I1071="","",IF(IFERROR(INDEX(ctaLiq,MATCH(E1071,ctaNom,0))="Sí",FALSE),IF(OR(I1071="Gasto",I1071="Transferencia",I1071="Pago tarjeta"),-1,1)*O1071,0)+IF(AND(U1071&lt;&gt;"",IFERROR(INDEX(ctaLiq,MATCH(G1071,ctaNom,0))="Sí",FALSE)),O1071,0))</f>
        <v/>
      </c>
      <c r="W1071" s="19">
        <f>IF(OR(F1071="",I1071=""),"",IF(COUNTIFS(F$6:F1071,F1071,I$6:I1071,"?*")=1,MAX(W$5:W1070)+1,""))</f>
        <v/>
      </c>
    </row>
    <row r="1072">
      <c r="B1072" s="15" t="n"/>
      <c r="C1072" s="16" t="n"/>
      <c r="D1072" s="17" t="n"/>
      <c r="E1072" s="17" t="n"/>
      <c r="F1072" s="17" t="n"/>
      <c r="G1072" s="17" t="n"/>
      <c r="H1072" s="18">
        <f>IF(AND(B1072="",C1072="",D1072="",E1072=""),"",IF(B1072="","⚠ Falta fecha",IF(C1072="","⚠ Falta monto",IF(D1072="","⚠ Falta categoría",IF(ISNA(MATCH(D1072,catNom,0)),"⚠ Categoría no existe",IF(E1072="","⚠ Falta cuenta",IF(ISNA(MATCH(E1072,ctaNom,0)),"⚠ Cuenta no existe",IF(AND(OR(I1072="Transferencia",I1072="Pago tarjeta"),G1072=""),"⚠ Indica la cuenta «Hacia»",IF(AND(G1072&lt;&gt;"",G1072=E1072),"⚠ «Hacia» igual a la cuenta",IF(AND(G1072&lt;&gt;"",ISNA(MATCH(G1072,ctaNom,0))),"⚠ «Hacia» no existe",IF(AND(I1072="Pago tarjeta",IFERROR(INDEX(ctaTipo,MATCH(G1072,ctaNom,0)),"")&lt;&gt;"Tarjeta de crédito"),"⚠ «Hacia» debe ser la tarjeta",IF(AND(I1072="Trading",IFERROR(INDEX(ctaTipo,MATCH(E1072,ctaNom,0)),"")&lt;&gt;"Cuenta de trading"),"⚠ Usa la cuenta de trading","✓"))))))))))))</f>
        <v/>
      </c>
      <c r="I1072" s="19">
        <f>IF(OR(B1072="",C1072="",D1072=""),"",IFERROR(INDEX(catTipo,MATCH(D1072,catNom,0))&amp;"",""))</f>
        <v/>
      </c>
      <c r="J1072" s="19">
        <f>IF(I1072="","",IFERROR(INDEX(catGrupo,MATCH(D1072,catNom,0))&amp;"",""))</f>
        <v/>
      </c>
      <c r="K1072" s="19">
        <f>IF(I1072="Gasto",IF(IFERROR(INDEX(catClas,MATCH(D1072,catNom,0))&amp;"","")="","Variable",IFERROR(INDEX(catClas,MATCH(D1072,catNom,0))&amp;"","")),"")</f>
        <v/>
      </c>
      <c r="L1072" s="19">
        <f>IF(I1072="","",IFERROR(INDEX(catAlim,MATCH(D1072,catNom,0))&amp;"",""))</f>
        <v/>
      </c>
      <c r="M1072" s="19">
        <f>IF(I1072="","",IFERROR(INDEX(catComida,MATCH(D1072,catNom,0))&amp;"",""))</f>
        <v/>
      </c>
      <c r="N1072" s="19">
        <f>IF(I1072="","",IFERROR(INDEX(ctaMon,MATCH(E1072,ctaNom,0))&amp;"","DOP"))</f>
        <v/>
      </c>
      <c r="O1072" s="20">
        <f>IF(I1072="","",C1072*IF(N1072="USD",TasaUSD,1))</f>
        <v/>
      </c>
      <c r="P1072" s="20">
        <f>IF(I1072="","",IF(I1072="Gasto",O1072,0))</f>
        <v/>
      </c>
      <c r="Q1072" s="20">
        <f>IF(I1072="","",IF(I1072="Ingreso",O1072,0))</f>
        <v/>
      </c>
      <c r="R1072" s="20">
        <f>IF(I1072="","",IF(I1072="Trading",O1072,0))</f>
        <v/>
      </c>
      <c r="S1072" s="19">
        <f>IF(I1072="","",IF(AND(I1072="Gasto",K1072="Variable",J1072&lt;&gt;"Trading",O1072&gt;0,O1072&lt;=Umbral),1,0))</f>
        <v/>
      </c>
      <c r="T1072" s="20">
        <f>IF(OR(I1072="",E1072=""),"",IF(OR(I1072="Gasto",I1072="Transferencia",I1072="Pago tarjeta"),-1,1)*C1072)</f>
        <v/>
      </c>
      <c r="U1072" s="20">
        <f>IF(OR(G1072="",AND(I1072&lt;&gt;"Transferencia",I1072&lt;&gt;"Pago tarjeta")),"",IF(IFERROR(INDEX(ctaMon,MATCH(G1072,ctaNom,0))&amp;"","DOP")=N1072,C1072,IF(N1072="USD",C1072*TasaUSD,C1072/TasaUSD)))</f>
        <v/>
      </c>
      <c r="V1072" s="20">
        <f>IF(I1072="","",IF(IFERROR(INDEX(ctaLiq,MATCH(E1072,ctaNom,0))="Sí",FALSE),IF(OR(I1072="Gasto",I1072="Transferencia",I1072="Pago tarjeta"),-1,1)*O1072,0)+IF(AND(U1072&lt;&gt;"",IFERROR(INDEX(ctaLiq,MATCH(G1072,ctaNom,0))="Sí",FALSE)),O1072,0))</f>
        <v/>
      </c>
      <c r="W1072" s="19">
        <f>IF(OR(F1072="",I1072=""),"",IF(COUNTIFS(F$6:F1072,F1072,I$6:I1072,"?*")=1,MAX(W$5:W1071)+1,""))</f>
        <v/>
      </c>
    </row>
    <row r="1073">
      <c r="B1073" s="15" t="n"/>
      <c r="C1073" s="16" t="n"/>
      <c r="D1073" s="17" t="n"/>
      <c r="E1073" s="17" t="n"/>
      <c r="F1073" s="17" t="n"/>
      <c r="G1073" s="17" t="n"/>
      <c r="H1073" s="18">
        <f>IF(AND(B1073="",C1073="",D1073="",E1073=""),"",IF(B1073="","⚠ Falta fecha",IF(C1073="","⚠ Falta monto",IF(D1073="","⚠ Falta categoría",IF(ISNA(MATCH(D1073,catNom,0)),"⚠ Categoría no existe",IF(E1073="","⚠ Falta cuenta",IF(ISNA(MATCH(E1073,ctaNom,0)),"⚠ Cuenta no existe",IF(AND(OR(I1073="Transferencia",I1073="Pago tarjeta"),G1073=""),"⚠ Indica la cuenta «Hacia»",IF(AND(G1073&lt;&gt;"",G1073=E1073),"⚠ «Hacia» igual a la cuenta",IF(AND(G1073&lt;&gt;"",ISNA(MATCH(G1073,ctaNom,0))),"⚠ «Hacia» no existe",IF(AND(I1073="Pago tarjeta",IFERROR(INDEX(ctaTipo,MATCH(G1073,ctaNom,0)),"")&lt;&gt;"Tarjeta de crédito"),"⚠ «Hacia» debe ser la tarjeta",IF(AND(I1073="Trading",IFERROR(INDEX(ctaTipo,MATCH(E1073,ctaNom,0)),"")&lt;&gt;"Cuenta de trading"),"⚠ Usa la cuenta de trading","✓"))))))))))))</f>
        <v/>
      </c>
      <c r="I1073" s="19">
        <f>IF(OR(B1073="",C1073="",D1073=""),"",IFERROR(INDEX(catTipo,MATCH(D1073,catNom,0))&amp;"",""))</f>
        <v/>
      </c>
      <c r="J1073" s="19">
        <f>IF(I1073="","",IFERROR(INDEX(catGrupo,MATCH(D1073,catNom,0))&amp;"",""))</f>
        <v/>
      </c>
      <c r="K1073" s="19">
        <f>IF(I1073="Gasto",IF(IFERROR(INDEX(catClas,MATCH(D1073,catNom,0))&amp;"","")="","Variable",IFERROR(INDEX(catClas,MATCH(D1073,catNom,0))&amp;"","")),"")</f>
        <v/>
      </c>
      <c r="L1073" s="19">
        <f>IF(I1073="","",IFERROR(INDEX(catAlim,MATCH(D1073,catNom,0))&amp;"",""))</f>
        <v/>
      </c>
      <c r="M1073" s="19">
        <f>IF(I1073="","",IFERROR(INDEX(catComida,MATCH(D1073,catNom,0))&amp;"",""))</f>
        <v/>
      </c>
      <c r="N1073" s="19">
        <f>IF(I1073="","",IFERROR(INDEX(ctaMon,MATCH(E1073,ctaNom,0))&amp;"","DOP"))</f>
        <v/>
      </c>
      <c r="O1073" s="20">
        <f>IF(I1073="","",C1073*IF(N1073="USD",TasaUSD,1))</f>
        <v/>
      </c>
      <c r="P1073" s="20">
        <f>IF(I1073="","",IF(I1073="Gasto",O1073,0))</f>
        <v/>
      </c>
      <c r="Q1073" s="20">
        <f>IF(I1073="","",IF(I1073="Ingreso",O1073,0))</f>
        <v/>
      </c>
      <c r="R1073" s="20">
        <f>IF(I1073="","",IF(I1073="Trading",O1073,0))</f>
        <v/>
      </c>
      <c r="S1073" s="19">
        <f>IF(I1073="","",IF(AND(I1073="Gasto",K1073="Variable",J1073&lt;&gt;"Trading",O1073&gt;0,O1073&lt;=Umbral),1,0))</f>
        <v/>
      </c>
      <c r="T1073" s="20">
        <f>IF(OR(I1073="",E1073=""),"",IF(OR(I1073="Gasto",I1073="Transferencia",I1073="Pago tarjeta"),-1,1)*C1073)</f>
        <v/>
      </c>
      <c r="U1073" s="20">
        <f>IF(OR(G1073="",AND(I1073&lt;&gt;"Transferencia",I1073&lt;&gt;"Pago tarjeta")),"",IF(IFERROR(INDEX(ctaMon,MATCH(G1073,ctaNom,0))&amp;"","DOP")=N1073,C1073,IF(N1073="USD",C1073*TasaUSD,C1073/TasaUSD)))</f>
        <v/>
      </c>
      <c r="V1073" s="20">
        <f>IF(I1073="","",IF(IFERROR(INDEX(ctaLiq,MATCH(E1073,ctaNom,0))="Sí",FALSE),IF(OR(I1073="Gasto",I1073="Transferencia",I1073="Pago tarjeta"),-1,1)*O1073,0)+IF(AND(U1073&lt;&gt;"",IFERROR(INDEX(ctaLiq,MATCH(G1073,ctaNom,0))="Sí",FALSE)),O1073,0))</f>
        <v/>
      </c>
      <c r="W1073" s="19">
        <f>IF(OR(F1073="",I1073=""),"",IF(COUNTIFS(F$6:F1073,F1073,I$6:I1073,"?*")=1,MAX(W$5:W1072)+1,""))</f>
        <v/>
      </c>
    </row>
    <row r="1074">
      <c r="B1074" s="15" t="n"/>
      <c r="C1074" s="16" t="n"/>
      <c r="D1074" s="17" t="n"/>
      <c r="E1074" s="17" t="n"/>
      <c r="F1074" s="17" t="n"/>
      <c r="G1074" s="17" t="n"/>
      <c r="H1074" s="18">
        <f>IF(AND(B1074="",C1074="",D1074="",E1074=""),"",IF(B1074="","⚠ Falta fecha",IF(C1074="","⚠ Falta monto",IF(D1074="","⚠ Falta categoría",IF(ISNA(MATCH(D1074,catNom,0)),"⚠ Categoría no existe",IF(E1074="","⚠ Falta cuenta",IF(ISNA(MATCH(E1074,ctaNom,0)),"⚠ Cuenta no existe",IF(AND(OR(I1074="Transferencia",I1074="Pago tarjeta"),G1074=""),"⚠ Indica la cuenta «Hacia»",IF(AND(G1074&lt;&gt;"",G1074=E1074),"⚠ «Hacia» igual a la cuenta",IF(AND(G1074&lt;&gt;"",ISNA(MATCH(G1074,ctaNom,0))),"⚠ «Hacia» no existe",IF(AND(I1074="Pago tarjeta",IFERROR(INDEX(ctaTipo,MATCH(G1074,ctaNom,0)),"")&lt;&gt;"Tarjeta de crédito"),"⚠ «Hacia» debe ser la tarjeta",IF(AND(I1074="Trading",IFERROR(INDEX(ctaTipo,MATCH(E1074,ctaNom,0)),"")&lt;&gt;"Cuenta de trading"),"⚠ Usa la cuenta de trading","✓"))))))))))))</f>
        <v/>
      </c>
      <c r="I1074" s="19">
        <f>IF(OR(B1074="",C1074="",D1074=""),"",IFERROR(INDEX(catTipo,MATCH(D1074,catNom,0))&amp;"",""))</f>
        <v/>
      </c>
      <c r="J1074" s="19">
        <f>IF(I1074="","",IFERROR(INDEX(catGrupo,MATCH(D1074,catNom,0))&amp;"",""))</f>
        <v/>
      </c>
      <c r="K1074" s="19">
        <f>IF(I1074="Gasto",IF(IFERROR(INDEX(catClas,MATCH(D1074,catNom,0))&amp;"","")="","Variable",IFERROR(INDEX(catClas,MATCH(D1074,catNom,0))&amp;"","")),"")</f>
        <v/>
      </c>
      <c r="L1074" s="19">
        <f>IF(I1074="","",IFERROR(INDEX(catAlim,MATCH(D1074,catNom,0))&amp;"",""))</f>
        <v/>
      </c>
      <c r="M1074" s="19">
        <f>IF(I1074="","",IFERROR(INDEX(catComida,MATCH(D1074,catNom,0))&amp;"",""))</f>
        <v/>
      </c>
      <c r="N1074" s="19">
        <f>IF(I1074="","",IFERROR(INDEX(ctaMon,MATCH(E1074,ctaNom,0))&amp;"","DOP"))</f>
        <v/>
      </c>
      <c r="O1074" s="20">
        <f>IF(I1074="","",C1074*IF(N1074="USD",TasaUSD,1))</f>
        <v/>
      </c>
      <c r="P1074" s="20">
        <f>IF(I1074="","",IF(I1074="Gasto",O1074,0))</f>
        <v/>
      </c>
      <c r="Q1074" s="20">
        <f>IF(I1074="","",IF(I1074="Ingreso",O1074,0))</f>
        <v/>
      </c>
      <c r="R1074" s="20">
        <f>IF(I1074="","",IF(I1074="Trading",O1074,0))</f>
        <v/>
      </c>
      <c r="S1074" s="19">
        <f>IF(I1074="","",IF(AND(I1074="Gasto",K1074="Variable",J1074&lt;&gt;"Trading",O1074&gt;0,O1074&lt;=Umbral),1,0))</f>
        <v/>
      </c>
      <c r="T1074" s="20">
        <f>IF(OR(I1074="",E1074=""),"",IF(OR(I1074="Gasto",I1074="Transferencia",I1074="Pago tarjeta"),-1,1)*C1074)</f>
        <v/>
      </c>
      <c r="U1074" s="20">
        <f>IF(OR(G1074="",AND(I1074&lt;&gt;"Transferencia",I1074&lt;&gt;"Pago tarjeta")),"",IF(IFERROR(INDEX(ctaMon,MATCH(G1074,ctaNom,0))&amp;"","DOP")=N1074,C1074,IF(N1074="USD",C1074*TasaUSD,C1074/TasaUSD)))</f>
        <v/>
      </c>
      <c r="V1074" s="20">
        <f>IF(I1074="","",IF(IFERROR(INDEX(ctaLiq,MATCH(E1074,ctaNom,0))="Sí",FALSE),IF(OR(I1074="Gasto",I1074="Transferencia",I1074="Pago tarjeta"),-1,1)*O1074,0)+IF(AND(U1074&lt;&gt;"",IFERROR(INDEX(ctaLiq,MATCH(G1074,ctaNom,0))="Sí",FALSE)),O1074,0))</f>
        <v/>
      </c>
      <c r="W1074" s="19">
        <f>IF(OR(F1074="",I1074=""),"",IF(COUNTIFS(F$6:F1074,F1074,I$6:I1074,"?*")=1,MAX(W$5:W1073)+1,""))</f>
        <v/>
      </c>
    </row>
    <row r="1075">
      <c r="B1075" s="15" t="n"/>
      <c r="C1075" s="16" t="n"/>
      <c r="D1075" s="17" t="n"/>
      <c r="E1075" s="17" t="n"/>
      <c r="F1075" s="17" t="n"/>
      <c r="G1075" s="17" t="n"/>
      <c r="H1075" s="18">
        <f>IF(AND(B1075="",C1075="",D1075="",E1075=""),"",IF(B1075="","⚠ Falta fecha",IF(C1075="","⚠ Falta monto",IF(D1075="","⚠ Falta categoría",IF(ISNA(MATCH(D1075,catNom,0)),"⚠ Categoría no existe",IF(E1075="","⚠ Falta cuenta",IF(ISNA(MATCH(E1075,ctaNom,0)),"⚠ Cuenta no existe",IF(AND(OR(I1075="Transferencia",I1075="Pago tarjeta"),G1075=""),"⚠ Indica la cuenta «Hacia»",IF(AND(G1075&lt;&gt;"",G1075=E1075),"⚠ «Hacia» igual a la cuenta",IF(AND(G1075&lt;&gt;"",ISNA(MATCH(G1075,ctaNom,0))),"⚠ «Hacia» no existe",IF(AND(I1075="Pago tarjeta",IFERROR(INDEX(ctaTipo,MATCH(G1075,ctaNom,0)),"")&lt;&gt;"Tarjeta de crédito"),"⚠ «Hacia» debe ser la tarjeta",IF(AND(I1075="Trading",IFERROR(INDEX(ctaTipo,MATCH(E1075,ctaNom,0)),"")&lt;&gt;"Cuenta de trading"),"⚠ Usa la cuenta de trading","✓"))))))))))))</f>
        <v/>
      </c>
      <c r="I1075" s="19">
        <f>IF(OR(B1075="",C1075="",D1075=""),"",IFERROR(INDEX(catTipo,MATCH(D1075,catNom,0))&amp;"",""))</f>
        <v/>
      </c>
      <c r="J1075" s="19">
        <f>IF(I1075="","",IFERROR(INDEX(catGrupo,MATCH(D1075,catNom,0))&amp;"",""))</f>
        <v/>
      </c>
      <c r="K1075" s="19">
        <f>IF(I1075="Gasto",IF(IFERROR(INDEX(catClas,MATCH(D1075,catNom,0))&amp;"","")="","Variable",IFERROR(INDEX(catClas,MATCH(D1075,catNom,0))&amp;"","")),"")</f>
        <v/>
      </c>
      <c r="L1075" s="19">
        <f>IF(I1075="","",IFERROR(INDEX(catAlim,MATCH(D1075,catNom,0))&amp;"",""))</f>
        <v/>
      </c>
      <c r="M1075" s="19">
        <f>IF(I1075="","",IFERROR(INDEX(catComida,MATCH(D1075,catNom,0))&amp;"",""))</f>
        <v/>
      </c>
      <c r="N1075" s="19">
        <f>IF(I1075="","",IFERROR(INDEX(ctaMon,MATCH(E1075,ctaNom,0))&amp;"","DOP"))</f>
        <v/>
      </c>
      <c r="O1075" s="20">
        <f>IF(I1075="","",C1075*IF(N1075="USD",TasaUSD,1))</f>
        <v/>
      </c>
      <c r="P1075" s="20">
        <f>IF(I1075="","",IF(I1075="Gasto",O1075,0))</f>
        <v/>
      </c>
      <c r="Q1075" s="20">
        <f>IF(I1075="","",IF(I1075="Ingreso",O1075,0))</f>
        <v/>
      </c>
      <c r="R1075" s="20">
        <f>IF(I1075="","",IF(I1075="Trading",O1075,0))</f>
        <v/>
      </c>
      <c r="S1075" s="19">
        <f>IF(I1075="","",IF(AND(I1075="Gasto",K1075="Variable",J1075&lt;&gt;"Trading",O1075&gt;0,O1075&lt;=Umbral),1,0))</f>
        <v/>
      </c>
      <c r="T1075" s="20">
        <f>IF(OR(I1075="",E1075=""),"",IF(OR(I1075="Gasto",I1075="Transferencia",I1075="Pago tarjeta"),-1,1)*C1075)</f>
        <v/>
      </c>
      <c r="U1075" s="20">
        <f>IF(OR(G1075="",AND(I1075&lt;&gt;"Transferencia",I1075&lt;&gt;"Pago tarjeta")),"",IF(IFERROR(INDEX(ctaMon,MATCH(G1075,ctaNom,0))&amp;"","DOP")=N1075,C1075,IF(N1075="USD",C1075*TasaUSD,C1075/TasaUSD)))</f>
        <v/>
      </c>
      <c r="V1075" s="20">
        <f>IF(I1075="","",IF(IFERROR(INDEX(ctaLiq,MATCH(E1075,ctaNom,0))="Sí",FALSE),IF(OR(I1075="Gasto",I1075="Transferencia",I1075="Pago tarjeta"),-1,1)*O1075,0)+IF(AND(U1075&lt;&gt;"",IFERROR(INDEX(ctaLiq,MATCH(G1075,ctaNom,0))="Sí",FALSE)),O1075,0))</f>
        <v/>
      </c>
      <c r="W1075" s="19">
        <f>IF(OR(F1075="",I1075=""),"",IF(COUNTIFS(F$6:F1075,F1075,I$6:I1075,"?*")=1,MAX(W$5:W1074)+1,""))</f>
        <v/>
      </c>
    </row>
    <row r="1076">
      <c r="B1076" s="15" t="n"/>
      <c r="C1076" s="16" t="n"/>
      <c r="D1076" s="17" t="n"/>
      <c r="E1076" s="17" t="n"/>
      <c r="F1076" s="17" t="n"/>
      <c r="G1076" s="17" t="n"/>
      <c r="H1076" s="18">
        <f>IF(AND(B1076="",C1076="",D1076="",E1076=""),"",IF(B1076="","⚠ Falta fecha",IF(C1076="","⚠ Falta monto",IF(D1076="","⚠ Falta categoría",IF(ISNA(MATCH(D1076,catNom,0)),"⚠ Categoría no existe",IF(E1076="","⚠ Falta cuenta",IF(ISNA(MATCH(E1076,ctaNom,0)),"⚠ Cuenta no existe",IF(AND(OR(I1076="Transferencia",I1076="Pago tarjeta"),G1076=""),"⚠ Indica la cuenta «Hacia»",IF(AND(G1076&lt;&gt;"",G1076=E1076),"⚠ «Hacia» igual a la cuenta",IF(AND(G1076&lt;&gt;"",ISNA(MATCH(G1076,ctaNom,0))),"⚠ «Hacia» no existe",IF(AND(I1076="Pago tarjeta",IFERROR(INDEX(ctaTipo,MATCH(G1076,ctaNom,0)),"")&lt;&gt;"Tarjeta de crédito"),"⚠ «Hacia» debe ser la tarjeta",IF(AND(I1076="Trading",IFERROR(INDEX(ctaTipo,MATCH(E1076,ctaNom,0)),"")&lt;&gt;"Cuenta de trading"),"⚠ Usa la cuenta de trading","✓"))))))))))))</f>
        <v/>
      </c>
      <c r="I1076" s="19">
        <f>IF(OR(B1076="",C1076="",D1076=""),"",IFERROR(INDEX(catTipo,MATCH(D1076,catNom,0))&amp;"",""))</f>
        <v/>
      </c>
      <c r="J1076" s="19">
        <f>IF(I1076="","",IFERROR(INDEX(catGrupo,MATCH(D1076,catNom,0))&amp;"",""))</f>
        <v/>
      </c>
      <c r="K1076" s="19">
        <f>IF(I1076="Gasto",IF(IFERROR(INDEX(catClas,MATCH(D1076,catNom,0))&amp;"","")="","Variable",IFERROR(INDEX(catClas,MATCH(D1076,catNom,0))&amp;"","")),"")</f>
        <v/>
      </c>
      <c r="L1076" s="19">
        <f>IF(I1076="","",IFERROR(INDEX(catAlim,MATCH(D1076,catNom,0))&amp;"",""))</f>
        <v/>
      </c>
      <c r="M1076" s="19">
        <f>IF(I1076="","",IFERROR(INDEX(catComida,MATCH(D1076,catNom,0))&amp;"",""))</f>
        <v/>
      </c>
      <c r="N1076" s="19">
        <f>IF(I1076="","",IFERROR(INDEX(ctaMon,MATCH(E1076,ctaNom,0))&amp;"","DOP"))</f>
        <v/>
      </c>
      <c r="O1076" s="20">
        <f>IF(I1076="","",C1076*IF(N1076="USD",TasaUSD,1))</f>
        <v/>
      </c>
      <c r="P1076" s="20">
        <f>IF(I1076="","",IF(I1076="Gasto",O1076,0))</f>
        <v/>
      </c>
      <c r="Q1076" s="20">
        <f>IF(I1076="","",IF(I1076="Ingreso",O1076,0))</f>
        <v/>
      </c>
      <c r="R1076" s="20">
        <f>IF(I1076="","",IF(I1076="Trading",O1076,0))</f>
        <v/>
      </c>
      <c r="S1076" s="19">
        <f>IF(I1076="","",IF(AND(I1076="Gasto",K1076="Variable",J1076&lt;&gt;"Trading",O1076&gt;0,O1076&lt;=Umbral),1,0))</f>
        <v/>
      </c>
      <c r="T1076" s="20">
        <f>IF(OR(I1076="",E1076=""),"",IF(OR(I1076="Gasto",I1076="Transferencia",I1076="Pago tarjeta"),-1,1)*C1076)</f>
        <v/>
      </c>
      <c r="U1076" s="20">
        <f>IF(OR(G1076="",AND(I1076&lt;&gt;"Transferencia",I1076&lt;&gt;"Pago tarjeta")),"",IF(IFERROR(INDEX(ctaMon,MATCH(G1076,ctaNom,0))&amp;"","DOP")=N1076,C1076,IF(N1076="USD",C1076*TasaUSD,C1076/TasaUSD)))</f>
        <v/>
      </c>
      <c r="V1076" s="20">
        <f>IF(I1076="","",IF(IFERROR(INDEX(ctaLiq,MATCH(E1076,ctaNom,0))="Sí",FALSE),IF(OR(I1076="Gasto",I1076="Transferencia",I1076="Pago tarjeta"),-1,1)*O1076,0)+IF(AND(U1076&lt;&gt;"",IFERROR(INDEX(ctaLiq,MATCH(G1076,ctaNom,0))="Sí",FALSE)),O1076,0))</f>
        <v/>
      </c>
      <c r="W1076" s="19">
        <f>IF(OR(F1076="",I1076=""),"",IF(COUNTIFS(F$6:F1076,F1076,I$6:I1076,"?*")=1,MAX(W$5:W1075)+1,""))</f>
        <v/>
      </c>
    </row>
    <row r="1077">
      <c r="B1077" s="15" t="n"/>
      <c r="C1077" s="16" t="n"/>
      <c r="D1077" s="17" t="n"/>
      <c r="E1077" s="17" t="n"/>
      <c r="F1077" s="17" t="n"/>
      <c r="G1077" s="17" t="n"/>
      <c r="H1077" s="18">
        <f>IF(AND(B1077="",C1077="",D1077="",E1077=""),"",IF(B1077="","⚠ Falta fecha",IF(C1077="","⚠ Falta monto",IF(D1077="","⚠ Falta categoría",IF(ISNA(MATCH(D1077,catNom,0)),"⚠ Categoría no existe",IF(E1077="","⚠ Falta cuenta",IF(ISNA(MATCH(E1077,ctaNom,0)),"⚠ Cuenta no existe",IF(AND(OR(I1077="Transferencia",I1077="Pago tarjeta"),G1077=""),"⚠ Indica la cuenta «Hacia»",IF(AND(G1077&lt;&gt;"",G1077=E1077),"⚠ «Hacia» igual a la cuenta",IF(AND(G1077&lt;&gt;"",ISNA(MATCH(G1077,ctaNom,0))),"⚠ «Hacia» no existe",IF(AND(I1077="Pago tarjeta",IFERROR(INDEX(ctaTipo,MATCH(G1077,ctaNom,0)),"")&lt;&gt;"Tarjeta de crédito"),"⚠ «Hacia» debe ser la tarjeta",IF(AND(I1077="Trading",IFERROR(INDEX(ctaTipo,MATCH(E1077,ctaNom,0)),"")&lt;&gt;"Cuenta de trading"),"⚠ Usa la cuenta de trading","✓"))))))))))))</f>
        <v/>
      </c>
      <c r="I1077" s="19">
        <f>IF(OR(B1077="",C1077="",D1077=""),"",IFERROR(INDEX(catTipo,MATCH(D1077,catNom,0))&amp;"",""))</f>
        <v/>
      </c>
      <c r="J1077" s="19">
        <f>IF(I1077="","",IFERROR(INDEX(catGrupo,MATCH(D1077,catNom,0))&amp;"",""))</f>
        <v/>
      </c>
      <c r="K1077" s="19">
        <f>IF(I1077="Gasto",IF(IFERROR(INDEX(catClas,MATCH(D1077,catNom,0))&amp;"","")="","Variable",IFERROR(INDEX(catClas,MATCH(D1077,catNom,0))&amp;"","")),"")</f>
        <v/>
      </c>
      <c r="L1077" s="19">
        <f>IF(I1077="","",IFERROR(INDEX(catAlim,MATCH(D1077,catNom,0))&amp;"",""))</f>
        <v/>
      </c>
      <c r="M1077" s="19">
        <f>IF(I1077="","",IFERROR(INDEX(catComida,MATCH(D1077,catNom,0))&amp;"",""))</f>
        <v/>
      </c>
      <c r="N1077" s="19">
        <f>IF(I1077="","",IFERROR(INDEX(ctaMon,MATCH(E1077,ctaNom,0))&amp;"","DOP"))</f>
        <v/>
      </c>
      <c r="O1077" s="20">
        <f>IF(I1077="","",C1077*IF(N1077="USD",TasaUSD,1))</f>
        <v/>
      </c>
      <c r="P1077" s="20">
        <f>IF(I1077="","",IF(I1077="Gasto",O1077,0))</f>
        <v/>
      </c>
      <c r="Q1077" s="20">
        <f>IF(I1077="","",IF(I1077="Ingreso",O1077,0))</f>
        <v/>
      </c>
      <c r="R1077" s="20">
        <f>IF(I1077="","",IF(I1077="Trading",O1077,0))</f>
        <v/>
      </c>
      <c r="S1077" s="19">
        <f>IF(I1077="","",IF(AND(I1077="Gasto",K1077="Variable",J1077&lt;&gt;"Trading",O1077&gt;0,O1077&lt;=Umbral),1,0))</f>
        <v/>
      </c>
      <c r="T1077" s="20">
        <f>IF(OR(I1077="",E1077=""),"",IF(OR(I1077="Gasto",I1077="Transferencia",I1077="Pago tarjeta"),-1,1)*C1077)</f>
        <v/>
      </c>
      <c r="U1077" s="20">
        <f>IF(OR(G1077="",AND(I1077&lt;&gt;"Transferencia",I1077&lt;&gt;"Pago tarjeta")),"",IF(IFERROR(INDEX(ctaMon,MATCH(G1077,ctaNom,0))&amp;"","DOP")=N1077,C1077,IF(N1077="USD",C1077*TasaUSD,C1077/TasaUSD)))</f>
        <v/>
      </c>
      <c r="V1077" s="20">
        <f>IF(I1077="","",IF(IFERROR(INDEX(ctaLiq,MATCH(E1077,ctaNom,0))="Sí",FALSE),IF(OR(I1077="Gasto",I1077="Transferencia",I1077="Pago tarjeta"),-1,1)*O1077,0)+IF(AND(U1077&lt;&gt;"",IFERROR(INDEX(ctaLiq,MATCH(G1077,ctaNom,0))="Sí",FALSE)),O1077,0))</f>
        <v/>
      </c>
      <c r="W1077" s="19">
        <f>IF(OR(F1077="",I1077=""),"",IF(COUNTIFS(F$6:F1077,F1077,I$6:I1077,"?*")=1,MAX(W$5:W1076)+1,""))</f>
        <v/>
      </c>
    </row>
    <row r="1078">
      <c r="B1078" s="15" t="n"/>
      <c r="C1078" s="16" t="n"/>
      <c r="D1078" s="17" t="n"/>
      <c r="E1078" s="17" t="n"/>
      <c r="F1078" s="17" t="n"/>
      <c r="G1078" s="17" t="n"/>
      <c r="H1078" s="18">
        <f>IF(AND(B1078="",C1078="",D1078="",E1078=""),"",IF(B1078="","⚠ Falta fecha",IF(C1078="","⚠ Falta monto",IF(D1078="","⚠ Falta categoría",IF(ISNA(MATCH(D1078,catNom,0)),"⚠ Categoría no existe",IF(E1078="","⚠ Falta cuenta",IF(ISNA(MATCH(E1078,ctaNom,0)),"⚠ Cuenta no existe",IF(AND(OR(I1078="Transferencia",I1078="Pago tarjeta"),G1078=""),"⚠ Indica la cuenta «Hacia»",IF(AND(G1078&lt;&gt;"",G1078=E1078),"⚠ «Hacia» igual a la cuenta",IF(AND(G1078&lt;&gt;"",ISNA(MATCH(G1078,ctaNom,0))),"⚠ «Hacia» no existe",IF(AND(I1078="Pago tarjeta",IFERROR(INDEX(ctaTipo,MATCH(G1078,ctaNom,0)),"")&lt;&gt;"Tarjeta de crédito"),"⚠ «Hacia» debe ser la tarjeta",IF(AND(I1078="Trading",IFERROR(INDEX(ctaTipo,MATCH(E1078,ctaNom,0)),"")&lt;&gt;"Cuenta de trading"),"⚠ Usa la cuenta de trading","✓"))))))))))))</f>
        <v/>
      </c>
      <c r="I1078" s="19">
        <f>IF(OR(B1078="",C1078="",D1078=""),"",IFERROR(INDEX(catTipo,MATCH(D1078,catNom,0))&amp;"",""))</f>
        <v/>
      </c>
      <c r="J1078" s="19">
        <f>IF(I1078="","",IFERROR(INDEX(catGrupo,MATCH(D1078,catNom,0))&amp;"",""))</f>
        <v/>
      </c>
      <c r="K1078" s="19">
        <f>IF(I1078="Gasto",IF(IFERROR(INDEX(catClas,MATCH(D1078,catNom,0))&amp;"","")="","Variable",IFERROR(INDEX(catClas,MATCH(D1078,catNom,0))&amp;"","")),"")</f>
        <v/>
      </c>
      <c r="L1078" s="19">
        <f>IF(I1078="","",IFERROR(INDEX(catAlim,MATCH(D1078,catNom,0))&amp;"",""))</f>
        <v/>
      </c>
      <c r="M1078" s="19">
        <f>IF(I1078="","",IFERROR(INDEX(catComida,MATCH(D1078,catNom,0))&amp;"",""))</f>
        <v/>
      </c>
      <c r="N1078" s="19">
        <f>IF(I1078="","",IFERROR(INDEX(ctaMon,MATCH(E1078,ctaNom,0))&amp;"","DOP"))</f>
        <v/>
      </c>
      <c r="O1078" s="20">
        <f>IF(I1078="","",C1078*IF(N1078="USD",TasaUSD,1))</f>
        <v/>
      </c>
      <c r="P1078" s="20">
        <f>IF(I1078="","",IF(I1078="Gasto",O1078,0))</f>
        <v/>
      </c>
      <c r="Q1078" s="20">
        <f>IF(I1078="","",IF(I1078="Ingreso",O1078,0))</f>
        <v/>
      </c>
      <c r="R1078" s="20">
        <f>IF(I1078="","",IF(I1078="Trading",O1078,0))</f>
        <v/>
      </c>
      <c r="S1078" s="19">
        <f>IF(I1078="","",IF(AND(I1078="Gasto",K1078="Variable",J1078&lt;&gt;"Trading",O1078&gt;0,O1078&lt;=Umbral),1,0))</f>
        <v/>
      </c>
      <c r="T1078" s="20">
        <f>IF(OR(I1078="",E1078=""),"",IF(OR(I1078="Gasto",I1078="Transferencia",I1078="Pago tarjeta"),-1,1)*C1078)</f>
        <v/>
      </c>
      <c r="U1078" s="20">
        <f>IF(OR(G1078="",AND(I1078&lt;&gt;"Transferencia",I1078&lt;&gt;"Pago tarjeta")),"",IF(IFERROR(INDEX(ctaMon,MATCH(G1078,ctaNom,0))&amp;"","DOP")=N1078,C1078,IF(N1078="USD",C1078*TasaUSD,C1078/TasaUSD)))</f>
        <v/>
      </c>
      <c r="V1078" s="20">
        <f>IF(I1078="","",IF(IFERROR(INDEX(ctaLiq,MATCH(E1078,ctaNom,0))="Sí",FALSE),IF(OR(I1078="Gasto",I1078="Transferencia",I1078="Pago tarjeta"),-1,1)*O1078,0)+IF(AND(U1078&lt;&gt;"",IFERROR(INDEX(ctaLiq,MATCH(G1078,ctaNom,0))="Sí",FALSE)),O1078,0))</f>
        <v/>
      </c>
      <c r="W1078" s="19">
        <f>IF(OR(F1078="",I1078=""),"",IF(COUNTIFS(F$6:F1078,F1078,I$6:I1078,"?*")=1,MAX(W$5:W1077)+1,""))</f>
        <v/>
      </c>
    </row>
    <row r="1079">
      <c r="B1079" s="15" t="n"/>
      <c r="C1079" s="16" t="n"/>
      <c r="D1079" s="17" t="n"/>
      <c r="E1079" s="17" t="n"/>
      <c r="F1079" s="17" t="n"/>
      <c r="G1079" s="17" t="n"/>
      <c r="H1079" s="18">
        <f>IF(AND(B1079="",C1079="",D1079="",E1079=""),"",IF(B1079="","⚠ Falta fecha",IF(C1079="","⚠ Falta monto",IF(D1079="","⚠ Falta categoría",IF(ISNA(MATCH(D1079,catNom,0)),"⚠ Categoría no existe",IF(E1079="","⚠ Falta cuenta",IF(ISNA(MATCH(E1079,ctaNom,0)),"⚠ Cuenta no existe",IF(AND(OR(I1079="Transferencia",I1079="Pago tarjeta"),G1079=""),"⚠ Indica la cuenta «Hacia»",IF(AND(G1079&lt;&gt;"",G1079=E1079),"⚠ «Hacia» igual a la cuenta",IF(AND(G1079&lt;&gt;"",ISNA(MATCH(G1079,ctaNom,0))),"⚠ «Hacia» no existe",IF(AND(I1079="Pago tarjeta",IFERROR(INDEX(ctaTipo,MATCH(G1079,ctaNom,0)),"")&lt;&gt;"Tarjeta de crédito"),"⚠ «Hacia» debe ser la tarjeta",IF(AND(I1079="Trading",IFERROR(INDEX(ctaTipo,MATCH(E1079,ctaNom,0)),"")&lt;&gt;"Cuenta de trading"),"⚠ Usa la cuenta de trading","✓"))))))))))))</f>
        <v/>
      </c>
      <c r="I1079" s="19">
        <f>IF(OR(B1079="",C1079="",D1079=""),"",IFERROR(INDEX(catTipo,MATCH(D1079,catNom,0))&amp;"",""))</f>
        <v/>
      </c>
      <c r="J1079" s="19">
        <f>IF(I1079="","",IFERROR(INDEX(catGrupo,MATCH(D1079,catNom,0))&amp;"",""))</f>
        <v/>
      </c>
      <c r="K1079" s="19">
        <f>IF(I1079="Gasto",IF(IFERROR(INDEX(catClas,MATCH(D1079,catNom,0))&amp;"","")="","Variable",IFERROR(INDEX(catClas,MATCH(D1079,catNom,0))&amp;"","")),"")</f>
        <v/>
      </c>
      <c r="L1079" s="19">
        <f>IF(I1079="","",IFERROR(INDEX(catAlim,MATCH(D1079,catNom,0))&amp;"",""))</f>
        <v/>
      </c>
      <c r="M1079" s="19">
        <f>IF(I1079="","",IFERROR(INDEX(catComida,MATCH(D1079,catNom,0))&amp;"",""))</f>
        <v/>
      </c>
      <c r="N1079" s="19">
        <f>IF(I1079="","",IFERROR(INDEX(ctaMon,MATCH(E1079,ctaNom,0))&amp;"","DOP"))</f>
        <v/>
      </c>
      <c r="O1079" s="20">
        <f>IF(I1079="","",C1079*IF(N1079="USD",TasaUSD,1))</f>
        <v/>
      </c>
      <c r="P1079" s="20">
        <f>IF(I1079="","",IF(I1079="Gasto",O1079,0))</f>
        <v/>
      </c>
      <c r="Q1079" s="20">
        <f>IF(I1079="","",IF(I1079="Ingreso",O1079,0))</f>
        <v/>
      </c>
      <c r="R1079" s="20">
        <f>IF(I1079="","",IF(I1079="Trading",O1079,0))</f>
        <v/>
      </c>
      <c r="S1079" s="19">
        <f>IF(I1079="","",IF(AND(I1079="Gasto",K1079="Variable",J1079&lt;&gt;"Trading",O1079&gt;0,O1079&lt;=Umbral),1,0))</f>
        <v/>
      </c>
      <c r="T1079" s="20">
        <f>IF(OR(I1079="",E1079=""),"",IF(OR(I1079="Gasto",I1079="Transferencia",I1079="Pago tarjeta"),-1,1)*C1079)</f>
        <v/>
      </c>
      <c r="U1079" s="20">
        <f>IF(OR(G1079="",AND(I1079&lt;&gt;"Transferencia",I1079&lt;&gt;"Pago tarjeta")),"",IF(IFERROR(INDEX(ctaMon,MATCH(G1079,ctaNom,0))&amp;"","DOP")=N1079,C1079,IF(N1079="USD",C1079*TasaUSD,C1079/TasaUSD)))</f>
        <v/>
      </c>
      <c r="V1079" s="20">
        <f>IF(I1079="","",IF(IFERROR(INDEX(ctaLiq,MATCH(E1079,ctaNom,0))="Sí",FALSE),IF(OR(I1079="Gasto",I1079="Transferencia",I1079="Pago tarjeta"),-1,1)*O1079,0)+IF(AND(U1079&lt;&gt;"",IFERROR(INDEX(ctaLiq,MATCH(G1079,ctaNom,0))="Sí",FALSE)),O1079,0))</f>
        <v/>
      </c>
      <c r="W1079" s="19">
        <f>IF(OR(F1079="",I1079=""),"",IF(COUNTIFS(F$6:F1079,F1079,I$6:I1079,"?*")=1,MAX(W$5:W1078)+1,""))</f>
        <v/>
      </c>
    </row>
    <row r="1080">
      <c r="B1080" s="15" t="n"/>
      <c r="C1080" s="16" t="n"/>
      <c r="D1080" s="17" t="n"/>
      <c r="E1080" s="17" t="n"/>
      <c r="F1080" s="17" t="n"/>
      <c r="G1080" s="17" t="n"/>
      <c r="H1080" s="18">
        <f>IF(AND(B1080="",C1080="",D1080="",E1080=""),"",IF(B1080="","⚠ Falta fecha",IF(C1080="","⚠ Falta monto",IF(D1080="","⚠ Falta categoría",IF(ISNA(MATCH(D1080,catNom,0)),"⚠ Categoría no existe",IF(E1080="","⚠ Falta cuenta",IF(ISNA(MATCH(E1080,ctaNom,0)),"⚠ Cuenta no existe",IF(AND(OR(I1080="Transferencia",I1080="Pago tarjeta"),G1080=""),"⚠ Indica la cuenta «Hacia»",IF(AND(G1080&lt;&gt;"",G1080=E1080),"⚠ «Hacia» igual a la cuenta",IF(AND(G1080&lt;&gt;"",ISNA(MATCH(G1080,ctaNom,0))),"⚠ «Hacia» no existe",IF(AND(I1080="Pago tarjeta",IFERROR(INDEX(ctaTipo,MATCH(G1080,ctaNom,0)),"")&lt;&gt;"Tarjeta de crédito"),"⚠ «Hacia» debe ser la tarjeta",IF(AND(I1080="Trading",IFERROR(INDEX(ctaTipo,MATCH(E1080,ctaNom,0)),"")&lt;&gt;"Cuenta de trading"),"⚠ Usa la cuenta de trading","✓"))))))))))))</f>
        <v/>
      </c>
      <c r="I1080" s="19">
        <f>IF(OR(B1080="",C1080="",D1080=""),"",IFERROR(INDEX(catTipo,MATCH(D1080,catNom,0))&amp;"",""))</f>
        <v/>
      </c>
      <c r="J1080" s="19">
        <f>IF(I1080="","",IFERROR(INDEX(catGrupo,MATCH(D1080,catNom,0))&amp;"",""))</f>
        <v/>
      </c>
      <c r="K1080" s="19">
        <f>IF(I1080="Gasto",IF(IFERROR(INDEX(catClas,MATCH(D1080,catNom,0))&amp;"","")="","Variable",IFERROR(INDEX(catClas,MATCH(D1080,catNom,0))&amp;"","")),"")</f>
        <v/>
      </c>
      <c r="L1080" s="19">
        <f>IF(I1080="","",IFERROR(INDEX(catAlim,MATCH(D1080,catNom,0))&amp;"",""))</f>
        <v/>
      </c>
      <c r="M1080" s="19">
        <f>IF(I1080="","",IFERROR(INDEX(catComida,MATCH(D1080,catNom,0))&amp;"",""))</f>
        <v/>
      </c>
      <c r="N1080" s="19">
        <f>IF(I1080="","",IFERROR(INDEX(ctaMon,MATCH(E1080,ctaNom,0))&amp;"","DOP"))</f>
        <v/>
      </c>
      <c r="O1080" s="20">
        <f>IF(I1080="","",C1080*IF(N1080="USD",TasaUSD,1))</f>
        <v/>
      </c>
      <c r="P1080" s="20">
        <f>IF(I1080="","",IF(I1080="Gasto",O1080,0))</f>
        <v/>
      </c>
      <c r="Q1080" s="20">
        <f>IF(I1080="","",IF(I1080="Ingreso",O1080,0))</f>
        <v/>
      </c>
      <c r="R1080" s="20">
        <f>IF(I1080="","",IF(I1080="Trading",O1080,0))</f>
        <v/>
      </c>
      <c r="S1080" s="19">
        <f>IF(I1080="","",IF(AND(I1080="Gasto",K1080="Variable",J1080&lt;&gt;"Trading",O1080&gt;0,O1080&lt;=Umbral),1,0))</f>
        <v/>
      </c>
      <c r="T1080" s="20">
        <f>IF(OR(I1080="",E1080=""),"",IF(OR(I1080="Gasto",I1080="Transferencia",I1080="Pago tarjeta"),-1,1)*C1080)</f>
        <v/>
      </c>
      <c r="U1080" s="20">
        <f>IF(OR(G1080="",AND(I1080&lt;&gt;"Transferencia",I1080&lt;&gt;"Pago tarjeta")),"",IF(IFERROR(INDEX(ctaMon,MATCH(G1080,ctaNom,0))&amp;"","DOP")=N1080,C1080,IF(N1080="USD",C1080*TasaUSD,C1080/TasaUSD)))</f>
        <v/>
      </c>
      <c r="V1080" s="20">
        <f>IF(I1080="","",IF(IFERROR(INDEX(ctaLiq,MATCH(E1080,ctaNom,0))="Sí",FALSE),IF(OR(I1080="Gasto",I1080="Transferencia",I1080="Pago tarjeta"),-1,1)*O1080,0)+IF(AND(U1080&lt;&gt;"",IFERROR(INDEX(ctaLiq,MATCH(G1080,ctaNom,0))="Sí",FALSE)),O1080,0))</f>
        <v/>
      </c>
      <c r="W1080" s="19">
        <f>IF(OR(F1080="",I1080=""),"",IF(COUNTIFS(F$6:F1080,F1080,I$6:I1080,"?*")=1,MAX(W$5:W1079)+1,""))</f>
        <v/>
      </c>
    </row>
    <row r="1081">
      <c r="B1081" s="15" t="n"/>
      <c r="C1081" s="16" t="n"/>
      <c r="D1081" s="17" t="n"/>
      <c r="E1081" s="17" t="n"/>
      <c r="F1081" s="17" t="n"/>
      <c r="G1081" s="17" t="n"/>
      <c r="H1081" s="18">
        <f>IF(AND(B1081="",C1081="",D1081="",E1081=""),"",IF(B1081="","⚠ Falta fecha",IF(C1081="","⚠ Falta monto",IF(D1081="","⚠ Falta categoría",IF(ISNA(MATCH(D1081,catNom,0)),"⚠ Categoría no existe",IF(E1081="","⚠ Falta cuenta",IF(ISNA(MATCH(E1081,ctaNom,0)),"⚠ Cuenta no existe",IF(AND(OR(I1081="Transferencia",I1081="Pago tarjeta"),G1081=""),"⚠ Indica la cuenta «Hacia»",IF(AND(G1081&lt;&gt;"",G1081=E1081),"⚠ «Hacia» igual a la cuenta",IF(AND(G1081&lt;&gt;"",ISNA(MATCH(G1081,ctaNom,0))),"⚠ «Hacia» no existe",IF(AND(I1081="Pago tarjeta",IFERROR(INDEX(ctaTipo,MATCH(G1081,ctaNom,0)),"")&lt;&gt;"Tarjeta de crédito"),"⚠ «Hacia» debe ser la tarjeta",IF(AND(I1081="Trading",IFERROR(INDEX(ctaTipo,MATCH(E1081,ctaNom,0)),"")&lt;&gt;"Cuenta de trading"),"⚠ Usa la cuenta de trading","✓"))))))))))))</f>
        <v/>
      </c>
      <c r="I1081" s="19">
        <f>IF(OR(B1081="",C1081="",D1081=""),"",IFERROR(INDEX(catTipo,MATCH(D1081,catNom,0))&amp;"",""))</f>
        <v/>
      </c>
      <c r="J1081" s="19">
        <f>IF(I1081="","",IFERROR(INDEX(catGrupo,MATCH(D1081,catNom,0))&amp;"",""))</f>
        <v/>
      </c>
      <c r="K1081" s="19">
        <f>IF(I1081="Gasto",IF(IFERROR(INDEX(catClas,MATCH(D1081,catNom,0))&amp;"","")="","Variable",IFERROR(INDEX(catClas,MATCH(D1081,catNom,0))&amp;"","")),"")</f>
        <v/>
      </c>
      <c r="L1081" s="19">
        <f>IF(I1081="","",IFERROR(INDEX(catAlim,MATCH(D1081,catNom,0))&amp;"",""))</f>
        <v/>
      </c>
      <c r="M1081" s="19">
        <f>IF(I1081="","",IFERROR(INDEX(catComida,MATCH(D1081,catNom,0))&amp;"",""))</f>
        <v/>
      </c>
      <c r="N1081" s="19">
        <f>IF(I1081="","",IFERROR(INDEX(ctaMon,MATCH(E1081,ctaNom,0))&amp;"","DOP"))</f>
        <v/>
      </c>
      <c r="O1081" s="20">
        <f>IF(I1081="","",C1081*IF(N1081="USD",TasaUSD,1))</f>
        <v/>
      </c>
      <c r="P1081" s="20">
        <f>IF(I1081="","",IF(I1081="Gasto",O1081,0))</f>
        <v/>
      </c>
      <c r="Q1081" s="20">
        <f>IF(I1081="","",IF(I1081="Ingreso",O1081,0))</f>
        <v/>
      </c>
      <c r="R1081" s="20">
        <f>IF(I1081="","",IF(I1081="Trading",O1081,0))</f>
        <v/>
      </c>
      <c r="S1081" s="19">
        <f>IF(I1081="","",IF(AND(I1081="Gasto",K1081="Variable",J1081&lt;&gt;"Trading",O1081&gt;0,O1081&lt;=Umbral),1,0))</f>
        <v/>
      </c>
      <c r="T1081" s="20">
        <f>IF(OR(I1081="",E1081=""),"",IF(OR(I1081="Gasto",I1081="Transferencia",I1081="Pago tarjeta"),-1,1)*C1081)</f>
        <v/>
      </c>
      <c r="U1081" s="20">
        <f>IF(OR(G1081="",AND(I1081&lt;&gt;"Transferencia",I1081&lt;&gt;"Pago tarjeta")),"",IF(IFERROR(INDEX(ctaMon,MATCH(G1081,ctaNom,0))&amp;"","DOP")=N1081,C1081,IF(N1081="USD",C1081*TasaUSD,C1081/TasaUSD)))</f>
        <v/>
      </c>
      <c r="V1081" s="20">
        <f>IF(I1081="","",IF(IFERROR(INDEX(ctaLiq,MATCH(E1081,ctaNom,0))="Sí",FALSE),IF(OR(I1081="Gasto",I1081="Transferencia",I1081="Pago tarjeta"),-1,1)*O1081,0)+IF(AND(U1081&lt;&gt;"",IFERROR(INDEX(ctaLiq,MATCH(G1081,ctaNom,0))="Sí",FALSE)),O1081,0))</f>
        <v/>
      </c>
      <c r="W1081" s="19">
        <f>IF(OR(F1081="",I1081=""),"",IF(COUNTIFS(F$6:F1081,F1081,I$6:I1081,"?*")=1,MAX(W$5:W1080)+1,""))</f>
        <v/>
      </c>
    </row>
    <row r="1082">
      <c r="B1082" s="15" t="n"/>
      <c r="C1082" s="16" t="n"/>
      <c r="D1082" s="17" t="n"/>
      <c r="E1082" s="17" t="n"/>
      <c r="F1082" s="17" t="n"/>
      <c r="G1082" s="17" t="n"/>
      <c r="H1082" s="18">
        <f>IF(AND(B1082="",C1082="",D1082="",E1082=""),"",IF(B1082="","⚠ Falta fecha",IF(C1082="","⚠ Falta monto",IF(D1082="","⚠ Falta categoría",IF(ISNA(MATCH(D1082,catNom,0)),"⚠ Categoría no existe",IF(E1082="","⚠ Falta cuenta",IF(ISNA(MATCH(E1082,ctaNom,0)),"⚠ Cuenta no existe",IF(AND(OR(I1082="Transferencia",I1082="Pago tarjeta"),G1082=""),"⚠ Indica la cuenta «Hacia»",IF(AND(G1082&lt;&gt;"",G1082=E1082),"⚠ «Hacia» igual a la cuenta",IF(AND(G1082&lt;&gt;"",ISNA(MATCH(G1082,ctaNom,0))),"⚠ «Hacia» no existe",IF(AND(I1082="Pago tarjeta",IFERROR(INDEX(ctaTipo,MATCH(G1082,ctaNom,0)),"")&lt;&gt;"Tarjeta de crédito"),"⚠ «Hacia» debe ser la tarjeta",IF(AND(I1082="Trading",IFERROR(INDEX(ctaTipo,MATCH(E1082,ctaNom,0)),"")&lt;&gt;"Cuenta de trading"),"⚠ Usa la cuenta de trading","✓"))))))))))))</f>
        <v/>
      </c>
      <c r="I1082" s="19">
        <f>IF(OR(B1082="",C1082="",D1082=""),"",IFERROR(INDEX(catTipo,MATCH(D1082,catNom,0))&amp;"",""))</f>
        <v/>
      </c>
      <c r="J1082" s="19">
        <f>IF(I1082="","",IFERROR(INDEX(catGrupo,MATCH(D1082,catNom,0))&amp;"",""))</f>
        <v/>
      </c>
      <c r="K1082" s="19">
        <f>IF(I1082="Gasto",IF(IFERROR(INDEX(catClas,MATCH(D1082,catNom,0))&amp;"","")="","Variable",IFERROR(INDEX(catClas,MATCH(D1082,catNom,0))&amp;"","")),"")</f>
        <v/>
      </c>
      <c r="L1082" s="19">
        <f>IF(I1082="","",IFERROR(INDEX(catAlim,MATCH(D1082,catNom,0))&amp;"",""))</f>
        <v/>
      </c>
      <c r="M1082" s="19">
        <f>IF(I1082="","",IFERROR(INDEX(catComida,MATCH(D1082,catNom,0))&amp;"",""))</f>
        <v/>
      </c>
      <c r="N1082" s="19">
        <f>IF(I1082="","",IFERROR(INDEX(ctaMon,MATCH(E1082,ctaNom,0))&amp;"","DOP"))</f>
        <v/>
      </c>
      <c r="O1082" s="20">
        <f>IF(I1082="","",C1082*IF(N1082="USD",TasaUSD,1))</f>
        <v/>
      </c>
      <c r="P1082" s="20">
        <f>IF(I1082="","",IF(I1082="Gasto",O1082,0))</f>
        <v/>
      </c>
      <c r="Q1082" s="20">
        <f>IF(I1082="","",IF(I1082="Ingreso",O1082,0))</f>
        <v/>
      </c>
      <c r="R1082" s="20">
        <f>IF(I1082="","",IF(I1082="Trading",O1082,0))</f>
        <v/>
      </c>
      <c r="S1082" s="19">
        <f>IF(I1082="","",IF(AND(I1082="Gasto",K1082="Variable",J1082&lt;&gt;"Trading",O1082&gt;0,O1082&lt;=Umbral),1,0))</f>
        <v/>
      </c>
      <c r="T1082" s="20">
        <f>IF(OR(I1082="",E1082=""),"",IF(OR(I1082="Gasto",I1082="Transferencia",I1082="Pago tarjeta"),-1,1)*C1082)</f>
        <v/>
      </c>
      <c r="U1082" s="20">
        <f>IF(OR(G1082="",AND(I1082&lt;&gt;"Transferencia",I1082&lt;&gt;"Pago tarjeta")),"",IF(IFERROR(INDEX(ctaMon,MATCH(G1082,ctaNom,0))&amp;"","DOP")=N1082,C1082,IF(N1082="USD",C1082*TasaUSD,C1082/TasaUSD)))</f>
        <v/>
      </c>
      <c r="V1082" s="20">
        <f>IF(I1082="","",IF(IFERROR(INDEX(ctaLiq,MATCH(E1082,ctaNom,0))="Sí",FALSE),IF(OR(I1082="Gasto",I1082="Transferencia",I1082="Pago tarjeta"),-1,1)*O1082,0)+IF(AND(U1082&lt;&gt;"",IFERROR(INDEX(ctaLiq,MATCH(G1082,ctaNom,0))="Sí",FALSE)),O1082,0))</f>
        <v/>
      </c>
      <c r="W1082" s="19">
        <f>IF(OR(F1082="",I1082=""),"",IF(COUNTIFS(F$6:F1082,F1082,I$6:I1082,"?*")=1,MAX(W$5:W1081)+1,""))</f>
        <v/>
      </c>
    </row>
    <row r="1083">
      <c r="B1083" s="15" t="n"/>
      <c r="C1083" s="16" t="n"/>
      <c r="D1083" s="17" t="n"/>
      <c r="E1083" s="17" t="n"/>
      <c r="F1083" s="17" t="n"/>
      <c r="G1083" s="17" t="n"/>
      <c r="H1083" s="18">
        <f>IF(AND(B1083="",C1083="",D1083="",E1083=""),"",IF(B1083="","⚠ Falta fecha",IF(C1083="","⚠ Falta monto",IF(D1083="","⚠ Falta categoría",IF(ISNA(MATCH(D1083,catNom,0)),"⚠ Categoría no existe",IF(E1083="","⚠ Falta cuenta",IF(ISNA(MATCH(E1083,ctaNom,0)),"⚠ Cuenta no existe",IF(AND(OR(I1083="Transferencia",I1083="Pago tarjeta"),G1083=""),"⚠ Indica la cuenta «Hacia»",IF(AND(G1083&lt;&gt;"",G1083=E1083),"⚠ «Hacia» igual a la cuenta",IF(AND(G1083&lt;&gt;"",ISNA(MATCH(G1083,ctaNom,0))),"⚠ «Hacia» no existe",IF(AND(I1083="Pago tarjeta",IFERROR(INDEX(ctaTipo,MATCH(G1083,ctaNom,0)),"")&lt;&gt;"Tarjeta de crédito"),"⚠ «Hacia» debe ser la tarjeta",IF(AND(I1083="Trading",IFERROR(INDEX(ctaTipo,MATCH(E1083,ctaNom,0)),"")&lt;&gt;"Cuenta de trading"),"⚠ Usa la cuenta de trading","✓"))))))))))))</f>
        <v/>
      </c>
      <c r="I1083" s="19">
        <f>IF(OR(B1083="",C1083="",D1083=""),"",IFERROR(INDEX(catTipo,MATCH(D1083,catNom,0))&amp;"",""))</f>
        <v/>
      </c>
      <c r="J1083" s="19">
        <f>IF(I1083="","",IFERROR(INDEX(catGrupo,MATCH(D1083,catNom,0))&amp;"",""))</f>
        <v/>
      </c>
      <c r="K1083" s="19">
        <f>IF(I1083="Gasto",IF(IFERROR(INDEX(catClas,MATCH(D1083,catNom,0))&amp;"","")="","Variable",IFERROR(INDEX(catClas,MATCH(D1083,catNom,0))&amp;"","")),"")</f>
        <v/>
      </c>
      <c r="L1083" s="19">
        <f>IF(I1083="","",IFERROR(INDEX(catAlim,MATCH(D1083,catNom,0))&amp;"",""))</f>
        <v/>
      </c>
      <c r="M1083" s="19">
        <f>IF(I1083="","",IFERROR(INDEX(catComida,MATCH(D1083,catNom,0))&amp;"",""))</f>
        <v/>
      </c>
      <c r="N1083" s="19">
        <f>IF(I1083="","",IFERROR(INDEX(ctaMon,MATCH(E1083,ctaNom,0))&amp;"","DOP"))</f>
        <v/>
      </c>
      <c r="O1083" s="20">
        <f>IF(I1083="","",C1083*IF(N1083="USD",TasaUSD,1))</f>
        <v/>
      </c>
      <c r="P1083" s="20">
        <f>IF(I1083="","",IF(I1083="Gasto",O1083,0))</f>
        <v/>
      </c>
      <c r="Q1083" s="20">
        <f>IF(I1083="","",IF(I1083="Ingreso",O1083,0))</f>
        <v/>
      </c>
      <c r="R1083" s="20">
        <f>IF(I1083="","",IF(I1083="Trading",O1083,0))</f>
        <v/>
      </c>
      <c r="S1083" s="19">
        <f>IF(I1083="","",IF(AND(I1083="Gasto",K1083="Variable",J1083&lt;&gt;"Trading",O1083&gt;0,O1083&lt;=Umbral),1,0))</f>
        <v/>
      </c>
      <c r="T1083" s="20">
        <f>IF(OR(I1083="",E1083=""),"",IF(OR(I1083="Gasto",I1083="Transferencia",I1083="Pago tarjeta"),-1,1)*C1083)</f>
        <v/>
      </c>
      <c r="U1083" s="20">
        <f>IF(OR(G1083="",AND(I1083&lt;&gt;"Transferencia",I1083&lt;&gt;"Pago tarjeta")),"",IF(IFERROR(INDEX(ctaMon,MATCH(G1083,ctaNom,0))&amp;"","DOP")=N1083,C1083,IF(N1083="USD",C1083*TasaUSD,C1083/TasaUSD)))</f>
        <v/>
      </c>
      <c r="V1083" s="20">
        <f>IF(I1083="","",IF(IFERROR(INDEX(ctaLiq,MATCH(E1083,ctaNom,0))="Sí",FALSE),IF(OR(I1083="Gasto",I1083="Transferencia",I1083="Pago tarjeta"),-1,1)*O1083,0)+IF(AND(U1083&lt;&gt;"",IFERROR(INDEX(ctaLiq,MATCH(G1083,ctaNom,0))="Sí",FALSE)),O1083,0))</f>
        <v/>
      </c>
      <c r="W1083" s="19">
        <f>IF(OR(F1083="",I1083=""),"",IF(COUNTIFS(F$6:F1083,F1083,I$6:I1083,"?*")=1,MAX(W$5:W1082)+1,""))</f>
        <v/>
      </c>
    </row>
    <row r="1084">
      <c r="B1084" s="15" t="n"/>
      <c r="C1084" s="16" t="n"/>
      <c r="D1084" s="17" t="n"/>
      <c r="E1084" s="17" t="n"/>
      <c r="F1084" s="17" t="n"/>
      <c r="G1084" s="17" t="n"/>
      <c r="H1084" s="18">
        <f>IF(AND(B1084="",C1084="",D1084="",E1084=""),"",IF(B1084="","⚠ Falta fecha",IF(C1084="","⚠ Falta monto",IF(D1084="","⚠ Falta categoría",IF(ISNA(MATCH(D1084,catNom,0)),"⚠ Categoría no existe",IF(E1084="","⚠ Falta cuenta",IF(ISNA(MATCH(E1084,ctaNom,0)),"⚠ Cuenta no existe",IF(AND(OR(I1084="Transferencia",I1084="Pago tarjeta"),G1084=""),"⚠ Indica la cuenta «Hacia»",IF(AND(G1084&lt;&gt;"",G1084=E1084),"⚠ «Hacia» igual a la cuenta",IF(AND(G1084&lt;&gt;"",ISNA(MATCH(G1084,ctaNom,0))),"⚠ «Hacia» no existe",IF(AND(I1084="Pago tarjeta",IFERROR(INDEX(ctaTipo,MATCH(G1084,ctaNom,0)),"")&lt;&gt;"Tarjeta de crédito"),"⚠ «Hacia» debe ser la tarjeta",IF(AND(I1084="Trading",IFERROR(INDEX(ctaTipo,MATCH(E1084,ctaNom,0)),"")&lt;&gt;"Cuenta de trading"),"⚠ Usa la cuenta de trading","✓"))))))))))))</f>
        <v/>
      </c>
      <c r="I1084" s="19">
        <f>IF(OR(B1084="",C1084="",D1084=""),"",IFERROR(INDEX(catTipo,MATCH(D1084,catNom,0))&amp;"",""))</f>
        <v/>
      </c>
      <c r="J1084" s="19">
        <f>IF(I1084="","",IFERROR(INDEX(catGrupo,MATCH(D1084,catNom,0))&amp;"",""))</f>
        <v/>
      </c>
      <c r="K1084" s="19">
        <f>IF(I1084="Gasto",IF(IFERROR(INDEX(catClas,MATCH(D1084,catNom,0))&amp;"","")="","Variable",IFERROR(INDEX(catClas,MATCH(D1084,catNom,0))&amp;"","")),"")</f>
        <v/>
      </c>
      <c r="L1084" s="19">
        <f>IF(I1084="","",IFERROR(INDEX(catAlim,MATCH(D1084,catNom,0))&amp;"",""))</f>
        <v/>
      </c>
      <c r="M1084" s="19">
        <f>IF(I1084="","",IFERROR(INDEX(catComida,MATCH(D1084,catNom,0))&amp;"",""))</f>
        <v/>
      </c>
      <c r="N1084" s="19">
        <f>IF(I1084="","",IFERROR(INDEX(ctaMon,MATCH(E1084,ctaNom,0))&amp;"","DOP"))</f>
        <v/>
      </c>
      <c r="O1084" s="20">
        <f>IF(I1084="","",C1084*IF(N1084="USD",TasaUSD,1))</f>
        <v/>
      </c>
      <c r="P1084" s="20">
        <f>IF(I1084="","",IF(I1084="Gasto",O1084,0))</f>
        <v/>
      </c>
      <c r="Q1084" s="20">
        <f>IF(I1084="","",IF(I1084="Ingreso",O1084,0))</f>
        <v/>
      </c>
      <c r="R1084" s="20">
        <f>IF(I1084="","",IF(I1084="Trading",O1084,0))</f>
        <v/>
      </c>
      <c r="S1084" s="19">
        <f>IF(I1084="","",IF(AND(I1084="Gasto",K1084="Variable",J1084&lt;&gt;"Trading",O1084&gt;0,O1084&lt;=Umbral),1,0))</f>
        <v/>
      </c>
      <c r="T1084" s="20">
        <f>IF(OR(I1084="",E1084=""),"",IF(OR(I1084="Gasto",I1084="Transferencia",I1084="Pago tarjeta"),-1,1)*C1084)</f>
        <v/>
      </c>
      <c r="U1084" s="20">
        <f>IF(OR(G1084="",AND(I1084&lt;&gt;"Transferencia",I1084&lt;&gt;"Pago tarjeta")),"",IF(IFERROR(INDEX(ctaMon,MATCH(G1084,ctaNom,0))&amp;"","DOP")=N1084,C1084,IF(N1084="USD",C1084*TasaUSD,C1084/TasaUSD)))</f>
        <v/>
      </c>
      <c r="V1084" s="20">
        <f>IF(I1084="","",IF(IFERROR(INDEX(ctaLiq,MATCH(E1084,ctaNom,0))="Sí",FALSE),IF(OR(I1084="Gasto",I1084="Transferencia",I1084="Pago tarjeta"),-1,1)*O1084,0)+IF(AND(U1084&lt;&gt;"",IFERROR(INDEX(ctaLiq,MATCH(G1084,ctaNom,0))="Sí",FALSE)),O1084,0))</f>
        <v/>
      </c>
      <c r="W1084" s="19">
        <f>IF(OR(F1084="",I1084=""),"",IF(COUNTIFS(F$6:F1084,F1084,I$6:I1084,"?*")=1,MAX(W$5:W1083)+1,""))</f>
        <v/>
      </c>
    </row>
    <row r="1085">
      <c r="B1085" s="15" t="n"/>
      <c r="C1085" s="16" t="n"/>
      <c r="D1085" s="17" t="n"/>
      <c r="E1085" s="17" t="n"/>
      <c r="F1085" s="17" t="n"/>
      <c r="G1085" s="17" t="n"/>
      <c r="H1085" s="18">
        <f>IF(AND(B1085="",C1085="",D1085="",E1085=""),"",IF(B1085="","⚠ Falta fecha",IF(C1085="","⚠ Falta monto",IF(D1085="","⚠ Falta categoría",IF(ISNA(MATCH(D1085,catNom,0)),"⚠ Categoría no existe",IF(E1085="","⚠ Falta cuenta",IF(ISNA(MATCH(E1085,ctaNom,0)),"⚠ Cuenta no existe",IF(AND(OR(I1085="Transferencia",I1085="Pago tarjeta"),G1085=""),"⚠ Indica la cuenta «Hacia»",IF(AND(G1085&lt;&gt;"",G1085=E1085),"⚠ «Hacia» igual a la cuenta",IF(AND(G1085&lt;&gt;"",ISNA(MATCH(G1085,ctaNom,0))),"⚠ «Hacia» no existe",IF(AND(I1085="Pago tarjeta",IFERROR(INDEX(ctaTipo,MATCH(G1085,ctaNom,0)),"")&lt;&gt;"Tarjeta de crédito"),"⚠ «Hacia» debe ser la tarjeta",IF(AND(I1085="Trading",IFERROR(INDEX(ctaTipo,MATCH(E1085,ctaNom,0)),"")&lt;&gt;"Cuenta de trading"),"⚠ Usa la cuenta de trading","✓"))))))))))))</f>
        <v/>
      </c>
      <c r="I1085" s="19">
        <f>IF(OR(B1085="",C1085="",D1085=""),"",IFERROR(INDEX(catTipo,MATCH(D1085,catNom,0))&amp;"",""))</f>
        <v/>
      </c>
      <c r="J1085" s="19">
        <f>IF(I1085="","",IFERROR(INDEX(catGrupo,MATCH(D1085,catNom,0))&amp;"",""))</f>
        <v/>
      </c>
      <c r="K1085" s="19">
        <f>IF(I1085="Gasto",IF(IFERROR(INDEX(catClas,MATCH(D1085,catNom,0))&amp;"","")="","Variable",IFERROR(INDEX(catClas,MATCH(D1085,catNom,0))&amp;"","")),"")</f>
        <v/>
      </c>
      <c r="L1085" s="19">
        <f>IF(I1085="","",IFERROR(INDEX(catAlim,MATCH(D1085,catNom,0))&amp;"",""))</f>
        <v/>
      </c>
      <c r="M1085" s="19">
        <f>IF(I1085="","",IFERROR(INDEX(catComida,MATCH(D1085,catNom,0))&amp;"",""))</f>
        <v/>
      </c>
      <c r="N1085" s="19">
        <f>IF(I1085="","",IFERROR(INDEX(ctaMon,MATCH(E1085,ctaNom,0))&amp;"","DOP"))</f>
        <v/>
      </c>
      <c r="O1085" s="20">
        <f>IF(I1085="","",C1085*IF(N1085="USD",TasaUSD,1))</f>
        <v/>
      </c>
      <c r="P1085" s="20">
        <f>IF(I1085="","",IF(I1085="Gasto",O1085,0))</f>
        <v/>
      </c>
      <c r="Q1085" s="20">
        <f>IF(I1085="","",IF(I1085="Ingreso",O1085,0))</f>
        <v/>
      </c>
      <c r="R1085" s="20">
        <f>IF(I1085="","",IF(I1085="Trading",O1085,0))</f>
        <v/>
      </c>
      <c r="S1085" s="19">
        <f>IF(I1085="","",IF(AND(I1085="Gasto",K1085="Variable",J1085&lt;&gt;"Trading",O1085&gt;0,O1085&lt;=Umbral),1,0))</f>
        <v/>
      </c>
      <c r="T1085" s="20">
        <f>IF(OR(I1085="",E1085=""),"",IF(OR(I1085="Gasto",I1085="Transferencia",I1085="Pago tarjeta"),-1,1)*C1085)</f>
        <v/>
      </c>
      <c r="U1085" s="20">
        <f>IF(OR(G1085="",AND(I1085&lt;&gt;"Transferencia",I1085&lt;&gt;"Pago tarjeta")),"",IF(IFERROR(INDEX(ctaMon,MATCH(G1085,ctaNom,0))&amp;"","DOP")=N1085,C1085,IF(N1085="USD",C1085*TasaUSD,C1085/TasaUSD)))</f>
        <v/>
      </c>
      <c r="V1085" s="20">
        <f>IF(I1085="","",IF(IFERROR(INDEX(ctaLiq,MATCH(E1085,ctaNom,0))="Sí",FALSE),IF(OR(I1085="Gasto",I1085="Transferencia",I1085="Pago tarjeta"),-1,1)*O1085,0)+IF(AND(U1085&lt;&gt;"",IFERROR(INDEX(ctaLiq,MATCH(G1085,ctaNom,0))="Sí",FALSE)),O1085,0))</f>
        <v/>
      </c>
      <c r="W1085" s="19">
        <f>IF(OR(F1085="",I1085=""),"",IF(COUNTIFS(F$6:F1085,F1085,I$6:I1085,"?*")=1,MAX(W$5:W1084)+1,""))</f>
        <v/>
      </c>
    </row>
    <row r="1086">
      <c r="B1086" s="15" t="n"/>
      <c r="C1086" s="16" t="n"/>
      <c r="D1086" s="17" t="n"/>
      <c r="E1086" s="17" t="n"/>
      <c r="F1086" s="17" t="n"/>
      <c r="G1086" s="17" t="n"/>
      <c r="H1086" s="18">
        <f>IF(AND(B1086="",C1086="",D1086="",E1086=""),"",IF(B1086="","⚠ Falta fecha",IF(C1086="","⚠ Falta monto",IF(D1086="","⚠ Falta categoría",IF(ISNA(MATCH(D1086,catNom,0)),"⚠ Categoría no existe",IF(E1086="","⚠ Falta cuenta",IF(ISNA(MATCH(E1086,ctaNom,0)),"⚠ Cuenta no existe",IF(AND(OR(I1086="Transferencia",I1086="Pago tarjeta"),G1086=""),"⚠ Indica la cuenta «Hacia»",IF(AND(G1086&lt;&gt;"",G1086=E1086),"⚠ «Hacia» igual a la cuenta",IF(AND(G1086&lt;&gt;"",ISNA(MATCH(G1086,ctaNom,0))),"⚠ «Hacia» no existe",IF(AND(I1086="Pago tarjeta",IFERROR(INDEX(ctaTipo,MATCH(G1086,ctaNom,0)),"")&lt;&gt;"Tarjeta de crédito"),"⚠ «Hacia» debe ser la tarjeta",IF(AND(I1086="Trading",IFERROR(INDEX(ctaTipo,MATCH(E1086,ctaNom,0)),"")&lt;&gt;"Cuenta de trading"),"⚠ Usa la cuenta de trading","✓"))))))))))))</f>
        <v/>
      </c>
      <c r="I1086" s="19">
        <f>IF(OR(B1086="",C1086="",D1086=""),"",IFERROR(INDEX(catTipo,MATCH(D1086,catNom,0))&amp;"",""))</f>
        <v/>
      </c>
      <c r="J1086" s="19">
        <f>IF(I1086="","",IFERROR(INDEX(catGrupo,MATCH(D1086,catNom,0))&amp;"",""))</f>
        <v/>
      </c>
      <c r="K1086" s="19">
        <f>IF(I1086="Gasto",IF(IFERROR(INDEX(catClas,MATCH(D1086,catNom,0))&amp;"","")="","Variable",IFERROR(INDEX(catClas,MATCH(D1086,catNom,0))&amp;"","")),"")</f>
        <v/>
      </c>
      <c r="L1086" s="19">
        <f>IF(I1086="","",IFERROR(INDEX(catAlim,MATCH(D1086,catNom,0))&amp;"",""))</f>
        <v/>
      </c>
      <c r="M1086" s="19">
        <f>IF(I1086="","",IFERROR(INDEX(catComida,MATCH(D1086,catNom,0))&amp;"",""))</f>
        <v/>
      </c>
      <c r="N1086" s="19">
        <f>IF(I1086="","",IFERROR(INDEX(ctaMon,MATCH(E1086,ctaNom,0))&amp;"","DOP"))</f>
        <v/>
      </c>
      <c r="O1086" s="20">
        <f>IF(I1086="","",C1086*IF(N1086="USD",TasaUSD,1))</f>
        <v/>
      </c>
      <c r="P1086" s="20">
        <f>IF(I1086="","",IF(I1086="Gasto",O1086,0))</f>
        <v/>
      </c>
      <c r="Q1086" s="20">
        <f>IF(I1086="","",IF(I1086="Ingreso",O1086,0))</f>
        <v/>
      </c>
      <c r="R1086" s="20">
        <f>IF(I1086="","",IF(I1086="Trading",O1086,0))</f>
        <v/>
      </c>
      <c r="S1086" s="19">
        <f>IF(I1086="","",IF(AND(I1086="Gasto",K1086="Variable",J1086&lt;&gt;"Trading",O1086&gt;0,O1086&lt;=Umbral),1,0))</f>
        <v/>
      </c>
      <c r="T1086" s="20">
        <f>IF(OR(I1086="",E1086=""),"",IF(OR(I1086="Gasto",I1086="Transferencia",I1086="Pago tarjeta"),-1,1)*C1086)</f>
        <v/>
      </c>
      <c r="U1086" s="20">
        <f>IF(OR(G1086="",AND(I1086&lt;&gt;"Transferencia",I1086&lt;&gt;"Pago tarjeta")),"",IF(IFERROR(INDEX(ctaMon,MATCH(G1086,ctaNom,0))&amp;"","DOP")=N1086,C1086,IF(N1086="USD",C1086*TasaUSD,C1086/TasaUSD)))</f>
        <v/>
      </c>
      <c r="V1086" s="20">
        <f>IF(I1086="","",IF(IFERROR(INDEX(ctaLiq,MATCH(E1086,ctaNom,0))="Sí",FALSE),IF(OR(I1086="Gasto",I1086="Transferencia",I1086="Pago tarjeta"),-1,1)*O1086,0)+IF(AND(U1086&lt;&gt;"",IFERROR(INDEX(ctaLiq,MATCH(G1086,ctaNom,0))="Sí",FALSE)),O1086,0))</f>
        <v/>
      </c>
      <c r="W1086" s="19">
        <f>IF(OR(F1086="",I1086=""),"",IF(COUNTIFS(F$6:F1086,F1086,I$6:I1086,"?*")=1,MAX(W$5:W1085)+1,""))</f>
        <v/>
      </c>
    </row>
    <row r="1087">
      <c r="B1087" s="15" t="n"/>
      <c r="C1087" s="16" t="n"/>
      <c r="D1087" s="17" t="n"/>
      <c r="E1087" s="17" t="n"/>
      <c r="F1087" s="17" t="n"/>
      <c r="G1087" s="17" t="n"/>
      <c r="H1087" s="18">
        <f>IF(AND(B1087="",C1087="",D1087="",E1087=""),"",IF(B1087="","⚠ Falta fecha",IF(C1087="","⚠ Falta monto",IF(D1087="","⚠ Falta categoría",IF(ISNA(MATCH(D1087,catNom,0)),"⚠ Categoría no existe",IF(E1087="","⚠ Falta cuenta",IF(ISNA(MATCH(E1087,ctaNom,0)),"⚠ Cuenta no existe",IF(AND(OR(I1087="Transferencia",I1087="Pago tarjeta"),G1087=""),"⚠ Indica la cuenta «Hacia»",IF(AND(G1087&lt;&gt;"",G1087=E1087),"⚠ «Hacia» igual a la cuenta",IF(AND(G1087&lt;&gt;"",ISNA(MATCH(G1087,ctaNom,0))),"⚠ «Hacia» no existe",IF(AND(I1087="Pago tarjeta",IFERROR(INDEX(ctaTipo,MATCH(G1087,ctaNom,0)),"")&lt;&gt;"Tarjeta de crédito"),"⚠ «Hacia» debe ser la tarjeta",IF(AND(I1087="Trading",IFERROR(INDEX(ctaTipo,MATCH(E1087,ctaNom,0)),"")&lt;&gt;"Cuenta de trading"),"⚠ Usa la cuenta de trading","✓"))))))))))))</f>
        <v/>
      </c>
      <c r="I1087" s="19">
        <f>IF(OR(B1087="",C1087="",D1087=""),"",IFERROR(INDEX(catTipo,MATCH(D1087,catNom,0))&amp;"",""))</f>
        <v/>
      </c>
      <c r="J1087" s="19">
        <f>IF(I1087="","",IFERROR(INDEX(catGrupo,MATCH(D1087,catNom,0))&amp;"",""))</f>
        <v/>
      </c>
      <c r="K1087" s="19">
        <f>IF(I1087="Gasto",IF(IFERROR(INDEX(catClas,MATCH(D1087,catNom,0))&amp;"","")="","Variable",IFERROR(INDEX(catClas,MATCH(D1087,catNom,0))&amp;"","")),"")</f>
        <v/>
      </c>
      <c r="L1087" s="19">
        <f>IF(I1087="","",IFERROR(INDEX(catAlim,MATCH(D1087,catNom,0))&amp;"",""))</f>
        <v/>
      </c>
      <c r="M1087" s="19">
        <f>IF(I1087="","",IFERROR(INDEX(catComida,MATCH(D1087,catNom,0))&amp;"",""))</f>
        <v/>
      </c>
      <c r="N1087" s="19">
        <f>IF(I1087="","",IFERROR(INDEX(ctaMon,MATCH(E1087,ctaNom,0))&amp;"","DOP"))</f>
        <v/>
      </c>
      <c r="O1087" s="20">
        <f>IF(I1087="","",C1087*IF(N1087="USD",TasaUSD,1))</f>
        <v/>
      </c>
      <c r="P1087" s="20">
        <f>IF(I1087="","",IF(I1087="Gasto",O1087,0))</f>
        <v/>
      </c>
      <c r="Q1087" s="20">
        <f>IF(I1087="","",IF(I1087="Ingreso",O1087,0))</f>
        <v/>
      </c>
      <c r="R1087" s="20">
        <f>IF(I1087="","",IF(I1087="Trading",O1087,0))</f>
        <v/>
      </c>
      <c r="S1087" s="19">
        <f>IF(I1087="","",IF(AND(I1087="Gasto",K1087="Variable",J1087&lt;&gt;"Trading",O1087&gt;0,O1087&lt;=Umbral),1,0))</f>
        <v/>
      </c>
      <c r="T1087" s="20">
        <f>IF(OR(I1087="",E1087=""),"",IF(OR(I1087="Gasto",I1087="Transferencia",I1087="Pago tarjeta"),-1,1)*C1087)</f>
        <v/>
      </c>
      <c r="U1087" s="20">
        <f>IF(OR(G1087="",AND(I1087&lt;&gt;"Transferencia",I1087&lt;&gt;"Pago tarjeta")),"",IF(IFERROR(INDEX(ctaMon,MATCH(G1087,ctaNom,0))&amp;"","DOP")=N1087,C1087,IF(N1087="USD",C1087*TasaUSD,C1087/TasaUSD)))</f>
        <v/>
      </c>
      <c r="V1087" s="20">
        <f>IF(I1087="","",IF(IFERROR(INDEX(ctaLiq,MATCH(E1087,ctaNom,0))="Sí",FALSE),IF(OR(I1087="Gasto",I1087="Transferencia",I1087="Pago tarjeta"),-1,1)*O1087,0)+IF(AND(U1087&lt;&gt;"",IFERROR(INDEX(ctaLiq,MATCH(G1087,ctaNom,0))="Sí",FALSE)),O1087,0))</f>
        <v/>
      </c>
      <c r="W1087" s="19">
        <f>IF(OR(F1087="",I1087=""),"",IF(COUNTIFS(F$6:F1087,F1087,I$6:I1087,"?*")=1,MAX(W$5:W1086)+1,""))</f>
        <v/>
      </c>
    </row>
    <row r="1088">
      <c r="B1088" s="15" t="n"/>
      <c r="C1088" s="16" t="n"/>
      <c r="D1088" s="17" t="n"/>
      <c r="E1088" s="17" t="n"/>
      <c r="F1088" s="17" t="n"/>
      <c r="G1088" s="17" t="n"/>
      <c r="H1088" s="18">
        <f>IF(AND(B1088="",C1088="",D1088="",E1088=""),"",IF(B1088="","⚠ Falta fecha",IF(C1088="","⚠ Falta monto",IF(D1088="","⚠ Falta categoría",IF(ISNA(MATCH(D1088,catNom,0)),"⚠ Categoría no existe",IF(E1088="","⚠ Falta cuenta",IF(ISNA(MATCH(E1088,ctaNom,0)),"⚠ Cuenta no existe",IF(AND(OR(I1088="Transferencia",I1088="Pago tarjeta"),G1088=""),"⚠ Indica la cuenta «Hacia»",IF(AND(G1088&lt;&gt;"",G1088=E1088),"⚠ «Hacia» igual a la cuenta",IF(AND(G1088&lt;&gt;"",ISNA(MATCH(G1088,ctaNom,0))),"⚠ «Hacia» no existe",IF(AND(I1088="Pago tarjeta",IFERROR(INDEX(ctaTipo,MATCH(G1088,ctaNom,0)),"")&lt;&gt;"Tarjeta de crédito"),"⚠ «Hacia» debe ser la tarjeta",IF(AND(I1088="Trading",IFERROR(INDEX(ctaTipo,MATCH(E1088,ctaNom,0)),"")&lt;&gt;"Cuenta de trading"),"⚠ Usa la cuenta de trading","✓"))))))))))))</f>
        <v/>
      </c>
      <c r="I1088" s="19">
        <f>IF(OR(B1088="",C1088="",D1088=""),"",IFERROR(INDEX(catTipo,MATCH(D1088,catNom,0))&amp;"",""))</f>
        <v/>
      </c>
      <c r="J1088" s="19">
        <f>IF(I1088="","",IFERROR(INDEX(catGrupo,MATCH(D1088,catNom,0))&amp;"",""))</f>
        <v/>
      </c>
      <c r="K1088" s="19">
        <f>IF(I1088="Gasto",IF(IFERROR(INDEX(catClas,MATCH(D1088,catNom,0))&amp;"","")="","Variable",IFERROR(INDEX(catClas,MATCH(D1088,catNom,0))&amp;"","")),"")</f>
        <v/>
      </c>
      <c r="L1088" s="19">
        <f>IF(I1088="","",IFERROR(INDEX(catAlim,MATCH(D1088,catNom,0))&amp;"",""))</f>
        <v/>
      </c>
      <c r="M1088" s="19">
        <f>IF(I1088="","",IFERROR(INDEX(catComida,MATCH(D1088,catNom,0))&amp;"",""))</f>
        <v/>
      </c>
      <c r="N1088" s="19">
        <f>IF(I1088="","",IFERROR(INDEX(ctaMon,MATCH(E1088,ctaNom,0))&amp;"","DOP"))</f>
        <v/>
      </c>
      <c r="O1088" s="20">
        <f>IF(I1088="","",C1088*IF(N1088="USD",TasaUSD,1))</f>
        <v/>
      </c>
      <c r="P1088" s="20">
        <f>IF(I1088="","",IF(I1088="Gasto",O1088,0))</f>
        <v/>
      </c>
      <c r="Q1088" s="20">
        <f>IF(I1088="","",IF(I1088="Ingreso",O1088,0))</f>
        <v/>
      </c>
      <c r="R1088" s="20">
        <f>IF(I1088="","",IF(I1088="Trading",O1088,0))</f>
        <v/>
      </c>
      <c r="S1088" s="19">
        <f>IF(I1088="","",IF(AND(I1088="Gasto",K1088="Variable",J1088&lt;&gt;"Trading",O1088&gt;0,O1088&lt;=Umbral),1,0))</f>
        <v/>
      </c>
      <c r="T1088" s="20">
        <f>IF(OR(I1088="",E1088=""),"",IF(OR(I1088="Gasto",I1088="Transferencia",I1088="Pago tarjeta"),-1,1)*C1088)</f>
        <v/>
      </c>
      <c r="U1088" s="20">
        <f>IF(OR(G1088="",AND(I1088&lt;&gt;"Transferencia",I1088&lt;&gt;"Pago tarjeta")),"",IF(IFERROR(INDEX(ctaMon,MATCH(G1088,ctaNom,0))&amp;"","DOP")=N1088,C1088,IF(N1088="USD",C1088*TasaUSD,C1088/TasaUSD)))</f>
        <v/>
      </c>
      <c r="V1088" s="20">
        <f>IF(I1088="","",IF(IFERROR(INDEX(ctaLiq,MATCH(E1088,ctaNom,0))="Sí",FALSE),IF(OR(I1088="Gasto",I1088="Transferencia",I1088="Pago tarjeta"),-1,1)*O1088,0)+IF(AND(U1088&lt;&gt;"",IFERROR(INDEX(ctaLiq,MATCH(G1088,ctaNom,0))="Sí",FALSE)),O1088,0))</f>
        <v/>
      </c>
      <c r="W1088" s="19">
        <f>IF(OR(F1088="",I1088=""),"",IF(COUNTIFS(F$6:F1088,F1088,I$6:I1088,"?*")=1,MAX(W$5:W1087)+1,""))</f>
        <v/>
      </c>
    </row>
    <row r="1089">
      <c r="B1089" s="15" t="n"/>
      <c r="C1089" s="16" t="n"/>
      <c r="D1089" s="17" t="n"/>
      <c r="E1089" s="17" t="n"/>
      <c r="F1089" s="17" t="n"/>
      <c r="G1089" s="17" t="n"/>
      <c r="H1089" s="18">
        <f>IF(AND(B1089="",C1089="",D1089="",E1089=""),"",IF(B1089="","⚠ Falta fecha",IF(C1089="","⚠ Falta monto",IF(D1089="","⚠ Falta categoría",IF(ISNA(MATCH(D1089,catNom,0)),"⚠ Categoría no existe",IF(E1089="","⚠ Falta cuenta",IF(ISNA(MATCH(E1089,ctaNom,0)),"⚠ Cuenta no existe",IF(AND(OR(I1089="Transferencia",I1089="Pago tarjeta"),G1089=""),"⚠ Indica la cuenta «Hacia»",IF(AND(G1089&lt;&gt;"",G1089=E1089),"⚠ «Hacia» igual a la cuenta",IF(AND(G1089&lt;&gt;"",ISNA(MATCH(G1089,ctaNom,0))),"⚠ «Hacia» no existe",IF(AND(I1089="Pago tarjeta",IFERROR(INDEX(ctaTipo,MATCH(G1089,ctaNom,0)),"")&lt;&gt;"Tarjeta de crédito"),"⚠ «Hacia» debe ser la tarjeta",IF(AND(I1089="Trading",IFERROR(INDEX(ctaTipo,MATCH(E1089,ctaNom,0)),"")&lt;&gt;"Cuenta de trading"),"⚠ Usa la cuenta de trading","✓"))))))))))))</f>
        <v/>
      </c>
      <c r="I1089" s="19">
        <f>IF(OR(B1089="",C1089="",D1089=""),"",IFERROR(INDEX(catTipo,MATCH(D1089,catNom,0))&amp;"",""))</f>
        <v/>
      </c>
      <c r="J1089" s="19">
        <f>IF(I1089="","",IFERROR(INDEX(catGrupo,MATCH(D1089,catNom,0))&amp;"",""))</f>
        <v/>
      </c>
      <c r="K1089" s="19">
        <f>IF(I1089="Gasto",IF(IFERROR(INDEX(catClas,MATCH(D1089,catNom,0))&amp;"","")="","Variable",IFERROR(INDEX(catClas,MATCH(D1089,catNom,0))&amp;"","")),"")</f>
        <v/>
      </c>
      <c r="L1089" s="19">
        <f>IF(I1089="","",IFERROR(INDEX(catAlim,MATCH(D1089,catNom,0))&amp;"",""))</f>
        <v/>
      </c>
      <c r="M1089" s="19">
        <f>IF(I1089="","",IFERROR(INDEX(catComida,MATCH(D1089,catNom,0))&amp;"",""))</f>
        <v/>
      </c>
      <c r="N1089" s="19">
        <f>IF(I1089="","",IFERROR(INDEX(ctaMon,MATCH(E1089,ctaNom,0))&amp;"","DOP"))</f>
        <v/>
      </c>
      <c r="O1089" s="20">
        <f>IF(I1089="","",C1089*IF(N1089="USD",TasaUSD,1))</f>
        <v/>
      </c>
      <c r="P1089" s="20">
        <f>IF(I1089="","",IF(I1089="Gasto",O1089,0))</f>
        <v/>
      </c>
      <c r="Q1089" s="20">
        <f>IF(I1089="","",IF(I1089="Ingreso",O1089,0))</f>
        <v/>
      </c>
      <c r="R1089" s="20">
        <f>IF(I1089="","",IF(I1089="Trading",O1089,0))</f>
        <v/>
      </c>
      <c r="S1089" s="19">
        <f>IF(I1089="","",IF(AND(I1089="Gasto",K1089="Variable",J1089&lt;&gt;"Trading",O1089&gt;0,O1089&lt;=Umbral),1,0))</f>
        <v/>
      </c>
      <c r="T1089" s="20">
        <f>IF(OR(I1089="",E1089=""),"",IF(OR(I1089="Gasto",I1089="Transferencia",I1089="Pago tarjeta"),-1,1)*C1089)</f>
        <v/>
      </c>
      <c r="U1089" s="20">
        <f>IF(OR(G1089="",AND(I1089&lt;&gt;"Transferencia",I1089&lt;&gt;"Pago tarjeta")),"",IF(IFERROR(INDEX(ctaMon,MATCH(G1089,ctaNom,0))&amp;"","DOP")=N1089,C1089,IF(N1089="USD",C1089*TasaUSD,C1089/TasaUSD)))</f>
        <v/>
      </c>
      <c r="V1089" s="20">
        <f>IF(I1089="","",IF(IFERROR(INDEX(ctaLiq,MATCH(E1089,ctaNom,0))="Sí",FALSE),IF(OR(I1089="Gasto",I1089="Transferencia",I1089="Pago tarjeta"),-1,1)*O1089,0)+IF(AND(U1089&lt;&gt;"",IFERROR(INDEX(ctaLiq,MATCH(G1089,ctaNom,0))="Sí",FALSE)),O1089,0))</f>
        <v/>
      </c>
      <c r="W1089" s="19">
        <f>IF(OR(F1089="",I1089=""),"",IF(COUNTIFS(F$6:F1089,F1089,I$6:I1089,"?*")=1,MAX(W$5:W1088)+1,""))</f>
        <v/>
      </c>
    </row>
    <row r="1090">
      <c r="B1090" s="15" t="n"/>
      <c r="C1090" s="16" t="n"/>
      <c r="D1090" s="17" t="n"/>
      <c r="E1090" s="17" t="n"/>
      <c r="F1090" s="17" t="n"/>
      <c r="G1090" s="17" t="n"/>
      <c r="H1090" s="18">
        <f>IF(AND(B1090="",C1090="",D1090="",E1090=""),"",IF(B1090="","⚠ Falta fecha",IF(C1090="","⚠ Falta monto",IF(D1090="","⚠ Falta categoría",IF(ISNA(MATCH(D1090,catNom,0)),"⚠ Categoría no existe",IF(E1090="","⚠ Falta cuenta",IF(ISNA(MATCH(E1090,ctaNom,0)),"⚠ Cuenta no existe",IF(AND(OR(I1090="Transferencia",I1090="Pago tarjeta"),G1090=""),"⚠ Indica la cuenta «Hacia»",IF(AND(G1090&lt;&gt;"",G1090=E1090),"⚠ «Hacia» igual a la cuenta",IF(AND(G1090&lt;&gt;"",ISNA(MATCH(G1090,ctaNom,0))),"⚠ «Hacia» no existe",IF(AND(I1090="Pago tarjeta",IFERROR(INDEX(ctaTipo,MATCH(G1090,ctaNom,0)),"")&lt;&gt;"Tarjeta de crédito"),"⚠ «Hacia» debe ser la tarjeta",IF(AND(I1090="Trading",IFERROR(INDEX(ctaTipo,MATCH(E1090,ctaNom,0)),"")&lt;&gt;"Cuenta de trading"),"⚠ Usa la cuenta de trading","✓"))))))))))))</f>
        <v/>
      </c>
      <c r="I1090" s="19">
        <f>IF(OR(B1090="",C1090="",D1090=""),"",IFERROR(INDEX(catTipo,MATCH(D1090,catNom,0))&amp;"",""))</f>
        <v/>
      </c>
      <c r="J1090" s="19">
        <f>IF(I1090="","",IFERROR(INDEX(catGrupo,MATCH(D1090,catNom,0))&amp;"",""))</f>
        <v/>
      </c>
      <c r="K1090" s="19">
        <f>IF(I1090="Gasto",IF(IFERROR(INDEX(catClas,MATCH(D1090,catNom,0))&amp;"","")="","Variable",IFERROR(INDEX(catClas,MATCH(D1090,catNom,0))&amp;"","")),"")</f>
        <v/>
      </c>
      <c r="L1090" s="19">
        <f>IF(I1090="","",IFERROR(INDEX(catAlim,MATCH(D1090,catNom,0))&amp;"",""))</f>
        <v/>
      </c>
      <c r="M1090" s="19">
        <f>IF(I1090="","",IFERROR(INDEX(catComida,MATCH(D1090,catNom,0))&amp;"",""))</f>
        <v/>
      </c>
      <c r="N1090" s="19">
        <f>IF(I1090="","",IFERROR(INDEX(ctaMon,MATCH(E1090,ctaNom,0))&amp;"","DOP"))</f>
        <v/>
      </c>
      <c r="O1090" s="20">
        <f>IF(I1090="","",C1090*IF(N1090="USD",TasaUSD,1))</f>
        <v/>
      </c>
      <c r="P1090" s="20">
        <f>IF(I1090="","",IF(I1090="Gasto",O1090,0))</f>
        <v/>
      </c>
      <c r="Q1090" s="20">
        <f>IF(I1090="","",IF(I1090="Ingreso",O1090,0))</f>
        <v/>
      </c>
      <c r="R1090" s="20">
        <f>IF(I1090="","",IF(I1090="Trading",O1090,0))</f>
        <v/>
      </c>
      <c r="S1090" s="19">
        <f>IF(I1090="","",IF(AND(I1090="Gasto",K1090="Variable",J1090&lt;&gt;"Trading",O1090&gt;0,O1090&lt;=Umbral),1,0))</f>
        <v/>
      </c>
      <c r="T1090" s="20">
        <f>IF(OR(I1090="",E1090=""),"",IF(OR(I1090="Gasto",I1090="Transferencia",I1090="Pago tarjeta"),-1,1)*C1090)</f>
        <v/>
      </c>
      <c r="U1090" s="20">
        <f>IF(OR(G1090="",AND(I1090&lt;&gt;"Transferencia",I1090&lt;&gt;"Pago tarjeta")),"",IF(IFERROR(INDEX(ctaMon,MATCH(G1090,ctaNom,0))&amp;"","DOP")=N1090,C1090,IF(N1090="USD",C1090*TasaUSD,C1090/TasaUSD)))</f>
        <v/>
      </c>
      <c r="V1090" s="20">
        <f>IF(I1090="","",IF(IFERROR(INDEX(ctaLiq,MATCH(E1090,ctaNom,0))="Sí",FALSE),IF(OR(I1090="Gasto",I1090="Transferencia",I1090="Pago tarjeta"),-1,1)*O1090,0)+IF(AND(U1090&lt;&gt;"",IFERROR(INDEX(ctaLiq,MATCH(G1090,ctaNom,0))="Sí",FALSE)),O1090,0))</f>
        <v/>
      </c>
      <c r="W1090" s="19">
        <f>IF(OR(F1090="",I1090=""),"",IF(COUNTIFS(F$6:F1090,F1090,I$6:I1090,"?*")=1,MAX(W$5:W1089)+1,""))</f>
        <v/>
      </c>
    </row>
    <row r="1091">
      <c r="B1091" s="15" t="n"/>
      <c r="C1091" s="16" t="n"/>
      <c r="D1091" s="17" t="n"/>
      <c r="E1091" s="17" t="n"/>
      <c r="F1091" s="17" t="n"/>
      <c r="G1091" s="17" t="n"/>
      <c r="H1091" s="18">
        <f>IF(AND(B1091="",C1091="",D1091="",E1091=""),"",IF(B1091="","⚠ Falta fecha",IF(C1091="","⚠ Falta monto",IF(D1091="","⚠ Falta categoría",IF(ISNA(MATCH(D1091,catNom,0)),"⚠ Categoría no existe",IF(E1091="","⚠ Falta cuenta",IF(ISNA(MATCH(E1091,ctaNom,0)),"⚠ Cuenta no existe",IF(AND(OR(I1091="Transferencia",I1091="Pago tarjeta"),G1091=""),"⚠ Indica la cuenta «Hacia»",IF(AND(G1091&lt;&gt;"",G1091=E1091),"⚠ «Hacia» igual a la cuenta",IF(AND(G1091&lt;&gt;"",ISNA(MATCH(G1091,ctaNom,0))),"⚠ «Hacia» no existe",IF(AND(I1091="Pago tarjeta",IFERROR(INDEX(ctaTipo,MATCH(G1091,ctaNom,0)),"")&lt;&gt;"Tarjeta de crédito"),"⚠ «Hacia» debe ser la tarjeta",IF(AND(I1091="Trading",IFERROR(INDEX(ctaTipo,MATCH(E1091,ctaNom,0)),"")&lt;&gt;"Cuenta de trading"),"⚠ Usa la cuenta de trading","✓"))))))))))))</f>
        <v/>
      </c>
      <c r="I1091" s="19">
        <f>IF(OR(B1091="",C1091="",D1091=""),"",IFERROR(INDEX(catTipo,MATCH(D1091,catNom,0))&amp;"",""))</f>
        <v/>
      </c>
      <c r="J1091" s="19">
        <f>IF(I1091="","",IFERROR(INDEX(catGrupo,MATCH(D1091,catNom,0))&amp;"",""))</f>
        <v/>
      </c>
      <c r="K1091" s="19">
        <f>IF(I1091="Gasto",IF(IFERROR(INDEX(catClas,MATCH(D1091,catNom,0))&amp;"","")="","Variable",IFERROR(INDEX(catClas,MATCH(D1091,catNom,0))&amp;"","")),"")</f>
        <v/>
      </c>
      <c r="L1091" s="19">
        <f>IF(I1091="","",IFERROR(INDEX(catAlim,MATCH(D1091,catNom,0))&amp;"",""))</f>
        <v/>
      </c>
      <c r="M1091" s="19">
        <f>IF(I1091="","",IFERROR(INDEX(catComida,MATCH(D1091,catNom,0))&amp;"",""))</f>
        <v/>
      </c>
      <c r="N1091" s="19">
        <f>IF(I1091="","",IFERROR(INDEX(ctaMon,MATCH(E1091,ctaNom,0))&amp;"","DOP"))</f>
        <v/>
      </c>
      <c r="O1091" s="20">
        <f>IF(I1091="","",C1091*IF(N1091="USD",TasaUSD,1))</f>
        <v/>
      </c>
      <c r="P1091" s="20">
        <f>IF(I1091="","",IF(I1091="Gasto",O1091,0))</f>
        <v/>
      </c>
      <c r="Q1091" s="20">
        <f>IF(I1091="","",IF(I1091="Ingreso",O1091,0))</f>
        <v/>
      </c>
      <c r="R1091" s="20">
        <f>IF(I1091="","",IF(I1091="Trading",O1091,0))</f>
        <v/>
      </c>
      <c r="S1091" s="19">
        <f>IF(I1091="","",IF(AND(I1091="Gasto",K1091="Variable",J1091&lt;&gt;"Trading",O1091&gt;0,O1091&lt;=Umbral),1,0))</f>
        <v/>
      </c>
      <c r="T1091" s="20">
        <f>IF(OR(I1091="",E1091=""),"",IF(OR(I1091="Gasto",I1091="Transferencia",I1091="Pago tarjeta"),-1,1)*C1091)</f>
        <v/>
      </c>
      <c r="U1091" s="20">
        <f>IF(OR(G1091="",AND(I1091&lt;&gt;"Transferencia",I1091&lt;&gt;"Pago tarjeta")),"",IF(IFERROR(INDEX(ctaMon,MATCH(G1091,ctaNom,0))&amp;"","DOP")=N1091,C1091,IF(N1091="USD",C1091*TasaUSD,C1091/TasaUSD)))</f>
        <v/>
      </c>
      <c r="V1091" s="20">
        <f>IF(I1091="","",IF(IFERROR(INDEX(ctaLiq,MATCH(E1091,ctaNom,0))="Sí",FALSE),IF(OR(I1091="Gasto",I1091="Transferencia",I1091="Pago tarjeta"),-1,1)*O1091,0)+IF(AND(U1091&lt;&gt;"",IFERROR(INDEX(ctaLiq,MATCH(G1091,ctaNom,0))="Sí",FALSE)),O1091,0))</f>
        <v/>
      </c>
      <c r="W1091" s="19">
        <f>IF(OR(F1091="",I1091=""),"",IF(COUNTIFS(F$6:F1091,F1091,I$6:I1091,"?*")=1,MAX(W$5:W1090)+1,""))</f>
        <v/>
      </c>
    </row>
    <row r="1092">
      <c r="B1092" s="15" t="n"/>
      <c r="C1092" s="16" t="n"/>
      <c r="D1092" s="17" t="n"/>
      <c r="E1092" s="17" t="n"/>
      <c r="F1092" s="17" t="n"/>
      <c r="G1092" s="17" t="n"/>
      <c r="H1092" s="18">
        <f>IF(AND(B1092="",C1092="",D1092="",E1092=""),"",IF(B1092="","⚠ Falta fecha",IF(C1092="","⚠ Falta monto",IF(D1092="","⚠ Falta categoría",IF(ISNA(MATCH(D1092,catNom,0)),"⚠ Categoría no existe",IF(E1092="","⚠ Falta cuenta",IF(ISNA(MATCH(E1092,ctaNom,0)),"⚠ Cuenta no existe",IF(AND(OR(I1092="Transferencia",I1092="Pago tarjeta"),G1092=""),"⚠ Indica la cuenta «Hacia»",IF(AND(G1092&lt;&gt;"",G1092=E1092),"⚠ «Hacia» igual a la cuenta",IF(AND(G1092&lt;&gt;"",ISNA(MATCH(G1092,ctaNom,0))),"⚠ «Hacia» no existe",IF(AND(I1092="Pago tarjeta",IFERROR(INDEX(ctaTipo,MATCH(G1092,ctaNom,0)),"")&lt;&gt;"Tarjeta de crédito"),"⚠ «Hacia» debe ser la tarjeta",IF(AND(I1092="Trading",IFERROR(INDEX(ctaTipo,MATCH(E1092,ctaNom,0)),"")&lt;&gt;"Cuenta de trading"),"⚠ Usa la cuenta de trading","✓"))))))))))))</f>
        <v/>
      </c>
      <c r="I1092" s="19">
        <f>IF(OR(B1092="",C1092="",D1092=""),"",IFERROR(INDEX(catTipo,MATCH(D1092,catNom,0))&amp;"",""))</f>
        <v/>
      </c>
      <c r="J1092" s="19">
        <f>IF(I1092="","",IFERROR(INDEX(catGrupo,MATCH(D1092,catNom,0))&amp;"",""))</f>
        <v/>
      </c>
      <c r="K1092" s="19">
        <f>IF(I1092="Gasto",IF(IFERROR(INDEX(catClas,MATCH(D1092,catNom,0))&amp;"","")="","Variable",IFERROR(INDEX(catClas,MATCH(D1092,catNom,0))&amp;"","")),"")</f>
        <v/>
      </c>
      <c r="L1092" s="19">
        <f>IF(I1092="","",IFERROR(INDEX(catAlim,MATCH(D1092,catNom,0))&amp;"",""))</f>
        <v/>
      </c>
      <c r="M1092" s="19">
        <f>IF(I1092="","",IFERROR(INDEX(catComida,MATCH(D1092,catNom,0))&amp;"",""))</f>
        <v/>
      </c>
      <c r="N1092" s="19">
        <f>IF(I1092="","",IFERROR(INDEX(ctaMon,MATCH(E1092,ctaNom,0))&amp;"","DOP"))</f>
        <v/>
      </c>
      <c r="O1092" s="20">
        <f>IF(I1092="","",C1092*IF(N1092="USD",TasaUSD,1))</f>
        <v/>
      </c>
      <c r="P1092" s="20">
        <f>IF(I1092="","",IF(I1092="Gasto",O1092,0))</f>
        <v/>
      </c>
      <c r="Q1092" s="20">
        <f>IF(I1092="","",IF(I1092="Ingreso",O1092,0))</f>
        <v/>
      </c>
      <c r="R1092" s="20">
        <f>IF(I1092="","",IF(I1092="Trading",O1092,0))</f>
        <v/>
      </c>
      <c r="S1092" s="19">
        <f>IF(I1092="","",IF(AND(I1092="Gasto",K1092="Variable",J1092&lt;&gt;"Trading",O1092&gt;0,O1092&lt;=Umbral),1,0))</f>
        <v/>
      </c>
      <c r="T1092" s="20">
        <f>IF(OR(I1092="",E1092=""),"",IF(OR(I1092="Gasto",I1092="Transferencia",I1092="Pago tarjeta"),-1,1)*C1092)</f>
        <v/>
      </c>
      <c r="U1092" s="20">
        <f>IF(OR(G1092="",AND(I1092&lt;&gt;"Transferencia",I1092&lt;&gt;"Pago tarjeta")),"",IF(IFERROR(INDEX(ctaMon,MATCH(G1092,ctaNom,0))&amp;"","DOP")=N1092,C1092,IF(N1092="USD",C1092*TasaUSD,C1092/TasaUSD)))</f>
        <v/>
      </c>
      <c r="V1092" s="20">
        <f>IF(I1092="","",IF(IFERROR(INDEX(ctaLiq,MATCH(E1092,ctaNom,0))="Sí",FALSE),IF(OR(I1092="Gasto",I1092="Transferencia",I1092="Pago tarjeta"),-1,1)*O1092,0)+IF(AND(U1092&lt;&gt;"",IFERROR(INDEX(ctaLiq,MATCH(G1092,ctaNom,0))="Sí",FALSE)),O1092,0))</f>
        <v/>
      </c>
      <c r="W1092" s="19">
        <f>IF(OR(F1092="",I1092=""),"",IF(COUNTIFS(F$6:F1092,F1092,I$6:I1092,"?*")=1,MAX(W$5:W1091)+1,""))</f>
        <v/>
      </c>
    </row>
    <row r="1093">
      <c r="B1093" s="15" t="n"/>
      <c r="C1093" s="16" t="n"/>
      <c r="D1093" s="17" t="n"/>
      <c r="E1093" s="17" t="n"/>
      <c r="F1093" s="17" t="n"/>
      <c r="G1093" s="17" t="n"/>
      <c r="H1093" s="18">
        <f>IF(AND(B1093="",C1093="",D1093="",E1093=""),"",IF(B1093="","⚠ Falta fecha",IF(C1093="","⚠ Falta monto",IF(D1093="","⚠ Falta categoría",IF(ISNA(MATCH(D1093,catNom,0)),"⚠ Categoría no existe",IF(E1093="","⚠ Falta cuenta",IF(ISNA(MATCH(E1093,ctaNom,0)),"⚠ Cuenta no existe",IF(AND(OR(I1093="Transferencia",I1093="Pago tarjeta"),G1093=""),"⚠ Indica la cuenta «Hacia»",IF(AND(G1093&lt;&gt;"",G1093=E1093),"⚠ «Hacia» igual a la cuenta",IF(AND(G1093&lt;&gt;"",ISNA(MATCH(G1093,ctaNom,0))),"⚠ «Hacia» no existe",IF(AND(I1093="Pago tarjeta",IFERROR(INDEX(ctaTipo,MATCH(G1093,ctaNom,0)),"")&lt;&gt;"Tarjeta de crédito"),"⚠ «Hacia» debe ser la tarjeta",IF(AND(I1093="Trading",IFERROR(INDEX(ctaTipo,MATCH(E1093,ctaNom,0)),"")&lt;&gt;"Cuenta de trading"),"⚠ Usa la cuenta de trading","✓"))))))))))))</f>
        <v/>
      </c>
      <c r="I1093" s="19">
        <f>IF(OR(B1093="",C1093="",D1093=""),"",IFERROR(INDEX(catTipo,MATCH(D1093,catNom,0))&amp;"",""))</f>
        <v/>
      </c>
      <c r="J1093" s="19">
        <f>IF(I1093="","",IFERROR(INDEX(catGrupo,MATCH(D1093,catNom,0))&amp;"",""))</f>
        <v/>
      </c>
      <c r="K1093" s="19">
        <f>IF(I1093="Gasto",IF(IFERROR(INDEX(catClas,MATCH(D1093,catNom,0))&amp;"","")="","Variable",IFERROR(INDEX(catClas,MATCH(D1093,catNom,0))&amp;"","")),"")</f>
        <v/>
      </c>
      <c r="L1093" s="19">
        <f>IF(I1093="","",IFERROR(INDEX(catAlim,MATCH(D1093,catNom,0))&amp;"",""))</f>
        <v/>
      </c>
      <c r="M1093" s="19">
        <f>IF(I1093="","",IFERROR(INDEX(catComida,MATCH(D1093,catNom,0))&amp;"",""))</f>
        <v/>
      </c>
      <c r="N1093" s="19">
        <f>IF(I1093="","",IFERROR(INDEX(ctaMon,MATCH(E1093,ctaNom,0))&amp;"","DOP"))</f>
        <v/>
      </c>
      <c r="O1093" s="20">
        <f>IF(I1093="","",C1093*IF(N1093="USD",TasaUSD,1))</f>
        <v/>
      </c>
      <c r="P1093" s="20">
        <f>IF(I1093="","",IF(I1093="Gasto",O1093,0))</f>
        <v/>
      </c>
      <c r="Q1093" s="20">
        <f>IF(I1093="","",IF(I1093="Ingreso",O1093,0))</f>
        <v/>
      </c>
      <c r="R1093" s="20">
        <f>IF(I1093="","",IF(I1093="Trading",O1093,0))</f>
        <v/>
      </c>
      <c r="S1093" s="19">
        <f>IF(I1093="","",IF(AND(I1093="Gasto",K1093="Variable",J1093&lt;&gt;"Trading",O1093&gt;0,O1093&lt;=Umbral),1,0))</f>
        <v/>
      </c>
      <c r="T1093" s="20">
        <f>IF(OR(I1093="",E1093=""),"",IF(OR(I1093="Gasto",I1093="Transferencia",I1093="Pago tarjeta"),-1,1)*C1093)</f>
        <v/>
      </c>
      <c r="U1093" s="20">
        <f>IF(OR(G1093="",AND(I1093&lt;&gt;"Transferencia",I1093&lt;&gt;"Pago tarjeta")),"",IF(IFERROR(INDEX(ctaMon,MATCH(G1093,ctaNom,0))&amp;"","DOP")=N1093,C1093,IF(N1093="USD",C1093*TasaUSD,C1093/TasaUSD)))</f>
        <v/>
      </c>
      <c r="V1093" s="20">
        <f>IF(I1093="","",IF(IFERROR(INDEX(ctaLiq,MATCH(E1093,ctaNom,0))="Sí",FALSE),IF(OR(I1093="Gasto",I1093="Transferencia",I1093="Pago tarjeta"),-1,1)*O1093,0)+IF(AND(U1093&lt;&gt;"",IFERROR(INDEX(ctaLiq,MATCH(G1093,ctaNom,0))="Sí",FALSE)),O1093,0))</f>
        <v/>
      </c>
      <c r="W1093" s="19">
        <f>IF(OR(F1093="",I1093=""),"",IF(COUNTIFS(F$6:F1093,F1093,I$6:I1093,"?*")=1,MAX(W$5:W1092)+1,""))</f>
        <v/>
      </c>
    </row>
    <row r="1094">
      <c r="B1094" s="15" t="n"/>
      <c r="C1094" s="16" t="n"/>
      <c r="D1094" s="17" t="n"/>
      <c r="E1094" s="17" t="n"/>
      <c r="F1094" s="17" t="n"/>
      <c r="G1094" s="17" t="n"/>
      <c r="H1094" s="18">
        <f>IF(AND(B1094="",C1094="",D1094="",E1094=""),"",IF(B1094="","⚠ Falta fecha",IF(C1094="","⚠ Falta monto",IF(D1094="","⚠ Falta categoría",IF(ISNA(MATCH(D1094,catNom,0)),"⚠ Categoría no existe",IF(E1094="","⚠ Falta cuenta",IF(ISNA(MATCH(E1094,ctaNom,0)),"⚠ Cuenta no existe",IF(AND(OR(I1094="Transferencia",I1094="Pago tarjeta"),G1094=""),"⚠ Indica la cuenta «Hacia»",IF(AND(G1094&lt;&gt;"",G1094=E1094),"⚠ «Hacia» igual a la cuenta",IF(AND(G1094&lt;&gt;"",ISNA(MATCH(G1094,ctaNom,0))),"⚠ «Hacia» no existe",IF(AND(I1094="Pago tarjeta",IFERROR(INDEX(ctaTipo,MATCH(G1094,ctaNom,0)),"")&lt;&gt;"Tarjeta de crédito"),"⚠ «Hacia» debe ser la tarjeta",IF(AND(I1094="Trading",IFERROR(INDEX(ctaTipo,MATCH(E1094,ctaNom,0)),"")&lt;&gt;"Cuenta de trading"),"⚠ Usa la cuenta de trading","✓"))))))))))))</f>
        <v/>
      </c>
      <c r="I1094" s="19">
        <f>IF(OR(B1094="",C1094="",D1094=""),"",IFERROR(INDEX(catTipo,MATCH(D1094,catNom,0))&amp;"",""))</f>
        <v/>
      </c>
      <c r="J1094" s="19">
        <f>IF(I1094="","",IFERROR(INDEX(catGrupo,MATCH(D1094,catNom,0))&amp;"",""))</f>
        <v/>
      </c>
      <c r="K1094" s="19">
        <f>IF(I1094="Gasto",IF(IFERROR(INDEX(catClas,MATCH(D1094,catNom,0))&amp;"","")="","Variable",IFERROR(INDEX(catClas,MATCH(D1094,catNom,0))&amp;"","")),"")</f>
        <v/>
      </c>
      <c r="L1094" s="19">
        <f>IF(I1094="","",IFERROR(INDEX(catAlim,MATCH(D1094,catNom,0))&amp;"",""))</f>
        <v/>
      </c>
      <c r="M1094" s="19">
        <f>IF(I1094="","",IFERROR(INDEX(catComida,MATCH(D1094,catNom,0))&amp;"",""))</f>
        <v/>
      </c>
      <c r="N1094" s="19">
        <f>IF(I1094="","",IFERROR(INDEX(ctaMon,MATCH(E1094,ctaNom,0))&amp;"","DOP"))</f>
        <v/>
      </c>
      <c r="O1094" s="20">
        <f>IF(I1094="","",C1094*IF(N1094="USD",TasaUSD,1))</f>
        <v/>
      </c>
      <c r="P1094" s="20">
        <f>IF(I1094="","",IF(I1094="Gasto",O1094,0))</f>
        <v/>
      </c>
      <c r="Q1094" s="20">
        <f>IF(I1094="","",IF(I1094="Ingreso",O1094,0))</f>
        <v/>
      </c>
      <c r="R1094" s="20">
        <f>IF(I1094="","",IF(I1094="Trading",O1094,0))</f>
        <v/>
      </c>
      <c r="S1094" s="19">
        <f>IF(I1094="","",IF(AND(I1094="Gasto",K1094="Variable",J1094&lt;&gt;"Trading",O1094&gt;0,O1094&lt;=Umbral),1,0))</f>
        <v/>
      </c>
      <c r="T1094" s="20">
        <f>IF(OR(I1094="",E1094=""),"",IF(OR(I1094="Gasto",I1094="Transferencia",I1094="Pago tarjeta"),-1,1)*C1094)</f>
        <v/>
      </c>
      <c r="U1094" s="20">
        <f>IF(OR(G1094="",AND(I1094&lt;&gt;"Transferencia",I1094&lt;&gt;"Pago tarjeta")),"",IF(IFERROR(INDEX(ctaMon,MATCH(G1094,ctaNom,0))&amp;"","DOP")=N1094,C1094,IF(N1094="USD",C1094*TasaUSD,C1094/TasaUSD)))</f>
        <v/>
      </c>
      <c r="V1094" s="20">
        <f>IF(I1094="","",IF(IFERROR(INDEX(ctaLiq,MATCH(E1094,ctaNom,0))="Sí",FALSE),IF(OR(I1094="Gasto",I1094="Transferencia",I1094="Pago tarjeta"),-1,1)*O1094,0)+IF(AND(U1094&lt;&gt;"",IFERROR(INDEX(ctaLiq,MATCH(G1094,ctaNom,0))="Sí",FALSE)),O1094,0))</f>
        <v/>
      </c>
      <c r="W1094" s="19">
        <f>IF(OR(F1094="",I1094=""),"",IF(COUNTIFS(F$6:F1094,F1094,I$6:I1094,"?*")=1,MAX(W$5:W1093)+1,""))</f>
        <v/>
      </c>
    </row>
    <row r="1095">
      <c r="B1095" s="15" t="n"/>
      <c r="C1095" s="16" t="n"/>
      <c r="D1095" s="17" t="n"/>
      <c r="E1095" s="17" t="n"/>
      <c r="F1095" s="17" t="n"/>
      <c r="G1095" s="17" t="n"/>
      <c r="H1095" s="18">
        <f>IF(AND(B1095="",C1095="",D1095="",E1095=""),"",IF(B1095="","⚠ Falta fecha",IF(C1095="","⚠ Falta monto",IF(D1095="","⚠ Falta categoría",IF(ISNA(MATCH(D1095,catNom,0)),"⚠ Categoría no existe",IF(E1095="","⚠ Falta cuenta",IF(ISNA(MATCH(E1095,ctaNom,0)),"⚠ Cuenta no existe",IF(AND(OR(I1095="Transferencia",I1095="Pago tarjeta"),G1095=""),"⚠ Indica la cuenta «Hacia»",IF(AND(G1095&lt;&gt;"",G1095=E1095),"⚠ «Hacia» igual a la cuenta",IF(AND(G1095&lt;&gt;"",ISNA(MATCH(G1095,ctaNom,0))),"⚠ «Hacia» no existe",IF(AND(I1095="Pago tarjeta",IFERROR(INDEX(ctaTipo,MATCH(G1095,ctaNom,0)),"")&lt;&gt;"Tarjeta de crédito"),"⚠ «Hacia» debe ser la tarjeta",IF(AND(I1095="Trading",IFERROR(INDEX(ctaTipo,MATCH(E1095,ctaNom,0)),"")&lt;&gt;"Cuenta de trading"),"⚠ Usa la cuenta de trading","✓"))))))))))))</f>
        <v/>
      </c>
      <c r="I1095" s="19">
        <f>IF(OR(B1095="",C1095="",D1095=""),"",IFERROR(INDEX(catTipo,MATCH(D1095,catNom,0))&amp;"",""))</f>
        <v/>
      </c>
      <c r="J1095" s="19">
        <f>IF(I1095="","",IFERROR(INDEX(catGrupo,MATCH(D1095,catNom,0))&amp;"",""))</f>
        <v/>
      </c>
      <c r="K1095" s="19">
        <f>IF(I1095="Gasto",IF(IFERROR(INDEX(catClas,MATCH(D1095,catNom,0))&amp;"","")="","Variable",IFERROR(INDEX(catClas,MATCH(D1095,catNom,0))&amp;"","")),"")</f>
        <v/>
      </c>
      <c r="L1095" s="19">
        <f>IF(I1095="","",IFERROR(INDEX(catAlim,MATCH(D1095,catNom,0))&amp;"",""))</f>
        <v/>
      </c>
      <c r="M1095" s="19">
        <f>IF(I1095="","",IFERROR(INDEX(catComida,MATCH(D1095,catNom,0))&amp;"",""))</f>
        <v/>
      </c>
      <c r="N1095" s="19">
        <f>IF(I1095="","",IFERROR(INDEX(ctaMon,MATCH(E1095,ctaNom,0))&amp;"","DOP"))</f>
        <v/>
      </c>
      <c r="O1095" s="20">
        <f>IF(I1095="","",C1095*IF(N1095="USD",TasaUSD,1))</f>
        <v/>
      </c>
      <c r="P1095" s="20">
        <f>IF(I1095="","",IF(I1095="Gasto",O1095,0))</f>
        <v/>
      </c>
      <c r="Q1095" s="20">
        <f>IF(I1095="","",IF(I1095="Ingreso",O1095,0))</f>
        <v/>
      </c>
      <c r="R1095" s="20">
        <f>IF(I1095="","",IF(I1095="Trading",O1095,0))</f>
        <v/>
      </c>
      <c r="S1095" s="19">
        <f>IF(I1095="","",IF(AND(I1095="Gasto",K1095="Variable",J1095&lt;&gt;"Trading",O1095&gt;0,O1095&lt;=Umbral),1,0))</f>
        <v/>
      </c>
      <c r="T1095" s="20">
        <f>IF(OR(I1095="",E1095=""),"",IF(OR(I1095="Gasto",I1095="Transferencia",I1095="Pago tarjeta"),-1,1)*C1095)</f>
        <v/>
      </c>
      <c r="U1095" s="20">
        <f>IF(OR(G1095="",AND(I1095&lt;&gt;"Transferencia",I1095&lt;&gt;"Pago tarjeta")),"",IF(IFERROR(INDEX(ctaMon,MATCH(G1095,ctaNom,0))&amp;"","DOP")=N1095,C1095,IF(N1095="USD",C1095*TasaUSD,C1095/TasaUSD)))</f>
        <v/>
      </c>
      <c r="V1095" s="20">
        <f>IF(I1095="","",IF(IFERROR(INDEX(ctaLiq,MATCH(E1095,ctaNom,0))="Sí",FALSE),IF(OR(I1095="Gasto",I1095="Transferencia",I1095="Pago tarjeta"),-1,1)*O1095,0)+IF(AND(U1095&lt;&gt;"",IFERROR(INDEX(ctaLiq,MATCH(G1095,ctaNom,0))="Sí",FALSE)),O1095,0))</f>
        <v/>
      </c>
      <c r="W1095" s="19">
        <f>IF(OR(F1095="",I1095=""),"",IF(COUNTIFS(F$6:F1095,F1095,I$6:I1095,"?*")=1,MAX(W$5:W1094)+1,""))</f>
        <v/>
      </c>
    </row>
    <row r="1096">
      <c r="B1096" s="15" t="n"/>
      <c r="C1096" s="16" t="n"/>
      <c r="D1096" s="17" t="n"/>
      <c r="E1096" s="17" t="n"/>
      <c r="F1096" s="17" t="n"/>
      <c r="G1096" s="17" t="n"/>
      <c r="H1096" s="18">
        <f>IF(AND(B1096="",C1096="",D1096="",E1096=""),"",IF(B1096="","⚠ Falta fecha",IF(C1096="","⚠ Falta monto",IF(D1096="","⚠ Falta categoría",IF(ISNA(MATCH(D1096,catNom,0)),"⚠ Categoría no existe",IF(E1096="","⚠ Falta cuenta",IF(ISNA(MATCH(E1096,ctaNom,0)),"⚠ Cuenta no existe",IF(AND(OR(I1096="Transferencia",I1096="Pago tarjeta"),G1096=""),"⚠ Indica la cuenta «Hacia»",IF(AND(G1096&lt;&gt;"",G1096=E1096),"⚠ «Hacia» igual a la cuenta",IF(AND(G1096&lt;&gt;"",ISNA(MATCH(G1096,ctaNom,0))),"⚠ «Hacia» no existe",IF(AND(I1096="Pago tarjeta",IFERROR(INDEX(ctaTipo,MATCH(G1096,ctaNom,0)),"")&lt;&gt;"Tarjeta de crédito"),"⚠ «Hacia» debe ser la tarjeta",IF(AND(I1096="Trading",IFERROR(INDEX(ctaTipo,MATCH(E1096,ctaNom,0)),"")&lt;&gt;"Cuenta de trading"),"⚠ Usa la cuenta de trading","✓"))))))))))))</f>
        <v/>
      </c>
      <c r="I1096" s="19">
        <f>IF(OR(B1096="",C1096="",D1096=""),"",IFERROR(INDEX(catTipo,MATCH(D1096,catNom,0))&amp;"",""))</f>
        <v/>
      </c>
      <c r="J1096" s="19">
        <f>IF(I1096="","",IFERROR(INDEX(catGrupo,MATCH(D1096,catNom,0))&amp;"",""))</f>
        <v/>
      </c>
      <c r="K1096" s="19">
        <f>IF(I1096="Gasto",IF(IFERROR(INDEX(catClas,MATCH(D1096,catNom,0))&amp;"","")="","Variable",IFERROR(INDEX(catClas,MATCH(D1096,catNom,0))&amp;"","")),"")</f>
        <v/>
      </c>
      <c r="L1096" s="19">
        <f>IF(I1096="","",IFERROR(INDEX(catAlim,MATCH(D1096,catNom,0))&amp;"",""))</f>
        <v/>
      </c>
      <c r="M1096" s="19">
        <f>IF(I1096="","",IFERROR(INDEX(catComida,MATCH(D1096,catNom,0))&amp;"",""))</f>
        <v/>
      </c>
      <c r="N1096" s="19">
        <f>IF(I1096="","",IFERROR(INDEX(ctaMon,MATCH(E1096,ctaNom,0))&amp;"","DOP"))</f>
        <v/>
      </c>
      <c r="O1096" s="20">
        <f>IF(I1096="","",C1096*IF(N1096="USD",TasaUSD,1))</f>
        <v/>
      </c>
      <c r="P1096" s="20">
        <f>IF(I1096="","",IF(I1096="Gasto",O1096,0))</f>
        <v/>
      </c>
      <c r="Q1096" s="20">
        <f>IF(I1096="","",IF(I1096="Ingreso",O1096,0))</f>
        <v/>
      </c>
      <c r="R1096" s="20">
        <f>IF(I1096="","",IF(I1096="Trading",O1096,0))</f>
        <v/>
      </c>
      <c r="S1096" s="19">
        <f>IF(I1096="","",IF(AND(I1096="Gasto",K1096="Variable",J1096&lt;&gt;"Trading",O1096&gt;0,O1096&lt;=Umbral),1,0))</f>
        <v/>
      </c>
      <c r="T1096" s="20">
        <f>IF(OR(I1096="",E1096=""),"",IF(OR(I1096="Gasto",I1096="Transferencia",I1096="Pago tarjeta"),-1,1)*C1096)</f>
        <v/>
      </c>
      <c r="U1096" s="20">
        <f>IF(OR(G1096="",AND(I1096&lt;&gt;"Transferencia",I1096&lt;&gt;"Pago tarjeta")),"",IF(IFERROR(INDEX(ctaMon,MATCH(G1096,ctaNom,0))&amp;"","DOP")=N1096,C1096,IF(N1096="USD",C1096*TasaUSD,C1096/TasaUSD)))</f>
        <v/>
      </c>
      <c r="V1096" s="20">
        <f>IF(I1096="","",IF(IFERROR(INDEX(ctaLiq,MATCH(E1096,ctaNom,0))="Sí",FALSE),IF(OR(I1096="Gasto",I1096="Transferencia",I1096="Pago tarjeta"),-1,1)*O1096,0)+IF(AND(U1096&lt;&gt;"",IFERROR(INDEX(ctaLiq,MATCH(G1096,ctaNom,0))="Sí",FALSE)),O1096,0))</f>
        <v/>
      </c>
      <c r="W1096" s="19">
        <f>IF(OR(F1096="",I1096=""),"",IF(COUNTIFS(F$6:F1096,F1096,I$6:I1096,"?*")=1,MAX(W$5:W1095)+1,""))</f>
        <v/>
      </c>
    </row>
    <row r="1097">
      <c r="B1097" s="15" t="n"/>
      <c r="C1097" s="16" t="n"/>
      <c r="D1097" s="17" t="n"/>
      <c r="E1097" s="17" t="n"/>
      <c r="F1097" s="17" t="n"/>
      <c r="G1097" s="17" t="n"/>
      <c r="H1097" s="18">
        <f>IF(AND(B1097="",C1097="",D1097="",E1097=""),"",IF(B1097="","⚠ Falta fecha",IF(C1097="","⚠ Falta monto",IF(D1097="","⚠ Falta categoría",IF(ISNA(MATCH(D1097,catNom,0)),"⚠ Categoría no existe",IF(E1097="","⚠ Falta cuenta",IF(ISNA(MATCH(E1097,ctaNom,0)),"⚠ Cuenta no existe",IF(AND(OR(I1097="Transferencia",I1097="Pago tarjeta"),G1097=""),"⚠ Indica la cuenta «Hacia»",IF(AND(G1097&lt;&gt;"",G1097=E1097),"⚠ «Hacia» igual a la cuenta",IF(AND(G1097&lt;&gt;"",ISNA(MATCH(G1097,ctaNom,0))),"⚠ «Hacia» no existe",IF(AND(I1097="Pago tarjeta",IFERROR(INDEX(ctaTipo,MATCH(G1097,ctaNom,0)),"")&lt;&gt;"Tarjeta de crédito"),"⚠ «Hacia» debe ser la tarjeta",IF(AND(I1097="Trading",IFERROR(INDEX(ctaTipo,MATCH(E1097,ctaNom,0)),"")&lt;&gt;"Cuenta de trading"),"⚠ Usa la cuenta de trading","✓"))))))))))))</f>
        <v/>
      </c>
      <c r="I1097" s="19">
        <f>IF(OR(B1097="",C1097="",D1097=""),"",IFERROR(INDEX(catTipo,MATCH(D1097,catNom,0))&amp;"",""))</f>
        <v/>
      </c>
      <c r="J1097" s="19">
        <f>IF(I1097="","",IFERROR(INDEX(catGrupo,MATCH(D1097,catNom,0))&amp;"",""))</f>
        <v/>
      </c>
      <c r="K1097" s="19">
        <f>IF(I1097="Gasto",IF(IFERROR(INDEX(catClas,MATCH(D1097,catNom,0))&amp;"","")="","Variable",IFERROR(INDEX(catClas,MATCH(D1097,catNom,0))&amp;"","")),"")</f>
        <v/>
      </c>
      <c r="L1097" s="19">
        <f>IF(I1097="","",IFERROR(INDEX(catAlim,MATCH(D1097,catNom,0))&amp;"",""))</f>
        <v/>
      </c>
      <c r="M1097" s="19">
        <f>IF(I1097="","",IFERROR(INDEX(catComida,MATCH(D1097,catNom,0))&amp;"",""))</f>
        <v/>
      </c>
      <c r="N1097" s="19">
        <f>IF(I1097="","",IFERROR(INDEX(ctaMon,MATCH(E1097,ctaNom,0))&amp;"","DOP"))</f>
        <v/>
      </c>
      <c r="O1097" s="20">
        <f>IF(I1097="","",C1097*IF(N1097="USD",TasaUSD,1))</f>
        <v/>
      </c>
      <c r="P1097" s="20">
        <f>IF(I1097="","",IF(I1097="Gasto",O1097,0))</f>
        <v/>
      </c>
      <c r="Q1097" s="20">
        <f>IF(I1097="","",IF(I1097="Ingreso",O1097,0))</f>
        <v/>
      </c>
      <c r="R1097" s="20">
        <f>IF(I1097="","",IF(I1097="Trading",O1097,0))</f>
        <v/>
      </c>
      <c r="S1097" s="19">
        <f>IF(I1097="","",IF(AND(I1097="Gasto",K1097="Variable",J1097&lt;&gt;"Trading",O1097&gt;0,O1097&lt;=Umbral),1,0))</f>
        <v/>
      </c>
      <c r="T1097" s="20">
        <f>IF(OR(I1097="",E1097=""),"",IF(OR(I1097="Gasto",I1097="Transferencia",I1097="Pago tarjeta"),-1,1)*C1097)</f>
        <v/>
      </c>
      <c r="U1097" s="20">
        <f>IF(OR(G1097="",AND(I1097&lt;&gt;"Transferencia",I1097&lt;&gt;"Pago tarjeta")),"",IF(IFERROR(INDEX(ctaMon,MATCH(G1097,ctaNom,0))&amp;"","DOP")=N1097,C1097,IF(N1097="USD",C1097*TasaUSD,C1097/TasaUSD)))</f>
        <v/>
      </c>
      <c r="V1097" s="20">
        <f>IF(I1097="","",IF(IFERROR(INDEX(ctaLiq,MATCH(E1097,ctaNom,0))="Sí",FALSE),IF(OR(I1097="Gasto",I1097="Transferencia",I1097="Pago tarjeta"),-1,1)*O1097,0)+IF(AND(U1097&lt;&gt;"",IFERROR(INDEX(ctaLiq,MATCH(G1097,ctaNom,0))="Sí",FALSE)),O1097,0))</f>
        <v/>
      </c>
      <c r="W1097" s="19">
        <f>IF(OR(F1097="",I1097=""),"",IF(COUNTIFS(F$6:F1097,F1097,I$6:I1097,"?*")=1,MAX(W$5:W1096)+1,""))</f>
        <v/>
      </c>
    </row>
    <row r="1098">
      <c r="B1098" s="15" t="n"/>
      <c r="C1098" s="16" t="n"/>
      <c r="D1098" s="17" t="n"/>
      <c r="E1098" s="17" t="n"/>
      <c r="F1098" s="17" t="n"/>
      <c r="G1098" s="17" t="n"/>
      <c r="H1098" s="18">
        <f>IF(AND(B1098="",C1098="",D1098="",E1098=""),"",IF(B1098="","⚠ Falta fecha",IF(C1098="","⚠ Falta monto",IF(D1098="","⚠ Falta categoría",IF(ISNA(MATCH(D1098,catNom,0)),"⚠ Categoría no existe",IF(E1098="","⚠ Falta cuenta",IF(ISNA(MATCH(E1098,ctaNom,0)),"⚠ Cuenta no existe",IF(AND(OR(I1098="Transferencia",I1098="Pago tarjeta"),G1098=""),"⚠ Indica la cuenta «Hacia»",IF(AND(G1098&lt;&gt;"",G1098=E1098),"⚠ «Hacia» igual a la cuenta",IF(AND(G1098&lt;&gt;"",ISNA(MATCH(G1098,ctaNom,0))),"⚠ «Hacia» no existe",IF(AND(I1098="Pago tarjeta",IFERROR(INDEX(ctaTipo,MATCH(G1098,ctaNom,0)),"")&lt;&gt;"Tarjeta de crédito"),"⚠ «Hacia» debe ser la tarjeta",IF(AND(I1098="Trading",IFERROR(INDEX(ctaTipo,MATCH(E1098,ctaNom,0)),"")&lt;&gt;"Cuenta de trading"),"⚠ Usa la cuenta de trading","✓"))))))))))))</f>
        <v/>
      </c>
      <c r="I1098" s="19">
        <f>IF(OR(B1098="",C1098="",D1098=""),"",IFERROR(INDEX(catTipo,MATCH(D1098,catNom,0))&amp;"",""))</f>
        <v/>
      </c>
      <c r="J1098" s="19">
        <f>IF(I1098="","",IFERROR(INDEX(catGrupo,MATCH(D1098,catNom,0))&amp;"",""))</f>
        <v/>
      </c>
      <c r="K1098" s="19">
        <f>IF(I1098="Gasto",IF(IFERROR(INDEX(catClas,MATCH(D1098,catNom,0))&amp;"","")="","Variable",IFERROR(INDEX(catClas,MATCH(D1098,catNom,0))&amp;"","")),"")</f>
        <v/>
      </c>
      <c r="L1098" s="19">
        <f>IF(I1098="","",IFERROR(INDEX(catAlim,MATCH(D1098,catNom,0))&amp;"",""))</f>
        <v/>
      </c>
      <c r="M1098" s="19">
        <f>IF(I1098="","",IFERROR(INDEX(catComida,MATCH(D1098,catNom,0))&amp;"",""))</f>
        <v/>
      </c>
      <c r="N1098" s="19">
        <f>IF(I1098="","",IFERROR(INDEX(ctaMon,MATCH(E1098,ctaNom,0))&amp;"","DOP"))</f>
        <v/>
      </c>
      <c r="O1098" s="20">
        <f>IF(I1098="","",C1098*IF(N1098="USD",TasaUSD,1))</f>
        <v/>
      </c>
      <c r="P1098" s="20">
        <f>IF(I1098="","",IF(I1098="Gasto",O1098,0))</f>
        <v/>
      </c>
      <c r="Q1098" s="20">
        <f>IF(I1098="","",IF(I1098="Ingreso",O1098,0))</f>
        <v/>
      </c>
      <c r="R1098" s="20">
        <f>IF(I1098="","",IF(I1098="Trading",O1098,0))</f>
        <v/>
      </c>
      <c r="S1098" s="19">
        <f>IF(I1098="","",IF(AND(I1098="Gasto",K1098="Variable",J1098&lt;&gt;"Trading",O1098&gt;0,O1098&lt;=Umbral),1,0))</f>
        <v/>
      </c>
      <c r="T1098" s="20">
        <f>IF(OR(I1098="",E1098=""),"",IF(OR(I1098="Gasto",I1098="Transferencia",I1098="Pago tarjeta"),-1,1)*C1098)</f>
        <v/>
      </c>
      <c r="U1098" s="20">
        <f>IF(OR(G1098="",AND(I1098&lt;&gt;"Transferencia",I1098&lt;&gt;"Pago tarjeta")),"",IF(IFERROR(INDEX(ctaMon,MATCH(G1098,ctaNom,0))&amp;"","DOP")=N1098,C1098,IF(N1098="USD",C1098*TasaUSD,C1098/TasaUSD)))</f>
        <v/>
      </c>
      <c r="V1098" s="20">
        <f>IF(I1098="","",IF(IFERROR(INDEX(ctaLiq,MATCH(E1098,ctaNom,0))="Sí",FALSE),IF(OR(I1098="Gasto",I1098="Transferencia",I1098="Pago tarjeta"),-1,1)*O1098,0)+IF(AND(U1098&lt;&gt;"",IFERROR(INDEX(ctaLiq,MATCH(G1098,ctaNom,0))="Sí",FALSE)),O1098,0))</f>
        <v/>
      </c>
      <c r="W1098" s="19">
        <f>IF(OR(F1098="",I1098=""),"",IF(COUNTIFS(F$6:F1098,F1098,I$6:I1098,"?*")=1,MAX(W$5:W1097)+1,""))</f>
        <v/>
      </c>
    </row>
    <row r="1099">
      <c r="B1099" s="15" t="n"/>
      <c r="C1099" s="16" t="n"/>
      <c r="D1099" s="17" t="n"/>
      <c r="E1099" s="17" t="n"/>
      <c r="F1099" s="17" t="n"/>
      <c r="G1099" s="17" t="n"/>
      <c r="H1099" s="18">
        <f>IF(AND(B1099="",C1099="",D1099="",E1099=""),"",IF(B1099="","⚠ Falta fecha",IF(C1099="","⚠ Falta monto",IF(D1099="","⚠ Falta categoría",IF(ISNA(MATCH(D1099,catNom,0)),"⚠ Categoría no existe",IF(E1099="","⚠ Falta cuenta",IF(ISNA(MATCH(E1099,ctaNom,0)),"⚠ Cuenta no existe",IF(AND(OR(I1099="Transferencia",I1099="Pago tarjeta"),G1099=""),"⚠ Indica la cuenta «Hacia»",IF(AND(G1099&lt;&gt;"",G1099=E1099),"⚠ «Hacia» igual a la cuenta",IF(AND(G1099&lt;&gt;"",ISNA(MATCH(G1099,ctaNom,0))),"⚠ «Hacia» no existe",IF(AND(I1099="Pago tarjeta",IFERROR(INDEX(ctaTipo,MATCH(G1099,ctaNom,0)),"")&lt;&gt;"Tarjeta de crédito"),"⚠ «Hacia» debe ser la tarjeta",IF(AND(I1099="Trading",IFERROR(INDEX(ctaTipo,MATCH(E1099,ctaNom,0)),"")&lt;&gt;"Cuenta de trading"),"⚠ Usa la cuenta de trading","✓"))))))))))))</f>
        <v/>
      </c>
      <c r="I1099" s="19">
        <f>IF(OR(B1099="",C1099="",D1099=""),"",IFERROR(INDEX(catTipo,MATCH(D1099,catNom,0))&amp;"",""))</f>
        <v/>
      </c>
      <c r="J1099" s="19">
        <f>IF(I1099="","",IFERROR(INDEX(catGrupo,MATCH(D1099,catNom,0))&amp;"",""))</f>
        <v/>
      </c>
      <c r="K1099" s="19">
        <f>IF(I1099="Gasto",IF(IFERROR(INDEX(catClas,MATCH(D1099,catNom,0))&amp;"","")="","Variable",IFERROR(INDEX(catClas,MATCH(D1099,catNom,0))&amp;"","")),"")</f>
        <v/>
      </c>
      <c r="L1099" s="19">
        <f>IF(I1099="","",IFERROR(INDEX(catAlim,MATCH(D1099,catNom,0))&amp;"",""))</f>
        <v/>
      </c>
      <c r="M1099" s="19">
        <f>IF(I1099="","",IFERROR(INDEX(catComida,MATCH(D1099,catNom,0))&amp;"",""))</f>
        <v/>
      </c>
      <c r="N1099" s="19">
        <f>IF(I1099="","",IFERROR(INDEX(ctaMon,MATCH(E1099,ctaNom,0))&amp;"","DOP"))</f>
        <v/>
      </c>
      <c r="O1099" s="20">
        <f>IF(I1099="","",C1099*IF(N1099="USD",TasaUSD,1))</f>
        <v/>
      </c>
      <c r="P1099" s="20">
        <f>IF(I1099="","",IF(I1099="Gasto",O1099,0))</f>
        <v/>
      </c>
      <c r="Q1099" s="20">
        <f>IF(I1099="","",IF(I1099="Ingreso",O1099,0))</f>
        <v/>
      </c>
      <c r="R1099" s="20">
        <f>IF(I1099="","",IF(I1099="Trading",O1099,0))</f>
        <v/>
      </c>
      <c r="S1099" s="19">
        <f>IF(I1099="","",IF(AND(I1099="Gasto",K1099="Variable",J1099&lt;&gt;"Trading",O1099&gt;0,O1099&lt;=Umbral),1,0))</f>
        <v/>
      </c>
      <c r="T1099" s="20">
        <f>IF(OR(I1099="",E1099=""),"",IF(OR(I1099="Gasto",I1099="Transferencia",I1099="Pago tarjeta"),-1,1)*C1099)</f>
        <v/>
      </c>
      <c r="U1099" s="20">
        <f>IF(OR(G1099="",AND(I1099&lt;&gt;"Transferencia",I1099&lt;&gt;"Pago tarjeta")),"",IF(IFERROR(INDEX(ctaMon,MATCH(G1099,ctaNom,0))&amp;"","DOP")=N1099,C1099,IF(N1099="USD",C1099*TasaUSD,C1099/TasaUSD)))</f>
        <v/>
      </c>
      <c r="V1099" s="20">
        <f>IF(I1099="","",IF(IFERROR(INDEX(ctaLiq,MATCH(E1099,ctaNom,0))="Sí",FALSE),IF(OR(I1099="Gasto",I1099="Transferencia",I1099="Pago tarjeta"),-1,1)*O1099,0)+IF(AND(U1099&lt;&gt;"",IFERROR(INDEX(ctaLiq,MATCH(G1099,ctaNom,0))="Sí",FALSE)),O1099,0))</f>
        <v/>
      </c>
      <c r="W1099" s="19">
        <f>IF(OR(F1099="",I1099=""),"",IF(COUNTIFS(F$6:F1099,F1099,I$6:I1099,"?*")=1,MAX(W$5:W1098)+1,""))</f>
        <v/>
      </c>
    </row>
    <row r="1100">
      <c r="B1100" s="15" t="n"/>
      <c r="C1100" s="16" t="n"/>
      <c r="D1100" s="17" t="n"/>
      <c r="E1100" s="17" t="n"/>
      <c r="F1100" s="17" t="n"/>
      <c r="G1100" s="17" t="n"/>
      <c r="H1100" s="18">
        <f>IF(AND(B1100="",C1100="",D1100="",E1100=""),"",IF(B1100="","⚠ Falta fecha",IF(C1100="","⚠ Falta monto",IF(D1100="","⚠ Falta categoría",IF(ISNA(MATCH(D1100,catNom,0)),"⚠ Categoría no existe",IF(E1100="","⚠ Falta cuenta",IF(ISNA(MATCH(E1100,ctaNom,0)),"⚠ Cuenta no existe",IF(AND(OR(I1100="Transferencia",I1100="Pago tarjeta"),G1100=""),"⚠ Indica la cuenta «Hacia»",IF(AND(G1100&lt;&gt;"",G1100=E1100),"⚠ «Hacia» igual a la cuenta",IF(AND(G1100&lt;&gt;"",ISNA(MATCH(G1100,ctaNom,0))),"⚠ «Hacia» no existe",IF(AND(I1100="Pago tarjeta",IFERROR(INDEX(ctaTipo,MATCH(G1100,ctaNom,0)),"")&lt;&gt;"Tarjeta de crédito"),"⚠ «Hacia» debe ser la tarjeta",IF(AND(I1100="Trading",IFERROR(INDEX(ctaTipo,MATCH(E1100,ctaNom,0)),"")&lt;&gt;"Cuenta de trading"),"⚠ Usa la cuenta de trading","✓"))))))))))))</f>
        <v/>
      </c>
      <c r="I1100" s="19">
        <f>IF(OR(B1100="",C1100="",D1100=""),"",IFERROR(INDEX(catTipo,MATCH(D1100,catNom,0))&amp;"",""))</f>
        <v/>
      </c>
      <c r="J1100" s="19">
        <f>IF(I1100="","",IFERROR(INDEX(catGrupo,MATCH(D1100,catNom,0))&amp;"",""))</f>
        <v/>
      </c>
      <c r="K1100" s="19">
        <f>IF(I1100="Gasto",IF(IFERROR(INDEX(catClas,MATCH(D1100,catNom,0))&amp;"","")="","Variable",IFERROR(INDEX(catClas,MATCH(D1100,catNom,0))&amp;"","")),"")</f>
        <v/>
      </c>
      <c r="L1100" s="19">
        <f>IF(I1100="","",IFERROR(INDEX(catAlim,MATCH(D1100,catNom,0))&amp;"",""))</f>
        <v/>
      </c>
      <c r="M1100" s="19">
        <f>IF(I1100="","",IFERROR(INDEX(catComida,MATCH(D1100,catNom,0))&amp;"",""))</f>
        <v/>
      </c>
      <c r="N1100" s="19">
        <f>IF(I1100="","",IFERROR(INDEX(ctaMon,MATCH(E1100,ctaNom,0))&amp;"","DOP"))</f>
        <v/>
      </c>
      <c r="O1100" s="20">
        <f>IF(I1100="","",C1100*IF(N1100="USD",TasaUSD,1))</f>
        <v/>
      </c>
      <c r="P1100" s="20">
        <f>IF(I1100="","",IF(I1100="Gasto",O1100,0))</f>
        <v/>
      </c>
      <c r="Q1100" s="20">
        <f>IF(I1100="","",IF(I1100="Ingreso",O1100,0))</f>
        <v/>
      </c>
      <c r="R1100" s="20">
        <f>IF(I1100="","",IF(I1100="Trading",O1100,0))</f>
        <v/>
      </c>
      <c r="S1100" s="19">
        <f>IF(I1100="","",IF(AND(I1100="Gasto",K1100="Variable",J1100&lt;&gt;"Trading",O1100&gt;0,O1100&lt;=Umbral),1,0))</f>
        <v/>
      </c>
      <c r="T1100" s="20">
        <f>IF(OR(I1100="",E1100=""),"",IF(OR(I1100="Gasto",I1100="Transferencia",I1100="Pago tarjeta"),-1,1)*C1100)</f>
        <v/>
      </c>
      <c r="U1100" s="20">
        <f>IF(OR(G1100="",AND(I1100&lt;&gt;"Transferencia",I1100&lt;&gt;"Pago tarjeta")),"",IF(IFERROR(INDEX(ctaMon,MATCH(G1100,ctaNom,0))&amp;"","DOP")=N1100,C1100,IF(N1100="USD",C1100*TasaUSD,C1100/TasaUSD)))</f>
        <v/>
      </c>
      <c r="V1100" s="20">
        <f>IF(I1100="","",IF(IFERROR(INDEX(ctaLiq,MATCH(E1100,ctaNom,0))="Sí",FALSE),IF(OR(I1100="Gasto",I1100="Transferencia",I1100="Pago tarjeta"),-1,1)*O1100,0)+IF(AND(U1100&lt;&gt;"",IFERROR(INDEX(ctaLiq,MATCH(G1100,ctaNom,0))="Sí",FALSE)),O1100,0))</f>
        <v/>
      </c>
      <c r="W1100" s="19">
        <f>IF(OR(F1100="",I1100=""),"",IF(COUNTIFS(F$6:F1100,F1100,I$6:I1100,"?*")=1,MAX(W$5:W1099)+1,""))</f>
        <v/>
      </c>
    </row>
    <row r="1101">
      <c r="B1101" s="15" t="n"/>
      <c r="C1101" s="16" t="n"/>
      <c r="D1101" s="17" t="n"/>
      <c r="E1101" s="17" t="n"/>
      <c r="F1101" s="17" t="n"/>
      <c r="G1101" s="17" t="n"/>
      <c r="H1101" s="18">
        <f>IF(AND(B1101="",C1101="",D1101="",E1101=""),"",IF(B1101="","⚠ Falta fecha",IF(C1101="","⚠ Falta monto",IF(D1101="","⚠ Falta categoría",IF(ISNA(MATCH(D1101,catNom,0)),"⚠ Categoría no existe",IF(E1101="","⚠ Falta cuenta",IF(ISNA(MATCH(E1101,ctaNom,0)),"⚠ Cuenta no existe",IF(AND(OR(I1101="Transferencia",I1101="Pago tarjeta"),G1101=""),"⚠ Indica la cuenta «Hacia»",IF(AND(G1101&lt;&gt;"",G1101=E1101),"⚠ «Hacia» igual a la cuenta",IF(AND(G1101&lt;&gt;"",ISNA(MATCH(G1101,ctaNom,0))),"⚠ «Hacia» no existe",IF(AND(I1101="Pago tarjeta",IFERROR(INDEX(ctaTipo,MATCH(G1101,ctaNom,0)),"")&lt;&gt;"Tarjeta de crédito"),"⚠ «Hacia» debe ser la tarjeta",IF(AND(I1101="Trading",IFERROR(INDEX(ctaTipo,MATCH(E1101,ctaNom,0)),"")&lt;&gt;"Cuenta de trading"),"⚠ Usa la cuenta de trading","✓"))))))))))))</f>
        <v/>
      </c>
      <c r="I1101" s="19">
        <f>IF(OR(B1101="",C1101="",D1101=""),"",IFERROR(INDEX(catTipo,MATCH(D1101,catNom,0))&amp;"",""))</f>
        <v/>
      </c>
      <c r="J1101" s="19">
        <f>IF(I1101="","",IFERROR(INDEX(catGrupo,MATCH(D1101,catNom,0))&amp;"",""))</f>
        <v/>
      </c>
      <c r="K1101" s="19">
        <f>IF(I1101="Gasto",IF(IFERROR(INDEX(catClas,MATCH(D1101,catNom,0))&amp;"","")="","Variable",IFERROR(INDEX(catClas,MATCH(D1101,catNom,0))&amp;"","")),"")</f>
        <v/>
      </c>
      <c r="L1101" s="19">
        <f>IF(I1101="","",IFERROR(INDEX(catAlim,MATCH(D1101,catNom,0))&amp;"",""))</f>
        <v/>
      </c>
      <c r="M1101" s="19">
        <f>IF(I1101="","",IFERROR(INDEX(catComida,MATCH(D1101,catNom,0))&amp;"",""))</f>
        <v/>
      </c>
      <c r="N1101" s="19">
        <f>IF(I1101="","",IFERROR(INDEX(ctaMon,MATCH(E1101,ctaNom,0))&amp;"","DOP"))</f>
        <v/>
      </c>
      <c r="O1101" s="20">
        <f>IF(I1101="","",C1101*IF(N1101="USD",TasaUSD,1))</f>
        <v/>
      </c>
      <c r="P1101" s="20">
        <f>IF(I1101="","",IF(I1101="Gasto",O1101,0))</f>
        <v/>
      </c>
      <c r="Q1101" s="20">
        <f>IF(I1101="","",IF(I1101="Ingreso",O1101,0))</f>
        <v/>
      </c>
      <c r="R1101" s="20">
        <f>IF(I1101="","",IF(I1101="Trading",O1101,0))</f>
        <v/>
      </c>
      <c r="S1101" s="19">
        <f>IF(I1101="","",IF(AND(I1101="Gasto",K1101="Variable",J1101&lt;&gt;"Trading",O1101&gt;0,O1101&lt;=Umbral),1,0))</f>
        <v/>
      </c>
      <c r="T1101" s="20">
        <f>IF(OR(I1101="",E1101=""),"",IF(OR(I1101="Gasto",I1101="Transferencia",I1101="Pago tarjeta"),-1,1)*C1101)</f>
        <v/>
      </c>
      <c r="U1101" s="20">
        <f>IF(OR(G1101="",AND(I1101&lt;&gt;"Transferencia",I1101&lt;&gt;"Pago tarjeta")),"",IF(IFERROR(INDEX(ctaMon,MATCH(G1101,ctaNom,0))&amp;"","DOP")=N1101,C1101,IF(N1101="USD",C1101*TasaUSD,C1101/TasaUSD)))</f>
        <v/>
      </c>
      <c r="V1101" s="20">
        <f>IF(I1101="","",IF(IFERROR(INDEX(ctaLiq,MATCH(E1101,ctaNom,0))="Sí",FALSE),IF(OR(I1101="Gasto",I1101="Transferencia",I1101="Pago tarjeta"),-1,1)*O1101,0)+IF(AND(U1101&lt;&gt;"",IFERROR(INDEX(ctaLiq,MATCH(G1101,ctaNom,0))="Sí",FALSE)),O1101,0))</f>
        <v/>
      </c>
      <c r="W1101" s="19">
        <f>IF(OR(F1101="",I1101=""),"",IF(COUNTIFS(F$6:F1101,F1101,I$6:I1101,"?*")=1,MAX(W$5:W1100)+1,""))</f>
        <v/>
      </c>
    </row>
    <row r="1102">
      <c r="B1102" s="15" t="n"/>
      <c r="C1102" s="16" t="n"/>
      <c r="D1102" s="17" t="n"/>
      <c r="E1102" s="17" t="n"/>
      <c r="F1102" s="17" t="n"/>
      <c r="G1102" s="17" t="n"/>
      <c r="H1102" s="18">
        <f>IF(AND(B1102="",C1102="",D1102="",E1102=""),"",IF(B1102="","⚠ Falta fecha",IF(C1102="","⚠ Falta monto",IF(D1102="","⚠ Falta categoría",IF(ISNA(MATCH(D1102,catNom,0)),"⚠ Categoría no existe",IF(E1102="","⚠ Falta cuenta",IF(ISNA(MATCH(E1102,ctaNom,0)),"⚠ Cuenta no existe",IF(AND(OR(I1102="Transferencia",I1102="Pago tarjeta"),G1102=""),"⚠ Indica la cuenta «Hacia»",IF(AND(G1102&lt;&gt;"",G1102=E1102),"⚠ «Hacia» igual a la cuenta",IF(AND(G1102&lt;&gt;"",ISNA(MATCH(G1102,ctaNom,0))),"⚠ «Hacia» no existe",IF(AND(I1102="Pago tarjeta",IFERROR(INDEX(ctaTipo,MATCH(G1102,ctaNom,0)),"")&lt;&gt;"Tarjeta de crédito"),"⚠ «Hacia» debe ser la tarjeta",IF(AND(I1102="Trading",IFERROR(INDEX(ctaTipo,MATCH(E1102,ctaNom,0)),"")&lt;&gt;"Cuenta de trading"),"⚠ Usa la cuenta de trading","✓"))))))))))))</f>
        <v/>
      </c>
      <c r="I1102" s="19">
        <f>IF(OR(B1102="",C1102="",D1102=""),"",IFERROR(INDEX(catTipo,MATCH(D1102,catNom,0))&amp;"",""))</f>
        <v/>
      </c>
      <c r="J1102" s="19">
        <f>IF(I1102="","",IFERROR(INDEX(catGrupo,MATCH(D1102,catNom,0))&amp;"",""))</f>
        <v/>
      </c>
      <c r="K1102" s="19">
        <f>IF(I1102="Gasto",IF(IFERROR(INDEX(catClas,MATCH(D1102,catNom,0))&amp;"","")="","Variable",IFERROR(INDEX(catClas,MATCH(D1102,catNom,0))&amp;"","")),"")</f>
        <v/>
      </c>
      <c r="L1102" s="19">
        <f>IF(I1102="","",IFERROR(INDEX(catAlim,MATCH(D1102,catNom,0))&amp;"",""))</f>
        <v/>
      </c>
      <c r="M1102" s="19">
        <f>IF(I1102="","",IFERROR(INDEX(catComida,MATCH(D1102,catNom,0))&amp;"",""))</f>
        <v/>
      </c>
      <c r="N1102" s="19">
        <f>IF(I1102="","",IFERROR(INDEX(ctaMon,MATCH(E1102,ctaNom,0))&amp;"","DOP"))</f>
        <v/>
      </c>
      <c r="O1102" s="20">
        <f>IF(I1102="","",C1102*IF(N1102="USD",TasaUSD,1))</f>
        <v/>
      </c>
      <c r="P1102" s="20">
        <f>IF(I1102="","",IF(I1102="Gasto",O1102,0))</f>
        <v/>
      </c>
      <c r="Q1102" s="20">
        <f>IF(I1102="","",IF(I1102="Ingreso",O1102,0))</f>
        <v/>
      </c>
      <c r="R1102" s="20">
        <f>IF(I1102="","",IF(I1102="Trading",O1102,0))</f>
        <v/>
      </c>
      <c r="S1102" s="19">
        <f>IF(I1102="","",IF(AND(I1102="Gasto",K1102="Variable",J1102&lt;&gt;"Trading",O1102&gt;0,O1102&lt;=Umbral),1,0))</f>
        <v/>
      </c>
      <c r="T1102" s="20">
        <f>IF(OR(I1102="",E1102=""),"",IF(OR(I1102="Gasto",I1102="Transferencia",I1102="Pago tarjeta"),-1,1)*C1102)</f>
        <v/>
      </c>
      <c r="U1102" s="20">
        <f>IF(OR(G1102="",AND(I1102&lt;&gt;"Transferencia",I1102&lt;&gt;"Pago tarjeta")),"",IF(IFERROR(INDEX(ctaMon,MATCH(G1102,ctaNom,0))&amp;"","DOP")=N1102,C1102,IF(N1102="USD",C1102*TasaUSD,C1102/TasaUSD)))</f>
        <v/>
      </c>
      <c r="V1102" s="20">
        <f>IF(I1102="","",IF(IFERROR(INDEX(ctaLiq,MATCH(E1102,ctaNom,0))="Sí",FALSE),IF(OR(I1102="Gasto",I1102="Transferencia",I1102="Pago tarjeta"),-1,1)*O1102,0)+IF(AND(U1102&lt;&gt;"",IFERROR(INDEX(ctaLiq,MATCH(G1102,ctaNom,0))="Sí",FALSE)),O1102,0))</f>
        <v/>
      </c>
      <c r="W1102" s="19">
        <f>IF(OR(F1102="",I1102=""),"",IF(COUNTIFS(F$6:F1102,F1102,I$6:I1102,"?*")=1,MAX(W$5:W1101)+1,""))</f>
        <v/>
      </c>
    </row>
    <row r="1103">
      <c r="B1103" s="15" t="n"/>
      <c r="C1103" s="16" t="n"/>
      <c r="D1103" s="17" t="n"/>
      <c r="E1103" s="17" t="n"/>
      <c r="F1103" s="17" t="n"/>
      <c r="G1103" s="17" t="n"/>
      <c r="H1103" s="18">
        <f>IF(AND(B1103="",C1103="",D1103="",E1103=""),"",IF(B1103="","⚠ Falta fecha",IF(C1103="","⚠ Falta monto",IF(D1103="","⚠ Falta categoría",IF(ISNA(MATCH(D1103,catNom,0)),"⚠ Categoría no existe",IF(E1103="","⚠ Falta cuenta",IF(ISNA(MATCH(E1103,ctaNom,0)),"⚠ Cuenta no existe",IF(AND(OR(I1103="Transferencia",I1103="Pago tarjeta"),G1103=""),"⚠ Indica la cuenta «Hacia»",IF(AND(G1103&lt;&gt;"",G1103=E1103),"⚠ «Hacia» igual a la cuenta",IF(AND(G1103&lt;&gt;"",ISNA(MATCH(G1103,ctaNom,0))),"⚠ «Hacia» no existe",IF(AND(I1103="Pago tarjeta",IFERROR(INDEX(ctaTipo,MATCH(G1103,ctaNom,0)),"")&lt;&gt;"Tarjeta de crédito"),"⚠ «Hacia» debe ser la tarjeta",IF(AND(I1103="Trading",IFERROR(INDEX(ctaTipo,MATCH(E1103,ctaNom,0)),"")&lt;&gt;"Cuenta de trading"),"⚠ Usa la cuenta de trading","✓"))))))))))))</f>
        <v/>
      </c>
      <c r="I1103" s="19">
        <f>IF(OR(B1103="",C1103="",D1103=""),"",IFERROR(INDEX(catTipo,MATCH(D1103,catNom,0))&amp;"",""))</f>
        <v/>
      </c>
      <c r="J1103" s="19">
        <f>IF(I1103="","",IFERROR(INDEX(catGrupo,MATCH(D1103,catNom,0))&amp;"",""))</f>
        <v/>
      </c>
      <c r="K1103" s="19">
        <f>IF(I1103="Gasto",IF(IFERROR(INDEX(catClas,MATCH(D1103,catNom,0))&amp;"","")="","Variable",IFERROR(INDEX(catClas,MATCH(D1103,catNom,0))&amp;"","")),"")</f>
        <v/>
      </c>
      <c r="L1103" s="19">
        <f>IF(I1103="","",IFERROR(INDEX(catAlim,MATCH(D1103,catNom,0))&amp;"",""))</f>
        <v/>
      </c>
      <c r="M1103" s="19">
        <f>IF(I1103="","",IFERROR(INDEX(catComida,MATCH(D1103,catNom,0))&amp;"",""))</f>
        <v/>
      </c>
      <c r="N1103" s="19">
        <f>IF(I1103="","",IFERROR(INDEX(ctaMon,MATCH(E1103,ctaNom,0))&amp;"","DOP"))</f>
        <v/>
      </c>
      <c r="O1103" s="20">
        <f>IF(I1103="","",C1103*IF(N1103="USD",TasaUSD,1))</f>
        <v/>
      </c>
      <c r="P1103" s="20">
        <f>IF(I1103="","",IF(I1103="Gasto",O1103,0))</f>
        <v/>
      </c>
      <c r="Q1103" s="20">
        <f>IF(I1103="","",IF(I1103="Ingreso",O1103,0))</f>
        <v/>
      </c>
      <c r="R1103" s="20">
        <f>IF(I1103="","",IF(I1103="Trading",O1103,0))</f>
        <v/>
      </c>
      <c r="S1103" s="19">
        <f>IF(I1103="","",IF(AND(I1103="Gasto",K1103="Variable",J1103&lt;&gt;"Trading",O1103&gt;0,O1103&lt;=Umbral),1,0))</f>
        <v/>
      </c>
      <c r="T1103" s="20">
        <f>IF(OR(I1103="",E1103=""),"",IF(OR(I1103="Gasto",I1103="Transferencia",I1103="Pago tarjeta"),-1,1)*C1103)</f>
        <v/>
      </c>
      <c r="U1103" s="20">
        <f>IF(OR(G1103="",AND(I1103&lt;&gt;"Transferencia",I1103&lt;&gt;"Pago tarjeta")),"",IF(IFERROR(INDEX(ctaMon,MATCH(G1103,ctaNom,0))&amp;"","DOP")=N1103,C1103,IF(N1103="USD",C1103*TasaUSD,C1103/TasaUSD)))</f>
        <v/>
      </c>
      <c r="V1103" s="20">
        <f>IF(I1103="","",IF(IFERROR(INDEX(ctaLiq,MATCH(E1103,ctaNom,0))="Sí",FALSE),IF(OR(I1103="Gasto",I1103="Transferencia",I1103="Pago tarjeta"),-1,1)*O1103,0)+IF(AND(U1103&lt;&gt;"",IFERROR(INDEX(ctaLiq,MATCH(G1103,ctaNom,0))="Sí",FALSE)),O1103,0))</f>
        <v/>
      </c>
      <c r="W1103" s="19">
        <f>IF(OR(F1103="",I1103=""),"",IF(COUNTIFS(F$6:F1103,F1103,I$6:I1103,"?*")=1,MAX(W$5:W1102)+1,""))</f>
        <v/>
      </c>
    </row>
    <row r="1104">
      <c r="B1104" s="15" t="n"/>
      <c r="C1104" s="16" t="n"/>
      <c r="D1104" s="17" t="n"/>
      <c r="E1104" s="17" t="n"/>
      <c r="F1104" s="17" t="n"/>
      <c r="G1104" s="17" t="n"/>
      <c r="H1104" s="18">
        <f>IF(AND(B1104="",C1104="",D1104="",E1104=""),"",IF(B1104="","⚠ Falta fecha",IF(C1104="","⚠ Falta monto",IF(D1104="","⚠ Falta categoría",IF(ISNA(MATCH(D1104,catNom,0)),"⚠ Categoría no existe",IF(E1104="","⚠ Falta cuenta",IF(ISNA(MATCH(E1104,ctaNom,0)),"⚠ Cuenta no existe",IF(AND(OR(I1104="Transferencia",I1104="Pago tarjeta"),G1104=""),"⚠ Indica la cuenta «Hacia»",IF(AND(G1104&lt;&gt;"",G1104=E1104),"⚠ «Hacia» igual a la cuenta",IF(AND(G1104&lt;&gt;"",ISNA(MATCH(G1104,ctaNom,0))),"⚠ «Hacia» no existe",IF(AND(I1104="Pago tarjeta",IFERROR(INDEX(ctaTipo,MATCH(G1104,ctaNom,0)),"")&lt;&gt;"Tarjeta de crédito"),"⚠ «Hacia» debe ser la tarjeta",IF(AND(I1104="Trading",IFERROR(INDEX(ctaTipo,MATCH(E1104,ctaNom,0)),"")&lt;&gt;"Cuenta de trading"),"⚠ Usa la cuenta de trading","✓"))))))))))))</f>
        <v/>
      </c>
      <c r="I1104" s="19">
        <f>IF(OR(B1104="",C1104="",D1104=""),"",IFERROR(INDEX(catTipo,MATCH(D1104,catNom,0))&amp;"",""))</f>
        <v/>
      </c>
      <c r="J1104" s="19">
        <f>IF(I1104="","",IFERROR(INDEX(catGrupo,MATCH(D1104,catNom,0))&amp;"",""))</f>
        <v/>
      </c>
      <c r="K1104" s="19">
        <f>IF(I1104="Gasto",IF(IFERROR(INDEX(catClas,MATCH(D1104,catNom,0))&amp;"","")="","Variable",IFERROR(INDEX(catClas,MATCH(D1104,catNom,0))&amp;"","")),"")</f>
        <v/>
      </c>
      <c r="L1104" s="19">
        <f>IF(I1104="","",IFERROR(INDEX(catAlim,MATCH(D1104,catNom,0))&amp;"",""))</f>
        <v/>
      </c>
      <c r="M1104" s="19">
        <f>IF(I1104="","",IFERROR(INDEX(catComida,MATCH(D1104,catNom,0))&amp;"",""))</f>
        <v/>
      </c>
      <c r="N1104" s="19">
        <f>IF(I1104="","",IFERROR(INDEX(ctaMon,MATCH(E1104,ctaNom,0))&amp;"","DOP"))</f>
        <v/>
      </c>
      <c r="O1104" s="20">
        <f>IF(I1104="","",C1104*IF(N1104="USD",TasaUSD,1))</f>
        <v/>
      </c>
      <c r="P1104" s="20">
        <f>IF(I1104="","",IF(I1104="Gasto",O1104,0))</f>
        <v/>
      </c>
      <c r="Q1104" s="20">
        <f>IF(I1104="","",IF(I1104="Ingreso",O1104,0))</f>
        <v/>
      </c>
      <c r="R1104" s="20">
        <f>IF(I1104="","",IF(I1104="Trading",O1104,0))</f>
        <v/>
      </c>
      <c r="S1104" s="19">
        <f>IF(I1104="","",IF(AND(I1104="Gasto",K1104="Variable",J1104&lt;&gt;"Trading",O1104&gt;0,O1104&lt;=Umbral),1,0))</f>
        <v/>
      </c>
      <c r="T1104" s="20">
        <f>IF(OR(I1104="",E1104=""),"",IF(OR(I1104="Gasto",I1104="Transferencia",I1104="Pago tarjeta"),-1,1)*C1104)</f>
        <v/>
      </c>
      <c r="U1104" s="20">
        <f>IF(OR(G1104="",AND(I1104&lt;&gt;"Transferencia",I1104&lt;&gt;"Pago tarjeta")),"",IF(IFERROR(INDEX(ctaMon,MATCH(G1104,ctaNom,0))&amp;"","DOP")=N1104,C1104,IF(N1104="USD",C1104*TasaUSD,C1104/TasaUSD)))</f>
        <v/>
      </c>
      <c r="V1104" s="20">
        <f>IF(I1104="","",IF(IFERROR(INDEX(ctaLiq,MATCH(E1104,ctaNom,0))="Sí",FALSE),IF(OR(I1104="Gasto",I1104="Transferencia",I1104="Pago tarjeta"),-1,1)*O1104,0)+IF(AND(U1104&lt;&gt;"",IFERROR(INDEX(ctaLiq,MATCH(G1104,ctaNom,0))="Sí",FALSE)),O1104,0))</f>
        <v/>
      </c>
      <c r="W1104" s="19">
        <f>IF(OR(F1104="",I1104=""),"",IF(COUNTIFS(F$6:F1104,F1104,I$6:I1104,"?*")=1,MAX(W$5:W1103)+1,""))</f>
        <v/>
      </c>
    </row>
    <row r="1105">
      <c r="B1105" s="15" t="n"/>
      <c r="C1105" s="16" t="n"/>
      <c r="D1105" s="17" t="n"/>
      <c r="E1105" s="17" t="n"/>
      <c r="F1105" s="17" t="n"/>
      <c r="G1105" s="17" t="n"/>
      <c r="H1105" s="18">
        <f>IF(AND(B1105="",C1105="",D1105="",E1105=""),"",IF(B1105="","⚠ Falta fecha",IF(C1105="","⚠ Falta monto",IF(D1105="","⚠ Falta categoría",IF(ISNA(MATCH(D1105,catNom,0)),"⚠ Categoría no existe",IF(E1105="","⚠ Falta cuenta",IF(ISNA(MATCH(E1105,ctaNom,0)),"⚠ Cuenta no existe",IF(AND(OR(I1105="Transferencia",I1105="Pago tarjeta"),G1105=""),"⚠ Indica la cuenta «Hacia»",IF(AND(G1105&lt;&gt;"",G1105=E1105),"⚠ «Hacia» igual a la cuenta",IF(AND(G1105&lt;&gt;"",ISNA(MATCH(G1105,ctaNom,0))),"⚠ «Hacia» no existe",IF(AND(I1105="Pago tarjeta",IFERROR(INDEX(ctaTipo,MATCH(G1105,ctaNom,0)),"")&lt;&gt;"Tarjeta de crédito"),"⚠ «Hacia» debe ser la tarjeta",IF(AND(I1105="Trading",IFERROR(INDEX(ctaTipo,MATCH(E1105,ctaNom,0)),"")&lt;&gt;"Cuenta de trading"),"⚠ Usa la cuenta de trading","✓"))))))))))))</f>
        <v/>
      </c>
      <c r="I1105" s="19">
        <f>IF(OR(B1105="",C1105="",D1105=""),"",IFERROR(INDEX(catTipo,MATCH(D1105,catNom,0))&amp;"",""))</f>
        <v/>
      </c>
      <c r="J1105" s="19">
        <f>IF(I1105="","",IFERROR(INDEX(catGrupo,MATCH(D1105,catNom,0))&amp;"",""))</f>
        <v/>
      </c>
      <c r="K1105" s="19">
        <f>IF(I1105="Gasto",IF(IFERROR(INDEX(catClas,MATCH(D1105,catNom,0))&amp;"","")="","Variable",IFERROR(INDEX(catClas,MATCH(D1105,catNom,0))&amp;"","")),"")</f>
        <v/>
      </c>
      <c r="L1105" s="19">
        <f>IF(I1105="","",IFERROR(INDEX(catAlim,MATCH(D1105,catNom,0))&amp;"",""))</f>
        <v/>
      </c>
      <c r="M1105" s="19">
        <f>IF(I1105="","",IFERROR(INDEX(catComida,MATCH(D1105,catNom,0))&amp;"",""))</f>
        <v/>
      </c>
      <c r="N1105" s="19">
        <f>IF(I1105="","",IFERROR(INDEX(ctaMon,MATCH(E1105,ctaNom,0))&amp;"","DOP"))</f>
        <v/>
      </c>
      <c r="O1105" s="20">
        <f>IF(I1105="","",C1105*IF(N1105="USD",TasaUSD,1))</f>
        <v/>
      </c>
      <c r="P1105" s="20">
        <f>IF(I1105="","",IF(I1105="Gasto",O1105,0))</f>
        <v/>
      </c>
      <c r="Q1105" s="20">
        <f>IF(I1105="","",IF(I1105="Ingreso",O1105,0))</f>
        <v/>
      </c>
      <c r="R1105" s="20">
        <f>IF(I1105="","",IF(I1105="Trading",O1105,0))</f>
        <v/>
      </c>
      <c r="S1105" s="19">
        <f>IF(I1105="","",IF(AND(I1105="Gasto",K1105="Variable",J1105&lt;&gt;"Trading",O1105&gt;0,O1105&lt;=Umbral),1,0))</f>
        <v/>
      </c>
      <c r="T1105" s="20">
        <f>IF(OR(I1105="",E1105=""),"",IF(OR(I1105="Gasto",I1105="Transferencia",I1105="Pago tarjeta"),-1,1)*C1105)</f>
        <v/>
      </c>
      <c r="U1105" s="20">
        <f>IF(OR(G1105="",AND(I1105&lt;&gt;"Transferencia",I1105&lt;&gt;"Pago tarjeta")),"",IF(IFERROR(INDEX(ctaMon,MATCH(G1105,ctaNom,0))&amp;"","DOP")=N1105,C1105,IF(N1105="USD",C1105*TasaUSD,C1105/TasaUSD)))</f>
        <v/>
      </c>
      <c r="V1105" s="20">
        <f>IF(I1105="","",IF(IFERROR(INDEX(ctaLiq,MATCH(E1105,ctaNom,0))="Sí",FALSE),IF(OR(I1105="Gasto",I1105="Transferencia",I1105="Pago tarjeta"),-1,1)*O1105,0)+IF(AND(U1105&lt;&gt;"",IFERROR(INDEX(ctaLiq,MATCH(G1105,ctaNom,0))="Sí",FALSE)),O1105,0))</f>
        <v/>
      </c>
      <c r="W1105" s="19">
        <f>IF(OR(F1105="",I1105=""),"",IF(COUNTIFS(F$6:F1105,F1105,I$6:I1105,"?*")=1,MAX(W$5:W1104)+1,""))</f>
        <v/>
      </c>
    </row>
    <row r="1106">
      <c r="B1106" s="15" t="n"/>
      <c r="C1106" s="16" t="n"/>
      <c r="D1106" s="17" t="n"/>
      <c r="E1106" s="17" t="n"/>
      <c r="F1106" s="17" t="n"/>
      <c r="G1106" s="17" t="n"/>
      <c r="H1106" s="18">
        <f>IF(AND(B1106="",C1106="",D1106="",E1106=""),"",IF(B1106="","⚠ Falta fecha",IF(C1106="","⚠ Falta monto",IF(D1106="","⚠ Falta categoría",IF(ISNA(MATCH(D1106,catNom,0)),"⚠ Categoría no existe",IF(E1106="","⚠ Falta cuenta",IF(ISNA(MATCH(E1106,ctaNom,0)),"⚠ Cuenta no existe",IF(AND(OR(I1106="Transferencia",I1106="Pago tarjeta"),G1106=""),"⚠ Indica la cuenta «Hacia»",IF(AND(G1106&lt;&gt;"",G1106=E1106),"⚠ «Hacia» igual a la cuenta",IF(AND(G1106&lt;&gt;"",ISNA(MATCH(G1106,ctaNom,0))),"⚠ «Hacia» no existe",IF(AND(I1106="Pago tarjeta",IFERROR(INDEX(ctaTipo,MATCH(G1106,ctaNom,0)),"")&lt;&gt;"Tarjeta de crédito"),"⚠ «Hacia» debe ser la tarjeta",IF(AND(I1106="Trading",IFERROR(INDEX(ctaTipo,MATCH(E1106,ctaNom,0)),"")&lt;&gt;"Cuenta de trading"),"⚠ Usa la cuenta de trading","✓"))))))))))))</f>
        <v/>
      </c>
      <c r="I1106" s="19">
        <f>IF(OR(B1106="",C1106="",D1106=""),"",IFERROR(INDEX(catTipo,MATCH(D1106,catNom,0))&amp;"",""))</f>
        <v/>
      </c>
      <c r="J1106" s="19">
        <f>IF(I1106="","",IFERROR(INDEX(catGrupo,MATCH(D1106,catNom,0))&amp;"",""))</f>
        <v/>
      </c>
      <c r="K1106" s="19">
        <f>IF(I1106="Gasto",IF(IFERROR(INDEX(catClas,MATCH(D1106,catNom,0))&amp;"","")="","Variable",IFERROR(INDEX(catClas,MATCH(D1106,catNom,0))&amp;"","")),"")</f>
        <v/>
      </c>
      <c r="L1106" s="19">
        <f>IF(I1106="","",IFERROR(INDEX(catAlim,MATCH(D1106,catNom,0))&amp;"",""))</f>
        <v/>
      </c>
      <c r="M1106" s="19">
        <f>IF(I1106="","",IFERROR(INDEX(catComida,MATCH(D1106,catNom,0))&amp;"",""))</f>
        <v/>
      </c>
      <c r="N1106" s="19">
        <f>IF(I1106="","",IFERROR(INDEX(ctaMon,MATCH(E1106,ctaNom,0))&amp;"","DOP"))</f>
        <v/>
      </c>
      <c r="O1106" s="20">
        <f>IF(I1106="","",C1106*IF(N1106="USD",TasaUSD,1))</f>
        <v/>
      </c>
      <c r="P1106" s="20">
        <f>IF(I1106="","",IF(I1106="Gasto",O1106,0))</f>
        <v/>
      </c>
      <c r="Q1106" s="20">
        <f>IF(I1106="","",IF(I1106="Ingreso",O1106,0))</f>
        <v/>
      </c>
      <c r="R1106" s="20">
        <f>IF(I1106="","",IF(I1106="Trading",O1106,0))</f>
        <v/>
      </c>
      <c r="S1106" s="19">
        <f>IF(I1106="","",IF(AND(I1106="Gasto",K1106="Variable",J1106&lt;&gt;"Trading",O1106&gt;0,O1106&lt;=Umbral),1,0))</f>
        <v/>
      </c>
      <c r="T1106" s="20">
        <f>IF(OR(I1106="",E1106=""),"",IF(OR(I1106="Gasto",I1106="Transferencia",I1106="Pago tarjeta"),-1,1)*C1106)</f>
        <v/>
      </c>
      <c r="U1106" s="20">
        <f>IF(OR(G1106="",AND(I1106&lt;&gt;"Transferencia",I1106&lt;&gt;"Pago tarjeta")),"",IF(IFERROR(INDEX(ctaMon,MATCH(G1106,ctaNom,0))&amp;"","DOP")=N1106,C1106,IF(N1106="USD",C1106*TasaUSD,C1106/TasaUSD)))</f>
        <v/>
      </c>
      <c r="V1106" s="20">
        <f>IF(I1106="","",IF(IFERROR(INDEX(ctaLiq,MATCH(E1106,ctaNom,0))="Sí",FALSE),IF(OR(I1106="Gasto",I1106="Transferencia",I1106="Pago tarjeta"),-1,1)*O1106,0)+IF(AND(U1106&lt;&gt;"",IFERROR(INDEX(ctaLiq,MATCH(G1106,ctaNom,0))="Sí",FALSE)),O1106,0))</f>
        <v/>
      </c>
      <c r="W1106" s="19">
        <f>IF(OR(F1106="",I1106=""),"",IF(COUNTIFS(F$6:F1106,F1106,I$6:I1106,"?*")=1,MAX(W$5:W1105)+1,""))</f>
        <v/>
      </c>
    </row>
    <row r="1107">
      <c r="B1107" s="15" t="n"/>
      <c r="C1107" s="16" t="n"/>
      <c r="D1107" s="17" t="n"/>
      <c r="E1107" s="17" t="n"/>
      <c r="F1107" s="17" t="n"/>
      <c r="G1107" s="17" t="n"/>
      <c r="H1107" s="18">
        <f>IF(AND(B1107="",C1107="",D1107="",E1107=""),"",IF(B1107="","⚠ Falta fecha",IF(C1107="","⚠ Falta monto",IF(D1107="","⚠ Falta categoría",IF(ISNA(MATCH(D1107,catNom,0)),"⚠ Categoría no existe",IF(E1107="","⚠ Falta cuenta",IF(ISNA(MATCH(E1107,ctaNom,0)),"⚠ Cuenta no existe",IF(AND(OR(I1107="Transferencia",I1107="Pago tarjeta"),G1107=""),"⚠ Indica la cuenta «Hacia»",IF(AND(G1107&lt;&gt;"",G1107=E1107),"⚠ «Hacia» igual a la cuenta",IF(AND(G1107&lt;&gt;"",ISNA(MATCH(G1107,ctaNom,0))),"⚠ «Hacia» no existe",IF(AND(I1107="Pago tarjeta",IFERROR(INDEX(ctaTipo,MATCH(G1107,ctaNom,0)),"")&lt;&gt;"Tarjeta de crédito"),"⚠ «Hacia» debe ser la tarjeta",IF(AND(I1107="Trading",IFERROR(INDEX(ctaTipo,MATCH(E1107,ctaNom,0)),"")&lt;&gt;"Cuenta de trading"),"⚠ Usa la cuenta de trading","✓"))))))))))))</f>
        <v/>
      </c>
      <c r="I1107" s="19">
        <f>IF(OR(B1107="",C1107="",D1107=""),"",IFERROR(INDEX(catTipo,MATCH(D1107,catNom,0))&amp;"",""))</f>
        <v/>
      </c>
      <c r="J1107" s="19">
        <f>IF(I1107="","",IFERROR(INDEX(catGrupo,MATCH(D1107,catNom,0))&amp;"",""))</f>
        <v/>
      </c>
      <c r="K1107" s="19">
        <f>IF(I1107="Gasto",IF(IFERROR(INDEX(catClas,MATCH(D1107,catNom,0))&amp;"","")="","Variable",IFERROR(INDEX(catClas,MATCH(D1107,catNom,0))&amp;"","")),"")</f>
        <v/>
      </c>
      <c r="L1107" s="19">
        <f>IF(I1107="","",IFERROR(INDEX(catAlim,MATCH(D1107,catNom,0))&amp;"",""))</f>
        <v/>
      </c>
      <c r="M1107" s="19">
        <f>IF(I1107="","",IFERROR(INDEX(catComida,MATCH(D1107,catNom,0))&amp;"",""))</f>
        <v/>
      </c>
      <c r="N1107" s="19">
        <f>IF(I1107="","",IFERROR(INDEX(ctaMon,MATCH(E1107,ctaNom,0))&amp;"","DOP"))</f>
        <v/>
      </c>
      <c r="O1107" s="20">
        <f>IF(I1107="","",C1107*IF(N1107="USD",TasaUSD,1))</f>
        <v/>
      </c>
      <c r="P1107" s="20">
        <f>IF(I1107="","",IF(I1107="Gasto",O1107,0))</f>
        <v/>
      </c>
      <c r="Q1107" s="20">
        <f>IF(I1107="","",IF(I1107="Ingreso",O1107,0))</f>
        <v/>
      </c>
      <c r="R1107" s="20">
        <f>IF(I1107="","",IF(I1107="Trading",O1107,0))</f>
        <v/>
      </c>
      <c r="S1107" s="19">
        <f>IF(I1107="","",IF(AND(I1107="Gasto",K1107="Variable",J1107&lt;&gt;"Trading",O1107&gt;0,O1107&lt;=Umbral),1,0))</f>
        <v/>
      </c>
      <c r="T1107" s="20">
        <f>IF(OR(I1107="",E1107=""),"",IF(OR(I1107="Gasto",I1107="Transferencia",I1107="Pago tarjeta"),-1,1)*C1107)</f>
        <v/>
      </c>
      <c r="U1107" s="20">
        <f>IF(OR(G1107="",AND(I1107&lt;&gt;"Transferencia",I1107&lt;&gt;"Pago tarjeta")),"",IF(IFERROR(INDEX(ctaMon,MATCH(G1107,ctaNom,0))&amp;"","DOP")=N1107,C1107,IF(N1107="USD",C1107*TasaUSD,C1107/TasaUSD)))</f>
        <v/>
      </c>
      <c r="V1107" s="20">
        <f>IF(I1107="","",IF(IFERROR(INDEX(ctaLiq,MATCH(E1107,ctaNom,0))="Sí",FALSE),IF(OR(I1107="Gasto",I1107="Transferencia",I1107="Pago tarjeta"),-1,1)*O1107,0)+IF(AND(U1107&lt;&gt;"",IFERROR(INDEX(ctaLiq,MATCH(G1107,ctaNom,0))="Sí",FALSE)),O1107,0))</f>
        <v/>
      </c>
      <c r="W1107" s="19">
        <f>IF(OR(F1107="",I1107=""),"",IF(COUNTIFS(F$6:F1107,F1107,I$6:I1107,"?*")=1,MAX(W$5:W1106)+1,""))</f>
        <v/>
      </c>
    </row>
    <row r="1108">
      <c r="B1108" s="15" t="n"/>
      <c r="C1108" s="16" t="n"/>
      <c r="D1108" s="17" t="n"/>
      <c r="E1108" s="17" t="n"/>
      <c r="F1108" s="17" t="n"/>
      <c r="G1108" s="17" t="n"/>
      <c r="H1108" s="18">
        <f>IF(AND(B1108="",C1108="",D1108="",E1108=""),"",IF(B1108="","⚠ Falta fecha",IF(C1108="","⚠ Falta monto",IF(D1108="","⚠ Falta categoría",IF(ISNA(MATCH(D1108,catNom,0)),"⚠ Categoría no existe",IF(E1108="","⚠ Falta cuenta",IF(ISNA(MATCH(E1108,ctaNom,0)),"⚠ Cuenta no existe",IF(AND(OR(I1108="Transferencia",I1108="Pago tarjeta"),G1108=""),"⚠ Indica la cuenta «Hacia»",IF(AND(G1108&lt;&gt;"",G1108=E1108),"⚠ «Hacia» igual a la cuenta",IF(AND(G1108&lt;&gt;"",ISNA(MATCH(G1108,ctaNom,0))),"⚠ «Hacia» no existe",IF(AND(I1108="Pago tarjeta",IFERROR(INDEX(ctaTipo,MATCH(G1108,ctaNom,0)),"")&lt;&gt;"Tarjeta de crédito"),"⚠ «Hacia» debe ser la tarjeta",IF(AND(I1108="Trading",IFERROR(INDEX(ctaTipo,MATCH(E1108,ctaNom,0)),"")&lt;&gt;"Cuenta de trading"),"⚠ Usa la cuenta de trading","✓"))))))))))))</f>
        <v/>
      </c>
      <c r="I1108" s="19">
        <f>IF(OR(B1108="",C1108="",D1108=""),"",IFERROR(INDEX(catTipo,MATCH(D1108,catNom,0))&amp;"",""))</f>
        <v/>
      </c>
      <c r="J1108" s="19">
        <f>IF(I1108="","",IFERROR(INDEX(catGrupo,MATCH(D1108,catNom,0))&amp;"",""))</f>
        <v/>
      </c>
      <c r="K1108" s="19">
        <f>IF(I1108="Gasto",IF(IFERROR(INDEX(catClas,MATCH(D1108,catNom,0))&amp;"","")="","Variable",IFERROR(INDEX(catClas,MATCH(D1108,catNom,0))&amp;"","")),"")</f>
        <v/>
      </c>
      <c r="L1108" s="19">
        <f>IF(I1108="","",IFERROR(INDEX(catAlim,MATCH(D1108,catNom,0))&amp;"",""))</f>
        <v/>
      </c>
      <c r="M1108" s="19">
        <f>IF(I1108="","",IFERROR(INDEX(catComida,MATCH(D1108,catNom,0))&amp;"",""))</f>
        <v/>
      </c>
      <c r="N1108" s="19">
        <f>IF(I1108="","",IFERROR(INDEX(ctaMon,MATCH(E1108,ctaNom,0))&amp;"","DOP"))</f>
        <v/>
      </c>
      <c r="O1108" s="20">
        <f>IF(I1108="","",C1108*IF(N1108="USD",TasaUSD,1))</f>
        <v/>
      </c>
      <c r="P1108" s="20">
        <f>IF(I1108="","",IF(I1108="Gasto",O1108,0))</f>
        <v/>
      </c>
      <c r="Q1108" s="20">
        <f>IF(I1108="","",IF(I1108="Ingreso",O1108,0))</f>
        <v/>
      </c>
      <c r="R1108" s="20">
        <f>IF(I1108="","",IF(I1108="Trading",O1108,0))</f>
        <v/>
      </c>
      <c r="S1108" s="19">
        <f>IF(I1108="","",IF(AND(I1108="Gasto",K1108="Variable",J1108&lt;&gt;"Trading",O1108&gt;0,O1108&lt;=Umbral),1,0))</f>
        <v/>
      </c>
      <c r="T1108" s="20">
        <f>IF(OR(I1108="",E1108=""),"",IF(OR(I1108="Gasto",I1108="Transferencia",I1108="Pago tarjeta"),-1,1)*C1108)</f>
        <v/>
      </c>
      <c r="U1108" s="20">
        <f>IF(OR(G1108="",AND(I1108&lt;&gt;"Transferencia",I1108&lt;&gt;"Pago tarjeta")),"",IF(IFERROR(INDEX(ctaMon,MATCH(G1108,ctaNom,0))&amp;"","DOP")=N1108,C1108,IF(N1108="USD",C1108*TasaUSD,C1108/TasaUSD)))</f>
        <v/>
      </c>
      <c r="V1108" s="20">
        <f>IF(I1108="","",IF(IFERROR(INDEX(ctaLiq,MATCH(E1108,ctaNom,0))="Sí",FALSE),IF(OR(I1108="Gasto",I1108="Transferencia",I1108="Pago tarjeta"),-1,1)*O1108,0)+IF(AND(U1108&lt;&gt;"",IFERROR(INDEX(ctaLiq,MATCH(G1108,ctaNom,0))="Sí",FALSE)),O1108,0))</f>
        <v/>
      </c>
      <c r="W1108" s="19">
        <f>IF(OR(F1108="",I1108=""),"",IF(COUNTIFS(F$6:F1108,F1108,I$6:I1108,"?*")=1,MAX(W$5:W1107)+1,""))</f>
        <v/>
      </c>
    </row>
    <row r="1109">
      <c r="B1109" s="15" t="n"/>
      <c r="C1109" s="16" t="n"/>
      <c r="D1109" s="17" t="n"/>
      <c r="E1109" s="17" t="n"/>
      <c r="F1109" s="17" t="n"/>
      <c r="G1109" s="17" t="n"/>
      <c r="H1109" s="18">
        <f>IF(AND(B1109="",C1109="",D1109="",E1109=""),"",IF(B1109="","⚠ Falta fecha",IF(C1109="","⚠ Falta monto",IF(D1109="","⚠ Falta categoría",IF(ISNA(MATCH(D1109,catNom,0)),"⚠ Categoría no existe",IF(E1109="","⚠ Falta cuenta",IF(ISNA(MATCH(E1109,ctaNom,0)),"⚠ Cuenta no existe",IF(AND(OR(I1109="Transferencia",I1109="Pago tarjeta"),G1109=""),"⚠ Indica la cuenta «Hacia»",IF(AND(G1109&lt;&gt;"",G1109=E1109),"⚠ «Hacia» igual a la cuenta",IF(AND(G1109&lt;&gt;"",ISNA(MATCH(G1109,ctaNom,0))),"⚠ «Hacia» no existe",IF(AND(I1109="Pago tarjeta",IFERROR(INDEX(ctaTipo,MATCH(G1109,ctaNom,0)),"")&lt;&gt;"Tarjeta de crédito"),"⚠ «Hacia» debe ser la tarjeta",IF(AND(I1109="Trading",IFERROR(INDEX(ctaTipo,MATCH(E1109,ctaNom,0)),"")&lt;&gt;"Cuenta de trading"),"⚠ Usa la cuenta de trading","✓"))))))))))))</f>
        <v/>
      </c>
      <c r="I1109" s="19">
        <f>IF(OR(B1109="",C1109="",D1109=""),"",IFERROR(INDEX(catTipo,MATCH(D1109,catNom,0))&amp;"",""))</f>
        <v/>
      </c>
      <c r="J1109" s="19">
        <f>IF(I1109="","",IFERROR(INDEX(catGrupo,MATCH(D1109,catNom,0))&amp;"",""))</f>
        <v/>
      </c>
      <c r="K1109" s="19">
        <f>IF(I1109="Gasto",IF(IFERROR(INDEX(catClas,MATCH(D1109,catNom,0))&amp;"","")="","Variable",IFERROR(INDEX(catClas,MATCH(D1109,catNom,0))&amp;"","")),"")</f>
        <v/>
      </c>
      <c r="L1109" s="19">
        <f>IF(I1109="","",IFERROR(INDEX(catAlim,MATCH(D1109,catNom,0))&amp;"",""))</f>
        <v/>
      </c>
      <c r="M1109" s="19">
        <f>IF(I1109="","",IFERROR(INDEX(catComida,MATCH(D1109,catNom,0))&amp;"",""))</f>
        <v/>
      </c>
      <c r="N1109" s="19">
        <f>IF(I1109="","",IFERROR(INDEX(ctaMon,MATCH(E1109,ctaNom,0))&amp;"","DOP"))</f>
        <v/>
      </c>
      <c r="O1109" s="20">
        <f>IF(I1109="","",C1109*IF(N1109="USD",TasaUSD,1))</f>
        <v/>
      </c>
      <c r="P1109" s="20">
        <f>IF(I1109="","",IF(I1109="Gasto",O1109,0))</f>
        <v/>
      </c>
      <c r="Q1109" s="20">
        <f>IF(I1109="","",IF(I1109="Ingreso",O1109,0))</f>
        <v/>
      </c>
      <c r="R1109" s="20">
        <f>IF(I1109="","",IF(I1109="Trading",O1109,0))</f>
        <v/>
      </c>
      <c r="S1109" s="19">
        <f>IF(I1109="","",IF(AND(I1109="Gasto",K1109="Variable",J1109&lt;&gt;"Trading",O1109&gt;0,O1109&lt;=Umbral),1,0))</f>
        <v/>
      </c>
      <c r="T1109" s="20">
        <f>IF(OR(I1109="",E1109=""),"",IF(OR(I1109="Gasto",I1109="Transferencia",I1109="Pago tarjeta"),-1,1)*C1109)</f>
        <v/>
      </c>
      <c r="U1109" s="20">
        <f>IF(OR(G1109="",AND(I1109&lt;&gt;"Transferencia",I1109&lt;&gt;"Pago tarjeta")),"",IF(IFERROR(INDEX(ctaMon,MATCH(G1109,ctaNom,0))&amp;"","DOP")=N1109,C1109,IF(N1109="USD",C1109*TasaUSD,C1109/TasaUSD)))</f>
        <v/>
      </c>
      <c r="V1109" s="20">
        <f>IF(I1109="","",IF(IFERROR(INDEX(ctaLiq,MATCH(E1109,ctaNom,0))="Sí",FALSE),IF(OR(I1109="Gasto",I1109="Transferencia",I1109="Pago tarjeta"),-1,1)*O1109,0)+IF(AND(U1109&lt;&gt;"",IFERROR(INDEX(ctaLiq,MATCH(G1109,ctaNom,0))="Sí",FALSE)),O1109,0))</f>
        <v/>
      </c>
      <c r="W1109" s="19">
        <f>IF(OR(F1109="",I1109=""),"",IF(COUNTIFS(F$6:F1109,F1109,I$6:I1109,"?*")=1,MAX(W$5:W1108)+1,""))</f>
        <v/>
      </c>
    </row>
    <row r="1110">
      <c r="B1110" s="15" t="n"/>
      <c r="C1110" s="16" t="n"/>
      <c r="D1110" s="17" t="n"/>
      <c r="E1110" s="17" t="n"/>
      <c r="F1110" s="17" t="n"/>
      <c r="G1110" s="17" t="n"/>
      <c r="H1110" s="18">
        <f>IF(AND(B1110="",C1110="",D1110="",E1110=""),"",IF(B1110="","⚠ Falta fecha",IF(C1110="","⚠ Falta monto",IF(D1110="","⚠ Falta categoría",IF(ISNA(MATCH(D1110,catNom,0)),"⚠ Categoría no existe",IF(E1110="","⚠ Falta cuenta",IF(ISNA(MATCH(E1110,ctaNom,0)),"⚠ Cuenta no existe",IF(AND(OR(I1110="Transferencia",I1110="Pago tarjeta"),G1110=""),"⚠ Indica la cuenta «Hacia»",IF(AND(G1110&lt;&gt;"",G1110=E1110),"⚠ «Hacia» igual a la cuenta",IF(AND(G1110&lt;&gt;"",ISNA(MATCH(G1110,ctaNom,0))),"⚠ «Hacia» no existe",IF(AND(I1110="Pago tarjeta",IFERROR(INDEX(ctaTipo,MATCH(G1110,ctaNom,0)),"")&lt;&gt;"Tarjeta de crédito"),"⚠ «Hacia» debe ser la tarjeta",IF(AND(I1110="Trading",IFERROR(INDEX(ctaTipo,MATCH(E1110,ctaNom,0)),"")&lt;&gt;"Cuenta de trading"),"⚠ Usa la cuenta de trading","✓"))))))))))))</f>
        <v/>
      </c>
      <c r="I1110" s="19">
        <f>IF(OR(B1110="",C1110="",D1110=""),"",IFERROR(INDEX(catTipo,MATCH(D1110,catNom,0))&amp;"",""))</f>
        <v/>
      </c>
      <c r="J1110" s="19">
        <f>IF(I1110="","",IFERROR(INDEX(catGrupo,MATCH(D1110,catNom,0))&amp;"",""))</f>
        <v/>
      </c>
      <c r="K1110" s="19">
        <f>IF(I1110="Gasto",IF(IFERROR(INDEX(catClas,MATCH(D1110,catNom,0))&amp;"","")="","Variable",IFERROR(INDEX(catClas,MATCH(D1110,catNom,0))&amp;"","")),"")</f>
        <v/>
      </c>
      <c r="L1110" s="19">
        <f>IF(I1110="","",IFERROR(INDEX(catAlim,MATCH(D1110,catNom,0))&amp;"",""))</f>
        <v/>
      </c>
      <c r="M1110" s="19">
        <f>IF(I1110="","",IFERROR(INDEX(catComida,MATCH(D1110,catNom,0))&amp;"",""))</f>
        <v/>
      </c>
      <c r="N1110" s="19">
        <f>IF(I1110="","",IFERROR(INDEX(ctaMon,MATCH(E1110,ctaNom,0))&amp;"","DOP"))</f>
        <v/>
      </c>
      <c r="O1110" s="20">
        <f>IF(I1110="","",C1110*IF(N1110="USD",TasaUSD,1))</f>
        <v/>
      </c>
      <c r="P1110" s="20">
        <f>IF(I1110="","",IF(I1110="Gasto",O1110,0))</f>
        <v/>
      </c>
      <c r="Q1110" s="20">
        <f>IF(I1110="","",IF(I1110="Ingreso",O1110,0))</f>
        <v/>
      </c>
      <c r="R1110" s="20">
        <f>IF(I1110="","",IF(I1110="Trading",O1110,0))</f>
        <v/>
      </c>
      <c r="S1110" s="19">
        <f>IF(I1110="","",IF(AND(I1110="Gasto",K1110="Variable",J1110&lt;&gt;"Trading",O1110&gt;0,O1110&lt;=Umbral),1,0))</f>
        <v/>
      </c>
      <c r="T1110" s="20">
        <f>IF(OR(I1110="",E1110=""),"",IF(OR(I1110="Gasto",I1110="Transferencia",I1110="Pago tarjeta"),-1,1)*C1110)</f>
        <v/>
      </c>
      <c r="U1110" s="20">
        <f>IF(OR(G1110="",AND(I1110&lt;&gt;"Transferencia",I1110&lt;&gt;"Pago tarjeta")),"",IF(IFERROR(INDEX(ctaMon,MATCH(G1110,ctaNom,0))&amp;"","DOP")=N1110,C1110,IF(N1110="USD",C1110*TasaUSD,C1110/TasaUSD)))</f>
        <v/>
      </c>
      <c r="V1110" s="20">
        <f>IF(I1110="","",IF(IFERROR(INDEX(ctaLiq,MATCH(E1110,ctaNom,0))="Sí",FALSE),IF(OR(I1110="Gasto",I1110="Transferencia",I1110="Pago tarjeta"),-1,1)*O1110,0)+IF(AND(U1110&lt;&gt;"",IFERROR(INDEX(ctaLiq,MATCH(G1110,ctaNom,0))="Sí",FALSE)),O1110,0))</f>
        <v/>
      </c>
      <c r="W1110" s="19">
        <f>IF(OR(F1110="",I1110=""),"",IF(COUNTIFS(F$6:F1110,F1110,I$6:I1110,"?*")=1,MAX(W$5:W1109)+1,""))</f>
        <v/>
      </c>
    </row>
    <row r="1111">
      <c r="B1111" s="15" t="n"/>
      <c r="C1111" s="16" t="n"/>
      <c r="D1111" s="17" t="n"/>
      <c r="E1111" s="17" t="n"/>
      <c r="F1111" s="17" t="n"/>
      <c r="G1111" s="17" t="n"/>
      <c r="H1111" s="18">
        <f>IF(AND(B1111="",C1111="",D1111="",E1111=""),"",IF(B1111="","⚠ Falta fecha",IF(C1111="","⚠ Falta monto",IF(D1111="","⚠ Falta categoría",IF(ISNA(MATCH(D1111,catNom,0)),"⚠ Categoría no existe",IF(E1111="","⚠ Falta cuenta",IF(ISNA(MATCH(E1111,ctaNom,0)),"⚠ Cuenta no existe",IF(AND(OR(I1111="Transferencia",I1111="Pago tarjeta"),G1111=""),"⚠ Indica la cuenta «Hacia»",IF(AND(G1111&lt;&gt;"",G1111=E1111),"⚠ «Hacia» igual a la cuenta",IF(AND(G1111&lt;&gt;"",ISNA(MATCH(G1111,ctaNom,0))),"⚠ «Hacia» no existe",IF(AND(I1111="Pago tarjeta",IFERROR(INDEX(ctaTipo,MATCH(G1111,ctaNom,0)),"")&lt;&gt;"Tarjeta de crédito"),"⚠ «Hacia» debe ser la tarjeta",IF(AND(I1111="Trading",IFERROR(INDEX(ctaTipo,MATCH(E1111,ctaNom,0)),"")&lt;&gt;"Cuenta de trading"),"⚠ Usa la cuenta de trading","✓"))))))))))))</f>
        <v/>
      </c>
      <c r="I1111" s="19">
        <f>IF(OR(B1111="",C1111="",D1111=""),"",IFERROR(INDEX(catTipo,MATCH(D1111,catNom,0))&amp;"",""))</f>
        <v/>
      </c>
      <c r="J1111" s="19">
        <f>IF(I1111="","",IFERROR(INDEX(catGrupo,MATCH(D1111,catNom,0))&amp;"",""))</f>
        <v/>
      </c>
      <c r="K1111" s="19">
        <f>IF(I1111="Gasto",IF(IFERROR(INDEX(catClas,MATCH(D1111,catNom,0))&amp;"","")="","Variable",IFERROR(INDEX(catClas,MATCH(D1111,catNom,0))&amp;"","")),"")</f>
        <v/>
      </c>
      <c r="L1111" s="19">
        <f>IF(I1111="","",IFERROR(INDEX(catAlim,MATCH(D1111,catNom,0))&amp;"",""))</f>
        <v/>
      </c>
      <c r="M1111" s="19">
        <f>IF(I1111="","",IFERROR(INDEX(catComida,MATCH(D1111,catNom,0))&amp;"",""))</f>
        <v/>
      </c>
      <c r="N1111" s="19">
        <f>IF(I1111="","",IFERROR(INDEX(ctaMon,MATCH(E1111,ctaNom,0))&amp;"","DOP"))</f>
        <v/>
      </c>
      <c r="O1111" s="20">
        <f>IF(I1111="","",C1111*IF(N1111="USD",TasaUSD,1))</f>
        <v/>
      </c>
      <c r="P1111" s="20">
        <f>IF(I1111="","",IF(I1111="Gasto",O1111,0))</f>
        <v/>
      </c>
      <c r="Q1111" s="20">
        <f>IF(I1111="","",IF(I1111="Ingreso",O1111,0))</f>
        <v/>
      </c>
      <c r="R1111" s="20">
        <f>IF(I1111="","",IF(I1111="Trading",O1111,0))</f>
        <v/>
      </c>
      <c r="S1111" s="19">
        <f>IF(I1111="","",IF(AND(I1111="Gasto",K1111="Variable",J1111&lt;&gt;"Trading",O1111&gt;0,O1111&lt;=Umbral),1,0))</f>
        <v/>
      </c>
      <c r="T1111" s="20">
        <f>IF(OR(I1111="",E1111=""),"",IF(OR(I1111="Gasto",I1111="Transferencia",I1111="Pago tarjeta"),-1,1)*C1111)</f>
        <v/>
      </c>
      <c r="U1111" s="20">
        <f>IF(OR(G1111="",AND(I1111&lt;&gt;"Transferencia",I1111&lt;&gt;"Pago tarjeta")),"",IF(IFERROR(INDEX(ctaMon,MATCH(G1111,ctaNom,0))&amp;"","DOP")=N1111,C1111,IF(N1111="USD",C1111*TasaUSD,C1111/TasaUSD)))</f>
        <v/>
      </c>
      <c r="V1111" s="20">
        <f>IF(I1111="","",IF(IFERROR(INDEX(ctaLiq,MATCH(E1111,ctaNom,0))="Sí",FALSE),IF(OR(I1111="Gasto",I1111="Transferencia",I1111="Pago tarjeta"),-1,1)*O1111,0)+IF(AND(U1111&lt;&gt;"",IFERROR(INDEX(ctaLiq,MATCH(G1111,ctaNom,0))="Sí",FALSE)),O1111,0))</f>
        <v/>
      </c>
      <c r="W1111" s="19">
        <f>IF(OR(F1111="",I1111=""),"",IF(COUNTIFS(F$6:F1111,F1111,I$6:I1111,"?*")=1,MAX(W$5:W1110)+1,""))</f>
        <v/>
      </c>
    </row>
    <row r="1112">
      <c r="B1112" s="15" t="n"/>
      <c r="C1112" s="16" t="n"/>
      <c r="D1112" s="17" t="n"/>
      <c r="E1112" s="17" t="n"/>
      <c r="F1112" s="17" t="n"/>
      <c r="G1112" s="17" t="n"/>
      <c r="H1112" s="18">
        <f>IF(AND(B1112="",C1112="",D1112="",E1112=""),"",IF(B1112="","⚠ Falta fecha",IF(C1112="","⚠ Falta monto",IF(D1112="","⚠ Falta categoría",IF(ISNA(MATCH(D1112,catNom,0)),"⚠ Categoría no existe",IF(E1112="","⚠ Falta cuenta",IF(ISNA(MATCH(E1112,ctaNom,0)),"⚠ Cuenta no existe",IF(AND(OR(I1112="Transferencia",I1112="Pago tarjeta"),G1112=""),"⚠ Indica la cuenta «Hacia»",IF(AND(G1112&lt;&gt;"",G1112=E1112),"⚠ «Hacia» igual a la cuenta",IF(AND(G1112&lt;&gt;"",ISNA(MATCH(G1112,ctaNom,0))),"⚠ «Hacia» no existe",IF(AND(I1112="Pago tarjeta",IFERROR(INDEX(ctaTipo,MATCH(G1112,ctaNom,0)),"")&lt;&gt;"Tarjeta de crédito"),"⚠ «Hacia» debe ser la tarjeta",IF(AND(I1112="Trading",IFERROR(INDEX(ctaTipo,MATCH(E1112,ctaNom,0)),"")&lt;&gt;"Cuenta de trading"),"⚠ Usa la cuenta de trading","✓"))))))))))))</f>
        <v/>
      </c>
      <c r="I1112" s="19">
        <f>IF(OR(B1112="",C1112="",D1112=""),"",IFERROR(INDEX(catTipo,MATCH(D1112,catNom,0))&amp;"",""))</f>
        <v/>
      </c>
      <c r="J1112" s="19">
        <f>IF(I1112="","",IFERROR(INDEX(catGrupo,MATCH(D1112,catNom,0))&amp;"",""))</f>
        <v/>
      </c>
      <c r="K1112" s="19">
        <f>IF(I1112="Gasto",IF(IFERROR(INDEX(catClas,MATCH(D1112,catNom,0))&amp;"","")="","Variable",IFERROR(INDEX(catClas,MATCH(D1112,catNom,0))&amp;"","")),"")</f>
        <v/>
      </c>
      <c r="L1112" s="19">
        <f>IF(I1112="","",IFERROR(INDEX(catAlim,MATCH(D1112,catNom,0))&amp;"",""))</f>
        <v/>
      </c>
      <c r="M1112" s="19">
        <f>IF(I1112="","",IFERROR(INDEX(catComida,MATCH(D1112,catNom,0))&amp;"",""))</f>
        <v/>
      </c>
      <c r="N1112" s="19">
        <f>IF(I1112="","",IFERROR(INDEX(ctaMon,MATCH(E1112,ctaNom,0))&amp;"","DOP"))</f>
        <v/>
      </c>
      <c r="O1112" s="20">
        <f>IF(I1112="","",C1112*IF(N1112="USD",TasaUSD,1))</f>
        <v/>
      </c>
      <c r="P1112" s="20">
        <f>IF(I1112="","",IF(I1112="Gasto",O1112,0))</f>
        <v/>
      </c>
      <c r="Q1112" s="20">
        <f>IF(I1112="","",IF(I1112="Ingreso",O1112,0))</f>
        <v/>
      </c>
      <c r="R1112" s="20">
        <f>IF(I1112="","",IF(I1112="Trading",O1112,0))</f>
        <v/>
      </c>
      <c r="S1112" s="19">
        <f>IF(I1112="","",IF(AND(I1112="Gasto",K1112="Variable",J1112&lt;&gt;"Trading",O1112&gt;0,O1112&lt;=Umbral),1,0))</f>
        <v/>
      </c>
      <c r="T1112" s="20">
        <f>IF(OR(I1112="",E1112=""),"",IF(OR(I1112="Gasto",I1112="Transferencia",I1112="Pago tarjeta"),-1,1)*C1112)</f>
        <v/>
      </c>
      <c r="U1112" s="20">
        <f>IF(OR(G1112="",AND(I1112&lt;&gt;"Transferencia",I1112&lt;&gt;"Pago tarjeta")),"",IF(IFERROR(INDEX(ctaMon,MATCH(G1112,ctaNom,0))&amp;"","DOP")=N1112,C1112,IF(N1112="USD",C1112*TasaUSD,C1112/TasaUSD)))</f>
        <v/>
      </c>
      <c r="V1112" s="20">
        <f>IF(I1112="","",IF(IFERROR(INDEX(ctaLiq,MATCH(E1112,ctaNom,0))="Sí",FALSE),IF(OR(I1112="Gasto",I1112="Transferencia",I1112="Pago tarjeta"),-1,1)*O1112,0)+IF(AND(U1112&lt;&gt;"",IFERROR(INDEX(ctaLiq,MATCH(G1112,ctaNom,0))="Sí",FALSE)),O1112,0))</f>
        <v/>
      </c>
      <c r="W1112" s="19">
        <f>IF(OR(F1112="",I1112=""),"",IF(COUNTIFS(F$6:F1112,F1112,I$6:I1112,"?*")=1,MAX(W$5:W1111)+1,""))</f>
        <v/>
      </c>
    </row>
    <row r="1113">
      <c r="B1113" s="15" t="n"/>
      <c r="C1113" s="16" t="n"/>
      <c r="D1113" s="17" t="n"/>
      <c r="E1113" s="17" t="n"/>
      <c r="F1113" s="17" t="n"/>
      <c r="G1113" s="17" t="n"/>
      <c r="H1113" s="18">
        <f>IF(AND(B1113="",C1113="",D1113="",E1113=""),"",IF(B1113="","⚠ Falta fecha",IF(C1113="","⚠ Falta monto",IF(D1113="","⚠ Falta categoría",IF(ISNA(MATCH(D1113,catNom,0)),"⚠ Categoría no existe",IF(E1113="","⚠ Falta cuenta",IF(ISNA(MATCH(E1113,ctaNom,0)),"⚠ Cuenta no existe",IF(AND(OR(I1113="Transferencia",I1113="Pago tarjeta"),G1113=""),"⚠ Indica la cuenta «Hacia»",IF(AND(G1113&lt;&gt;"",G1113=E1113),"⚠ «Hacia» igual a la cuenta",IF(AND(G1113&lt;&gt;"",ISNA(MATCH(G1113,ctaNom,0))),"⚠ «Hacia» no existe",IF(AND(I1113="Pago tarjeta",IFERROR(INDEX(ctaTipo,MATCH(G1113,ctaNom,0)),"")&lt;&gt;"Tarjeta de crédito"),"⚠ «Hacia» debe ser la tarjeta",IF(AND(I1113="Trading",IFERROR(INDEX(ctaTipo,MATCH(E1113,ctaNom,0)),"")&lt;&gt;"Cuenta de trading"),"⚠ Usa la cuenta de trading","✓"))))))))))))</f>
        <v/>
      </c>
      <c r="I1113" s="19">
        <f>IF(OR(B1113="",C1113="",D1113=""),"",IFERROR(INDEX(catTipo,MATCH(D1113,catNom,0))&amp;"",""))</f>
        <v/>
      </c>
      <c r="J1113" s="19">
        <f>IF(I1113="","",IFERROR(INDEX(catGrupo,MATCH(D1113,catNom,0))&amp;"",""))</f>
        <v/>
      </c>
      <c r="K1113" s="19">
        <f>IF(I1113="Gasto",IF(IFERROR(INDEX(catClas,MATCH(D1113,catNom,0))&amp;"","")="","Variable",IFERROR(INDEX(catClas,MATCH(D1113,catNom,0))&amp;"","")),"")</f>
        <v/>
      </c>
      <c r="L1113" s="19">
        <f>IF(I1113="","",IFERROR(INDEX(catAlim,MATCH(D1113,catNom,0))&amp;"",""))</f>
        <v/>
      </c>
      <c r="M1113" s="19">
        <f>IF(I1113="","",IFERROR(INDEX(catComida,MATCH(D1113,catNom,0))&amp;"",""))</f>
        <v/>
      </c>
      <c r="N1113" s="19">
        <f>IF(I1113="","",IFERROR(INDEX(ctaMon,MATCH(E1113,ctaNom,0))&amp;"","DOP"))</f>
        <v/>
      </c>
      <c r="O1113" s="20">
        <f>IF(I1113="","",C1113*IF(N1113="USD",TasaUSD,1))</f>
        <v/>
      </c>
      <c r="P1113" s="20">
        <f>IF(I1113="","",IF(I1113="Gasto",O1113,0))</f>
        <v/>
      </c>
      <c r="Q1113" s="20">
        <f>IF(I1113="","",IF(I1113="Ingreso",O1113,0))</f>
        <v/>
      </c>
      <c r="R1113" s="20">
        <f>IF(I1113="","",IF(I1113="Trading",O1113,0))</f>
        <v/>
      </c>
      <c r="S1113" s="19">
        <f>IF(I1113="","",IF(AND(I1113="Gasto",K1113="Variable",J1113&lt;&gt;"Trading",O1113&gt;0,O1113&lt;=Umbral),1,0))</f>
        <v/>
      </c>
      <c r="T1113" s="20">
        <f>IF(OR(I1113="",E1113=""),"",IF(OR(I1113="Gasto",I1113="Transferencia",I1113="Pago tarjeta"),-1,1)*C1113)</f>
        <v/>
      </c>
      <c r="U1113" s="20">
        <f>IF(OR(G1113="",AND(I1113&lt;&gt;"Transferencia",I1113&lt;&gt;"Pago tarjeta")),"",IF(IFERROR(INDEX(ctaMon,MATCH(G1113,ctaNom,0))&amp;"","DOP")=N1113,C1113,IF(N1113="USD",C1113*TasaUSD,C1113/TasaUSD)))</f>
        <v/>
      </c>
      <c r="V1113" s="20">
        <f>IF(I1113="","",IF(IFERROR(INDEX(ctaLiq,MATCH(E1113,ctaNom,0))="Sí",FALSE),IF(OR(I1113="Gasto",I1113="Transferencia",I1113="Pago tarjeta"),-1,1)*O1113,0)+IF(AND(U1113&lt;&gt;"",IFERROR(INDEX(ctaLiq,MATCH(G1113,ctaNom,0))="Sí",FALSE)),O1113,0))</f>
        <v/>
      </c>
      <c r="W1113" s="19">
        <f>IF(OR(F1113="",I1113=""),"",IF(COUNTIFS(F$6:F1113,F1113,I$6:I1113,"?*")=1,MAX(W$5:W1112)+1,""))</f>
        <v/>
      </c>
    </row>
    <row r="1114">
      <c r="B1114" s="15" t="n"/>
      <c r="C1114" s="16" t="n"/>
      <c r="D1114" s="17" t="n"/>
      <c r="E1114" s="17" t="n"/>
      <c r="F1114" s="17" t="n"/>
      <c r="G1114" s="17" t="n"/>
      <c r="H1114" s="18">
        <f>IF(AND(B1114="",C1114="",D1114="",E1114=""),"",IF(B1114="","⚠ Falta fecha",IF(C1114="","⚠ Falta monto",IF(D1114="","⚠ Falta categoría",IF(ISNA(MATCH(D1114,catNom,0)),"⚠ Categoría no existe",IF(E1114="","⚠ Falta cuenta",IF(ISNA(MATCH(E1114,ctaNom,0)),"⚠ Cuenta no existe",IF(AND(OR(I1114="Transferencia",I1114="Pago tarjeta"),G1114=""),"⚠ Indica la cuenta «Hacia»",IF(AND(G1114&lt;&gt;"",G1114=E1114),"⚠ «Hacia» igual a la cuenta",IF(AND(G1114&lt;&gt;"",ISNA(MATCH(G1114,ctaNom,0))),"⚠ «Hacia» no existe",IF(AND(I1114="Pago tarjeta",IFERROR(INDEX(ctaTipo,MATCH(G1114,ctaNom,0)),"")&lt;&gt;"Tarjeta de crédito"),"⚠ «Hacia» debe ser la tarjeta",IF(AND(I1114="Trading",IFERROR(INDEX(ctaTipo,MATCH(E1114,ctaNom,0)),"")&lt;&gt;"Cuenta de trading"),"⚠ Usa la cuenta de trading","✓"))))))))))))</f>
        <v/>
      </c>
      <c r="I1114" s="19">
        <f>IF(OR(B1114="",C1114="",D1114=""),"",IFERROR(INDEX(catTipo,MATCH(D1114,catNom,0))&amp;"",""))</f>
        <v/>
      </c>
      <c r="J1114" s="19">
        <f>IF(I1114="","",IFERROR(INDEX(catGrupo,MATCH(D1114,catNom,0))&amp;"",""))</f>
        <v/>
      </c>
      <c r="K1114" s="19">
        <f>IF(I1114="Gasto",IF(IFERROR(INDEX(catClas,MATCH(D1114,catNom,0))&amp;"","")="","Variable",IFERROR(INDEX(catClas,MATCH(D1114,catNom,0))&amp;"","")),"")</f>
        <v/>
      </c>
      <c r="L1114" s="19">
        <f>IF(I1114="","",IFERROR(INDEX(catAlim,MATCH(D1114,catNom,0))&amp;"",""))</f>
        <v/>
      </c>
      <c r="M1114" s="19">
        <f>IF(I1114="","",IFERROR(INDEX(catComida,MATCH(D1114,catNom,0))&amp;"",""))</f>
        <v/>
      </c>
      <c r="N1114" s="19">
        <f>IF(I1114="","",IFERROR(INDEX(ctaMon,MATCH(E1114,ctaNom,0))&amp;"","DOP"))</f>
        <v/>
      </c>
      <c r="O1114" s="20">
        <f>IF(I1114="","",C1114*IF(N1114="USD",TasaUSD,1))</f>
        <v/>
      </c>
      <c r="P1114" s="20">
        <f>IF(I1114="","",IF(I1114="Gasto",O1114,0))</f>
        <v/>
      </c>
      <c r="Q1114" s="20">
        <f>IF(I1114="","",IF(I1114="Ingreso",O1114,0))</f>
        <v/>
      </c>
      <c r="R1114" s="20">
        <f>IF(I1114="","",IF(I1114="Trading",O1114,0))</f>
        <v/>
      </c>
      <c r="S1114" s="19">
        <f>IF(I1114="","",IF(AND(I1114="Gasto",K1114="Variable",J1114&lt;&gt;"Trading",O1114&gt;0,O1114&lt;=Umbral),1,0))</f>
        <v/>
      </c>
      <c r="T1114" s="20">
        <f>IF(OR(I1114="",E1114=""),"",IF(OR(I1114="Gasto",I1114="Transferencia",I1114="Pago tarjeta"),-1,1)*C1114)</f>
        <v/>
      </c>
      <c r="U1114" s="20">
        <f>IF(OR(G1114="",AND(I1114&lt;&gt;"Transferencia",I1114&lt;&gt;"Pago tarjeta")),"",IF(IFERROR(INDEX(ctaMon,MATCH(G1114,ctaNom,0))&amp;"","DOP")=N1114,C1114,IF(N1114="USD",C1114*TasaUSD,C1114/TasaUSD)))</f>
        <v/>
      </c>
      <c r="V1114" s="20">
        <f>IF(I1114="","",IF(IFERROR(INDEX(ctaLiq,MATCH(E1114,ctaNom,0))="Sí",FALSE),IF(OR(I1114="Gasto",I1114="Transferencia",I1114="Pago tarjeta"),-1,1)*O1114,0)+IF(AND(U1114&lt;&gt;"",IFERROR(INDEX(ctaLiq,MATCH(G1114,ctaNom,0))="Sí",FALSE)),O1114,0))</f>
        <v/>
      </c>
      <c r="W1114" s="19">
        <f>IF(OR(F1114="",I1114=""),"",IF(COUNTIFS(F$6:F1114,F1114,I$6:I1114,"?*")=1,MAX(W$5:W1113)+1,""))</f>
        <v/>
      </c>
    </row>
    <row r="1115">
      <c r="B1115" s="15" t="n"/>
      <c r="C1115" s="16" t="n"/>
      <c r="D1115" s="17" t="n"/>
      <c r="E1115" s="17" t="n"/>
      <c r="F1115" s="17" t="n"/>
      <c r="G1115" s="17" t="n"/>
      <c r="H1115" s="18">
        <f>IF(AND(B1115="",C1115="",D1115="",E1115=""),"",IF(B1115="","⚠ Falta fecha",IF(C1115="","⚠ Falta monto",IF(D1115="","⚠ Falta categoría",IF(ISNA(MATCH(D1115,catNom,0)),"⚠ Categoría no existe",IF(E1115="","⚠ Falta cuenta",IF(ISNA(MATCH(E1115,ctaNom,0)),"⚠ Cuenta no existe",IF(AND(OR(I1115="Transferencia",I1115="Pago tarjeta"),G1115=""),"⚠ Indica la cuenta «Hacia»",IF(AND(G1115&lt;&gt;"",G1115=E1115),"⚠ «Hacia» igual a la cuenta",IF(AND(G1115&lt;&gt;"",ISNA(MATCH(G1115,ctaNom,0))),"⚠ «Hacia» no existe",IF(AND(I1115="Pago tarjeta",IFERROR(INDEX(ctaTipo,MATCH(G1115,ctaNom,0)),"")&lt;&gt;"Tarjeta de crédito"),"⚠ «Hacia» debe ser la tarjeta",IF(AND(I1115="Trading",IFERROR(INDEX(ctaTipo,MATCH(E1115,ctaNom,0)),"")&lt;&gt;"Cuenta de trading"),"⚠ Usa la cuenta de trading","✓"))))))))))))</f>
        <v/>
      </c>
      <c r="I1115" s="19">
        <f>IF(OR(B1115="",C1115="",D1115=""),"",IFERROR(INDEX(catTipo,MATCH(D1115,catNom,0))&amp;"",""))</f>
        <v/>
      </c>
      <c r="J1115" s="19">
        <f>IF(I1115="","",IFERROR(INDEX(catGrupo,MATCH(D1115,catNom,0))&amp;"",""))</f>
        <v/>
      </c>
      <c r="K1115" s="19">
        <f>IF(I1115="Gasto",IF(IFERROR(INDEX(catClas,MATCH(D1115,catNom,0))&amp;"","")="","Variable",IFERROR(INDEX(catClas,MATCH(D1115,catNom,0))&amp;"","")),"")</f>
        <v/>
      </c>
      <c r="L1115" s="19">
        <f>IF(I1115="","",IFERROR(INDEX(catAlim,MATCH(D1115,catNom,0))&amp;"",""))</f>
        <v/>
      </c>
      <c r="M1115" s="19">
        <f>IF(I1115="","",IFERROR(INDEX(catComida,MATCH(D1115,catNom,0))&amp;"",""))</f>
        <v/>
      </c>
      <c r="N1115" s="19">
        <f>IF(I1115="","",IFERROR(INDEX(ctaMon,MATCH(E1115,ctaNom,0))&amp;"","DOP"))</f>
        <v/>
      </c>
      <c r="O1115" s="20">
        <f>IF(I1115="","",C1115*IF(N1115="USD",TasaUSD,1))</f>
        <v/>
      </c>
      <c r="P1115" s="20">
        <f>IF(I1115="","",IF(I1115="Gasto",O1115,0))</f>
        <v/>
      </c>
      <c r="Q1115" s="20">
        <f>IF(I1115="","",IF(I1115="Ingreso",O1115,0))</f>
        <v/>
      </c>
      <c r="R1115" s="20">
        <f>IF(I1115="","",IF(I1115="Trading",O1115,0))</f>
        <v/>
      </c>
      <c r="S1115" s="19">
        <f>IF(I1115="","",IF(AND(I1115="Gasto",K1115="Variable",J1115&lt;&gt;"Trading",O1115&gt;0,O1115&lt;=Umbral),1,0))</f>
        <v/>
      </c>
      <c r="T1115" s="20">
        <f>IF(OR(I1115="",E1115=""),"",IF(OR(I1115="Gasto",I1115="Transferencia",I1115="Pago tarjeta"),-1,1)*C1115)</f>
        <v/>
      </c>
      <c r="U1115" s="20">
        <f>IF(OR(G1115="",AND(I1115&lt;&gt;"Transferencia",I1115&lt;&gt;"Pago tarjeta")),"",IF(IFERROR(INDEX(ctaMon,MATCH(G1115,ctaNom,0))&amp;"","DOP")=N1115,C1115,IF(N1115="USD",C1115*TasaUSD,C1115/TasaUSD)))</f>
        <v/>
      </c>
      <c r="V1115" s="20">
        <f>IF(I1115="","",IF(IFERROR(INDEX(ctaLiq,MATCH(E1115,ctaNom,0))="Sí",FALSE),IF(OR(I1115="Gasto",I1115="Transferencia",I1115="Pago tarjeta"),-1,1)*O1115,0)+IF(AND(U1115&lt;&gt;"",IFERROR(INDEX(ctaLiq,MATCH(G1115,ctaNom,0))="Sí",FALSE)),O1115,0))</f>
        <v/>
      </c>
      <c r="W1115" s="19">
        <f>IF(OR(F1115="",I1115=""),"",IF(COUNTIFS(F$6:F1115,F1115,I$6:I1115,"?*")=1,MAX(W$5:W1114)+1,""))</f>
        <v/>
      </c>
    </row>
    <row r="1116">
      <c r="B1116" s="15" t="n"/>
      <c r="C1116" s="16" t="n"/>
      <c r="D1116" s="17" t="n"/>
      <c r="E1116" s="17" t="n"/>
      <c r="F1116" s="17" t="n"/>
      <c r="G1116" s="17" t="n"/>
      <c r="H1116" s="18">
        <f>IF(AND(B1116="",C1116="",D1116="",E1116=""),"",IF(B1116="","⚠ Falta fecha",IF(C1116="","⚠ Falta monto",IF(D1116="","⚠ Falta categoría",IF(ISNA(MATCH(D1116,catNom,0)),"⚠ Categoría no existe",IF(E1116="","⚠ Falta cuenta",IF(ISNA(MATCH(E1116,ctaNom,0)),"⚠ Cuenta no existe",IF(AND(OR(I1116="Transferencia",I1116="Pago tarjeta"),G1116=""),"⚠ Indica la cuenta «Hacia»",IF(AND(G1116&lt;&gt;"",G1116=E1116),"⚠ «Hacia» igual a la cuenta",IF(AND(G1116&lt;&gt;"",ISNA(MATCH(G1116,ctaNom,0))),"⚠ «Hacia» no existe",IF(AND(I1116="Pago tarjeta",IFERROR(INDEX(ctaTipo,MATCH(G1116,ctaNom,0)),"")&lt;&gt;"Tarjeta de crédito"),"⚠ «Hacia» debe ser la tarjeta",IF(AND(I1116="Trading",IFERROR(INDEX(ctaTipo,MATCH(E1116,ctaNom,0)),"")&lt;&gt;"Cuenta de trading"),"⚠ Usa la cuenta de trading","✓"))))))))))))</f>
        <v/>
      </c>
      <c r="I1116" s="19">
        <f>IF(OR(B1116="",C1116="",D1116=""),"",IFERROR(INDEX(catTipo,MATCH(D1116,catNom,0))&amp;"",""))</f>
        <v/>
      </c>
      <c r="J1116" s="19">
        <f>IF(I1116="","",IFERROR(INDEX(catGrupo,MATCH(D1116,catNom,0))&amp;"",""))</f>
        <v/>
      </c>
      <c r="K1116" s="19">
        <f>IF(I1116="Gasto",IF(IFERROR(INDEX(catClas,MATCH(D1116,catNom,0))&amp;"","")="","Variable",IFERROR(INDEX(catClas,MATCH(D1116,catNom,0))&amp;"","")),"")</f>
        <v/>
      </c>
      <c r="L1116" s="19">
        <f>IF(I1116="","",IFERROR(INDEX(catAlim,MATCH(D1116,catNom,0))&amp;"",""))</f>
        <v/>
      </c>
      <c r="M1116" s="19">
        <f>IF(I1116="","",IFERROR(INDEX(catComida,MATCH(D1116,catNom,0))&amp;"",""))</f>
        <v/>
      </c>
      <c r="N1116" s="19">
        <f>IF(I1116="","",IFERROR(INDEX(ctaMon,MATCH(E1116,ctaNom,0))&amp;"","DOP"))</f>
        <v/>
      </c>
      <c r="O1116" s="20">
        <f>IF(I1116="","",C1116*IF(N1116="USD",TasaUSD,1))</f>
        <v/>
      </c>
      <c r="P1116" s="20">
        <f>IF(I1116="","",IF(I1116="Gasto",O1116,0))</f>
        <v/>
      </c>
      <c r="Q1116" s="20">
        <f>IF(I1116="","",IF(I1116="Ingreso",O1116,0))</f>
        <v/>
      </c>
      <c r="R1116" s="20">
        <f>IF(I1116="","",IF(I1116="Trading",O1116,0))</f>
        <v/>
      </c>
      <c r="S1116" s="19">
        <f>IF(I1116="","",IF(AND(I1116="Gasto",K1116="Variable",J1116&lt;&gt;"Trading",O1116&gt;0,O1116&lt;=Umbral),1,0))</f>
        <v/>
      </c>
      <c r="T1116" s="20">
        <f>IF(OR(I1116="",E1116=""),"",IF(OR(I1116="Gasto",I1116="Transferencia",I1116="Pago tarjeta"),-1,1)*C1116)</f>
        <v/>
      </c>
      <c r="U1116" s="20">
        <f>IF(OR(G1116="",AND(I1116&lt;&gt;"Transferencia",I1116&lt;&gt;"Pago tarjeta")),"",IF(IFERROR(INDEX(ctaMon,MATCH(G1116,ctaNom,0))&amp;"","DOP")=N1116,C1116,IF(N1116="USD",C1116*TasaUSD,C1116/TasaUSD)))</f>
        <v/>
      </c>
      <c r="V1116" s="20">
        <f>IF(I1116="","",IF(IFERROR(INDEX(ctaLiq,MATCH(E1116,ctaNom,0))="Sí",FALSE),IF(OR(I1116="Gasto",I1116="Transferencia",I1116="Pago tarjeta"),-1,1)*O1116,0)+IF(AND(U1116&lt;&gt;"",IFERROR(INDEX(ctaLiq,MATCH(G1116,ctaNom,0))="Sí",FALSE)),O1116,0))</f>
        <v/>
      </c>
      <c r="W1116" s="19">
        <f>IF(OR(F1116="",I1116=""),"",IF(COUNTIFS(F$6:F1116,F1116,I$6:I1116,"?*")=1,MAX(W$5:W1115)+1,""))</f>
        <v/>
      </c>
    </row>
    <row r="1117">
      <c r="B1117" s="15" t="n"/>
      <c r="C1117" s="16" t="n"/>
      <c r="D1117" s="17" t="n"/>
      <c r="E1117" s="17" t="n"/>
      <c r="F1117" s="17" t="n"/>
      <c r="G1117" s="17" t="n"/>
      <c r="H1117" s="18">
        <f>IF(AND(B1117="",C1117="",D1117="",E1117=""),"",IF(B1117="","⚠ Falta fecha",IF(C1117="","⚠ Falta monto",IF(D1117="","⚠ Falta categoría",IF(ISNA(MATCH(D1117,catNom,0)),"⚠ Categoría no existe",IF(E1117="","⚠ Falta cuenta",IF(ISNA(MATCH(E1117,ctaNom,0)),"⚠ Cuenta no existe",IF(AND(OR(I1117="Transferencia",I1117="Pago tarjeta"),G1117=""),"⚠ Indica la cuenta «Hacia»",IF(AND(G1117&lt;&gt;"",G1117=E1117),"⚠ «Hacia» igual a la cuenta",IF(AND(G1117&lt;&gt;"",ISNA(MATCH(G1117,ctaNom,0))),"⚠ «Hacia» no existe",IF(AND(I1117="Pago tarjeta",IFERROR(INDEX(ctaTipo,MATCH(G1117,ctaNom,0)),"")&lt;&gt;"Tarjeta de crédito"),"⚠ «Hacia» debe ser la tarjeta",IF(AND(I1117="Trading",IFERROR(INDEX(ctaTipo,MATCH(E1117,ctaNom,0)),"")&lt;&gt;"Cuenta de trading"),"⚠ Usa la cuenta de trading","✓"))))))))))))</f>
        <v/>
      </c>
      <c r="I1117" s="19">
        <f>IF(OR(B1117="",C1117="",D1117=""),"",IFERROR(INDEX(catTipo,MATCH(D1117,catNom,0))&amp;"",""))</f>
        <v/>
      </c>
      <c r="J1117" s="19">
        <f>IF(I1117="","",IFERROR(INDEX(catGrupo,MATCH(D1117,catNom,0))&amp;"",""))</f>
        <v/>
      </c>
      <c r="K1117" s="19">
        <f>IF(I1117="Gasto",IF(IFERROR(INDEX(catClas,MATCH(D1117,catNom,0))&amp;"","")="","Variable",IFERROR(INDEX(catClas,MATCH(D1117,catNom,0))&amp;"","")),"")</f>
        <v/>
      </c>
      <c r="L1117" s="19">
        <f>IF(I1117="","",IFERROR(INDEX(catAlim,MATCH(D1117,catNom,0))&amp;"",""))</f>
        <v/>
      </c>
      <c r="M1117" s="19">
        <f>IF(I1117="","",IFERROR(INDEX(catComida,MATCH(D1117,catNom,0))&amp;"",""))</f>
        <v/>
      </c>
      <c r="N1117" s="19">
        <f>IF(I1117="","",IFERROR(INDEX(ctaMon,MATCH(E1117,ctaNom,0))&amp;"","DOP"))</f>
        <v/>
      </c>
      <c r="O1117" s="20">
        <f>IF(I1117="","",C1117*IF(N1117="USD",TasaUSD,1))</f>
        <v/>
      </c>
      <c r="P1117" s="20">
        <f>IF(I1117="","",IF(I1117="Gasto",O1117,0))</f>
        <v/>
      </c>
      <c r="Q1117" s="20">
        <f>IF(I1117="","",IF(I1117="Ingreso",O1117,0))</f>
        <v/>
      </c>
      <c r="R1117" s="20">
        <f>IF(I1117="","",IF(I1117="Trading",O1117,0))</f>
        <v/>
      </c>
      <c r="S1117" s="19">
        <f>IF(I1117="","",IF(AND(I1117="Gasto",K1117="Variable",J1117&lt;&gt;"Trading",O1117&gt;0,O1117&lt;=Umbral),1,0))</f>
        <v/>
      </c>
      <c r="T1117" s="20">
        <f>IF(OR(I1117="",E1117=""),"",IF(OR(I1117="Gasto",I1117="Transferencia",I1117="Pago tarjeta"),-1,1)*C1117)</f>
        <v/>
      </c>
      <c r="U1117" s="20">
        <f>IF(OR(G1117="",AND(I1117&lt;&gt;"Transferencia",I1117&lt;&gt;"Pago tarjeta")),"",IF(IFERROR(INDEX(ctaMon,MATCH(G1117,ctaNom,0))&amp;"","DOP")=N1117,C1117,IF(N1117="USD",C1117*TasaUSD,C1117/TasaUSD)))</f>
        <v/>
      </c>
      <c r="V1117" s="20">
        <f>IF(I1117="","",IF(IFERROR(INDEX(ctaLiq,MATCH(E1117,ctaNom,0))="Sí",FALSE),IF(OR(I1117="Gasto",I1117="Transferencia",I1117="Pago tarjeta"),-1,1)*O1117,0)+IF(AND(U1117&lt;&gt;"",IFERROR(INDEX(ctaLiq,MATCH(G1117,ctaNom,0))="Sí",FALSE)),O1117,0))</f>
        <v/>
      </c>
      <c r="W1117" s="19">
        <f>IF(OR(F1117="",I1117=""),"",IF(COUNTIFS(F$6:F1117,F1117,I$6:I1117,"?*")=1,MAX(W$5:W1116)+1,""))</f>
        <v/>
      </c>
    </row>
    <row r="1118">
      <c r="B1118" s="15" t="n"/>
      <c r="C1118" s="16" t="n"/>
      <c r="D1118" s="17" t="n"/>
      <c r="E1118" s="17" t="n"/>
      <c r="F1118" s="17" t="n"/>
      <c r="G1118" s="17" t="n"/>
      <c r="H1118" s="18">
        <f>IF(AND(B1118="",C1118="",D1118="",E1118=""),"",IF(B1118="","⚠ Falta fecha",IF(C1118="","⚠ Falta monto",IF(D1118="","⚠ Falta categoría",IF(ISNA(MATCH(D1118,catNom,0)),"⚠ Categoría no existe",IF(E1118="","⚠ Falta cuenta",IF(ISNA(MATCH(E1118,ctaNom,0)),"⚠ Cuenta no existe",IF(AND(OR(I1118="Transferencia",I1118="Pago tarjeta"),G1118=""),"⚠ Indica la cuenta «Hacia»",IF(AND(G1118&lt;&gt;"",G1118=E1118),"⚠ «Hacia» igual a la cuenta",IF(AND(G1118&lt;&gt;"",ISNA(MATCH(G1118,ctaNom,0))),"⚠ «Hacia» no existe",IF(AND(I1118="Pago tarjeta",IFERROR(INDEX(ctaTipo,MATCH(G1118,ctaNom,0)),"")&lt;&gt;"Tarjeta de crédito"),"⚠ «Hacia» debe ser la tarjeta",IF(AND(I1118="Trading",IFERROR(INDEX(ctaTipo,MATCH(E1118,ctaNom,0)),"")&lt;&gt;"Cuenta de trading"),"⚠ Usa la cuenta de trading","✓"))))))))))))</f>
        <v/>
      </c>
      <c r="I1118" s="19">
        <f>IF(OR(B1118="",C1118="",D1118=""),"",IFERROR(INDEX(catTipo,MATCH(D1118,catNom,0))&amp;"",""))</f>
        <v/>
      </c>
      <c r="J1118" s="19">
        <f>IF(I1118="","",IFERROR(INDEX(catGrupo,MATCH(D1118,catNom,0))&amp;"",""))</f>
        <v/>
      </c>
      <c r="K1118" s="19">
        <f>IF(I1118="Gasto",IF(IFERROR(INDEX(catClas,MATCH(D1118,catNom,0))&amp;"","")="","Variable",IFERROR(INDEX(catClas,MATCH(D1118,catNom,0))&amp;"","")),"")</f>
        <v/>
      </c>
      <c r="L1118" s="19">
        <f>IF(I1118="","",IFERROR(INDEX(catAlim,MATCH(D1118,catNom,0))&amp;"",""))</f>
        <v/>
      </c>
      <c r="M1118" s="19">
        <f>IF(I1118="","",IFERROR(INDEX(catComida,MATCH(D1118,catNom,0))&amp;"",""))</f>
        <v/>
      </c>
      <c r="N1118" s="19">
        <f>IF(I1118="","",IFERROR(INDEX(ctaMon,MATCH(E1118,ctaNom,0))&amp;"","DOP"))</f>
        <v/>
      </c>
      <c r="O1118" s="20">
        <f>IF(I1118="","",C1118*IF(N1118="USD",TasaUSD,1))</f>
        <v/>
      </c>
      <c r="P1118" s="20">
        <f>IF(I1118="","",IF(I1118="Gasto",O1118,0))</f>
        <v/>
      </c>
      <c r="Q1118" s="20">
        <f>IF(I1118="","",IF(I1118="Ingreso",O1118,0))</f>
        <v/>
      </c>
      <c r="R1118" s="20">
        <f>IF(I1118="","",IF(I1118="Trading",O1118,0))</f>
        <v/>
      </c>
      <c r="S1118" s="19">
        <f>IF(I1118="","",IF(AND(I1118="Gasto",K1118="Variable",J1118&lt;&gt;"Trading",O1118&gt;0,O1118&lt;=Umbral),1,0))</f>
        <v/>
      </c>
      <c r="T1118" s="20">
        <f>IF(OR(I1118="",E1118=""),"",IF(OR(I1118="Gasto",I1118="Transferencia",I1118="Pago tarjeta"),-1,1)*C1118)</f>
        <v/>
      </c>
      <c r="U1118" s="20">
        <f>IF(OR(G1118="",AND(I1118&lt;&gt;"Transferencia",I1118&lt;&gt;"Pago tarjeta")),"",IF(IFERROR(INDEX(ctaMon,MATCH(G1118,ctaNom,0))&amp;"","DOP")=N1118,C1118,IF(N1118="USD",C1118*TasaUSD,C1118/TasaUSD)))</f>
        <v/>
      </c>
      <c r="V1118" s="20">
        <f>IF(I1118="","",IF(IFERROR(INDEX(ctaLiq,MATCH(E1118,ctaNom,0))="Sí",FALSE),IF(OR(I1118="Gasto",I1118="Transferencia",I1118="Pago tarjeta"),-1,1)*O1118,0)+IF(AND(U1118&lt;&gt;"",IFERROR(INDEX(ctaLiq,MATCH(G1118,ctaNom,0))="Sí",FALSE)),O1118,0))</f>
        <v/>
      </c>
      <c r="W1118" s="19">
        <f>IF(OR(F1118="",I1118=""),"",IF(COUNTIFS(F$6:F1118,F1118,I$6:I1118,"?*")=1,MAX(W$5:W1117)+1,""))</f>
        <v/>
      </c>
    </row>
    <row r="1119">
      <c r="B1119" s="15" t="n"/>
      <c r="C1119" s="16" t="n"/>
      <c r="D1119" s="17" t="n"/>
      <c r="E1119" s="17" t="n"/>
      <c r="F1119" s="17" t="n"/>
      <c r="G1119" s="17" t="n"/>
      <c r="H1119" s="18">
        <f>IF(AND(B1119="",C1119="",D1119="",E1119=""),"",IF(B1119="","⚠ Falta fecha",IF(C1119="","⚠ Falta monto",IF(D1119="","⚠ Falta categoría",IF(ISNA(MATCH(D1119,catNom,0)),"⚠ Categoría no existe",IF(E1119="","⚠ Falta cuenta",IF(ISNA(MATCH(E1119,ctaNom,0)),"⚠ Cuenta no existe",IF(AND(OR(I1119="Transferencia",I1119="Pago tarjeta"),G1119=""),"⚠ Indica la cuenta «Hacia»",IF(AND(G1119&lt;&gt;"",G1119=E1119),"⚠ «Hacia» igual a la cuenta",IF(AND(G1119&lt;&gt;"",ISNA(MATCH(G1119,ctaNom,0))),"⚠ «Hacia» no existe",IF(AND(I1119="Pago tarjeta",IFERROR(INDEX(ctaTipo,MATCH(G1119,ctaNom,0)),"")&lt;&gt;"Tarjeta de crédito"),"⚠ «Hacia» debe ser la tarjeta",IF(AND(I1119="Trading",IFERROR(INDEX(ctaTipo,MATCH(E1119,ctaNom,0)),"")&lt;&gt;"Cuenta de trading"),"⚠ Usa la cuenta de trading","✓"))))))))))))</f>
        <v/>
      </c>
      <c r="I1119" s="19">
        <f>IF(OR(B1119="",C1119="",D1119=""),"",IFERROR(INDEX(catTipo,MATCH(D1119,catNom,0))&amp;"",""))</f>
        <v/>
      </c>
      <c r="J1119" s="19">
        <f>IF(I1119="","",IFERROR(INDEX(catGrupo,MATCH(D1119,catNom,0))&amp;"",""))</f>
        <v/>
      </c>
      <c r="K1119" s="19">
        <f>IF(I1119="Gasto",IF(IFERROR(INDEX(catClas,MATCH(D1119,catNom,0))&amp;"","")="","Variable",IFERROR(INDEX(catClas,MATCH(D1119,catNom,0))&amp;"","")),"")</f>
        <v/>
      </c>
      <c r="L1119" s="19">
        <f>IF(I1119="","",IFERROR(INDEX(catAlim,MATCH(D1119,catNom,0))&amp;"",""))</f>
        <v/>
      </c>
      <c r="M1119" s="19">
        <f>IF(I1119="","",IFERROR(INDEX(catComida,MATCH(D1119,catNom,0))&amp;"",""))</f>
        <v/>
      </c>
      <c r="N1119" s="19">
        <f>IF(I1119="","",IFERROR(INDEX(ctaMon,MATCH(E1119,ctaNom,0))&amp;"","DOP"))</f>
        <v/>
      </c>
      <c r="O1119" s="20">
        <f>IF(I1119="","",C1119*IF(N1119="USD",TasaUSD,1))</f>
        <v/>
      </c>
      <c r="P1119" s="20">
        <f>IF(I1119="","",IF(I1119="Gasto",O1119,0))</f>
        <v/>
      </c>
      <c r="Q1119" s="20">
        <f>IF(I1119="","",IF(I1119="Ingreso",O1119,0))</f>
        <v/>
      </c>
      <c r="R1119" s="20">
        <f>IF(I1119="","",IF(I1119="Trading",O1119,0))</f>
        <v/>
      </c>
      <c r="S1119" s="19">
        <f>IF(I1119="","",IF(AND(I1119="Gasto",K1119="Variable",J1119&lt;&gt;"Trading",O1119&gt;0,O1119&lt;=Umbral),1,0))</f>
        <v/>
      </c>
      <c r="T1119" s="20">
        <f>IF(OR(I1119="",E1119=""),"",IF(OR(I1119="Gasto",I1119="Transferencia",I1119="Pago tarjeta"),-1,1)*C1119)</f>
        <v/>
      </c>
      <c r="U1119" s="20">
        <f>IF(OR(G1119="",AND(I1119&lt;&gt;"Transferencia",I1119&lt;&gt;"Pago tarjeta")),"",IF(IFERROR(INDEX(ctaMon,MATCH(G1119,ctaNom,0))&amp;"","DOP")=N1119,C1119,IF(N1119="USD",C1119*TasaUSD,C1119/TasaUSD)))</f>
        <v/>
      </c>
      <c r="V1119" s="20">
        <f>IF(I1119="","",IF(IFERROR(INDEX(ctaLiq,MATCH(E1119,ctaNom,0))="Sí",FALSE),IF(OR(I1119="Gasto",I1119="Transferencia",I1119="Pago tarjeta"),-1,1)*O1119,0)+IF(AND(U1119&lt;&gt;"",IFERROR(INDEX(ctaLiq,MATCH(G1119,ctaNom,0))="Sí",FALSE)),O1119,0))</f>
        <v/>
      </c>
      <c r="W1119" s="19">
        <f>IF(OR(F1119="",I1119=""),"",IF(COUNTIFS(F$6:F1119,F1119,I$6:I1119,"?*")=1,MAX(W$5:W1118)+1,""))</f>
        <v/>
      </c>
    </row>
    <row r="1120">
      <c r="B1120" s="15" t="n"/>
      <c r="C1120" s="16" t="n"/>
      <c r="D1120" s="17" t="n"/>
      <c r="E1120" s="17" t="n"/>
      <c r="F1120" s="17" t="n"/>
      <c r="G1120" s="17" t="n"/>
      <c r="H1120" s="18">
        <f>IF(AND(B1120="",C1120="",D1120="",E1120=""),"",IF(B1120="","⚠ Falta fecha",IF(C1120="","⚠ Falta monto",IF(D1120="","⚠ Falta categoría",IF(ISNA(MATCH(D1120,catNom,0)),"⚠ Categoría no existe",IF(E1120="","⚠ Falta cuenta",IF(ISNA(MATCH(E1120,ctaNom,0)),"⚠ Cuenta no existe",IF(AND(OR(I1120="Transferencia",I1120="Pago tarjeta"),G1120=""),"⚠ Indica la cuenta «Hacia»",IF(AND(G1120&lt;&gt;"",G1120=E1120),"⚠ «Hacia» igual a la cuenta",IF(AND(G1120&lt;&gt;"",ISNA(MATCH(G1120,ctaNom,0))),"⚠ «Hacia» no existe",IF(AND(I1120="Pago tarjeta",IFERROR(INDEX(ctaTipo,MATCH(G1120,ctaNom,0)),"")&lt;&gt;"Tarjeta de crédito"),"⚠ «Hacia» debe ser la tarjeta",IF(AND(I1120="Trading",IFERROR(INDEX(ctaTipo,MATCH(E1120,ctaNom,0)),"")&lt;&gt;"Cuenta de trading"),"⚠ Usa la cuenta de trading","✓"))))))))))))</f>
        <v/>
      </c>
      <c r="I1120" s="19">
        <f>IF(OR(B1120="",C1120="",D1120=""),"",IFERROR(INDEX(catTipo,MATCH(D1120,catNom,0))&amp;"",""))</f>
        <v/>
      </c>
      <c r="J1120" s="19">
        <f>IF(I1120="","",IFERROR(INDEX(catGrupo,MATCH(D1120,catNom,0))&amp;"",""))</f>
        <v/>
      </c>
      <c r="K1120" s="19">
        <f>IF(I1120="Gasto",IF(IFERROR(INDEX(catClas,MATCH(D1120,catNom,0))&amp;"","")="","Variable",IFERROR(INDEX(catClas,MATCH(D1120,catNom,0))&amp;"","")),"")</f>
        <v/>
      </c>
      <c r="L1120" s="19">
        <f>IF(I1120="","",IFERROR(INDEX(catAlim,MATCH(D1120,catNom,0))&amp;"",""))</f>
        <v/>
      </c>
      <c r="M1120" s="19">
        <f>IF(I1120="","",IFERROR(INDEX(catComida,MATCH(D1120,catNom,0))&amp;"",""))</f>
        <v/>
      </c>
      <c r="N1120" s="19">
        <f>IF(I1120="","",IFERROR(INDEX(ctaMon,MATCH(E1120,ctaNom,0))&amp;"","DOP"))</f>
        <v/>
      </c>
      <c r="O1120" s="20">
        <f>IF(I1120="","",C1120*IF(N1120="USD",TasaUSD,1))</f>
        <v/>
      </c>
      <c r="P1120" s="20">
        <f>IF(I1120="","",IF(I1120="Gasto",O1120,0))</f>
        <v/>
      </c>
      <c r="Q1120" s="20">
        <f>IF(I1120="","",IF(I1120="Ingreso",O1120,0))</f>
        <v/>
      </c>
      <c r="R1120" s="20">
        <f>IF(I1120="","",IF(I1120="Trading",O1120,0))</f>
        <v/>
      </c>
      <c r="S1120" s="19">
        <f>IF(I1120="","",IF(AND(I1120="Gasto",K1120="Variable",J1120&lt;&gt;"Trading",O1120&gt;0,O1120&lt;=Umbral),1,0))</f>
        <v/>
      </c>
      <c r="T1120" s="20">
        <f>IF(OR(I1120="",E1120=""),"",IF(OR(I1120="Gasto",I1120="Transferencia",I1120="Pago tarjeta"),-1,1)*C1120)</f>
        <v/>
      </c>
      <c r="U1120" s="20">
        <f>IF(OR(G1120="",AND(I1120&lt;&gt;"Transferencia",I1120&lt;&gt;"Pago tarjeta")),"",IF(IFERROR(INDEX(ctaMon,MATCH(G1120,ctaNom,0))&amp;"","DOP")=N1120,C1120,IF(N1120="USD",C1120*TasaUSD,C1120/TasaUSD)))</f>
        <v/>
      </c>
      <c r="V1120" s="20">
        <f>IF(I1120="","",IF(IFERROR(INDEX(ctaLiq,MATCH(E1120,ctaNom,0))="Sí",FALSE),IF(OR(I1120="Gasto",I1120="Transferencia",I1120="Pago tarjeta"),-1,1)*O1120,0)+IF(AND(U1120&lt;&gt;"",IFERROR(INDEX(ctaLiq,MATCH(G1120,ctaNom,0))="Sí",FALSE)),O1120,0))</f>
        <v/>
      </c>
      <c r="W1120" s="19">
        <f>IF(OR(F1120="",I1120=""),"",IF(COUNTIFS(F$6:F1120,F1120,I$6:I1120,"?*")=1,MAX(W$5:W1119)+1,""))</f>
        <v/>
      </c>
    </row>
    <row r="1121">
      <c r="B1121" s="15" t="n"/>
      <c r="C1121" s="16" t="n"/>
      <c r="D1121" s="17" t="n"/>
      <c r="E1121" s="17" t="n"/>
      <c r="F1121" s="17" t="n"/>
      <c r="G1121" s="17" t="n"/>
      <c r="H1121" s="18">
        <f>IF(AND(B1121="",C1121="",D1121="",E1121=""),"",IF(B1121="","⚠ Falta fecha",IF(C1121="","⚠ Falta monto",IF(D1121="","⚠ Falta categoría",IF(ISNA(MATCH(D1121,catNom,0)),"⚠ Categoría no existe",IF(E1121="","⚠ Falta cuenta",IF(ISNA(MATCH(E1121,ctaNom,0)),"⚠ Cuenta no existe",IF(AND(OR(I1121="Transferencia",I1121="Pago tarjeta"),G1121=""),"⚠ Indica la cuenta «Hacia»",IF(AND(G1121&lt;&gt;"",G1121=E1121),"⚠ «Hacia» igual a la cuenta",IF(AND(G1121&lt;&gt;"",ISNA(MATCH(G1121,ctaNom,0))),"⚠ «Hacia» no existe",IF(AND(I1121="Pago tarjeta",IFERROR(INDEX(ctaTipo,MATCH(G1121,ctaNom,0)),"")&lt;&gt;"Tarjeta de crédito"),"⚠ «Hacia» debe ser la tarjeta",IF(AND(I1121="Trading",IFERROR(INDEX(ctaTipo,MATCH(E1121,ctaNom,0)),"")&lt;&gt;"Cuenta de trading"),"⚠ Usa la cuenta de trading","✓"))))))))))))</f>
        <v/>
      </c>
      <c r="I1121" s="19">
        <f>IF(OR(B1121="",C1121="",D1121=""),"",IFERROR(INDEX(catTipo,MATCH(D1121,catNom,0))&amp;"",""))</f>
        <v/>
      </c>
      <c r="J1121" s="19">
        <f>IF(I1121="","",IFERROR(INDEX(catGrupo,MATCH(D1121,catNom,0))&amp;"",""))</f>
        <v/>
      </c>
      <c r="K1121" s="19">
        <f>IF(I1121="Gasto",IF(IFERROR(INDEX(catClas,MATCH(D1121,catNom,0))&amp;"","")="","Variable",IFERROR(INDEX(catClas,MATCH(D1121,catNom,0))&amp;"","")),"")</f>
        <v/>
      </c>
      <c r="L1121" s="19">
        <f>IF(I1121="","",IFERROR(INDEX(catAlim,MATCH(D1121,catNom,0))&amp;"",""))</f>
        <v/>
      </c>
      <c r="M1121" s="19">
        <f>IF(I1121="","",IFERROR(INDEX(catComida,MATCH(D1121,catNom,0))&amp;"",""))</f>
        <v/>
      </c>
      <c r="N1121" s="19">
        <f>IF(I1121="","",IFERROR(INDEX(ctaMon,MATCH(E1121,ctaNom,0))&amp;"","DOP"))</f>
        <v/>
      </c>
      <c r="O1121" s="20">
        <f>IF(I1121="","",C1121*IF(N1121="USD",TasaUSD,1))</f>
        <v/>
      </c>
      <c r="P1121" s="20">
        <f>IF(I1121="","",IF(I1121="Gasto",O1121,0))</f>
        <v/>
      </c>
      <c r="Q1121" s="20">
        <f>IF(I1121="","",IF(I1121="Ingreso",O1121,0))</f>
        <v/>
      </c>
      <c r="R1121" s="20">
        <f>IF(I1121="","",IF(I1121="Trading",O1121,0))</f>
        <v/>
      </c>
      <c r="S1121" s="19">
        <f>IF(I1121="","",IF(AND(I1121="Gasto",K1121="Variable",J1121&lt;&gt;"Trading",O1121&gt;0,O1121&lt;=Umbral),1,0))</f>
        <v/>
      </c>
      <c r="T1121" s="20">
        <f>IF(OR(I1121="",E1121=""),"",IF(OR(I1121="Gasto",I1121="Transferencia",I1121="Pago tarjeta"),-1,1)*C1121)</f>
        <v/>
      </c>
      <c r="U1121" s="20">
        <f>IF(OR(G1121="",AND(I1121&lt;&gt;"Transferencia",I1121&lt;&gt;"Pago tarjeta")),"",IF(IFERROR(INDEX(ctaMon,MATCH(G1121,ctaNom,0))&amp;"","DOP")=N1121,C1121,IF(N1121="USD",C1121*TasaUSD,C1121/TasaUSD)))</f>
        <v/>
      </c>
      <c r="V1121" s="20">
        <f>IF(I1121="","",IF(IFERROR(INDEX(ctaLiq,MATCH(E1121,ctaNom,0))="Sí",FALSE),IF(OR(I1121="Gasto",I1121="Transferencia",I1121="Pago tarjeta"),-1,1)*O1121,0)+IF(AND(U1121&lt;&gt;"",IFERROR(INDEX(ctaLiq,MATCH(G1121,ctaNom,0))="Sí",FALSE)),O1121,0))</f>
        <v/>
      </c>
      <c r="W1121" s="19">
        <f>IF(OR(F1121="",I1121=""),"",IF(COUNTIFS(F$6:F1121,F1121,I$6:I1121,"?*")=1,MAX(W$5:W1120)+1,""))</f>
        <v/>
      </c>
    </row>
    <row r="1122">
      <c r="B1122" s="15" t="n"/>
      <c r="C1122" s="16" t="n"/>
      <c r="D1122" s="17" t="n"/>
      <c r="E1122" s="17" t="n"/>
      <c r="F1122" s="17" t="n"/>
      <c r="G1122" s="17" t="n"/>
      <c r="H1122" s="18">
        <f>IF(AND(B1122="",C1122="",D1122="",E1122=""),"",IF(B1122="","⚠ Falta fecha",IF(C1122="","⚠ Falta monto",IF(D1122="","⚠ Falta categoría",IF(ISNA(MATCH(D1122,catNom,0)),"⚠ Categoría no existe",IF(E1122="","⚠ Falta cuenta",IF(ISNA(MATCH(E1122,ctaNom,0)),"⚠ Cuenta no existe",IF(AND(OR(I1122="Transferencia",I1122="Pago tarjeta"),G1122=""),"⚠ Indica la cuenta «Hacia»",IF(AND(G1122&lt;&gt;"",G1122=E1122),"⚠ «Hacia» igual a la cuenta",IF(AND(G1122&lt;&gt;"",ISNA(MATCH(G1122,ctaNom,0))),"⚠ «Hacia» no existe",IF(AND(I1122="Pago tarjeta",IFERROR(INDEX(ctaTipo,MATCH(G1122,ctaNom,0)),"")&lt;&gt;"Tarjeta de crédito"),"⚠ «Hacia» debe ser la tarjeta",IF(AND(I1122="Trading",IFERROR(INDEX(ctaTipo,MATCH(E1122,ctaNom,0)),"")&lt;&gt;"Cuenta de trading"),"⚠ Usa la cuenta de trading","✓"))))))))))))</f>
        <v/>
      </c>
      <c r="I1122" s="19">
        <f>IF(OR(B1122="",C1122="",D1122=""),"",IFERROR(INDEX(catTipo,MATCH(D1122,catNom,0))&amp;"",""))</f>
        <v/>
      </c>
      <c r="J1122" s="19">
        <f>IF(I1122="","",IFERROR(INDEX(catGrupo,MATCH(D1122,catNom,0))&amp;"",""))</f>
        <v/>
      </c>
      <c r="K1122" s="19">
        <f>IF(I1122="Gasto",IF(IFERROR(INDEX(catClas,MATCH(D1122,catNom,0))&amp;"","")="","Variable",IFERROR(INDEX(catClas,MATCH(D1122,catNom,0))&amp;"","")),"")</f>
        <v/>
      </c>
      <c r="L1122" s="19">
        <f>IF(I1122="","",IFERROR(INDEX(catAlim,MATCH(D1122,catNom,0))&amp;"",""))</f>
        <v/>
      </c>
      <c r="M1122" s="19">
        <f>IF(I1122="","",IFERROR(INDEX(catComida,MATCH(D1122,catNom,0))&amp;"",""))</f>
        <v/>
      </c>
      <c r="N1122" s="19">
        <f>IF(I1122="","",IFERROR(INDEX(ctaMon,MATCH(E1122,ctaNom,0))&amp;"","DOP"))</f>
        <v/>
      </c>
      <c r="O1122" s="20">
        <f>IF(I1122="","",C1122*IF(N1122="USD",TasaUSD,1))</f>
        <v/>
      </c>
      <c r="P1122" s="20">
        <f>IF(I1122="","",IF(I1122="Gasto",O1122,0))</f>
        <v/>
      </c>
      <c r="Q1122" s="20">
        <f>IF(I1122="","",IF(I1122="Ingreso",O1122,0))</f>
        <v/>
      </c>
      <c r="R1122" s="20">
        <f>IF(I1122="","",IF(I1122="Trading",O1122,0))</f>
        <v/>
      </c>
      <c r="S1122" s="19">
        <f>IF(I1122="","",IF(AND(I1122="Gasto",K1122="Variable",J1122&lt;&gt;"Trading",O1122&gt;0,O1122&lt;=Umbral),1,0))</f>
        <v/>
      </c>
      <c r="T1122" s="20">
        <f>IF(OR(I1122="",E1122=""),"",IF(OR(I1122="Gasto",I1122="Transferencia",I1122="Pago tarjeta"),-1,1)*C1122)</f>
        <v/>
      </c>
      <c r="U1122" s="20">
        <f>IF(OR(G1122="",AND(I1122&lt;&gt;"Transferencia",I1122&lt;&gt;"Pago tarjeta")),"",IF(IFERROR(INDEX(ctaMon,MATCH(G1122,ctaNom,0))&amp;"","DOP")=N1122,C1122,IF(N1122="USD",C1122*TasaUSD,C1122/TasaUSD)))</f>
        <v/>
      </c>
      <c r="V1122" s="20">
        <f>IF(I1122="","",IF(IFERROR(INDEX(ctaLiq,MATCH(E1122,ctaNom,0))="Sí",FALSE),IF(OR(I1122="Gasto",I1122="Transferencia",I1122="Pago tarjeta"),-1,1)*O1122,0)+IF(AND(U1122&lt;&gt;"",IFERROR(INDEX(ctaLiq,MATCH(G1122,ctaNom,0))="Sí",FALSE)),O1122,0))</f>
        <v/>
      </c>
      <c r="W1122" s="19">
        <f>IF(OR(F1122="",I1122=""),"",IF(COUNTIFS(F$6:F1122,F1122,I$6:I1122,"?*")=1,MAX(W$5:W1121)+1,""))</f>
        <v/>
      </c>
    </row>
    <row r="1123">
      <c r="B1123" s="15" t="n"/>
      <c r="C1123" s="16" t="n"/>
      <c r="D1123" s="17" t="n"/>
      <c r="E1123" s="17" t="n"/>
      <c r="F1123" s="17" t="n"/>
      <c r="G1123" s="17" t="n"/>
      <c r="H1123" s="18">
        <f>IF(AND(B1123="",C1123="",D1123="",E1123=""),"",IF(B1123="","⚠ Falta fecha",IF(C1123="","⚠ Falta monto",IF(D1123="","⚠ Falta categoría",IF(ISNA(MATCH(D1123,catNom,0)),"⚠ Categoría no existe",IF(E1123="","⚠ Falta cuenta",IF(ISNA(MATCH(E1123,ctaNom,0)),"⚠ Cuenta no existe",IF(AND(OR(I1123="Transferencia",I1123="Pago tarjeta"),G1123=""),"⚠ Indica la cuenta «Hacia»",IF(AND(G1123&lt;&gt;"",G1123=E1123),"⚠ «Hacia» igual a la cuenta",IF(AND(G1123&lt;&gt;"",ISNA(MATCH(G1123,ctaNom,0))),"⚠ «Hacia» no existe",IF(AND(I1123="Pago tarjeta",IFERROR(INDEX(ctaTipo,MATCH(G1123,ctaNom,0)),"")&lt;&gt;"Tarjeta de crédito"),"⚠ «Hacia» debe ser la tarjeta",IF(AND(I1123="Trading",IFERROR(INDEX(ctaTipo,MATCH(E1123,ctaNom,0)),"")&lt;&gt;"Cuenta de trading"),"⚠ Usa la cuenta de trading","✓"))))))))))))</f>
        <v/>
      </c>
      <c r="I1123" s="19">
        <f>IF(OR(B1123="",C1123="",D1123=""),"",IFERROR(INDEX(catTipo,MATCH(D1123,catNom,0))&amp;"",""))</f>
        <v/>
      </c>
      <c r="J1123" s="19">
        <f>IF(I1123="","",IFERROR(INDEX(catGrupo,MATCH(D1123,catNom,0))&amp;"",""))</f>
        <v/>
      </c>
      <c r="K1123" s="19">
        <f>IF(I1123="Gasto",IF(IFERROR(INDEX(catClas,MATCH(D1123,catNom,0))&amp;"","")="","Variable",IFERROR(INDEX(catClas,MATCH(D1123,catNom,0))&amp;"","")),"")</f>
        <v/>
      </c>
      <c r="L1123" s="19">
        <f>IF(I1123="","",IFERROR(INDEX(catAlim,MATCH(D1123,catNom,0))&amp;"",""))</f>
        <v/>
      </c>
      <c r="M1123" s="19">
        <f>IF(I1123="","",IFERROR(INDEX(catComida,MATCH(D1123,catNom,0))&amp;"",""))</f>
        <v/>
      </c>
      <c r="N1123" s="19">
        <f>IF(I1123="","",IFERROR(INDEX(ctaMon,MATCH(E1123,ctaNom,0))&amp;"","DOP"))</f>
        <v/>
      </c>
      <c r="O1123" s="20">
        <f>IF(I1123="","",C1123*IF(N1123="USD",TasaUSD,1))</f>
        <v/>
      </c>
      <c r="P1123" s="20">
        <f>IF(I1123="","",IF(I1123="Gasto",O1123,0))</f>
        <v/>
      </c>
      <c r="Q1123" s="20">
        <f>IF(I1123="","",IF(I1123="Ingreso",O1123,0))</f>
        <v/>
      </c>
      <c r="R1123" s="20">
        <f>IF(I1123="","",IF(I1123="Trading",O1123,0))</f>
        <v/>
      </c>
      <c r="S1123" s="19">
        <f>IF(I1123="","",IF(AND(I1123="Gasto",K1123="Variable",J1123&lt;&gt;"Trading",O1123&gt;0,O1123&lt;=Umbral),1,0))</f>
        <v/>
      </c>
      <c r="T1123" s="20">
        <f>IF(OR(I1123="",E1123=""),"",IF(OR(I1123="Gasto",I1123="Transferencia",I1123="Pago tarjeta"),-1,1)*C1123)</f>
        <v/>
      </c>
      <c r="U1123" s="20">
        <f>IF(OR(G1123="",AND(I1123&lt;&gt;"Transferencia",I1123&lt;&gt;"Pago tarjeta")),"",IF(IFERROR(INDEX(ctaMon,MATCH(G1123,ctaNom,0))&amp;"","DOP")=N1123,C1123,IF(N1123="USD",C1123*TasaUSD,C1123/TasaUSD)))</f>
        <v/>
      </c>
      <c r="V1123" s="20">
        <f>IF(I1123="","",IF(IFERROR(INDEX(ctaLiq,MATCH(E1123,ctaNom,0))="Sí",FALSE),IF(OR(I1123="Gasto",I1123="Transferencia",I1123="Pago tarjeta"),-1,1)*O1123,0)+IF(AND(U1123&lt;&gt;"",IFERROR(INDEX(ctaLiq,MATCH(G1123,ctaNom,0))="Sí",FALSE)),O1123,0))</f>
        <v/>
      </c>
      <c r="W1123" s="19">
        <f>IF(OR(F1123="",I1123=""),"",IF(COUNTIFS(F$6:F1123,F1123,I$6:I1123,"?*")=1,MAX(W$5:W1122)+1,""))</f>
        <v/>
      </c>
    </row>
    <row r="1124">
      <c r="B1124" s="15" t="n"/>
      <c r="C1124" s="16" t="n"/>
      <c r="D1124" s="17" t="n"/>
      <c r="E1124" s="17" t="n"/>
      <c r="F1124" s="17" t="n"/>
      <c r="G1124" s="17" t="n"/>
      <c r="H1124" s="18">
        <f>IF(AND(B1124="",C1124="",D1124="",E1124=""),"",IF(B1124="","⚠ Falta fecha",IF(C1124="","⚠ Falta monto",IF(D1124="","⚠ Falta categoría",IF(ISNA(MATCH(D1124,catNom,0)),"⚠ Categoría no existe",IF(E1124="","⚠ Falta cuenta",IF(ISNA(MATCH(E1124,ctaNom,0)),"⚠ Cuenta no existe",IF(AND(OR(I1124="Transferencia",I1124="Pago tarjeta"),G1124=""),"⚠ Indica la cuenta «Hacia»",IF(AND(G1124&lt;&gt;"",G1124=E1124),"⚠ «Hacia» igual a la cuenta",IF(AND(G1124&lt;&gt;"",ISNA(MATCH(G1124,ctaNom,0))),"⚠ «Hacia» no existe",IF(AND(I1124="Pago tarjeta",IFERROR(INDEX(ctaTipo,MATCH(G1124,ctaNom,0)),"")&lt;&gt;"Tarjeta de crédito"),"⚠ «Hacia» debe ser la tarjeta",IF(AND(I1124="Trading",IFERROR(INDEX(ctaTipo,MATCH(E1124,ctaNom,0)),"")&lt;&gt;"Cuenta de trading"),"⚠ Usa la cuenta de trading","✓"))))))))))))</f>
        <v/>
      </c>
      <c r="I1124" s="19">
        <f>IF(OR(B1124="",C1124="",D1124=""),"",IFERROR(INDEX(catTipo,MATCH(D1124,catNom,0))&amp;"",""))</f>
        <v/>
      </c>
      <c r="J1124" s="19">
        <f>IF(I1124="","",IFERROR(INDEX(catGrupo,MATCH(D1124,catNom,0))&amp;"",""))</f>
        <v/>
      </c>
      <c r="K1124" s="19">
        <f>IF(I1124="Gasto",IF(IFERROR(INDEX(catClas,MATCH(D1124,catNom,0))&amp;"","")="","Variable",IFERROR(INDEX(catClas,MATCH(D1124,catNom,0))&amp;"","")),"")</f>
        <v/>
      </c>
      <c r="L1124" s="19">
        <f>IF(I1124="","",IFERROR(INDEX(catAlim,MATCH(D1124,catNom,0))&amp;"",""))</f>
        <v/>
      </c>
      <c r="M1124" s="19">
        <f>IF(I1124="","",IFERROR(INDEX(catComida,MATCH(D1124,catNom,0))&amp;"",""))</f>
        <v/>
      </c>
      <c r="N1124" s="19">
        <f>IF(I1124="","",IFERROR(INDEX(ctaMon,MATCH(E1124,ctaNom,0))&amp;"","DOP"))</f>
        <v/>
      </c>
      <c r="O1124" s="20">
        <f>IF(I1124="","",C1124*IF(N1124="USD",TasaUSD,1))</f>
        <v/>
      </c>
      <c r="P1124" s="20">
        <f>IF(I1124="","",IF(I1124="Gasto",O1124,0))</f>
        <v/>
      </c>
      <c r="Q1124" s="20">
        <f>IF(I1124="","",IF(I1124="Ingreso",O1124,0))</f>
        <v/>
      </c>
      <c r="R1124" s="20">
        <f>IF(I1124="","",IF(I1124="Trading",O1124,0))</f>
        <v/>
      </c>
      <c r="S1124" s="19">
        <f>IF(I1124="","",IF(AND(I1124="Gasto",K1124="Variable",J1124&lt;&gt;"Trading",O1124&gt;0,O1124&lt;=Umbral),1,0))</f>
        <v/>
      </c>
      <c r="T1124" s="20">
        <f>IF(OR(I1124="",E1124=""),"",IF(OR(I1124="Gasto",I1124="Transferencia",I1124="Pago tarjeta"),-1,1)*C1124)</f>
        <v/>
      </c>
      <c r="U1124" s="20">
        <f>IF(OR(G1124="",AND(I1124&lt;&gt;"Transferencia",I1124&lt;&gt;"Pago tarjeta")),"",IF(IFERROR(INDEX(ctaMon,MATCH(G1124,ctaNom,0))&amp;"","DOP")=N1124,C1124,IF(N1124="USD",C1124*TasaUSD,C1124/TasaUSD)))</f>
        <v/>
      </c>
      <c r="V1124" s="20">
        <f>IF(I1124="","",IF(IFERROR(INDEX(ctaLiq,MATCH(E1124,ctaNom,0))="Sí",FALSE),IF(OR(I1124="Gasto",I1124="Transferencia",I1124="Pago tarjeta"),-1,1)*O1124,0)+IF(AND(U1124&lt;&gt;"",IFERROR(INDEX(ctaLiq,MATCH(G1124,ctaNom,0))="Sí",FALSE)),O1124,0))</f>
        <v/>
      </c>
      <c r="W1124" s="19">
        <f>IF(OR(F1124="",I1124=""),"",IF(COUNTIFS(F$6:F1124,F1124,I$6:I1124,"?*")=1,MAX(W$5:W1123)+1,""))</f>
        <v/>
      </c>
    </row>
    <row r="1125">
      <c r="B1125" s="15" t="n"/>
      <c r="C1125" s="16" t="n"/>
      <c r="D1125" s="17" t="n"/>
      <c r="E1125" s="17" t="n"/>
      <c r="F1125" s="17" t="n"/>
      <c r="G1125" s="17" t="n"/>
      <c r="H1125" s="18">
        <f>IF(AND(B1125="",C1125="",D1125="",E1125=""),"",IF(B1125="","⚠ Falta fecha",IF(C1125="","⚠ Falta monto",IF(D1125="","⚠ Falta categoría",IF(ISNA(MATCH(D1125,catNom,0)),"⚠ Categoría no existe",IF(E1125="","⚠ Falta cuenta",IF(ISNA(MATCH(E1125,ctaNom,0)),"⚠ Cuenta no existe",IF(AND(OR(I1125="Transferencia",I1125="Pago tarjeta"),G1125=""),"⚠ Indica la cuenta «Hacia»",IF(AND(G1125&lt;&gt;"",G1125=E1125),"⚠ «Hacia» igual a la cuenta",IF(AND(G1125&lt;&gt;"",ISNA(MATCH(G1125,ctaNom,0))),"⚠ «Hacia» no existe",IF(AND(I1125="Pago tarjeta",IFERROR(INDEX(ctaTipo,MATCH(G1125,ctaNom,0)),"")&lt;&gt;"Tarjeta de crédito"),"⚠ «Hacia» debe ser la tarjeta",IF(AND(I1125="Trading",IFERROR(INDEX(ctaTipo,MATCH(E1125,ctaNom,0)),"")&lt;&gt;"Cuenta de trading"),"⚠ Usa la cuenta de trading","✓"))))))))))))</f>
        <v/>
      </c>
      <c r="I1125" s="19">
        <f>IF(OR(B1125="",C1125="",D1125=""),"",IFERROR(INDEX(catTipo,MATCH(D1125,catNom,0))&amp;"",""))</f>
        <v/>
      </c>
      <c r="J1125" s="19">
        <f>IF(I1125="","",IFERROR(INDEX(catGrupo,MATCH(D1125,catNom,0))&amp;"",""))</f>
        <v/>
      </c>
      <c r="K1125" s="19">
        <f>IF(I1125="Gasto",IF(IFERROR(INDEX(catClas,MATCH(D1125,catNom,0))&amp;"","")="","Variable",IFERROR(INDEX(catClas,MATCH(D1125,catNom,0))&amp;"","")),"")</f>
        <v/>
      </c>
      <c r="L1125" s="19">
        <f>IF(I1125="","",IFERROR(INDEX(catAlim,MATCH(D1125,catNom,0))&amp;"",""))</f>
        <v/>
      </c>
      <c r="M1125" s="19">
        <f>IF(I1125="","",IFERROR(INDEX(catComida,MATCH(D1125,catNom,0))&amp;"",""))</f>
        <v/>
      </c>
      <c r="N1125" s="19">
        <f>IF(I1125="","",IFERROR(INDEX(ctaMon,MATCH(E1125,ctaNom,0))&amp;"","DOP"))</f>
        <v/>
      </c>
      <c r="O1125" s="20">
        <f>IF(I1125="","",C1125*IF(N1125="USD",TasaUSD,1))</f>
        <v/>
      </c>
      <c r="P1125" s="20">
        <f>IF(I1125="","",IF(I1125="Gasto",O1125,0))</f>
        <v/>
      </c>
      <c r="Q1125" s="20">
        <f>IF(I1125="","",IF(I1125="Ingreso",O1125,0))</f>
        <v/>
      </c>
      <c r="R1125" s="20">
        <f>IF(I1125="","",IF(I1125="Trading",O1125,0))</f>
        <v/>
      </c>
      <c r="S1125" s="19">
        <f>IF(I1125="","",IF(AND(I1125="Gasto",K1125="Variable",J1125&lt;&gt;"Trading",O1125&gt;0,O1125&lt;=Umbral),1,0))</f>
        <v/>
      </c>
      <c r="T1125" s="20">
        <f>IF(OR(I1125="",E1125=""),"",IF(OR(I1125="Gasto",I1125="Transferencia",I1125="Pago tarjeta"),-1,1)*C1125)</f>
        <v/>
      </c>
      <c r="U1125" s="20">
        <f>IF(OR(G1125="",AND(I1125&lt;&gt;"Transferencia",I1125&lt;&gt;"Pago tarjeta")),"",IF(IFERROR(INDEX(ctaMon,MATCH(G1125,ctaNom,0))&amp;"","DOP")=N1125,C1125,IF(N1125="USD",C1125*TasaUSD,C1125/TasaUSD)))</f>
        <v/>
      </c>
      <c r="V1125" s="20">
        <f>IF(I1125="","",IF(IFERROR(INDEX(ctaLiq,MATCH(E1125,ctaNom,0))="Sí",FALSE),IF(OR(I1125="Gasto",I1125="Transferencia",I1125="Pago tarjeta"),-1,1)*O1125,0)+IF(AND(U1125&lt;&gt;"",IFERROR(INDEX(ctaLiq,MATCH(G1125,ctaNom,0))="Sí",FALSE)),O1125,0))</f>
        <v/>
      </c>
      <c r="W1125" s="19">
        <f>IF(OR(F1125="",I1125=""),"",IF(COUNTIFS(F$6:F1125,F1125,I$6:I1125,"?*")=1,MAX(W$5:W1124)+1,""))</f>
        <v/>
      </c>
    </row>
    <row r="1126">
      <c r="B1126" s="15" t="n"/>
      <c r="C1126" s="16" t="n"/>
      <c r="D1126" s="17" t="n"/>
      <c r="E1126" s="17" t="n"/>
      <c r="F1126" s="17" t="n"/>
      <c r="G1126" s="17" t="n"/>
      <c r="H1126" s="18">
        <f>IF(AND(B1126="",C1126="",D1126="",E1126=""),"",IF(B1126="","⚠ Falta fecha",IF(C1126="","⚠ Falta monto",IF(D1126="","⚠ Falta categoría",IF(ISNA(MATCH(D1126,catNom,0)),"⚠ Categoría no existe",IF(E1126="","⚠ Falta cuenta",IF(ISNA(MATCH(E1126,ctaNom,0)),"⚠ Cuenta no existe",IF(AND(OR(I1126="Transferencia",I1126="Pago tarjeta"),G1126=""),"⚠ Indica la cuenta «Hacia»",IF(AND(G1126&lt;&gt;"",G1126=E1126),"⚠ «Hacia» igual a la cuenta",IF(AND(G1126&lt;&gt;"",ISNA(MATCH(G1126,ctaNom,0))),"⚠ «Hacia» no existe",IF(AND(I1126="Pago tarjeta",IFERROR(INDEX(ctaTipo,MATCH(G1126,ctaNom,0)),"")&lt;&gt;"Tarjeta de crédito"),"⚠ «Hacia» debe ser la tarjeta",IF(AND(I1126="Trading",IFERROR(INDEX(ctaTipo,MATCH(E1126,ctaNom,0)),"")&lt;&gt;"Cuenta de trading"),"⚠ Usa la cuenta de trading","✓"))))))))))))</f>
        <v/>
      </c>
      <c r="I1126" s="19">
        <f>IF(OR(B1126="",C1126="",D1126=""),"",IFERROR(INDEX(catTipo,MATCH(D1126,catNom,0))&amp;"",""))</f>
        <v/>
      </c>
      <c r="J1126" s="19">
        <f>IF(I1126="","",IFERROR(INDEX(catGrupo,MATCH(D1126,catNom,0))&amp;"",""))</f>
        <v/>
      </c>
      <c r="K1126" s="19">
        <f>IF(I1126="Gasto",IF(IFERROR(INDEX(catClas,MATCH(D1126,catNom,0))&amp;"","")="","Variable",IFERROR(INDEX(catClas,MATCH(D1126,catNom,0))&amp;"","")),"")</f>
        <v/>
      </c>
      <c r="L1126" s="19">
        <f>IF(I1126="","",IFERROR(INDEX(catAlim,MATCH(D1126,catNom,0))&amp;"",""))</f>
        <v/>
      </c>
      <c r="M1126" s="19">
        <f>IF(I1126="","",IFERROR(INDEX(catComida,MATCH(D1126,catNom,0))&amp;"",""))</f>
        <v/>
      </c>
      <c r="N1126" s="19">
        <f>IF(I1126="","",IFERROR(INDEX(ctaMon,MATCH(E1126,ctaNom,0))&amp;"","DOP"))</f>
        <v/>
      </c>
      <c r="O1126" s="20">
        <f>IF(I1126="","",C1126*IF(N1126="USD",TasaUSD,1))</f>
        <v/>
      </c>
      <c r="P1126" s="20">
        <f>IF(I1126="","",IF(I1126="Gasto",O1126,0))</f>
        <v/>
      </c>
      <c r="Q1126" s="20">
        <f>IF(I1126="","",IF(I1126="Ingreso",O1126,0))</f>
        <v/>
      </c>
      <c r="R1126" s="20">
        <f>IF(I1126="","",IF(I1126="Trading",O1126,0))</f>
        <v/>
      </c>
      <c r="S1126" s="19">
        <f>IF(I1126="","",IF(AND(I1126="Gasto",K1126="Variable",J1126&lt;&gt;"Trading",O1126&gt;0,O1126&lt;=Umbral),1,0))</f>
        <v/>
      </c>
      <c r="T1126" s="20">
        <f>IF(OR(I1126="",E1126=""),"",IF(OR(I1126="Gasto",I1126="Transferencia",I1126="Pago tarjeta"),-1,1)*C1126)</f>
        <v/>
      </c>
      <c r="U1126" s="20">
        <f>IF(OR(G1126="",AND(I1126&lt;&gt;"Transferencia",I1126&lt;&gt;"Pago tarjeta")),"",IF(IFERROR(INDEX(ctaMon,MATCH(G1126,ctaNom,0))&amp;"","DOP")=N1126,C1126,IF(N1126="USD",C1126*TasaUSD,C1126/TasaUSD)))</f>
        <v/>
      </c>
      <c r="V1126" s="20">
        <f>IF(I1126="","",IF(IFERROR(INDEX(ctaLiq,MATCH(E1126,ctaNom,0))="Sí",FALSE),IF(OR(I1126="Gasto",I1126="Transferencia",I1126="Pago tarjeta"),-1,1)*O1126,0)+IF(AND(U1126&lt;&gt;"",IFERROR(INDEX(ctaLiq,MATCH(G1126,ctaNom,0))="Sí",FALSE)),O1126,0))</f>
        <v/>
      </c>
      <c r="W1126" s="19">
        <f>IF(OR(F1126="",I1126=""),"",IF(COUNTIFS(F$6:F1126,F1126,I$6:I1126,"?*")=1,MAX(W$5:W1125)+1,""))</f>
        <v/>
      </c>
    </row>
    <row r="1127">
      <c r="B1127" s="15" t="n"/>
      <c r="C1127" s="16" t="n"/>
      <c r="D1127" s="17" t="n"/>
      <c r="E1127" s="17" t="n"/>
      <c r="F1127" s="17" t="n"/>
      <c r="G1127" s="17" t="n"/>
      <c r="H1127" s="18">
        <f>IF(AND(B1127="",C1127="",D1127="",E1127=""),"",IF(B1127="","⚠ Falta fecha",IF(C1127="","⚠ Falta monto",IF(D1127="","⚠ Falta categoría",IF(ISNA(MATCH(D1127,catNom,0)),"⚠ Categoría no existe",IF(E1127="","⚠ Falta cuenta",IF(ISNA(MATCH(E1127,ctaNom,0)),"⚠ Cuenta no existe",IF(AND(OR(I1127="Transferencia",I1127="Pago tarjeta"),G1127=""),"⚠ Indica la cuenta «Hacia»",IF(AND(G1127&lt;&gt;"",G1127=E1127),"⚠ «Hacia» igual a la cuenta",IF(AND(G1127&lt;&gt;"",ISNA(MATCH(G1127,ctaNom,0))),"⚠ «Hacia» no existe",IF(AND(I1127="Pago tarjeta",IFERROR(INDEX(ctaTipo,MATCH(G1127,ctaNom,0)),"")&lt;&gt;"Tarjeta de crédito"),"⚠ «Hacia» debe ser la tarjeta",IF(AND(I1127="Trading",IFERROR(INDEX(ctaTipo,MATCH(E1127,ctaNom,0)),"")&lt;&gt;"Cuenta de trading"),"⚠ Usa la cuenta de trading","✓"))))))))))))</f>
        <v/>
      </c>
      <c r="I1127" s="19">
        <f>IF(OR(B1127="",C1127="",D1127=""),"",IFERROR(INDEX(catTipo,MATCH(D1127,catNom,0))&amp;"",""))</f>
        <v/>
      </c>
      <c r="J1127" s="19">
        <f>IF(I1127="","",IFERROR(INDEX(catGrupo,MATCH(D1127,catNom,0))&amp;"",""))</f>
        <v/>
      </c>
      <c r="K1127" s="19">
        <f>IF(I1127="Gasto",IF(IFERROR(INDEX(catClas,MATCH(D1127,catNom,0))&amp;"","")="","Variable",IFERROR(INDEX(catClas,MATCH(D1127,catNom,0))&amp;"","")),"")</f>
        <v/>
      </c>
      <c r="L1127" s="19">
        <f>IF(I1127="","",IFERROR(INDEX(catAlim,MATCH(D1127,catNom,0))&amp;"",""))</f>
        <v/>
      </c>
      <c r="M1127" s="19">
        <f>IF(I1127="","",IFERROR(INDEX(catComida,MATCH(D1127,catNom,0))&amp;"",""))</f>
        <v/>
      </c>
      <c r="N1127" s="19">
        <f>IF(I1127="","",IFERROR(INDEX(ctaMon,MATCH(E1127,ctaNom,0))&amp;"","DOP"))</f>
        <v/>
      </c>
      <c r="O1127" s="20">
        <f>IF(I1127="","",C1127*IF(N1127="USD",TasaUSD,1))</f>
        <v/>
      </c>
      <c r="P1127" s="20">
        <f>IF(I1127="","",IF(I1127="Gasto",O1127,0))</f>
        <v/>
      </c>
      <c r="Q1127" s="20">
        <f>IF(I1127="","",IF(I1127="Ingreso",O1127,0))</f>
        <v/>
      </c>
      <c r="R1127" s="20">
        <f>IF(I1127="","",IF(I1127="Trading",O1127,0))</f>
        <v/>
      </c>
      <c r="S1127" s="19">
        <f>IF(I1127="","",IF(AND(I1127="Gasto",K1127="Variable",J1127&lt;&gt;"Trading",O1127&gt;0,O1127&lt;=Umbral),1,0))</f>
        <v/>
      </c>
      <c r="T1127" s="20">
        <f>IF(OR(I1127="",E1127=""),"",IF(OR(I1127="Gasto",I1127="Transferencia",I1127="Pago tarjeta"),-1,1)*C1127)</f>
        <v/>
      </c>
      <c r="U1127" s="20">
        <f>IF(OR(G1127="",AND(I1127&lt;&gt;"Transferencia",I1127&lt;&gt;"Pago tarjeta")),"",IF(IFERROR(INDEX(ctaMon,MATCH(G1127,ctaNom,0))&amp;"","DOP")=N1127,C1127,IF(N1127="USD",C1127*TasaUSD,C1127/TasaUSD)))</f>
        <v/>
      </c>
      <c r="V1127" s="20">
        <f>IF(I1127="","",IF(IFERROR(INDEX(ctaLiq,MATCH(E1127,ctaNom,0))="Sí",FALSE),IF(OR(I1127="Gasto",I1127="Transferencia",I1127="Pago tarjeta"),-1,1)*O1127,0)+IF(AND(U1127&lt;&gt;"",IFERROR(INDEX(ctaLiq,MATCH(G1127,ctaNom,0))="Sí",FALSE)),O1127,0))</f>
        <v/>
      </c>
      <c r="W1127" s="19">
        <f>IF(OR(F1127="",I1127=""),"",IF(COUNTIFS(F$6:F1127,F1127,I$6:I1127,"?*")=1,MAX(W$5:W1126)+1,""))</f>
        <v/>
      </c>
    </row>
    <row r="1128">
      <c r="B1128" s="15" t="n"/>
      <c r="C1128" s="16" t="n"/>
      <c r="D1128" s="17" t="n"/>
      <c r="E1128" s="17" t="n"/>
      <c r="F1128" s="17" t="n"/>
      <c r="G1128" s="17" t="n"/>
      <c r="H1128" s="18">
        <f>IF(AND(B1128="",C1128="",D1128="",E1128=""),"",IF(B1128="","⚠ Falta fecha",IF(C1128="","⚠ Falta monto",IF(D1128="","⚠ Falta categoría",IF(ISNA(MATCH(D1128,catNom,0)),"⚠ Categoría no existe",IF(E1128="","⚠ Falta cuenta",IF(ISNA(MATCH(E1128,ctaNom,0)),"⚠ Cuenta no existe",IF(AND(OR(I1128="Transferencia",I1128="Pago tarjeta"),G1128=""),"⚠ Indica la cuenta «Hacia»",IF(AND(G1128&lt;&gt;"",G1128=E1128),"⚠ «Hacia» igual a la cuenta",IF(AND(G1128&lt;&gt;"",ISNA(MATCH(G1128,ctaNom,0))),"⚠ «Hacia» no existe",IF(AND(I1128="Pago tarjeta",IFERROR(INDEX(ctaTipo,MATCH(G1128,ctaNom,0)),"")&lt;&gt;"Tarjeta de crédito"),"⚠ «Hacia» debe ser la tarjeta",IF(AND(I1128="Trading",IFERROR(INDEX(ctaTipo,MATCH(E1128,ctaNom,0)),"")&lt;&gt;"Cuenta de trading"),"⚠ Usa la cuenta de trading","✓"))))))))))))</f>
        <v/>
      </c>
      <c r="I1128" s="19">
        <f>IF(OR(B1128="",C1128="",D1128=""),"",IFERROR(INDEX(catTipo,MATCH(D1128,catNom,0))&amp;"",""))</f>
        <v/>
      </c>
      <c r="J1128" s="19">
        <f>IF(I1128="","",IFERROR(INDEX(catGrupo,MATCH(D1128,catNom,0))&amp;"",""))</f>
        <v/>
      </c>
      <c r="K1128" s="19">
        <f>IF(I1128="Gasto",IF(IFERROR(INDEX(catClas,MATCH(D1128,catNom,0))&amp;"","")="","Variable",IFERROR(INDEX(catClas,MATCH(D1128,catNom,0))&amp;"","")),"")</f>
        <v/>
      </c>
      <c r="L1128" s="19">
        <f>IF(I1128="","",IFERROR(INDEX(catAlim,MATCH(D1128,catNom,0))&amp;"",""))</f>
        <v/>
      </c>
      <c r="M1128" s="19">
        <f>IF(I1128="","",IFERROR(INDEX(catComida,MATCH(D1128,catNom,0))&amp;"",""))</f>
        <v/>
      </c>
      <c r="N1128" s="19">
        <f>IF(I1128="","",IFERROR(INDEX(ctaMon,MATCH(E1128,ctaNom,0))&amp;"","DOP"))</f>
        <v/>
      </c>
      <c r="O1128" s="20">
        <f>IF(I1128="","",C1128*IF(N1128="USD",TasaUSD,1))</f>
        <v/>
      </c>
      <c r="P1128" s="20">
        <f>IF(I1128="","",IF(I1128="Gasto",O1128,0))</f>
        <v/>
      </c>
      <c r="Q1128" s="20">
        <f>IF(I1128="","",IF(I1128="Ingreso",O1128,0))</f>
        <v/>
      </c>
      <c r="R1128" s="20">
        <f>IF(I1128="","",IF(I1128="Trading",O1128,0))</f>
        <v/>
      </c>
      <c r="S1128" s="19">
        <f>IF(I1128="","",IF(AND(I1128="Gasto",K1128="Variable",J1128&lt;&gt;"Trading",O1128&gt;0,O1128&lt;=Umbral),1,0))</f>
        <v/>
      </c>
      <c r="T1128" s="20">
        <f>IF(OR(I1128="",E1128=""),"",IF(OR(I1128="Gasto",I1128="Transferencia",I1128="Pago tarjeta"),-1,1)*C1128)</f>
        <v/>
      </c>
      <c r="U1128" s="20">
        <f>IF(OR(G1128="",AND(I1128&lt;&gt;"Transferencia",I1128&lt;&gt;"Pago tarjeta")),"",IF(IFERROR(INDEX(ctaMon,MATCH(G1128,ctaNom,0))&amp;"","DOP")=N1128,C1128,IF(N1128="USD",C1128*TasaUSD,C1128/TasaUSD)))</f>
        <v/>
      </c>
      <c r="V1128" s="20">
        <f>IF(I1128="","",IF(IFERROR(INDEX(ctaLiq,MATCH(E1128,ctaNom,0))="Sí",FALSE),IF(OR(I1128="Gasto",I1128="Transferencia",I1128="Pago tarjeta"),-1,1)*O1128,0)+IF(AND(U1128&lt;&gt;"",IFERROR(INDEX(ctaLiq,MATCH(G1128,ctaNom,0))="Sí",FALSE)),O1128,0))</f>
        <v/>
      </c>
      <c r="W1128" s="19">
        <f>IF(OR(F1128="",I1128=""),"",IF(COUNTIFS(F$6:F1128,F1128,I$6:I1128,"?*")=1,MAX(W$5:W1127)+1,""))</f>
        <v/>
      </c>
    </row>
    <row r="1129">
      <c r="B1129" s="15" t="n"/>
      <c r="C1129" s="16" t="n"/>
      <c r="D1129" s="17" t="n"/>
      <c r="E1129" s="17" t="n"/>
      <c r="F1129" s="17" t="n"/>
      <c r="G1129" s="17" t="n"/>
      <c r="H1129" s="18">
        <f>IF(AND(B1129="",C1129="",D1129="",E1129=""),"",IF(B1129="","⚠ Falta fecha",IF(C1129="","⚠ Falta monto",IF(D1129="","⚠ Falta categoría",IF(ISNA(MATCH(D1129,catNom,0)),"⚠ Categoría no existe",IF(E1129="","⚠ Falta cuenta",IF(ISNA(MATCH(E1129,ctaNom,0)),"⚠ Cuenta no existe",IF(AND(OR(I1129="Transferencia",I1129="Pago tarjeta"),G1129=""),"⚠ Indica la cuenta «Hacia»",IF(AND(G1129&lt;&gt;"",G1129=E1129),"⚠ «Hacia» igual a la cuenta",IF(AND(G1129&lt;&gt;"",ISNA(MATCH(G1129,ctaNom,0))),"⚠ «Hacia» no existe",IF(AND(I1129="Pago tarjeta",IFERROR(INDEX(ctaTipo,MATCH(G1129,ctaNom,0)),"")&lt;&gt;"Tarjeta de crédito"),"⚠ «Hacia» debe ser la tarjeta",IF(AND(I1129="Trading",IFERROR(INDEX(ctaTipo,MATCH(E1129,ctaNom,0)),"")&lt;&gt;"Cuenta de trading"),"⚠ Usa la cuenta de trading","✓"))))))))))))</f>
        <v/>
      </c>
      <c r="I1129" s="19">
        <f>IF(OR(B1129="",C1129="",D1129=""),"",IFERROR(INDEX(catTipo,MATCH(D1129,catNom,0))&amp;"",""))</f>
        <v/>
      </c>
      <c r="J1129" s="19">
        <f>IF(I1129="","",IFERROR(INDEX(catGrupo,MATCH(D1129,catNom,0))&amp;"",""))</f>
        <v/>
      </c>
      <c r="K1129" s="19">
        <f>IF(I1129="Gasto",IF(IFERROR(INDEX(catClas,MATCH(D1129,catNom,0))&amp;"","")="","Variable",IFERROR(INDEX(catClas,MATCH(D1129,catNom,0))&amp;"","")),"")</f>
        <v/>
      </c>
      <c r="L1129" s="19">
        <f>IF(I1129="","",IFERROR(INDEX(catAlim,MATCH(D1129,catNom,0))&amp;"",""))</f>
        <v/>
      </c>
      <c r="M1129" s="19">
        <f>IF(I1129="","",IFERROR(INDEX(catComida,MATCH(D1129,catNom,0))&amp;"",""))</f>
        <v/>
      </c>
      <c r="N1129" s="19">
        <f>IF(I1129="","",IFERROR(INDEX(ctaMon,MATCH(E1129,ctaNom,0))&amp;"","DOP"))</f>
        <v/>
      </c>
      <c r="O1129" s="20">
        <f>IF(I1129="","",C1129*IF(N1129="USD",TasaUSD,1))</f>
        <v/>
      </c>
      <c r="P1129" s="20">
        <f>IF(I1129="","",IF(I1129="Gasto",O1129,0))</f>
        <v/>
      </c>
      <c r="Q1129" s="20">
        <f>IF(I1129="","",IF(I1129="Ingreso",O1129,0))</f>
        <v/>
      </c>
      <c r="R1129" s="20">
        <f>IF(I1129="","",IF(I1129="Trading",O1129,0))</f>
        <v/>
      </c>
      <c r="S1129" s="19">
        <f>IF(I1129="","",IF(AND(I1129="Gasto",K1129="Variable",J1129&lt;&gt;"Trading",O1129&gt;0,O1129&lt;=Umbral),1,0))</f>
        <v/>
      </c>
      <c r="T1129" s="20">
        <f>IF(OR(I1129="",E1129=""),"",IF(OR(I1129="Gasto",I1129="Transferencia",I1129="Pago tarjeta"),-1,1)*C1129)</f>
        <v/>
      </c>
      <c r="U1129" s="20">
        <f>IF(OR(G1129="",AND(I1129&lt;&gt;"Transferencia",I1129&lt;&gt;"Pago tarjeta")),"",IF(IFERROR(INDEX(ctaMon,MATCH(G1129,ctaNom,0))&amp;"","DOP")=N1129,C1129,IF(N1129="USD",C1129*TasaUSD,C1129/TasaUSD)))</f>
        <v/>
      </c>
      <c r="V1129" s="20">
        <f>IF(I1129="","",IF(IFERROR(INDEX(ctaLiq,MATCH(E1129,ctaNom,0))="Sí",FALSE),IF(OR(I1129="Gasto",I1129="Transferencia",I1129="Pago tarjeta"),-1,1)*O1129,0)+IF(AND(U1129&lt;&gt;"",IFERROR(INDEX(ctaLiq,MATCH(G1129,ctaNom,0))="Sí",FALSE)),O1129,0))</f>
        <v/>
      </c>
      <c r="W1129" s="19">
        <f>IF(OR(F1129="",I1129=""),"",IF(COUNTIFS(F$6:F1129,F1129,I$6:I1129,"?*")=1,MAX(W$5:W1128)+1,""))</f>
        <v/>
      </c>
    </row>
    <row r="1130">
      <c r="B1130" s="15" t="n"/>
      <c r="C1130" s="16" t="n"/>
      <c r="D1130" s="17" t="n"/>
      <c r="E1130" s="17" t="n"/>
      <c r="F1130" s="17" t="n"/>
      <c r="G1130" s="17" t="n"/>
      <c r="H1130" s="18">
        <f>IF(AND(B1130="",C1130="",D1130="",E1130=""),"",IF(B1130="","⚠ Falta fecha",IF(C1130="","⚠ Falta monto",IF(D1130="","⚠ Falta categoría",IF(ISNA(MATCH(D1130,catNom,0)),"⚠ Categoría no existe",IF(E1130="","⚠ Falta cuenta",IF(ISNA(MATCH(E1130,ctaNom,0)),"⚠ Cuenta no existe",IF(AND(OR(I1130="Transferencia",I1130="Pago tarjeta"),G1130=""),"⚠ Indica la cuenta «Hacia»",IF(AND(G1130&lt;&gt;"",G1130=E1130),"⚠ «Hacia» igual a la cuenta",IF(AND(G1130&lt;&gt;"",ISNA(MATCH(G1130,ctaNom,0))),"⚠ «Hacia» no existe",IF(AND(I1130="Pago tarjeta",IFERROR(INDEX(ctaTipo,MATCH(G1130,ctaNom,0)),"")&lt;&gt;"Tarjeta de crédito"),"⚠ «Hacia» debe ser la tarjeta",IF(AND(I1130="Trading",IFERROR(INDEX(ctaTipo,MATCH(E1130,ctaNom,0)),"")&lt;&gt;"Cuenta de trading"),"⚠ Usa la cuenta de trading","✓"))))))))))))</f>
        <v/>
      </c>
      <c r="I1130" s="19">
        <f>IF(OR(B1130="",C1130="",D1130=""),"",IFERROR(INDEX(catTipo,MATCH(D1130,catNom,0))&amp;"",""))</f>
        <v/>
      </c>
      <c r="J1130" s="19">
        <f>IF(I1130="","",IFERROR(INDEX(catGrupo,MATCH(D1130,catNom,0))&amp;"",""))</f>
        <v/>
      </c>
      <c r="K1130" s="19">
        <f>IF(I1130="Gasto",IF(IFERROR(INDEX(catClas,MATCH(D1130,catNom,0))&amp;"","")="","Variable",IFERROR(INDEX(catClas,MATCH(D1130,catNom,0))&amp;"","")),"")</f>
        <v/>
      </c>
      <c r="L1130" s="19">
        <f>IF(I1130="","",IFERROR(INDEX(catAlim,MATCH(D1130,catNom,0))&amp;"",""))</f>
        <v/>
      </c>
      <c r="M1130" s="19">
        <f>IF(I1130="","",IFERROR(INDEX(catComida,MATCH(D1130,catNom,0))&amp;"",""))</f>
        <v/>
      </c>
      <c r="N1130" s="19">
        <f>IF(I1130="","",IFERROR(INDEX(ctaMon,MATCH(E1130,ctaNom,0))&amp;"","DOP"))</f>
        <v/>
      </c>
      <c r="O1130" s="20">
        <f>IF(I1130="","",C1130*IF(N1130="USD",TasaUSD,1))</f>
        <v/>
      </c>
      <c r="P1130" s="20">
        <f>IF(I1130="","",IF(I1130="Gasto",O1130,0))</f>
        <v/>
      </c>
      <c r="Q1130" s="20">
        <f>IF(I1130="","",IF(I1130="Ingreso",O1130,0))</f>
        <v/>
      </c>
      <c r="R1130" s="20">
        <f>IF(I1130="","",IF(I1130="Trading",O1130,0))</f>
        <v/>
      </c>
      <c r="S1130" s="19">
        <f>IF(I1130="","",IF(AND(I1130="Gasto",K1130="Variable",J1130&lt;&gt;"Trading",O1130&gt;0,O1130&lt;=Umbral),1,0))</f>
        <v/>
      </c>
      <c r="T1130" s="20">
        <f>IF(OR(I1130="",E1130=""),"",IF(OR(I1130="Gasto",I1130="Transferencia",I1130="Pago tarjeta"),-1,1)*C1130)</f>
        <v/>
      </c>
      <c r="U1130" s="20">
        <f>IF(OR(G1130="",AND(I1130&lt;&gt;"Transferencia",I1130&lt;&gt;"Pago tarjeta")),"",IF(IFERROR(INDEX(ctaMon,MATCH(G1130,ctaNom,0))&amp;"","DOP")=N1130,C1130,IF(N1130="USD",C1130*TasaUSD,C1130/TasaUSD)))</f>
        <v/>
      </c>
      <c r="V1130" s="20">
        <f>IF(I1130="","",IF(IFERROR(INDEX(ctaLiq,MATCH(E1130,ctaNom,0))="Sí",FALSE),IF(OR(I1130="Gasto",I1130="Transferencia",I1130="Pago tarjeta"),-1,1)*O1130,0)+IF(AND(U1130&lt;&gt;"",IFERROR(INDEX(ctaLiq,MATCH(G1130,ctaNom,0))="Sí",FALSE)),O1130,0))</f>
        <v/>
      </c>
      <c r="W1130" s="19">
        <f>IF(OR(F1130="",I1130=""),"",IF(COUNTIFS(F$6:F1130,F1130,I$6:I1130,"?*")=1,MAX(W$5:W1129)+1,""))</f>
        <v/>
      </c>
    </row>
    <row r="1131">
      <c r="B1131" s="15" t="n"/>
      <c r="C1131" s="16" t="n"/>
      <c r="D1131" s="17" t="n"/>
      <c r="E1131" s="17" t="n"/>
      <c r="F1131" s="17" t="n"/>
      <c r="G1131" s="17" t="n"/>
      <c r="H1131" s="18">
        <f>IF(AND(B1131="",C1131="",D1131="",E1131=""),"",IF(B1131="","⚠ Falta fecha",IF(C1131="","⚠ Falta monto",IF(D1131="","⚠ Falta categoría",IF(ISNA(MATCH(D1131,catNom,0)),"⚠ Categoría no existe",IF(E1131="","⚠ Falta cuenta",IF(ISNA(MATCH(E1131,ctaNom,0)),"⚠ Cuenta no existe",IF(AND(OR(I1131="Transferencia",I1131="Pago tarjeta"),G1131=""),"⚠ Indica la cuenta «Hacia»",IF(AND(G1131&lt;&gt;"",G1131=E1131),"⚠ «Hacia» igual a la cuenta",IF(AND(G1131&lt;&gt;"",ISNA(MATCH(G1131,ctaNom,0))),"⚠ «Hacia» no existe",IF(AND(I1131="Pago tarjeta",IFERROR(INDEX(ctaTipo,MATCH(G1131,ctaNom,0)),"")&lt;&gt;"Tarjeta de crédito"),"⚠ «Hacia» debe ser la tarjeta",IF(AND(I1131="Trading",IFERROR(INDEX(ctaTipo,MATCH(E1131,ctaNom,0)),"")&lt;&gt;"Cuenta de trading"),"⚠ Usa la cuenta de trading","✓"))))))))))))</f>
        <v/>
      </c>
      <c r="I1131" s="19">
        <f>IF(OR(B1131="",C1131="",D1131=""),"",IFERROR(INDEX(catTipo,MATCH(D1131,catNom,0))&amp;"",""))</f>
        <v/>
      </c>
      <c r="J1131" s="19">
        <f>IF(I1131="","",IFERROR(INDEX(catGrupo,MATCH(D1131,catNom,0))&amp;"",""))</f>
        <v/>
      </c>
      <c r="K1131" s="19">
        <f>IF(I1131="Gasto",IF(IFERROR(INDEX(catClas,MATCH(D1131,catNom,0))&amp;"","")="","Variable",IFERROR(INDEX(catClas,MATCH(D1131,catNom,0))&amp;"","")),"")</f>
        <v/>
      </c>
      <c r="L1131" s="19">
        <f>IF(I1131="","",IFERROR(INDEX(catAlim,MATCH(D1131,catNom,0))&amp;"",""))</f>
        <v/>
      </c>
      <c r="M1131" s="19">
        <f>IF(I1131="","",IFERROR(INDEX(catComida,MATCH(D1131,catNom,0))&amp;"",""))</f>
        <v/>
      </c>
      <c r="N1131" s="19">
        <f>IF(I1131="","",IFERROR(INDEX(ctaMon,MATCH(E1131,ctaNom,0))&amp;"","DOP"))</f>
        <v/>
      </c>
      <c r="O1131" s="20">
        <f>IF(I1131="","",C1131*IF(N1131="USD",TasaUSD,1))</f>
        <v/>
      </c>
      <c r="P1131" s="20">
        <f>IF(I1131="","",IF(I1131="Gasto",O1131,0))</f>
        <v/>
      </c>
      <c r="Q1131" s="20">
        <f>IF(I1131="","",IF(I1131="Ingreso",O1131,0))</f>
        <v/>
      </c>
      <c r="R1131" s="20">
        <f>IF(I1131="","",IF(I1131="Trading",O1131,0))</f>
        <v/>
      </c>
      <c r="S1131" s="19">
        <f>IF(I1131="","",IF(AND(I1131="Gasto",K1131="Variable",J1131&lt;&gt;"Trading",O1131&gt;0,O1131&lt;=Umbral),1,0))</f>
        <v/>
      </c>
      <c r="T1131" s="20">
        <f>IF(OR(I1131="",E1131=""),"",IF(OR(I1131="Gasto",I1131="Transferencia",I1131="Pago tarjeta"),-1,1)*C1131)</f>
        <v/>
      </c>
      <c r="U1131" s="20">
        <f>IF(OR(G1131="",AND(I1131&lt;&gt;"Transferencia",I1131&lt;&gt;"Pago tarjeta")),"",IF(IFERROR(INDEX(ctaMon,MATCH(G1131,ctaNom,0))&amp;"","DOP")=N1131,C1131,IF(N1131="USD",C1131*TasaUSD,C1131/TasaUSD)))</f>
        <v/>
      </c>
      <c r="V1131" s="20">
        <f>IF(I1131="","",IF(IFERROR(INDEX(ctaLiq,MATCH(E1131,ctaNom,0))="Sí",FALSE),IF(OR(I1131="Gasto",I1131="Transferencia",I1131="Pago tarjeta"),-1,1)*O1131,0)+IF(AND(U1131&lt;&gt;"",IFERROR(INDEX(ctaLiq,MATCH(G1131,ctaNom,0))="Sí",FALSE)),O1131,0))</f>
        <v/>
      </c>
      <c r="W1131" s="19">
        <f>IF(OR(F1131="",I1131=""),"",IF(COUNTIFS(F$6:F1131,F1131,I$6:I1131,"?*")=1,MAX(W$5:W1130)+1,""))</f>
        <v/>
      </c>
    </row>
    <row r="1132">
      <c r="B1132" s="15" t="n"/>
      <c r="C1132" s="16" t="n"/>
      <c r="D1132" s="17" t="n"/>
      <c r="E1132" s="17" t="n"/>
      <c r="F1132" s="17" t="n"/>
      <c r="G1132" s="17" t="n"/>
      <c r="H1132" s="18">
        <f>IF(AND(B1132="",C1132="",D1132="",E1132=""),"",IF(B1132="","⚠ Falta fecha",IF(C1132="","⚠ Falta monto",IF(D1132="","⚠ Falta categoría",IF(ISNA(MATCH(D1132,catNom,0)),"⚠ Categoría no existe",IF(E1132="","⚠ Falta cuenta",IF(ISNA(MATCH(E1132,ctaNom,0)),"⚠ Cuenta no existe",IF(AND(OR(I1132="Transferencia",I1132="Pago tarjeta"),G1132=""),"⚠ Indica la cuenta «Hacia»",IF(AND(G1132&lt;&gt;"",G1132=E1132),"⚠ «Hacia» igual a la cuenta",IF(AND(G1132&lt;&gt;"",ISNA(MATCH(G1132,ctaNom,0))),"⚠ «Hacia» no existe",IF(AND(I1132="Pago tarjeta",IFERROR(INDEX(ctaTipo,MATCH(G1132,ctaNom,0)),"")&lt;&gt;"Tarjeta de crédito"),"⚠ «Hacia» debe ser la tarjeta",IF(AND(I1132="Trading",IFERROR(INDEX(ctaTipo,MATCH(E1132,ctaNom,0)),"")&lt;&gt;"Cuenta de trading"),"⚠ Usa la cuenta de trading","✓"))))))))))))</f>
        <v/>
      </c>
      <c r="I1132" s="19">
        <f>IF(OR(B1132="",C1132="",D1132=""),"",IFERROR(INDEX(catTipo,MATCH(D1132,catNom,0))&amp;"",""))</f>
        <v/>
      </c>
      <c r="J1132" s="19">
        <f>IF(I1132="","",IFERROR(INDEX(catGrupo,MATCH(D1132,catNom,0))&amp;"",""))</f>
        <v/>
      </c>
      <c r="K1132" s="19">
        <f>IF(I1132="Gasto",IF(IFERROR(INDEX(catClas,MATCH(D1132,catNom,0))&amp;"","")="","Variable",IFERROR(INDEX(catClas,MATCH(D1132,catNom,0))&amp;"","")),"")</f>
        <v/>
      </c>
      <c r="L1132" s="19">
        <f>IF(I1132="","",IFERROR(INDEX(catAlim,MATCH(D1132,catNom,0))&amp;"",""))</f>
        <v/>
      </c>
      <c r="M1132" s="19">
        <f>IF(I1132="","",IFERROR(INDEX(catComida,MATCH(D1132,catNom,0))&amp;"",""))</f>
        <v/>
      </c>
      <c r="N1132" s="19">
        <f>IF(I1132="","",IFERROR(INDEX(ctaMon,MATCH(E1132,ctaNom,0))&amp;"","DOP"))</f>
        <v/>
      </c>
      <c r="O1132" s="20">
        <f>IF(I1132="","",C1132*IF(N1132="USD",TasaUSD,1))</f>
        <v/>
      </c>
      <c r="P1132" s="20">
        <f>IF(I1132="","",IF(I1132="Gasto",O1132,0))</f>
        <v/>
      </c>
      <c r="Q1132" s="20">
        <f>IF(I1132="","",IF(I1132="Ingreso",O1132,0))</f>
        <v/>
      </c>
      <c r="R1132" s="20">
        <f>IF(I1132="","",IF(I1132="Trading",O1132,0))</f>
        <v/>
      </c>
      <c r="S1132" s="19">
        <f>IF(I1132="","",IF(AND(I1132="Gasto",K1132="Variable",J1132&lt;&gt;"Trading",O1132&gt;0,O1132&lt;=Umbral),1,0))</f>
        <v/>
      </c>
      <c r="T1132" s="20">
        <f>IF(OR(I1132="",E1132=""),"",IF(OR(I1132="Gasto",I1132="Transferencia",I1132="Pago tarjeta"),-1,1)*C1132)</f>
        <v/>
      </c>
      <c r="U1132" s="20">
        <f>IF(OR(G1132="",AND(I1132&lt;&gt;"Transferencia",I1132&lt;&gt;"Pago tarjeta")),"",IF(IFERROR(INDEX(ctaMon,MATCH(G1132,ctaNom,0))&amp;"","DOP")=N1132,C1132,IF(N1132="USD",C1132*TasaUSD,C1132/TasaUSD)))</f>
        <v/>
      </c>
      <c r="V1132" s="20">
        <f>IF(I1132="","",IF(IFERROR(INDEX(ctaLiq,MATCH(E1132,ctaNom,0))="Sí",FALSE),IF(OR(I1132="Gasto",I1132="Transferencia",I1132="Pago tarjeta"),-1,1)*O1132,0)+IF(AND(U1132&lt;&gt;"",IFERROR(INDEX(ctaLiq,MATCH(G1132,ctaNom,0))="Sí",FALSE)),O1132,0))</f>
        <v/>
      </c>
      <c r="W1132" s="19">
        <f>IF(OR(F1132="",I1132=""),"",IF(COUNTIFS(F$6:F1132,F1132,I$6:I1132,"?*")=1,MAX(W$5:W1131)+1,""))</f>
        <v/>
      </c>
    </row>
    <row r="1133">
      <c r="B1133" s="15" t="n"/>
      <c r="C1133" s="16" t="n"/>
      <c r="D1133" s="17" t="n"/>
      <c r="E1133" s="17" t="n"/>
      <c r="F1133" s="17" t="n"/>
      <c r="G1133" s="17" t="n"/>
      <c r="H1133" s="18">
        <f>IF(AND(B1133="",C1133="",D1133="",E1133=""),"",IF(B1133="","⚠ Falta fecha",IF(C1133="","⚠ Falta monto",IF(D1133="","⚠ Falta categoría",IF(ISNA(MATCH(D1133,catNom,0)),"⚠ Categoría no existe",IF(E1133="","⚠ Falta cuenta",IF(ISNA(MATCH(E1133,ctaNom,0)),"⚠ Cuenta no existe",IF(AND(OR(I1133="Transferencia",I1133="Pago tarjeta"),G1133=""),"⚠ Indica la cuenta «Hacia»",IF(AND(G1133&lt;&gt;"",G1133=E1133),"⚠ «Hacia» igual a la cuenta",IF(AND(G1133&lt;&gt;"",ISNA(MATCH(G1133,ctaNom,0))),"⚠ «Hacia» no existe",IF(AND(I1133="Pago tarjeta",IFERROR(INDEX(ctaTipo,MATCH(G1133,ctaNom,0)),"")&lt;&gt;"Tarjeta de crédito"),"⚠ «Hacia» debe ser la tarjeta",IF(AND(I1133="Trading",IFERROR(INDEX(ctaTipo,MATCH(E1133,ctaNom,0)),"")&lt;&gt;"Cuenta de trading"),"⚠ Usa la cuenta de trading","✓"))))))))))))</f>
        <v/>
      </c>
      <c r="I1133" s="19">
        <f>IF(OR(B1133="",C1133="",D1133=""),"",IFERROR(INDEX(catTipo,MATCH(D1133,catNom,0))&amp;"",""))</f>
        <v/>
      </c>
      <c r="J1133" s="19">
        <f>IF(I1133="","",IFERROR(INDEX(catGrupo,MATCH(D1133,catNom,0))&amp;"",""))</f>
        <v/>
      </c>
      <c r="K1133" s="19">
        <f>IF(I1133="Gasto",IF(IFERROR(INDEX(catClas,MATCH(D1133,catNom,0))&amp;"","")="","Variable",IFERROR(INDEX(catClas,MATCH(D1133,catNom,0))&amp;"","")),"")</f>
        <v/>
      </c>
      <c r="L1133" s="19">
        <f>IF(I1133="","",IFERROR(INDEX(catAlim,MATCH(D1133,catNom,0))&amp;"",""))</f>
        <v/>
      </c>
      <c r="M1133" s="19">
        <f>IF(I1133="","",IFERROR(INDEX(catComida,MATCH(D1133,catNom,0))&amp;"",""))</f>
        <v/>
      </c>
      <c r="N1133" s="19">
        <f>IF(I1133="","",IFERROR(INDEX(ctaMon,MATCH(E1133,ctaNom,0))&amp;"","DOP"))</f>
        <v/>
      </c>
      <c r="O1133" s="20">
        <f>IF(I1133="","",C1133*IF(N1133="USD",TasaUSD,1))</f>
        <v/>
      </c>
      <c r="P1133" s="20">
        <f>IF(I1133="","",IF(I1133="Gasto",O1133,0))</f>
        <v/>
      </c>
      <c r="Q1133" s="20">
        <f>IF(I1133="","",IF(I1133="Ingreso",O1133,0))</f>
        <v/>
      </c>
      <c r="R1133" s="20">
        <f>IF(I1133="","",IF(I1133="Trading",O1133,0))</f>
        <v/>
      </c>
      <c r="S1133" s="19">
        <f>IF(I1133="","",IF(AND(I1133="Gasto",K1133="Variable",J1133&lt;&gt;"Trading",O1133&gt;0,O1133&lt;=Umbral),1,0))</f>
        <v/>
      </c>
      <c r="T1133" s="20">
        <f>IF(OR(I1133="",E1133=""),"",IF(OR(I1133="Gasto",I1133="Transferencia",I1133="Pago tarjeta"),-1,1)*C1133)</f>
        <v/>
      </c>
      <c r="U1133" s="20">
        <f>IF(OR(G1133="",AND(I1133&lt;&gt;"Transferencia",I1133&lt;&gt;"Pago tarjeta")),"",IF(IFERROR(INDEX(ctaMon,MATCH(G1133,ctaNom,0))&amp;"","DOP")=N1133,C1133,IF(N1133="USD",C1133*TasaUSD,C1133/TasaUSD)))</f>
        <v/>
      </c>
      <c r="V1133" s="20">
        <f>IF(I1133="","",IF(IFERROR(INDEX(ctaLiq,MATCH(E1133,ctaNom,0))="Sí",FALSE),IF(OR(I1133="Gasto",I1133="Transferencia",I1133="Pago tarjeta"),-1,1)*O1133,0)+IF(AND(U1133&lt;&gt;"",IFERROR(INDEX(ctaLiq,MATCH(G1133,ctaNom,0))="Sí",FALSE)),O1133,0))</f>
        <v/>
      </c>
      <c r="W1133" s="19">
        <f>IF(OR(F1133="",I1133=""),"",IF(COUNTIFS(F$6:F1133,F1133,I$6:I1133,"?*")=1,MAX(W$5:W1132)+1,""))</f>
        <v/>
      </c>
    </row>
    <row r="1134">
      <c r="B1134" s="15" t="n"/>
      <c r="C1134" s="16" t="n"/>
      <c r="D1134" s="17" t="n"/>
      <c r="E1134" s="17" t="n"/>
      <c r="F1134" s="17" t="n"/>
      <c r="G1134" s="17" t="n"/>
      <c r="H1134" s="18">
        <f>IF(AND(B1134="",C1134="",D1134="",E1134=""),"",IF(B1134="","⚠ Falta fecha",IF(C1134="","⚠ Falta monto",IF(D1134="","⚠ Falta categoría",IF(ISNA(MATCH(D1134,catNom,0)),"⚠ Categoría no existe",IF(E1134="","⚠ Falta cuenta",IF(ISNA(MATCH(E1134,ctaNom,0)),"⚠ Cuenta no existe",IF(AND(OR(I1134="Transferencia",I1134="Pago tarjeta"),G1134=""),"⚠ Indica la cuenta «Hacia»",IF(AND(G1134&lt;&gt;"",G1134=E1134),"⚠ «Hacia» igual a la cuenta",IF(AND(G1134&lt;&gt;"",ISNA(MATCH(G1134,ctaNom,0))),"⚠ «Hacia» no existe",IF(AND(I1134="Pago tarjeta",IFERROR(INDEX(ctaTipo,MATCH(G1134,ctaNom,0)),"")&lt;&gt;"Tarjeta de crédito"),"⚠ «Hacia» debe ser la tarjeta",IF(AND(I1134="Trading",IFERROR(INDEX(ctaTipo,MATCH(E1134,ctaNom,0)),"")&lt;&gt;"Cuenta de trading"),"⚠ Usa la cuenta de trading","✓"))))))))))))</f>
        <v/>
      </c>
      <c r="I1134" s="19">
        <f>IF(OR(B1134="",C1134="",D1134=""),"",IFERROR(INDEX(catTipo,MATCH(D1134,catNom,0))&amp;"",""))</f>
        <v/>
      </c>
      <c r="J1134" s="19">
        <f>IF(I1134="","",IFERROR(INDEX(catGrupo,MATCH(D1134,catNom,0))&amp;"",""))</f>
        <v/>
      </c>
      <c r="K1134" s="19">
        <f>IF(I1134="Gasto",IF(IFERROR(INDEX(catClas,MATCH(D1134,catNom,0))&amp;"","")="","Variable",IFERROR(INDEX(catClas,MATCH(D1134,catNom,0))&amp;"","")),"")</f>
        <v/>
      </c>
      <c r="L1134" s="19">
        <f>IF(I1134="","",IFERROR(INDEX(catAlim,MATCH(D1134,catNom,0))&amp;"",""))</f>
        <v/>
      </c>
      <c r="M1134" s="19">
        <f>IF(I1134="","",IFERROR(INDEX(catComida,MATCH(D1134,catNom,0))&amp;"",""))</f>
        <v/>
      </c>
      <c r="N1134" s="19">
        <f>IF(I1134="","",IFERROR(INDEX(ctaMon,MATCH(E1134,ctaNom,0))&amp;"","DOP"))</f>
        <v/>
      </c>
      <c r="O1134" s="20">
        <f>IF(I1134="","",C1134*IF(N1134="USD",TasaUSD,1))</f>
        <v/>
      </c>
      <c r="P1134" s="20">
        <f>IF(I1134="","",IF(I1134="Gasto",O1134,0))</f>
        <v/>
      </c>
      <c r="Q1134" s="20">
        <f>IF(I1134="","",IF(I1134="Ingreso",O1134,0))</f>
        <v/>
      </c>
      <c r="R1134" s="20">
        <f>IF(I1134="","",IF(I1134="Trading",O1134,0))</f>
        <v/>
      </c>
      <c r="S1134" s="19">
        <f>IF(I1134="","",IF(AND(I1134="Gasto",K1134="Variable",J1134&lt;&gt;"Trading",O1134&gt;0,O1134&lt;=Umbral),1,0))</f>
        <v/>
      </c>
      <c r="T1134" s="20">
        <f>IF(OR(I1134="",E1134=""),"",IF(OR(I1134="Gasto",I1134="Transferencia",I1134="Pago tarjeta"),-1,1)*C1134)</f>
        <v/>
      </c>
      <c r="U1134" s="20">
        <f>IF(OR(G1134="",AND(I1134&lt;&gt;"Transferencia",I1134&lt;&gt;"Pago tarjeta")),"",IF(IFERROR(INDEX(ctaMon,MATCH(G1134,ctaNom,0))&amp;"","DOP")=N1134,C1134,IF(N1134="USD",C1134*TasaUSD,C1134/TasaUSD)))</f>
        <v/>
      </c>
      <c r="V1134" s="20">
        <f>IF(I1134="","",IF(IFERROR(INDEX(ctaLiq,MATCH(E1134,ctaNom,0))="Sí",FALSE),IF(OR(I1134="Gasto",I1134="Transferencia",I1134="Pago tarjeta"),-1,1)*O1134,0)+IF(AND(U1134&lt;&gt;"",IFERROR(INDEX(ctaLiq,MATCH(G1134,ctaNom,0))="Sí",FALSE)),O1134,0))</f>
        <v/>
      </c>
      <c r="W1134" s="19">
        <f>IF(OR(F1134="",I1134=""),"",IF(COUNTIFS(F$6:F1134,F1134,I$6:I1134,"?*")=1,MAX(W$5:W1133)+1,""))</f>
        <v/>
      </c>
    </row>
    <row r="1135">
      <c r="B1135" s="15" t="n"/>
      <c r="C1135" s="16" t="n"/>
      <c r="D1135" s="17" t="n"/>
      <c r="E1135" s="17" t="n"/>
      <c r="F1135" s="17" t="n"/>
      <c r="G1135" s="17" t="n"/>
      <c r="H1135" s="18">
        <f>IF(AND(B1135="",C1135="",D1135="",E1135=""),"",IF(B1135="","⚠ Falta fecha",IF(C1135="","⚠ Falta monto",IF(D1135="","⚠ Falta categoría",IF(ISNA(MATCH(D1135,catNom,0)),"⚠ Categoría no existe",IF(E1135="","⚠ Falta cuenta",IF(ISNA(MATCH(E1135,ctaNom,0)),"⚠ Cuenta no existe",IF(AND(OR(I1135="Transferencia",I1135="Pago tarjeta"),G1135=""),"⚠ Indica la cuenta «Hacia»",IF(AND(G1135&lt;&gt;"",G1135=E1135),"⚠ «Hacia» igual a la cuenta",IF(AND(G1135&lt;&gt;"",ISNA(MATCH(G1135,ctaNom,0))),"⚠ «Hacia» no existe",IF(AND(I1135="Pago tarjeta",IFERROR(INDEX(ctaTipo,MATCH(G1135,ctaNom,0)),"")&lt;&gt;"Tarjeta de crédito"),"⚠ «Hacia» debe ser la tarjeta",IF(AND(I1135="Trading",IFERROR(INDEX(ctaTipo,MATCH(E1135,ctaNom,0)),"")&lt;&gt;"Cuenta de trading"),"⚠ Usa la cuenta de trading","✓"))))))))))))</f>
        <v/>
      </c>
      <c r="I1135" s="19">
        <f>IF(OR(B1135="",C1135="",D1135=""),"",IFERROR(INDEX(catTipo,MATCH(D1135,catNom,0))&amp;"",""))</f>
        <v/>
      </c>
      <c r="J1135" s="19">
        <f>IF(I1135="","",IFERROR(INDEX(catGrupo,MATCH(D1135,catNom,0))&amp;"",""))</f>
        <v/>
      </c>
      <c r="K1135" s="19">
        <f>IF(I1135="Gasto",IF(IFERROR(INDEX(catClas,MATCH(D1135,catNom,0))&amp;"","")="","Variable",IFERROR(INDEX(catClas,MATCH(D1135,catNom,0))&amp;"","")),"")</f>
        <v/>
      </c>
      <c r="L1135" s="19">
        <f>IF(I1135="","",IFERROR(INDEX(catAlim,MATCH(D1135,catNom,0))&amp;"",""))</f>
        <v/>
      </c>
      <c r="M1135" s="19">
        <f>IF(I1135="","",IFERROR(INDEX(catComida,MATCH(D1135,catNom,0))&amp;"",""))</f>
        <v/>
      </c>
      <c r="N1135" s="19">
        <f>IF(I1135="","",IFERROR(INDEX(ctaMon,MATCH(E1135,ctaNom,0))&amp;"","DOP"))</f>
        <v/>
      </c>
      <c r="O1135" s="20">
        <f>IF(I1135="","",C1135*IF(N1135="USD",TasaUSD,1))</f>
        <v/>
      </c>
      <c r="P1135" s="20">
        <f>IF(I1135="","",IF(I1135="Gasto",O1135,0))</f>
        <v/>
      </c>
      <c r="Q1135" s="20">
        <f>IF(I1135="","",IF(I1135="Ingreso",O1135,0))</f>
        <v/>
      </c>
      <c r="R1135" s="20">
        <f>IF(I1135="","",IF(I1135="Trading",O1135,0))</f>
        <v/>
      </c>
      <c r="S1135" s="19">
        <f>IF(I1135="","",IF(AND(I1135="Gasto",K1135="Variable",J1135&lt;&gt;"Trading",O1135&gt;0,O1135&lt;=Umbral),1,0))</f>
        <v/>
      </c>
      <c r="T1135" s="20">
        <f>IF(OR(I1135="",E1135=""),"",IF(OR(I1135="Gasto",I1135="Transferencia",I1135="Pago tarjeta"),-1,1)*C1135)</f>
        <v/>
      </c>
      <c r="U1135" s="20">
        <f>IF(OR(G1135="",AND(I1135&lt;&gt;"Transferencia",I1135&lt;&gt;"Pago tarjeta")),"",IF(IFERROR(INDEX(ctaMon,MATCH(G1135,ctaNom,0))&amp;"","DOP")=N1135,C1135,IF(N1135="USD",C1135*TasaUSD,C1135/TasaUSD)))</f>
        <v/>
      </c>
      <c r="V1135" s="20">
        <f>IF(I1135="","",IF(IFERROR(INDEX(ctaLiq,MATCH(E1135,ctaNom,0))="Sí",FALSE),IF(OR(I1135="Gasto",I1135="Transferencia",I1135="Pago tarjeta"),-1,1)*O1135,0)+IF(AND(U1135&lt;&gt;"",IFERROR(INDEX(ctaLiq,MATCH(G1135,ctaNom,0))="Sí",FALSE)),O1135,0))</f>
        <v/>
      </c>
      <c r="W1135" s="19">
        <f>IF(OR(F1135="",I1135=""),"",IF(COUNTIFS(F$6:F1135,F1135,I$6:I1135,"?*")=1,MAX(W$5:W1134)+1,""))</f>
        <v/>
      </c>
    </row>
    <row r="1136">
      <c r="B1136" s="15" t="n"/>
      <c r="C1136" s="16" t="n"/>
      <c r="D1136" s="17" t="n"/>
      <c r="E1136" s="17" t="n"/>
      <c r="F1136" s="17" t="n"/>
      <c r="G1136" s="17" t="n"/>
      <c r="H1136" s="18">
        <f>IF(AND(B1136="",C1136="",D1136="",E1136=""),"",IF(B1136="","⚠ Falta fecha",IF(C1136="","⚠ Falta monto",IF(D1136="","⚠ Falta categoría",IF(ISNA(MATCH(D1136,catNom,0)),"⚠ Categoría no existe",IF(E1136="","⚠ Falta cuenta",IF(ISNA(MATCH(E1136,ctaNom,0)),"⚠ Cuenta no existe",IF(AND(OR(I1136="Transferencia",I1136="Pago tarjeta"),G1136=""),"⚠ Indica la cuenta «Hacia»",IF(AND(G1136&lt;&gt;"",G1136=E1136),"⚠ «Hacia» igual a la cuenta",IF(AND(G1136&lt;&gt;"",ISNA(MATCH(G1136,ctaNom,0))),"⚠ «Hacia» no existe",IF(AND(I1136="Pago tarjeta",IFERROR(INDEX(ctaTipo,MATCH(G1136,ctaNom,0)),"")&lt;&gt;"Tarjeta de crédito"),"⚠ «Hacia» debe ser la tarjeta",IF(AND(I1136="Trading",IFERROR(INDEX(ctaTipo,MATCH(E1136,ctaNom,0)),"")&lt;&gt;"Cuenta de trading"),"⚠ Usa la cuenta de trading","✓"))))))))))))</f>
        <v/>
      </c>
      <c r="I1136" s="19">
        <f>IF(OR(B1136="",C1136="",D1136=""),"",IFERROR(INDEX(catTipo,MATCH(D1136,catNom,0))&amp;"",""))</f>
        <v/>
      </c>
      <c r="J1136" s="19">
        <f>IF(I1136="","",IFERROR(INDEX(catGrupo,MATCH(D1136,catNom,0))&amp;"",""))</f>
        <v/>
      </c>
      <c r="K1136" s="19">
        <f>IF(I1136="Gasto",IF(IFERROR(INDEX(catClas,MATCH(D1136,catNom,0))&amp;"","")="","Variable",IFERROR(INDEX(catClas,MATCH(D1136,catNom,0))&amp;"","")),"")</f>
        <v/>
      </c>
      <c r="L1136" s="19">
        <f>IF(I1136="","",IFERROR(INDEX(catAlim,MATCH(D1136,catNom,0))&amp;"",""))</f>
        <v/>
      </c>
      <c r="M1136" s="19">
        <f>IF(I1136="","",IFERROR(INDEX(catComida,MATCH(D1136,catNom,0))&amp;"",""))</f>
        <v/>
      </c>
      <c r="N1136" s="19">
        <f>IF(I1136="","",IFERROR(INDEX(ctaMon,MATCH(E1136,ctaNom,0))&amp;"","DOP"))</f>
        <v/>
      </c>
      <c r="O1136" s="20">
        <f>IF(I1136="","",C1136*IF(N1136="USD",TasaUSD,1))</f>
        <v/>
      </c>
      <c r="P1136" s="20">
        <f>IF(I1136="","",IF(I1136="Gasto",O1136,0))</f>
        <v/>
      </c>
      <c r="Q1136" s="20">
        <f>IF(I1136="","",IF(I1136="Ingreso",O1136,0))</f>
        <v/>
      </c>
      <c r="R1136" s="20">
        <f>IF(I1136="","",IF(I1136="Trading",O1136,0))</f>
        <v/>
      </c>
      <c r="S1136" s="19">
        <f>IF(I1136="","",IF(AND(I1136="Gasto",K1136="Variable",J1136&lt;&gt;"Trading",O1136&gt;0,O1136&lt;=Umbral),1,0))</f>
        <v/>
      </c>
      <c r="T1136" s="20">
        <f>IF(OR(I1136="",E1136=""),"",IF(OR(I1136="Gasto",I1136="Transferencia",I1136="Pago tarjeta"),-1,1)*C1136)</f>
        <v/>
      </c>
      <c r="U1136" s="20">
        <f>IF(OR(G1136="",AND(I1136&lt;&gt;"Transferencia",I1136&lt;&gt;"Pago tarjeta")),"",IF(IFERROR(INDEX(ctaMon,MATCH(G1136,ctaNom,0))&amp;"","DOP")=N1136,C1136,IF(N1136="USD",C1136*TasaUSD,C1136/TasaUSD)))</f>
        <v/>
      </c>
      <c r="V1136" s="20">
        <f>IF(I1136="","",IF(IFERROR(INDEX(ctaLiq,MATCH(E1136,ctaNom,0))="Sí",FALSE),IF(OR(I1136="Gasto",I1136="Transferencia",I1136="Pago tarjeta"),-1,1)*O1136,0)+IF(AND(U1136&lt;&gt;"",IFERROR(INDEX(ctaLiq,MATCH(G1136,ctaNom,0))="Sí",FALSE)),O1136,0))</f>
        <v/>
      </c>
      <c r="W1136" s="19">
        <f>IF(OR(F1136="",I1136=""),"",IF(COUNTIFS(F$6:F1136,F1136,I$6:I1136,"?*")=1,MAX(W$5:W1135)+1,""))</f>
        <v/>
      </c>
    </row>
    <row r="1137">
      <c r="B1137" s="15" t="n"/>
      <c r="C1137" s="16" t="n"/>
      <c r="D1137" s="17" t="n"/>
      <c r="E1137" s="17" t="n"/>
      <c r="F1137" s="17" t="n"/>
      <c r="G1137" s="17" t="n"/>
      <c r="H1137" s="18">
        <f>IF(AND(B1137="",C1137="",D1137="",E1137=""),"",IF(B1137="","⚠ Falta fecha",IF(C1137="","⚠ Falta monto",IF(D1137="","⚠ Falta categoría",IF(ISNA(MATCH(D1137,catNom,0)),"⚠ Categoría no existe",IF(E1137="","⚠ Falta cuenta",IF(ISNA(MATCH(E1137,ctaNom,0)),"⚠ Cuenta no existe",IF(AND(OR(I1137="Transferencia",I1137="Pago tarjeta"),G1137=""),"⚠ Indica la cuenta «Hacia»",IF(AND(G1137&lt;&gt;"",G1137=E1137),"⚠ «Hacia» igual a la cuenta",IF(AND(G1137&lt;&gt;"",ISNA(MATCH(G1137,ctaNom,0))),"⚠ «Hacia» no existe",IF(AND(I1137="Pago tarjeta",IFERROR(INDEX(ctaTipo,MATCH(G1137,ctaNom,0)),"")&lt;&gt;"Tarjeta de crédito"),"⚠ «Hacia» debe ser la tarjeta",IF(AND(I1137="Trading",IFERROR(INDEX(ctaTipo,MATCH(E1137,ctaNom,0)),"")&lt;&gt;"Cuenta de trading"),"⚠ Usa la cuenta de trading","✓"))))))))))))</f>
        <v/>
      </c>
      <c r="I1137" s="19">
        <f>IF(OR(B1137="",C1137="",D1137=""),"",IFERROR(INDEX(catTipo,MATCH(D1137,catNom,0))&amp;"",""))</f>
        <v/>
      </c>
      <c r="J1137" s="19">
        <f>IF(I1137="","",IFERROR(INDEX(catGrupo,MATCH(D1137,catNom,0))&amp;"",""))</f>
        <v/>
      </c>
      <c r="K1137" s="19">
        <f>IF(I1137="Gasto",IF(IFERROR(INDEX(catClas,MATCH(D1137,catNom,0))&amp;"","")="","Variable",IFERROR(INDEX(catClas,MATCH(D1137,catNom,0))&amp;"","")),"")</f>
        <v/>
      </c>
      <c r="L1137" s="19">
        <f>IF(I1137="","",IFERROR(INDEX(catAlim,MATCH(D1137,catNom,0))&amp;"",""))</f>
        <v/>
      </c>
      <c r="M1137" s="19">
        <f>IF(I1137="","",IFERROR(INDEX(catComida,MATCH(D1137,catNom,0))&amp;"",""))</f>
        <v/>
      </c>
      <c r="N1137" s="19">
        <f>IF(I1137="","",IFERROR(INDEX(ctaMon,MATCH(E1137,ctaNom,0))&amp;"","DOP"))</f>
        <v/>
      </c>
      <c r="O1137" s="20">
        <f>IF(I1137="","",C1137*IF(N1137="USD",TasaUSD,1))</f>
        <v/>
      </c>
      <c r="P1137" s="20">
        <f>IF(I1137="","",IF(I1137="Gasto",O1137,0))</f>
        <v/>
      </c>
      <c r="Q1137" s="20">
        <f>IF(I1137="","",IF(I1137="Ingreso",O1137,0))</f>
        <v/>
      </c>
      <c r="R1137" s="20">
        <f>IF(I1137="","",IF(I1137="Trading",O1137,0))</f>
        <v/>
      </c>
      <c r="S1137" s="19">
        <f>IF(I1137="","",IF(AND(I1137="Gasto",K1137="Variable",J1137&lt;&gt;"Trading",O1137&gt;0,O1137&lt;=Umbral),1,0))</f>
        <v/>
      </c>
      <c r="T1137" s="20">
        <f>IF(OR(I1137="",E1137=""),"",IF(OR(I1137="Gasto",I1137="Transferencia",I1137="Pago tarjeta"),-1,1)*C1137)</f>
        <v/>
      </c>
      <c r="U1137" s="20">
        <f>IF(OR(G1137="",AND(I1137&lt;&gt;"Transferencia",I1137&lt;&gt;"Pago tarjeta")),"",IF(IFERROR(INDEX(ctaMon,MATCH(G1137,ctaNom,0))&amp;"","DOP")=N1137,C1137,IF(N1137="USD",C1137*TasaUSD,C1137/TasaUSD)))</f>
        <v/>
      </c>
      <c r="V1137" s="20">
        <f>IF(I1137="","",IF(IFERROR(INDEX(ctaLiq,MATCH(E1137,ctaNom,0))="Sí",FALSE),IF(OR(I1137="Gasto",I1137="Transferencia",I1137="Pago tarjeta"),-1,1)*O1137,0)+IF(AND(U1137&lt;&gt;"",IFERROR(INDEX(ctaLiq,MATCH(G1137,ctaNom,0))="Sí",FALSE)),O1137,0))</f>
        <v/>
      </c>
      <c r="W1137" s="19">
        <f>IF(OR(F1137="",I1137=""),"",IF(COUNTIFS(F$6:F1137,F1137,I$6:I1137,"?*")=1,MAX(W$5:W1136)+1,""))</f>
        <v/>
      </c>
    </row>
    <row r="1138">
      <c r="B1138" s="15" t="n"/>
      <c r="C1138" s="16" t="n"/>
      <c r="D1138" s="17" t="n"/>
      <c r="E1138" s="17" t="n"/>
      <c r="F1138" s="17" t="n"/>
      <c r="G1138" s="17" t="n"/>
      <c r="H1138" s="18">
        <f>IF(AND(B1138="",C1138="",D1138="",E1138=""),"",IF(B1138="","⚠ Falta fecha",IF(C1138="","⚠ Falta monto",IF(D1138="","⚠ Falta categoría",IF(ISNA(MATCH(D1138,catNom,0)),"⚠ Categoría no existe",IF(E1138="","⚠ Falta cuenta",IF(ISNA(MATCH(E1138,ctaNom,0)),"⚠ Cuenta no existe",IF(AND(OR(I1138="Transferencia",I1138="Pago tarjeta"),G1138=""),"⚠ Indica la cuenta «Hacia»",IF(AND(G1138&lt;&gt;"",G1138=E1138),"⚠ «Hacia» igual a la cuenta",IF(AND(G1138&lt;&gt;"",ISNA(MATCH(G1138,ctaNom,0))),"⚠ «Hacia» no existe",IF(AND(I1138="Pago tarjeta",IFERROR(INDEX(ctaTipo,MATCH(G1138,ctaNom,0)),"")&lt;&gt;"Tarjeta de crédito"),"⚠ «Hacia» debe ser la tarjeta",IF(AND(I1138="Trading",IFERROR(INDEX(ctaTipo,MATCH(E1138,ctaNom,0)),"")&lt;&gt;"Cuenta de trading"),"⚠ Usa la cuenta de trading","✓"))))))))))))</f>
        <v/>
      </c>
      <c r="I1138" s="19">
        <f>IF(OR(B1138="",C1138="",D1138=""),"",IFERROR(INDEX(catTipo,MATCH(D1138,catNom,0))&amp;"",""))</f>
        <v/>
      </c>
      <c r="J1138" s="19">
        <f>IF(I1138="","",IFERROR(INDEX(catGrupo,MATCH(D1138,catNom,0))&amp;"",""))</f>
        <v/>
      </c>
      <c r="K1138" s="19">
        <f>IF(I1138="Gasto",IF(IFERROR(INDEX(catClas,MATCH(D1138,catNom,0))&amp;"","")="","Variable",IFERROR(INDEX(catClas,MATCH(D1138,catNom,0))&amp;"","")),"")</f>
        <v/>
      </c>
      <c r="L1138" s="19">
        <f>IF(I1138="","",IFERROR(INDEX(catAlim,MATCH(D1138,catNom,0))&amp;"",""))</f>
        <v/>
      </c>
      <c r="M1138" s="19">
        <f>IF(I1138="","",IFERROR(INDEX(catComida,MATCH(D1138,catNom,0))&amp;"",""))</f>
        <v/>
      </c>
      <c r="N1138" s="19">
        <f>IF(I1138="","",IFERROR(INDEX(ctaMon,MATCH(E1138,ctaNom,0))&amp;"","DOP"))</f>
        <v/>
      </c>
      <c r="O1138" s="20">
        <f>IF(I1138="","",C1138*IF(N1138="USD",TasaUSD,1))</f>
        <v/>
      </c>
      <c r="P1138" s="20">
        <f>IF(I1138="","",IF(I1138="Gasto",O1138,0))</f>
        <v/>
      </c>
      <c r="Q1138" s="20">
        <f>IF(I1138="","",IF(I1138="Ingreso",O1138,0))</f>
        <v/>
      </c>
      <c r="R1138" s="20">
        <f>IF(I1138="","",IF(I1138="Trading",O1138,0))</f>
        <v/>
      </c>
      <c r="S1138" s="19">
        <f>IF(I1138="","",IF(AND(I1138="Gasto",K1138="Variable",J1138&lt;&gt;"Trading",O1138&gt;0,O1138&lt;=Umbral),1,0))</f>
        <v/>
      </c>
      <c r="T1138" s="20">
        <f>IF(OR(I1138="",E1138=""),"",IF(OR(I1138="Gasto",I1138="Transferencia",I1138="Pago tarjeta"),-1,1)*C1138)</f>
        <v/>
      </c>
      <c r="U1138" s="20">
        <f>IF(OR(G1138="",AND(I1138&lt;&gt;"Transferencia",I1138&lt;&gt;"Pago tarjeta")),"",IF(IFERROR(INDEX(ctaMon,MATCH(G1138,ctaNom,0))&amp;"","DOP")=N1138,C1138,IF(N1138="USD",C1138*TasaUSD,C1138/TasaUSD)))</f>
        <v/>
      </c>
      <c r="V1138" s="20">
        <f>IF(I1138="","",IF(IFERROR(INDEX(ctaLiq,MATCH(E1138,ctaNom,0))="Sí",FALSE),IF(OR(I1138="Gasto",I1138="Transferencia",I1138="Pago tarjeta"),-1,1)*O1138,0)+IF(AND(U1138&lt;&gt;"",IFERROR(INDEX(ctaLiq,MATCH(G1138,ctaNom,0))="Sí",FALSE)),O1138,0))</f>
        <v/>
      </c>
      <c r="W1138" s="19">
        <f>IF(OR(F1138="",I1138=""),"",IF(COUNTIFS(F$6:F1138,F1138,I$6:I1138,"?*")=1,MAX(W$5:W1137)+1,""))</f>
        <v/>
      </c>
    </row>
    <row r="1139">
      <c r="B1139" s="15" t="n"/>
      <c r="C1139" s="16" t="n"/>
      <c r="D1139" s="17" t="n"/>
      <c r="E1139" s="17" t="n"/>
      <c r="F1139" s="17" t="n"/>
      <c r="G1139" s="17" t="n"/>
      <c r="H1139" s="18">
        <f>IF(AND(B1139="",C1139="",D1139="",E1139=""),"",IF(B1139="","⚠ Falta fecha",IF(C1139="","⚠ Falta monto",IF(D1139="","⚠ Falta categoría",IF(ISNA(MATCH(D1139,catNom,0)),"⚠ Categoría no existe",IF(E1139="","⚠ Falta cuenta",IF(ISNA(MATCH(E1139,ctaNom,0)),"⚠ Cuenta no existe",IF(AND(OR(I1139="Transferencia",I1139="Pago tarjeta"),G1139=""),"⚠ Indica la cuenta «Hacia»",IF(AND(G1139&lt;&gt;"",G1139=E1139),"⚠ «Hacia» igual a la cuenta",IF(AND(G1139&lt;&gt;"",ISNA(MATCH(G1139,ctaNom,0))),"⚠ «Hacia» no existe",IF(AND(I1139="Pago tarjeta",IFERROR(INDEX(ctaTipo,MATCH(G1139,ctaNom,0)),"")&lt;&gt;"Tarjeta de crédito"),"⚠ «Hacia» debe ser la tarjeta",IF(AND(I1139="Trading",IFERROR(INDEX(ctaTipo,MATCH(E1139,ctaNom,0)),"")&lt;&gt;"Cuenta de trading"),"⚠ Usa la cuenta de trading","✓"))))))))))))</f>
        <v/>
      </c>
      <c r="I1139" s="19">
        <f>IF(OR(B1139="",C1139="",D1139=""),"",IFERROR(INDEX(catTipo,MATCH(D1139,catNom,0))&amp;"",""))</f>
        <v/>
      </c>
      <c r="J1139" s="19">
        <f>IF(I1139="","",IFERROR(INDEX(catGrupo,MATCH(D1139,catNom,0))&amp;"",""))</f>
        <v/>
      </c>
      <c r="K1139" s="19">
        <f>IF(I1139="Gasto",IF(IFERROR(INDEX(catClas,MATCH(D1139,catNom,0))&amp;"","")="","Variable",IFERROR(INDEX(catClas,MATCH(D1139,catNom,0))&amp;"","")),"")</f>
        <v/>
      </c>
      <c r="L1139" s="19">
        <f>IF(I1139="","",IFERROR(INDEX(catAlim,MATCH(D1139,catNom,0))&amp;"",""))</f>
        <v/>
      </c>
      <c r="M1139" s="19">
        <f>IF(I1139="","",IFERROR(INDEX(catComida,MATCH(D1139,catNom,0))&amp;"",""))</f>
        <v/>
      </c>
      <c r="N1139" s="19">
        <f>IF(I1139="","",IFERROR(INDEX(ctaMon,MATCH(E1139,ctaNom,0))&amp;"","DOP"))</f>
        <v/>
      </c>
      <c r="O1139" s="20">
        <f>IF(I1139="","",C1139*IF(N1139="USD",TasaUSD,1))</f>
        <v/>
      </c>
      <c r="P1139" s="20">
        <f>IF(I1139="","",IF(I1139="Gasto",O1139,0))</f>
        <v/>
      </c>
      <c r="Q1139" s="20">
        <f>IF(I1139="","",IF(I1139="Ingreso",O1139,0))</f>
        <v/>
      </c>
      <c r="R1139" s="20">
        <f>IF(I1139="","",IF(I1139="Trading",O1139,0))</f>
        <v/>
      </c>
      <c r="S1139" s="19">
        <f>IF(I1139="","",IF(AND(I1139="Gasto",K1139="Variable",J1139&lt;&gt;"Trading",O1139&gt;0,O1139&lt;=Umbral),1,0))</f>
        <v/>
      </c>
      <c r="T1139" s="20">
        <f>IF(OR(I1139="",E1139=""),"",IF(OR(I1139="Gasto",I1139="Transferencia",I1139="Pago tarjeta"),-1,1)*C1139)</f>
        <v/>
      </c>
      <c r="U1139" s="20">
        <f>IF(OR(G1139="",AND(I1139&lt;&gt;"Transferencia",I1139&lt;&gt;"Pago tarjeta")),"",IF(IFERROR(INDEX(ctaMon,MATCH(G1139,ctaNom,0))&amp;"","DOP")=N1139,C1139,IF(N1139="USD",C1139*TasaUSD,C1139/TasaUSD)))</f>
        <v/>
      </c>
      <c r="V1139" s="20">
        <f>IF(I1139="","",IF(IFERROR(INDEX(ctaLiq,MATCH(E1139,ctaNom,0))="Sí",FALSE),IF(OR(I1139="Gasto",I1139="Transferencia",I1139="Pago tarjeta"),-1,1)*O1139,0)+IF(AND(U1139&lt;&gt;"",IFERROR(INDEX(ctaLiq,MATCH(G1139,ctaNom,0))="Sí",FALSE)),O1139,0))</f>
        <v/>
      </c>
      <c r="W1139" s="19">
        <f>IF(OR(F1139="",I1139=""),"",IF(COUNTIFS(F$6:F1139,F1139,I$6:I1139,"?*")=1,MAX(W$5:W1138)+1,""))</f>
        <v/>
      </c>
    </row>
    <row r="1140">
      <c r="B1140" s="15" t="n"/>
      <c r="C1140" s="16" t="n"/>
      <c r="D1140" s="17" t="n"/>
      <c r="E1140" s="17" t="n"/>
      <c r="F1140" s="17" t="n"/>
      <c r="G1140" s="17" t="n"/>
      <c r="H1140" s="18">
        <f>IF(AND(B1140="",C1140="",D1140="",E1140=""),"",IF(B1140="","⚠ Falta fecha",IF(C1140="","⚠ Falta monto",IF(D1140="","⚠ Falta categoría",IF(ISNA(MATCH(D1140,catNom,0)),"⚠ Categoría no existe",IF(E1140="","⚠ Falta cuenta",IF(ISNA(MATCH(E1140,ctaNom,0)),"⚠ Cuenta no existe",IF(AND(OR(I1140="Transferencia",I1140="Pago tarjeta"),G1140=""),"⚠ Indica la cuenta «Hacia»",IF(AND(G1140&lt;&gt;"",G1140=E1140),"⚠ «Hacia» igual a la cuenta",IF(AND(G1140&lt;&gt;"",ISNA(MATCH(G1140,ctaNom,0))),"⚠ «Hacia» no existe",IF(AND(I1140="Pago tarjeta",IFERROR(INDEX(ctaTipo,MATCH(G1140,ctaNom,0)),"")&lt;&gt;"Tarjeta de crédito"),"⚠ «Hacia» debe ser la tarjeta",IF(AND(I1140="Trading",IFERROR(INDEX(ctaTipo,MATCH(E1140,ctaNom,0)),"")&lt;&gt;"Cuenta de trading"),"⚠ Usa la cuenta de trading","✓"))))))))))))</f>
        <v/>
      </c>
      <c r="I1140" s="19">
        <f>IF(OR(B1140="",C1140="",D1140=""),"",IFERROR(INDEX(catTipo,MATCH(D1140,catNom,0))&amp;"",""))</f>
        <v/>
      </c>
      <c r="J1140" s="19">
        <f>IF(I1140="","",IFERROR(INDEX(catGrupo,MATCH(D1140,catNom,0))&amp;"",""))</f>
        <v/>
      </c>
      <c r="K1140" s="19">
        <f>IF(I1140="Gasto",IF(IFERROR(INDEX(catClas,MATCH(D1140,catNom,0))&amp;"","")="","Variable",IFERROR(INDEX(catClas,MATCH(D1140,catNom,0))&amp;"","")),"")</f>
        <v/>
      </c>
      <c r="L1140" s="19">
        <f>IF(I1140="","",IFERROR(INDEX(catAlim,MATCH(D1140,catNom,0))&amp;"",""))</f>
        <v/>
      </c>
      <c r="M1140" s="19">
        <f>IF(I1140="","",IFERROR(INDEX(catComida,MATCH(D1140,catNom,0))&amp;"",""))</f>
        <v/>
      </c>
      <c r="N1140" s="19">
        <f>IF(I1140="","",IFERROR(INDEX(ctaMon,MATCH(E1140,ctaNom,0))&amp;"","DOP"))</f>
        <v/>
      </c>
      <c r="O1140" s="20">
        <f>IF(I1140="","",C1140*IF(N1140="USD",TasaUSD,1))</f>
        <v/>
      </c>
      <c r="P1140" s="20">
        <f>IF(I1140="","",IF(I1140="Gasto",O1140,0))</f>
        <v/>
      </c>
      <c r="Q1140" s="20">
        <f>IF(I1140="","",IF(I1140="Ingreso",O1140,0))</f>
        <v/>
      </c>
      <c r="R1140" s="20">
        <f>IF(I1140="","",IF(I1140="Trading",O1140,0))</f>
        <v/>
      </c>
      <c r="S1140" s="19">
        <f>IF(I1140="","",IF(AND(I1140="Gasto",K1140="Variable",J1140&lt;&gt;"Trading",O1140&gt;0,O1140&lt;=Umbral),1,0))</f>
        <v/>
      </c>
      <c r="T1140" s="20">
        <f>IF(OR(I1140="",E1140=""),"",IF(OR(I1140="Gasto",I1140="Transferencia",I1140="Pago tarjeta"),-1,1)*C1140)</f>
        <v/>
      </c>
      <c r="U1140" s="20">
        <f>IF(OR(G1140="",AND(I1140&lt;&gt;"Transferencia",I1140&lt;&gt;"Pago tarjeta")),"",IF(IFERROR(INDEX(ctaMon,MATCH(G1140,ctaNom,0))&amp;"","DOP")=N1140,C1140,IF(N1140="USD",C1140*TasaUSD,C1140/TasaUSD)))</f>
        <v/>
      </c>
      <c r="V1140" s="20">
        <f>IF(I1140="","",IF(IFERROR(INDEX(ctaLiq,MATCH(E1140,ctaNom,0))="Sí",FALSE),IF(OR(I1140="Gasto",I1140="Transferencia",I1140="Pago tarjeta"),-1,1)*O1140,0)+IF(AND(U1140&lt;&gt;"",IFERROR(INDEX(ctaLiq,MATCH(G1140,ctaNom,0))="Sí",FALSE)),O1140,0))</f>
        <v/>
      </c>
      <c r="W1140" s="19">
        <f>IF(OR(F1140="",I1140=""),"",IF(COUNTIFS(F$6:F1140,F1140,I$6:I1140,"?*")=1,MAX(W$5:W1139)+1,""))</f>
        <v/>
      </c>
    </row>
    <row r="1141">
      <c r="B1141" s="15" t="n"/>
      <c r="C1141" s="16" t="n"/>
      <c r="D1141" s="17" t="n"/>
      <c r="E1141" s="17" t="n"/>
      <c r="F1141" s="17" t="n"/>
      <c r="G1141" s="17" t="n"/>
      <c r="H1141" s="18">
        <f>IF(AND(B1141="",C1141="",D1141="",E1141=""),"",IF(B1141="","⚠ Falta fecha",IF(C1141="","⚠ Falta monto",IF(D1141="","⚠ Falta categoría",IF(ISNA(MATCH(D1141,catNom,0)),"⚠ Categoría no existe",IF(E1141="","⚠ Falta cuenta",IF(ISNA(MATCH(E1141,ctaNom,0)),"⚠ Cuenta no existe",IF(AND(OR(I1141="Transferencia",I1141="Pago tarjeta"),G1141=""),"⚠ Indica la cuenta «Hacia»",IF(AND(G1141&lt;&gt;"",G1141=E1141),"⚠ «Hacia» igual a la cuenta",IF(AND(G1141&lt;&gt;"",ISNA(MATCH(G1141,ctaNom,0))),"⚠ «Hacia» no existe",IF(AND(I1141="Pago tarjeta",IFERROR(INDEX(ctaTipo,MATCH(G1141,ctaNom,0)),"")&lt;&gt;"Tarjeta de crédito"),"⚠ «Hacia» debe ser la tarjeta",IF(AND(I1141="Trading",IFERROR(INDEX(ctaTipo,MATCH(E1141,ctaNom,0)),"")&lt;&gt;"Cuenta de trading"),"⚠ Usa la cuenta de trading","✓"))))))))))))</f>
        <v/>
      </c>
      <c r="I1141" s="19">
        <f>IF(OR(B1141="",C1141="",D1141=""),"",IFERROR(INDEX(catTipo,MATCH(D1141,catNom,0))&amp;"",""))</f>
        <v/>
      </c>
      <c r="J1141" s="19">
        <f>IF(I1141="","",IFERROR(INDEX(catGrupo,MATCH(D1141,catNom,0))&amp;"",""))</f>
        <v/>
      </c>
      <c r="K1141" s="19">
        <f>IF(I1141="Gasto",IF(IFERROR(INDEX(catClas,MATCH(D1141,catNom,0))&amp;"","")="","Variable",IFERROR(INDEX(catClas,MATCH(D1141,catNom,0))&amp;"","")),"")</f>
        <v/>
      </c>
      <c r="L1141" s="19">
        <f>IF(I1141="","",IFERROR(INDEX(catAlim,MATCH(D1141,catNom,0))&amp;"",""))</f>
        <v/>
      </c>
      <c r="M1141" s="19">
        <f>IF(I1141="","",IFERROR(INDEX(catComida,MATCH(D1141,catNom,0))&amp;"",""))</f>
        <v/>
      </c>
      <c r="N1141" s="19">
        <f>IF(I1141="","",IFERROR(INDEX(ctaMon,MATCH(E1141,ctaNom,0))&amp;"","DOP"))</f>
        <v/>
      </c>
      <c r="O1141" s="20">
        <f>IF(I1141="","",C1141*IF(N1141="USD",TasaUSD,1))</f>
        <v/>
      </c>
      <c r="P1141" s="20">
        <f>IF(I1141="","",IF(I1141="Gasto",O1141,0))</f>
        <v/>
      </c>
      <c r="Q1141" s="20">
        <f>IF(I1141="","",IF(I1141="Ingreso",O1141,0))</f>
        <v/>
      </c>
      <c r="R1141" s="20">
        <f>IF(I1141="","",IF(I1141="Trading",O1141,0))</f>
        <v/>
      </c>
      <c r="S1141" s="19">
        <f>IF(I1141="","",IF(AND(I1141="Gasto",K1141="Variable",J1141&lt;&gt;"Trading",O1141&gt;0,O1141&lt;=Umbral),1,0))</f>
        <v/>
      </c>
      <c r="T1141" s="20">
        <f>IF(OR(I1141="",E1141=""),"",IF(OR(I1141="Gasto",I1141="Transferencia",I1141="Pago tarjeta"),-1,1)*C1141)</f>
        <v/>
      </c>
      <c r="U1141" s="20">
        <f>IF(OR(G1141="",AND(I1141&lt;&gt;"Transferencia",I1141&lt;&gt;"Pago tarjeta")),"",IF(IFERROR(INDEX(ctaMon,MATCH(G1141,ctaNom,0))&amp;"","DOP")=N1141,C1141,IF(N1141="USD",C1141*TasaUSD,C1141/TasaUSD)))</f>
        <v/>
      </c>
      <c r="V1141" s="20">
        <f>IF(I1141="","",IF(IFERROR(INDEX(ctaLiq,MATCH(E1141,ctaNom,0))="Sí",FALSE),IF(OR(I1141="Gasto",I1141="Transferencia",I1141="Pago tarjeta"),-1,1)*O1141,0)+IF(AND(U1141&lt;&gt;"",IFERROR(INDEX(ctaLiq,MATCH(G1141,ctaNom,0))="Sí",FALSE)),O1141,0))</f>
        <v/>
      </c>
      <c r="W1141" s="19">
        <f>IF(OR(F1141="",I1141=""),"",IF(COUNTIFS(F$6:F1141,F1141,I$6:I1141,"?*")=1,MAX(W$5:W1140)+1,""))</f>
        <v/>
      </c>
    </row>
    <row r="1142">
      <c r="B1142" s="15" t="n"/>
      <c r="C1142" s="16" t="n"/>
      <c r="D1142" s="17" t="n"/>
      <c r="E1142" s="17" t="n"/>
      <c r="F1142" s="17" t="n"/>
      <c r="G1142" s="17" t="n"/>
      <c r="H1142" s="18">
        <f>IF(AND(B1142="",C1142="",D1142="",E1142=""),"",IF(B1142="","⚠ Falta fecha",IF(C1142="","⚠ Falta monto",IF(D1142="","⚠ Falta categoría",IF(ISNA(MATCH(D1142,catNom,0)),"⚠ Categoría no existe",IF(E1142="","⚠ Falta cuenta",IF(ISNA(MATCH(E1142,ctaNom,0)),"⚠ Cuenta no existe",IF(AND(OR(I1142="Transferencia",I1142="Pago tarjeta"),G1142=""),"⚠ Indica la cuenta «Hacia»",IF(AND(G1142&lt;&gt;"",G1142=E1142),"⚠ «Hacia» igual a la cuenta",IF(AND(G1142&lt;&gt;"",ISNA(MATCH(G1142,ctaNom,0))),"⚠ «Hacia» no existe",IF(AND(I1142="Pago tarjeta",IFERROR(INDEX(ctaTipo,MATCH(G1142,ctaNom,0)),"")&lt;&gt;"Tarjeta de crédito"),"⚠ «Hacia» debe ser la tarjeta",IF(AND(I1142="Trading",IFERROR(INDEX(ctaTipo,MATCH(E1142,ctaNom,0)),"")&lt;&gt;"Cuenta de trading"),"⚠ Usa la cuenta de trading","✓"))))))))))))</f>
        <v/>
      </c>
      <c r="I1142" s="19">
        <f>IF(OR(B1142="",C1142="",D1142=""),"",IFERROR(INDEX(catTipo,MATCH(D1142,catNom,0))&amp;"",""))</f>
        <v/>
      </c>
      <c r="J1142" s="19">
        <f>IF(I1142="","",IFERROR(INDEX(catGrupo,MATCH(D1142,catNom,0))&amp;"",""))</f>
        <v/>
      </c>
      <c r="K1142" s="19">
        <f>IF(I1142="Gasto",IF(IFERROR(INDEX(catClas,MATCH(D1142,catNom,0))&amp;"","")="","Variable",IFERROR(INDEX(catClas,MATCH(D1142,catNom,0))&amp;"","")),"")</f>
        <v/>
      </c>
      <c r="L1142" s="19">
        <f>IF(I1142="","",IFERROR(INDEX(catAlim,MATCH(D1142,catNom,0))&amp;"",""))</f>
        <v/>
      </c>
      <c r="M1142" s="19">
        <f>IF(I1142="","",IFERROR(INDEX(catComida,MATCH(D1142,catNom,0))&amp;"",""))</f>
        <v/>
      </c>
      <c r="N1142" s="19">
        <f>IF(I1142="","",IFERROR(INDEX(ctaMon,MATCH(E1142,ctaNom,0))&amp;"","DOP"))</f>
        <v/>
      </c>
      <c r="O1142" s="20">
        <f>IF(I1142="","",C1142*IF(N1142="USD",TasaUSD,1))</f>
        <v/>
      </c>
      <c r="P1142" s="20">
        <f>IF(I1142="","",IF(I1142="Gasto",O1142,0))</f>
        <v/>
      </c>
      <c r="Q1142" s="20">
        <f>IF(I1142="","",IF(I1142="Ingreso",O1142,0))</f>
        <v/>
      </c>
      <c r="R1142" s="20">
        <f>IF(I1142="","",IF(I1142="Trading",O1142,0))</f>
        <v/>
      </c>
      <c r="S1142" s="19">
        <f>IF(I1142="","",IF(AND(I1142="Gasto",K1142="Variable",J1142&lt;&gt;"Trading",O1142&gt;0,O1142&lt;=Umbral),1,0))</f>
        <v/>
      </c>
      <c r="T1142" s="20">
        <f>IF(OR(I1142="",E1142=""),"",IF(OR(I1142="Gasto",I1142="Transferencia",I1142="Pago tarjeta"),-1,1)*C1142)</f>
        <v/>
      </c>
      <c r="U1142" s="20">
        <f>IF(OR(G1142="",AND(I1142&lt;&gt;"Transferencia",I1142&lt;&gt;"Pago tarjeta")),"",IF(IFERROR(INDEX(ctaMon,MATCH(G1142,ctaNom,0))&amp;"","DOP")=N1142,C1142,IF(N1142="USD",C1142*TasaUSD,C1142/TasaUSD)))</f>
        <v/>
      </c>
      <c r="V1142" s="20">
        <f>IF(I1142="","",IF(IFERROR(INDEX(ctaLiq,MATCH(E1142,ctaNom,0))="Sí",FALSE),IF(OR(I1142="Gasto",I1142="Transferencia",I1142="Pago tarjeta"),-1,1)*O1142,0)+IF(AND(U1142&lt;&gt;"",IFERROR(INDEX(ctaLiq,MATCH(G1142,ctaNom,0))="Sí",FALSE)),O1142,0))</f>
        <v/>
      </c>
      <c r="W1142" s="19">
        <f>IF(OR(F1142="",I1142=""),"",IF(COUNTIFS(F$6:F1142,F1142,I$6:I1142,"?*")=1,MAX(W$5:W1141)+1,""))</f>
        <v/>
      </c>
    </row>
    <row r="1143">
      <c r="B1143" s="15" t="n"/>
      <c r="C1143" s="16" t="n"/>
      <c r="D1143" s="17" t="n"/>
      <c r="E1143" s="17" t="n"/>
      <c r="F1143" s="17" t="n"/>
      <c r="G1143" s="17" t="n"/>
      <c r="H1143" s="18">
        <f>IF(AND(B1143="",C1143="",D1143="",E1143=""),"",IF(B1143="","⚠ Falta fecha",IF(C1143="","⚠ Falta monto",IF(D1143="","⚠ Falta categoría",IF(ISNA(MATCH(D1143,catNom,0)),"⚠ Categoría no existe",IF(E1143="","⚠ Falta cuenta",IF(ISNA(MATCH(E1143,ctaNom,0)),"⚠ Cuenta no existe",IF(AND(OR(I1143="Transferencia",I1143="Pago tarjeta"),G1143=""),"⚠ Indica la cuenta «Hacia»",IF(AND(G1143&lt;&gt;"",G1143=E1143),"⚠ «Hacia» igual a la cuenta",IF(AND(G1143&lt;&gt;"",ISNA(MATCH(G1143,ctaNom,0))),"⚠ «Hacia» no existe",IF(AND(I1143="Pago tarjeta",IFERROR(INDEX(ctaTipo,MATCH(G1143,ctaNom,0)),"")&lt;&gt;"Tarjeta de crédito"),"⚠ «Hacia» debe ser la tarjeta",IF(AND(I1143="Trading",IFERROR(INDEX(ctaTipo,MATCH(E1143,ctaNom,0)),"")&lt;&gt;"Cuenta de trading"),"⚠ Usa la cuenta de trading","✓"))))))))))))</f>
        <v/>
      </c>
      <c r="I1143" s="19">
        <f>IF(OR(B1143="",C1143="",D1143=""),"",IFERROR(INDEX(catTipo,MATCH(D1143,catNom,0))&amp;"",""))</f>
        <v/>
      </c>
      <c r="J1143" s="19">
        <f>IF(I1143="","",IFERROR(INDEX(catGrupo,MATCH(D1143,catNom,0))&amp;"",""))</f>
        <v/>
      </c>
      <c r="K1143" s="19">
        <f>IF(I1143="Gasto",IF(IFERROR(INDEX(catClas,MATCH(D1143,catNom,0))&amp;"","")="","Variable",IFERROR(INDEX(catClas,MATCH(D1143,catNom,0))&amp;"","")),"")</f>
        <v/>
      </c>
      <c r="L1143" s="19">
        <f>IF(I1143="","",IFERROR(INDEX(catAlim,MATCH(D1143,catNom,0))&amp;"",""))</f>
        <v/>
      </c>
      <c r="M1143" s="19">
        <f>IF(I1143="","",IFERROR(INDEX(catComida,MATCH(D1143,catNom,0))&amp;"",""))</f>
        <v/>
      </c>
      <c r="N1143" s="19">
        <f>IF(I1143="","",IFERROR(INDEX(ctaMon,MATCH(E1143,ctaNom,0))&amp;"","DOP"))</f>
        <v/>
      </c>
      <c r="O1143" s="20">
        <f>IF(I1143="","",C1143*IF(N1143="USD",TasaUSD,1))</f>
        <v/>
      </c>
      <c r="P1143" s="20">
        <f>IF(I1143="","",IF(I1143="Gasto",O1143,0))</f>
        <v/>
      </c>
      <c r="Q1143" s="20">
        <f>IF(I1143="","",IF(I1143="Ingreso",O1143,0))</f>
        <v/>
      </c>
      <c r="R1143" s="20">
        <f>IF(I1143="","",IF(I1143="Trading",O1143,0))</f>
        <v/>
      </c>
      <c r="S1143" s="19">
        <f>IF(I1143="","",IF(AND(I1143="Gasto",K1143="Variable",J1143&lt;&gt;"Trading",O1143&gt;0,O1143&lt;=Umbral),1,0))</f>
        <v/>
      </c>
      <c r="T1143" s="20">
        <f>IF(OR(I1143="",E1143=""),"",IF(OR(I1143="Gasto",I1143="Transferencia",I1143="Pago tarjeta"),-1,1)*C1143)</f>
        <v/>
      </c>
      <c r="U1143" s="20">
        <f>IF(OR(G1143="",AND(I1143&lt;&gt;"Transferencia",I1143&lt;&gt;"Pago tarjeta")),"",IF(IFERROR(INDEX(ctaMon,MATCH(G1143,ctaNom,0))&amp;"","DOP")=N1143,C1143,IF(N1143="USD",C1143*TasaUSD,C1143/TasaUSD)))</f>
        <v/>
      </c>
      <c r="V1143" s="20">
        <f>IF(I1143="","",IF(IFERROR(INDEX(ctaLiq,MATCH(E1143,ctaNom,0))="Sí",FALSE),IF(OR(I1143="Gasto",I1143="Transferencia",I1143="Pago tarjeta"),-1,1)*O1143,0)+IF(AND(U1143&lt;&gt;"",IFERROR(INDEX(ctaLiq,MATCH(G1143,ctaNom,0))="Sí",FALSE)),O1143,0))</f>
        <v/>
      </c>
      <c r="W1143" s="19">
        <f>IF(OR(F1143="",I1143=""),"",IF(COUNTIFS(F$6:F1143,F1143,I$6:I1143,"?*")=1,MAX(W$5:W1142)+1,""))</f>
        <v/>
      </c>
    </row>
    <row r="1144">
      <c r="B1144" s="15" t="n"/>
      <c r="C1144" s="16" t="n"/>
      <c r="D1144" s="17" t="n"/>
      <c r="E1144" s="17" t="n"/>
      <c r="F1144" s="17" t="n"/>
      <c r="G1144" s="17" t="n"/>
      <c r="H1144" s="18">
        <f>IF(AND(B1144="",C1144="",D1144="",E1144=""),"",IF(B1144="","⚠ Falta fecha",IF(C1144="","⚠ Falta monto",IF(D1144="","⚠ Falta categoría",IF(ISNA(MATCH(D1144,catNom,0)),"⚠ Categoría no existe",IF(E1144="","⚠ Falta cuenta",IF(ISNA(MATCH(E1144,ctaNom,0)),"⚠ Cuenta no existe",IF(AND(OR(I1144="Transferencia",I1144="Pago tarjeta"),G1144=""),"⚠ Indica la cuenta «Hacia»",IF(AND(G1144&lt;&gt;"",G1144=E1144),"⚠ «Hacia» igual a la cuenta",IF(AND(G1144&lt;&gt;"",ISNA(MATCH(G1144,ctaNom,0))),"⚠ «Hacia» no existe",IF(AND(I1144="Pago tarjeta",IFERROR(INDEX(ctaTipo,MATCH(G1144,ctaNom,0)),"")&lt;&gt;"Tarjeta de crédito"),"⚠ «Hacia» debe ser la tarjeta",IF(AND(I1144="Trading",IFERROR(INDEX(ctaTipo,MATCH(E1144,ctaNom,0)),"")&lt;&gt;"Cuenta de trading"),"⚠ Usa la cuenta de trading","✓"))))))))))))</f>
        <v/>
      </c>
      <c r="I1144" s="19">
        <f>IF(OR(B1144="",C1144="",D1144=""),"",IFERROR(INDEX(catTipo,MATCH(D1144,catNom,0))&amp;"",""))</f>
        <v/>
      </c>
      <c r="J1144" s="19">
        <f>IF(I1144="","",IFERROR(INDEX(catGrupo,MATCH(D1144,catNom,0))&amp;"",""))</f>
        <v/>
      </c>
      <c r="K1144" s="19">
        <f>IF(I1144="Gasto",IF(IFERROR(INDEX(catClas,MATCH(D1144,catNom,0))&amp;"","")="","Variable",IFERROR(INDEX(catClas,MATCH(D1144,catNom,0))&amp;"","")),"")</f>
        <v/>
      </c>
      <c r="L1144" s="19">
        <f>IF(I1144="","",IFERROR(INDEX(catAlim,MATCH(D1144,catNom,0))&amp;"",""))</f>
        <v/>
      </c>
      <c r="M1144" s="19">
        <f>IF(I1144="","",IFERROR(INDEX(catComida,MATCH(D1144,catNom,0))&amp;"",""))</f>
        <v/>
      </c>
      <c r="N1144" s="19">
        <f>IF(I1144="","",IFERROR(INDEX(ctaMon,MATCH(E1144,ctaNom,0))&amp;"","DOP"))</f>
        <v/>
      </c>
      <c r="O1144" s="20">
        <f>IF(I1144="","",C1144*IF(N1144="USD",TasaUSD,1))</f>
        <v/>
      </c>
      <c r="P1144" s="20">
        <f>IF(I1144="","",IF(I1144="Gasto",O1144,0))</f>
        <v/>
      </c>
      <c r="Q1144" s="20">
        <f>IF(I1144="","",IF(I1144="Ingreso",O1144,0))</f>
        <v/>
      </c>
      <c r="R1144" s="20">
        <f>IF(I1144="","",IF(I1144="Trading",O1144,0))</f>
        <v/>
      </c>
      <c r="S1144" s="19">
        <f>IF(I1144="","",IF(AND(I1144="Gasto",K1144="Variable",J1144&lt;&gt;"Trading",O1144&gt;0,O1144&lt;=Umbral),1,0))</f>
        <v/>
      </c>
      <c r="T1144" s="20">
        <f>IF(OR(I1144="",E1144=""),"",IF(OR(I1144="Gasto",I1144="Transferencia",I1144="Pago tarjeta"),-1,1)*C1144)</f>
        <v/>
      </c>
      <c r="U1144" s="20">
        <f>IF(OR(G1144="",AND(I1144&lt;&gt;"Transferencia",I1144&lt;&gt;"Pago tarjeta")),"",IF(IFERROR(INDEX(ctaMon,MATCH(G1144,ctaNom,0))&amp;"","DOP")=N1144,C1144,IF(N1144="USD",C1144*TasaUSD,C1144/TasaUSD)))</f>
        <v/>
      </c>
      <c r="V1144" s="20">
        <f>IF(I1144="","",IF(IFERROR(INDEX(ctaLiq,MATCH(E1144,ctaNom,0))="Sí",FALSE),IF(OR(I1144="Gasto",I1144="Transferencia",I1144="Pago tarjeta"),-1,1)*O1144,0)+IF(AND(U1144&lt;&gt;"",IFERROR(INDEX(ctaLiq,MATCH(G1144,ctaNom,0))="Sí",FALSE)),O1144,0))</f>
        <v/>
      </c>
      <c r="W1144" s="19">
        <f>IF(OR(F1144="",I1144=""),"",IF(COUNTIFS(F$6:F1144,F1144,I$6:I1144,"?*")=1,MAX(W$5:W1143)+1,""))</f>
        <v/>
      </c>
    </row>
    <row r="1145">
      <c r="B1145" s="15" t="n"/>
      <c r="C1145" s="16" t="n"/>
      <c r="D1145" s="17" t="n"/>
      <c r="E1145" s="17" t="n"/>
      <c r="F1145" s="17" t="n"/>
      <c r="G1145" s="17" t="n"/>
      <c r="H1145" s="18">
        <f>IF(AND(B1145="",C1145="",D1145="",E1145=""),"",IF(B1145="","⚠ Falta fecha",IF(C1145="","⚠ Falta monto",IF(D1145="","⚠ Falta categoría",IF(ISNA(MATCH(D1145,catNom,0)),"⚠ Categoría no existe",IF(E1145="","⚠ Falta cuenta",IF(ISNA(MATCH(E1145,ctaNom,0)),"⚠ Cuenta no existe",IF(AND(OR(I1145="Transferencia",I1145="Pago tarjeta"),G1145=""),"⚠ Indica la cuenta «Hacia»",IF(AND(G1145&lt;&gt;"",G1145=E1145),"⚠ «Hacia» igual a la cuenta",IF(AND(G1145&lt;&gt;"",ISNA(MATCH(G1145,ctaNom,0))),"⚠ «Hacia» no existe",IF(AND(I1145="Pago tarjeta",IFERROR(INDEX(ctaTipo,MATCH(G1145,ctaNom,0)),"")&lt;&gt;"Tarjeta de crédito"),"⚠ «Hacia» debe ser la tarjeta",IF(AND(I1145="Trading",IFERROR(INDEX(ctaTipo,MATCH(E1145,ctaNom,0)),"")&lt;&gt;"Cuenta de trading"),"⚠ Usa la cuenta de trading","✓"))))))))))))</f>
        <v/>
      </c>
      <c r="I1145" s="19">
        <f>IF(OR(B1145="",C1145="",D1145=""),"",IFERROR(INDEX(catTipo,MATCH(D1145,catNom,0))&amp;"",""))</f>
        <v/>
      </c>
      <c r="J1145" s="19">
        <f>IF(I1145="","",IFERROR(INDEX(catGrupo,MATCH(D1145,catNom,0))&amp;"",""))</f>
        <v/>
      </c>
      <c r="K1145" s="19">
        <f>IF(I1145="Gasto",IF(IFERROR(INDEX(catClas,MATCH(D1145,catNom,0))&amp;"","")="","Variable",IFERROR(INDEX(catClas,MATCH(D1145,catNom,0))&amp;"","")),"")</f>
        <v/>
      </c>
      <c r="L1145" s="19">
        <f>IF(I1145="","",IFERROR(INDEX(catAlim,MATCH(D1145,catNom,0))&amp;"",""))</f>
        <v/>
      </c>
      <c r="M1145" s="19">
        <f>IF(I1145="","",IFERROR(INDEX(catComida,MATCH(D1145,catNom,0))&amp;"",""))</f>
        <v/>
      </c>
      <c r="N1145" s="19">
        <f>IF(I1145="","",IFERROR(INDEX(ctaMon,MATCH(E1145,ctaNom,0))&amp;"","DOP"))</f>
        <v/>
      </c>
      <c r="O1145" s="20">
        <f>IF(I1145="","",C1145*IF(N1145="USD",TasaUSD,1))</f>
        <v/>
      </c>
      <c r="P1145" s="20">
        <f>IF(I1145="","",IF(I1145="Gasto",O1145,0))</f>
        <v/>
      </c>
      <c r="Q1145" s="20">
        <f>IF(I1145="","",IF(I1145="Ingreso",O1145,0))</f>
        <v/>
      </c>
      <c r="R1145" s="20">
        <f>IF(I1145="","",IF(I1145="Trading",O1145,0))</f>
        <v/>
      </c>
      <c r="S1145" s="19">
        <f>IF(I1145="","",IF(AND(I1145="Gasto",K1145="Variable",J1145&lt;&gt;"Trading",O1145&gt;0,O1145&lt;=Umbral),1,0))</f>
        <v/>
      </c>
      <c r="T1145" s="20">
        <f>IF(OR(I1145="",E1145=""),"",IF(OR(I1145="Gasto",I1145="Transferencia",I1145="Pago tarjeta"),-1,1)*C1145)</f>
        <v/>
      </c>
      <c r="U1145" s="20">
        <f>IF(OR(G1145="",AND(I1145&lt;&gt;"Transferencia",I1145&lt;&gt;"Pago tarjeta")),"",IF(IFERROR(INDEX(ctaMon,MATCH(G1145,ctaNom,0))&amp;"","DOP")=N1145,C1145,IF(N1145="USD",C1145*TasaUSD,C1145/TasaUSD)))</f>
        <v/>
      </c>
      <c r="V1145" s="20">
        <f>IF(I1145="","",IF(IFERROR(INDEX(ctaLiq,MATCH(E1145,ctaNom,0))="Sí",FALSE),IF(OR(I1145="Gasto",I1145="Transferencia",I1145="Pago tarjeta"),-1,1)*O1145,0)+IF(AND(U1145&lt;&gt;"",IFERROR(INDEX(ctaLiq,MATCH(G1145,ctaNom,0))="Sí",FALSE)),O1145,0))</f>
        <v/>
      </c>
      <c r="W1145" s="19">
        <f>IF(OR(F1145="",I1145=""),"",IF(COUNTIFS(F$6:F1145,F1145,I$6:I1145,"?*")=1,MAX(W$5:W1144)+1,""))</f>
        <v/>
      </c>
    </row>
    <row r="1146">
      <c r="B1146" s="15" t="n"/>
      <c r="C1146" s="16" t="n"/>
      <c r="D1146" s="17" t="n"/>
      <c r="E1146" s="17" t="n"/>
      <c r="F1146" s="17" t="n"/>
      <c r="G1146" s="17" t="n"/>
      <c r="H1146" s="18">
        <f>IF(AND(B1146="",C1146="",D1146="",E1146=""),"",IF(B1146="","⚠ Falta fecha",IF(C1146="","⚠ Falta monto",IF(D1146="","⚠ Falta categoría",IF(ISNA(MATCH(D1146,catNom,0)),"⚠ Categoría no existe",IF(E1146="","⚠ Falta cuenta",IF(ISNA(MATCH(E1146,ctaNom,0)),"⚠ Cuenta no existe",IF(AND(OR(I1146="Transferencia",I1146="Pago tarjeta"),G1146=""),"⚠ Indica la cuenta «Hacia»",IF(AND(G1146&lt;&gt;"",G1146=E1146),"⚠ «Hacia» igual a la cuenta",IF(AND(G1146&lt;&gt;"",ISNA(MATCH(G1146,ctaNom,0))),"⚠ «Hacia» no existe",IF(AND(I1146="Pago tarjeta",IFERROR(INDEX(ctaTipo,MATCH(G1146,ctaNom,0)),"")&lt;&gt;"Tarjeta de crédito"),"⚠ «Hacia» debe ser la tarjeta",IF(AND(I1146="Trading",IFERROR(INDEX(ctaTipo,MATCH(E1146,ctaNom,0)),"")&lt;&gt;"Cuenta de trading"),"⚠ Usa la cuenta de trading","✓"))))))))))))</f>
        <v/>
      </c>
      <c r="I1146" s="19">
        <f>IF(OR(B1146="",C1146="",D1146=""),"",IFERROR(INDEX(catTipo,MATCH(D1146,catNom,0))&amp;"",""))</f>
        <v/>
      </c>
      <c r="J1146" s="19">
        <f>IF(I1146="","",IFERROR(INDEX(catGrupo,MATCH(D1146,catNom,0))&amp;"",""))</f>
        <v/>
      </c>
      <c r="K1146" s="19">
        <f>IF(I1146="Gasto",IF(IFERROR(INDEX(catClas,MATCH(D1146,catNom,0))&amp;"","")="","Variable",IFERROR(INDEX(catClas,MATCH(D1146,catNom,0))&amp;"","")),"")</f>
        <v/>
      </c>
      <c r="L1146" s="19">
        <f>IF(I1146="","",IFERROR(INDEX(catAlim,MATCH(D1146,catNom,0))&amp;"",""))</f>
        <v/>
      </c>
      <c r="M1146" s="19">
        <f>IF(I1146="","",IFERROR(INDEX(catComida,MATCH(D1146,catNom,0))&amp;"",""))</f>
        <v/>
      </c>
      <c r="N1146" s="19">
        <f>IF(I1146="","",IFERROR(INDEX(ctaMon,MATCH(E1146,ctaNom,0))&amp;"","DOP"))</f>
        <v/>
      </c>
      <c r="O1146" s="20">
        <f>IF(I1146="","",C1146*IF(N1146="USD",TasaUSD,1))</f>
        <v/>
      </c>
      <c r="P1146" s="20">
        <f>IF(I1146="","",IF(I1146="Gasto",O1146,0))</f>
        <v/>
      </c>
      <c r="Q1146" s="20">
        <f>IF(I1146="","",IF(I1146="Ingreso",O1146,0))</f>
        <v/>
      </c>
      <c r="R1146" s="20">
        <f>IF(I1146="","",IF(I1146="Trading",O1146,0))</f>
        <v/>
      </c>
      <c r="S1146" s="19">
        <f>IF(I1146="","",IF(AND(I1146="Gasto",K1146="Variable",J1146&lt;&gt;"Trading",O1146&gt;0,O1146&lt;=Umbral),1,0))</f>
        <v/>
      </c>
      <c r="T1146" s="20">
        <f>IF(OR(I1146="",E1146=""),"",IF(OR(I1146="Gasto",I1146="Transferencia",I1146="Pago tarjeta"),-1,1)*C1146)</f>
        <v/>
      </c>
      <c r="U1146" s="20">
        <f>IF(OR(G1146="",AND(I1146&lt;&gt;"Transferencia",I1146&lt;&gt;"Pago tarjeta")),"",IF(IFERROR(INDEX(ctaMon,MATCH(G1146,ctaNom,0))&amp;"","DOP")=N1146,C1146,IF(N1146="USD",C1146*TasaUSD,C1146/TasaUSD)))</f>
        <v/>
      </c>
      <c r="V1146" s="20">
        <f>IF(I1146="","",IF(IFERROR(INDEX(ctaLiq,MATCH(E1146,ctaNom,0))="Sí",FALSE),IF(OR(I1146="Gasto",I1146="Transferencia",I1146="Pago tarjeta"),-1,1)*O1146,0)+IF(AND(U1146&lt;&gt;"",IFERROR(INDEX(ctaLiq,MATCH(G1146,ctaNom,0))="Sí",FALSE)),O1146,0))</f>
        <v/>
      </c>
      <c r="W1146" s="19">
        <f>IF(OR(F1146="",I1146=""),"",IF(COUNTIFS(F$6:F1146,F1146,I$6:I1146,"?*")=1,MAX(W$5:W1145)+1,""))</f>
        <v/>
      </c>
    </row>
    <row r="1147">
      <c r="B1147" s="15" t="n"/>
      <c r="C1147" s="16" t="n"/>
      <c r="D1147" s="17" t="n"/>
      <c r="E1147" s="17" t="n"/>
      <c r="F1147" s="17" t="n"/>
      <c r="G1147" s="17" t="n"/>
      <c r="H1147" s="18">
        <f>IF(AND(B1147="",C1147="",D1147="",E1147=""),"",IF(B1147="","⚠ Falta fecha",IF(C1147="","⚠ Falta monto",IF(D1147="","⚠ Falta categoría",IF(ISNA(MATCH(D1147,catNom,0)),"⚠ Categoría no existe",IF(E1147="","⚠ Falta cuenta",IF(ISNA(MATCH(E1147,ctaNom,0)),"⚠ Cuenta no existe",IF(AND(OR(I1147="Transferencia",I1147="Pago tarjeta"),G1147=""),"⚠ Indica la cuenta «Hacia»",IF(AND(G1147&lt;&gt;"",G1147=E1147),"⚠ «Hacia» igual a la cuenta",IF(AND(G1147&lt;&gt;"",ISNA(MATCH(G1147,ctaNom,0))),"⚠ «Hacia» no existe",IF(AND(I1147="Pago tarjeta",IFERROR(INDEX(ctaTipo,MATCH(G1147,ctaNom,0)),"")&lt;&gt;"Tarjeta de crédito"),"⚠ «Hacia» debe ser la tarjeta",IF(AND(I1147="Trading",IFERROR(INDEX(ctaTipo,MATCH(E1147,ctaNom,0)),"")&lt;&gt;"Cuenta de trading"),"⚠ Usa la cuenta de trading","✓"))))))))))))</f>
        <v/>
      </c>
      <c r="I1147" s="19">
        <f>IF(OR(B1147="",C1147="",D1147=""),"",IFERROR(INDEX(catTipo,MATCH(D1147,catNom,0))&amp;"",""))</f>
        <v/>
      </c>
      <c r="J1147" s="19">
        <f>IF(I1147="","",IFERROR(INDEX(catGrupo,MATCH(D1147,catNom,0))&amp;"",""))</f>
        <v/>
      </c>
      <c r="K1147" s="19">
        <f>IF(I1147="Gasto",IF(IFERROR(INDEX(catClas,MATCH(D1147,catNom,0))&amp;"","")="","Variable",IFERROR(INDEX(catClas,MATCH(D1147,catNom,0))&amp;"","")),"")</f>
        <v/>
      </c>
      <c r="L1147" s="19">
        <f>IF(I1147="","",IFERROR(INDEX(catAlim,MATCH(D1147,catNom,0))&amp;"",""))</f>
        <v/>
      </c>
      <c r="M1147" s="19">
        <f>IF(I1147="","",IFERROR(INDEX(catComida,MATCH(D1147,catNom,0))&amp;"",""))</f>
        <v/>
      </c>
      <c r="N1147" s="19">
        <f>IF(I1147="","",IFERROR(INDEX(ctaMon,MATCH(E1147,ctaNom,0))&amp;"","DOP"))</f>
        <v/>
      </c>
      <c r="O1147" s="20">
        <f>IF(I1147="","",C1147*IF(N1147="USD",TasaUSD,1))</f>
        <v/>
      </c>
      <c r="P1147" s="20">
        <f>IF(I1147="","",IF(I1147="Gasto",O1147,0))</f>
        <v/>
      </c>
      <c r="Q1147" s="20">
        <f>IF(I1147="","",IF(I1147="Ingreso",O1147,0))</f>
        <v/>
      </c>
      <c r="R1147" s="20">
        <f>IF(I1147="","",IF(I1147="Trading",O1147,0))</f>
        <v/>
      </c>
      <c r="S1147" s="19">
        <f>IF(I1147="","",IF(AND(I1147="Gasto",K1147="Variable",J1147&lt;&gt;"Trading",O1147&gt;0,O1147&lt;=Umbral),1,0))</f>
        <v/>
      </c>
      <c r="T1147" s="20">
        <f>IF(OR(I1147="",E1147=""),"",IF(OR(I1147="Gasto",I1147="Transferencia",I1147="Pago tarjeta"),-1,1)*C1147)</f>
        <v/>
      </c>
      <c r="U1147" s="20">
        <f>IF(OR(G1147="",AND(I1147&lt;&gt;"Transferencia",I1147&lt;&gt;"Pago tarjeta")),"",IF(IFERROR(INDEX(ctaMon,MATCH(G1147,ctaNom,0))&amp;"","DOP")=N1147,C1147,IF(N1147="USD",C1147*TasaUSD,C1147/TasaUSD)))</f>
        <v/>
      </c>
      <c r="V1147" s="20">
        <f>IF(I1147="","",IF(IFERROR(INDEX(ctaLiq,MATCH(E1147,ctaNom,0))="Sí",FALSE),IF(OR(I1147="Gasto",I1147="Transferencia",I1147="Pago tarjeta"),-1,1)*O1147,0)+IF(AND(U1147&lt;&gt;"",IFERROR(INDEX(ctaLiq,MATCH(G1147,ctaNom,0))="Sí",FALSE)),O1147,0))</f>
        <v/>
      </c>
      <c r="W1147" s="19">
        <f>IF(OR(F1147="",I1147=""),"",IF(COUNTIFS(F$6:F1147,F1147,I$6:I1147,"?*")=1,MAX(W$5:W1146)+1,""))</f>
        <v/>
      </c>
    </row>
    <row r="1148">
      <c r="B1148" s="15" t="n"/>
      <c r="C1148" s="16" t="n"/>
      <c r="D1148" s="17" t="n"/>
      <c r="E1148" s="17" t="n"/>
      <c r="F1148" s="17" t="n"/>
      <c r="G1148" s="17" t="n"/>
      <c r="H1148" s="18">
        <f>IF(AND(B1148="",C1148="",D1148="",E1148=""),"",IF(B1148="","⚠ Falta fecha",IF(C1148="","⚠ Falta monto",IF(D1148="","⚠ Falta categoría",IF(ISNA(MATCH(D1148,catNom,0)),"⚠ Categoría no existe",IF(E1148="","⚠ Falta cuenta",IF(ISNA(MATCH(E1148,ctaNom,0)),"⚠ Cuenta no existe",IF(AND(OR(I1148="Transferencia",I1148="Pago tarjeta"),G1148=""),"⚠ Indica la cuenta «Hacia»",IF(AND(G1148&lt;&gt;"",G1148=E1148),"⚠ «Hacia» igual a la cuenta",IF(AND(G1148&lt;&gt;"",ISNA(MATCH(G1148,ctaNom,0))),"⚠ «Hacia» no existe",IF(AND(I1148="Pago tarjeta",IFERROR(INDEX(ctaTipo,MATCH(G1148,ctaNom,0)),"")&lt;&gt;"Tarjeta de crédito"),"⚠ «Hacia» debe ser la tarjeta",IF(AND(I1148="Trading",IFERROR(INDEX(ctaTipo,MATCH(E1148,ctaNom,0)),"")&lt;&gt;"Cuenta de trading"),"⚠ Usa la cuenta de trading","✓"))))))))))))</f>
        <v/>
      </c>
      <c r="I1148" s="19">
        <f>IF(OR(B1148="",C1148="",D1148=""),"",IFERROR(INDEX(catTipo,MATCH(D1148,catNom,0))&amp;"",""))</f>
        <v/>
      </c>
      <c r="J1148" s="19">
        <f>IF(I1148="","",IFERROR(INDEX(catGrupo,MATCH(D1148,catNom,0))&amp;"",""))</f>
        <v/>
      </c>
      <c r="K1148" s="19">
        <f>IF(I1148="Gasto",IF(IFERROR(INDEX(catClas,MATCH(D1148,catNom,0))&amp;"","")="","Variable",IFERROR(INDEX(catClas,MATCH(D1148,catNom,0))&amp;"","")),"")</f>
        <v/>
      </c>
      <c r="L1148" s="19">
        <f>IF(I1148="","",IFERROR(INDEX(catAlim,MATCH(D1148,catNom,0))&amp;"",""))</f>
        <v/>
      </c>
      <c r="M1148" s="19">
        <f>IF(I1148="","",IFERROR(INDEX(catComida,MATCH(D1148,catNom,0))&amp;"",""))</f>
        <v/>
      </c>
      <c r="N1148" s="19">
        <f>IF(I1148="","",IFERROR(INDEX(ctaMon,MATCH(E1148,ctaNom,0))&amp;"","DOP"))</f>
        <v/>
      </c>
      <c r="O1148" s="20">
        <f>IF(I1148="","",C1148*IF(N1148="USD",TasaUSD,1))</f>
        <v/>
      </c>
      <c r="P1148" s="20">
        <f>IF(I1148="","",IF(I1148="Gasto",O1148,0))</f>
        <v/>
      </c>
      <c r="Q1148" s="20">
        <f>IF(I1148="","",IF(I1148="Ingreso",O1148,0))</f>
        <v/>
      </c>
      <c r="R1148" s="20">
        <f>IF(I1148="","",IF(I1148="Trading",O1148,0))</f>
        <v/>
      </c>
      <c r="S1148" s="19">
        <f>IF(I1148="","",IF(AND(I1148="Gasto",K1148="Variable",J1148&lt;&gt;"Trading",O1148&gt;0,O1148&lt;=Umbral),1,0))</f>
        <v/>
      </c>
      <c r="T1148" s="20">
        <f>IF(OR(I1148="",E1148=""),"",IF(OR(I1148="Gasto",I1148="Transferencia",I1148="Pago tarjeta"),-1,1)*C1148)</f>
        <v/>
      </c>
      <c r="U1148" s="20">
        <f>IF(OR(G1148="",AND(I1148&lt;&gt;"Transferencia",I1148&lt;&gt;"Pago tarjeta")),"",IF(IFERROR(INDEX(ctaMon,MATCH(G1148,ctaNom,0))&amp;"","DOP")=N1148,C1148,IF(N1148="USD",C1148*TasaUSD,C1148/TasaUSD)))</f>
        <v/>
      </c>
      <c r="V1148" s="20">
        <f>IF(I1148="","",IF(IFERROR(INDEX(ctaLiq,MATCH(E1148,ctaNom,0))="Sí",FALSE),IF(OR(I1148="Gasto",I1148="Transferencia",I1148="Pago tarjeta"),-1,1)*O1148,0)+IF(AND(U1148&lt;&gt;"",IFERROR(INDEX(ctaLiq,MATCH(G1148,ctaNom,0))="Sí",FALSE)),O1148,0))</f>
        <v/>
      </c>
      <c r="W1148" s="19">
        <f>IF(OR(F1148="",I1148=""),"",IF(COUNTIFS(F$6:F1148,F1148,I$6:I1148,"?*")=1,MAX(W$5:W1147)+1,""))</f>
        <v/>
      </c>
    </row>
    <row r="1149">
      <c r="B1149" s="15" t="n"/>
      <c r="C1149" s="16" t="n"/>
      <c r="D1149" s="17" t="n"/>
      <c r="E1149" s="17" t="n"/>
      <c r="F1149" s="17" t="n"/>
      <c r="G1149" s="17" t="n"/>
      <c r="H1149" s="18">
        <f>IF(AND(B1149="",C1149="",D1149="",E1149=""),"",IF(B1149="","⚠ Falta fecha",IF(C1149="","⚠ Falta monto",IF(D1149="","⚠ Falta categoría",IF(ISNA(MATCH(D1149,catNom,0)),"⚠ Categoría no existe",IF(E1149="","⚠ Falta cuenta",IF(ISNA(MATCH(E1149,ctaNom,0)),"⚠ Cuenta no existe",IF(AND(OR(I1149="Transferencia",I1149="Pago tarjeta"),G1149=""),"⚠ Indica la cuenta «Hacia»",IF(AND(G1149&lt;&gt;"",G1149=E1149),"⚠ «Hacia» igual a la cuenta",IF(AND(G1149&lt;&gt;"",ISNA(MATCH(G1149,ctaNom,0))),"⚠ «Hacia» no existe",IF(AND(I1149="Pago tarjeta",IFERROR(INDEX(ctaTipo,MATCH(G1149,ctaNom,0)),"")&lt;&gt;"Tarjeta de crédito"),"⚠ «Hacia» debe ser la tarjeta",IF(AND(I1149="Trading",IFERROR(INDEX(ctaTipo,MATCH(E1149,ctaNom,0)),"")&lt;&gt;"Cuenta de trading"),"⚠ Usa la cuenta de trading","✓"))))))))))))</f>
        <v/>
      </c>
      <c r="I1149" s="19">
        <f>IF(OR(B1149="",C1149="",D1149=""),"",IFERROR(INDEX(catTipo,MATCH(D1149,catNom,0))&amp;"",""))</f>
        <v/>
      </c>
      <c r="J1149" s="19">
        <f>IF(I1149="","",IFERROR(INDEX(catGrupo,MATCH(D1149,catNom,0))&amp;"",""))</f>
        <v/>
      </c>
      <c r="K1149" s="19">
        <f>IF(I1149="Gasto",IF(IFERROR(INDEX(catClas,MATCH(D1149,catNom,0))&amp;"","")="","Variable",IFERROR(INDEX(catClas,MATCH(D1149,catNom,0))&amp;"","")),"")</f>
        <v/>
      </c>
      <c r="L1149" s="19">
        <f>IF(I1149="","",IFERROR(INDEX(catAlim,MATCH(D1149,catNom,0))&amp;"",""))</f>
        <v/>
      </c>
      <c r="M1149" s="19">
        <f>IF(I1149="","",IFERROR(INDEX(catComida,MATCH(D1149,catNom,0))&amp;"",""))</f>
        <v/>
      </c>
      <c r="N1149" s="19">
        <f>IF(I1149="","",IFERROR(INDEX(ctaMon,MATCH(E1149,ctaNom,0))&amp;"","DOP"))</f>
        <v/>
      </c>
      <c r="O1149" s="20">
        <f>IF(I1149="","",C1149*IF(N1149="USD",TasaUSD,1))</f>
        <v/>
      </c>
      <c r="P1149" s="20">
        <f>IF(I1149="","",IF(I1149="Gasto",O1149,0))</f>
        <v/>
      </c>
      <c r="Q1149" s="20">
        <f>IF(I1149="","",IF(I1149="Ingreso",O1149,0))</f>
        <v/>
      </c>
      <c r="R1149" s="20">
        <f>IF(I1149="","",IF(I1149="Trading",O1149,0))</f>
        <v/>
      </c>
      <c r="S1149" s="19">
        <f>IF(I1149="","",IF(AND(I1149="Gasto",K1149="Variable",J1149&lt;&gt;"Trading",O1149&gt;0,O1149&lt;=Umbral),1,0))</f>
        <v/>
      </c>
      <c r="T1149" s="20">
        <f>IF(OR(I1149="",E1149=""),"",IF(OR(I1149="Gasto",I1149="Transferencia",I1149="Pago tarjeta"),-1,1)*C1149)</f>
        <v/>
      </c>
      <c r="U1149" s="20">
        <f>IF(OR(G1149="",AND(I1149&lt;&gt;"Transferencia",I1149&lt;&gt;"Pago tarjeta")),"",IF(IFERROR(INDEX(ctaMon,MATCH(G1149,ctaNom,0))&amp;"","DOP")=N1149,C1149,IF(N1149="USD",C1149*TasaUSD,C1149/TasaUSD)))</f>
        <v/>
      </c>
      <c r="V1149" s="20">
        <f>IF(I1149="","",IF(IFERROR(INDEX(ctaLiq,MATCH(E1149,ctaNom,0))="Sí",FALSE),IF(OR(I1149="Gasto",I1149="Transferencia",I1149="Pago tarjeta"),-1,1)*O1149,0)+IF(AND(U1149&lt;&gt;"",IFERROR(INDEX(ctaLiq,MATCH(G1149,ctaNom,0))="Sí",FALSE)),O1149,0))</f>
        <v/>
      </c>
      <c r="W1149" s="19">
        <f>IF(OR(F1149="",I1149=""),"",IF(COUNTIFS(F$6:F1149,F1149,I$6:I1149,"?*")=1,MAX(W$5:W1148)+1,""))</f>
        <v/>
      </c>
    </row>
    <row r="1150">
      <c r="B1150" s="15" t="n"/>
      <c r="C1150" s="16" t="n"/>
      <c r="D1150" s="17" t="n"/>
      <c r="E1150" s="17" t="n"/>
      <c r="F1150" s="17" t="n"/>
      <c r="G1150" s="17" t="n"/>
      <c r="H1150" s="18">
        <f>IF(AND(B1150="",C1150="",D1150="",E1150=""),"",IF(B1150="","⚠ Falta fecha",IF(C1150="","⚠ Falta monto",IF(D1150="","⚠ Falta categoría",IF(ISNA(MATCH(D1150,catNom,0)),"⚠ Categoría no existe",IF(E1150="","⚠ Falta cuenta",IF(ISNA(MATCH(E1150,ctaNom,0)),"⚠ Cuenta no existe",IF(AND(OR(I1150="Transferencia",I1150="Pago tarjeta"),G1150=""),"⚠ Indica la cuenta «Hacia»",IF(AND(G1150&lt;&gt;"",G1150=E1150),"⚠ «Hacia» igual a la cuenta",IF(AND(G1150&lt;&gt;"",ISNA(MATCH(G1150,ctaNom,0))),"⚠ «Hacia» no existe",IF(AND(I1150="Pago tarjeta",IFERROR(INDEX(ctaTipo,MATCH(G1150,ctaNom,0)),"")&lt;&gt;"Tarjeta de crédito"),"⚠ «Hacia» debe ser la tarjeta",IF(AND(I1150="Trading",IFERROR(INDEX(ctaTipo,MATCH(E1150,ctaNom,0)),"")&lt;&gt;"Cuenta de trading"),"⚠ Usa la cuenta de trading","✓"))))))))))))</f>
        <v/>
      </c>
      <c r="I1150" s="19">
        <f>IF(OR(B1150="",C1150="",D1150=""),"",IFERROR(INDEX(catTipo,MATCH(D1150,catNom,0))&amp;"",""))</f>
        <v/>
      </c>
      <c r="J1150" s="19">
        <f>IF(I1150="","",IFERROR(INDEX(catGrupo,MATCH(D1150,catNom,0))&amp;"",""))</f>
        <v/>
      </c>
      <c r="K1150" s="19">
        <f>IF(I1150="Gasto",IF(IFERROR(INDEX(catClas,MATCH(D1150,catNom,0))&amp;"","")="","Variable",IFERROR(INDEX(catClas,MATCH(D1150,catNom,0))&amp;"","")),"")</f>
        <v/>
      </c>
      <c r="L1150" s="19">
        <f>IF(I1150="","",IFERROR(INDEX(catAlim,MATCH(D1150,catNom,0))&amp;"",""))</f>
        <v/>
      </c>
      <c r="M1150" s="19">
        <f>IF(I1150="","",IFERROR(INDEX(catComida,MATCH(D1150,catNom,0))&amp;"",""))</f>
        <v/>
      </c>
      <c r="N1150" s="19">
        <f>IF(I1150="","",IFERROR(INDEX(ctaMon,MATCH(E1150,ctaNom,0))&amp;"","DOP"))</f>
        <v/>
      </c>
      <c r="O1150" s="20">
        <f>IF(I1150="","",C1150*IF(N1150="USD",TasaUSD,1))</f>
        <v/>
      </c>
      <c r="P1150" s="20">
        <f>IF(I1150="","",IF(I1150="Gasto",O1150,0))</f>
        <v/>
      </c>
      <c r="Q1150" s="20">
        <f>IF(I1150="","",IF(I1150="Ingreso",O1150,0))</f>
        <v/>
      </c>
      <c r="R1150" s="20">
        <f>IF(I1150="","",IF(I1150="Trading",O1150,0))</f>
        <v/>
      </c>
      <c r="S1150" s="19">
        <f>IF(I1150="","",IF(AND(I1150="Gasto",K1150="Variable",J1150&lt;&gt;"Trading",O1150&gt;0,O1150&lt;=Umbral),1,0))</f>
        <v/>
      </c>
      <c r="T1150" s="20">
        <f>IF(OR(I1150="",E1150=""),"",IF(OR(I1150="Gasto",I1150="Transferencia",I1150="Pago tarjeta"),-1,1)*C1150)</f>
        <v/>
      </c>
      <c r="U1150" s="20">
        <f>IF(OR(G1150="",AND(I1150&lt;&gt;"Transferencia",I1150&lt;&gt;"Pago tarjeta")),"",IF(IFERROR(INDEX(ctaMon,MATCH(G1150,ctaNom,0))&amp;"","DOP")=N1150,C1150,IF(N1150="USD",C1150*TasaUSD,C1150/TasaUSD)))</f>
        <v/>
      </c>
      <c r="V1150" s="20">
        <f>IF(I1150="","",IF(IFERROR(INDEX(ctaLiq,MATCH(E1150,ctaNom,0))="Sí",FALSE),IF(OR(I1150="Gasto",I1150="Transferencia",I1150="Pago tarjeta"),-1,1)*O1150,0)+IF(AND(U1150&lt;&gt;"",IFERROR(INDEX(ctaLiq,MATCH(G1150,ctaNom,0))="Sí",FALSE)),O1150,0))</f>
        <v/>
      </c>
      <c r="W1150" s="19">
        <f>IF(OR(F1150="",I1150=""),"",IF(COUNTIFS(F$6:F1150,F1150,I$6:I1150,"?*")=1,MAX(W$5:W1149)+1,""))</f>
        <v/>
      </c>
    </row>
    <row r="1151">
      <c r="B1151" s="15" t="n"/>
      <c r="C1151" s="16" t="n"/>
      <c r="D1151" s="17" t="n"/>
      <c r="E1151" s="17" t="n"/>
      <c r="F1151" s="17" t="n"/>
      <c r="G1151" s="17" t="n"/>
      <c r="H1151" s="18">
        <f>IF(AND(B1151="",C1151="",D1151="",E1151=""),"",IF(B1151="","⚠ Falta fecha",IF(C1151="","⚠ Falta monto",IF(D1151="","⚠ Falta categoría",IF(ISNA(MATCH(D1151,catNom,0)),"⚠ Categoría no existe",IF(E1151="","⚠ Falta cuenta",IF(ISNA(MATCH(E1151,ctaNom,0)),"⚠ Cuenta no existe",IF(AND(OR(I1151="Transferencia",I1151="Pago tarjeta"),G1151=""),"⚠ Indica la cuenta «Hacia»",IF(AND(G1151&lt;&gt;"",G1151=E1151),"⚠ «Hacia» igual a la cuenta",IF(AND(G1151&lt;&gt;"",ISNA(MATCH(G1151,ctaNom,0))),"⚠ «Hacia» no existe",IF(AND(I1151="Pago tarjeta",IFERROR(INDEX(ctaTipo,MATCH(G1151,ctaNom,0)),"")&lt;&gt;"Tarjeta de crédito"),"⚠ «Hacia» debe ser la tarjeta",IF(AND(I1151="Trading",IFERROR(INDEX(ctaTipo,MATCH(E1151,ctaNom,0)),"")&lt;&gt;"Cuenta de trading"),"⚠ Usa la cuenta de trading","✓"))))))))))))</f>
        <v/>
      </c>
      <c r="I1151" s="19">
        <f>IF(OR(B1151="",C1151="",D1151=""),"",IFERROR(INDEX(catTipo,MATCH(D1151,catNom,0))&amp;"",""))</f>
        <v/>
      </c>
      <c r="J1151" s="19">
        <f>IF(I1151="","",IFERROR(INDEX(catGrupo,MATCH(D1151,catNom,0))&amp;"",""))</f>
        <v/>
      </c>
      <c r="K1151" s="19">
        <f>IF(I1151="Gasto",IF(IFERROR(INDEX(catClas,MATCH(D1151,catNom,0))&amp;"","")="","Variable",IFERROR(INDEX(catClas,MATCH(D1151,catNom,0))&amp;"","")),"")</f>
        <v/>
      </c>
      <c r="L1151" s="19">
        <f>IF(I1151="","",IFERROR(INDEX(catAlim,MATCH(D1151,catNom,0))&amp;"",""))</f>
        <v/>
      </c>
      <c r="M1151" s="19">
        <f>IF(I1151="","",IFERROR(INDEX(catComida,MATCH(D1151,catNom,0))&amp;"",""))</f>
        <v/>
      </c>
      <c r="N1151" s="19">
        <f>IF(I1151="","",IFERROR(INDEX(ctaMon,MATCH(E1151,ctaNom,0))&amp;"","DOP"))</f>
        <v/>
      </c>
      <c r="O1151" s="20">
        <f>IF(I1151="","",C1151*IF(N1151="USD",TasaUSD,1))</f>
        <v/>
      </c>
      <c r="P1151" s="20">
        <f>IF(I1151="","",IF(I1151="Gasto",O1151,0))</f>
        <v/>
      </c>
      <c r="Q1151" s="20">
        <f>IF(I1151="","",IF(I1151="Ingreso",O1151,0))</f>
        <v/>
      </c>
      <c r="R1151" s="20">
        <f>IF(I1151="","",IF(I1151="Trading",O1151,0))</f>
        <v/>
      </c>
      <c r="S1151" s="19">
        <f>IF(I1151="","",IF(AND(I1151="Gasto",K1151="Variable",J1151&lt;&gt;"Trading",O1151&gt;0,O1151&lt;=Umbral),1,0))</f>
        <v/>
      </c>
      <c r="T1151" s="20">
        <f>IF(OR(I1151="",E1151=""),"",IF(OR(I1151="Gasto",I1151="Transferencia",I1151="Pago tarjeta"),-1,1)*C1151)</f>
        <v/>
      </c>
      <c r="U1151" s="20">
        <f>IF(OR(G1151="",AND(I1151&lt;&gt;"Transferencia",I1151&lt;&gt;"Pago tarjeta")),"",IF(IFERROR(INDEX(ctaMon,MATCH(G1151,ctaNom,0))&amp;"","DOP")=N1151,C1151,IF(N1151="USD",C1151*TasaUSD,C1151/TasaUSD)))</f>
        <v/>
      </c>
      <c r="V1151" s="20">
        <f>IF(I1151="","",IF(IFERROR(INDEX(ctaLiq,MATCH(E1151,ctaNom,0))="Sí",FALSE),IF(OR(I1151="Gasto",I1151="Transferencia",I1151="Pago tarjeta"),-1,1)*O1151,0)+IF(AND(U1151&lt;&gt;"",IFERROR(INDEX(ctaLiq,MATCH(G1151,ctaNom,0))="Sí",FALSE)),O1151,0))</f>
        <v/>
      </c>
      <c r="W1151" s="19">
        <f>IF(OR(F1151="",I1151=""),"",IF(COUNTIFS(F$6:F1151,F1151,I$6:I1151,"?*")=1,MAX(W$5:W1150)+1,""))</f>
        <v/>
      </c>
    </row>
    <row r="1152">
      <c r="B1152" s="15" t="n"/>
      <c r="C1152" s="16" t="n"/>
      <c r="D1152" s="17" t="n"/>
      <c r="E1152" s="17" t="n"/>
      <c r="F1152" s="17" t="n"/>
      <c r="G1152" s="17" t="n"/>
      <c r="H1152" s="18">
        <f>IF(AND(B1152="",C1152="",D1152="",E1152=""),"",IF(B1152="","⚠ Falta fecha",IF(C1152="","⚠ Falta monto",IF(D1152="","⚠ Falta categoría",IF(ISNA(MATCH(D1152,catNom,0)),"⚠ Categoría no existe",IF(E1152="","⚠ Falta cuenta",IF(ISNA(MATCH(E1152,ctaNom,0)),"⚠ Cuenta no existe",IF(AND(OR(I1152="Transferencia",I1152="Pago tarjeta"),G1152=""),"⚠ Indica la cuenta «Hacia»",IF(AND(G1152&lt;&gt;"",G1152=E1152),"⚠ «Hacia» igual a la cuenta",IF(AND(G1152&lt;&gt;"",ISNA(MATCH(G1152,ctaNom,0))),"⚠ «Hacia» no existe",IF(AND(I1152="Pago tarjeta",IFERROR(INDEX(ctaTipo,MATCH(G1152,ctaNom,0)),"")&lt;&gt;"Tarjeta de crédito"),"⚠ «Hacia» debe ser la tarjeta",IF(AND(I1152="Trading",IFERROR(INDEX(ctaTipo,MATCH(E1152,ctaNom,0)),"")&lt;&gt;"Cuenta de trading"),"⚠ Usa la cuenta de trading","✓"))))))))))))</f>
        <v/>
      </c>
      <c r="I1152" s="19">
        <f>IF(OR(B1152="",C1152="",D1152=""),"",IFERROR(INDEX(catTipo,MATCH(D1152,catNom,0))&amp;"",""))</f>
        <v/>
      </c>
      <c r="J1152" s="19">
        <f>IF(I1152="","",IFERROR(INDEX(catGrupo,MATCH(D1152,catNom,0))&amp;"",""))</f>
        <v/>
      </c>
      <c r="K1152" s="19">
        <f>IF(I1152="Gasto",IF(IFERROR(INDEX(catClas,MATCH(D1152,catNom,0))&amp;"","")="","Variable",IFERROR(INDEX(catClas,MATCH(D1152,catNom,0))&amp;"","")),"")</f>
        <v/>
      </c>
      <c r="L1152" s="19">
        <f>IF(I1152="","",IFERROR(INDEX(catAlim,MATCH(D1152,catNom,0))&amp;"",""))</f>
        <v/>
      </c>
      <c r="M1152" s="19">
        <f>IF(I1152="","",IFERROR(INDEX(catComida,MATCH(D1152,catNom,0))&amp;"",""))</f>
        <v/>
      </c>
      <c r="N1152" s="19">
        <f>IF(I1152="","",IFERROR(INDEX(ctaMon,MATCH(E1152,ctaNom,0))&amp;"","DOP"))</f>
        <v/>
      </c>
      <c r="O1152" s="20">
        <f>IF(I1152="","",C1152*IF(N1152="USD",TasaUSD,1))</f>
        <v/>
      </c>
      <c r="P1152" s="20">
        <f>IF(I1152="","",IF(I1152="Gasto",O1152,0))</f>
        <v/>
      </c>
      <c r="Q1152" s="20">
        <f>IF(I1152="","",IF(I1152="Ingreso",O1152,0))</f>
        <v/>
      </c>
      <c r="R1152" s="20">
        <f>IF(I1152="","",IF(I1152="Trading",O1152,0))</f>
        <v/>
      </c>
      <c r="S1152" s="19">
        <f>IF(I1152="","",IF(AND(I1152="Gasto",K1152="Variable",J1152&lt;&gt;"Trading",O1152&gt;0,O1152&lt;=Umbral),1,0))</f>
        <v/>
      </c>
      <c r="T1152" s="20">
        <f>IF(OR(I1152="",E1152=""),"",IF(OR(I1152="Gasto",I1152="Transferencia",I1152="Pago tarjeta"),-1,1)*C1152)</f>
        <v/>
      </c>
      <c r="U1152" s="20">
        <f>IF(OR(G1152="",AND(I1152&lt;&gt;"Transferencia",I1152&lt;&gt;"Pago tarjeta")),"",IF(IFERROR(INDEX(ctaMon,MATCH(G1152,ctaNom,0))&amp;"","DOP")=N1152,C1152,IF(N1152="USD",C1152*TasaUSD,C1152/TasaUSD)))</f>
        <v/>
      </c>
      <c r="V1152" s="20">
        <f>IF(I1152="","",IF(IFERROR(INDEX(ctaLiq,MATCH(E1152,ctaNom,0))="Sí",FALSE),IF(OR(I1152="Gasto",I1152="Transferencia",I1152="Pago tarjeta"),-1,1)*O1152,0)+IF(AND(U1152&lt;&gt;"",IFERROR(INDEX(ctaLiq,MATCH(G1152,ctaNom,0))="Sí",FALSE)),O1152,0))</f>
        <v/>
      </c>
      <c r="W1152" s="19">
        <f>IF(OR(F1152="",I1152=""),"",IF(COUNTIFS(F$6:F1152,F1152,I$6:I1152,"?*")=1,MAX(W$5:W1151)+1,""))</f>
        <v/>
      </c>
    </row>
    <row r="1153">
      <c r="B1153" s="15" t="n"/>
      <c r="C1153" s="16" t="n"/>
      <c r="D1153" s="17" t="n"/>
      <c r="E1153" s="17" t="n"/>
      <c r="F1153" s="17" t="n"/>
      <c r="G1153" s="17" t="n"/>
      <c r="H1153" s="18">
        <f>IF(AND(B1153="",C1153="",D1153="",E1153=""),"",IF(B1153="","⚠ Falta fecha",IF(C1153="","⚠ Falta monto",IF(D1153="","⚠ Falta categoría",IF(ISNA(MATCH(D1153,catNom,0)),"⚠ Categoría no existe",IF(E1153="","⚠ Falta cuenta",IF(ISNA(MATCH(E1153,ctaNom,0)),"⚠ Cuenta no existe",IF(AND(OR(I1153="Transferencia",I1153="Pago tarjeta"),G1153=""),"⚠ Indica la cuenta «Hacia»",IF(AND(G1153&lt;&gt;"",G1153=E1153),"⚠ «Hacia» igual a la cuenta",IF(AND(G1153&lt;&gt;"",ISNA(MATCH(G1153,ctaNom,0))),"⚠ «Hacia» no existe",IF(AND(I1153="Pago tarjeta",IFERROR(INDEX(ctaTipo,MATCH(G1153,ctaNom,0)),"")&lt;&gt;"Tarjeta de crédito"),"⚠ «Hacia» debe ser la tarjeta",IF(AND(I1153="Trading",IFERROR(INDEX(ctaTipo,MATCH(E1153,ctaNom,0)),"")&lt;&gt;"Cuenta de trading"),"⚠ Usa la cuenta de trading","✓"))))))))))))</f>
        <v/>
      </c>
      <c r="I1153" s="19">
        <f>IF(OR(B1153="",C1153="",D1153=""),"",IFERROR(INDEX(catTipo,MATCH(D1153,catNom,0))&amp;"",""))</f>
        <v/>
      </c>
      <c r="J1153" s="19">
        <f>IF(I1153="","",IFERROR(INDEX(catGrupo,MATCH(D1153,catNom,0))&amp;"",""))</f>
        <v/>
      </c>
      <c r="K1153" s="19">
        <f>IF(I1153="Gasto",IF(IFERROR(INDEX(catClas,MATCH(D1153,catNom,0))&amp;"","")="","Variable",IFERROR(INDEX(catClas,MATCH(D1153,catNom,0))&amp;"","")),"")</f>
        <v/>
      </c>
      <c r="L1153" s="19">
        <f>IF(I1153="","",IFERROR(INDEX(catAlim,MATCH(D1153,catNom,0))&amp;"",""))</f>
        <v/>
      </c>
      <c r="M1153" s="19">
        <f>IF(I1153="","",IFERROR(INDEX(catComida,MATCH(D1153,catNom,0))&amp;"",""))</f>
        <v/>
      </c>
      <c r="N1153" s="19">
        <f>IF(I1153="","",IFERROR(INDEX(ctaMon,MATCH(E1153,ctaNom,0))&amp;"","DOP"))</f>
        <v/>
      </c>
      <c r="O1153" s="20">
        <f>IF(I1153="","",C1153*IF(N1153="USD",TasaUSD,1))</f>
        <v/>
      </c>
      <c r="P1153" s="20">
        <f>IF(I1153="","",IF(I1153="Gasto",O1153,0))</f>
        <v/>
      </c>
      <c r="Q1153" s="20">
        <f>IF(I1153="","",IF(I1153="Ingreso",O1153,0))</f>
        <v/>
      </c>
      <c r="R1153" s="20">
        <f>IF(I1153="","",IF(I1153="Trading",O1153,0))</f>
        <v/>
      </c>
      <c r="S1153" s="19">
        <f>IF(I1153="","",IF(AND(I1153="Gasto",K1153="Variable",J1153&lt;&gt;"Trading",O1153&gt;0,O1153&lt;=Umbral),1,0))</f>
        <v/>
      </c>
      <c r="T1153" s="20">
        <f>IF(OR(I1153="",E1153=""),"",IF(OR(I1153="Gasto",I1153="Transferencia",I1153="Pago tarjeta"),-1,1)*C1153)</f>
        <v/>
      </c>
      <c r="U1153" s="20">
        <f>IF(OR(G1153="",AND(I1153&lt;&gt;"Transferencia",I1153&lt;&gt;"Pago tarjeta")),"",IF(IFERROR(INDEX(ctaMon,MATCH(G1153,ctaNom,0))&amp;"","DOP")=N1153,C1153,IF(N1153="USD",C1153*TasaUSD,C1153/TasaUSD)))</f>
        <v/>
      </c>
      <c r="V1153" s="20">
        <f>IF(I1153="","",IF(IFERROR(INDEX(ctaLiq,MATCH(E1153,ctaNom,0))="Sí",FALSE),IF(OR(I1153="Gasto",I1153="Transferencia",I1153="Pago tarjeta"),-1,1)*O1153,0)+IF(AND(U1153&lt;&gt;"",IFERROR(INDEX(ctaLiq,MATCH(G1153,ctaNom,0))="Sí",FALSE)),O1153,0))</f>
        <v/>
      </c>
      <c r="W1153" s="19">
        <f>IF(OR(F1153="",I1153=""),"",IF(COUNTIFS(F$6:F1153,F1153,I$6:I1153,"?*")=1,MAX(W$5:W1152)+1,""))</f>
        <v/>
      </c>
    </row>
    <row r="1154">
      <c r="B1154" s="15" t="n"/>
      <c r="C1154" s="16" t="n"/>
      <c r="D1154" s="17" t="n"/>
      <c r="E1154" s="17" t="n"/>
      <c r="F1154" s="17" t="n"/>
      <c r="G1154" s="17" t="n"/>
      <c r="H1154" s="18">
        <f>IF(AND(B1154="",C1154="",D1154="",E1154=""),"",IF(B1154="","⚠ Falta fecha",IF(C1154="","⚠ Falta monto",IF(D1154="","⚠ Falta categoría",IF(ISNA(MATCH(D1154,catNom,0)),"⚠ Categoría no existe",IF(E1154="","⚠ Falta cuenta",IF(ISNA(MATCH(E1154,ctaNom,0)),"⚠ Cuenta no existe",IF(AND(OR(I1154="Transferencia",I1154="Pago tarjeta"),G1154=""),"⚠ Indica la cuenta «Hacia»",IF(AND(G1154&lt;&gt;"",G1154=E1154),"⚠ «Hacia» igual a la cuenta",IF(AND(G1154&lt;&gt;"",ISNA(MATCH(G1154,ctaNom,0))),"⚠ «Hacia» no existe",IF(AND(I1154="Pago tarjeta",IFERROR(INDEX(ctaTipo,MATCH(G1154,ctaNom,0)),"")&lt;&gt;"Tarjeta de crédito"),"⚠ «Hacia» debe ser la tarjeta",IF(AND(I1154="Trading",IFERROR(INDEX(ctaTipo,MATCH(E1154,ctaNom,0)),"")&lt;&gt;"Cuenta de trading"),"⚠ Usa la cuenta de trading","✓"))))))))))))</f>
        <v/>
      </c>
      <c r="I1154" s="19">
        <f>IF(OR(B1154="",C1154="",D1154=""),"",IFERROR(INDEX(catTipo,MATCH(D1154,catNom,0))&amp;"",""))</f>
        <v/>
      </c>
      <c r="J1154" s="19">
        <f>IF(I1154="","",IFERROR(INDEX(catGrupo,MATCH(D1154,catNom,0))&amp;"",""))</f>
        <v/>
      </c>
      <c r="K1154" s="19">
        <f>IF(I1154="Gasto",IF(IFERROR(INDEX(catClas,MATCH(D1154,catNom,0))&amp;"","")="","Variable",IFERROR(INDEX(catClas,MATCH(D1154,catNom,0))&amp;"","")),"")</f>
        <v/>
      </c>
      <c r="L1154" s="19">
        <f>IF(I1154="","",IFERROR(INDEX(catAlim,MATCH(D1154,catNom,0))&amp;"",""))</f>
        <v/>
      </c>
      <c r="M1154" s="19">
        <f>IF(I1154="","",IFERROR(INDEX(catComida,MATCH(D1154,catNom,0))&amp;"",""))</f>
        <v/>
      </c>
      <c r="N1154" s="19">
        <f>IF(I1154="","",IFERROR(INDEX(ctaMon,MATCH(E1154,ctaNom,0))&amp;"","DOP"))</f>
        <v/>
      </c>
      <c r="O1154" s="20">
        <f>IF(I1154="","",C1154*IF(N1154="USD",TasaUSD,1))</f>
        <v/>
      </c>
      <c r="P1154" s="20">
        <f>IF(I1154="","",IF(I1154="Gasto",O1154,0))</f>
        <v/>
      </c>
      <c r="Q1154" s="20">
        <f>IF(I1154="","",IF(I1154="Ingreso",O1154,0))</f>
        <v/>
      </c>
      <c r="R1154" s="20">
        <f>IF(I1154="","",IF(I1154="Trading",O1154,0))</f>
        <v/>
      </c>
      <c r="S1154" s="19">
        <f>IF(I1154="","",IF(AND(I1154="Gasto",K1154="Variable",J1154&lt;&gt;"Trading",O1154&gt;0,O1154&lt;=Umbral),1,0))</f>
        <v/>
      </c>
      <c r="T1154" s="20">
        <f>IF(OR(I1154="",E1154=""),"",IF(OR(I1154="Gasto",I1154="Transferencia",I1154="Pago tarjeta"),-1,1)*C1154)</f>
        <v/>
      </c>
      <c r="U1154" s="20">
        <f>IF(OR(G1154="",AND(I1154&lt;&gt;"Transferencia",I1154&lt;&gt;"Pago tarjeta")),"",IF(IFERROR(INDEX(ctaMon,MATCH(G1154,ctaNom,0))&amp;"","DOP")=N1154,C1154,IF(N1154="USD",C1154*TasaUSD,C1154/TasaUSD)))</f>
        <v/>
      </c>
      <c r="V1154" s="20">
        <f>IF(I1154="","",IF(IFERROR(INDEX(ctaLiq,MATCH(E1154,ctaNom,0))="Sí",FALSE),IF(OR(I1154="Gasto",I1154="Transferencia",I1154="Pago tarjeta"),-1,1)*O1154,0)+IF(AND(U1154&lt;&gt;"",IFERROR(INDEX(ctaLiq,MATCH(G1154,ctaNom,0))="Sí",FALSE)),O1154,0))</f>
        <v/>
      </c>
      <c r="W1154" s="19">
        <f>IF(OR(F1154="",I1154=""),"",IF(COUNTIFS(F$6:F1154,F1154,I$6:I1154,"?*")=1,MAX(W$5:W1153)+1,""))</f>
        <v/>
      </c>
    </row>
    <row r="1155">
      <c r="B1155" s="15" t="n"/>
      <c r="C1155" s="16" t="n"/>
      <c r="D1155" s="17" t="n"/>
      <c r="E1155" s="17" t="n"/>
      <c r="F1155" s="17" t="n"/>
      <c r="G1155" s="17" t="n"/>
      <c r="H1155" s="18">
        <f>IF(AND(B1155="",C1155="",D1155="",E1155=""),"",IF(B1155="","⚠ Falta fecha",IF(C1155="","⚠ Falta monto",IF(D1155="","⚠ Falta categoría",IF(ISNA(MATCH(D1155,catNom,0)),"⚠ Categoría no existe",IF(E1155="","⚠ Falta cuenta",IF(ISNA(MATCH(E1155,ctaNom,0)),"⚠ Cuenta no existe",IF(AND(OR(I1155="Transferencia",I1155="Pago tarjeta"),G1155=""),"⚠ Indica la cuenta «Hacia»",IF(AND(G1155&lt;&gt;"",G1155=E1155),"⚠ «Hacia» igual a la cuenta",IF(AND(G1155&lt;&gt;"",ISNA(MATCH(G1155,ctaNom,0))),"⚠ «Hacia» no existe",IF(AND(I1155="Pago tarjeta",IFERROR(INDEX(ctaTipo,MATCH(G1155,ctaNom,0)),"")&lt;&gt;"Tarjeta de crédito"),"⚠ «Hacia» debe ser la tarjeta",IF(AND(I1155="Trading",IFERROR(INDEX(ctaTipo,MATCH(E1155,ctaNom,0)),"")&lt;&gt;"Cuenta de trading"),"⚠ Usa la cuenta de trading","✓"))))))))))))</f>
        <v/>
      </c>
      <c r="I1155" s="19">
        <f>IF(OR(B1155="",C1155="",D1155=""),"",IFERROR(INDEX(catTipo,MATCH(D1155,catNom,0))&amp;"",""))</f>
        <v/>
      </c>
      <c r="J1155" s="19">
        <f>IF(I1155="","",IFERROR(INDEX(catGrupo,MATCH(D1155,catNom,0))&amp;"",""))</f>
        <v/>
      </c>
      <c r="K1155" s="19">
        <f>IF(I1155="Gasto",IF(IFERROR(INDEX(catClas,MATCH(D1155,catNom,0))&amp;"","")="","Variable",IFERROR(INDEX(catClas,MATCH(D1155,catNom,0))&amp;"","")),"")</f>
        <v/>
      </c>
      <c r="L1155" s="19">
        <f>IF(I1155="","",IFERROR(INDEX(catAlim,MATCH(D1155,catNom,0))&amp;"",""))</f>
        <v/>
      </c>
      <c r="M1155" s="19">
        <f>IF(I1155="","",IFERROR(INDEX(catComida,MATCH(D1155,catNom,0))&amp;"",""))</f>
        <v/>
      </c>
      <c r="N1155" s="19">
        <f>IF(I1155="","",IFERROR(INDEX(ctaMon,MATCH(E1155,ctaNom,0))&amp;"","DOP"))</f>
        <v/>
      </c>
      <c r="O1155" s="20">
        <f>IF(I1155="","",C1155*IF(N1155="USD",TasaUSD,1))</f>
        <v/>
      </c>
      <c r="P1155" s="20">
        <f>IF(I1155="","",IF(I1155="Gasto",O1155,0))</f>
        <v/>
      </c>
      <c r="Q1155" s="20">
        <f>IF(I1155="","",IF(I1155="Ingreso",O1155,0))</f>
        <v/>
      </c>
      <c r="R1155" s="20">
        <f>IF(I1155="","",IF(I1155="Trading",O1155,0))</f>
        <v/>
      </c>
      <c r="S1155" s="19">
        <f>IF(I1155="","",IF(AND(I1155="Gasto",K1155="Variable",J1155&lt;&gt;"Trading",O1155&gt;0,O1155&lt;=Umbral),1,0))</f>
        <v/>
      </c>
      <c r="T1155" s="20">
        <f>IF(OR(I1155="",E1155=""),"",IF(OR(I1155="Gasto",I1155="Transferencia",I1155="Pago tarjeta"),-1,1)*C1155)</f>
        <v/>
      </c>
      <c r="U1155" s="20">
        <f>IF(OR(G1155="",AND(I1155&lt;&gt;"Transferencia",I1155&lt;&gt;"Pago tarjeta")),"",IF(IFERROR(INDEX(ctaMon,MATCH(G1155,ctaNom,0))&amp;"","DOP")=N1155,C1155,IF(N1155="USD",C1155*TasaUSD,C1155/TasaUSD)))</f>
        <v/>
      </c>
      <c r="V1155" s="20">
        <f>IF(I1155="","",IF(IFERROR(INDEX(ctaLiq,MATCH(E1155,ctaNom,0))="Sí",FALSE),IF(OR(I1155="Gasto",I1155="Transferencia",I1155="Pago tarjeta"),-1,1)*O1155,0)+IF(AND(U1155&lt;&gt;"",IFERROR(INDEX(ctaLiq,MATCH(G1155,ctaNom,0))="Sí",FALSE)),O1155,0))</f>
        <v/>
      </c>
      <c r="W1155" s="19">
        <f>IF(OR(F1155="",I1155=""),"",IF(COUNTIFS(F$6:F1155,F1155,I$6:I1155,"?*")=1,MAX(W$5:W1154)+1,""))</f>
        <v/>
      </c>
    </row>
    <row r="1156">
      <c r="B1156" s="15" t="n"/>
      <c r="C1156" s="16" t="n"/>
      <c r="D1156" s="17" t="n"/>
      <c r="E1156" s="17" t="n"/>
      <c r="F1156" s="17" t="n"/>
      <c r="G1156" s="17" t="n"/>
      <c r="H1156" s="18">
        <f>IF(AND(B1156="",C1156="",D1156="",E1156=""),"",IF(B1156="","⚠ Falta fecha",IF(C1156="","⚠ Falta monto",IF(D1156="","⚠ Falta categoría",IF(ISNA(MATCH(D1156,catNom,0)),"⚠ Categoría no existe",IF(E1156="","⚠ Falta cuenta",IF(ISNA(MATCH(E1156,ctaNom,0)),"⚠ Cuenta no existe",IF(AND(OR(I1156="Transferencia",I1156="Pago tarjeta"),G1156=""),"⚠ Indica la cuenta «Hacia»",IF(AND(G1156&lt;&gt;"",G1156=E1156),"⚠ «Hacia» igual a la cuenta",IF(AND(G1156&lt;&gt;"",ISNA(MATCH(G1156,ctaNom,0))),"⚠ «Hacia» no existe",IF(AND(I1156="Pago tarjeta",IFERROR(INDEX(ctaTipo,MATCH(G1156,ctaNom,0)),"")&lt;&gt;"Tarjeta de crédito"),"⚠ «Hacia» debe ser la tarjeta",IF(AND(I1156="Trading",IFERROR(INDEX(ctaTipo,MATCH(E1156,ctaNom,0)),"")&lt;&gt;"Cuenta de trading"),"⚠ Usa la cuenta de trading","✓"))))))))))))</f>
        <v/>
      </c>
      <c r="I1156" s="19">
        <f>IF(OR(B1156="",C1156="",D1156=""),"",IFERROR(INDEX(catTipo,MATCH(D1156,catNom,0))&amp;"",""))</f>
        <v/>
      </c>
      <c r="J1156" s="19">
        <f>IF(I1156="","",IFERROR(INDEX(catGrupo,MATCH(D1156,catNom,0))&amp;"",""))</f>
        <v/>
      </c>
      <c r="K1156" s="19">
        <f>IF(I1156="Gasto",IF(IFERROR(INDEX(catClas,MATCH(D1156,catNom,0))&amp;"","")="","Variable",IFERROR(INDEX(catClas,MATCH(D1156,catNom,0))&amp;"","")),"")</f>
        <v/>
      </c>
      <c r="L1156" s="19">
        <f>IF(I1156="","",IFERROR(INDEX(catAlim,MATCH(D1156,catNom,0))&amp;"",""))</f>
        <v/>
      </c>
      <c r="M1156" s="19">
        <f>IF(I1156="","",IFERROR(INDEX(catComida,MATCH(D1156,catNom,0))&amp;"",""))</f>
        <v/>
      </c>
      <c r="N1156" s="19">
        <f>IF(I1156="","",IFERROR(INDEX(ctaMon,MATCH(E1156,ctaNom,0))&amp;"","DOP"))</f>
        <v/>
      </c>
      <c r="O1156" s="20">
        <f>IF(I1156="","",C1156*IF(N1156="USD",TasaUSD,1))</f>
        <v/>
      </c>
      <c r="P1156" s="20">
        <f>IF(I1156="","",IF(I1156="Gasto",O1156,0))</f>
        <v/>
      </c>
      <c r="Q1156" s="20">
        <f>IF(I1156="","",IF(I1156="Ingreso",O1156,0))</f>
        <v/>
      </c>
      <c r="R1156" s="20">
        <f>IF(I1156="","",IF(I1156="Trading",O1156,0))</f>
        <v/>
      </c>
      <c r="S1156" s="19">
        <f>IF(I1156="","",IF(AND(I1156="Gasto",K1156="Variable",J1156&lt;&gt;"Trading",O1156&gt;0,O1156&lt;=Umbral),1,0))</f>
        <v/>
      </c>
      <c r="T1156" s="20">
        <f>IF(OR(I1156="",E1156=""),"",IF(OR(I1156="Gasto",I1156="Transferencia",I1156="Pago tarjeta"),-1,1)*C1156)</f>
        <v/>
      </c>
      <c r="U1156" s="20">
        <f>IF(OR(G1156="",AND(I1156&lt;&gt;"Transferencia",I1156&lt;&gt;"Pago tarjeta")),"",IF(IFERROR(INDEX(ctaMon,MATCH(G1156,ctaNom,0))&amp;"","DOP")=N1156,C1156,IF(N1156="USD",C1156*TasaUSD,C1156/TasaUSD)))</f>
        <v/>
      </c>
      <c r="V1156" s="20">
        <f>IF(I1156="","",IF(IFERROR(INDEX(ctaLiq,MATCH(E1156,ctaNom,0))="Sí",FALSE),IF(OR(I1156="Gasto",I1156="Transferencia",I1156="Pago tarjeta"),-1,1)*O1156,0)+IF(AND(U1156&lt;&gt;"",IFERROR(INDEX(ctaLiq,MATCH(G1156,ctaNom,0))="Sí",FALSE)),O1156,0))</f>
        <v/>
      </c>
      <c r="W1156" s="19">
        <f>IF(OR(F1156="",I1156=""),"",IF(COUNTIFS(F$6:F1156,F1156,I$6:I1156,"?*")=1,MAX(W$5:W1155)+1,""))</f>
        <v/>
      </c>
    </row>
    <row r="1157">
      <c r="B1157" s="15" t="n"/>
      <c r="C1157" s="16" t="n"/>
      <c r="D1157" s="17" t="n"/>
      <c r="E1157" s="17" t="n"/>
      <c r="F1157" s="17" t="n"/>
      <c r="G1157" s="17" t="n"/>
      <c r="H1157" s="18">
        <f>IF(AND(B1157="",C1157="",D1157="",E1157=""),"",IF(B1157="","⚠ Falta fecha",IF(C1157="","⚠ Falta monto",IF(D1157="","⚠ Falta categoría",IF(ISNA(MATCH(D1157,catNom,0)),"⚠ Categoría no existe",IF(E1157="","⚠ Falta cuenta",IF(ISNA(MATCH(E1157,ctaNom,0)),"⚠ Cuenta no existe",IF(AND(OR(I1157="Transferencia",I1157="Pago tarjeta"),G1157=""),"⚠ Indica la cuenta «Hacia»",IF(AND(G1157&lt;&gt;"",G1157=E1157),"⚠ «Hacia» igual a la cuenta",IF(AND(G1157&lt;&gt;"",ISNA(MATCH(G1157,ctaNom,0))),"⚠ «Hacia» no existe",IF(AND(I1157="Pago tarjeta",IFERROR(INDEX(ctaTipo,MATCH(G1157,ctaNom,0)),"")&lt;&gt;"Tarjeta de crédito"),"⚠ «Hacia» debe ser la tarjeta",IF(AND(I1157="Trading",IFERROR(INDEX(ctaTipo,MATCH(E1157,ctaNom,0)),"")&lt;&gt;"Cuenta de trading"),"⚠ Usa la cuenta de trading","✓"))))))))))))</f>
        <v/>
      </c>
      <c r="I1157" s="19">
        <f>IF(OR(B1157="",C1157="",D1157=""),"",IFERROR(INDEX(catTipo,MATCH(D1157,catNom,0))&amp;"",""))</f>
        <v/>
      </c>
      <c r="J1157" s="19">
        <f>IF(I1157="","",IFERROR(INDEX(catGrupo,MATCH(D1157,catNom,0))&amp;"",""))</f>
        <v/>
      </c>
      <c r="K1157" s="19">
        <f>IF(I1157="Gasto",IF(IFERROR(INDEX(catClas,MATCH(D1157,catNom,0))&amp;"","")="","Variable",IFERROR(INDEX(catClas,MATCH(D1157,catNom,0))&amp;"","")),"")</f>
        <v/>
      </c>
      <c r="L1157" s="19">
        <f>IF(I1157="","",IFERROR(INDEX(catAlim,MATCH(D1157,catNom,0))&amp;"",""))</f>
        <v/>
      </c>
      <c r="M1157" s="19">
        <f>IF(I1157="","",IFERROR(INDEX(catComida,MATCH(D1157,catNom,0))&amp;"",""))</f>
        <v/>
      </c>
      <c r="N1157" s="19">
        <f>IF(I1157="","",IFERROR(INDEX(ctaMon,MATCH(E1157,ctaNom,0))&amp;"","DOP"))</f>
        <v/>
      </c>
      <c r="O1157" s="20">
        <f>IF(I1157="","",C1157*IF(N1157="USD",TasaUSD,1))</f>
        <v/>
      </c>
      <c r="P1157" s="20">
        <f>IF(I1157="","",IF(I1157="Gasto",O1157,0))</f>
        <v/>
      </c>
      <c r="Q1157" s="20">
        <f>IF(I1157="","",IF(I1157="Ingreso",O1157,0))</f>
        <v/>
      </c>
      <c r="R1157" s="20">
        <f>IF(I1157="","",IF(I1157="Trading",O1157,0))</f>
        <v/>
      </c>
      <c r="S1157" s="19">
        <f>IF(I1157="","",IF(AND(I1157="Gasto",K1157="Variable",J1157&lt;&gt;"Trading",O1157&gt;0,O1157&lt;=Umbral),1,0))</f>
        <v/>
      </c>
      <c r="T1157" s="20">
        <f>IF(OR(I1157="",E1157=""),"",IF(OR(I1157="Gasto",I1157="Transferencia",I1157="Pago tarjeta"),-1,1)*C1157)</f>
        <v/>
      </c>
      <c r="U1157" s="20">
        <f>IF(OR(G1157="",AND(I1157&lt;&gt;"Transferencia",I1157&lt;&gt;"Pago tarjeta")),"",IF(IFERROR(INDEX(ctaMon,MATCH(G1157,ctaNom,0))&amp;"","DOP")=N1157,C1157,IF(N1157="USD",C1157*TasaUSD,C1157/TasaUSD)))</f>
        <v/>
      </c>
      <c r="V1157" s="20">
        <f>IF(I1157="","",IF(IFERROR(INDEX(ctaLiq,MATCH(E1157,ctaNom,0))="Sí",FALSE),IF(OR(I1157="Gasto",I1157="Transferencia",I1157="Pago tarjeta"),-1,1)*O1157,0)+IF(AND(U1157&lt;&gt;"",IFERROR(INDEX(ctaLiq,MATCH(G1157,ctaNom,0))="Sí",FALSE)),O1157,0))</f>
        <v/>
      </c>
      <c r="W1157" s="19">
        <f>IF(OR(F1157="",I1157=""),"",IF(COUNTIFS(F$6:F1157,F1157,I$6:I1157,"?*")=1,MAX(W$5:W1156)+1,""))</f>
        <v/>
      </c>
    </row>
    <row r="1158">
      <c r="B1158" s="15" t="n"/>
      <c r="C1158" s="16" t="n"/>
      <c r="D1158" s="17" t="n"/>
      <c r="E1158" s="17" t="n"/>
      <c r="F1158" s="17" t="n"/>
      <c r="G1158" s="17" t="n"/>
      <c r="H1158" s="18">
        <f>IF(AND(B1158="",C1158="",D1158="",E1158=""),"",IF(B1158="","⚠ Falta fecha",IF(C1158="","⚠ Falta monto",IF(D1158="","⚠ Falta categoría",IF(ISNA(MATCH(D1158,catNom,0)),"⚠ Categoría no existe",IF(E1158="","⚠ Falta cuenta",IF(ISNA(MATCH(E1158,ctaNom,0)),"⚠ Cuenta no existe",IF(AND(OR(I1158="Transferencia",I1158="Pago tarjeta"),G1158=""),"⚠ Indica la cuenta «Hacia»",IF(AND(G1158&lt;&gt;"",G1158=E1158),"⚠ «Hacia» igual a la cuenta",IF(AND(G1158&lt;&gt;"",ISNA(MATCH(G1158,ctaNom,0))),"⚠ «Hacia» no existe",IF(AND(I1158="Pago tarjeta",IFERROR(INDEX(ctaTipo,MATCH(G1158,ctaNom,0)),"")&lt;&gt;"Tarjeta de crédito"),"⚠ «Hacia» debe ser la tarjeta",IF(AND(I1158="Trading",IFERROR(INDEX(ctaTipo,MATCH(E1158,ctaNom,0)),"")&lt;&gt;"Cuenta de trading"),"⚠ Usa la cuenta de trading","✓"))))))))))))</f>
        <v/>
      </c>
      <c r="I1158" s="19">
        <f>IF(OR(B1158="",C1158="",D1158=""),"",IFERROR(INDEX(catTipo,MATCH(D1158,catNom,0))&amp;"",""))</f>
        <v/>
      </c>
      <c r="J1158" s="19">
        <f>IF(I1158="","",IFERROR(INDEX(catGrupo,MATCH(D1158,catNom,0))&amp;"",""))</f>
        <v/>
      </c>
      <c r="K1158" s="19">
        <f>IF(I1158="Gasto",IF(IFERROR(INDEX(catClas,MATCH(D1158,catNom,0))&amp;"","")="","Variable",IFERROR(INDEX(catClas,MATCH(D1158,catNom,0))&amp;"","")),"")</f>
        <v/>
      </c>
      <c r="L1158" s="19">
        <f>IF(I1158="","",IFERROR(INDEX(catAlim,MATCH(D1158,catNom,0))&amp;"",""))</f>
        <v/>
      </c>
      <c r="M1158" s="19">
        <f>IF(I1158="","",IFERROR(INDEX(catComida,MATCH(D1158,catNom,0))&amp;"",""))</f>
        <v/>
      </c>
      <c r="N1158" s="19">
        <f>IF(I1158="","",IFERROR(INDEX(ctaMon,MATCH(E1158,ctaNom,0))&amp;"","DOP"))</f>
        <v/>
      </c>
      <c r="O1158" s="20">
        <f>IF(I1158="","",C1158*IF(N1158="USD",TasaUSD,1))</f>
        <v/>
      </c>
      <c r="P1158" s="20">
        <f>IF(I1158="","",IF(I1158="Gasto",O1158,0))</f>
        <v/>
      </c>
      <c r="Q1158" s="20">
        <f>IF(I1158="","",IF(I1158="Ingreso",O1158,0))</f>
        <v/>
      </c>
      <c r="R1158" s="20">
        <f>IF(I1158="","",IF(I1158="Trading",O1158,0))</f>
        <v/>
      </c>
      <c r="S1158" s="19">
        <f>IF(I1158="","",IF(AND(I1158="Gasto",K1158="Variable",J1158&lt;&gt;"Trading",O1158&gt;0,O1158&lt;=Umbral),1,0))</f>
        <v/>
      </c>
      <c r="T1158" s="20">
        <f>IF(OR(I1158="",E1158=""),"",IF(OR(I1158="Gasto",I1158="Transferencia",I1158="Pago tarjeta"),-1,1)*C1158)</f>
        <v/>
      </c>
      <c r="U1158" s="20">
        <f>IF(OR(G1158="",AND(I1158&lt;&gt;"Transferencia",I1158&lt;&gt;"Pago tarjeta")),"",IF(IFERROR(INDEX(ctaMon,MATCH(G1158,ctaNom,0))&amp;"","DOP")=N1158,C1158,IF(N1158="USD",C1158*TasaUSD,C1158/TasaUSD)))</f>
        <v/>
      </c>
      <c r="V1158" s="20">
        <f>IF(I1158="","",IF(IFERROR(INDEX(ctaLiq,MATCH(E1158,ctaNom,0))="Sí",FALSE),IF(OR(I1158="Gasto",I1158="Transferencia",I1158="Pago tarjeta"),-1,1)*O1158,0)+IF(AND(U1158&lt;&gt;"",IFERROR(INDEX(ctaLiq,MATCH(G1158,ctaNom,0))="Sí",FALSE)),O1158,0))</f>
        <v/>
      </c>
      <c r="W1158" s="19">
        <f>IF(OR(F1158="",I1158=""),"",IF(COUNTIFS(F$6:F1158,F1158,I$6:I1158,"?*")=1,MAX(W$5:W1157)+1,""))</f>
        <v/>
      </c>
    </row>
    <row r="1159">
      <c r="B1159" s="15" t="n"/>
      <c r="C1159" s="16" t="n"/>
      <c r="D1159" s="17" t="n"/>
      <c r="E1159" s="17" t="n"/>
      <c r="F1159" s="17" t="n"/>
      <c r="G1159" s="17" t="n"/>
      <c r="H1159" s="18">
        <f>IF(AND(B1159="",C1159="",D1159="",E1159=""),"",IF(B1159="","⚠ Falta fecha",IF(C1159="","⚠ Falta monto",IF(D1159="","⚠ Falta categoría",IF(ISNA(MATCH(D1159,catNom,0)),"⚠ Categoría no existe",IF(E1159="","⚠ Falta cuenta",IF(ISNA(MATCH(E1159,ctaNom,0)),"⚠ Cuenta no existe",IF(AND(OR(I1159="Transferencia",I1159="Pago tarjeta"),G1159=""),"⚠ Indica la cuenta «Hacia»",IF(AND(G1159&lt;&gt;"",G1159=E1159),"⚠ «Hacia» igual a la cuenta",IF(AND(G1159&lt;&gt;"",ISNA(MATCH(G1159,ctaNom,0))),"⚠ «Hacia» no existe",IF(AND(I1159="Pago tarjeta",IFERROR(INDEX(ctaTipo,MATCH(G1159,ctaNom,0)),"")&lt;&gt;"Tarjeta de crédito"),"⚠ «Hacia» debe ser la tarjeta",IF(AND(I1159="Trading",IFERROR(INDEX(ctaTipo,MATCH(E1159,ctaNom,0)),"")&lt;&gt;"Cuenta de trading"),"⚠ Usa la cuenta de trading","✓"))))))))))))</f>
        <v/>
      </c>
      <c r="I1159" s="19">
        <f>IF(OR(B1159="",C1159="",D1159=""),"",IFERROR(INDEX(catTipo,MATCH(D1159,catNom,0))&amp;"",""))</f>
        <v/>
      </c>
      <c r="J1159" s="19">
        <f>IF(I1159="","",IFERROR(INDEX(catGrupo,MATCH(D1159,catNom,0))&amp;"",""))</f>
        <v/>
      </c>
      <c r="K1159" s="19">
        <f>IF(I1159="Gasto",IF(IFERROR(INDEX(catClas,MATCH(D1159,catNom,0))&amp;"","")="","Variable",IFERROR(INDEX(catClas,MATCH(D1159,catNom,0))&amp;"","")),"")</f>
        <v/>
      </c>
      <c r="L1159" s="19">
        <f>IF(I1159="","",IFERROR(INDEX(catAlim,MATCH(D1159,catNom,0))&amp;"",""))</f>
        <v/>
      </c>
      <c r="M1159" s="19">
        <f>IF(I1159="","",IFERROR(INDEX(catComida,MATCH(D1159,catNom,0))&amp;"",""))</f>
        <v/>
      </c>
      <c r="N1159" s="19">
        <f>IF(I1159="","",IFERROR(INDEX(ctaMon,MATCH(E1159,ctaNom,0))&amp;"","DOP"))</f>
        <v/>
      </c>
      <c r="O1159" s="20">
        <f>IF(I1159="","",C1159*IF(N1159="USD",TasaUSD,1))</f>
        <v/>
      </c>
      <c r="P1159" s="20">
        <f>IF(I1159="","",IF(I1159="Gasto",O1159,0))</f>
        <v/>
      </c>
      <c r="Q1159" s="20">
        <f>IF(I1159="","",IF(I1159="Ingreso",O1159,0))</f>
        <v/>
      </c>
      <c r="R1159" s="20">
        <f>IF(I1159="","",IF(I1159="Trading",O1159,0))</f>
        <v/>
      </c>
      <c r="S1159" s="19">
        <f>IF(I1159="","",IF(AND(I1159="Gasto",K1159="Variable",J1159&lt;&gt;"Trading",O1159&gt;0,O1159&lt;=Umbral),1,0))</f>
        <v/>
      </c>
      <c r="T1159" s="20">
        <f>IF(OR(I1159="",E1159=""),"",IF(OR(I1159="Gasto",I1159="Transferencia",I1159="Pago tarjeta"),-1,1)*C1159)</f>
        <v/>
      </c>
      <c r="U1159" s="20">
        <f>IF(OR(G1159="",AND(I1159&lt;&gt;"Transferencia",I1159&lt;&gt;"Pago tarjeta")),"",IF(IFERROR(INDEX(ctaMon,MATCH(G1159,ctaNom,0))&amp;"","DOP")=N1159,C1159,IF(N1159="USD",C1159*TasaUSD,C1159/TasaUSD)))</f>
        <v/>
      </c>
      <c r="V1159" s="20">
        <f>IF(I1159="","",IF(IFERROR(INDEX(ctaLiq,MATCH(E1159,ctaNom,0))="Sí",FALSE),IF(OR(I1159="Gasto",I1159="Transferencia",I1159="Pago tarjeta"),-1,1)*O1159,0)+IF(AND(U1159&lt;&gt;"",IFERROR(INDEX(ctaLiq,MATCH(G1159,ctaNom,0))="Sí",FALSE)),O1159,0))</f>
        <v/>
      </c>
      <c r="W1159" s="19">
        <f>IF(OR(F1159="",I1159=""),"",IF(COUNTIFS(F$6:F1159,F1159,I$6:I1159,"?*")=1,MAX(W$5:W1158)+1,""))</f>
        <v/>
      </c>
    </row>
    <row r="1160">
      <c r="B1160" s="15" t="n"/>
      <c r="C1160" s="16" t="n"/>
      <c r="D1160" s="17" t="n"/>
      <c r="E1160" s="17" t="n"/>
      <c r="F1160" s="17" t="n"/>
      <c r="G1160" s="17" t="n"/>
      <c r="H1160" s="18">
        <f>IF(AND(B1160="",C1160="",D1160="",E1160=""),"",IF(B1160="","⚠ Falta fecha",IF(C1160="","⚠ Falta monto",IF(D1160="","⚠ Falta categoría",IF(ISNA(MATCH(D1160,catNom,0)),"⚠ Categoría no existe",IF(E1160="","⚠ Falta cuenta",IF(ISNA(MATCH(E1160,ctaNom,0)),"⚠ Cuenta no existe",IF(AND(OR(I1160="Transferencia",I1160="Pago tarjeta"),G1160=""),"⚠ Indica la cuenta «Hacia»",IF(AND(G1160&lt;&gt;"",G1160=E1160),"⚠ «Hacia» igual a la cuenta",IF(AND(G1160&lt;&gt;"",ISNA(MATCH(G1160,ctaNom,0))),"⚠ «Hacia» no existe",IF(AND(I1160="Pago tarjeta",IFERROR(INDEX(ctaTipo,MATCH(G1160,ctaNom,0)),"")&lt;&gt;"Tarjeta de crédito"),"⚠ «Hacia» debe ser la tarjeta",IF(AND(I1160="Trading",IFERROR(INDEX(ctaTipo,MATCH(E1160,ctaNom,0)),"")&lt;&gt;"Cuenta de trading"),"⚠ Usa la cuenta de trading","✓"))))))))))))</f>
        <v/>
      </c>
      <c r="I1160" s="19">
        <f>IF(OR(B1160="",C1160="",D1160=""),"",IFERROR(INDEX(catTipo,MATCH(D1160,catNom,0))&amp;"",""))</f>
        <v/>
      </c>
      <c r="J1160" s="19">
        <f>IF(I1160="","",IFERROR(INDEX(catGrupo,MATCH(D1160,catNom,0))&amp;"",""))</f>
        <v/>
      </c>
      <c r="K1160" s="19">
        <f>IF(I1160="Gasto",IF(IFERROR(INDEX(catClas,MATCH(D1160,catNom,0))&amp;"","")="","Variable",IFERROR(INDEX(catClas,MATCH(D1160,catNom,0))&amp;"","")),"")</f>
        <v/>
      </c>
      <c r="L1160" s="19">
        <f>IF(I1160="","",IFERROR(INDEX(catAlim,MATCH(D1160,catNom,0))&amp;"",""))</f>
        <v/>
      </c>
      <c r="M1160" s="19">
        <f>IF(I1160="","",IFERROR(INDEX(catComida,MATCH(D1160,catNom,0))&amp;"",""))</f>
        <v/>
      </c>
      <c r="N1160" s="19">
        <f>IF(I1160="","",IFERROR(INDEX(ctaMon,MATCH(E1160,ctaNom,0))&amp;"","DOP"))</f>
        <v/>
      </c>
      <c r="O1160" s="20">
        <f>IF(I1160="","",C1160*IF(N1160="USD",TasaUSD,1))</f>
        <v/>
      </c>
      <c r="P1160" s="20">
        <f>IF(I1160="","",IF(I1160="Gasto",O1160,0))</f>
        <v/>
      </c>
      <c r="Q1160" s="20">
        <f>IF(I1160="","",IF(I1160="Ingreso",O1160,0))</f>
        <v/>
      </c>
      <c r="R1160" s="20">
        <f>IF(I1160="","",IF(I1160="Trading",O1160,0))</f>
        <v/>
      </c>
      <c r="S1160" s="19">
        <f>IF(I1160="","",IF(AND(I1160="Gasto",K1160="Variable",J1160&lt;&gt;"Trading",O1160&gt;0,O1160&lt;=Umbral),1,0))</f>
        <v/>
      </c>
      <c r="T1160" s="20">
        <f>IF(OR(I1160="",E1160=""),"",IF(OR(I1160="Gasto",I1160="Transferencia",I1160="Pago tarjeta"),-1,1)*C1160)</f>
        <v/>
      </c>
      <c r="U1160" s="20">
        <f>IF(OR(G1160="",AND(I1160&lt;&gt;"Transferencia",I1160&lt;&gt;"Pago tarjeta")),"",IF(IFERROR(INDEX(ctaMon,MATCH(G1160,ctaNom,0))&amp;"","DOP")=N1160,C1160,IF(N1160="USD",C1160*TasaUSD,C1160/TasaUSD)))</f>
        <v/>
      </c>
      <c r="V1160" s="20">
        <f>IF(I1160="","",IF(IFERROR(INDEX(ctaLiq,MATCH(E1160,ctaNom,0))="Sí",FALSE),IF(OR(I1160="Gasto",I1160="Transferencia",I1160="Pago tarjeta"),-1,1)*O1160,0)+IF(AND(U1160&lt;&gt;"",IFERROR(INDEX(ctaLiq,MATCH(G1160,ctaNom,0))="Sí",FALSE)),O1160,0))</f>
        <v/>
      </c>
      <c r="W1160" s="19">
        <f>IF(OR(F1160="",I1160=""),"",IF(COUNTIFS(F$6:F1160,F1160,I$6:I1160,"?*")=1,MAX(W$5:W1159)+1,""))</f>
        <v/>
      </c>
    </row>
    <row r="1161">
      <c r="B1161" s="15" t="n"/>
      <c r="C1161" s="16" t="n"/>
      <c r="D1161" s="17" t="n"/>
      <c r="E1161" s="17" t="n"/>
      <c r="F1161" s="17" t="n"/>
      <c r="G1161" s="17" t="n"/>
      <c r="H1161" s="18">
        <f>IF(AND(B1161="",C1161="",D1161="",E1161=""),"",IF(B1161="","⚠ Falta fecha",IF(C1161="","⚠ Falta monto",IF(D1161="","⚠ Falta categoría",IF(ISNA(MATCH(D1161,catNom,0)),"⚠ Categoría no existe",IF(E1161="","⚠ Falta cuenta",IF(ISNA(MATCH(E1161,ctaNom,0)),"⚠ Cuenta no existe",IF(AND(OR(I1161="Transferencia",I1161="Pago tarjeta"),G1161=""),"⚠ Indica la cuenta «Hacia»",IF(AND(G1161&lt;&gt;"",G1161=E1161),"⚠ «Hacia» igual a la cuenta",IF(AND(G1161&lt;&gt;"",ISNA(MATCH(G1161,ctaNom,0))),"⚠ «Hacia» no existe",IF(AND(I1161="Pago tarjeta",IFERROR(INDEX(ctaTipo,MATCH(G1161,ctaNom,0)),"")&lt;&gt;"Tarjeta de crédito"),"⚠ «Hacia» debe ser la tarjeta",IF(AND(I1161="Trading",IFERROR(INDEX(ctaTipo,MATCH(E1161,ctaNom,0)),"")&lt;&gt;"Cuenta de trading"),"⚠ Usa la cuenta de trading","✓"))))))))))))</f>
        <v/>
      </c>
      <c r="I1161" s="19">
        <f>IF(OR(B1161="",C1161="",D1161=""),"",IFERROR(INDEX(catTipo,MATCH(D1161,catNom,0))&amp;"",""))</f>
        <v/>
      </c>
      <c r="J1161" s="19">
        <f>IF(I1161="","",IFERROR(INDEX(catGrupo,MATCH(D1161,catNom,0))&amp;"",""))</f>
        <v/>
      </c>
      <c r="K1161" s="19">
        <f>IF(I1161="Gasto",IF(IFERROR(INDEX(catClas,MATCH(D1161,catNom,0))&amp;"","")="","Variable",IFERROR(INDEX(catClas,MATCH(D1161,catNom,0))&amp;"","")),"")</f>
        <v/>
      </c>
      <c r="L1161" s="19">
        <f>IF(I1161="","",IFERROR(INDEX(catAlim,MATCH(D1161,catNom,0))&amp;"",""))</f>
        <v/>
      </c>
      <c r="M1161" s="19">
        <f>IF(I1161="","",IFERROR(INDEX(catComida,MATCH(D1161,catNom,0))&amp;"",""))</f>
        <v/>
      </c>
      <c r="N1161" s="19">
        <f>IF(I1161="","",IFERROR(INDEX(ctaMon,MATCH(E1161,ctaNom,0))&amp;"","DOP"))</f>
        <v/>
      </c>
      <c r="O1161" s="20">
        <f>IF(I1161="","",C1161*IF(N1161="USD",TasaUSD,1))</f>
        <v/>
      </c>
      <c r="P1161" s="20">
        <f>IF(I1161="","",IF(I1161="Gasto",O1161,0))</f>
        <v/>
      </c>
      <c r="Q1161" s="20">
        <f>IF(I1161="","",IF(I1161="Ingreso",O1161,0))</f>
        <v/>
      </c>
      <c r="R1161" s="20">
        <f>IF(I1161="","",IF(I1161="Trading",O1161,0))</f>
        <v/>
      </c>
      <c r="S1161" s="19">
        <f>IF(I1161="","",IF(AND(I1161="Gasto",K1161="Variable",J1161&lt;&gt;"Trading",O1161&gt;0,O1161&lt;=Umbral),1,0))</f>
        <v/>
      </c>
      <c r="T1161" s="20">
        <f>IF(OR(I1161="",E1161=""),"",IF(OR(I1161="Gasto",I1161="Transferencia",I1161="Pago tarjeta"),-1,1)*C1161)</f>
        <v/>
      </c>
      <c r="U1161" s="20">
        <f>IF(OR(G1161="",AND(I1161&lt;&gt;"Transferencia",I1161&lt;&gt;"Pago tarjeta")),"",IF(IFERROR(INDEX(ctaMon,MATCH(G1161,ctaNom,0))&amp;"","DOP")=N1161,C1161,IF(N1161="USD",C1161*TasaUSD,C1161/TasaUSD)))</f>
        <v/>
      </c>
      <c r="V1161" s="20">
        <f>IF(I1161="","",IF(IFERROR(INDEX(ctaLiq,MATCH(E1161,ctaNom,0))="Sí",FALSE),IF(OR(I1161="Gasto",I1161="Transferencia",I1161="Pago tarjeta"),-1,1)*O1161,0)+IF(AND(U1161&lt;&gt;"",IFERROR(INDEX(ctaLiq,MATCH(G1161,ctaNom,0))="Sí",FALSE)),O1161,0))</f>
        <v/>
      </c>
      <c r="W1161" s="19">
        <f>IF(OR(F1161="",I1161=""),"",IF(COUNTIFS(F$6:F1161,F1161,I$6:I1161,"?*")=1,MAX(W$5:W1160)+1,""))</f>
        <v/>
      </c>
    </row>
    <row r="1162">
      <c r="B1162" s="15" t="n"/>
      <c r="C1162" s="16" t="n"/>
      <c r="D1162" s="17" t="n"/>
      <c r="E1162" s="17" t="n"/>
      <c r="F1162" s="17" t="n"/>
      <c r="G1162" s="17" t="n"/>
      <c r="H1162" s="18">
        <f>IF(AND(B1162="",C1162="",D1162="",E1162=""),"",IF(B1162="","⚠ Falta fecha",IF(C1162="","⚠ Falta monto",IF(D1162="","⚠ Falta categoría",IF(ISNA(MATCH(D1162,catNom,0)),"⚠ Categoría no existe",IF(E1162="","⚠ Falta cuenta",IF(ISNA(MATCH(E1162,ctaNom,0)),"⚠ Cuenta no existe",IF(AND(OR(I1162="Transferencia",I1162="Pago tarjeta"),G1162=""),"⚠ Indica la cuenta «Hacia»",IF(AND(G1162&lt;&gt;"",G1162=E1162),"⚠ «Hacia» igual a la cuenta",IF(AND(G1162&lt;&gt;"",ISNA(MATCH(G1162,ctaNom,0))),"⚠ «Hacia» no existe",IF(AND(I1162="Pago tarjeta",IFERROR(INDEX(ctaTipo,MATCH(G1162,ctaNom,0)),"")&lt;&gt;"Tarjeta de crédito"),"⚠ «Hacia» debe ser la tarjeta",IF(AND(I1162="Trading",IFERROR(INDEX(ctaTipo,MATCH(E1162,ctaNom,0)),"")&lt;&gt;"Cuenta de trading"),"⚠ Usa la cuenta de trading","✓"))))))))))))</f>
        <v/>
      </c>
      <c r="I1162" s="19">
        <f>IF(OR(B1162="",C1162="",D1162=""),"",IFERROR(INDEX(catTipo,MATCH(D1162,catNom,0))&amp;"",""))</f>
        <v/>
      </c>
      <c r="J1162" s="19">
        <f>IF(I1162="","",IFERROR(INDEX(catGrupo,MATCH(D1162,catNom,0))&amp;"",""))</f>
        <v/>
      </c>
      <c r="K1162" s="19">
        <f>IF(I1162="Gasto",IF(IFERROR(INDEX(catClas,MATCH(D1162,catNom,0))&amp;"","")="","Variable",IFERROR(INDEX(catClas,MATCH(D1162,catNom,0))&amp;"","")),"")</f>
        <v/>
      </c>
      <c r="L1162" s="19">
        <f>IF(I1162="","",IFERROR(INDEX(catAlim,MATCH(D1162,catNom,0))&amp;"",""))</f>
        <v/>
      </c>
      <c r="M1162" s="19">
        <f>IF(I1162="","",IFERROR(INDEX(catComida,MATCH(D1162,catNom,0))&amp;"",""))</f>
        <v/>
      </c>
      <c r="N1162" s="19">
        <f>IF(I1162="","",IFERROR(INDEX(ctaMon,MATCH(E1162,ctaNom,0))&amp;"","DOP"))</f>
        <v/>
      </c>
      <c r="O1162" s="20">
        <f>IF(I1162="","",C1162*IF(N1162="USD",TasaUSD,1))</f>
        <v/>
      </c>
      <c r="P1162" s="20">
        <f>IF(I1162="","",IF(I1162="Gasto",O1162,0))</f>
        <v/>
      </c>
      <c r="Q1162" s="20">
        <f>IF(I1162="","",IF(I1162="Ingreso",O1162,0))</f>
        <v/>
      </c>
      <c r="R1162" s="20">
        <f>IF(I1162="","",IF(I1162="Trading",O1162,0))</f>
        <v/>
      </c>
      <c r="S1162" s="19">
        <f>IF(I1162="","",IF(AND(I1162="Gasto",K1162="Variable",J1162&lt;&gt;"Trading",O1162&gt;0,O1162&lt;=Umbral),1,0))</f>
        <v/>
      </c>
      <c r="T1162" s="20">
        <f>IF(OR(I1162="",E1162=""),"",IF(OR(I1162="Gasto",I1162="Transferencia",I1162="Pago tarjeta"),-1,1)*C1162)</f>
        <v/>
      </c>
      <c r="U1162" s="20">
        <f>IF(OR(G1162="",AND(I1162&lt;&gt;"Transferencia",I1162&lt;&gt;"Pago tarjeta")),"",IF(IFERROR(INDEX(ctaMon,MATCH(G1162,ctaNom,0))&amp;"","DOP")=N1162,C1162,IF(N1162="USD",C1162*TasaUSD,C1162/TasaUSD)))</f>
        <v/>
      </c>
      <c r="V1162" s="20">
        <f>IF(I1162="","",IF(IFERROR(INDEX(ctaLiq,MATCH(E1162,ctaNom,0))="Sí",FALSE),IF(OR(I1162="Gasto",I1162="Transferencia",I1162="Pago tarjeta"),-1,1)*O1162,0)+IF(AND(U1162&lt;&gt;"",IFERROR(INDEX(ctaLiq,MATCH(G1162,ctaNom,0))="Sí",FALSE)),O1162,0))</f>
        <v/>
      </c>
      <c r="W1162" s="19">
        <f>IF(OR(F1162="",I1162=""),"",IF(COUNTIFS(F$6:F1162,F1162,I$6:I1162,"?*")=1,MAX(W$5:W1161)+1,""))</f>
        <v/>
      </c>
    </row>
    <row r="1163">
      <c r="B1163" s="15" t="n"/>
      <c r="C1163" s="16" t="n"/>
      <c r="D1163" s="17" t="n"/>
      <c r="E1163" s="17" t="n"/>
      <c r="F1163" s="17" t="n"/>
      <c r="G1163" s="17" t="n"/>
      <c r="H1163" s="18">
        <f>IF(AND(B1163="",C1163="",D1163="",E1163=""),"",IF(B1163="","⚠ Falta fecha",IF(C1163="","⚠ Falta monto",IF(D1163="","⚠ Falta categoría",IF(ISNA(MATCH(D1163,catNom,0)),"⚠ Categoría no existe",IF(E1163="","⚠ Falta cuenta",IF(ISNA(MATCH(E1163,ctaNom,0)),"⚠ Cuenta no existe",IF(AND(OR(I1163="Transferencia",I1163="Pago tarjeta"),G1163=""),"⚠ Indica la cuenta «Hacia»",IF(AND(G1163&lt;&gt;"",G1163=E1163),"⚠ «Hacia» igual a la cuenta",IF(AND(G1163&lt;&gt;"",ISNA(MATCH(G1163,ctaNom,0))),"⚠ «Hacia» no existe",IF(AND(I1163="Pago tarjeta",IFERROR(INDEX(ctaTipo,MATCH(G1163,ctaNom,0)),"")&lt;&gt;"Tarjeta de crédito"),"⚠ «Hacia» debe ser la tarjeta",IF(AND(I1163="Trading",IFERROR(INDEX(ctaTipo,MATCH(E1163,ctaNom,0)),"")&lt;&gt;"Cuenta de trading"),"⚠ Usa la cuenta de trading","✓"))))))))))))</f>
        <v/>
      </c>
      <c r="I1163" s="19">
        <f>IF(OR(B1163="",C1163="",D1163=""),"",IFERROR(INDEX(catTipo,MATCH(D1163,catNom,0))&amp;"",""))</f>
        <v/>
      </c>
      <c r="J1163" s="19">
        <f>IF(I1163="","",IFERROR(INDEX(catGrupo,MATCH(D1163,catNom,0))&amp;"",""))</f>
        <v/>
      </c>
      <c r="K1163" s="19">
        <f>IF(I1163="Gasto",IF(IFERROR(INDEX(catClas,MATCH(D1163,catNom,0))&amp;"","")="","Variable",IFERROR(INDEX(catClas,MATCH(D1163,catNom,0))&amp;"","")),"")</f>
        <v/>
      </c>
      <c r="L1163" s="19">
        <f>IF(I1163="","",IFERROR(INDEX(catAlim,MATCH(D1163,catNom,0))&amp;"",""))</f>
        <v/>
      </c>
      <c r="M1163" s="19">
        <f>IF(I1163="","",IFERROR(INDEX(catComida,MATCH(D1163,catNom,0))&amp;"",""))</f>
        <v/>
      </c>
      <c r="N1163" s="19">
        <f>IF(I1163="","",IFERROR(INDEX(ctaMon,MATCH(E1163,ctaNom,0))&amp;"","DOP"))</f>
        <v/>
      </c>
      <c r="O1163" s="20">
        <f>IF(I1163="","",C1163*IF(N1163="USD",TasaUSD,1))</f>
        <v/>
      </c>
      <c r="P1163" s="20">
        <f>IF(I1163="","",IF(I1163="Gasto",O1163,0))</f>
        <v/>
      </c>
      <c r="Q1163" s="20">
        <f>IF(I1163="","",IF(I1163="Ingreso",O1163,0))</f>
        <v/>
      </c>
      <c r="R1163" s="20">
        <f>IF(I1163="","",IF(I1163="Trading",O1163,0))</f>
        <v/>
      </c>
      <c r="S1163" s="19">
        <f>IF(I1163="","",IF(AND(I1163="Gasto",K1163="Variable",J1163&lt;&gt;"Trading",O1163&gt;0,O1163&lt;=Umbral),1,0))</f>
        <v/>
      </c>
      <c r="T1163" s="20">
        <f>IF(OR(I1163="",E1163=""),"",IF(OR(I1163="Gasto",I1163="Transferencia",I1163="Pago tarjeta"),-1,1)*C1163)</f>
        <v/>
      </c>
      <c r="U1163" s="20">
        <f>IF(OR(G1163="",AND(I1163&lt;&gt;"Transferencia",I1163&lt;&gt;"Pago tarjeta")),"",IF(IFERROR(INDEX(ctaMon,MATCH(G1163,ctaNom,0))&amp;"","DOP")=N1163,C1163,IF(N1163="USD",C1163*TasaUSD,C1163/TasaUSD)))</f>
        <v/>
      </c>
      <c r="V1163" s="20">
        <f>IF(I1163="","",IF(IFERROR(INDEX(ctaLiq,MATCH(E1163,ctaNom,0))="Sí",FALSE),IF(OR(I1163="Gasto",I1163="Transferencia",I1163="Pago tarjeta"),-1,1)*O1163,0)+IF(AND(U1163&lt;&gt;"",IFERROR(INDEX(ctaLiq,MATCH(G1163,ctaNom,0))="Sí",FALSE)),O1163,0))</f>
        <v/>
      </c>
      <c r="W1163" s="19">
        <f>IF(OR(F1163="",I1163=""),"",IF(COUNTIFS(F$6:F1163,F1163,I$6:I1163,"?*")=1,MAX(W$5:W1162)+1,""))</f>
        <v/>
      </c>
    </row>
    <row r="1164">
      <c r="B1164" s="15" t="n"/>
      <c r="C1164" s="16" t="n"/>
      <c r="D1164" s="17" t="n"/>
      <c r="E1164" s="17" t="n"/>
      <c r="F1164" s="17" t="n"/>
      <c r="G1164" s="17" t="n"/>
      <c r="H1164" s="18">
        <f>IF(AND(B1164="",C1164="",D1164="",E1164=""),"",IF(B1164="","⚠ Falta fecha",IF(C1164="","⚠ Falta monto",IF(D1164="","⚠ Falta categoría",IF(ISNA(MATCH(D1164,catNom,0)),"⚠ Categoría no existe",IF(E1164="","⚠ Falta cuenta",IF(ISNA(MATCH(E1164,ctaNom,0)),"⚠ Cuenta no existe",IF(AND(OR(I1164="Transferencia",I1164="Pago tarjeta"),G1164=""),"⚠ Indica la cuenta «Hacia»",IF(AND(G1164&lt;&gt;"",G1164=E1164),"⚠ «Hacia» igual a la cuenta",IF(AND(G1164&lt;&gt;"",ISNA(MATCH(G1164,ctaNom,0))),"⚠ «Hacia» no existe",IF(AND(I1164="Pago tarjeta",IFERROR(INDEX(ctaTipo,MATCH(G1164,ctaNom,0)),"")&lt;&gt;"Tarjeta de crédito"),"⚠ «Hacia» debe ser la tarjeta",IF(AND(I1164="Trading",IFERROR(INDEX(ctaTipo,MATCH(E1164,ctaNom,0)),"")&lt;&gt;"Cuenta de trading"),"⚠ Usa la cuenta de trading","✓"))))))))))))</f>
        <v/>
      </c>
      <c r="I1164" s="19">
        <f>IF(OR(B1164="",C1164="",D1164=""),"",IFERROR(INDEX(catTipo,MATCH(D1164,catNom,0))&amp;"",""))</f>
        <v/>
      </c>
      <c r="J1164" s="19">
        <f>IF(I1164="","",IFERROR(INDEX(catGrupo,MATCH(D1164,catNom,0))&amp;"",""))</f>
        <v/>
      </c>
      <c r="K1164" s="19">
        <f>IF(I1164="Gasto",IF(IFERROR(INDEX(catClas,MATCH(D1164,catNom,0))&amp;"","")="","Variable",IFERROR(INDEX(catClas,MATCH(D1164,catNom,0))&amp;"","")),"")</f>
        <v/>
      </c>
      <c r="L1164" s="19">
        <f>IF(I1164="","",IFERROR(INDEX(catAlim,MATCH(D1164,catNom,0))&amp;"",""))</f>
        <v/>
      </c>
      <c r="M1164" s="19">
        <f>IF(I1164="","",IFERROR(INDEX(catComida,MATCH(D1164,catNom,0))&amp;"",""))</f>
        <v/>
      </c>
      <c r="N1164" s="19">
        <f>IF(I1164="","",IFERROR(INDEX(ctaMon,MATCH(E1164,ctaNom,0))&amp;"","DOP"))</f>
        <v/>
      </c>
      <c r="O1164" s="20">
        <f>IF(I1164="","",C1164*IF(N1164="USD",TasaUSD,1))</f>
        <v/>
      </c>
      <c r="P1164" s="20">
        <f>IF(I1164="","",IF(I1164="Gasto",O1164,0))</f>
        <v/>
      </c>
      <c r="Q1164" s="20">
        <f>IF(I1164="","",IF(I1164="Ingreso",O1164,0))</f>
        <v/>
      </c>
      <c r="R1164" s="20">
        <f>IF(I1164="","",IF(I1164="Trading",O1164,0))</f>
        <v/>
      </c>
      <c r="S1164" s="19">
        <f>IF(I1164="","",IF(AND(I1164="Gasto",K1164="Variable",J1164&lt;&gt;"Trading",O1164&gt;0,O1164&lt;=Umbral),1,0))</f>
        <v/>
      </c>
      <c r="T1164" s="20">
        <f>IF(OR(I1164="",E1164=""),"",IF(OR(I1164="Gasto",I1164="Transferencia",I1164="Pago tarjeta"),-1,1)*C1164)</f>
        <v/>
      </c>
      <c r="U1164" s="20">
        <f>IF(OR(G1164="",AND(I1164&lt;&gt;"Transferencia",I1164&lt;&gt;"Pago tarjeta")),"",IF(IFERROR(INDEX(ctaMon,MATCH(G1164,ctaNom,0))&amp;"","DOP")=N1164,C1164,IF(N1164="USD",C1164*TasaUSD,C1164/TasaUSD)))</f>
        <v/>
      </c>
      <c r="V1164" s="20">
        <f>IF(I1164="","",IF(IFERROR(INDEX(ctaLiq,MATCH(E1164,ctaNom,0))="Sí",FALSE),IF(OR(I1164="Gasto",I1164="Transferencia",I1164="Pago tarjeta"),-1,1)*O1164,0)+IF(AND(U1164&lt;&gt;"",IFERROR(INDEX(ctaLiq,MATCH(G1164,ctaNom,0))="Sí",FALSE)),O1164,0))</f>
        <v/>
      </c>
      <c r="W1164" s="19">
        <f>IF(OR(F1164="",I1164=""),"",IF(COUNTIFS(F$6:F1164,F1164,I$6:I1164,"?*")=1,MAX(W$5:W1163)+1,""))</f>
        <v/>
      </c>
    </row>
    <row r="1165">
      <c r="B1165" s="15" t="n"/>
      <c r="C1165" s="16" t="n"/>
      <c r="D1165" s="17" t="n"/>
      <c r="E1165" s="17" t="n"/>
      <c r="F1165" s="17" t="n"/>
      <c r="G1165" s="17" t="n"/>
      <c r="H1165" s="18">
        <f>IF(AND(B1165="",C1165="",D1165="",E1165=""),"",IF(B1165="","⚠ Falta fecha",IF(C1165="","⚠ Falta monto",IF(D1165="","⚠ Falta categoría",IF(ISNA(MATCH(D1165,catNom,0)),"⚠ Categoría no existe",IF(E1165="","⚠ Falta cuenta",IF(ISNA(MATCH(E1165,ctaNom,0)),"⚠ Cuenta no existe",IF(AND(OR(I1165="Transferencia",I1165="Pago tarjeta"),G1165=""),"⚠ Indica la cuenta «Hacia»",IF(AND(G1165&lt;&gt;"",G1165=E1165),"⚠ «Hacia» igual a la cuenta",IF(AND(G1165&lt;&gt;"",ISNA(MATCH(G1165,ctaNom,0))),"⚠ «Hacia» no existe",IF(AND(I1165="Pago tarjeta",IFERROR(INDEX(ctaTipo,MATCH(G1165,ctaNom,0)),"")&lt;&gt;"Tarjeta de crédito"),"⚠ «Hacia» debe ser la tarjeta",IF(AND(I1165="Trading",IFERROR(INDEX(ctaTipo,MATCH(E1165,ctaNom,0)),"")&lt;&gt;"Cuenta de trading"),"⚠ Usa la cuenta de trading","✓"))))))))))))</f>
        <v/>
      </c>
      <c r="I1165" s="19">
        <f>IF(OR(B1165="",C1165="",D1165=""),"",IFERROR(INDEX(catTipo,MATCH(D1165,catNom,0))&amp;"",""))</f>
        <v/>
      </c>
      <c r="J1165" s="19">
        <f>IF(I1165="","",IFERROR(INDEX(catGrupo,MATCH(D1165,catNom,0))&amp;"",""))</f>
        <v/>
      </c>
      <c r="K1165" s="19">
        <f>IF(I1165="Gasto",IF(IFERROR(INDEX(catClas,MATCH(D1165,catNom,0))&amp;"","")="","Variable",IFERROR(INDEX(catClas,MATCH(D1165,catNom,0))&amp;"","")),"")</f>
        <v/>
      </c>
      <c r="L1165" s="19">
        <f>IF(I1165="","",IFERROR(INDEX(catAlim,MATCH(D1165,catNom,0))&amp;"",""))</f>
        <v/>
      </c>
      <c r="M1165" s="19">
        <f>IF(I1165="","",IFERROR(INDEX(catComida,MATCH(D1165,catNom,0))&amp;"",""))</f>
        <v/>
      </c>
      <c r="N1165" s="19">
        <f>IF(I1165="","",IFERROR(INDEX(ctaMon,MATCH(E1165,ctaNom,0))&amp;"","DOP"))</f>
        <v/>
      </c>
      <c r="O1165" s="20">
        <f>IF(I1165="","",C1165*IF(N1165="USD",TasaUSD,1))</f>
        <v/>
      </c>
      <c r="P1165" s="20">
        <f>IF(I1165="","",IF(I1165="Gasto",O1165,0))</f>
        <v/>
      </c>
      <c r="Q1165" s="20">
        <f>IF(I1165="","",IF(I1165="Ingreso",O1165,0))</f>
        <v/>
      </c>
      <c r="R1165" s="20">
        <f>IF(I1165="","",IF(I1165="Trading",O1165,0))</f>
        <v/>
      </c>
      <c r="S1165" s="19">
        <f>IF(I1165="","",IF(AND(I1165="Gasto",K1165="Variable",J1165&lt;&gt;"Trading",O1165&gt;0,O1165&lt;=Umbral),1,0))</f>
        <v/>
      </c>
      <c r="T1165" s="20">
        <f>IF(OR(I1165="",E1165=""),"",IF(OR(I1165="Gasto",I1165="Transferencia",I1165="Pago tarjeta"),-1,1)*C1165)</f>
        <v/>
      </c>
      <c r="U1165" s="20">
        <f>IF(OR(G1165="",AND(I1165&lt;&gt;"Transferencia",I1165&lt;&gt;"Pago tarjeta")),"",IF(IFERROR(INDEX(ctaMon,MATCH(G1165,ctaNom,0))&amp;"","DOP")=N1165,C1165,IF(N1165="USD",C1165*TasaUSD,C1165/TasaUSD)))</f>
        <v/>
      </c>
      <c r="V1165" s="20">
        <f>IF(I1165="","",IF(IFERROR(INDEX(ctaLiq,MATCH(E1165,ctaNom,0))="Sí",FALSE),IF(OR(I1165="Gasto",I1165="Transferencia",I1165="Pago tarjeta"),-1,1)*O1165,0)+IF(AND(U1165&lt;&gt;"",IFERROR(INDEX(ctaLiq,MATCH(G1165,ctaNom,0))="Sí",FALSE)),O1165,0))</f>
        <v/>
      </c>
      <c r="W1165" s="19">
        <f>IF(OR(F1165="",I1165=""),"",IF(COUNTIFS(F$6:F1165,F1165,I$6:I1165,"?*")=1,MAX(W$5:W1164)+1,""))</f>
        <v/>
      </c>
    </row>
    <row r="1166">
      <c r="B1166" s="15" t="n"/>
      <c r="C1166" s="16" t="n"/>
      <c r="D1166" s="17" t="n"/>
      <c r="E1166" s="17" t="n"/>
      <c r="F1166" s="17" t="n"/>
      <c r="G1166" s="17" t="n"/>
      <c r="H1166" s="18">
        <f>IF(AND(B1166="",C1166="",D1166="",E1166=""),"",IF(B1166="","⚠ Falta fecha",IF(C1166="","⚠ Falta monto",IF(D1166="","⚠ Falta categoría",IF(ISNA(MATCH(D1166,catNom,0)),"⚠ Categoría no existe",IF(E1166="","⚠ Falta cuenta",IF(ISNA(MATCH(E1166,ctaNom,0)),"⚠ Cuenta no existe",IF(AND(OR(I1166="Transferencia",I1166="Pago tarjeta"),G1166=""),"⚠ Indica la cuenta «Hacia»",IF(AND(G1166&lt;&gt;"",G1166=E1166),"⚠ «Hacia» igual a la cuenta",IF(AND(G1166&lt;&gt;"",ISNA(MATCH(G1166,ctaNom,0))),"⚠ «Hacia» no existe",IF(AND(I1166="Pago tarjeta",IFERROR(INDEX(ctaTipo,MATCH(G1166,ctaNom,0)),"")&lt;&gt;"Tarjeta de crédito"),"⚠ «Hacia» debe ser la tarjeta",IF(AND(I1166="Trading",IFERROR(INDEX(ctaTipo,MATCH(E1166,ctaNom,0)),"")&lt;&gt;"Cuenta de trading"),"⚠ Usa la cuenta de trading","✓"))))))))))))</f>
        <v/>
      </c>
      <c r="I1166" s="19">
        <f>IF(OR(B1166="",C1166="",D1166=""),"",IFERROR(INDEX(catTipo,MATCH(D1166,catNom,0))&amp;"",""))</f>
        <v/>
      </c>
      <c r="J1166" s="19">
        <f>IF(I1166="","",IFERROR(INDEX(catGrupo,MATCH(D1166,catNom,0))&amp;"",""))</f>
        <v/>
      </c>
      <c r="K1166" s="19">
        <f>IF(I1166="Gasto",IF(IFERROR(INDEX(catClas,MATCH(D1166,catNom,0))&amp;"","")="","Variable",IFERROR(INDEX(catClas,MATCH(D1166,catNom,0))&amp;"","")),"")</f>
        <v/>
      </c>
      <c r="L1166" s="19">
        <f>IF(I1166="","",IFERROR(INDEX(catAlim,MATCH(D1166,catNom,0))&amp;"",""))</f>
        <v/>
      </c>
      <c r="M1166" s="19">
        <f>IF(I1166="","",IFERROR(INDEX(catComida,MATCH(D1166,catNom,0))&amp;"",""))</f>
        <v/>
      </c>
      <c r="N1166" s="19">
        <f>IF(I1166="","",IFERROR(INDEX(ctaMon,MATCH(E1166,ctaNom,0))&amp;"","DOP"))</f>
        <v/>
      </c>
      <c r="O1166" s="20">
        <f>IF(I1166="","",C1166*IF(N1166="USD",TasaUSD,1))</f>
        <v/>
      </c>
      <c r="P1166" s="20">
        <f>IF(I1166="","",IF(I1166="Gasto",O1166,0))</f>
        <v/>
      </c>
      <c r="Q1166" s="20">
        <f>IF(I1166="","",IF(I1166="Ingreso",O1166,0))</f>
        <v/>
      </c>
      <c r="R1166" s="20">
        <f>IF(I1166="","",IF(I1166="Trading",O1166,0))</f>
        <v/>
      </c>
      <c r="S1166" s="19">
        <f>IF(I1166="","",IF(AND(I1166="Gasto",K1166="Variable",J1166&lt;&gt;"Trading",O1166&gt;0,O1166&lt;=Umbral),1,0))</f>
        <v/>
      </c>
      <c r="T1166" s="20">
        <f>IF(OR(I1166="",E1166=""),"",IF(OR(I1166="Gasto",I1166="Transferencia",I1166="Pago tarjeta"),-1,1)*C1166)</f>
        <v/>
      </c>
      <c r="U1166" s="20">
        <f>IF(OR(G1166="",AND(I1166&lt;&gt;"Transferencia",I1166&lt;&gt;"Pago tarjeta")),"",IF(IFERROR(INDEX(ctaMon,MATCH(G1166,ctaNom,0))&amp;"","DOP")=N1166,C1166,IF(N1166="USD",C1166*TasaUSD,C1166/TasaUSD)))</f>
        <v/>
      </c>
      <c r="V1166" s="20">
        <f>IF(I1166="","",IF(IFERROR(INDEX(ctaLiq,MATCH(E1166,ctaNom,0))="Sí",FALSE),IF(OR(I1166="Gasto",I1166="Transferencia",I1166="Pago tarjeta"),-1,1)*O1166,0)+IF(AND(U1166&lt;&gt;"",IFERROR(INDEX(ctaLiq,MATCH(G1166,ctaNom,0))="Sí",FALSE)),O1166,0))</f>
        <v/>
      </c>
      <c r="W1166" s="19">
        <f>IF(OR(F1166="",I1166=""),"",IF(COUNTIFS(F$6:F1166,F1166,I$6:I1166,"?*")=1,MAX(W$5:W1165)+1,""))</f>
        <v/>
      </c>
    </row>
    <row r="1167">
      <c r="B1167" s="15" t="n"/>
      <c r="C1167" s="16" t="n"/>
      <c r="D1167" s="17" t="n"/>
      <c r="E1167" s="17" t="n"/>
      <c r="F1167" s="17" t="n"/>
      <c r="G1167" s="17" t="n"/>
      <c r="H1167" s="18">
        <f>IF(AND(B1167="",C1167="",D1167="",E1167=""),"",IF(B1167="","⚠ Falta fecha",IF(C1167="","⚠ Falta monto",IF(D1167="","⚠ Falta categoría",IF(ISNA(MATCH(D1167,catNom,0)),"⚠ Categoría no existe",IF(E1167="","⚠ Falta cuenta",IF(ISNA(MATCH(E1167,ctaNom,0)),"⚠ Cuenta no existe",IF(AND(OR(I1167="Transferencia",I1167="Pago tarjeta"),G1167=""),"⚠ Indica la cuenta «Hacia»",IF(AND(G1167&lt;&gt;"",G1167=E1167),"⚠ «Hacia» igual a la cuenta",IF(AND(G1167&lt;&gt;"",ISNA(MATCH(G1167,ctaNom,0))),"⚠ «Hacia» no existe",IF(AND(I1167="Pago tarjeta",IFERROR(INDEX(ctaTipo,MATCH(G1167,ctaNom,0)),"")&lt;&gt;"Tarjeta de crédito"),"⚠ «Hacia» debe ser la tarjeta",IF(AND(I1167="Trading",IFERROR(INDEX(ctaTipo,MATCH(E1167,ctaNom,0)),"")&lt;&gt;"Cuenta de trading"),"⚠ Usa la cuenta de trading","✓"))))))))))))</f>
        <v/>
      </c>
      <c r="I1167" s="19">
        <f>IF(OR(B1167="",C1167="",D1167=""),"",IFERROR(INDEX(catTipo,MATCH(D1167,catNom,0))&amp;"",""))</f>
        <v/>
      </c>
      <c r="J1167" s="19">
        <f>IF(I1167="","",IFERROR(INDEX(catGrupo,MATCH(D1167,catNom,0))&amp;"",""))</f>
        <v/>
      </c>
      <c r="K1167" s="19">
        <f>IF(I1167="Gasto",IF(IFERROR(INDEX(catClas,MATCH(D1167,catNom,0))&amp;"","")="","Variable",IFERROR(INDEX(catClas,MATCH(D1167,catNom,0))&amp;"","")),"")</f>
        <v/>
      </c>
      <c r="L1167" s="19">
        <f>IF(I1167="","",IFERROR(INDEX(catAlim,MATCH(D1167,catNom,0))&amp;"",""))</f>
        <v/>
      </c>
      <c r="M1167" s="19">
        <f>IF(I1167="","",IFERROR(INDEX(catComida,MATCH(D1167,catNom,0))&amp;"",""))</f>
        <v/>
      </c>
      <c r="N1167" s="19">
        <f>IF(I1167="","",IFERROR(INDEX(ctaMon,MATCH(E1167,ctaNom,0))&amp;"","DOP"))</f>
        <v/>
      </c>
      <c r="O1167" s="20">
        <f>IF(I1167="","",C1167*IF(N1167="USD",TasaUSD,1))</f>
        <v/>
      </c>
      <c r="P1167" s="20">
        <f>IF(I1167="","",IF(I1167="Gasto",O1167,0))</f>
        <v/>
      </c>
      <c r="Q1167" s="20">
        <f>IF(I1167="","",IF(I1167="Ingreso",O1167,0))</f>
        <v/>
      </c>
      <c r="R1167" s="20">
        <f>IF(I1167="","",IF(I1167="Trading",O1167,0))</f>
        <v/>
      </c>
      <c r="S1167" s="19">
        <f>IF(I1167="","",IF(AND(I1167="Gasto",K1167="Variable",J1167&lt;&gt;"Trading",O1167&gt;0,O1167&lt;=Umbral),1,0))</f>
        <v/>
      </c>
      <c r="T1167" s="20">
        <f>IF(OR(I1167="",E1167=""),"",IF(OR(I1167="Gasto",I1167="Transferencia",I1167="Pago tarjeta"),-1,1)*C1167)</f>
        <v/>
      </c>
      <c r="U1167" s="20">
        <f>IF(OR(G1167="",AND(I1167&lt;&gt;"Transferencia",I1167&lt;&gt;"Pago tarjeta")),"",IF(IFERROR(INDEX(ctaMon,MATCH(G1167,ctaNom,0))&amp;"","DOP")=N1167,C1167,IF(N1167="USD",C1167*TasaUSD,C1167/TasaUSD)))</f>
        <v/>
      </c>
      <c r="V1167" s="20">
        <f>IF(I1167="","",IF(IFERROR(INDEX(ctaLiq,MATCH(E1167,ctaNom,0))="Sí",FALSE),IF(OR(I1167="Gasto",I1167="Transferencia",I1167="Pago tarjeta"),-1,1)*O1167,0)+IF(AND(U1167&lt;&gt;"",IFERROR(INDEX(ctaLiq,MATCH(G1167,ctaNom,0))="Sí",FALSE)),O1167,0))</f>
        <v/>
      </c>
      <c r="W1167" s="19">
        <f>IF(OR(F1167="",I1167=""),"",IF(COUNTIFS(F$6:F1167,F1167,I$6:I1167,"?*")=1,MAX(W$5:W1166)+1,""))</f>
        <v/>
      </c>
    </row>
    <row r="1168">
      <c r="B1168" s="15" t="n"/>
      <c r="C1168" s="16" t="n"/>
      <c r="D1168" s="17" t="n"/>
      <c r="E1168" s="17" t="n"/>
      <c r="F1168" s="17" t="n"/>
      <c r="G1168" s="17" t="n"/>
      <c r="H1168" s="18">
        <f>IF(AND(B1168="",C1168="",D1168="",E1168=""),"",IF(B1168="","⚠ Falta fecha",IF(C1168="","⚠ Falta monto",IF(D1168="","⚠ Falta categoría",IF(ISNA(MATCH(D1168,catNom,0)),"⚠ Categoría no existe",IF(E1168="","⚠ Falta cuenta",IF(ISNA(MATCH(E1168,ctaNom,0)),"⚠ Cuenta no existe",IF(AND(OR(I1168="Transferencia",I1168="Pago tarjeta"),G1168=""),"⚠ Indica la cuenta «Hacia»",IF(AND(G1168&lt;&gt;"",G1168=E1168),"⚠ «Hacia» igual a la cuenta",IF(AND(G1168&lt;&gt;"",ISNA(MATCH(G1168,ctaNom,0))),"⚠ «Hacia» no existe",IF(AND(I1168="Pago tarjeta",IFERROR(INDEX(ctaTipo,MATCH(G1168,ctaNom,0)),"")&lt;&gt;"Tarjeta de crédito"),"⚠ «Hacia» debe ser la tarjeta",IF(AND(I1168="Trading",IFERROR(INDEX(ctaTipo,MATCH(E1168,ctaNom,0)),"")&lt;&gt;"Cuenta de trading"),"⚠ Usa la cuenta de trading","✓"))))))))))))</f>
        <v/>
      </c>
      <c r="I1168" s="19">
        <f>IF(OR(B1168="",C1168="",D1168=""),"",IFERROR(INDEX(catTipo,MATCH(D1168,catNom,0))&amp;"",""))</f>
        <v/>
      </c>
      <c r="J1168" s="19">
        <f>IF(I1168="","",IFERROR(INDEX(catGrupo,MATCH(D1168,catNom,0))&amp;"",""))</f>
        <v/>
      </c>
      <c r="K1168" s="19">
        <f>IF(I1168="Gasto",IF(IFERROR(INDEX(catClas,MATCH(D1168,catNom,0))&amp;"","")="","Variable",IFERROR(INDEX(catClas,MATCH(D1168,catNom,0))&amp;"","")),"")</f>
        <v/>
      </c>
      <c r="L1168" s="19">
        <f>IF(I1168="","",IFERROR(INDEX(catAlim,MATCH(D1168,catNom,0))&amp;"",""))</f>
        <v/>
      </c>
      <c r="M1168" s="19">
        <f>IF(I1168="","",IFERROR(INDEX(catComida,MATCH(D1168,catNom,0))&amp;"",""))</f>
        <v/>
      </c>
      <c r="N1168" s="19">
        <f>IF(I1168="","",IFERROR(INDEX(ctaMon,MATCH(E1168,ctaNom,0))&amp;"","DOP"))</f>
        <v/>
      </c>
      <c r="O1168" s="20">
        <f>IF(I1168="","",C1168*IF(N1168="USD",TasaUSD,1))</f>
        <v/>
      </c>
      <c r="P1168" s="20">
        <f>IF(I1168="","",IF(I1168="Gasto",O1168,0))</f>
        <v/>
      </c>
      <c r="Q1168" s="20">
        <f>IF(I1168="","",IF(I1168="Ingreso",O1168,0))</f>
        <v/>
      </c>
      <c r="R1168" s="20">
        <f>IF(I1168="","",IF(I1168="Trading",O1168,0))</f>
        <v/>
      </c>
      <c r="S1168" s="19">
        <f>IF(I1168="","",IF(AND(I1168="Gasto",K1168="Variable",J1168&lt;&gt;"Trading",O1168&gt;0,O1168&lt;=Umbral),1,0))</f>
        <v/>
      </c>
      <c r="T1168" s="20">
        <f>IF(OR(I1168="",E1168=""),"",IF(OR(I1168="Gasto",I1168="Transferencia",I1168="Pago tarjeta"),-1,1)*C1168)</f>
        <v/>
      </c>
      <c r="U1168" s="20">
        <f>IF(OR(G1168="",AND(I1168&lt;&gt;"Transferencia",I1168&lt;&gt;"Pago tarjeta")),"",IF(IFERROR(INDEX(ctaMon,MATCH(G1168,ctaNom,0))&amp;"","DOP")=N1168,C1168,IF(N1168="USD",C1168*TasaUSD,C1168/TasaUSD)))</f>
        <v/>
      </c>
      <c r="V1168" s="20">
        <f>IF(I1168="","",IF(IFERROR(INDEX(ctaLiq,MATCH(E1168,ctaNom,0))="Sí",FALSE),IF(OR(I1168="Gasto",I1168="Transferencia",I1168="Pago tarjeta"),-1,1)*O1168,0)+IF(AND(U1168&lt;&gt;"",IFERROR(INDEX(ctaLiq,MATCH(G1168,ctaNom,0))="Sí",FALSE)),O1168,0))</f>
        <v/>
      </c>
      <c r="W1168" s="19">
        <f>IF(OR(F1168="",I1168=""),"",IF(COUNTIFS(F$6:F1168,F1168,I$6:I1168,"?*")=1,MAX(W$5:W1167)+1,""))</f>
        <v/>
      </c>
    </row>
    <row r="1169">
      <c r="B1169" s="15" t="n"/>
      <c r="C1169" s="16" t="n"/>
      <c r="D1169" s="17" t="n"/>
      <c r="E1169" s="17" t="n"/>
      <c r="F1169" s="17" t="n"/>
      <c r="G1169" s="17" t="n"/>
      <c r="H1169" s="18">
        <f>IF(AND(B1169="",C1169="",D1169="",E1169=""),"",IF(B1169="","⚠ Falta fecha",IF(C1169="","⚠ Falta monto",IF(D1169="","⚠ Falta categoría",IF(ISNA(MATCH(D1169,catNom,0)),"⚠ Categoría no existe",IF(E1169="","⚠ Falta cuenta",IF(ISNA(MATCH(E1169,ctaNom,0)),"⚠ Cuenta no existe",IF(AND(OR(I1169="Transferencia",I1169="Pago tarjeta"),G1169=""),"⚠ Indica la cuenta «Hacia»",IF(AND(G1169&lt;&gt;"",G1169=E1169),"⚠ «Hacia» igual a la cuenta",IF(AND(G1169&lt;&gt;"",ISNA(MATCH(G1169,ctaNom,0))),"⚠ «Hacia» no existe",IF(AND(I1169="Pago tarjeta",IFERROR(INDEX(ctaTipo,MATCH(G1169,ctaNom,0)),"")&lt;&gt;"Tarjeta de crédito"),"⚠ «Hacia» debe ser la tarjeta",IF(AND(I1169="Trading",IFERROR(INDEX(ctaTipo,MATCH(E1169,ctaNom,0)),"")&lt;&gt;"Cuenta de trading"),"⚠ Usa la cuenta de trading","✓"))))))))))))</f>
        <v/>
      </c>
      <c r="I1169" s="19">
        <f>IF(OR(B1169="",C1169="",D1169=""),"",IFERROR(INDEX(catTipo,MATCH(D1169,catNom,0))&amp;"",""))</f>
        <v/>
      </c>
      <c r="J1169" s="19">
        <f>IF(I1169="","",IFERROR(INDEX(catGrupo,MATCH(D1169,catNom,0))&amp;"",""))</f>
        <v/>
      </c>
      <c r="K1169" s="19">
        <f>IF(I1169="Gasto",IF(IFERROR(INDEX(catClas,MATCH(D1169,catNom,0))&amp;"","")="","Variable",IFERROR(INDEX(catClas,MATCH(D1169,catNom,0))&amp;"","")),"")</f>
        <v/>
      </c>
      <c r="L1169" s="19">
        <f>IF(I1169="","",IFERROR(INDEX(catAlim,MATCH(D1169,catNom,0))&amp;"",""))</f>
        <v/>
      </c>
      <c r="M1169" s="19">
        <f>IF(I1169="","",IFERROR(INDEX(catComida,MATCH(D1169,catNom,0))&amp;"",""))</f>
        <v/>
      </c>
      <c r="N1169" s="19">
        <f>IF(I1169="","",IFERROR(INDEX(ctaMon,MATCH(E1169,ctaNom,0))&amp;"","DOP"))</f>
        <v/>
      </c>
      <c r="O1169" s="20">
        <f>IF(I1169="","",C1169*IF(N1169="USD",TasaUSD,1))</f>
        <v/>
      </c>
      <c r="P1169" s="20">
        <f>IF(I1169="","",IF(I1169="Gasto",O1169,0))</f>
        <v/>
      </c>
      <c r="Q1169" s="20">
        <f>IF(I1169="","",IF(I1169="Ingreso",O1169,0))</f>
        <v/>
      </c>
      <c r="R1169" s="20">
        <f>IF(I1169="","",IF(I1169="Trading",O1169,0))</f>
        <v/>
      </c>
      <c r="S1169" s="19">
        <f>IF(I1169="","",IF(AND(I1169="Gasto",K1169="Variable",J1169&lt;&gt;"Trading",O1169&gt;0,O1169&lt;=Umbral),1,0))</f>
        <v/>
      </c>
      <c r="T1169" s="20">
        <f>IF(OR(I1169="",E1169=""),"",IF(OR(I1169="Gasto",I1169="Transferencia",I1169="Pago tarjeta"),-1,1)*C1169)</f>
        <v/>
      </c>
      <c r="U1169" s="20">
        <f>IF(OR(G1169="",AND(I1169&lt;&gt;"Transferencia",I1169&lt;&gt;"Pago tarjeta")),"",IF(IFERROR(INDEX(ctaMon,MATCH(G1169,ctaNom,0))&amp;"","DOP")=N1169,C1169,IF(N1169="USD",C1169*TasaUSD,C1169/TasaUSD)))</f>
        <v/>
      </c>
      <c r="V1169" s="20">
        <f>IF(I1169="","",IF(IFERROR(INDEX(ctaLiq,MATCH(E1169,ctaNom,0))="Sí",FALSE),IF(OR(I1169="Gasto",I1169="Transferencia",I1169="Pago tarjeta"),-1,1)*O1169,0)+IF(AND(U1169&lt;&gt;"",IFERROR(INDEX(ctaLiq,MATCH(G1169,ctaNom,0))="Sí",FALSE)),O1169,0))</f>
        <v/>
      </c>
      <c r="W1169" s="19">
        <f>IF(OR(F1169="",I1169=""),"",IF(COUNTIFS(F$6:F1169,F1169,I$6:I1169,"?*")=1,MAX(W$5:W1168)+1,""))</f>
        <v/>
      </c>
    </row>
    <row r="1170">
      <c r="B1170" s="15" t="n"/>
      <c r="C1170" s="16" t="n"/>
      <c r="D1170" s="17" t="n"/>
      <c r="E1170" s="17" t="n"/>
      <c r="F1170" s="17" t="n"/>
      <c r="G1170" s="17" t="n"/>
      <c r="H1170" s="18">
        <f>IF(AND(B1170="",C1170="",D1170="",E1170=""),"",IF(B1170="","⚠ Falta fecha",IF(C1170="","⚠ Falta monto",IF(D1170="","⚠ Falta categoría",IF(ISNA(MATCH(D1170,catNom,0)),"⚠ Categoría no existe",IF(E1170="","⚠ Falta cuenta",IF(ISNA(MATCH(E1170,ctaNom,0)),"⚠ Cuenta no existe",IF(AND(OR(I1170="Transferencia",I1170="Pago tarjeta"),G1170=""),"⚠ Indica la cuenta «Hacia»",IF(AND(G1170&lt;&gt;"",G1170=E1170),"⚠ «Hacia» igual a la cuenta",IF(AND(G1170&lt;&gt;"",ISNA(MATCH(G1170,ctaNom,0))),"⚠ «Hacia» no existe",IF(AND(I1170="Pago tarjeta",IFERROR(INDEX(ctaTipo,MATCH(G1170,ctaNom,0)),"")&lt;&gt;"Tarjeta de crédito"),"⚠ «Hacia» debe ser la tarjeta",IF(AND(I1170="Trading",IFERROR(INDEX(ctaTipo,MATCH(E1170,ctaNom,0)),"")&lt;&gt;"Cuenta de trading"),"⚠ Usa la cuenta de trading","✓"))))))))))))</f>
        <v/>
      </c>
      <c r="I1170" s="19">
        <f>IF(OR(B1170="",C1170="",D1170=""),"",IFERROR(INDEX(catTipo,MATCH(D1170,catNom,0))&amp;"",""))</f>
        <v/>
      </c>
      <c r="J1170" s="19">
        <f>IF(I1170="","",IFERROR(INDEX(catGrupo,MATCH(D1170,catNom,0))&amp;"",""))</f>
        <v/>
      </c>
      <c r="K1170" s="19">
        <f>IF(I1170="Gasto",IF(IFERROR(INDEX(catClas,MATCH(D1170,catNom,0))&amp;"","")="","Variable",IFERROR(INDEX(catClas,MATCH(D1170,catNom,0))&amp;"","")),"")</f>
        <v/>
      </c>
      <c r="L1170" s="19">
        <f>IF(I1170="","",IFERROR(INDEX(catAlim,MATCH(D1170,catNom,0))&amp;"",""))</f>
        <v/>
      </c>
      <c r="M1170" s="19">
        <f>IF(I1170="","",IFERROR(INDEX(catComida,MATCH(D1170,catNom,0))&amp;"",""))</f>
        <v/>
      </c>
      <c r="N1170" s="19">
        <f>IF(I1170="","",IFERROR(INDEX(ctaMon,MATCH(E1170,ctaNom,0))&amp;"","DOP"))</f>
        <v/>
      </c>
      <c r="O1170" s="20">
        <f>IF(I1170="","",C1170*IF(N1170="USD",TasaUSD,1))</f>
        <v/>
      </c>
      <c r="P1170" s="20">
        <f>IF(I1170="","",IF(I1170="Gasto",O1170,0))</f>
        <v/>
      </c>
      <c r="Q1170" s="20">
        <f>IF(I1170="","",IF(I1170="Ingreso",O1170,0))</f>
        <v/>
      </c>
      <c r="R1170" s="20">
        <f>IF(I1170="","",IF(I1170="Trading",O1170,0))</f>
        <v/>
      </c>
      <c r="S1170" s="19">
        <f>IF(I1170="","",IF(AND(I1170="Gasto",K1170="Variable",J1170&lt;&gt;"Trading",O1170&gt;0,O1170&lt;=Umbral),1,0))</f>
        <v/>
      </c>
      <c r="T1170" s="20">
        <f>IF(OR(I1170="",E1170=""),"",IF(OR(I1170="Gasto",I1170="Transferencia",I1170="Pago tarjeta"),-1,1)*C1170)</f>
        <v/>
      </c>
      <c r="U1170" s="20">
        <f>IF(OR(G1170="",AND(I1170&lt;&gt;"Transferencia",I1170&lt;&gt;"Pago tarjeta")),"",IF(IFERROR(INDEX(ctaMon,MATCH(G1170,ctaNom,0))&amp;"","DOP")=N1170,C1170,IF(N1170="USD",C1170*TasaUSD,C1170/TasaUSD)))</f>
        <v/>
      </c>
      <c r="V1170" s="20">
        <f>IF(I1170="","",IF(IFERROR(INDEX(ctaLiq,MATCH(E1170,ctaNom,0))="Sí",FALSE),IF(OR(I1170="Gasto",I1170="Transferencia",I1170="Pago tarjeta"),-1,1)*O1170,0)+IF(AND(U1170&lt;&gt;"",IFERROR(INDEX(ctaLiq,MATCH(G1170,ctaNom,0))="Sí",FALSE)),O1170,0))</f>
        <v/>
      </c>
      <c r="W1170" s="19">
        <f>IF(OR(F1170="",I1170=""),"",IF(COUNTIFS(F$6:F1170,F1170,I$6:I1170,"?*")=1,MAX(W$5:W1169)+1,""))</f>
        <v/>
      </c>
    </row>
    <row r="1171">
      <c r="B1171" s="15" t="n"/>
      <c r="C1171" s="16" t="n"/>
      <c r="D1171" s="17" t="n"/>
      <c r="E1171" s="17" t="n"/>
      <c r="F1171" s="17" t="n"/>
      <c r="G1171" s="17" t="n"/>
      <c r="H1171" s="18">
        <f>IF(AND(B1171="",C1171="",D1171="",E1171=""),"",IF(B1171="","⚠ Falta fecha",IF(C1171="","⚠ Falta monto",IF(D1171="","⚠ Falta categoría",IF(ISNA(MATCH(D1171,catNom,0)),"⚠ Categoría no existe",IF(E1171="","⚠ Falta cuenta",IF(ISNA(MATCH(E1171,ctaNom,0)),"⚠ Cuenta no existe",IF(AND(OR(I1171="Transferencia",I1171="Pago tarjeta"),G1171=""),"⚠ Indica la cuenta «Hacia»",IF(AND(G1171&lt;&gt;"",G1171=E1171),"⚠ «Hacia» igual a la cuenta",IF(AND(G1171&lt;&gt;"",ISNA(MATCH(G1171,ctaNom,0))),"⚠ «Hacia» no existe",IF(AND(I1171="Pago tarjeta",IFERROR(INDEX(ctaTipo,MATCH(G1171,ctaNom,0)),"")&lt;&gt;"Tarjeta de crédito"),"⚠ «Hacia» debe ser la tarjeta",IF(AND(I1171="Trading",IFERROR(INDEX(ctaTipo,MATCH(E1171,ctaNom,0)),"")&lt;&gt;"Cuenta de trading"),"⚠ Usa la cuenta de trading","✓"))))))))))))</f>
        <v/>
      </c>
      <c r="I1171" s="19">
        <f>IF(OR(B1171="",C1171="",D1171=""),"",IFERROR(INDEX(catTipo,MATCH(D1171,catNom,0))&amp;"",""))</f>
        <v/>
      </c>
      <c r="J1171" s="19">
        <f>IF(I1171="","",IFERROR(INDEX(catGrupo,MATCH(D1171,catNom,0))&amp;"",""))</f>
        <v/>
      </c>
      <c r="K1171" s="19">
        <f>IF(I1171="Gasto",IF(IFERROR(INDEX(catClas,MATCH(D1171,catNom,0))&amp;"","")="","Variable",IFERROR(INDEX(catClas,MATCH(D1171,catNom,0))&amp;"","")),"")</f>
        <v/>
      </c>
      <c r="L1171" s="19">
        <f>IF(I1171="","",IFERROR(INDEX(catAlim,MATCH(D1171,catNom,0))&amp;"",""))</f>
        <v/>
      </c>
      <c r="M1171" s="19">
        <f>IF(I1171="","",IFERROR(INDEX(catComida,MATCH(D1171,catNom,0))&amp;"",""))</f>
        <v/>
      </c>
      <c r="N1171" s="19">
        <f>IF(I1171="","",IFERROR(INDEX(ctaMon,MATCH(E1171,ctaNom,0))&amp;"","DOP"))</f>
        <v/>
      </c>
      <c r="O1171" s="20">
        <f>IF(I1171="","",C1171*IF(N1171="USD",TasaUSD,1))</f>
        <v/>
      </c>
      <c r="P1171" s="20">
        <f>IF(I1171="","",IF(I1171="Gasto",O1171,0))</f>
        <v/>
      </c>
      <c r="Q1171" s="20">
        <f>IF(I1171="","",IF(I1171="Ingreso",O1171,0))</f>
        <v/>
      </c>
      <c r="R1171" s="20">
        <f>IF(I1171="","",IF(I1171="Trading",O1171,0))</f>
        <v/>
      </c>
      <c r="S1171" s="19">
        <f>IF(I1171="","",IF(AND(I1171="Gasto",K1171="Variable",J1171&lt;&gt;"Trading",O1171&gt;0,O1171&lt;=Umbral),1,0))</f>
        <v/>
      </c>
      <c r="T1171" s="20">
        <f>IF(OR(I1171="",E1171=""),"",IF(OR(I1171="Gasto",I1171="Transferencia",I1171="Pago tarjeta"),-1,1)*C1171)</f>
        <v/>
      </c>
      <c r="U1171" s="20">
        <f>IF(OR(G1171="",AND(I1171&lt;&gt;"Transferencia",I1171&lt;&gt;"Pago tarjeta")),"",IF(IFERROR(INDEX(ctaMon,MATCH(G1171,ctaNom,0))&amp;"","DOP")=N1171,C1171,IF(N1171="USD",C1171*TasaUSD,C1171/TasaUSD)))</f>
        <v/>
      </c>
      <c r="V1171" s="20">
        <f>IF(I1171="","",IF(IFERROR(INDEX(ctaLiq,MATCH(E1171,ctaNom,0))="Sí",FALSE),IF(OR(I1171="Gasto",I1171="Transferencia",I1171="Pago tarjeta"),-1,1)*O1171,0)+IF(AND(U1171&lt;&gt;"",IFERROR(INDEX(ctaLiq,MATCH(G1171,ctaNom,0))="Sí",FALSE)),O1171,0))</f>
        <v/>
      </c>
      <c r="W1171" s="19">
        <f>IF(OR(F1171="",I1171=""),"",IF(COUNTIFS(F$6:F1171,F1171,I$6:I1171,"?*")=1,MAX(W$5:W1170)+1,""))</f>
        <v/>
      </c>
    </row>
    <row r="1172">
      <c r="B1172" s="15" t="n"/>
      <c r="C1172" s="16" t="n"/>
      <c r="D1172" s="17" t="n"/>
      <c r="E1172" s="17" t="n"/>
      <c r="F1172" s="17" t="n"/>
      <c r="G1172" s="17" t="n"/>
      <c r="H1172" s="18">
        <f>IF(AND(B1172="",C1172="",D1172="",E1172=""),"",IF(B1172="","⚠ Falta fecha",IF(C1172="","⚠ Falta monto",IF(D1172="","⚠ Falta categoría",IF(ISNA(MATCH(D1172,catNom,0)),"⚠ Categoría no existe",IF(E1172="","⚠ Falta cuenta",IF(ISNA(MATCH(E1172,ctaNom,0)),"⚠ Cuenta no existe",IF(AND(OR(I1172="Transferencia",I1172="Pago tarjeta"),G1172=""),"⚠ Indica la cuenta «Hacia»",IF(AND(G1172&lt;&gt;"",G1172=E1172),"⚠ «Hacia» igual a la cuenta",IF(AND(G1172&lt;&gt;"",ISNA(MATCH(G1172,ctaNom,0))),"⚠ «Hacia» no existe",IF(AND(I1172="Pago tarjeta",IFERROR(INDEX(ctaTipo,MATCH(G1172,ctaNom,0)),"")&lt;&gt;"Tarjeta de crédito"),"⚠ «Hacia» debe ser la tarjeta",IF(AND(I1172="Trading",IFERROR(INDEX(ctaTipo,MATCH(E1172,ctaNom,0)),"")&lt;&gt;"Cuenta de trading"),"⚠ Usa la cuenta de trading","✓"))))))))))))</f>
        <v/>
      </c>
      <c r="I1172" s="19">
        <f>IF(OR(B1172="",C1172="",D1172=""),"",IFERROR(INDEX(catTipo,MATCH(D1172,catNom,0))&amp;"",""))</f>
        <v/>
      </c>
      <c r="J1172" s="19">
        <f>IF(I1172="","",IFERROR(INDEX(catGrupo,MATCH(D1172,catNom,0))&amp;"",""))</f>
        <v/>
      </c>
      <c r="K1172" s="19">
        <f>IF(I1172="Gasto",IF(IFERROR(INDEX(catClas,MATCH(D1172,catNom,0))&amp;"","")="","Variable",IFERROR(INDEX(catClas,MATCH(D1172,catNom,0))&amp;"","")),"")</f>
        <v/>
      </c>
      <c r="L1172" s="19">
        <f>IF(I1172="","",IFERROR(INDEX(catAlim,MATCH(D1172,catNom,0))&amp;"",""))</f>
        <v/>
      </c>
      <c r="M1172" s="19">
        <f>IF(I1172="","",IFERROR(INDEX(catComida,MATCH(D1172,catNom,0))&amp;"",""))</f>
        <v/>
      </c>
      <c r="N1172" s="19">
        <f>IF(I1172="","",IFERROR(INDEX(ctaMon,MATCH(E1172,ctaNom,0))&amp;"","DOP"))</f>
        <v/>
      </c>
      <c r="O1172" s="20">
        <f>IF(I1172="","",C1172*IF(N1172="USD",TasaUSD,1))</f>
        <v/>
      </c>
      <c r="P1172" s="20">
        <f>IF(I1172="","",IF(I1172="Gasto",O1172,0))</f>
        <v/>
      </c>
      <c r="Q1172" s="20">
        <f>IF(I1172="","",IF(I1172="Ingreso",O1172,0))</f>
        <v/>
      </c>
      <c r="R1172" s="20">
        <f>IF(I1172="","",IF(I1172="Trading",O1172,0))</f>
        <v/>
      </c>
      <c r="S1172" s="19">
        <f>IF(I1172="","",IF(AND(I1172="Gasto",K1172="Variable",J1172&lt;&gt;"Trading",O1172&gt;0,O1172&lt;=Umbral),1,0))</f>
        <v/>
      </c>
      <c r="T1172" s="20">
        <f>IF(OR(I1172="",E1172=""),"",IF(OR(I1172="Gasto",I1172="Transferencia",I1172="Pago tarjeta"),-1,1)*C1172)</f>
        <v/>
      </c>
      <c r="U1172" s="20">
        <f>IF(OR(G1172="",AND(I1172&lt;&gt;"Transferencia",I1172&lt;&gt;"Pago tarjeta")),"",IF(IFERROR(INDEX(ctaMon,MATCH(G1172,ctaNom,0))&amp;"","DOP")=N1172,C1172,IF(N1172="USD",C1172*TasaUSD,C1172/TasaUSD)))</f>
        <v/>
      </c>
      <c r="V1172" s="20">
        <f>IF(I1172="","",IF(IFERROR(INDEX(ctaLiq,MATCH(E1172,ctaNom,0))="Sí",FALSE),IF(OR(I1172="Gasto",I1172="Transferencia",I1172="Pago tarjeta"),-1,1)*O1172,0)+IF(AND(U1172&lt;&gt;"",IFERROR(INDEX(ctaLiq,MATCH(G1172,ctaNom,0))="Sí",FALSE)),O1172,0))</f>
        <v/>
      </c>
      <c r="W1172" s="19">
        <f>IF(OR(F1172="",I1172=""),"",IF(COUNTIFS(F$6:F1172,F1172,I$6:I1172,"?*")=1,MAX(W$5:W1171)+1,""))</f>
        <v/>
      </c>
    </row>
    <row r="1173">
      <c r="B1173" s="15" t="n"/>
      <c r="C1173" s="16" t="n"/>
      <c r="D1173" s="17" t="n"/>
      <c r="E1173" s="17" t="n"/>
      <c r="F1173" s="17" t="n"/>
      <c r="G1173" s="17" t="n"/>
      <c r="H1173" s="18">
        <f>IF(AND(B1173="",C1173="",D1173="",E1173=""),"",IF(B1173="","⚠ Falta fecha",IF(C1173="","⚠ Falta monto",IF(D1173="","⚠ Falta categoría",IF(ISNA(MATCH(D1173,catNom,0)),"⚠ Categoría no existe",IF(E1173="","⚠ Falta cuenta",IF(ISNA(MATCH(E1173,ctaNom,0)),"⚠ Cuenta no existe",IF(AND(OR(I1173="Transferencia",I1173="Pago tarjeta"),G1173=""),"⚠ Indica la cuenta «Hacia»",IF(AND(G1173&lt;&gt;"",G1173=E1173),"⚠ «Hacia» igual a la cuenta",IF(AND(G1173&lt;&gt;"",ISNA(MATCH(G1173,ctaNom,0))),"⚠ «Hacia» no existe",IF(AND(I1173="Pago tarjeta",IFERROR(INDEX(ctaTipo,MATCH(G1173,ctaNom,0)),"")&lt;&gt;"Tarjeta de crédito"),"⚠ «Hacia» debe ser la tarjeta",IF(AND(I1173="Trading",IFERROR(INDEX(ctaTipo,MATCH(E1173,ctaNom,0)),"")&lt;&gt;"Cuenta de trading"),"⚠ Usa la cuenta de trading","✓"))))))))))))</f>
        <v/>
      </c>
      <c r="I1173" s="19">
        <f>IF(OR(B1173="",C1173="",D1173=""),"",IFERROR(INDEX(catTipo,MATCH(D1173,catNom,0))&amp;"",""))</f>
        <v/>
      </c>
      <c r="J1173" s="19">
        <f>IF(I1173="","",IFERROR(INDEX(catGrupo,MATCH(D1173,catNom,0))&amp;"",""))</f>
        <v/>
      </c>
      <c r="K1173" s="19">
        <f>IF(I1173="Gasto",IF(IFERROR(INDEX(catClas,MATCH(D1173,catNom,0))&amp;"","")="","Variable",IFERROR(INDEX(catClas,MATCH(D1173,catNom,0))&amp;"","")),"")</f>
        <v/>
      </c>
      <c r="L1173" s="19">
        <f>IF(I1173="","",IFERROR(INDEX(catAlim,MATCH(D1173,catNom,0))&amp;"",""))</f>
        <v/>
      </c>
      <c r="M1173" s="19">
        <f>IF(I1173="","",IFERROR(INDEX(catComida,MATCH(D1173,catNom,0))&amp;"",""))</f>
        <v/>
      </c>
      <c r="N1173" s="19">
        <f>IF(I1173="","",IFERROR(INDEX(ctaMon,MATCH(E1173,ctaNom,0))&amp;"","DOP"))</f>
        <v/>
      </c>
      <c r="O1173" s="20">
        <f>IF(I1173="","",C1173*IF(N1173="USD",TasaUSD,1))</f>
        <v/>
      </c>
      <c r="P1173" s="20">
        <f>IF(I1173="","",IF(I1173="Gasto",O1173,0))</f>
        <v/>
      </c>
      <c r="Q1173" s="20">
        <f>IF(I1173="","",IF(I1173="Ingreso",O1173,0))</f>
        <v/>
      </c>
      <c r="R1173" s="20">
        <f>IF(I1173="","",IF(I1173="Trading",O1173,0))</f>
        <v/>
      </c>
      <c r="S1173" s="19">
        <f>IF(I1173="","",IF(AND(I1173="Gasto",K1173="Variable",J1173&lt;&gt;"Trading",O1173&gt;0,O1173&lt;=Umbral),1,0))</f>
        <v/>
      </c>
      <c r="T1173" s="20">
        <f>IF(OR(I1173="",E1173=""),"",IF(OR(I1173="Gasto",I1173="Transferencia",I1173="Pago tarjeta"),-1,1)*C1173)</f>
        <v/>
      </c>
      <c r="U1173" s="20">
        <f>IF(OR(G1173="",AND(I1173&lt;&gt;"Transferencia",I1173&lt;&gt;"Pago tarjeta")),"",IF(IFERROR(INDEX(ctaMon,MATCH(G1173,ctaNom,0))&amp;"","DOP")=N1173,C1173,IF(N1173="USD",C1173*TasaUSD,C1173/TasaUSD)))</f>
        <v/>
      </c>
      <c r="V1173" s="20">
        <f>IF(I1173="","",IF(IFERROR(INDEX(ctaLiq,MATCH(E1173,ctaNom,0))="Sí",FALSE),IF(OR(I1173="Gasto",I1173="Transferencia",I1173="Pago tarjeta"),-1,1)*O1173,0)+IF(AND(U1173&lt;&gt;"",IFERROR(INDEX(ctaLiq,MATCH(G1173,ctaNom,0))="Sí",FALSE)),O1173,0))</f>
        <v/>
      </c>
      <c r="W1173" s="19">
        <f>IF(OR(F1173="",I1173=""),"",IF(COUNTIFS(F$6:F1173,F1173,I$6:I1173,"?*")=1,MAX(W$5:W1172)+1,""))</f>
        <v/>
      </c>
    </row>
    <row r="1174">
      <c r="B1174" s="15" t="n"/>
      <c r="C1174" s="16" t="n"/>
      <c r="D1174" s="17" t="n"/>
      <c r="E1174" s="17" t="n"/>
      <c r="F1174" s="17" t="n"/>
      <c r="G1174" s="17" t="n"/>
      <c r="H1174" s="18">
        <f>IF(AND(B1174="",C1174="",D1174="",E1174=""),"",IF(B1174="","⚠ Falta fecha",IF(C1174="","⚠ Falta monto",IF(D1174="","⚠ Falta categoría",IF(ISNA(MATCH(D1174,catNom,0)),"⚠ Categoría no existe",IF(E1174="","⚠ Falta cuenta",IF(ISNA(MATCH(E1174,ctaNom,0)),"⚠ Cuenta no existe",IF(AND(OR(I1174="Transferencia",I1174="Pago tarjeta"),G1174=""),"⚠ Indica la cuenta «Hacia»",IF(AND(G1174&lt;&gt;"",G1174=E1174),"⚠ «Hacia» igual a la cuenta",IF(AND(G1174&lt;&gt;"",ISNA(MATCH(G1174,ctaNom,0))),"⚠ «Hacia» no existe",IF(AND(I1174="Pago tarjeta",IFERROR(INDEX(ctaTipo,MATCH(G1174,ctaNom,0)),"")&lt;&gt;"Tarjeta de crédito"),"⚠ «Hacia» debe ser la tarjeta",IF(AND(I1174="Trading",IFERROR(INDEX(ctaTipo,MATCH(E1174,ctaNom,0)),"")&lt;&gt;"Cuenta de trading"),"⚠ Usa la cuenta de trading","✓"))))))))))))</f>
        <v/>
      </c>
      <c r="I1174" s="19">
        <f>IF(OR(B1174="",C1174="",D1174=""),"",IFERROR(INDEX(catTipo,MATCH(D1174,catNom,0))&amp;"",""))</f>
        <v/>
      </c>
      <c r="J1174" s="19">
        <f>IF(I1174="","",IFERROR(INDEX(catGrupo,MATCH(D1174,catNom,0))&amp;"",""))</f>
        <v/>
      </c>
      <c r="K1174" s="19">
        <f>IF(I1174="Gasto",IF(IFERROR(INDEX(catClas,MATCH(D1174,catNom,0))&amp;"","")="","Variable",IFERROR(INDEX(catClas,MATCH(D1174,catNom,0))&amp;"","")),"")</f>
        <v/>
      </c>
      <c r="L1174" s="19">
        <f>IF(I1174="","",IFERROR(INDEX(catAlim,MATCH(D1174,catNom,0))&amp;"",""))</f>
        <v/>
      </c>
      <c r="M1174" s="19">
        <f>IF(I1174="","",IFERROR(INDEX(catComida,MATCH(D1174,catNom,0))&amp;"",""))</f>
        <v/>
      </c>
      <c r="N1174" s="19">
        <f>IF(I1174="","",IFERROR(INDEX(ctaMon,MATCH(E1174,ctaNom,0))&amp;"","DOP"))</f>
        <v/>
      </c>
      <c r="O1174" s="20">
        <f>IF(I1174="","",C1174*IF(N1174="USD",TasaUSD,1))</f>
        <v/>
      </c>
      <c r="P1174" s="20">
        <f>IF(I1174="","",IF(I1174="Gasto",O1174,0))</f>
        <v/>
      </c>
      <c r="Q1174" s="20">
        <f>IF(I1174="","",IF(I1174="Ingreso",O1174,0))</f>
        <v/>
      </c>
      <c r="R1174" s="20">
        <f>IF(I1174="","",IF(I1174="Trading",O1174,0))</f>
        <v/>
      </c>
      <c r="S1174" s="19">
        <f>IF(I1174="","",IF(AND(I1174="Gasto",K1174="Variable",J1174&lt;&gt;"Trading",O1174&gt;0,O1174&lt;=Umbral),1,0))</f>
        <v/>
      </c>
      <c r="T1174" s="20">
        <f>IF(OR(I1174="",E1174=""),"",IF(OR(I1174="Gasto",I1174="Transferencia",I1174="Pago tarjeta"),-1,1)*C1174)</f>
        <v/>
      </c>
      <c r="U1174" s="20">
        <f>IF(OR(G1174="",AND(I1174&lt;&gt;"Transferencia",I1174&lt;&gt;"Pago tarjeta")),"",IF(IFERROR(INDEX(ctaMon,MATCH(G1174,ctaNom,0))&amp;"","DOP")=N1174,C1174,IF(N1174="USD",C1174*TasaUSD,C1174/TasaUSD)))</f>
        <v/>
      </c>
      <c r="V1174" s="20">
        <f>IF(I1174="","",IF(IFERROR(INDEX(ctaLiq,MATCH(E1174,ctaNom,0))="Sí",FALSE),IF(OR(I1174="Gasto",I1174="Transferencia",I1174="Pago tarjeta"),-1,1)*O1174,0)+IF(AND(U1174&lt;&gt;"",IFERROR(INDEX(ctaLiq,MATCH(G1174,ctaNom,0))="Sí",FALSE)),O1174,0))</f>
        <v/>
      </c>
      <c r="W1174" s="19">
        <f>IF(OR(F1174="",I1174=""),"",IF(COUNTIFS(F$6:F1174,F1174,I$6:I1174,"?*")=1,MAX(W$5:W1173)+1,""))</f>
        <v/>
      </c>
    </row>
    <row r="1175">
      <c r="B1175" s="15" t="n"/>
      <c r="C1175" s="16" t="n"/>
      <c r="D1175" s="17" t="n"/>
      <c r="E1175" s="17" t="n"/>
      <c r="F1175" s="17" t="n"/>
      <c r="G1175" s="17" t="n"/>
      <c r="H1175" s="18">
        <f>IF(AND(B1175="",C1175="",D1175="",E1175=""),"",IF(B1175="","⚠ Falta fecha",IF(C1175="","⚠ Falta monto",IF(D1175="","⚠ Falta categoría",IF(ISNA(MATCH(D1175,catNom,0)),"⚠ Categoría no existe",IF(E1175="","⚠ Falta cuenta",IF(ISNA(MATCH(E1175,ctaNom,0)),"⚠ Cuenta no existe",IF(AND(OR(I1175="Transferencia",I1175="Pago tarjeta"),G1175=""),"⚠ Indica la cuenta «Hacia»",IF(AND(G1175&lt;&gt;"",G1175=E1175),"⚠ «Hacia» igual a la cuenta",IF(AND(G1175&lt;&gt;"",ISNA(MATCH(G1175,ctaNom,0))),"⚠ «Hacia» no existe",IF(AND(I1175="Pago tarjeta",IFERROR(INDEX(ctaTipo,MATCH(G1175,ctaNom,0)),"")&lt;&gt;"Tarjeta de crédito"),"⚠ «Hacia» debe ser la tarjeta",IF(AND(I1175="Trading",IFERROR(INDEX(ctaTipo,MATCH(E1175,ctaNom,0)),"")&lt;&gt;"Cuenta de trading"),"⚠ Usa la cuenta de trading","✓"))))))))))))</f>
        <v/>
      </c>
      <c r="I1175" s="19">
        <f>IF(OR(B1175="",C1175="",D1175=""),"",IFERROR(INDEX(catTipo,MATCH(D1175,catNom,0))&amp;"",""))</f>
        <v/>
      </c>
      <c r="J1175" s="19">
        <f>IF(I1175="","",IFERROR(INDEX(catGrupo,MATCH(D1175,catNom,0))&amp;"",""))</f>
        <v/>
      </c>
      <c r="K1175" s="19">
        <f>IF(I1175="Gasto",IF(IFERROR(INDEX(catClas,MATCH(D1175,catNom,0))&amp;"","")="","Variable",IFERROR(INDEX(catClas,MATCH(D1175,catNom,0))&amp;"","")),"")</f>
        <v/>
      </c>
      <c r="L1175" s="19">
        <f>IF(I1175="","",IFERROR(INDEX(catAlim,MATCH(D1175,catNom,0))&amp;"",""))</f>
        <v/>
      </c>
      <c r="M1175" s="19">
        <f>IF(I1175="","",IFERROR(INDEX(catComida,MATCH(D1175,catNom,0))&amp;"",""))</f>
        <v/>
      </c>
      <c r="N1175" s="19">
        <f>IF(I1175="","",IFERROR(INDEX(ctaMon,MATCH(E1175,ctaNom,0))&amp;"","DOP"))</f>
        <v/>
      </c>
      <c r="O1175" s="20">
        <f>IF(I1175="","",C1175*IF(N1175="USD",TasaUSD,1))</f>
        <v/>
      </c>
      <c r="P1175" s="20">
        <f>IF(I1175="","",IF(I1175="Gasto",O1175,0))</f>
        <v/>
      </c>
      <c r="Q1175" s="20">
        <f>IF(I1175="","",IF(I1175="Ingreso",O1175,0))</f>
        <v/>
      </c>
      <c r="R1175" s="20">
        <f>IF(I1175="","",IF(I1175="Trading",O1175,0))</f>
        <v/>
      </c>
      <c r="S1175" s="19">
        <f>IF(I1175="","",IF(AND(I1175="Gasto",K1175="Variable",J1175&lt;&gt;"Trading",O1175&gt;0,O1175&lt;=Umbral),1,0))</f>
        <v/>
      </c>
      <c r="T1175" s="20">
        <f>IF(OR(I1175="",E1175=""),"",IF(OR(I1175="Gasto",I1175="Transferencia",I1175="Pago tarjeta"),-1,1)*C1175)</f>
        <v/>
      </c>
      <c r="U1175" s="20">
        <f>IF(OR(G1175="",AND(I1175&lt;&gt;"Transferencia",I1175&lt;&gt;"Pago tarjeta")),"",IF(IFERROR(INDEX(ctaMon,MATCH(G1175,ctaNom,0))&amp;"","DOP")=N1175,C1175,IF(N1175="USD",C1175*TasaUSD,C1175/TasaUSD)))</f>
        <v/>
      </c>
      <c r="V1175" s="20">
        <f>IF(I1175="","",IF(IFERROR(INDEX(ctaLiq,MATCH(E1175,ctaNom,0))="Sí",FALSE),IF(OR(I1175="Gasto",I1175="Transferencia",I1175="Pago tarjeta"),-1,1)*O1175,0)+IF(AND(U1175&lt;&gt;"",IFERROR(INDEX(ctaLiq,MATCH(G1175,ctaNom,0))="Sí",FALSE)),O1175,0))</f>
        <v/>
      </c>
      <c r="W1175" s="19">
        <f>IF(OR(F1175="",I1175=""),"",IF(COUNTIFS(F$6:F1175,F1175,I$6:I1175,"?*")=1,MAX(W$5:W1174)+1,""))</f>
        <v/>
      </c>
    </row>
    <row r="1176">
      <c r="B1176" s="15" t="n"/>
      <c r="C1176" s="16" t="n"/>
      <c r="D1176" s="17" t="n"/>
      <c r="E1176" s="17" t="n"/>
      <c r="F1176" s="17" t="n"/>
      <c r="G1176" s="17" t="n"/>
      <c r="H1176" s="18">
        <f>IF(AND(B1176="",C1176="",D1176="",E1176=""),"",IF(B1176="","⚠ Falta fecha",IF(C1176="","⚠ Falta monto",IF(D1176="","⚠ Falta categoría",IF(ISNA(MATCH(D1176,catNom,0)),"⚠ Categoría no existe",IF(E1176="","⚠ Falta cuenta",IF(ISNA(MATCH(E1176,ctaNom,0)),"⚠ Cuenta no existe",IF(AND(OR(I1176="Transferencia",I1176="Pago tarjeta"),G1176=""),"⚠ Indica la cuenta «Hacia»",IF(AND(G1176&lt;&gt;"",G1176=E1176),"⚠ «Hacia» igual a la cuenta",IF(AND(G1176&lt;&gt;"",ISNA(MATCH(G1176,ctaNom,0))),"⚠ «Hacia» no existe",IF(AND(I1176="Pago tarjeta",IFERROR(INDEX(ctaTipo,MATCH(G1176,ctaNom,0)),"")&lt;&gt;"Tarjeta de crédito"),"⚠ «Hacia» debe ser la tarjeta",IF(AND(I1176="Trading",IFERROR(INDEX(ctaTipo,MATCH(E1176,ctaNom,0)),"")&lt;&gt;"Cuenta de trading"),"⚠ Usa la cuenta de trading","✓"))))))))))))</f>
        <v/>
      </c>
      <c r="I1176" s="19">
        <f>IF(OR(B1176="",C1176="",D1176=""),"",IFERROR(INDEX(catTipo,MATCH(D1176,catNom,0))&amp;"",""))</f>
        <v/>
      </c>
      <c r="J1176" s="19">
        <f>IF(I1176="","",IFERROR(INDEX(catGrupo,MATCH(D1176,catNom,0))&amp;"",""))</f>
        <v/>
      </c>
      <c r="K1176" s="19">
        <f>IF(I1176="Gasto",IF(IFERROR(INDEX(catClas,MATCH(D1176,catNom,0))&amp;"","")="","Variable",IFERROR(INDEX(catClas,MATCH(D1176,catNom,0))&amp;"","")),"")</f>
        <v/>
      </c>
      <c r="L1176" s="19">
        <f>IF(I1176="","",IFERROR(INDEX(catAlim,MATCH(D1176,catNom,0))&amp;"",""))</f>
        <v/>
      </c>
      <c r="M1176" s="19">
        <f>IF(I1176="","",IFERROR(INDEX(catComida,MATCH(D1176,catNom,0))&amp;"",""))</f>
        <v/>
      </c>
      <c r="N1176" s="19">
        <f>IF(I1176="","",IFERROR(INDEX(ctaMon,MATCH(E1176,ctaNom,0))&amp;"","DOP"))</f>
        <v/>
      </c>
      <c r="O1176" s="20">
        <f>IF(I1176="","",C1176*IF(N1176="USD",TasaUSD,1))</f>
        <v/>
      </c>
      <c r="P1176" s="20">
        <f>IF(I1176="","",IF(I1176="Gasto",O1176,0))</f>
        <v/>
      </c>
      <c r="Q1176" s="20">
        <f>IF(I1176="","",IF(I1176="Ingreso",O1176,0))</f>
        <v/>
      </c>
      <c r="R1176" s="20">
        <f>IF(I1176="","",IF(I1176="Trading",O1176,0))</f>
        <v/>
      </c>
      <c r="S1176" s="19">
        <f>IF(I1176="","",IF(AND(I1176="Gasto",K1176="Variable",J1176&lt;&gt;"Trading",O1176&gt;0,O1176&lt;=Umbral),1,0))</f>
        <v/>
      </c>
      <c r="T1176" s="20">
        <f>IF(OR(I1176="",E1176=""),"",IF(OR(I1176="Gasto",I1176="Transferencia",I1176="Pago tarjeta"),-1,1)*C1176)</f>
        <v/>
      </c>
      <c r="U1176" s="20">
        <f>IF(OR(G1176="",AND(I1176&lt;&gt;"Transferencia",I1176&lt;&gt;"Pago tarjeta")),"",IF(IFERROR(INDEX(ctaMon,MATCH(G1176,ctaNom,0))&amp;"","DOP")=N1176,C1176,IF(N1176="USD",C1176*TasaUSD,C1176/TasaUSD)))</f>
        <v/>
      </c>
      <c r="V1176" s="20">
        <f>IF(I1176="","",IF(IFERROR(INDEX(ctaLiq,MATCH(E1176,ctaNom,0))="Sí",FALSE),IF(OR(I1176="Gasto",I1176="Transferencia",I1176="Pago tarjeta"),-1,1)*O1176,0)+IF(AND(U1176&lt;&gt;"",IFERROR(INDEX(ctaLiq,MATCH(G1176,ctaNom,0))="Sí",FALSE)),O1176,0))</f>
        <v/>
      </c>
      <c r="W1176" s="19">
        <f>IF(OR(F1176="",I1176=""),"",IF(COUNTIFS(F$6:F1176,F1176,I$6:I1176,"?*")=1,MAX(W$5:W1175)+1,""))</f>
        <v/>
      </c>
    </row>
    <row r="1177">
      <c r="B1177" s="15" t="n"/>
      <c r="C1177" s="16" t="n"/>
      <c r="D1177" s="17" t="n"/>
      <c r="E1177" s="17" t="n"/>
      <c r="F1177" s="17" t="n"/>
      <c r="G1177" s="17" t="n"/>
      <c r="H1177" s="18">
        <f>IF(AND(B1177="",C1177="",D1177="",E1177=""),"",IF(B1177="","⚠ Falta fecha",IF(C1177="","⚠ Falta monto",IF(D1177="","⚠ Falta categoría",IF(ISNA(MATCH(D1177,catNom,0)),"⚠ Categoría no existe",IF(E1177="","⚠ Falta cuenta",IF(ISNA(MATCH(E1177,ctaNom,0)),"⚠ Cuenta no existe",IF(AND(OR(I1177="Transferencia",I1177="Pago tarjeta"),G1177=""),"⚠ Indica la cuenta «Hacia»",IF(AND(G1177&lt;&gt;"",G1177=E1177),"⚠ «Hacia» igual a la cuenta",IF(AND(G1177&lt;&gt;"",ISNA(MATCH(G1177,ctaNom,0))),"⚠ «Hacia» no existe",IF(AND(I1177="Pago tarjeta",IFERROR(INDEX(ctaTipo,MATCH(G1177,ctaNom,0)),"")&lt;&gt;"Tarjeta de crédito"),"⚠ «Hacia» debe ser la tarjeta",IF(AND(I1177="Trading",IFERROR(INDEX(ctaTipo,MATCH(E1177,ctaNom,0)),"")&lt;&gt;"Cuenta de trading"),"⚠ Usa la cuenta de trading","✓"))))))))))))</f>
        <v/>
      </c>
      <c r="I1177" s="19">
        <f>IF(OR(B1177="",C1177="",D1177=""),"",IFERROR(INDEX(catTipo,MATCH(D1177,catNom,0))&amp;"",""))</f>
        <v/>
      </c>
      <c r="J1177" s="19">
        <f>IF(I1177="","",IFERROR(INDEX(catGrupo,MATCH(D1177,catNom,0))&amp;"",""))</f>
        <v/>
      </c>
      <c r="K1177" s="19">
        <f>IF(I1177="Gasto",IF(IFERROR(INDEX(catClas,MATCH(D1177,catNom,0))&amp;"","")="","Variable",IFERROR(INDEX(catClas,MATCH(D1177,catNom,0))&amp;"","")),"")</f>
        <v/>
      </c>
      <c r="L1177" s="19">
        <f>IF(I1177="","",IFERROR(INDEX(catAlim,MATCH(D1177,catNom,0))&amp;"",""))</f>
        <v/>
      </c>
      <c r="M1177" s="19">
        <f>IF(I1177="","",IFERROR(INDEX(catComida,MATCH(D1177,catNom,0))&amp;"",""))</f>
        <v/>
      </c>
      <c r="N1177" s="19">
        <f>IF(I1177="","",IFERROR(INDEX(ctaMon,MATCH(E1177,ctaNom,0))&amp;"","DOP"))</f>
        <v/>
      </c>
      <c r="O1177" s="20">
        <f>IF(I1177="","",C1177*IF(N1177="USD",TasaUSD,1))</f>
        <v/>
      </c>
      <c r="P1177" s="20">
        <f>IF(I1177="","",IF(I1177="Gasto",O1177,0))</f>
        <v/>
      </c>
      <c r="Q1177" s="20">
        <f>IF(I1177="","",IF(I1177="Ingreso",O1177,0))</f>
        <v/>
      </c>
      <c r="R1177" s="20">
        <f>IF(I1177="","",IF(I1177="Trading",O1177,0))</f>
        <v/>
      </c>
      <c r="S1177" s="19">
        <f>IF(I1177="","",IF(AND(I1177="Gasto",K1177="Variable",J1177&lt;&gt;"Trading",O1177&gt;0,O1177&lt;=Umbral),1,0))</f>
        <v/>
      </c>
      <c r="T1177" s="20">
        <f>IF(OR(I1177="",E1177=""),"",IF(OR(I1177="Gasto",I1177="Transferencia",I1177="Pago tarjeta"),-1,1)*C1177)</f>
        <v/>
      </c>
      <c r="U1177" s="20">
        <f>IF(OR(G1177="",AND(I1177&lt;&gt;"Transferencia",I1177&lt;&gt;"Pago tarjeta")),"",IF(IFERROR(INDEX(ctaMon,MATCH(G1177,ctaNom,0))&amp;"","DOP")=N1177,C1177,IF(N1177="USD",C1177*TasaUSD,C1177/TasaUSD)))</f>
        <v/>
      </c>
      <c r="V1177" s="20">
        <f>IF(I1177="","",IF(IFERROR(INDEX(ctaLiq,MATCH(E1177,ctaNom,0))="Sí",FALSE),IF(OR(I1177="Gasto",I1177="Transferencia",I1177="Pago tarjeta"),-1,1)*O1177,0)+IF(AND(U1177&lt;&gt;"",IFERROR(INDEX(ctaLiq,MATCH(G1177,ctaNom,0))="Sí",FALSE)),O1177,0))</f>
        <v/>
      </c>
      <c r="W1177" s="19">
        <f>IF(OR(F1177="",I1177=""),"",IF(COUNTIFS(F$6:F1177,F1177,I$6:I1177,"?*")=1,MAX(W$5:W1176)+1,""))</f>
        <v/>
      </c>
    </row>
    <row r="1178">
      <c r="B1178" s="15" t="n"/>
      <c r="C1178" s="16" t="n"/>
      <c r="D1178" s="17" t="n"/>
      <c r="E1178" s="17" t="n"/>
      <c r="F1178" s="17" t="n"/>
      <c r="G1178" s="17" t="n"/>
      <c r="H1178" s="18">
        <f>IF(AND(B1178="",C1178="",D1178="",E1178=""),"",IF(B1178="","⚠ Falta fecha",IF(C1178="","⚠ Falta monto",IF(D1178="","⚠ Falta categoría",IF(ISNA(MATCH(D1178,catNom,0)),"⚠ Categoría no existe",IF(E1178="","⚠ Falta cuenta",IF(ISNA(MATCH(E1178,ctaNom,0)),"⚠ Cuenta no existe",IF(AND(OR(I1178="Transferencia",I1178="Pago tarjeta"),G1178=""),"⚠ Indica la cuenta «Hacia»",IF(AND(G1178&lt;&gt;"",G1178=E1178),"⚠ «Hacia» igual a la cuenta",IF(AND(G1178&lt;&gt;"",ISNA(MATCH(G1178,ctaNom,0))),"⚠ «Hacia» no existe",IF(AND(I1178="Pago tarjeta",IFERROR(INDEX(ctaTipo,MATCH(G1178,ctaNom,0)),"")&lt;&gt;"Tarjeta de crédito"),"⚠ «Hacia» debe ser la tarjeta",IF(AND(I1178="Trading",IFERROR(INDEX(ctaTipo,MATCH(E1178,ctaNom,0)),"")&lt;&gt;"Cuenta de trading"),"⚠ Usa la cuenta de trading","✓"))))))))))))</f>
        <v/>
      </c>
      <c r="I1178" s="19">
        <f>IF(OR(B1178="",C1178="",D1178=""),"",IFERROR(INDEX(catTipo,MATCH(D1178,catNom,0))&amp;"",""))</f>
        <v/>
      </c>
      <c r="J1178" s="19">
        <f>IF(I1178="","",IFERROR(INDEX(catGrupo,MATCH(D1178,catNom,0))&amp;"",""))</f>
        <v/>
      </c>
      <c r="K1178" s="19">
        <f>IF(I1178="Gasto",IF(IFERROR(INDEX(catClas,MATCH(D1178,catNom,0))&amp;"","")="","Variable",IFERROR(INDEX(catClas,MATCH(D1178,catNom,0))&amp;"","")),"")</f>
        <v/>
      </c>
      <c r="L1178" s="19">
        <f>IF(I1178="","",IFERROR(INDEX(catAlim,MATCH(D1178,catNom,0))&amp;"",""))</f>
        <v/>
      </c>
      <c r="M1178" s="19">
        <f>IF(I1178="","",IFERROR(INDEX(catComida,MATCH(D1178,catNom,0))&amp;"",""))</f>
        <v/>
      </c>
      <c r="N1178" s="19">
        <f>IF(I1178="","",IFERROR(INDEX(ctaMon,MATCH(E1178,ctaNom,0))&amp;"","DOP"))</f>
        <v/>
      </c>
      <c r="O1178" s="20">
        <f>IF(I1178="","",C1178*IF(N1178="USD",TasaUSD,1))</f>
        <v/>
      </c>
      <c r="P1178" s="20">
        <f>IF(I1178="","",IF(I1178="Gasto",O1178,0))</f>
        <v/>
      </c>
      <c r="Q1178" s="20">
        <f>IF(I1178="","",IF(I1178="Ingreso",O1178,0))</f>
        <v/>
      </c>
      <c r="R1178" s="20">
        <f>IF(I1178="","",IF(I1178="Trading",O1178,0))</f>
        <v/>
      </c>
      <c r="S1178" s="19">
        <f>IF(I1178="","",IF(AND(I1178="Gasto",K1178="Variable",J1178&lt;&gt;"Trading",O1178&gt;0,O1178&lt;=Umbral),1,0))</f>
        <v/>
      </c>
      <c r="T1178" s="20">
        <f>IF(OR(I1178="",E1178=""),"",IF(OR(I1178="Gasto",I1178="Transferencia",I1178="Pago tarjeta"),-1,1)*C1178)</f>
        <v/>
      </c>
      <c r="U1178" s="20">
        <f>IF(OR(G1178="",AND(I1178&lt;&gt;"Transferencia",I1178&lt;&gt;"Pago tarjeta")),"",IF(IFERROR(INDEX(ctaMon,MATCH(G1178,ctaNom,0))&amp;"","DOP")=N1178,C1178,IF(N1178="USD",C1178*TasaUSD,C1178/TasaUSD)))</f>
        <v/>
      </c>
      <c r="V1178" s="20">
        <f>IF(I1178="","",IF(IFERROR(INDEX(ctaLiq,MATCH(E1178,ctaNom,0))="Sí",FALSE),IF(OR(I1178="Gasto",I1178="Transferencia",I1178="Pago tarjeta"),-1,1)*O1178,0)+IF(AND(U1178&lt;&gt;"",IFERROR(INDEX(ctaLiq,MATCH(G1178,ctaNom,0))="Sí",FALSE)),O1178,0))</f>
        <v/>
      </c>
      <c r="W1178" s="19">
        <f>IF(OR(F1178="",I1178=""),"",IF(COUNTIFS(F$6:F1178,F1178,I$6:I1178,"?*")=1,MAX(W$5:W1177)+1,""))</f>
        <v/>
      </c>
    </row>
    <row r="1179">
      <c r="B1179" s="15" t="n"/>
      <c r="C1179" s="16" t="n"/>
      <c r="D1179" s="17" t="n"/>
      <c r="E1179" s="17" t="n"/>
      <c r="F1179" s="17" t="n"/>
      <c r="G1179" s="17" t="n"/>
      <c r="H1179" s="18">
        <f>IF(AND(B1179="",C1179="",D1179="",E1179=""),"",IF(B1179="","⚠ Falta fecha",IF(C1179="","⚠ Falta monto",IF(D1179="","⚠ Falta categoría",IF(ISNA(MATCH(D1179,catNom,0)),"⚠ Categoría no existe",IF(E1179="","⚠ Falta cuenta",IF(ISNA(MATCH(E1179,ctaNom,0)),"⚠ Cuenta no existe",IF(AND(OR(I1179="Transferencia",I1179="Pago tarjeta"),G1179=""),"⚠ Indica la cuenta «Hacia»",IF(AND(G1179&lt;&gt;"",G1179=E1179),"⚠ «Hacia» igual a la cuenta",IF(AND(G1179&lt;&gt;"",ISNA(MATCH(G1179,ctaNom,0))),"⚠ «Hacia» no existe",IF(AND(I1179="Pago tarjeta",IFERROR(INDEX(ctaTipo,MATCH(G1179,ctaNom,0)),"")&lt;&gt;"Tarjeta de crédito"),"⚠ «Hacia» debe ser la tarjeta",IF(AND(I1179="Trading",IFERROR(INDEX(ctaTipo,MATCH(E1179,ctaNom,0)),"")&lt;&gt;"Cuenta de trading"),"⚠ Usa la cuenta de trading","✓"))))))))))))</f>
        <v/>
      </c>
      <c r="I1179" s="19">
        <f>IF(OR(B1179="",C1179="",D1179=""),"",IFERROR(INDEX(catTipo,MATCH(D1179,catNom,0))&amp;"",""))</f>
        <v/>
      </c>
      <c r="J1179" s="19">
        <f>IF(I1179="","",IFERROR(INDEX(catGrupo,MATCH(D1179,catNom,0))&amp;"",""))</f>
        <v/>
      </c>
      <c r="K1179" s="19">
        <f>IF(I1179="Gasto",IF(IFERROR(INDEX(catClas,MATCH(D1179,catNom,0))&amp;"","")="","Variable",IFERROR(INDEX(catClas,MATCH(D1179,catNom,0))&amp;"","")),"")</f>
        <v/>
      </c>
      <c r="L1179" s="19">
        <f>IF(I1179="","",IFERROR(INDEX(catAlim,MATCH(D1179,catNom,0))&amp;"",""))</f>
        <v/>
      </c>
      <c r="M1179" s="19">
        <f>IF(I1179="","",IFERROR(INDEX(catComida,MATCH(D1179,catNom,0))&amp;"",""))</f>
        <v/>
      </c>
      <c r="N1179" s="19">
        <f>IF(I1179="","",IFERROR(INDEX(ctaMon,MATCH(E1179,ctaNom,0))&amp;"","DOP"))</f>
        <v/>
      </c>
      <c r="O1179" s="20">
        <f>IF(I1179="","",C1179*IF(N1179="USD",TasaUSD,1))</f>
        <v/>
      </c>
      <c r="P1179" s="20">
        <f>IF(I1179="","",IF(I1179="Gasto",O1179,0))</f>
        <v/>
      </c>
      <c r="Q1179" s="20">
        <f>IF(I1179="","",IF(I1179="Ingreso",O1179,0))</f>
        <v/>
      </c>
      <c r="R1179" s="20">
        <f>IF(I1179="","",IF(I1179="Trading",O1179,0))</f>
        <v/>
      </c>
      <c r="S1179" s="19">
        <f>IF(I1179="","",IF(AND(I1179="Gasto",K1179="Variable",J1179&lt;&gt;"Trading",O1179&gt;0,O1179&lt;=Umbral),1,0))</f>
        <v/>
      </c>
      <c r="T1179" s="20">
        <f>IF(OR(I1179="",E1179=""),"",IF(OR(I1179="Gasto",I1179="Transferencia",I1179="Pago tarjeta"),-1,1)*C1179)</f>
        <v/>
      </c>
      <c r="U1179" s="20">
        <f>IF(OR(G1179="",AND(I1179&lt;&gt;"Transferencia",I1179&lt;&gt;"Pago tarjeta")),"",IF(IFERROR(INDEX(ctaMon,MATCH(G1179,ctaNom,0))&amp;"","DOP")=N1179,C1179,IF(N1179="USD",C1179*TasaUSD,C1179/TasaUSD)))</f>
        <v/>
      </c>
      <c r="V1179" s="20">
        <f>IF(I1179="","",IF(IFERROR(INDEX(ctaLiq,MATCH(E1179,ctaNom,0))="Sí",FALSE),IF(OR(I1179="Gasto",I1179="Transferencia",I1179="Pago tarjeta"),-1,1)*O1179,0)+IF(AND(U1179&lt;&gt;"",IFERROR(INDEX(ctaLiq,MATCH(G1179,ctaNom,0))="Sí",FALSE)),O1179,0))</f>
        <v/>
      </c>
      <c r="W1179" s="19">
        <f>IF(OR(F1179="",I1179=""),"",IF(COUNTIFS(F$6:F1179,F1179,I$6:I1179,"?*")=1,MAX(W$5:W1178)+1,""))</f>
        <v/>
      </c>
    </row>
    <row r="1180">
      <c r="B1180" s="15" t="n"/>
      <c r="C1180" s="16" t="n"/>
      <c r="D1180" s="17" t="n"/>
      <c r="E1180" s="17" t="n"/>
      <c r="F1180" s="17" t="n"/>
      <c r="G1180" s="17" t="n"/>
      <c r="H1180" s="18">
        <f>IF(AND(B1180="",C1180="",D1180="",E1180=""),"",IF(B1180="","⚠ Falta fecha",IF(C1180="","⚠ Falta monto",IF(D1180="","⚠ Falta categoría",IF(ISNA(MATCH(D1180,catNom,0)),"⚠ Categoría no existe",IF(E1180="","⚠ Falta cuenta",IF(ISNA(MATCH(E1180,ctaNom,0)),"⚠ Cuenta no existe",IF(AND(OR(I1180="Transferencia",I1180="Pago tarjeta"),G1180=""),"⚠ Indica la cuenta «Hacia»",IF(AND(G1180&lt;&gt;"",G1180=E1180),"⚠ «Hacia» igual a la cuenta",IF(AND(G1180&lt;&gt;"",ISNA(MATCH(G1180,ctaNom,0))),"⚠ «Hacia» no existe",IF(AND(I1180="Pago tarjeta",IFERROR(INDEX(ctaTipo,MATCH(G1180,ctaNom,0)),"")&lt;&gt;"Tarjeta de crédito"),"⚠ «Hacia» debe ser la tarjeta",IF(AND(I1180="Trading",IFERROR(INDEX(ctaTipo,MATCH(E1180,ctaNom,0)),"")&lt;&gt;"Cuenta de trading"),"⚠ Usa la cuenta de trading","✓"))))))))))))</f>
        <v/>
      </c>
      <c r="I1180" s="19">
        <f>IF(OR(B1180="",C1180="",D1180=""),"",IFERROR(INDEX(catTipo,MATCH(D1180,catNom,0))&amp;"",""))</f>
        <v/>
      </c>
      <c r="J1180" s="19">
        <f>IF(I1180="","",IFERROR(INDEX(catGrupo,MATCH(D1180,catNom,0))&amp;"",""))</f>
        <v/>
      </c>
      <c r="K1180" s="19">
        <f>IF(I1180="Gasto",IF(IFERROR(INDEX(catClas,MATCH(D1180,catNom,0))&amp;"","")="","Variable",IFERROR(INDEX(catClas,MATCH(D1180,catNom,0))&amp;"","")),"")</f>
        <v/>
      </c>
      <c r="L1180" s="19">
        <f>IF(I1180="","",IFERROR(INDEX(catAlim,MATCH(D1180,catNom,0))&amp;"",""))</f>
        <v/>
      </c>
      <c r="M1180" s="19">
        <f>IF(I1180="","",IFERROR(INDEX(catComida,MATCH(D1180,catNom,0))&amp;"",""))</f>
        <v/>
      </c>
      <c r="N1180" s="19">
        <f>IF(I1180="","",IFERROR(INDEX(ctaMon,MATCH(E1180,ctaNom,0))&amp;"","DOP"))</f>
        <v/>
      </c>
      <c r="O1180" s="20">
        <f>IF(I1180="","",C1180*IF(N1180="USD",TasaUSD,1))</f>
        <v/>
      </c>
      <c r="P1180" s="20">
        <f>IF(I1180="","",IF(I1180="Gasto",O1180,0))</f>
        <v/>
      </c>
      <c r="Q1180" s="20">
        <f>IF(I1180="","",IF(I1180="Ingreso",O1180,0))</f>
        <v/>
      </c>
      <c r="R1180" s="20">
        <f>IF(I1180="","",IF(I1180="Trading",O1180,0))</f>
        <v/>
      </c>
      <c r="S1180" s="19">
        <f>IF(I1180="","",IF(AND(I1180="Gasto",K1180="Variable",J1180&lt;&gt;"Trading",O1180&gt;0,O1180&lt;=Umbral),1,0))</f>
        <v/>
      </c>
      <c r="T1180" s="20">
        <f>IF(OR(I1180="",E1180=""),"",IF(OR(I1180="Gasto",I1180="Transferencia",I1180="Pago tarjeta"),-1,1)*C1180)</f>
        <v/>
      </c>
      <c r="U1180" s="20">
        <f>IF(OR(G1180="",AND(I1180&lt;&gt;"Transferencia",I1180&lt;&gt;"Pago tarjeta")),"",IF(IFERROR(INDEX(ctaMon,MATCH(G1180,ctaNom,0))&amp;"","DOP")=N1180,C1180,IF(N1180="USD",C1180*TasaUSD,C1180/TasaUSD)))</f>
        <v/>
      </c>
      <c r="V1180" s="20">
        <f>IF(I1180="","",IF(IFERROR(INDEX(ctaLiq,MATCH(E1180,ctaNom,0))="Sí",FALSE),IF(OR(I1180="Gasto",I1180="Transferencia",I1180="Pago tarjeta"),-1,1)*O1180,0)+IF(AND(U1180&lt;&gt;"",IFERROR(INDEX(ctaLiq,MATCH(G1180,ctaNom,0))="Sí",FALSE)),O1180,0))</f>
        <v/>
      </c>
      <c r="W1180" s="19">
        <f>IF(OR(F1180="",I1180=""),"",IF(COUNTIFS(F$6:F1180,F1180,I$6:I1180,"?*")=1,MAX(W$5:W1179)+1,""))</f>
        <v/>
      </c>
    </row>
    <row r="1181">
      <c r="B1181" s="15" t="n"/>
      <c r="C1181" s="16" t="n"/>
      <c r="D1181" s="17" t="n"/>
      <c r="E1181" s="17" t="n"/>
      <c r="F1181" s="17" t="n"/>
      <c r="G1181" s="17" t="n"/>
      <c r="H1181" s="18">
        <f>IF(AND(B1181="",C1181="",D1181="",E1181=""),"",IF(B1181="","⚠ Falta fecha",IF(C1181="","⚠ Falta monto",IF(D1181="","⚠ Falta categoría",IF(ISNA(MATCH(D1181,catNom,0)),"⚠ Categoría no existe",IF(E1181="","⚠ Falta cuenta",IF(ISNA(MATCH(E1181,ctaNom,0)),"⚠ Cuenta no existe",IF(AND(OR(I1181="Transferencia",I1181="Pago tarjeta"),G1181=""),"⚠ Indica la cuenta «Hacia»",IF(AND(G1181&lt;&gt;"",G1181=E1181),"⚠ «Hacia» igual a la cuenta",IF(AND(G1181&lt;&gt;"",ISNA(MATCH(G1181,ctaNom,0))),"⚠ «Hacia» no existe",IF(AND(I1181="Pago tarjeta",IFERROR(INDEX(ctaTipo,MATCH(G1181,ctaNom,0)),"")&lt;&gt;"Tarjeta de crédito"),"⚠ «Hacia» debe ser la tarjeta",IF(AND(I1181="Trading",IFERROR(INDEX(ctaTipo,MATCH(E1181,ctaNom,0)),"")&lt;&gt;"Cuenta de trading"),"⚠ Usa la cuenta de trading","✓"))))))))))))</f>
        <v/>
      </c>
      <c r="I1181" s="19">
        <f>IF(OR(B1181="",C1181="",D1181=""),"",IFERROR(INDEX(catTipo,MATCH(D1181,catNom,0))&amp;"",""))</f>
        <v/>
      </c>
      <c r="J1181" s="19">
        <f>IF(I1181="","",IFERROR(INDEX(catGrupo,MATCH(D1181,catNom,0))&amp;"",""))</f>
        <v/>
      </c>
      <c r="K1181" s="19">
        <f>IF(I1181="Gasto",IF(IFERROR(INDEX(catClas,MATCH(D1181,catNom,0))&amp;"","")="","Variable",IFERROR(INDEX(catClas,MATCH(D1181,catNom,0))&amp;"","")),"")</f>
        <v/>
      </c>
      <c r="L1181" s="19">
        <f>IF(I1181="","",IFERROR(INDEX(catAlim,MATCH(D1181,catNom,0))&amp;"",""))</f>
        <v/>
      </c>
      <c r="M1181" s="19">
        <f>IF(I1181="","",IFERROR(INDEX(catComida,MATCH(D1181,catNom,0))&amp;"",""))</f>
        <v/>
      </c>
      <c r="N1181" s="19">
        <f>IF(I1181="","",IFERROR(INDEX(ctaMon,MATCH(E1181,ctaNom,0))&amp;"","DOP"))</f>
        <v/>
      </c>
      <c r="O1181" s="20">
        <f>IF(I1181="","",C1181*IF(N1181="USD",TasaUSD,1))</f>
        <v/>
      </c>
      <c r="P1181" s="20">
        <f>IF(I1181="","",IF(I1181="Gasto",O1181,0))</f>
        <v/>
      </c>
      <c r="Q1181" s="20">
        <f>IF(I1181="","",IF(I1181="Ingreso",O1181,0))</f>
        <v/>
      </c>
      <c r="R1181" s="20">
        <f>IF(I1181="","",IF(I1181="Trading",O1181,0))</f>
        <v/>
      </c>
      <c r="S1181" s="19">
        <f>IF(I1181="","",IF(AND(I1181="Gasto",K1181="Variable",J1181&lt;&gt;"Trading",O1181&gt;0,O1181&lt;=Umbral),1,0))</f>
        <v/>
      </c>
      <c r="T1181" s="20">
        <f>IF(OR(I1181="",E1181=""),"",IF(OR(I1181="Gasto",I1181="Transferencia",I1181="Pago tarjeta"),-1,1)*C1181)</f>
        <v/>
      </c>
      <c r="U1181" s="20">
        <f>IF(OR(G1181="",AND(I1181&lt;&gt;"Transferencia",I1181&lt;&gt;"Pago tarjeta")),"",IF(IFERROR(INDEX(ctaMon,MATCH(G1181,ctaNom,0))&amp;"","DOP")=N1181,C1181,IF(N1181="USD",C1181*TasaUSD,C1181/TasaUSD)))</f>
        <v/>
      </c>
      <c r="V1181" s="20">
        <f>IF(I1181="","",IF(IFERROR(INDEX(ctaLiq,MATCH(E1181,ctaNom,0))="Sí",FALSE),IF(OR(I1181="Gasto",I1181="Transferencia",I1181="Pago tarjeta"),-1,1)*O1181,0)+IF(AND(U1181&lt;&gt;"",IFERROR(INDEX(ctaLiq,MATCH(G1181,ctaNom,0))="Sí",FALSE)),O1181,0))</f>
        <v/>
      </c>
      <c r="W1181" s="19">
        <f>IF(OR(F1181="",I1181=""),"",IF(COUNTIFS(F$6:F1181,F1181,I$6:I1181,"?*")=1,MAX(W$5:W1180)+1,""))</f>
        <v/>
      </c>
    </row>
    <row r="1182">
      <c r="B1182" s="15" t="n"/>
      <c r="C1182" s="16" t="n"/>
      <c r="D1182" s="17" t="n"/>
      <c r="E1182" s="17" t="n"/>
      <c r="F1182" s="17" t="n"/>
      <c r="G1182" s="17" t="n"/>
      <c r="H1182" s="18">
        <f>IF(AND(B1182="",C1182="",D1182="",E1182=""),"",IF(B1182="","⚠ Falta fecha",IF(C1182="","⚠ Falta monto",IF(D1182="","⚠ Falta categoría",IF(ISNA(MATCH(D1182,catNom,0)),"⚠ Categoría no existe",IF(E1182="","⚠ Falta cuenta",IF(ISNA(MATCH(E1182,ctaNom,0)),"⚠ Cuenta no existe",IF(AND(OR(I1182="Transferencia",I1182="Pago tarjeta"),G1182=""),"⚠ Indica la cuenta «Hacia»",IF(AND(G1182&lt;&gt;"",G1182=E1182),"⚠ «Hacia» igual a la cuenta",IF(AND(G1182&lt;&gt;"",ISNA(MATCH(G1182,ctaNom,0))),"⚠ «Hacia» no existe",IF(AND(I1182="Pago tarjeta",IFERROR(INDEX(ctaTipo,MATCH(G1182,ctaNom,0)),"")&lt;&gt;"Tarjeta de crédito"),"⚠ «Hacia» debe ser la tarjeta",IF(AND(I1182="Trading",IFERROR(INDEX(ctaTipo,MATCH(E1182,ctaNom,0)),"")&lt;&gt;"Cuenta de trading"),"⚠ Usa la cuenta de trading","✓"))))))))))))</f>
        <v/>
      </c>
      <c r="I1182" s="19">
        <f>IF(OR(B1182="",C1182="",D1182=""),"",IFERROR(INDEX(catTipo,MATCH(D1182,catNom,0))&amp;"",""))</f>
        <v/>
      </c>
      <c r="J1182" s="19">
        <f>IF(I1182="","",IFERROR(INDEX(catGrupo,MATCH(D1182,catNom,0))&amp;"",""))</f>
        <v/>
      </c>
      <c r="K1182" s="19">
        <f>IF(I1182="Gasto",IF(IFERROR(INDEX(catClas,MATCH(D1182,catNom,0))&amp;"","")="","Variable",IFERROR(INDEX(catClas,MATCH(D1182,catNom,0))&amp;"","")),"")</f>
        <v/>
      </c>
      <c r="L1182" s="19">
        <f>IF(I1182="","",IFERROR(INDEX(catAlim,MATCH(D1182,catNom,0))&amp;"",""))</f>
        <v/>
      </c>
      <c r="M1182" s="19">
        <f>IF(I1182="","",IFERROR(INDEX(catComida,MATCH(D1182,catNom,0))&amp;"",""))</f>
        <v/>
      </c>
      <c r="N1182" s="19">
        <f>IF(I1182="","",IFERROR(INDEX(ctaMon,MATCH(E1182,ctaNom,0))&amp;"","DOP"))</f>
        <v/>
      </c>
      <c r="O1182" s="20">
        <f>IF(I1182="","",C1182*IF(N1182="USD",TasaUSD,1))</f>
        <v/>
      </c>
      <c r="P1182" s="20">
        <f>IF(I1182="","",IF(I1182="Gasto",O1182,0))</f>
        <v/>
      </c>
      <c r="Q1182" s="20">
        <f>IF(I1182="","",IF(I1182="Ingreso",O1182,0))</f>
        <v/>
      </c>
      <c r="R1182" s="20">
        <f>IF(I1182="","",IF(I1182="Trading",O1182,0))</f>
        <v/>
      </c>
      <c r="S1182" s="19">
        <f>IF(I1182="","",IF(AND(I1182="Gasto",K1182="Variable",J1182&lt;&gt;"Trading",O1182&gt;0,O1182&lt;=Umbral),1,0))</f>
        <v/>
      </c>
      <c r="T1182" s="20">
        <f>IF(OR(I1182="",E1182=""),"",IF(OR(I1182="Gasto",I1182="Transferencia",I1182="Pago tarjeta"),-1,1)*C1182)</f>
        <v/>
      </c>
      <c r="U1182" s="20">
        <f>IF(OR(G1182="",AND(I1182&lt;&gt;"Transferencia",I1182&lt;&gt;"Pago tarjeta")),"",IF(IFERROR(INDEX(ctaMon,MATCH(G1182,ctaNom,0))&amp;"","DOP")=N1182,C1182,IF(N1182="USD",C1182*TasaUSD,C1182/TasaUSD)))</f>
        <v/>
      </c>
      <c r="V1182" s="20">
        <f>IF(I1182="","",IF(IFERROR(INDEX(ctaLiq,MATCH(E1182,ctaNom,0))="Sí",FALSE),IF(OR(I1182="Gasto",I1182="Transferencia",I1182="Pago tarjeta"),-1,1)*O1182,0)+IF(AND(U1182&lt;&gt;"",IFERROR(INDEX(ctaLiq,MATCH(G1182,ctaNom,0))="Sí",FALSE)),O1182,0))</f>
        <v/>
      </c>
      <c r="W1182" s="19">
        <f>IF(OR(F1182="",I1182=""),"",IF(COUNTIFS(F$6:F1182,F1182,I$6:I1182,"?*")=1,MAX(W$5:W1181)+1,""))</f>
        <v/>
      </c>
    </row>
    <row r="1183">
      <c r="B1183" s="15" t="n"/>
      <c r="C1183" s="16" t="n"/>
      <c r="D1183" s="17" t="n"/>
      <c r="E1183" s="17" t="n"/>
      <c r="F1183" s="17" t="n"/>
      <c r="G1183" s="17" t="n"/>
      <c r="H1183" s="18">
        <f>IF(AND(B1183="",C1183="",D1183="",E1183=""),"",IF(B1183="","⚠ Falta fecha",IF(C1183="","⚠ Falta monto",IF(D1183="","⚠ Falta categoría",IF(ISNA(MATCH(D1183,catNom,0)),"⚠ Categoría no existe",IF(E1183="","⚠ Falta cuenta",IF(ISNA(MATCH(E1183,ctaNom,0)),"⚠ Cuenta no existe",IF(AND(OR(I1183="Transferencia",I1183="Pago tarjeta"),G1183=""),"⚠ Indica la cuenta «Hacia»",IF(AND(G1183&lt;&gt;"",G1183=E1183),"⚠ «Hacia» igual a la cuenta",IF(AND(G1183&lt;&gt;"",ISNA(MATCH(G1183,ctaNom,0))),"⚠ «Hacia» no existe",IF(AND(I1183="Pago tarjeta",IFERROR(INDEX(ctaTipo,MATCH(G1183,ctaNom,0)),"")&lt;&gt;"Tarjeta de crédito"),"⚠ «Hacia» debe ser la tarjeta",IF(AND(I1183="Trading",IFERROR(INDEX(ctaTipo,MATCH(E1183,ctaNom,0)),"")&lt;&gt;"Cuenta de trading"),"⚠ Usa la cuenta de trading","✓"))))))))))))</f>
        <v/>
      </c>
      <c r="I1183" s="19">
        <f>IF(OR(B1183="",C1183="",D1183=""),"",IFERROR(INDEX(catTipo,MATCH(D1183,catNom,0))&amp;"",""))</f>
        <v/>
      </c>
      <c r="J1183" s="19">
        <f>IF(I1183="","",IFERROR(INDEX(catGrupo,MATCH(D1183,catNom,0))&amp;"",""))</f>
        <v/>
      </c>
      <c r="K1183" s="19">
        <f>IF(I1183="Gasto",IF(IFERROR(INDEX(catClas,MATCH(D1183,catNom,0))&amp;"","")="","Variable",IFERROR(INDEX(catClas,MATCH(D1183,catNom,0))&amp;"","")),"")</f>
        <v/>
      </c>
      <c r="L1183" s="19">
        <f>IF(I1183="","",IFERROR(INDEX(catAlim,MATCH(D1183,catNom,0))&amp;"",""))</f>
        <v/>
      </c>
      <c r="M1183" s="19">
        <f>IF(I1183="","",IFERROR(INDEX(catComida,MATCH(D1183,catNom,0))&amp;"",""))</f>
        <v/>
      </c>
      <c r="N1183" s="19">
        <f>IF(I1183="","",IFERROR(INDEX(ctaMon,MATCH(E1183,ctaNom,0))&amp;"","DOP"))</f>
        <v/>
      </c>
      <c r="O1183" s="20">
        <f>IF(I1183="","",C1183*IF(N1183="USD",TasaUSD,1))</f>
        <v/>
      </c>
      <c r="P1183" s="20">
        <f>IF(I1183="","",IF(I1183="Gasto",O1183,0))</f>
        <v/>
      </c>
      <c r="Q1183" s="20">
        <f>IF(I1183="","",IF(I1183="Ingreso",O1183,0))</f>
        <v/>
      </c>
      <c r="R1183" s="20">
        <f>IF(I1183="","",IF(I1183="Trading",O1183,0))</f>
        <v/>
      </c>
      <c r="S1183" s="19">
        <f>IF(I1183="","",IF(AND(I1183="Gasto",K1183="Variable",J1183&lt;&gt;"Trading",O1183&gt;0,O1183&lt;=Umbral),1,0))</f>
        <v/>
      </c>
      <c r="T1183" s="20">
        <f>IF(OR(I1183="",E1183=""),"",IF(OR(I1183="Gasto",I1183="Transferencia",I1183="Pago tarjeta"),-1,1)*C1183)</f>
        <v/>
      </c>
      <c r="U1183" s="20">
        <f>IF(OR(G1183="",AND(I1183&lt;&gt;"Transferencia",I1183&lt;&gt;"Pago tarjeta")),"",IF(IFERROR(INDEX(ctaMon,MATCH(G1183,ctaNom,0))&amp;"","DOP")=N1183,C1183,IF(N1183="USD",C1183*TasaUSD,C1183/TasaUSD)))</f>
        <v/>
      </c>
      <c r="V1183" s="20">
        <f>IF(I1183="","",IF(IFERROR(INDEX(ctaLiq,MATCH(E1183,ctaNom,0))="Sí",FALSE),IF(OR(I1183="Gasto",I1183="Transferencia",I1183="Pago tarjeta"),-1,1)*O1183,0)+IF(AND(U1183&lt;&gt;"",IFERROR(INDEX(ctaLiq,MATCH(G1183,ctaNom,0))="Sí",FALSE)),O1183,0))</f>
        <v/>
      </c>
      <c r="W1183" s="19">
        <f>IF(OR(F1183="",I1183=""),"",IF(COUNTIFS(F$6:F1183,F1183,I$6:I1183,"?*")=1,MAX(W$5:W1182)+1,""))</f>
        <v/>
      </c>
    </row>
    <row r="1184">
      <c r="B1184" s="15" t="n"/>
      <c r="C1184" s="16" t="n"/>
      <c r="D1184" s="17" t="n"/>
      <c r="E1184" s="17" t="n"/>
      <c r="F1184" s="17" t="n"/>
      <c r="G1184" s="17" t="n"/>
      <c r="H1184" s="18">
        <f>IF(AND(B1184="",C1184="",D1184="",E1184=""),"",IF(B1184="","⚠ Falta fecha",IF(C1184="","⚠ Falta monto",IF(D1184="","⚠ Falta categoría",IF(ISNA(MATCH(D1184,catNom,0)),"⚠ Categoría no existe",IF(E1184="","⚠ Falta cuenta",IF(ISNA(MATCH(E1184,ctaNom,0)),"⚠ Cuenta no existe",IF(AND(OR(I1184="Transferencia",I1184="Pago tarjeta"),G1184=""),"⚠ Indica la cuenta «Hacia»",IF(AND(G1184&lt;&gt;"",G1184=E1184),"⚠ «Hacia» igual a la cuenta",IF(AND(G1184&lt;&gt;"",ISNA(MATCH(G1184,ctaNom,0))),"⚠ «Hacia» no existe",IF(AND(I1184="Pago tarjeta",IFERROR(INDEX(ctaTipo,MATCH(G1184,ctaNom,0)),"")&lt;&gt;"Tarjeta de crédito"),"⚠ «Hacia» debe ser la tarjeta",IF(AND(I1184="Trading",IFERROR(INDEX(ctaTipo,MATCH(E1184,ctaNom,0)),"")&lt;&gt;"Cuenta de trading"),"⚠ Usa la cuenta de trading","✓"))))))))))))</f>
        <v/>
      </c>
      <c r="I1184" s="19">
        <f>IF(OR(B1184="",C1184="",D1184=""),"",IFERROR(INDEX(catTipo,MATCH(D1184,catNom,0))&amp;"",""))</f>
        <v/>
      </c>
      <c r="J1184" s="19">
        <f>IF(I1184="","",IFERROR(INDEX(catGrupo,MATCH(D1184,catNom,0))&amp;"",""))</f>
        <v/>
      </c>
      <c r="K1184" s="19">
        <f>IF(I1184="Gasto",IF(IFERROR(INDEX(catClas,MATCH(D1184,catNom,0))&amp;"","")="","Variable",IFERROR(INDEX(catClas,MATCH(D1184,catNom,0))&amp;"","")),"")</f>
        <v/>
      </c>
      <c r="L1184" s="19">
        <f>IF(I1184="","",IFERROR(INDEX(catAlim,MATCH(D1184,catNom,0))&amp;"",""))</f>
        <v/>
      </c>
      <c r="M1184" s="19">
        <f>IF(I1184="","",IFERROR(INDEX(catComida,MATCH(D1184,catNom,0))&amp;"",""))</f>
        <v/>
      </c>
      <c r="N1184" s="19">
        <f>IF(I1184="","",IFERROR(INDEX(ctaMon,MATCH(E1184,ctaNom,0))&amp;"","DOP"))</f>
        <v/>
      </c>
      <c r="O1184" s="20">
        <f>IF(I1184="","",C1184*IF(N1184="USD",TasaUSD,1))</f>
        <v/>
      </c>
      <c r="P1184" s="20">
        <f>IF(I1184="","",IF(I1184="Gasto",O1184,0))</f>
        <v/>
      </c>
      <c r="Q1184" s="20">
        <f>IF(I1184="","",IF(I1184="Ingreso",O1184,0))</f>
        <v/>
      </c>
      <c r="R1184" s="20">
        <f>IF(I1184="","",IF(I1184="Trading",O1184,0))</f>
        <v/>
      </c>
      <c r="S1184" s="19">
        <f>IF(I1184="","",IF(AND(I1184="Gasto",K1184="Variable",J1184&lt;&gt;"Trading",O1184&gt;0,O1184&lt;=Umbral),1,0))</f>
        <v/>
      </c>
      <c r="T1184" s="20">
        <f>IF(OR(I1184="",E1184=""),"",IF(OR(I1184="Gasto",I1184="Transferencia",I1184="Pago tarjeta"),-1,1)*C1184)</f>
        <v/>
      </c>
      <c r="U1184" s="20">
        <f>IF(OR(G1184="",AND(I1184&lt;&gt;"Transferencia",I1184&lt;&gt;"Pago tarjeta")),"",IF(IFERROR(INDEX(ctaMon,MATCH(G1184,ctaNom,0))&amp;"","DOP")=N1184,C1184,IF(N1184="USD",C1184*TasaUSD,C1184/TasaUSD)))</f>
        <v/>
      </c>
      <c r="V1184" s="20">
        <f>IF(I1184="","",IF(IFERROR(INDEX(ctaLiq,MATCH(E1184,ctaNom,0))="Sí",FALSE),IF(OR(I1184="Gasto",I1184="Transferencia",I1184="Pago tarjeta"),-1,1)*O1184,0)+IF(AND(U1184&lt;&gt;"",IFERROR(INDEX(ctaLiq,MATCH(G1184,ctaNom,0))="Sí",FALSE)),O1184,0))</f>
        <v/>
      </c>
      <c r="W1184" s="19">
        <f>IF(OR(F1184="",I1184=""),"",IF(COUNTIFS(F$6:F1184,F1184,I$6:I1184,"?*")=1,MAX(W$5:W1183)+1,""))</f>
        <v/>
      </c>
    </row>
    <row r="1185">
      <c r="B1185" s="15" t="n"/>
      <c r="C1185" s="16" t="n"/>
      <c r="D1185" s="17" t="n"/>
      <c r="E1185" s="17" t="n"/>
      <c r="F1185" s="17" t="n"/>
      <c r="G1185" s="17" t="n"/>
      <c r="H1185" s="18">
        <f>IF(AND(B1185="",C1185="",D1185="",E1185=""),"",IF(B1185="","⚠ Falta fecha",IF(C1185="","⚠ Falta monto",IF(D1185="","⚠ Falta categoría",IF(ISNA(MATCH(D1185,catNom,0)),"⚠ Categoría no existe",IF(E1185="","⚠ Falta cuenta",IF(ISNA(MATCH(E1185,ctaNom,0)),"⚠ Cuenta no existe",IF(AND(OR(I1185="Transferencia",I1185="Pago tarjeta"),G1185=""),"⚠ Indica la cuenta «Hacia»",IF(AND(G1185&lt;&gt;"",G1185=E1185),"⚠ «Hacia» igual a la cuenta",IF(AND(G1185&lt;&gt;"",ISNA(MATCH(G1185,ctaNom,0))),"⚠ «Hacia» no existe",IF(AND(I1185="Pago tarjeta",IFERROR(INDEX(ctaTipo,MATCH(G1185,ctaNom,0)),"")&lt;&gt;"Tarjeta de crédito"),"⚠ «Hacia» debe ser la tarjeta",IF(AND(I1185="Trading",IFERROR(INDEX(ctaTipo,MATCH(E1185,ctaNom,0)),"")&lt;&gt;"Cuenta de trading"),"⚠ Usa la cuenta de trading","✓"))))))))))))</f>
        <v/>
      </c>
      <c r="I1185" s="19">
        <f>IF(OR(B1185="",C1185="",D1185=""),"",IFERROR(INDEX(catTipo,MATCH(D1185,catNom,0))&amp;"",""))</f>
        <v/>
      </c>
      <c r="J1185" s="19">
        <f>IF(I1185="","",IFERROR(INDEX(catGrupo,MATCH(D1185,catNom,0))&amp;"",""))</f>
        <v/>
      </c>
      <c r="K1185" s="19">
        <f>IF(I1185="Gasto",IF(IFERROR(INDEX(catClas,MATCH(D1185,catNom,0))&amp;"","")="","Variable",IFERROR(INDEX(catClas,MATCH(D1185,catNom,0))&amp;"","")),"")</f>
        <v/>
      </c>
      <c r="L1185" s="19">
        <f>IF(I1185="","",IFERROR(INDEX(catAlim,MATCH(D1185,catNom,0))&amp;"",""))</f>
        <v/>
      </c>
      <c r="M1185" s="19">
        <f>IF(I1185="","",IFERROR(INDEX(catComida,MATCH(D1185,catNom,0))&amp;"",""))</f>
        <v/>
      </c>
      <c r="N1185" s="19">
        <f>IF(I1185="","",IFERROR(INDEX(ctaMon,MATCH(E1185,ctaNom,0))&amp;"","DOP"))</f>
        <v/>
      </c>
      <c r="O1185" s="20">
        <f>IF(I1185="","",C1185*IF(N1185="USD",TasaUSD,1))</f>
        <v/>
      </c>
      <c r="P1185" s="20">
        <f>IF(I1185="","",IF(I1185="Gasto",O1185,0))</f>
        <v/>
      </c>
      <c r="Q1185" s="20">
        <f>IF(I1185="","",IF(I1185="Ingreso",O1185,0))</f>
        <v/>
      </c>
      <c r="R1185" s="20">
        <f>IF(I1185="","",IF(I1185="Trading",O1185,0))</f>
        <v/>
      </c>
      <c r="S1185" s="19">
        <f>IF(I1185="","",IF(AND(I1185="Gasto",K1185="Variable",J1185&lt;&gt;"Trading",O1185&gt;0,O1185&lt;=Umbral),1,0))</f>
        <v/>
      </c>
      <c r="T1185" s="20">
        <f>IF(OR(I1185="",E1185=""),"",IF(OR(I1185="Gasto",I1185="Transferencia",I1185="Pago tarjeta"),-1,1)*C1185)</f>
        <v/>
      </c>
      <c r="U1185" s="20">
        <f>IF(OR(G1185="",AND(I1185&lt;&gt;"Transferencia",I1185&lt;&gt;"Pago tarjeta")),"",IF(IFERROR(INDEX(ctaMon,MATCH(G1185,ctaNom,0))&amp;"","DOP")=N1185,C1185,IF(N1185="USD",C1185*TasaUSD,C1185/TasaUSD)))</f>
        <v/>
      </c>
      <c r="V1185" s="20">
        <f>IF(I1185="","",IF(IFERROR(INDEX(ctaLiq,MATCH(E1185,ctaNom,0))="Sí",FALSE),IF(OR(I1185="Gasto",I1185="Transferencia",I1185="Pago tarjeta"),-1,1)*O1185,0)+IF(AND(U1185&lt;&gt;"",IFERROR(INDEX(ctaLiq,MATCH(G1185,ctaNom,0))="Sí",FALSE)),O1185,0))</f>
        <v/>
      </c>
      <c r="W1185" s="19">
        <f>IF(OR(F1185="",I1185=""),"",IF(COUNTIFS(F$6:F1185,F1185,I$6:I1185,"?*")=1,MAX(W$5:W1184)+1,""))</f>
        <v/>
      </c>
    </row>
    <row r="1186">
      <c r="B1186" s="15" t="n"/>
      <c r="C1186" s="16" t="n"/>
      <c r="D1186" s="17" t="n"/>
      <c r="E1186" s="17" t="n"/>
      <c r="F1186" s="17" t="n"/>
      <c r="G1186" s="17" t="n"/>
      <c r="H1186" s="18">
        <f>IF(AND(B1186="",C1186="",D1186="",E1186=""),"",IF(B1186="","⚠ Falta fecha",IF(C1186="","⚠ Falta monto",IF(D1186="","⚠ Falta categoría",IF(ISNA(MATCH(D1186,catNom,0)),"⚠ Categoría no existe",IF(E1186="","⚠ Falta cuenta",IF(ISNA(MATCH(E1186,ctaNom,0)),"⚠ Cuenta no existe",IF(AND(OR(I1186="Transferencia",I1186="Pago tarjeta"),G1186=""),"⚠ Indica la cuenta «Hacia»",IF(AND(G1186&lt;&gt;"",G1186=E1186),"⚠ «Hacia» igual a la cuenta",IF(AND(G1186&lt;&gt;"",ISNA(MATCH(G1186,ctaNom,0))),"⚠ «Hacia» no existe",IF(AND(I1186="Pago tarjeta",IFERROR(INDEX(ctaTipo,MATCH(G1186,ctaNom,0)),"")&lt;&gt;"Tarjeta de crédito"),"⚠ «Hacia» debe ser la tarjeta",IF(AND(I1186="Trading",IFERROR(INDEX(ctaTipo,MATCH(E1186,ctaNom,0)),"")&lt;&gt;"Cuenta de trading"),"⚠ Usa la cuenta de trading","✓"))))))))))))</f>
        <v/>
      </c>
      <c r="I1186" s="19">
        <f>IF(OR(B1186="",C1186="",D1186=""),"",IFERROR(INDEX(catTipo,MATCH(D1186,catNom,0))&amp;"",""))</f>
        <v/>
      </c>
      <c r="J1186" s="19">
        <f>IF(I1186="","",IFERROR(INDEX(catGrupo,MATCH(D1186,catNom,0))&amp;"",""))</f>
        <v/>
      </c>
      <c r="K1186" s="19">
        <f>IF(I1186="Gasto",IF(IFERROR(INDEX(catClas,MATCH(D1186,catNom,0))&amp;"","")="","Variable",IFERROR(INDEX(catClas,MATCH(D1186,catNom,0))&amp;"","")),"")</f>
        <v/>
      </c>
      <c r="L1186" s="19">
        <f>IF(I1186="","",IFERROR(INDEX(catAlim,MATCH(D1186,catNom,0))&amp;"",""))</f>
        <v/>
      </c>
      <c r="M1186" s="19">
        <f>IF(I1186="","",IFERROR(INDEX(catComida,MATCH(D1186,catNom,0))&amp;"",""))</f>
        <v/>
      </c>
      <c r="N1186" s="19">
        <f>IF(I1186="","",IFERROR(INDEX(ctaMon,MATCH(E1186,ctaNom,0))&amp;"","DOP"))</f>
        <v/>
      </c>
      <c r="O1186" s="20">
        <f>IF(I1186="","",C1186*IF(N1186="USD",TasaUSD,1))</f>
        <v/>
      </c>
      <c r="P1186" s="20">
        <f>IF(I1186="","",IF(I1186="Gasto",O1186,0))</f>
        <v/>
      </c>
      <c r="Q1186" s="20">
        <f>IF(I1186="","",IF(I1186="Ingreso",O1186,0))</f>
        <v/>
      </c>
      <c r="R1186" s="20">
        <f>IF(I1186="","",IF(I1186="Trading",O1186,0))</f>
        <v/>
      </c>
      <c r="S1186" s="19">
        <f>IF(I1186="","",IF(AND(I1186="Gasto",K1186="Variable",J1186&lt;&gt;"Trading",O1186&gt;0,O1186&lt;=Umbral),1,0))</f>
        <v/>
      </c>
      <c r="T1186" s="20">
        <f>IF(OR(I1186="",E1186=""),"",IF(OR(I1186="Gasto",I1186="Transferencia",I1186="Pago tarjeta"),-1,1)*C1186)</f>
        <v/>
      </c>
      <c r="U1186" s="20">
        <f>IF(OR(G1186="",AND(I1186&lt;&gt;"Transferencia",I1186&lt;&gt;"Pago tarjeta")),"",IF(IFERROR(INDEX(ctaMon,MATCH(G1186,ctaNom,0))&amp;"","DOP")=N1186,C1186,IF(N1186="USD",C1186*TasaUSD,C1186/TasaUSD)))</f>
        <v/>
      </c>
      <c r="V1186" s="20">
        <f>IF(I1186="","",IF(IFERROR(INDEX(ctaLiq,MATCH(E1186,ctaNom,0))="Sí",FALSE),IF(OR(I1186="Gasto",I1186="Transferencia",I1186="Pago tarjeta"),-1,1)*O1186,0)+IF(AND(U1186&lt;&gt;"",IFERROR(INDEX(ctaLiq,MATCH(G1186,ctaNom,0))="Sí",FALSE)),O1186,0))</f>
        <v/>
      </c>
      <c r="W1186" s="19">
        <f>IF(OR(F1186="",I1186=""),"",IF(COUNTIFS(F$6:F1186,F1186,I$6:I1186,"?*")=1,MAX(W$5:W1185)+1,""))</f>
        <v/>
      </c>
    </row>
    <row r="1187">
      <c r="B1187" s="15" t="n"/>
      <c r="C1187" s="16" t="n"/>
      <c r="D1187" s="17" t="n"/>
      <c r="E1187" s="17" t="n"/>
      <c r="F1187" s="17" t="n"/>
      <c r="G1187" s="17" t="n"/>
      <c r="H1187" s="18">
        <f>IF(AND(B1187="",C1187="",D1187="",E1187=""),"",IF(B1187="","⚠ Falta fecha",IF(C1187="","⚠ Falta monto",IF(D1187="","⚠ Falta categoría",IF(ISNA(MATCH(D1187,catNom,0)),"⚠ Categoría no existe",IF(E1187="","⚠ Falta cuenta",IF(ISNA(MATCH(E1187,ctaNom,0)),"⚠ Cuenta no existe",IF(AND(OR(I1187="Transferencia",I1187="Pago tarjeta"),G1187=""),"⚠ Indica la cuenta «Hacia»",IF(AND(G1187&lt;&gt;"",G1187=E1187),"⚠ «Hacia» igual a la cuenta",IF(AND(G1187&lt;&gt;"",ISNA(MATCH(G1187,ctaNom,0))),"⚠ «Hacia» no existe",IF(AND(I1187="Pago tarjeta",IFERROR(INDEX(ctaTipo,MATCH(G1187,ctaNom,0)),"")&lt;&gt;"Tarjeta de crédito"),"⚠ «Hacia» debe ser la tarjeta",IF(AND(I1187="Trading",IFERROR(INDEX(ctaTipo,MATCH(E1187,ctaNom,0)),"")&lt;&gt;"Cuenta de trading"),"⚠ Usa la cuenta de trading","✓"))))))))))))</f>
        <v/>
      </c>
      <c r="I1187" s="19">
        <f>IF(OR(B1187="",C1187="",D1187=""),"",IFERROR(INDEX(catTipo,MATCH(D1187,catNom,0))&amp;"",""))</f>
        <v/>
      </c>
      <c r="J1187" s="19">
        <f>IF(I1187="","",IFERROR(INDEX(catGrupo,MATCH(D1187,catNom,0))&amp;"",""))</f>
        <v/>
      </c>
      <c r="K1187" s="19">
        <f>IF(I1187="Gasto",IF(IFERROR(INDEX(catClas,MATCH(D1187,catNom,0))&amp;"","")="","Variable",IFERROR(INDEX(catClas,MATCH(D1187,catNom,0))&amp;"","")),"")</f>
        <v/>
      </c>
      <c r="L1187" s="19">
        <f>IF(I1187="","",IFERROR(INDEX(catAlim,MATCH(D1187,catNom,0))&amp;"",""))</f>
        <v/>
      </c>
      <c r="M1187" s="19">
        <f>IF(I1187="","",IFERROR(INDEX(catComida,MATCH(D1187,catNom,0))&amp;"",""))</f>
        <v/>
      </c>
      <c r="N1187" s="19">
        <f>IF(I1187="","",IFERROR(INDEX(ctaMon,MATCH(E1187,ctaNom,0))&amp;"","DOP"))</f>
        <v/>
      </c>
      <c r="O1187" s="20">
        <f>IF(I1187="","",C1187*IF(N1187="USD",TasaUSD,1))</f>
        <v/>
      </c>
      <c r="P1187" s="20">
        <f>IF(I1187="","",IF(I1187="Gasto",O1187,0))</f>
        <v/>
      </c>
      <c r="Q1187" s="20">
        <f>IF(I1187="","",IF(I1187="Ingreso",O1187,0))</f>
        <v/>
      </c>
      <c r="R1187" s="20">
        <f>IF(I1187="","",IF(I1187="Trading",O1187,0))</f>
        <v/>
      </c>
      <c r="S1187" s="19">
        <f>IF(I1187="","",IF(AND(I1187="Gasto",K1187="Variable",J1187&lt;&gt;"Trading",O1187&gt;0,O1187&lt;=Umbral),1,0))</f>
        <v/>
      </c>
      <c r="T1187" s="20">
        <f>IF(OR(I1187="",E1187=""),"",IF(OR(I1187="Gasto",I1187="Transferencia",I1187="Pago tarjeta"),-1,1)*C1187)</f>
        <v/>
      </c>
      <c r="U1187" s="20">
        <f>IF(OR(G1187="",AND(I1187&lt;&gt;"Transferencia",I1187&lt;&gt;"Pago tarjeta")),"",IF(IFERROR(INDEX(ctaMon,MATCH(G1187,ctaNom,0))&amp;"","DOP")=N1187,C1187,IF(N1187="USD",C1187*TasaUSD,C1187/TasaUSD)))</f>
        <v/>
      </c>
      <c r="V1187" s="20">
        <f>IF(I1187="","",IF(IFERROR(INDEX(ctaLiq,MATCH(E1187,ctaNom,0))="Sí",FALSE),IF(OR(I1187="Gasto",I1187="Transferencia",I1187="Pago tarjeta"),-1,1)*O1187,0)+IF(AND(U1187&lt;&gt;"",IFERROR(INDEX(ctaLiq,MATCH(G1187,ctaNom,0))="Sí",FALSE)),O1187,0))</f>
        <v/>
      </c>
      <c r="W1187" s="19">
        <f>IF(OR(F1187="",I1187=""),"",IF(COUNTIFS(F$6:F1187,F1187,I$6:I1187,"?*")=1,MAX(W$5:W1186)+1,""))</f>
        <v/>
      </c>
    </row>
    <row r="1188">
      <c r="B1188" s="15" t="n"/>
      <c r="C1188" s="16" t="n"/>
      <c r="D1188" s="17" t="n"/>
      <c r="E1188" s="17" t="n"/>
      <c r="F1188" s="17" t="n"/>
      <c r="G1188" s="17" t="n"/>
      <c r="H1188" s="18">
        <f>IF(AND(B1188="",C1188="",D1188="",E1188=""),"",IF(B1188="","⚠ Falta fecha",IF(C1188="","⚠ Falta monto",IF(D1188="","⚠ Falta categoría",IF(ISNA(MATCH(D1188,catNom,0)),"⚠ Categoría no existe",IF(E1188="","⚠ Falta cuenta",IF(ISNA(MATCH(E1188,ctaNom,0)),"⚠ Cuenta no existe",IF(AND(OR(I1188="Transferencia",I1188="Pago tarjeta"),G1188=""),"⚠ Indica la cuenta «Hacia»",IF(AND(G1188&lt;&gt;"",G1188=E1188),"⚠ «Hacia» igual a la cuenta",IF(AND(G1188&lt;&gt;"",ISNA(MATCH(G1188,ctaNom,0))),"⚠ «Hacia» no existe",IF(AND(I1188="Pago tarjeta",IFERROR(INDEX(ctaTipo,MATCH(G1188,ctaNom,0)),"")&lt;&gt;"Tarjeta de crédito"),"⚠ «Hacia» debe ser la tarjeta",IF(AND(I1188="Trading",IFERROR(INDEX(ctaTipo,MATCH(E1188,ctaNom,0)),"")&lt;&gt;"Cuenta de trading"),"⚠ Usa la cuenta de trading","✓"))))))))))))</f>
        <v/>
      </c>
      <c r="I1188" s="19">
        <f>IF(OR(B1188="",C1188="",D1188=""),"",IFERROR(INDEX(catTipo,MATCH(D1188,catNom,0))&amp;"",""))</f>
        <v/>
      </c>
      <c r="J1188" s="19">
        <f>IF(I1188="","",IFERROR(INDEX(catGrupo,MATCH(D1188,catNom,0))&amp;"",""))</f>
        <v/>
      </c>
      <c r="K1188" s="19">
        <f>IF(I1188="Gasto",IF(IFERROR(INDEX(catClas,MATCH(D1188,catNom,0))&amp;"","")="","Variable",IFERROR(INDEX(catClas,MATCH(D1188,catNom,0))&amp;"","")),"")</f>
        <v/>
      </c>
      <c r="L1188" s="19">
        <f>IF(I1188="","",IFERROR(INDEX(catAlim,MATCH(D1188,catNom,0))&amp;"",""))</f>
        <v/>
      </c>
      <c r="M1188" s="19">
        <f>IF(I1188="","",IFERROR(INDEX(catComida,MATCH(D1188,catNom,0))&amp;"",""))</f>
        <v/>
      </c>
      <c r="N1188" s="19">
        <f>IF(I1188="","",IFERROR(INDEX(ctaMon,MATCH(E1188,ctaNom,0))&amp;"","DOP"))</f>
        <v/>
      </c>
      <c r="O1188" s="20">
        <f>IF(I1188="","",C1188*IF(N1188="USD",TasaUSD,1))</f>
        <v/>
      </c>
      <c r="P1188" s="20">
        <f>IF(I1188="","",IF(I1188="Gasto",O1188,0))</f>
        <v/>
      </c>
      <c r="Q1188" s="20">
        <f>IF(I1188="","",IF(I1188="Ingreso",O1188,0))</f>
        <v/>
      </c>
      <c r="R1188" s="20">
        <f>IF(I1188="","",IF(I1188="Trading",O1188,0))</f>
        <v/>
      </c>
      <c r="S1188" s="19">
        <f>IF(I1188="","",IF(AND(I1188="Gasto",K1188="Variable",J1188&lt;&gt;"Trading",O1188&gt;0,O1188&lt;=Umbral),1,0))</f>
        <v/>
      </c>
      <c r="T1188" s="20">
        <f>IF(OR(I1188="",E1188=""),"",IF(OR(I1188="Gasto",I1188="Transferencia",I1188="Pago tarjeta"),-1,1)*C1188)</f>
        <v/>
      </c>
      <c r="U1188" s="20">
        <f>IF(OR(G1188="",AND(I1188&lt;&gt;"Transferencia",I1188&lt;&gt;"Pago tarjeta")),"",IF(IFERROR(INDEX(ctaMon,MATCH(G1188,ctaNom,0))&amp;"","DOP")=N1188,C1188,IF(N1188="USD",C1188*TasaUSD,C1188/TasaUSD)))</f>
        <v/>
      </c>
      <c r="V1188" s="20">
        <f>IF(I1188="","",IF(IFERROR(INDEX(ctaLiq,MATCH(E1188,ctaNom,0))="Sí",FALSE),IF(OR(I1188="Gasto",I1188="Transferencia",I1188="Pago tarjeta"),-1,1)*O1188,0)+IF(AND(U1188&lt;&gt;"",IFERROR(INDEX(ctaLiq,MATCH(G1188,ctaNom,0))="Sí",FALSE)),O1188,0))</f>
        <v/>
      </c>
      <c r="W1188" s="19">
        <f>IF(OR(F1188="",I1188=""),"",IF(COUNTIFS(F$6:F1188,F1188,I$6:I1188,"?*")=1,MAX(W$5:W1187)+1,""))</f>
        <v/>
      </c>
    </row>
    <row r="1189">
      <c r="B1189" s="15" t="n"/>
      <c r="C1189" s="16" t="n"/>
      <c r="D1189" s="17" t="n"/>
      <c r="E1189" s="17" t="n"/>
      <c r="F1189" s="17" t="n"/>
      <c r="G1189" s="17" t="n"/>
      <c r="H1189" s="18">
        <f>IF(AND(B1189="",C1189="",D1189="",E1189=""),"",IF(B1189="","⚠ Falta fecha",IF(C1189="","⚠ Falta monto",IF(D1189="","⚠ Falta categoría",IF(ISNA(MATCH(D1189,catNom,0)),"⚠ Categoría no existe",IF(E1189="","⚠ Falta cuenta",IF(ISNA(MATCH(E1189,ctaNom,0)),"⚠ Cuenta no existe",IF(AND(OR(I1189="Transferencia",I1189="Pago tarjeta"),G1189=""),"⚠ Indica la cuenta «Hacia»",IF(AND(G1189&lt;&gt;"",G1189=E1189),"⚠ «Hacia» igual a la cuenta",IF(AND(G1189&lt;&gt;"",ISNA(MATCH(G1189,ctaNom,0))),"⚠ «Hacia» no existe",IF(AND(I1189="Pago tarjeta",IFERROR(INDEX(ctaTipo,MATCH(G1189,ctaNom,0)),"")&lt;&gt;"Tarjeta de crédito"),"⚠ «Hacia» debe ser la tarjeta",IF(AND(I1189="Trading",IFERROR(INDEX(ctaTipo,MATCH(E1189,ctaNom,0)),"")&lt;&gt;"Cuenta de trading"),"⚠ Usa la cuenta de trading","✓"))))))))))))</f>
        <v/>
      </c>
      <c r="I1189" s="19">
        <f>IF(OR(B1189="",C1189="",D1189=""),"",IFERROR(INDEX(catTipo,MATCH(D1189,catNom,0))&amp;"",""))</f>
        <v/>
      </c>
      <c r="J1189" s="19">
        <f>IF(I1189="","",IFERROR(INDEX(catGrupo,MATCH(D1189,catNom,0))&amp;"",""))</f>
        <v/>
      </c>
      <c r="K1189" s="19">
        <f>IF(I1189="Gasto",IF(IFERROR(INDEX(catClas,MATCH(D1189,catNom,0))&amp;"","")="","Variable",IFERROR(INDEX(catClas,MATCH(D1189,catNom,0))&amp;"","")),"")</f>
        <v/>
      </c>
      <c r="L1189" s="19">
        <f>IF(I1189="","",IFERROR(INDEX(catAlim,MATCH(D1189,catNom,0))&amp;"",""))</f>
        <v/>
      </c>
      <c r="M1189" s="19">
        <f>IF(I1189="","",IFERROR(INDEX(catComida,MATCH(D1189,catNom,0))&amp;"",""))</f>
        <v/>
      </c>
      <c r="N1189" s="19">
        <f>IF(I1189="","",IFERROR(INDEX(ctaMon,MATCH(E1189,ctaNom,0))&amp;"","DOP"))</f>
        <v/>
      </c>
      <c r="O1189" s="20">
        <f>IF(I1189="","",C1189*IF(N1189="USD",TasaUSD,1))</f>
        <v/>
      </c>
      <c r="P1189" s="20">
        <f>IF(I1189="","",IF(I1189="Gasto",O1189,0))</f>
        <v/>
      </c>
      <c r="Q1189" s="20">
        <f>IF(I1189="","",IF(I1189="Ingreso",O1189,0))</f>
        <v/>
      </c>
      <c r="R1189" s="20">
        <f>IF(I1189="","",IF(I1189="Trading",O1189,0))</f>
        <v/>
      </c>
      <c r="S1189" s="19">
        <f>IF(I1189="","",IF(AND(I1189="Gasto",K1189="Variable",J1189&lt;&gt;"Trading",O1189&gt;0,O1189&lt;=Umbral),1,0))</f>
        <v/>
      </c>
      <c r="T1189" s="20">
        <f>IF(OR(I1189="",E1189=""),"",IF(OR(I1189="Gasto",I1189="Transferencia",I1189="Pago tarjeta"),-1,1)*C1189)</f>
        <v/>
      </c>
      <c r="U1189" s="20">
        <f>IF(OR(G1189="",AND(I1189&lt;&gt;"Transferencia",I1189&lt;&gt;"Pago tarjeta")),"",IF(IFERROR(INDEX(ctaMon,MATCH(G1189,ctaNom,0))&amp;"","DOP")=N1189,C1189,IF(N1189="USD",C1189*TasaUSD,C1189/TasaUSD)))</f>
        <v/>
      </c>
      <c r="V1189" s="20">
        <f>IF(I1189="","",IF(IFERROR(INDEX(ctaLiq,MATCH(E1189,ctaNom,0))="Sí",FALSE),IF(OR(I1189="Gasto",I1189="Transferencia",I1189="Pago tarjeta"),-1,1)*O1189,0)+IF(AND(U1189&lt;&gt;"",IFERROR(INDEX(ctaLiq,MATCH(G1189,ctaNom,0))="Sí",FALSE)),O1189,0))</f>
        <v/>
      </c>
      <c r="W1189" s="19">
        <f>IF(OR(F1189="",I1189=""),"",IF(COUNTIFS(F$6:F1189,F1189,I$6:I1189,"?*")=1,MAX(W$5:W1188)+1,""))</f>
        <v/>
      </c>
    </row>
    <row r="1190">
      <c r="B1190" s="15" t="n"/>
      <c r="C1190" s="16" t="n"/>
      <c r="D1190" s="17" t="n"/>
      <c r="E1190" s="17" t="n"/>
      <c r="F1190" s="17" t="n"/>
      <c r="G1190" s="17" t="n"/>
      <c r="H1190" s="18">
        <f>IF(AND(B1190="",C1190="",D1190="",E1190=""),"",IF(B1190="","⚠ Falta fecha",IF(C1190="","⚠ Falta monto",IF(D1190="","⚠ Falta categoría",IF(ISNA(MATCH(D1190,catNom,0)),"⚠ Categoría no existe",IF(E1190="","⚠ Falta cuenta",IF(ISNA(MATCH(E1190,ctaNom,0)),"⚠ Cuenta no existe",IF(AND(OR(I1190="Transferencia",I1190="Pago tarjeta"),G1190=""),"⚠ Indica la cuenta «Hacia»",IF(AND(G1190&lt;&gt;"",G1190=E1190),"⚠ «Hacia» igual a la cuenta",IF(AND(G1190&lt;&gt;"",ISNA(MATCH(G1190,ctaNom,0))),"⚠ «Hacia» no existe",IF(AND(I1190="Pago tarjeta",IFERROR(INDEX(ctaTipo,MATCH(G1190,ctaNom,0)),"")&lt;&gt;"Tarjeta de crédito"),"⚠ «Hacia» debe ser la tarjeta",IF(AND(I1190="Trading",IFERROR(INDEX(ctaTipo,MATCH(E1190,ctaNom,0)),"")&lt;&gt;"Cuenta de trading"),"⚠ Usa la cuenta de trading","✓"))))))))))))</f>
        <v/>
      </c>
      <c r="I1190" s="19">
        <f>IF(OR(B1190="",C1190="",D1190=""),"",IFERROR(INDEX(catTipo,MATCH(D1190,catNom,0))&amp;"",""))</f>
        <v/>
      </c>
      <c r="J1190" s="19">
        <f>IF(I1190="","",IFERROR(INDEX(catGrupo,MATCH(D1190,catNom,0))&amp;"",""))</f>
        <v/>
      </c>
      <c r="K1190" s="19">
        <f>IF(I1190="Gasto",IF(IFERROR(INDEX(catClas,MATCH(D1190,catNom,0))&amp;"","")="","Variable",IFERROR(INDEX(catClas,MATCH(D1190,catNom,0))&amp;"","")),"")</f>
        <v/>
      </c>
      <c r="L1190" s="19">
        <f>IF(I1190="","",IFERROR(INDEX(catAlim,MATCH(D1190,catNom,0))&amp;"",""))</f>
        <v/>
      </c>
      <c r="M1190" s="19">
        <f>IF(I1190="","",IFERROR(INDEX(catComida,MATCH(D1190,catNom,0))&amp;"",""))</f>
        <v/>
      </c>
      <c r="N1190" s="19">
        <f>IF(I1190="","",IFERROR(INDEX(ctaMon,MATCH(E1190,ctaNom,0))&amp;"","DOP"))</f>
        <v/>
      </c>
      <c r="O1190" s="20">
        <f>IF(I1190="","",C1190*IF(N1190="USD",TasaUSD,1))</f>
        <v/>
      </c>
      <c r="P1190" s="20">
        <f>IF(I1190="","",IF(I1190="Gasto",O1190,0))</f>
        <v/>
      </c>
      <c r="Q1190" s="20">
        <f>IF(I1190="","",IF(I1190="Ingreso",O1190,0))</f>
        <v/>
      </c>
      <c r="R1190" s="20">
        <f>IF(I1190="","",IF(I1190="Trading",O1190,0))</f>
        <v/>
      </c>
      <c r="S1190" s="19">
        <f>IF(I1190="","",IF(AND(I1190="Gasto",K1190="Variable",J1190&lt;&gt;"Trading",O1190&gt;0,O1190&lt;=Umbral),1,0))</f>
        <v/>
      </c>
      <c r="T1190" s="20">
        <f>IF(OR(I1190="",E1190=""),"",IF(OR(I1190="Gasto",I1190="Transferencia",I1190="Pago tarjeta"),-1,1)*C1190)</f>
        <v/>
      </c>
      <c r="U1190" s="20">
        <f>IF(OR(G1190="",AND(I1190&lt;&gt;"Transferencia",I1190&lt;&gt;"Pago tarjeta")),"",IF(IFERROR(INDEX(ctaMon,MATCH(G1190,ctaNom,0))&amp;"","DOP")=N1190,C1190,IF(N1190="USD",C1190*TasaUSD,C1190/TasaUSD)))</f>
        <v/>
      </c>
      <c r="V1190" s="20">
        <f>IF(I1190="","",IF(IFERROR(INDEX(ctaLiq,MATCH(E1190,ctaNom,0))="Sí",FALSE),IF(OR(I1190="Gasto",I1190="Transferencia",I1190="Pago tarjeta"),-1,1)*O1190,0)+IF(AND(U1190&lt;&gt;"",IFERROR(INDEX(ctaLiq,MATCH(G1190,ctaNom,0))="Sí",FALSE)),O1190,0))</f>
        <v/>
      </c>
      <c r="W1190" s="19">
        <f>IF(OR(F1190="",I1190=""),"",IF(COUNTIFS(F$6:F1190,F1190,I$6:I1190,"?*")=1,MAX(W$5:W1189)+1,""))</f>
        <v/>
      </c>
    </row>
    <row r="1191">
      <c r="B1191" s="15" t="n"/>
      <c r="C1191" s="16" t="n"/>
      <c r="D1191" s="17" t="n"/>
      <c r="E1191" s="17" t="n"/>
      <c r="F1191" s="17" t="n"/>
      <c r="G1191" s="17" t="n"/>
      <c r="H1191" s="18">
        <f>IF(AND(B1191="",C1191="",D1191="",E1191=""),"",IF(B1191="","⚠ Falta fecha",IF(C1191="","⚠ Falta monto",IF(D1191="","⚠ Falta categoría",IF(ISNA(MATCH(D1191,catNom,0)),"⚠ Categoría no existe",IF(E1191="","⚠ Falta cuenta",IF(ISNA(MATCH(E1191,ctaNom,0)),"⚠ Cuenta no existe",IF(AND(OR(I1191="Transferencia",I1191="Pago tarjeta"),G1191=""),"⚠ Indica la cuenta «Hacia»",IF(AND(G1191&lt;&gt;"",G1191=E1191),"⚠ «Hacia» igual a la cuenta",IF(AND(G1191&lt;&gt;"",ISNA(MATCH(G1191,ctaNom,0))),"⚠ «Hacia» no existe",IF(AND(I1191="Pago tarjeta",IFERROR(INDEX(ctaTipo,MATCH(G1191,ctaNom,0)),"")&lt;&gt;"Tarjeta de crédito"),"⚠ «Hacia» debe ser la tarjeta",IF(AND(I1191="Trading",IFERROR(INDEX(ctaTipo,MATCH(E1191,ctaNom,0)),"")&lt;&gt;"Cuenta de trading"),"⚠ Usa la cuenta de trading","✓"))))))))))))</f>
        <v/>
      </c>
      <c r="I1191" s="19">
        <f>IF(OR(B1191="",C1191="",D1191=""),"",IFERROR(INDEX(catTipo,MATCH(D1191,catNom,0))&amp;"",""))</f>
        <v/>
      </c>
      <c r="J1191" s="19">
        <f>IF(I1191="","",IFERROR(INDEX(catGrupo,MATCH(D1191,catNom,0))&amp;"",""))</f>
        <v/>
      </c>
      <c r="K1191" s="19">
        <f>IF(I1191="Gasto",IF(IFERROR(INDEX(catClas,MATCH(D1191,catNom,0))&amp;"","")="","Variable",IFERROR(INDEX(catClas,MATCH(D1191,catNom,0))&amp;"","")),"")</f>
        <v/>
      </c>
      <c r="L1191" s="19">
        <f>IF(I1191="","",IFERROR(INDEX(catAlim,MATCH(D1191,catNom,0))&amp;"",""))</f>
        <v/>
      </c>
      <c r="M1191" s="19">
        <f>IF(I1191="","",IFERROR(INDEX(catComida,MATCH(D1191,catNom,0))&amp;"",""))</f>
        <v/>
      </c>
      <c r="N1191" s="19">
        <f>IF(I1191="","",IFERROR(INDEX(ctaMon,MATCH(E1191,ctaNom,0))&amp;"","DOP"))</f>
        <v/>
      </c>
      <c r="O1191" s="20">
        <f>IF(I1191="","",C1191*IF(N1191="USD",TasaUSD,1))</f>
        <v/>
      </c>
      <c r="P1191" s="20">
        <f>IF(I1191="","",IF(I1191="Gasto",O1191,0))</f>
        <v/>
      </c>
      <c r="Q1191" s="20">
        <f>IF(I1191="","",IF(I1191="Ingreso",O1191,0))</f>
        <v/>
      </c>
      <c r="R1191" s="20">
        <f>IF(I1191="","",IF(I1191="Trading",O1191,0))</f>
        <v/>
      </c>
      <c r="S1191" s="19">
        <f>IF(I1191="","",IF(AND(I1191="Gasto",K1191="Variable",J1191&lt;&gt;"Trading",O1191&gt;0,O1191&lt;=Umbral),1,0))</f>
        <v/>
      </c>
      <c r="T1191" s="20">
        <f>IF(OR(I1191="",E1191=""),"",IF(OR(I1191="Gasto",I1191="Transferencia",I1191="Pago tarjeta"),-1,1)*C1191)</f>
        <v/>
      </c>
      <c r="U1191" s="20">
        <f>IF(OR(G1191="",AND(I1191&lt;&gt;"Transferencia",I1191&lt;&gt;"Pago tarjeta")),"",IF(IFERROR(INDEX(ctaMon,MATCH(G1191,ctaNom,0))&amp;"","DOP")=N1191,C1191,IF(N1191="USD",C1191*TasaUSD,C1191/TasaUSD)))</f>
        <v/>
      </c>
      <c r="V1191" s="20">
        <f>IF(I1191="","",IF(IFERROR(INDEX(ctaLiq,MATCH(E1191,ctaNom,0))="Sí",FALSE),IF(OR(I1191="Gasto",I1191="Transferencia",I1191="Pago tarjeta"),-1,1)*O1191,0)+IF(AND(U1191&lt;&gt;"",IFERROR(INDEX(ctaLiq,MATCH(G1191,ctaNom,0))="Sí",FALSE)),O1191,0))</f>
        <v/>
      </c>
      <c r="W1191" s="19">
        <f>IF(OR(F1191="",I1191=""),"",IF(COUNTIFS(F$6:F1191,F1191,I$6:I1191,"?*")=1,MAX(W$5:W1190)+1,""))</f>
        <v/>
      </c>
    </row>
    <row r="1192">
      <c r="B1192" s="15" t="n"/>
      <c r="C1192" s="16" t="n"/>
      <c r="D1192" s="17" t="n"/>
      <c r="E1192" s="17" t="n"/>
      <c r="F1192" s="17" t="n"/>
      <c r="G1192" s="17" t="n"/>
      <c r="H1192" s="18">
        <f>IF(AND(B1192="",C1192="",D1192="",E1192=""),"",IF(B1192="","⚠ Falta fecha",IF(C1192="","⚠ Falta monto",IF(D1192="","⚠ Falta categoría",IF(ISNA(MATCH(D1192,catNom,0)),"⚠ Categoría no existe",IF(E1192="","⚠ Falta cuenta",IF(ISNA(MATCH(E1192,ctaNom,0)),"⚠ Cuenta no existe",IF(AND(OR(I1192="Transferencia",I1192="Pago tarjeta"),G1192=""),"⚠ Indica la cuenta «Hacia»",IF(AND(G1192&lt;&gt;"",G1192=E1192),"⚠ «Hacia» igual a la cuenta",IF(AND(G1192&lt;&gt;"",ISNA(MATCH(G1192,ctaNom,0))),"⚠ «Hacia» no existe",IF(AND(I1192="Pago tarjeta",IFERROR(INDEX(ctaTipo,MATCH(G1192,ctaNom,0)),"")&lt;&gt;"Tarjeta de crédito"),"⚠ «Hacia» debe ser la tarjeta",IF(AND(I1192="Trading",IFERROR(INDEX(ctaTipo,MATCH(E1192,ctaNom,0)),"")&lt;&gt;"Cuenta de trading"),"⚠ Usa la cuenta de trading","✓"))))))))))))</f>
        <v/>
      </c>
      <c r="I1192" s="19">
        <f>IF(OR(B1192="",C1192="",D1192=""),"",IFERROR(INDEX(catTipo,MATCH(D1192,catNom,0))&amp;"",""))</f>
        <v/>
      </c>
      <c r="J1192" s="19">
        <f>IF(I1192="","",IFERROR(INDEX(catGrupo,MATCH(D1192,catNom,0))&amp;"",""))</f>
        <v/>
      </c>
      <c r="K1192" s="19">
        <f>IF(I1192="Gasto",IF(IFERROR(INDEX(catClas,MATCH(D1192,catNom,0))&amp;"","")="","Variable",IFERROR(INDEX(catClas,MATCH(D1192,catNom,0))&amp;"","")),"")</f>
        <v/>
      </c>
      <c r="L1192" s="19">
        <f>IF(I1192="","",IFERROR(INDEX(catAlim,MATCH(D1192,catNom,0))&amp;"",""))</f>
        <v/>
      </c>
      <c r="M1192" s="19">
        <f>IF(I1192="","",IFERROR(INDEX(catComida,MATCH(D1192,catNom,0))&amp;"",""))</f>
        <v/>
      </c>
      <c r="N1192" s="19">
        <f>IF(I1192="","",IFERROR(INDEX(ctaMon,MATCH(E1192,ctaNom,0))&amp;"","DOP"))</f>
        <v/>
      </c>
      <c r="O1192" s="20">
        <f>IF(I1192="","",C1192*IF(N1192="USD",TasaUSD,1))</f>
        <v/>
      </c>
      <c r="P1192" s="20">
        <f>IF(I1192="","",IF(I1192="Gasto",O1192,0))</f>
        <v/>
      </c>
      <c r="Q1192" s="20">
        <f>IF(I1192="","",IF(I1192="Ingreso",O1192,0))</f>
        <v/>
      </c>
      <c r="R1192" s="20">
        <f>IF(I1192="","",IF(I1192="Trading",O1192,0))</f>
        <v/>
      </c>
      <c r="S1192" s="19">
        <f>IF(I1192="","",IF(AND(I1192="Gasto",K1192="Variable",J1192&lt;&gt;"Trading",O1192&gt;0,O1192&lt;=Umbral),1,0))</f>
        <v/>
      </c>
      <c r="T1192" s="20">
        <f>IF(OR(I1192="",E1192=""),"",IF(OR(I1192="Gasto",I1192="Transferencia",I1192="Pago tarjeta"),-1,1)*C1192)</f>
        <v/>
      </c>
      <c r="U1192" s="20">
        <f>IF(OR(G1192="",AND(I1192&lt;&gt;"Transferencia",I1192&lt;&gt;"Pago tarjeta")),"",IF(IFERROR(INDEX(ctaMon,MATCH(G1192,ctaNom,0))&amp;"","DOP")=N1192,C1192,IF(N1192="USD",C1192*TasaUSD,C1192/TasaUSD)))</f>
        <v/>
      </c>
      <c r="V1192" s="20">
        <f>IF(I1192="","",IF(IFERROR(INDEX(ctaLiq,MATCH(E1192,ctaNom,0))="Sí",FALSE),IF(OR(I1192="Gasto",I1192="Transferencia",I1192="Pago tarjeta"),-1,1)*O1192,0)+IF(AND(U1192&lt;&gt;"",IFERROR(INDEX(ctaLiq,MATCH(G1192,ctaNom,0))="Sí",FALSE)),O1192,0))</f>
        <v/>
      </c>
      <c r="W1192" s="19">
        <f>IF(OR(F1192="",I1192=""),"",IF(COUNTIFS(F$6:F1192,F1192,I$6:I1192,"?*")=1,MAX(W$5:W1191)+1,""))</f>
        <v/>
      </c>
    </row>
    <row r="1193">
      <c r="B1193" s="15" t="n"/>
      <c r="C1193" s="16" t="n"/>
      <c r="D1193" s="17" t="n"/>
      <c r="E1193" s="17" t="n"/>
      <c r="F1193" s="17" t="n"/>
      <c r="G1193" s="17" t="n"/>
      <c r="H1193" s="18">
        <f>IF(AND(B1193="",C1193="",D1193="",E1193=""),"",IF(B1193="","⚠ Falta fecha",IF(C1193="","⚠ Falta monto",IF(D1193="","⚠ Falta categoría",IF(ISNA(MATCH(D1193,catNom,0)),"⚠ Categoría no existe",IF(E1193="","⚠ Falta cuenta",IF(ISNA(MATCH(E1193,ctaNom,0)),"⚠ Cuenta no existe",IF(AND(OR(I1193="Transferencia",I1193="Pago tarjeta"),G1193=""),"⚠ Indica la cuenta «Hacia»",IF(AND(G1193&lt;&gt;"",G1193=E1193),"⚠ «Hacia» igual a la cuenta",IF(AND(G1193&lt;&gt;"",ISNA(MATCH(G1193,ctaNom,0))),"⚠ «Hacia» no existe",IF(AND(I1193="Pago tarjeta",IFERROR(INDEX(ctaTipo,MATCH(G1193,ctaNom,0)),"")&lt;&gt;"Tarjeta de crédito"),"⚠ «Hacia» debe ser la tarjeta",IF(AND(I1193="Trading",IFERROR(INDEX(ctaTipo,MATCH(E1193,ctaNom,0)),"")&lt;&gt;"Cuenta de trading"),"⚠ Usa la cuenta de trading","✓"))))))))))))</f>
        <v/>
      </c>
      <c r="I1193" s="19">
        <f>IF(OR(B1193="",C1193="",D1193=""),"",IFERROR(INDEX(catTipo,MATCH(D1193,catNom,0))&amp;"",""))</f>
        <v/>
      </c>
      <c r="J1193" s="19">
        <f>IF(I1193="","",IFERROR(INDEX(catGrupo,MATCH(D1193,catNom,0))&amp;"",""))</f>
        <v/>
      </c>
      <c r="K1193" s="19">
        <f>IF(I1193="Gasto",IF(IFERROR(INDEX(catClas,MATCH(D1193,catNom,0))&amp;"","")="","Variable",IFERROR(INDEX(catClas,MATCH(D1193,catNom,0))&amp;"","")),"")</f>
        <v/>
      </c>
      <c r="L1193" s="19">
        <f>IF(I1193="","",IFERROR(INDEX(catAlim,MATCH(D1193,catNom,0))&amp;"",""))</f>
        <v/>
      </c>
      <c r="M1193" s="19">
        <f>IF(I1193="","",IFERROR(INDEX(catComida,MATCH(D1193,catNom,0))&amp;"",""))</f>
        <v/>
      </c>
      <c r="N1193" s="19">
        <f>IF(I1193="","",IFERROR(INDEX(ctaMon,MATCH(E1193,ctaNom,0))&amp;"","DOP"))</f>
        <v/>
      </c>
      <c r="O1193" s="20">
        <f>IF(I1193="","",C1193*IF(N1193="USD",TasaUSD,1))</f>
        <v/>
      </c>
      <c r="P1193" s="20">
        <f>IF(I1193="","",IF(I1193="Gasto",O1193,0))</f>
        <v/>
      </c>
      <c r="Q1193" s="20">
        <f>IF(I1193="","",IF(I1193="Ingreso",O1193,0))</f>
        <v/>
      </c>
      <c r="R1193" s="20">
        <f>IF(I1193="","",IF(I1193="Trading",O1193,0))</f>
        <v/>
      </c>
      <c r="S1193" s="19">
        <f>IF(I1193="","",IF(AND(I1193="Gasto",K1193="Variable",J1193&lt;&gt;"Trading",O1193&gt;0,O1193&lt;=Umbral),1,0))</f>
        <v/>
      </c>
      <c r="T1193" s="20">
        <f>IF(OR(I1193="",E1193=""),"",IF(OR(I1193="Gasto",I1193="Transferencia",I1193="Pago tarjeta"),-1,1)*C1193)</f>
        <v/>
      </c>
      <c r="U1193" s="20">
        <f>IF(OR(G1193="",AND(I1193&lt;&gt;"Transferencia",I1193&lt;&gt;"Pago tarjeta")),"",IF(IFERROR(INDEX(ctaMon,MATCH(G1193,ctaNom,0))&amp;"","DOP")=N1193,C1193,IF(N1193="USD",C1193*TasaUSD,C1193/TasaUSD)))</f>
        <v/>
      </c>
      <c r="V1193" s="20">
        <f>IF(I1193="","",IF(IFERROR(INDEX(ctaLiq,MATCH(E1193,ctaNom,0))="Sí",FALSE),IF(OR(I1193="Gasto",I1193="Transferencia",I1193="Pago tarjeta"),-1,1)*O1193,0)+IF(AND(U1193&lt;&gt;"",IFERROR(INDEX(ctaLiq,MATCH(G1193,ctaNom,0))="Sí",FALSE)),O1193,0))</f>
        <v/>
      </c>
      <c r="W1193" s="19">
        <f>IF(OR(F1193="",I1193=""),"",IF(COUNTIFS(F$6:F1193,F1193,I$6:I1193,"?*")=1,MAX(W$5:W1192)+1,""))</f>
        <v/>
      </c>
    </row>
    <row r="1194">
      <c r="B1194" s="15" t="n"/>
      <c r="C1194" s="16" t="n"/>
      <c r="D1194" s="17" t="n"/>
      <c r="E1194" s="17" t="n"/>
      <c r="F1194" s="17" t="n"/>
      <c r="G1194" s="17" t="n"/>
      <c r="H1194" s="18">
        <f>IF(AND(B1194="",C1194="",D1194="",E1194=""),"",IF(B1194="","⚠ Falta fecha",IF(C1194="","⚠ Falta monto",IF(D1194="","⚠ Falta categoría",IF(ISNA(MATCH(D1194,catNom,0)),"⚠ Categoría no existe",IF(E1194="","⚠ Falta cuenta",IF(ISNA(MATCH(E1194,ctaNom,0)),"⚠ Cuenta no existe",IF(AND(OR(I1194="Transferencia",I1194="Pago tarjeta"),G1194=""),"⚠ Indica la cuenta «Hacia»",IF(AND(G1194&lt;&gt;"",G1194=E1194),"⚠ «Hacia» igual a la cuenta",IF(AND(G1194&lt;&gt;"",ISNA(MATCH(G1194,ctaNom,0))),"⚠ «Hacia» no existe",IF(AND(I1194="Pago tarjeta",IFERROR(INDEX(ctaTipo,MATCH(G1194,ctaNom,0)),"")&lt;&gt;"Tarjeta de crédito"),"⚠ «Hacia» debe ser la tarjeta",IF(AND(I1194="Trading",IFERROR(INDEX(ctaTipo,MATCH(E1194,ctaNom,0)),"")&lt;&gt;"Cuenta de trading"),"⚠ Usa la cuenta de trading","✓"))))))))))))</f>
        <v/>
      </c>
      <c r="I1194" s="19">
        <f>IF(OR(B1194="",C1194="",D1194=""),"",IFERROR(INDEX(catTipo,MATCH(D1194,catNom,0))&amp;"",""))</f>
        <v/>
      </c>
      <c r="J1194" s="19">
        <f>IF(I1194="","",IFERROR(INDEX(catGrupo,MATCH(D1194,catNom,0))&amp;"",""))</f>
        <v/>
      </c>
      <c r="K1194" s="19">
        <f>IF(I1194="Gasto",IF(IFERROR(INDEX(catClas,MATCH(D1194,catNom,0))&amp;"","")="","Variable",IFERROR(INDEX(catClas,MATCH(D1194,catNom,0))&amp;"","")),"")</f>
        <v/>
      </c>
      <c r="L1194" s="19">
        <f>IF(I1194="","",IFERROR(INDEX(catAlim,MATCH(D1194,catNom,0))&amp;"",""))</f>
        <v/>
      </c>
      <c r="M1194" s="19">
        <f>IF(I1194="","",IFERROR(INDEX(catComida,MATCH(D1194,catNom,0))&amp;"",""))</f>
        <v/>
      </c>
      <c r="N1194" s="19">
        <f>IF(I1194="","",IFERROR(INDEX(ctaMon,MATCH(E1194,ctaNom,0))&amp;"","DOP"))</f>
        <v/>
      </c>
      <c r="O1194" s="20">
        <f>IF(I1194="","",C1194*IF(N1194="USD",TasaUSD,1))</f>
        <v/>
      </c>
      <c r="P1194" s="20">
        <f>IF(I1194="","",IF(I1194="Gasto",O1194,0))</f>
        <v/>
      </c>
      <c r="Q1194" s="20">
        <f>IF(I1194="","",IF(I1194="Ingreso",O1194,0))</f>
        <v/>
      </c>
      <c r="R1194" s="20">
        <f>IF(I1194="","",IF(I1194="Trading",O1194,0))</f>
        <v/>
      </c>
      <c r="S1194" s="19">
        <f>IF(I1194="","",IF(AND(I1194="Gasto",K1194="Variable",J1194&lt;&gt;"Trading",O1194&gt;0,O1194&lt;=Umbral),1,0))</f>
        <v/>
      </c>
      <c r="T1194" s="20">
        <f>IF(OR(I1194="",E1194=""),"",IF(OR(I1194="Gasto",I1194="Transferencia",I1194="Pago tarjeta"),-1,1)*C1194)</f>
        <v/>
      </c>
      <c r="U1194" s="20">
        <f>IF(OR(G1194="",AND(I1194&lt;&gt;"Transferencia",I1194&lt;&gt;"Pago tarjeta")),"",IF(IFERROR(INDEX(ctaMon,MATCH(G1194,ctaNom,0))&amp;"","DOP")=N1194,C1194,IF(N1194="USD",C1194*TasaUSD,C1194/TasaUSD)))</f>
        <v/>
      </c>
      <c r="V1194" s="20">
        <f>IF(I1194="","",IF(IFERROR(INDEX(ctaLiq,MATCH(E1194,ctaNom,0))="Sí",FALSE),IF(OR(I1194="Gasto",I1194="Transferencia",I1194="Pago tarjeta"),-1,1)*O1194,0)+IF(AND(U1194&lt;&gt;"",IFERROR(INDEX(ctaLiq,MATCH(G1194,ctaNom,0))="Sí",FALSE)),O1194,0))</f>
        <v/>
      </c>
      <c r="W1194" s="19">
        <f>IF(OR(F1194="",I1194=""),"",IF(COUNTIFS(F$6:F1194,F1194,I$6:I1194,"?*")=1,MAX(W$5:W1193)+1,""))</f>
        <v/>
      </c>
    </row>
    <row r="1195">
      <c r="B1195" s="15" t="n"/>
      <c r="C1195" s="16" t="n"/>
      <c r="D1195" s="17" t="n"/>
      <c r="E1195" s="17" t="n"/>
      <c r="F1195" s="17" t="n"/>
      <c r="G1195" s="17" t="n"/>
      <c r="H1195" s="18">
        <f>IF(AND(B1195="",C1195="",D1195="",E1195=""),"",IF(B1195="","⚠ Falta fecha",IF(C1195="","⚠ Falta monto",IF(D1195="","⚠ Falta categoría",IF(ISNA(MATCH(D1195,catNom,0)),"⚠ Categoría no existe",IF(E1195="","⚠ Falta cuenta",IF(ISNA(MATCH(E1195,ctaNom,0)),"⚠ Cuenta no existe",IF(AND(OR(I1195="Transferencia",I1195="Pago tarjeta"),G1195=""),"⚠ Indica la cuenta «Hacia»",IF(AND(G1195&lt;&gt;"",G1195=E1195),"⚠ «Hacia» igual a la cuenta",IF(AND(G1195&lt;&gt;"",ISNA(MATCH(G1195,ctaNom,0))),"⚠ «Hacia» no existe",IF(AND(I1195="Pago tarjeta",IFERROR(INDEX(ctaTipo,MATCH(G1195,ctaNom,0)),"")&lt;&gt;"Tarjeta de crédito"),"⚠ «Hacia» debe ser la tarjeta",IF(AND(I1195="Trading",IFERROR(INDEX(ctaTipo,MATCH(E1195,ctaNom,0)),"")&lt;&gt;"Cuenta de trading"),"⚠ Usa la cuenta de trading","✓"))))))))))))</f>
        <v/>
      </c>
      <c r="I1195" s="19">
        <f>IF(OR(B1195="",C1195="",D1195=""),"",IFERROR(INDEX(catTipo,MATCH(D1195,catNom,0))&amp;"",""))</f>
        <v/>
      </c>
      <c r="J1195" s="19">
        <f>IF(I1195="","",IFERROR(INDEX(catGrupo,MATCH(D1195,catNom,0))&amp;"",""))</f>
        <v/>
      </c>
      <c r="K1195" s="19">
        <f>IF(I1195="Gasto",IF(IFERROR(INDEX(catClas,MATCH(D1195,catNom,0))&amp;"","")="","Variable",IFERROR(INDEX(catClas,MATCH(D1195,catNom,0))&amp;"","")),"")</f>
        <v/>
      </c>
      <c r="L1195" s="19">
        <f>IF(I1195="","",IFERROR(INDEX(catAlim,MATCH(D1195,catNom,0))&amp;"",""))</f>
        <v/>
      </c>
      <c r="M1195" s="19">
        <f>IF(I1195="","",IFERROR(INDEX(catComida,MATCH(D1195,catNom,0))&amp;"",""))</f>
        <v/>
      </c>
      <c r="N1195" s="19">
        <f>IF(I1195="","",IFERROR(INDEX(ctaMon,MATCH(E1195,ctaNom,0))&amp;"","DOP"))</f>
        <v/>
      </c>
      <c r="O1195" s="20">
        <f>IF(I1195="","",C1195*IF(N1195="USD",TasaUSD,1))</f>
        <v/>
      </c>
      <c r="P1195" s="20">
        <f>IF(I1195="","",IF(I1195="Gasto",O1195,0))</f>
        <v/>
      </c>
      <c r="Q1195" s="20">
        <f>IF(I1195="","",IF(I1195="Ingreso",O1195,0))</f>
        <v/>
      </c>
      <c r="R1195" s="20">
        <f>IF(I1195="","",IF(I1195="Trading",O1195,0))</f>
        <v/>
      </c>
      <c r="S1195" s="19">
        <f>IF(I1195="","",IF(AND(I1195="Gasto",K1195="Variable",J1195&lt;&gt;"Trading",O1195&gt;0,O1195&lt;=Umbral),1,0))</f>
        <v/>
      </c>
      <c r="T1195" s="20">
        <f>IF(OR(I1195="",E1195=""),"",IF(OR(I1195="Gasto",I1195="Transferencia",I1195="Pago tarjeta"),-1,1)*C1195)</f>
        <v/>
      </c>
      <c r="U1195" s="20">
        <f>IF(OR(G1195="",AND(I1195&lt;&gt;"Transferencia",I1195&lt;&gt;"Pago tarjeta")),"",IF(IFERROR(INDEX(ctaMon,MATCH(G1195,ctaNom,0))&amp;"","DOP")=N1195,C1195,IF(N1195="USD",C1195*TasaUSD,C1195/TasaUSD)))</f>
        <v/>
      </c>
      <c r="V1195" s="20">
        <f>IF(I1195="","",IF(IFERROR(INDEX(ctaLiq,MATCH(E1195,ctaNom,0))="Sí",FALSE),IF(OR(I1195="Gasto",I1195="Transferencia",I1195="Pago tarjeta"),-1,1)*O1195,0)+IF(AND(U1195&lt;&gt;"",IFERROR(INDEX(ctaLiq,MATCH(G1195,ctaNom,0))="Sí",FALSE)),O1195,0))</f>
        <v/>
      </c>
      <c r="W1195" s="19">
        <f>IF(OR(F1195="",I1195=""),"",IF(COUNTIFS(F$6:F1195,F1195,I$6:I1195,"?*")=1,MAX(W$5:W1194)+1,""))</f>
        <v/>
      </c>
    </row>
    <row r="1196">
      <c r="B1196" s="15" t="n"/>
      <c r="C1196" s="16" t="n"/>
      <c r="D1196" s="17" t="n"/>
      <c r="E1196" s="17" t="n"/>
      <c r="F1196" s="17" t="n"/>
      <c r="G1196" s="17" t="n"/>
      <c r="H1196" s="18">
        <f>IF(AND(B1196="",C1196="",D1196="",E1196=""),"",IF(B1196="","⚠ Falta fecha",IF(C1196="","⚠ Falta monto",IF(D1196="","⚠ Falta categoría",IF(ISNA(MATCH(D1196,catNom,0)),"⚠ Categoría no existe",IF(E1196="","⚠ Falta cuenta",IF(ISNA(MATCH(E1196,ctaNom,0)),"⚠ Cuenta no existe",IF(AND(OR(I1196="Transferencia",I1196="Pago tarjeta"),G1196=""),"⚠ Indica la cuenta «Hacia»",IF(AND(G1196&lt;&gt;"",G1196=E1196),"⚠ «Hacia» igual a la cuenta",IF(AND(G1196&lt;&gt;"",ISNA(MATCH(G1196,ctaNom,0))),"⚠ «Hacia» no existe",IF(AND(I1196="Pago tarjeta",IFERROR(INDEX(ctaTipo,MATCH(G1196,ctaNom,0)),"")&lt;&gt;"Tarjeta de crédito"),"⚠ «Hacia» debe ser la tarjeta",IF(AND(I1196="Trading",IFERROR(INDEX(ctaTipo,MATCH(E1196,ctaNom,0)),"")&lt;&gt;"Cuenta de trading"),"⚠ Usa la cuenta de trading","✓"))))))))))))</f>
        <v/>
      </c>
      <c r="I1196" s="19">
        <f>IF(OR(B1196="",C1196="",D1196=""),"",IFERROR(INDEX(catTipo,MATCH(D1196,catNom,0))&amp;"",""))</f>
        <v/>
      </c>
      <c r="J1196" s="19">
        <f>IF(I1196="","",IFERROR(INDEX(catGrupo,MATCH(D1196,catNom,0))&amp;"",""))</f>
        <v/>
      </c>
      <c r="K1196" s="19">
        <f>IF(I1196="Gasto",IF(IFERROR(INDEX(catClas,MATCH(D1196,catNom,0))&amp;"","")="","Variable",IFERROR(INDEX(catClas,MATCH(D1196,catNom,0))&amp;"","")),"")</f>
        <v/>
      </c>
      <c r="L1196" s="19">
        <f>IF(I1196="","",IFERROR(INDEX(catAlim,MATCH(D1196,catNom,0))&amp;"",""))</f>
        <v/>
      </c>
      <c r="M1196" s="19">
        <f>IF(I1196="","",IFERROR(INDEX(catComida,MATCH(D1196,catNom,0))&amp;"",""))</f>
        <v/>
      </c>
      <c r="N1196" s="19">
        <f>IF(I1196="","",IFERROR(INDEX(ctaMon,MATCH(E1196,ctaNom,0))&amp;"","DOP"))</f>
        <v/>
      </c>
      <c r="O1196" s="20">
        <f>IF(I1196="","",C1196*IF(N1196="USD",TasaUSD,1))</f>
        <v/>
      </c>
      <c r="P1196" s="20">
        <f>IF(I1196="","",IF(I1196="Gasto",O1196,0))</f>
        <v/>
      </c>
      <c r="Q1196" s="20">
        <f>IF(I1196="","",IF(I1196="Ingreso",O1196,0))</f>
        <v/>
      </c>
      <c r="R1196" s="20">
        <f>IF(I1196="","",IF(I1196="Trading",O1196,0))</f>
        <v/>
      </c>
      <c r="S1196" s="19">
        <f>IF(I1196="","",IF(AND(I1196="Gasto",K1196="Variable",J1196&lt;&gt;"Trading",O1196&gt;0,O1196&lt;=Umbral),1,0))</f>
        <v/>
      </c>
      <c r="T1196" s="20">
        <f>IF(OR(I1196="",E1196=""),"",IF(OR(I1196="Gasto",I1196="Transferencia",I1196="Pago tarjeta"),-1,1)*C1196)</f>
        <v/>
      </c>
      <c r="U1196" s="20">
        <f>IF(OR(G1196="",AND(I1196&lt;&gt;"Transferencia",I1196&lt;&gt;"Pago tarjeta")),"",IF(IFERROR(INDEX(ctaMon,MATCH(G1196,ctaNom,0))&amp;"","DOP")=N1196,C1196,IF(N1196="USD",C1196*TasaUSD,C1196/TasaUSD)))</f>
        <v/>
      </c>
      <c r="V1196" s="20">
        <f>IF(I1196="","",IF(IFERROR(INDEX(ctaLiq,MATCH(E1196,ctaNom,0))="Sí",FALSE),IF(OR(I1196="Gasto",I1196="Transferencia",I1196="Pago tarjeta"),-1,1)*O1196,0)+IF(AND(U1196&lt;&gt;"",IFERROR(INDEX(ctaLiq,MATCH(G1196,ctaNom,0))="Sí",FALSE)),O1196,0))</f>
        <v/>
      </c>
      <c r="W1196" s="19">
        <f>IF(OR(F1196="",I1196=""),"",IF(COUNTIFS(F$6:F1196,F1196,I$6:I1196,"?*")=1,MAX(W$5:W1195)+1,""))</f>
        <v/>
      </c>
    </row>
    <row r="1197">
      <c r="B1197" s="15" t="n"/>
      <c r="C1197" s="16" t="n"/>
      <c r="D1197" s="17" t="n"/>
      <c r="E1197" s="17" t="n"/>
      <c r="F1197" s="17" t="n"/>
      <c r="G1197" s="17" t="n"/>
      <c r="H1197" s="18">
        <f>IF(AND(B1197="",C1197="",D1197="",E1197=""),"",IF(B1197="","⚠ Falta fecha",IF(C1197="","⚠ Falta monto",IF(D1197="","⚠ Falta categoría",IF(ISNA(MATCH(D1197,catNom,0)),"⚠ Categoría no existe",IF(E1197="","⚠ Falta cuenta",IF(ISNA(MATCH(E1197,ctaNom,0)),"⚠ Cuenta no existe",IF(AND(OR(I1197="Transferencia",I1197="Pago tarjeta"),G1197=""),"⚠ Indica la cuenta «Hacia»",IF(AND(G1197&lt;&gt;"",G1197=E1197),"⚠ «Hacia» igual a la cuenta",IF(AND(G1197&lt;&gt;"",ISNA(MATCH(G1197,ctaNom,0))),"⚠ «Hacia» no existe",IF(AND(I1197="Pago tarjeta",IFERROR(INDEX(ctaTipo,MATCH(G1197,ctaNom,0)),"")&lt;&gt;"Tarjeta de crédito"),"⚠ «Hacia» debe ser la tarjeta",IF(AND(I1197="Trading",IFERROR(INDEX(ctaTipo,MATCH(E1197,ctaNom,0)),"")&lt;&gt;"Cuenta de trading"),"⚠ Usa la cuenta de trading","✓"))))))))))))</f>
        <v/>
      </c>
      <c r="I1197" s="19">
        <f>IF(OR(B1197="",C1197="",D1197=""),"",IFERROR(INDEX(catTipo,MATCH(D1197,catNom,0))&amp;"",""))</f>
        <v/>
      </c>
      <c r="J1197" s="19">
        <f>IF(I1197="","",IFERROR(INDEX(catGrupo,MATCH(D1197,catNom,0))&amp;"",""))</f>
        <v/>
      </c>
      <c r="K1197" s="19">
        <f>IF(I1197="Gasto",IF(IFERROR(INDEX(catClas,MATCH(D1197,catNom,0))&amp;"","")="","Variable",IFERROR(INDEX(catClas,MATCH(D1197,catNom,0))&amp;"","")),"")</f>
        <v/>
      </c>
      <c r="L1197" s="19">
        <f>IF(I1197="","",IFERROR(INDEX(catAlim,MATCH(D1197,catNom,0))&amp;"",""))</f>
        <v/>
      </c>
      <c r="M1197" s="19">
        <f>IF(I1197="","",IFERROR(INDEX(catComida,MATCH(D1197,catNom,0))&amp;"",""))</f>
        <v/>
      </c>
      <c r="N1197" s="19">
        <f>IF(I1197="","",IFERROR(INDEX(ctaMon,MATCH(E1197,ctaNom,0))&amp;"","DOP"))</f>
        <v/>
      </c>
      <c r="O1197" s="20">
        <f>IF(I1197="","",C1197*IF(N1197="USD",TasaUSD,1))</f>
        <v/>
      </c>
      <c r="P1197" s="20">
        <f>IF(I1197="","",IF(I1197="Gasto",O1197,0))</f>
        <v/>
      </c>
      <c r="Q1197" s="20">
        <f>IF(I1197="","",IF(I1197="Ingreso",O1197,0))</f>
        <v/>
      </c>
      <c r="R1197" s="20">
        <f>IF(I1197="","",IF(I1197="Trading",O1197,0))</f>
        <v/>
      </c>
      <c r="S1197" s="19">
        <f>IF(I1197="","",IF(AND(I1197="Gasto",K1197="Variable",J1197&lt;&gt;"Trading",O1197&gt;0,O1197&lt;=Umbral),1,0))</f>
        <v/>
      </c>
      <c r="T1197" s="20">
        <f>IF(OR(I1197="",E1197=""),"",IF(OR(I1197="Gasto",I1197="Transferencia",I1197="Pago tarjeta"),-1,1)*C1197)</f>
        <v/>
      </c>
      <c r="U1197" s="20">
        <f>IF(OR(G1197="",AND(I1197&lt;&gt;"Transferencia",I1197&lt;&gt;"Pago tarjeta")),"",IF(IFERROR(INDEX(ctaMon,MATCH(G1197,ctaNom,0))&amp;"","DOP")=N1197,C1197,IF(N1197="USD",C1197*TasaUSD,C1197/TasaUSD)))</f>
        <v/>
      </c>
      <c r="V1197" s="20">
        <f>IF(I1197="","",IF(IFERROR(INDEX(ctaLiq,MATCH(E1197,ctaNom,0))="Sí",FALSE),IF(OR(I1197="Gasto",I1197="Transferencia",I1197="Pago tarjeta"),-1,1)*O1197,0)+IF(AND(U1197&lt;&gt;"",IFERROR(INDEX(ctaLiq,MATCH(G1197,ctaNom,0))="Sí",FALSE)),O1197,0))</f>
        <v/>
      </c>
      <c r="W1197" s="19">
        <f>IF(OR(F1197="",I1197=""),"",IF(COUNTIFS(F$6:F1197,F1197,I$6:I1197,"?*")=1,MAX(W$5:W1196)+1,""))</f>
        <v/>
      </c>
    </row>
    <row r="1198">
      <c r="B1198" s="15" t="n"/>
      <c r="C1198" s="16" t="n"/>
      <c r="D1198" s="17" t="n"/>
      <c r="E1198" s="17" t="n"/>
      <c r="F1198" s="17" t="n"/>
      <c r="G1198" s="17" t="n"/>
      <c r="H1198" s="18">
        <f>IF(AND(B1198="",C1198="",D1198="",E1198=""),"",IF(B1198="","⚠ Falta fecha",IF(C1198="","⚠ Falta monto",IF(D1198="","⚠ Falta categoría",IF(ISNA(MATCH(D1198,catNom,0)),"⚠ Categoría no existe",IF(E1198="","⚠ Falta cuenta",IF(ISNA(MATCH(E1198,ctaNom,0)),"⚠ Cuenta no existe",IF(AND(OR(I1198="Transferencia",I1198="Pago tarjeta"),G1198=""),"⚠ Indica la cuenta «Hacia»",IF(AND(G1198&lt;&gt;"",G1198=E1198),"⚠ «Hacia» igual a la cuenta",IF(AND(G1198&lt;&gt;"",ISNA(MATCH(G1198,ctaNom,0))),"⚠ «Hacia» no existe",IF(AND(I1198="Pago tarjeta",IFERROR(INDEX(ctaTipo,MATCH(G1198,ctaNom,0)),"")&lt;&gt;"Tarjeta de crédito"),"⚠ «Hacia» debe ser la tarjeta",IF(AND(I1198="Trading",IFERROR(INDEX(ctaTipo,MATCH(E1198,ctaNom,0)),"")&lt;&gt;"Cuenta de trading"),"⚠ Usa la cuenta de trading","✓"))))))))))))</f>
        <v/>
      </c>
      <c r="I1198" s="19">
        <f>IF(OR(B1198="",C1198="",D1198=""),"",IFERROR(INDEX(catTipo,MATCH(D1198,catNom,0))&amp;"",""))</f>
        <v/>
      </c>
      <c r="J1198" s="19">
        <f>IF(I1198="","",IFERROR(INDEX(catGrupo,MATCH(D1198,catNom,0))&amp;"",""))</f>
        <v/>
      </c>
      <c r="K1198" s="19">
        <f>IF(I1198="Gasto",IF(IFERROR(INDEX(catClas,MATCH(D1198,catNom,0))&amp;"","")="","Variable",IFERROR(INDEX(catClas,MATCH(D1198,catNom,0))&amp;"","")),"")</f>
        <v/>
      </c>
      <c r="L1198" s="19">
        <f>IF(I1198="","",IFERROR(INDEX(catAlim,MATCH(D1198,catNom,0))&amp;"",""))</f>
        <v/>
      </c>
      <c r="M1198" s="19">
        <f>IF(I1198="","",IFERROR(INDEX(catComida,MATCH(D1198,catNom,0))&amp;"",""))</f>
        <v/>
      </c>
      <c r="N1198" s="19">
        <f>IF(I1198="","",IFERROR(INDEX(ctaMon,MATCH(E1198,ctaNom,0))&amp;"","DOP"))</f>
        <v/>
      </c>
      <c r="O1198" s="20">
        <f>IF(I1198="","",C1198*IF(N1198="USD",TasaUSD,1))</f>
        <v/>
      </c>
      <c r="P1198" s="20">
        <f>IF(I1198="","",IF(I1198="Gasto",O1198,0))</f>
        <v/>
      </c>
      <c r="Q1198" s="20">
        <f>IF(I1198="","",IF(I1198="Ingreso",O1198,0))</f>
        <v/>
      </c>
      <c r="R1198" s="20">
        <f>IF(I1198="","",IF(I1198="Trading",O1198,0))</f>
        <v/>
      </c>
      <c r="S1198" s="19">
        <f>IF(I1198="","",IF(AND(I1198="Gasto",K1198="Variable",J1198&lt;&gt;"Trading",O1198&gt;0,O1198&lt;=Umbral),1,0))</f>
        <v/>
      </c>
      <c r="T1198" s="20">
        <f>IF(OR(I1198="",E1198=""),"",IF(OR(I1198="Gasto",I1198="Transferencia",I1198="Pago tarjeta"),-1,1)*C1198)</f>
        <v/>
      </c>
      <c r="U1198" s="20">
        <f>IF(OR(G1198="",AND(I1198&lt;&gt;"Transferencia",I1198&lt;&gt;"Pago tarjeta")),"",IF(IFERROR(INDEX(ctaMon,MATCH(G1198,ctaNom,0))&amp;"","DOP")=N1198,C1198,IF(N1198="USD",C1198*TasaUSD,C1198/TasaUSD)))</f>
        <v/>
      </c>
      <c r="V1198" s="20">
        <f>IF(I1198="","",IF(IFERROR(INDEX(ctaLiq,MATCH(E1198,ctaNom,0))="Sí",FALSE),IF(OR(I1198="Gasto",I1198="Transferencia",I1198="Pago tarjeta"),-1,1)*O1198,0)+IF(AND(U1198&lt;&gt;"",IFERROR(INDEX(ctaLiq,MATCH(G1198,ctaNom,0))="Sí",FALSE)),O1198,0))</f>
        <v/>
      </c>
      <c r="W1198" s="19">
        <f>IF(OR(F1198="",I1198=""),"",IF(COUNTIFS(F$6:F1198,F1198,I$6:I1198,"?*")=1,MAX(W$5:W1197)+1,""))</f>
        <v/>
      </c>
    </row>
    <row r="1199">
      <c r="B1199" s="15" t="n"/>
      <c r="C1199" s="16" t="n"/>
      <c r="D1199" s="17" t="n"/>
      <c r="E1199" s="17" t="n"/>
      <c r="F1199" s="17" t="n"/>
      <c r="G1199" s="17" t="n"/>
      <c r="H1199" s="18">
        <f>IF(AND(B1199="",C1199="",D1199="",E1199=""),"",IF(B1199="","⚠ Falta fecha",IF(C1199="","⚠ Falta monto",IF(D1199="","⚠ Falta categoría",IF(ISNA(MATCH(D1199,catNom,0)),"⚠ Categoría no existe",IF(E1199="","⚠ Falta cuenta",IF(ISNA(MATCH(E1199,ctaNom,0)),"⚠ Cuenta no existe",IF(AND(OR(I1199="Transferencia",I1199="Pago tarjeta"),G1199=""),"⚠ Indica la cuenta «Hacia»",IF(AND(G1199&lt;&gt;"",G1199=E1199),"⚠ «Hacia» igual a la cuenta",IF(AND(G1199&lt;&gt;"",ISNA(MATCH(G1199,ctaNom,0))),"⚠ «Hacia» no existe",IF(AND(I1199="Pago tarjeta",IFERROR(INDEX(ctaTipo,MATCH(G1199,ctaNom,0)),"")&lt;&gt;"Tarjeta de crédito"),"⚠ «Hacia» debe ser la tarjeta",IF(AND(I1199="Trading",IFERROR(INDEX(ctaTipo,MATCH(E1199,ctaNom,0)),"")&lt;&gt;"Cuenta de trading"),"⚠ Usa la cuenta de trading","✓"))))))))))))</f>
        <v/>
      </c>
      <c r="I1199" s="19">
        <f>IF(OR(B1199="",C1199="",D1199=""),"",IFERROR(INDEX(catTipo,MATCH(D1199,catNom,0))&amp;"",""))</f>
        <v/>
      </c>
      <c r="J1199" s="19">
        <f>IF(I1199="","",IFERROR(INDEX(catGrupo,MATCH(D1199,catNom,0))&amp;"",""))</f>
        <v/>
      </c>
      <c r="K1199" s="19">
        <f>IF(I1199="Gasto",IF(IFERROR(INDEX(catClas,MATCH(D1199,catNom,0))&amp;"","")="","Variable",IFERROR(INDEX(catClas,MATCH(D1199,catNom,0))&amp;"","")),"")</f>
        <v/>
      </c>
      <c r="L1199" s="19">
        <f>IF(I1199="","",IFERROR(INDEX(catAlim,MATCH(D1199,catNom,0))&amp;"",""))</f>
        <v/>
      </c>
      <c r="M1199" s="19">
        <f>IF(I1199="","",IFERROR(INDEX(catComida,MATCH(D1199,catNom,0))&amp;"",""))</f>
        <v/>
      </c>
      <c r="N1199" s="19">
        <f>IF(I1199="","",IFERROR(INDEX(ctaMon,MATCH(E1199,ctaNom,0))&amp;"","DOP"))</f>
        <v/>
      </c>
      <c r="O1199" s="20">
        <f>IF(I1199="","",C1199*IF(N1199="USD",TasaUSD,1))</f>
        <v/>
      </c>
      <c r="P1199" s="20">
        <f>IF(I1199="","",IF(I1199="Gasto",O1199,0))</f>
        <v/>
      </c>
      <c r="Q1199" s="20">
        <f>IF(I1199="","",IF(I1199="Ingreso",O1199,0))</f>
        <v/>
      </c>
      <c r="R1199" s="20">
        <f>IF(I1199="","",IF(I1199="Trading",O1199,0))</f>
        <v/>
      </c>
      <c r="S1199" s="19">
        <f>IF(I1199="","",IF(AND(I1199="Gasto",K1199="Variable",J1199&lt;&gt;"Trading",O1199&gt;0,O1199&lt;=Umbral),1,0))</f>
        <v/>
      </c>
      <c r="T1199" s="20">
        <f>IF(OR(I1199="",E1199=""),"",IF(OR(I1199="Gasto",I1199="Transferencia",I1199="Pago tarjeta"),-1,1)*C1199)</f>
        <v/>
      </c>
      <c r="U1199" s="20">
        <f>IF(OR(G1199="",AND(I1199&lt;&gt;"Transferencia",I1199&lt;&gt;"Pago tarjeta")),"",IF(IFERROR(INDEX(ctaMon,MATCH(G1199,ctaNom,0))&amp;"","DOP")=N1199,C1199,IF(N1199="USD",C1199*TasaUSD,C1199/TasaUSD)))</f>
        <v/>
      </c>
      <c r="V1199" s="20">
        <f>IF(I1199="","",IF(IFERROR(INDEX(ctaLiq,MATCH(E1199,ctaNom,0))="Sí",FALSE),IF(OR(I1199="Gasto",I1199="Transferencia",I1199="Pago tarjeta"),-1,1)*O1199,0)+IF(AND(U1199&lt;&gt;"",IFERROR(INDEX(ctaLiq,MATCH(G1199,ctaNom,0))="Sí",FALSE)),O1199,0))</f>
        <v/>
      </c>
      <c r="W1199" s="19">
        <f>IF(OR(F1199="",I1199=""),"",IF(COUNTIFS(F$6:F1199,F1199,I$6:I1199,"?*")=1,MAX(W$5:W1198)+1,""))</f>
        <v/>
      </c>
    </row>
    <row r="1200">
      <c r="B1200" s="15" t="n"/>
      <c r="C1200" s="16" t="n"/>
      <c r="D1200" s="17" t="n"/>
      <c r="E1200" s="17" t="n"/>
      <c r="F1200" s="17" t="n"/>
      <c r="G1200" s="17" t="n"/>
      <c r="H1200" s="18">
        <f>IF(AND(B1200="",C1200="",D1200="",E1200=""),"",IF(B1200="","⚠ Falta fecha",IF(C1200="","⚠ Falta monto",IF(D1200="","⚠ Falta categoría",IF(ISNA(MATCH(D1200,catNom,0)),"⚠ Categoría no existe",IF(E1200="","⚠ Falta cuenta",IF(ISNA(MATCH(E1200,ctaNom,0)),"⚠ Cuenta no existe",IF(AND(OR(I1200="Transferencia",I1200="Pago tarjeta"),G1200=""),"⚠ Indica la cuenta «Hacia»",IF(AND(G1200&lt;&gt;"",G1200=E1200),"⚠ «Hacia» igual a la cuenta",IF(AND(G1200&lt;&gt;"",ISNA(MATCH(G1200,ctaNom,0))),"⚠ «Hacia» no existe",IF(AND(I1200="Pago tarjeta",IFERROR(INDEX(ctaTipo,MATCH(G1200,ctaNom,0)),"")&lt;&gt;"Tarjeta de crédito"),"⚠ «Hacia» debe ser la tarjeta",IF(AND(I1200="Trading",IFERROR(INDEX(ctaTipo,MATCH(E1200,ctaNom,0)),"")&lt;&gt;"Cuenta de trading"),"⚠ Usa la cuenta de trading","✓"))))))))))))</f>
        <v/>
      </c>
      <c r="I1200" s="19">
        <f>IF(OR(B1200="",C1200="",D1200=""),"",IFERROR(INDEX(catTipo,MATCH(D1200,catNom,0))&amp;"",""))</f>
        <v/>
      </c>
      <c r="J1200" s="19">
        <f>IF(I1200="","",IFERROR(INDEX(catGrupo,MATCH(D1200,catNom,0))&amp;"",""))</f>
        <v/>
      </c>
      <c r="K1200" s="19">
        <f>IF(I1200="Gasto",IF(IFERROR(INDEX(catClas,MATCH(D1200,catNom,0))&amp;"","")="","Variable",IFERROR(INDEX(catClas,MATCH(D1200,catNom,0))&amp;"","")),"")</f>
        <v/>
      </c>
      <c r="L1200" s="19">
        <f>IF(I1200="","",IFERROR(INDEX(catAlim,MATCH(D1200,catNom,0))&amp;"",""))</f>
        <v/>
      </c>
      <c r="M1200" s="19">
        <f>IF(I1200="","",IFERROR(INDEX(catComida,MATCH(D1200,catNom,0))&amp;"",""))</f>
        <v/>
      </c>
      <c r="N1200" s="19">
        <f>IF(I1200="","",IFERROR(INDEX(ctaMon,MATCH(E1200,ctaNom,0))&amp;"","DOP"))</f>
        <v/>
      </c>
      <c r="O1200" s="20">
        <f>IF(I1200="","",C1200*IF(N1200="USD",TasaUSD,1))</f>
        <v/>
      </c>
      <c r="P1200" s="20">
        <f>IF(I1200="","",IF(I1200="Gasto",O1200,0))</f>
        <v/>
      </c>
      <c r="Q1200" s="20">
        <f>IF(I1200="","",IF(I1200="Ingreso",O1200,0))</f>
        <v/>
      </c>
      <c r="R1200" s="20">
        <f>IF(I1200="","",IF(I1200="Trading",O1200,0))</f>
        <v/>
      </c>
      <c r="S1200" s="19">
        <f>IF(I1200="","",IF(AND(I1200="Gasto",K1200="Variable",J1200&lt;&gt;"Trading",O1200&gt;0,O1200&lt;=Umbral),1,0))</f>
        <v/>
      </c>
      <c r="T1200" s="20">
        <f>IF(OR(I1200="",E1200=""),"",IF(OR(I1200="Gasto",I1200="Transferencia",I1200="Pago tarjeta"),-1,1)*C1200)</f>
        <v/>
      </c>
      <c r="U1200" s="20">
        <f>IF(OR(G1200="",AND(I1200&lt;&gt;"Transferencia",I1200&lt;&gt;"Pago tarjeta")),"",IF(IFERROR(INDEX(ctaMon,MATCH(G1200,ctaNom,0))&amp;"","DOP")=N1200,C1200,IF(N1200="USD",C1200*TasaUSD,C1200/TasaUSD)))</f>
        <v/>
      </c>
      <c r="V1200" s="20">
        <f>IF(I1200="","",IF(IFERROR(INDEX(ctaLiq,MATCH(E1200,ctaNom,0))="Sí",FALSE),IF(OR(I1200="Gasto",I1200="Transferencia",I1200="Pago tarjeta"),-1,1)*O1200,0)+IF(AND(U1200&lt;&gt;"",IFERROR(INDEX(ctaLiq,MATCH(G1200,ctaNom,0))="Sí",FALSE)),O1200,0))</f>
        <v/>
      </c>
      <c r="W1200" s="19">
        <f>IF(OR(F1200="",I1200=""),"",IF(COUNTIFS(F$6:F1200,F1200,I$6:I1200,"?*")=1,MAX(W$5:W1199)+1,""))</f>
        <v/>
      </c>
    </row>
    <row r="1201">
      <c r="B1201" s="15" t="n"/>
      <c r="C1201" s="16" t="n"/>
      <c r="D1201" s="17" t="n"/>
      <c r="E1201" s="17" t="n"/>
      <c r="F1201" s="17" t="n"/>
      <c r="G1201" s="17" t="n"/>
      <c r="H1201" s="18">
        <f>IF(AND(B1201="",C1201="",D1201="",E1201=""),"",IF(B1201="","⚠ Falta fecha",IF(C1201="","⚠ Falta monto",IF(D1201="","⚠ Falta categoría",IF(ISNA(MATCH(D1201,catNom,0)),"⚠ Categoría no existe",IF(E1201="","⚠ Falta cuenta",IF(ISNA(MATCH(E1201,ctaNom,0)),"⚠ Cuenta no existe",IF(AND(OR(I1201="Transferencia",I1201="Pago tarjeta"),G1201=""),"⚠ Indica la cuenta «Hacia»",IF(AND(G1201&lt;&gt;"",G1201=E1201),"⚠ «Hacia» igual a la cuenta",IF(AND(G1201&lt;&gt;"",ISNA(MATCH(G1201,ctaNom,0))),"⚠ «Hacia» no existe",IF(AND(I1201="Pago tarjeta",IFERROR(INDEX(ctaTipo,MATCH(G1201,ctaNom,0)),"")&lt;&gt;"Tarjeta de crédito"),"⚠ «Hacia» debe ser la tarjeta",IF(AND(I1201="Trading",IFERROR(INDEX(ctaTipo,MATCH(E1201,ctaNom,0)),"")&lt;&gt;"Cuenta de trading"),"⚠ Usa la cuenta de trading","✓"))))))))))))</f>
        <v/>
      </c>
      <c r="I1201" s="19">
        <f>IF(OR(B1201="",C1201="",D1201=""),"",IFERROR(INDEX(catTipo,MATCH(D1201,catNom,0))&amp;"",""))</f>
        <v/>
      </c>
      <c r="J1201" s="19">
        <f>IF(I1201="","",IFERROR(INDEX(catGrupo,MATCH(D1201,catNom,0))&amp;"",""))</f>
        <v/>
      </c>
      <c r="K1201" s="19">
        <f>IF(I1201="Gasto",IF(IFERROR(INDEX(catClas,MATCH(D1201,catNom,0))&amp;"","")="","Variable",IFERROR(INDEX(catClas,MATCH(D1201,catNom,0))&amp;"","")),"")</f>
        <v/>
      </c>
      <c r="L1201" s="19">
        <f>IF(I1201="","",IFERROR(INDEX(catAlim,MATCH(D1201,catNom,0))&amp;"",""))</f>
        <v/>
      </c>
      <c r="M1201" s="19">
        <f>IF(I1201="","",IFERROR(INDEX(catComida,MATCH(D1201,catNom,0))&amp;"",""))</f>
        <v/>
      </c>
      <c r="N1201" s="19">
        <f>IF(I1201="","",IFERROR(INDEX(ctaMon,MATCH(E1201,ctaNom,0))&amp;"","DOP"))</f>
        <v/>
      </c>
      <c r="O1201" s="20">
        <f>IF(I1201="","",C1201*IF(N1201="USD",TasaUSD,1))</f>
        <v/>
      </c>
      <c r="P1201" s="20">
        <f>IF(I1201="","",IF(I1201="Gasto",O1201,0))</f>
        <v/>
      </c>
      <c r="Q1201" s="20">
        <f>IF(I1201="","",IF(I1201="Ingreso",O1201,0))</f>
        <v/>
      </c>
      <c r="R1201" s="20">
        <f>IF(I1201="","",IF(I1201="Trading",O1201,0))</f>
        <v/>
      </c>
      <c r="S1201" s="19">
        <f>IF(I1201="","",IF(AND(I1201="Gasto",K1201="Variable",J1201&lt;&gt;"Trading",O1201&gt;0,O1201&lt;=Umbral),1,0))</f>
        <v/>
      </c>
      <c r="T1201" s="20">
        <f>IF(OR(I1201="",E1201=""),"",IF(OR(I1201="Gasto",I1201="Transferencia",I1201="Pago tarjeta"),-1,1)*C1201)</f>
        <v/>
      </c>
      <c r="U1201" s="20">
        <f>IF(OR(G1201="",AND(I1201&lt;&gt;"Transferencia",I1201&lt;&gt;"Pago tarjeta")),"",IF(IFERROR(INDEX(ctaMon,MATCH(G1201,ctaNom,0))&amp;"","DOP")=N1201,C1201,IF(N1201="USD",C1201*TasaUSD,C1201/TasaUSD)))</f>
        <v/>
      </c>
      <c r="V1201" s="20">
        <f>IF(I1201="","",IF(IFERROR(INDEX(ctaLiq,MATCH(E1201,ctaNom,0))="Sí",FALSE),IF(OR(I1201="Gasto",I1201="Transferencia",I1201="Pago tarjeta"),-1,1)*O1201,0)+IF(AND(U1201&lt;&gt;"",IFERROR(INDEX(ctaLiq,MATCH(G1201,ctaNom,0))="Sí",FALSE)),O1201,0))</f>
        <v/>
      </c>
      <c r="W1201" s="19">
        <f>IF(OR(F1201="",I1201=""),"",IF(COUNTIFS(F$6:F1201,F1201,I$6:I1201,"?*")=1,MAX(W$5:W1200)+1,""))</f>
        <v/>
      </c>
    </row>
    <row r="1202">
      <c r="B1202" s="15" t="n"/>
      <c r="C1202" s="16" t="n"/>
      <c r="D1202" s="17" t="n"/>
      <c r="E1202" s="17" t="n"/>
      <c r="F1202" s="17" t="n"/>
      <c r="G1202" s="17" t="n"/>
      <c r="H1202" s="18">
        <f>IF(AND(B1202="",C1202="",D1202="",E1202=""),"",IF(B1202="","⚠ Falta fecha",IF(C1202="","⚠ Falta monto",IF(D1202="","⚠ Falta categoría",IF(ISNA(MATCH(D1202,catNom,0)),"⚠ Categoría no existe",IF(E1202="","⚠ Falta cuenta",IF(ISNA(MATCH(E1202,ctaNom,0)),"⚠ Cuenta no existe",IF(AND(OR(I1202="Transferencia",I1202="Pago tarjeta"),G1202=""),"⚠ Indica la cuenta «Hacia»",IF(AND(G1202&lt;&gt;"",G1202=E1202),"⚠ «Hacia» igual a la cuenta",IF(AND(G1202&lt;&gt;"",ISNA(MATCH(G1202,ctaNom,0))),"⚠ «Hacia» no existe",IF(AND(I1202="Pago tarjeta",IFERROR(INDEX(ctaTipo,MATCH(G1202,ctaNom,0)),"")&lt;&gt;"Tarjeta de crédito"),"⚠ «Hacia» debe ser la tarjeta",IF(AND(I1202="Trading",IFERROR(INDEX(ctaTipo,MATCH(E1202,ctaNom,0)),"")&lt;&gt;"Cuenta de trading"),"⚠ Usa la cuenta de trading","✓"))))))))))))</f>
        <v/>
      </c>
      <c r="I1202" s="19">
        <f>IF(OR(B1202="",C1202="",D1202=""),"",IFERROR(INDEX(catTipo,MATCH(D1202,catNom,0))&amp;"",""))</f>
        <v/>
      </c>
      <c r="J1202" s="19">
        <f>IF(I1202="","",IFERROR(INDEX(catGrupo,MATCH(D1202,catNom,0))&amp;"",""))</f>
        <v/>
      </c>
      <c r="K1202" s="19">
        <f>IF(I1202="Gasto",IF(IFERROR(INDEX(catClas,MATCH(D1202,catNom,0))&amp;"","")="","Variable",IFERROR(INDEX(catClas,MATCH(D1202,catNom,0))&amp;"","")),"")</f>
        <v/>
      </c>
      <c r="L1202" s="19">
        <f>IF(I1202="","",IFERROR(INDEX(catAlim,MATCH(D1202,catNom,0))&amp;"",""))</f>
        <v/>
      </c>
      <c r="M1202" s="19">
        <f>IF(I1202="","",IFERROR(INDEX(catComida,MATCH(D1202,catNom,0))&amp;"",""))</f>
        <v/>
      </c>
      <c r="N1202" s="19">
        <f>IF(I1202="","",IFERROR(INDEX(ctaMon,MATCH(E1202,ctaNom,0))&amp;"","DOP"))</f>
        <v/>
      </c>
      <c r="O1202" s="20">
        <f>IF(I1202="","",C1202*IF(N1202="USD",TasaUSD,1))</f>
        <v/>
      </c>
      <c r="P1202" s="20">
        <f>IF(I1202="","",IF(I1202="Gasto",O1202,0))</f>
        <v/>
      </c>
      <c r="Q1202" s="20">
        <f>IF(I1202="","",IF(I1202="Ingreso",O1202,0))</f>
        <v/>
      </c>
      <c r="R1202" s="20">
        <f>IF(I1202="","",IF(I1202="Trading",O1202,0))</f>
        <v/>
      </c>
      <c r="S1202" s="19">
        <f>IF(I1202="","",IF(AND(I1202="Gasto",K1202="Variable",J1202&lt;&gt;"Trading",O1202&gt;0,O1202&lt;=Umbral),1,0))</f>
        <v/>
      </c>
      <c r="T1202" s="20">
        <f>IF(OR(I1202="",E1202=""),"",IF(OR(I1202="Gasto",I1202="Transferencia",I1202="Pago tarjeta"),-1,1)*C1202)</f>
        <v/>
      </c>
      <c r="U1202" s="20">
        <f>IF(OR(G1202="",AND(I1202&lt;&gt;"Transferencia",I1202&lt;&gt;"Pago tarjeta")),"",IF(IFERROR(INDEX(ctaMon,MATCH(G1202,ctaNom,0))&amp;"","DOP")=N1202,C1202,IF(N1202="USD",C1202*TasaUSD,C1202/TasaUSD)))</f>
        <v/>
      </c>
      <c r="V1202" s="20">
        <f>IF(I1202="","",IF(IFERROR(INDEX(ctaLiq,MATCH(E1202,ctaNom,0))="Sí",FALSE),IF(OR(I1202="Gasto",I1202="Transferencia",I1202="Pago tarjeta"),-1,1)*O1202,0)+IF(AND(U1202&lt;&gt;"",IFERROR(INDEX(ctaLiq,MATCH(G1202,ctaNom,0))="Sí",FALSE)),O1202,0))</f>
        <v/>
      </c>
      <c r="W1202" s="19">
        <f>IF(OR(F1202="",I1202=""),"",IF(COUNTIFS(F$6:F1202,F1202,I$6:I1202,"?*")=1,MAX(W$5:W1201)+1,""))</f>
        <v/>
      </c>
    </row>
    <row r="1203">
      <c r="B1203" s="15" t="n"/>
      <c r="C1203" s="16" t="n"/>
      <c r="D1203" s="17" t="n"/>
      <c r="E1203" s="17" t="n"/>
      <c r="F1203" s="17" t="n"/>
      <c r="G1203" s="17" t="n"/>
      <c r="H1203" s="18">
        <f>IF(AND(B1203="",C1203="",D1203="",E1203=""),"",IF(B1203="","⚠ Falta fecha",IF(C1203="","⚠ Falta monto",IF(D1203="","⚠ Falta categoría",IF(ISNA(MATCH(D1203,catNom,0)),"⚠ Categoría no existe",IF(E1203="","⚠ Falta cuenta",IF(ISNA(MATCH(E1203,ctaNom,0)),"⚠ Cuenta no existe",IF(AND(OR(I1203="Transferencia",I1203="Pago tarjeta"),G1203=""),"⚠ Indica la cuenta «Hacia»",IF(AND(G1203&lt;&gt;"",G1203=E1203),"⚠ «Hacia» igual a la cuenta",IF(AND(G1203&lt;&gt;"",ISNA(MATCH(G1203,ctaNom,0))),"⚠ «Hacia» no existe",IF(AND(I1203="Pago tarjeta",IFERROR(INDEX(ctaTipo,MATCH(G1203,ctaNom,0)),"")&lt;&gt;"Tarjeta de crédito"),"⚠ «Hacia» debe ser la tarjeta",IF(AND(I1203="Trading",IFERROR(INDEX(ctaTipo,MATCH(E1203,ctaNom,0)),"")&lt;&gt;"Cuenta de trading"),"⚠ Usa la cuenta de trading","✓"))))))))))))</f>
        <v/>
      </c>
      <c r="I1203" s="19">
        <f>IF(OR(B1203="",C1203="",D1203=""),"",IFERROR(INDEX(catTipo,MATCH(D1203,catNom,0))&amp;"",""))</f>
        <v/>
      </c>
      <c r="J1203" s="19">
        <f>IF(I1203="","",IFERROR(INDEX(catGrupo,MATCH(D1203,catNom,0))&amp;"",""))</f>
        <v/>
      </c>
      <c r="K1203" s="19">
        <f>IF(I1203="Gasto",IF(IFERROR(INDEX(catClas,MATCH(D1203,catNom,0))&amp;"","")="","Variable",IFERROR(INDEX(catClas,MATCH(D1203,catNom,0))&amp;"","")),"")</f>
        <v/>
      </c>
      <c r="L1203" s="19">
        <f>IF(I1203="","",IFERROR(INDEX(catAlim,MATCH(D1203,catNom,0))&amp;"",""))</f>
        <v/>
      </c>
      <c r="M1203" s="19">
        <f>IF(I1203="","",IFERROR(INDEX(catComida,MATCH(D1203,catNom,0))&amp;"",""))</f>
        <v/>
      </c>
      <c r="N1203" s="19">
        <f>IF(I1203="","",IFERROR(INDEX(ctaMon,MATCH(E1203,ctaNom,0))&amp;"","DOP"))</f>
        <v/>
      </c>
      <c r="O1203" s="20">
        <f>IF(I1203="","",C1203*IF(N1203="USD",TasaUSD,1))</f>
        <v/>
      </c>
      <c r="P1203" s="20">
        <f>IF(I1203="","",IF(I1203="Gasto",O1203,0))</f>
        <v/>
      </c>
      <c r="Q1203" s="20">
        <f>IF(I1203="","",IF(I1203="Ingreso",O1203,0))</f>
        <v/>
      </c>
      <c r="R1203" s="20">
        <f>IF(I1203="","",IF(I1203="Trading",O1203,0))</f>
        <v/>
      </c>
      <c r="S1203" s="19">
        <f>IF(I1203="","",IF(AND(I1203="Gasto",K1203="Variable",J1203&lt;&gt;"Trading",O1203&gt;0,O1203&lt;=Umbral),1,0))</f>
        <v/>
      </c>
      <c r="T1203" s="20">
        <f>IF(OR(I1203="",E1203=""),"",IF(OR(I1203="Gasto",I1203="Transferencia",I1203="Pago tarjeta"),-1,1)*C1203)</f>
        <v/>
      </c>
      <c r="U1203" s="20">
        <f>IF(OR(G1203="",AND(I1203&lt;&gt;"Transferencia",I1203&lt;&gt;"Pago tarjeta")),"",IF(IFERROR(INDEX(ctaMon,MATCH(G1203,ctaNom,0))&amp;"","DOP")=N1203,C1203,IF(N1203="USD",C1203*TasaUSD,C1203/TasaUSD)))</f>
        <v/>
      </c>
      <c r="V1203" s="20">
        <f>IF(I1203="","",IF(IFERROR(INDEX(ctaLiq,MATCH(E1203,ctaNom,0))="Sí",FALSE),IF(OR(I1203="Gasto",I1203="Transferencia",I1203="Pago tarjeta"),-1,1)*O1203,0)+IF(AND(U1203&lt;&gt;"",IFERROR(INDEX(ctaLiq,MATCH(G1203,ctaNom,0))="Sí",FALSE)),O1203,0))</f>
        <v/>
      </c>
      <c r="W1203" s="19">
        <f>IF(OR(F1203="",I1203=""),"",IF(COUNTIFS(F$6:F1203,F1203,I$6:I1203,"?*")=1,MAX(W$5:W1202)+1,""))</f>
        <v/>
      </c>
    </row>
    <row r="1204">
      <c r="B1204" s="15" t="n"/>
      <c r="C1204" s="16" t="n"/>
      <c r="D1204" s="17" t="n"/>
      <c r="E1204" s="17" t="n"/>
      <c r="F1204" s="17" t="n"/>
      <c r="G1204" s="17" t="n"/>
      <c r="H1204" s="18">
        <f>IF(AND(B1204="",C1204="",D1204="",E1204=""),"",IF(B1204="","⚠ Falta fecha",IF(C1204="","⚠ Falta monto",IF(D1204="","⚠ Falta categoría",IF(ISNA(MATCH(D1204,catNom,0)),"⚠ Categoría no existe",IF(E1204="","⚠ Falta cuenta",IF(ISNA(MATCH(E1204,ctaNom,0)),"⚠ Cuenta no existe",IF(AND(OR(I1204="Transferencia",I1204="Pago tarjeta"),G1204=""),"⚠ Indica la cuenta «Hacia»",IF(AND(G1204&lt;&gt;"",G1204=E1204),"⚠ «Hacia» igual a la cuenta",IF(AND(G1204&lt;&gt;"",ISNA(MATCH(G1204,ctaNom,0))),"⚠ «Hacia» no existe",IF(AND(I1204="Pago tarjeta",IFERROR(INDEX(ctaTipo,MATCH(G1204,ctaNom,0)),"")&lt;&gt;"Tarjeta de crédito"),"⚠ «Hacia» debe ser la tarjeta",IF(AND(I1204="Trading",IFERROR(INDEX(ctaTipo,MATCH(E1204,ctaNom,0)),"")&lt;&gt;"Cuenta de trading"),"⚠ Usa la cuenta de trading","✓"))))))))))))</f>
        <v/>
      </c>
      <c r="I1204" s="19">
        <f>IF(OR(B1204="",C1204="",D1204=""),"",IFERROR(INDEX(catTipo,MATCH(D1204,catNom,0))&amp;"",""))</f>
        <v/>
      </c>
      <c r="J1204" s="19">
        <f>IF(I1204="","",IFERROR(INDEX(catGrupo,MATCH(D1204,catNom,0))&amp;"",""))</f>
        <v/>
      </c>
      <c r="K1204" s="19">
        <f>IF(I1204="Gasto",IF(IFERROR(INDEX(catClas,MATCH(D1204,catNom,0))&amp;"","")="","Variable",IFERROR(INDEX(catClas,MATCH(D1204,catNom,0))&amp;"","")),"")</f>
        <v/>
      </c>
      <c r="L1204" s="19">
        <f>IF(I1204="","",IFERROR(INDEX(catAlim,MATCH(D1204,catNom,0))&amp;"",""))</f>
        <v/>
      </c>
      <c r="M1204" s="19">
        <f>IF(I1204="","",IFERROR(INDEX(catComida,MATCH(D1204,catNom,0))&amp;"",""))</f>
        <v/>
      </c>
      <c r="N1204" s="19">
        <f>IF(I1204="","",IFERROR(INDEX(ctaMon,MATCH(E1204,ctaNom,0))&amp;"","DOP"))</f>
        <v/>
      </c>
      <c r="O1204" s="20">
        <f>IF(I1204="","",C1204*IF(N1204="USD",TasaUSD,1))</f>
        <v/>
      </c>
      <c r="P1204" s="20">
        <f>IF(I1204="","",IF(I1204="Gasto",O1204,0))</f>
        <v/>
      </c>
      <c r="Q1204" s="20">
        <f>IF(I1204="","",IF(I1204="Ingreso",O1204,0))</f>
        <v/>
      </c>
      <c r="R1204" s="20">
        <f>IF(I1204="","",IF(I1204="Trading",O1204,0))</f>
        <v/>
      </c>
      <c r="S1204" s="19">
        <f>IF(I1204="","",IF(AND(I1204="Gasto",K1204="Variable",J1204&lt;&gt;"Trading",O1204&gt;0,O1204&lt;=Umbral),1,0))</f>
        <v/>
      </c>
      <c r="T1204" s="20">
        <f>IF(OR(I1204="",E1204=""),"",IF(OR(I1204="Gasto",I1204="Transferencia",I1204="Pago tarjeta"),-1,1)*C1204)</f>
        <v/>
      </c>
      <c r="U1204" s="20">
        <f>IF(OR(G1204="",AND(I1204&lt;&gt;"Transferencia",I1204&lt;&gt;"Pago tarjeta")),"",IF(IFERROR(INDEX(ctaMon,MATCH(G1204,ctaNom,0))&amp;"","DOP")=N1204,C1204,IF(N1204="USD",C1204*TasaUSD,C1204/TasaUSD)))</f>
        <v/>
      </c>
      <c r="V1204" s="20">
        <f>IF(I1204="","",IF(IFERROR(INDEX(ctaLiq,MATCH(E1204,ctaNom,0))="Sí",FALSE),IF(OR(I1204="Gasto",I1204="Transferencia",I1204="Pago tarjeta"),-1,1)*O1204,0)+IF(AND(U1204&lt;&gt;"",IFERROR(INDEX(ctaLiq,MATCH(G1204,ctaNom,0))="Sí",FALSE)),O1204,0))</f>
        <v/>
      </c>
      <c r="W1204" s="19">
        <f>IF(OR(F1204="",I1204=""),"",IF(COUNTIFS(F$6:F1204,F1204,I$6:I1204,"?*")=1,MAX(W$5:W1203)+1,""))</f>
        <v/>
      </c>
    </row>
    <row r="1205">
      <c r="B1205" s="15" t="n"/>
      <c r="C1205" s="16" t="n"/>
      <c r="D1205" s="17" t="n"/>
      <c r="E1205" s="17" t="n"/>
      <c r="F1205" s="17" t="n"/>
      <c r="G1205" s="17" t="n"/>
      <c r="H1205" s="18">
        <f>IF(AND(B1205="",C1205="",D1205="",E1205=""),"",IF(B1205="","⚠ Falta fecha",IF(C1205="","⚠ Falta monto",IF(D1205="","⚠ Falta categoría",IF(ISNA(MATCH(D1205,catNom,0)),"⚠ Categoría no existe",IF(E1205="","⚠ Falta cuenta",IF(ISNA(MATCH(E1205,ctaNom,0)),"⚠ Cuenta no existe",IF(AND(OR(I1205="Transferencia",I1205="Pago tarjeta"),G1205=""),"⚠ Indica la cuenta «Hacia»",IF(AND(G1205&lt;&gt;"",G1205=E1205),"⚠ «Hacia» igual a la cuenta",IF(AND(G1205&lt;&gt;"",ISNA(MATCH(G1205,ctaNom,0))),"⚠ «Hacia» no existe",IF(AND(I1205="Pago tarjeta",IFERROR(INDEX(ctaTipo,MATCH(G1205,ctaNom,0)),"")&lt;&gt;"Tarjeta de crédito"),"⚠ «Hacia» debe ser la tarjeta",IF(AND(I1205="Trading",IFERROR(INDEX(ctaTipo,MATCH(E1205,ctaNom,0)),"")&lt;&gt;"Cuenta de trading"),"⚠ Usa la cuenta de trading","✓"))))))))))))</f>
        <v/>
      </c>
      <c r="I1205" s="19">
        <f>IF(OR(B1205="",C1205="",D1205=""),"",IFERROR(INDEX(catTipo,MATCH(D1205,catNom,0))&amp;"",""))</f>
        <v/>
      </c>
      <c r="J1205" s="19">
        <f>IF(I1205="","",IFERROR(INDEX(catGrupo,MATCH(D1205,catNom,0))&amp;"",""))</f>
        <v/>
      </c>
      <c r="K1205" s="19">
        <f>IF(I1205="Gasto",IF(IFERROR(INDEX(catClas,MATCH(D1205,catNom,0))&amp;"","")="","Variable",IFERROR(INDEX(catClas,MATCH(D1205,catNom,0))&amp;"","")),"")</f>
        <v/>
      </c>
      <c r="L1205" s="19">
        <f>IF(I1205="","",IFERROR(INDEX(catAlim,MATCH(D1205,catNom,0))&amp;"",""))</f>
        <v/>
      </c>
      <c r="M1205" s="19">
        <f>IF(I1205="","",IFERROR(INDEX(catComida,MATCH(D1205,catNom,0))&amp;"",""))</f>
        <v/>
      </c>
      <c r="N1205" s="19">
        <f>IF(I1205="","",IFERROR(INDEX(ctaMon,MATCH(E1205,ctaNom,0))&amp;"","DOP"))</f>
        <v/>
      </c>
      <c r="O1205" s="20">
        <f>IF(I1205="","",C1205*IF(N1205="USD",TasaUSD,1))</f>
        <v/>
      </c>
      <c r="P1205" s="20">
        <f>IF(I1205="","",IF(I1205="Gasto",O1205,0))</f>
        <v/>
      </c>
      <c r="Q1205" s="20">
        <f>IF(I1205="","",IF(I1205="Ingreso",O1205,0))</f>
        <v/>
      </c>
      <c r="R1205" s="20">
        <f>IF(I1205="","",IF(I1205="Trading",O1205,0))</f>
        <v/>
      </c>
      <c r="S1205" s="19">
        <f>IF(I1205="","",IF(AND(I1205="Gasto",K1205="Variable",J1205&lt;&gt;"Trading",O1205&gt;0,O1205&lt;=Umbral),1,0))</f>
        <v/>
      </c>
      <c r="T1205" s="20">
        <f>IF(OR(I1205="",E1205=""),"",IF(OR(I1205="Gasto",I1205="Transferencia",I1205="Pago tarjeta"),-1,1)*C1205)</f>
        <v/>
      </c>
      <c r="U1205" s="20">
        <f>IF(OR(G1205="",AND(I1205&lt;&gt;"Transferencia",I1205&lt;&gt;"Pago tarjeta")),"",IF(IFERROR(INDEX(ctaMon,MATCH(G1205,ctaNom,0))&amp;"","DOP")=N1205,C1205,IF(N1205="USD",C1205*TasaUSD,C1205/TasaUSD)))</f>
        <v/>
      </c>
      <c r="V1205" s="20">
        <f>IF(I1205="","",IF(IFERROR(INDEX(ctaLiq,MATCH(E1205,ctaNom,0))="Sí",FALSE),IF(OR(I1205="Gasto",I1205="Transferencia",I1205="Pago tarjeta"),-1,1)*O1205,0)+IF(AND(U1205&lt;&gt;"",IFERROR(INDEX(ctaLiq,MATCH(G1205,ctaNom,0))="Sí",FALSE)),O1205,0))</f>
        <v/>
      </c>
      <c r="W1205" s="19">
        <f>IF(OR(F1205="",I1205=""),"",IF(COUNTIFS(F$6:F1205,F1205,I$6:I1205,"?*")=1,MAX(W$5:W1204)+1,""))</f>
        <v/>
      </c>
    </row>
    <row r="1206">
      <c r="B1206" s="15" t="n"/>
      <c r="C1206" s="16" t="n"/>
      <c r="D1206" s="17" t="n"/>
      <c r="E1206" s="17" t="n"/>
      <c r="F1206" s="17" t="n"/>
      <c r="G1206" s="17" t="n"/>
      <c r="H1206" s="18">
        <f>IF(AND(B1206="",C1206="",D1206="",E1206=""),"",IF(B1206="","⚠ Falta fecha",IF(C1206="","⚠ Falta monto",IF(D1206="","⚠ Falta categoría",IF(ISNA(MATCH(D1206,catNom,0)),"⚠ Categoría no existe",IF(E1206="","⚠ Falta cuenta",IF(ISNA(MATCH(E1206,ctaNom,0)),"⚠ Cuenta no existe",IF(AND(OR(I1206="Transferencia",I1206="Pago tarjeta"),G1206=""),"⚠ Indica la cuenta «Hacia»",IF(AND(G1206&lt;&gt;"",G1206=E1206),"⚠ «Hacia» igual a la cuenta",IF(AND(G1206&lt;&gt;"",ISNA(MATCH(G1206,ctaNom,0))),"⚠ «Hacia» no existe",IF(AND(I1206="Pago tarjeta",IFERROR(INDEX(ctaTipo,MATCH(G1206,ctaNom,0)),"")&lt;&gt;"Tarjeta de crédito"),"⚠ «Hacia» debe ser la tarjeta",IF(AND(I1206="Trading",IFERROR(INDEX(ctaTipo,MATCH(E1206,ctaNom,0)),"")&lt;&gt;"Cuenta de trading"),"⚠ Usa la cuenta de trading","✓"))))))))))))</f>
        <v/>
      </c>
      <c r="I1206" s="19">
        <f>IF(OR(B1206="",C1206="",D1206=""),"",IFERROR(INDEX(catTipo,MATCH(D1206,catNom,0))&amp;"",""))</f>
        <v/>
      </c>
      <c r="J1206" s="19">
        <f>IF(I1206="","",IFERROR(INDEX(catGrupo,MATCH(D1206,catNom,0))&amp;"",""))</f>
        <v/>
      </c>
      <c r="K1206" s="19">
        <f>IF(I1206="Gasto",IF(IFERROR(INDEX(catClas,MATCH(D1206,catNom,0))&amp;"","")="","Variable",IFERROR(INDEX(catClas,MATCH(D1206,catNom,0))&amp;"","")),"")</f>
        <v/>
      </c>
      <c r="L1206" s="19">
        <f>IF(I1206="","",IFERROR(INDEX(catAlim,MATCH(D1206,catNom,0))&amp;"",""))</f>
        <v/>
      </c>
      <c r="M1206" s="19">
        <f>IF(I1206="","",IFERROR(INDEX(catComida,MATCH(D1206,catNom,0))&amp;"",""))</f>
        <v/>
      </c>
      <c r="N1206" s="19">
        <f>IF(I1206="","",IFERROR(INDEX(ctaMon,MATCH(E1206,ctaNom,0))&amp;"","DOP"))</f>
        <v/>
      </c>
      <c r="O1206" s="20">
        <f>IF(I1206="","",C1206*IF(N1206="USD",TasaUSD,1))</f>
        <v/>
      </c>
      <c r="P1206" s="20">
        <f>IF(I1206="","",IF(I1206="Gasto",O1206,0))</f>
        <v/>
      </c>
      <c r="Q1206" s="20">
        <f>IF(I1206="","",IF(I1206="Ingreso",O1206,0))</f>
        <v/>
      </c>
      <c r="R1206" s="20">
        <f>IF(I1206="","",IF(I1206="Trading",O1206,0))</f>
        <v/>
      </c>
      <c r="S1206" s="19">
        <f>IF(I1206="","",IF(AND(I1206="Gasto",K1206="Variable",J1206&lt;&gt;"Trading",O1206&gt;0,O1206&lt;=Umbral),1,0))</f>
        <v/>
      </c>
      <c r="T1206" s="20">
        <f>IF(OR(I1206="",E1206=""),"",IF(OR(I1206="Gasto",I1206="Transferencia",I1206="Pago tarjeta"),-1,1)*C1206)</f>
        <v/>
      </c>
      <c r="U1206" s="20">
        <f>IF(OR(G1206="",AND(I1206&lt;&gt;"Transferencia",I1206&lt;&gt;"Pago tarjeta")),"",IF(IFERROR(INDEX(ctaMon,MATCH(G1206,ctaNom,0))&amp;"","DOP")=N1206,C1206,IF(N1206="USD",C1206*TasaUSD,C1206/TasaUSD)))</f>
        <v/>
      </c>
      <c r="V1206" s="20">
        <f>IF(I1206="","",IF(IFERROR(INDEX(ctaLiq,MATCH(E1206,ctaNom,0))="Sí",FALSE),IF(OR(I1206="Gasto",I1206="Transferencia",I1206="Pago tarjeta"),-1,1)*O1206,0)+IF(AND(U1206&lt;&gt;"",IFERROR(INDEX(ctaLiq,MATCH(G1206,ctaNom,0))="Sí",FALSE)),O1206,0))</f>
        <v/>
      </c>
      <c r="W1206" s="19">
        <f>IF(OR(F1206="",I1206=""),"",IF(COUNTIFS(F$6:F1206,F1206,I$6:I1206,"?*")=1,MAX(W$5:W1205)+1,""))</f>
        <v/>
      </c>
    </row>
    <row r="1207">
      <c r="B1207" s="15" t="n"/>
      <c r="C1207" s="16" t="n"/>
      <c r="D1207" s="17" t="n"/>
      <c r="E1207" s="17" t="n"/>
      <c r="F1207" s="17" t="n"/>
      <c r="G1207" s="17" t="n"/>
      <c r="H1207" s="18">
        <f>IF(AND(B1207="",C1207="",D1207="",E1207=""),"",IF(B1207="","⚠ Falta fecha",IF(C1207="","⚠ Falta monto",IF(D1207="","⚠ Falta categoría",IF(ISNA(MATCH(D1207,catNom,0)),"⚠ Categoría no existe",IF(E1207="","⚠ Falta cuenta",IF(ISNA(MATCH(E1207,ctaNom,0)),"⚠ Cuenta no existe",IF(AND(OR(I1207="Transferencia",I1207="Pago tarjeta"),G1207=""),"⚠ Indica la cuenta «Hacia»",IF(AND(G1207&lt;&gt;"",G1207=E1207),"⚠ «Hacia» igual a la cuenta",IF(AND(G1207&lt;&gt;"",ISNA(MATCH(G1207,ctaNom,0))),"⚠ «Hacia» no existe",IF(AND(I1207="Pago tarjeta",IFERROR(INDEX(ctaTipo,MATCH(G1207,ctaNom,0)),"")&lt;&gt;"Tarjeta de crédito"),"⚠ «Hacia» debe ser la tarjeta",IF(AND(I1207="Trading",IFERROR(INDEX(ctaTipo,MATCH(E1207,ctaNom,0)),"")&lt;&gt;"Cuenta de trading"),"⚠ Usa la cuenta de trading","✓"))))))))))))</f>
        <v/>
      </c>
      <c r="I1207" s="19">
        <f>IF(OR(B1207="",C1207="",D1207=""),"",IFERROR(INDEX(catTipo,MATCH(D1207,catNom,0))&amp;"",""))</f>
        <v/>
      </c>
      <c r="J1207" s="19">
        <f>IF(I1207="","",IFERROR(INDEX(catGrupo,MATCH(D1207,catNom,0))&amp;"",""))</f>
        <v/>
      </c>
      <c r="K1207" s="19">
        <f>IF(I1207="Gasto",IF(IFERROR(INDEX(catClas,MATCH(D1207,catNom,0))&amp;"","")="","Variable",IFERROR(INDEX(catClas,MATCH(D1207,catNom,0))&amp;"","")),"")</f>
        <v/>
      </c>
      <c r="L1207" s="19">
        <f>IF(I1207="","",IFERROR(INDEX(catAlim,MATCH(D1207,catNom,0))&amp;"",""))</f>
        <v/>
      </c>
      <c r="M1207" s="19">
        <f>IF(I1207="","",IFERROR(INDEX(catComida,MATCH(D1207,catNom,0))&amp;"",""))</f>
        <v/>
      </c>
      <c r="N1207" s="19">
        <f>IF(I1207="","",IFERROR(INDEX(ctaMon,MATCH(E1207,ctaNom,0))&amp;"","DOP"))</f>
        <v/>
      </c>
      <c r="O1207" s="20">
        <f>IF(I1207="","",C1207*IF(N1207="USD",TasaUSD,1))</f>
        <v/>
      </c>
      <c r="P1207" s="20">
        <f>IF(I1207="","",IF(I1207="Gasto",O1207,0))</f>
        <v/>
      </c>
      <c r="Q1207" s="20">
        <f>IF(I1207="","",IF(I1207="Ingreso",O1207,0))</f>
        <v/>
      </c>
      <c r="R1207" s="20">
        <f>IF(I1207="","",IF(I1207="Trading",O1207,0))</f>
        <v/>
      </c>
      <c r="S1207" s="19">
        <f>IF(I1207="","",IF(AND(I1207="Gasto",K1207="Variable",J1207&lt;&gt;"Trading",O1207&gt;0,O1207&lt;=Umbral),1,0))</f>
        <v/>
      </c>
      <c r="T1207" s="20">
        <f>IF(OR(I1207="",E1207=""),"",IF(OR(I1207="Gasto",I1207="Transferencia",I1207="Pago tarjeta"),-1,1)*C1207)</f>
        <v/>
      </c>
      <c r="U1207" s="20">
        <f>IF(OR(G1207="",AND(I1207&lt;&gt;"Transferencia",I1207&lt;&gt;"Pago tarjeta")),"",IF(IFERROR(INDEX(ctaMon,MATCH(G1207,ctaNom,0))&amp;"","DOP")=N1207,C1207,IF(N1207="USD",C1207*TasaUSD,C1207/TasaUSD)))</f>
        <v/>
      </c>
      <c r="V1207" s="20">
        <f>IF(I1207="","",IF(IFERROR(INDEX(ctaLiq,MATCH(E1207,ctaNom,0))="Sí",FALSE),IF(OR(I1207="Gasto",I1207="Transferencia",I1207="Pago tarjeta"),-1,1)*O1207,0)+IF(AND(U1207&lt;&gt;"",IFERROR(INDEX(ctaLiq,MATCH(G1207,ctaNom,0))="Sí",FALSE)),O1207,0))</f>
        <v/>
      </c>
      <c r="W1207" s="19">
        <f>IF(OR(F1207="",I1207=""),"",IF(COUNTIFS(F$6:F1207,F1207,I$6:I1207,"?*")=1,MAX(W$5:W1206)+1,""))</f>
        <v/>
      </c>
    </row>
    <row r="1208">
      <c r="B1208" s="15" t="n"/>
      <c r="C1208" s="16" t="n"/>
      <c r="D1208" s="17" t="n"/>
      <c r="E1208" s="17" t="n"/>
      <c r="F1208" s="17" t="n"/>
      <c r="G1208" s="17" t="n"/>
      <c r="H1208" s="18">
        <f>IF(AND(B1208="",C1208="",D1208="",E1208=""),"",IF(B1208="","⚠ Falta fecha",IF(C1208="","⚠ Falta monto",IF(D1208="","⚠ Falta categoría",IF(ISNA(MATCH(D1208,catNom,0)),"⚠ Categoría no existe",IF(E1208="","⚠ Falta cuenta",IF(ISNA(MATCH(E1208,ctaNom,0)),"⚠ Cuenta no existe",IF(AND(OR(I1208="Transferencia",I1208="Pago tarjeta"),G1208=""),"⚠ Indica la cuenta «Hacia»",IF(AND(G1208&lt;&gt;"",G1208=E1208),"⚠ «Hacia» igual a la cuenta",IF(AND(G1208&lt;&gt;"",ISNA(MATCH(G1208,ctaNom,0))),"⚠ «Hacia» no existe",IF(AND(I1208="Pago tarjeta",IFERROR(INDEX(ctaTipo,MATCH(G1208,ctaNom,0)),"")&lt;&gt;"Tarjeta de crédito"),"⚠ «Hacia» debe ser la tarjeta",IF(AND(I1208="Trading",IFERROR(INDEX(ctaTipo,MATCH(E1208,ctaNom,0)),"")&lt;&gt;"Cuenta de trading"),"⚠ Usa la cuenta de trading","✓"))))))))))))</f>
        <v/>
      </c>
      <c r="I1208" s="19">
        <f>IF(OR(B1208="",C1208="",D1208=""),"",IFERROR(INDEX(catTipo,MATCH(D1208,catNom,0))&amp;"",""))</f>
        <v/>
      </c>
      <c r="J1208" s="19">
        <f>IF(I1208="","",IFERROR(INDEX(catGrupo,MATCH(D1208,catNom,0))&amp;"",""))</f>
        <v/>
      </c>
      <c r="K1208" s="19">
        <f>IF(I1208="Gasto",IF(IFERROR(INDEX(catClas,MATCH(D1208,catNom,0))&amp;"","")="","Variable",IFERROR(INDEX(catClas,MATCH(D1208,catNom,0))&amp;"","")),"")</f>
        <v/>
      </c>
      <c r="L1208" s="19">
        <f>IF(I1208="","",IFERROR(INDEX(catAlim,MATCH(D1208,catNom,0))&amp;"",""))</f>
        <v/>
      </c>
      <c r="M1208" s="19">
        <f>IF(I1208="","",IFERROR(INDEX(catComida,MATCH(D1208,catNom,0))&amp;"",""))</f>
        <v/>
      </c>
      <c r="N1208" s="19">
        <f>IF(I1208="","",IFERROR(INDEX(ctaMon,MATCH(E1208,ctaNom,0))&amp;"","DOP"))</f>
        <v/>
      </c>
      <c r="O1208" s="20">
        <f>IF(I1208="","",C1208*IF(N1208="USD",TasaUSD,1))</f>
        <v/>
      </c>
      <c r="P1208" s="20">
        <f>IF(I1208="","",IF(I1208="Gasto",O1208,0))</f>
        <v/>
      </c>
      <c r="Q1208" s="20">
        <f>IF(I1208="","",IF(I1208="Ingreso",O1208,0))</f>
        <v/>
      </c>
      <c r="R1208" s="20">
        <f>IF(I1208="","",IF(I1208="Trading",O1208,0))</f>
        <v/>
      </c>
      <c r="S1208" s="19">
        <f>IF(I1208="","",IF(AND(I1208="Gasto",K1208="Variable",J1208&lt;&gt;"Trading",O1208&gt;0,O1208&lt;=Umbral),1,0))</f>
        <v/>
      </c>
      <c r="T1208" s="20">
        <f>IF(OR(I1208="",E1208=""),"",IF(OR(I1208="Gasto",I1208="Transferencia",I1208="Pago tarjeta"),-1,1)*C1208)</f>
        <v/>
      </c>
      <c r="U1208" s="20">
        <f>IF(OR(G1208="",AND(I1208&lt;&gt;"Transferencia",I1208&lt;&gt;"Pago tarjeta")),"",IF(IFERROR(INDEX(ctaMon,MATCH(G1208,ctaNom,0))&amp;"","DOP")=N1208,C1208,IF(N1208="USD",C1208*TasaUSD,C1208/TasaUSD)))</f>
        <v/>
      </c>
      <c r="V1208" s="20">
        <f>IF(I1208="","",IF(IFERROR(INDEX(ctaLiq,MATCH(E1208,ctaNom,0))="Sí",FALSE),IF(OR(I1208="Gasto",I1208="Transferencia",I1208="Pago tarjeta"),-1,1)*O1208,0)+IF(AND(U1208&lt;&gt;"",IFERROR(INDEX(ctaLiq,MATCH(G1208,ctaNom,0))="Sí",FALSE)),O1208,0))</f>
        <v/>
      </c>
      <c r="W1208" s="19">
        <f>IF(OR(F1208="",I1208=""),"",IF(COUNTIFS(F$6:F1208,F1208,I$6:I1208,"?*")=1,MAX(W$5:W1207)+1,""))</f>
        <v/>
      </c>
    </row>
    <row r="1209">
      <c r="B1209" s="15" t="n"/>
      <c r="C1209" s="16" t="n"/>
      <c r="D1209" s="17" t="n"/>
      <c r="E1209" s="17" t="n"/>
      <c r="F1209" s="17" t="n"/>
      <c r="G1209" s="17" t="n"/>
      <c r="H1209" s="18">
        <f>IF(AND(B1209="",C1209="",D1209="",E1209=""),"",IF(B1209="","⚠ Falta fecha",IF(C1209="","⚠ Falta monto",IF(D1209="","⚠ Falta categoría",IF(ISNA(MATCH(D1209,catNom,0)),"⚠ Categoría no existe",IF(E1209="","⚠ Falta cuenta",IF(ISNA(MATCH(E1209,ctaNom,0)),"⚠ Cuenta no existe",IF(AND(OR(I1209="Transferencia",I1209="Pago tarjeta"),G1209=""),"⚠ Indica la cuenta «Hacia»",IF(AND(G1209&lt;&gt;"",G1209=E1209),"⚠ «Hacia» igual a la cuenta",IF(AND(G1209&lt;&gt;"",ISNA(MATCH(G1209,ctaNom,0))),"⚠ «Hacia» no existe",IF(AND(I1209="Pago tarjeta",IFERROR(INDEX(ctaTipo,MATCH(G1209,ctaNom,0)),"")&lt;&gt;"Tarjeta de crédito"),"⚠ «Hacia» debe ser la tarjeta",IF(AND(I1209="Trading",IFERROR(INDEX(ctaTipo,MATCH(E1209,ctaNom,0)),"")&lt;&gt;"Cuenta de trading"),"⚠ Usa la cuenta de trading","✓"))))))))))))</f>
        <v/>
      </c>
      <c r="I1209" s="19">
        <f>IF(OR(B1209="",C1209="",D1209=""),"",IFERROR(INDEX(catTipo,MATCH(D1209,catNom,0))&amp;"",""))</f>
        <v/>
      </c>
      <c r="J1209" s="19">
        <f>IF(I1209="","",IFERROR(INDEX(catGrupo,MATCH(D1209,catNom,0))&amp;"",""))</f>
        <v/>
      </c>
      <c r="K1209" s="19">
        <f>IF(I1209="Gasto",IF(IFERROR(INDEX(catClas,MATCH(D1209,catNom,0))&amp;"","")="","Variable",IFERROR(INDEX(catClas,MATCH(D1209,catNom,0))&amp;"","")),"")</f>
        <v/>
      </c>
      <c r="L1209" s="19">
        <f>IF(I1209="","",IFERROR(INDEX(catAlim,MATCH(D1209,catNom,0))&amp;"",""))</f>
        <v/>
      </c>
      <c r="M1209" s="19">
        <f>IF(I1209="","",IFERROR(INDEX(catComida,MATCH(D1209,catNom,0))&amp;"",""))</f>
        <v/>
      </c>
      <c r="N1209" s="19">
        <f>IF(I1209="","",IFERROR(INDEX(ctaMon,MATCH(E1209,ctaNom,0))&amp;"","DOP"))</f>
        <v/>
      </c>
      <c r="O1209" s="20">
        <f>IF(I1209="","",C1209*IF(N1209="USD",TasaUSD,1))</f>
        <v/>
      </c>
      <c r="P1209" s="20">
        <f>IF(I1209="","",IF(I1209="Gasto",O1209,0))</f>
        <v/>
      </c>
      <c r="Q1209" s="20">
        <f>IF(I1209="","",IF(I1209="Ingreso",O1209,0))</f>
        <v/>
      </c>
      <c r="R1209" s="20">
        <f>IF(I1209="","",IF(I1209="Trading",O1209,0))</f>
        <v/>
      </c>
      <c r="S1209" s="19">
        <f>IF(I1209="","",IF(AND(I1209="Gasto",K1209="Variable",J1209&lt;&gt;"Trading",O1209&gt;0,O1209&lt;=Umbral),1,0))</f>
        <v/>
      </c>
      <c r="T1209" s="20">
        <f>IF(OR(I1209="",E1209=""),"",IF(OR(I1209="Gasto",I1209="Transferencia",I1209="Pago tarjeta"),-1,1)*C1209)</f>
        <v/>
      </c>
      <c r="U1209" s="20">
        <f>IF(OR(G1209="",AND(I1209&lt;&gt;"Transferencia",I1209&lt;&gt;"Pago tarjeta")),"",IF(IFERROR(INDEX(ctaMon,MATCH(G1209,ctaNom,0))&amp;"","DOP")=N1209,C1209,IF(N1209="USD",C1209*TasaUSD,C1209/TasaUSD)))</f>
        <v/>
      </c>
      <c r="V1209" s="20">
        <f>IF(I1209="","",IF(IFERROR(INDEX(ctaLiq,MATCH(E1209,ctaNom,0))="Sí",FALSE),IF(OR(I1209="Gasto",I1209="Transferencia",I1209="Pago tarjeta"),-1,1)*O1209,0)+IF(AND(U1209&lt;&gt;"",IFERROR(INDEX(ctaLiq,MATCH(G1209,ctaNom,0))="Sí",FALSE)),O1209,0))</f>
        <v/>
      </c>
      <c r="W1209" s="19">
        <f>IF(OR(F1209="",I1209=""),"",IF(COUNTIFS(F$6:F1209,F1209,I$6:I1209,"?*")=1,MAX(W$5:W1208)+1,""))</f>
        <v/>
      </c>
    </row>
    <row r="1210">
      <c r="B1210" s="15" t="n"/>
      <c r="C1210" s="16" t="n"/>
      <c r="D1210" s="17" t="n"/>
      <c r="E1210" s="17" t="n"/>
      <c r="F1210" s="17" t="n"/>
      <c r="G1210" s="17" t="n"/>
      <c r="H1210" s="18">
        <f>IF(AND(B1210="",C1210="",D1210="",E1210=""),"",IF(B1210="","⚠ Falta fecha",IF(C1210="","⚠ Falta monto",IF(D1210="","⚠ Falta categoría",IF(ISNA(MATCH(D1210,catNom,0)),"⚠ Categoría no existe",IF(E1210="","⚠ Falta cuenta",IF(ISNA(MATCH(E1210,ctaNom,0)),"⚠ Cuenta no existe",IF(AND(OR(I1210="Transferencia",I1210="Pago tarjeta"),G1210=""),"⚠ Indica la cuenta «Hacia»",IF(AND(G1210&lt;&gt;"",G1210=E1210),"⚠ «Hacia» igual a la cuenta",IF(AND(G1210&lt;&gt;"",ISNA(MATCH(G1210,ctaNom,0))),"⚠ «Hacia» no existe",IF(AND(I1210="Pago tarjeta",IFERROR(INDEX(ctaTipo,MATCH(G1210,ctaNom,0)),"")&lt;&gt;"Tarjeta de crédito"),"⚠ «Hacia» debe ser la tarjeta",IF(AND(I1210="Trading",IFERROR(INDEX(ctaTipo,MATCH(E1210,ctaNom,0)),"")&lt;&gt;"Cuenta de trading"),"⚠ Usa la cuenta de trading","✓"))))))))))))</f>
        <v/>
      </c>
      <c r="I1210" s="19">
        <f>IF(OR(B1210="",C1210="",D1210=""),"",IFERROR(INDEX(catTipo,MATCH(D1210,catNom,0))&amp;"",""))</f>
        <v/>
      </c>
      <c r="J1210" s="19">
        <f>IF(I1210="","",IFERROR(INDEX(catGrupo,MATCH(D1210,catNom,0))&amp;"",""))</f>
        <v/>
      </c>
      <c r="K1210" s="19">
        <f>IF(I1210="Gasto",IF(IFERROR(INDEX(catClas,MATCH(D1210,catNom,0))&amp;"","")="","Variable",IFERROR(INDEX(catClas,MATCH(D1210,catNom,0))&amp;"","")),"")</f>
        <v/>
      </c>
      <c r="L1210" s="19">
        <f>IF(I1210="","",IFERROR(INDEX(catAlim,MATCH(D1210,catNom,0))&amp;"",""))</f>
        <v/>
      </c>
      <c r="M1210" s="19">
        <f>IF(I1210="","",IFERROR(INDEX(catComida,MATCH(D1210,catNom,0))&amp;"",""))</f>
        <v/>
      </c>
      <c r="N1210" s="19">
        <f>IF(I1210="","",IFERROR(INDEX(ctaMon,MATCH(E1210,ctaNom,0))&amp;"","DOP"))</f>
        <v/>
      </c>
      <c r="O1210" s="20">
        <f>IF(I1210="","",C1210*IF(N1210="USD",TasaUSD,1))</f>
        <v/>
      </c>
      <c r="P1210" s="20">
        <f>IF(I1210="","",IF(I1210="Gasto",O1210,0))</f>
        <v/>
      </c>
      <c r="Q1210" s="20">
        <f>IF(I1210="","",IF(I1210="Ingreso",O1210,0))</f>
        <v/>
      </c>
      <c r="R1210" s="20">
        <f>IF(I1210="","",IF(I1210="Trading",O1210,0))</f>
        <v/>
      </c>
      <c r="S1210" s="19">
        <f>IF(I1210="","",IF(AND(I1210="Gasto",K1210="Variable",J1210&lt;&gt;"Trading",O1210&gt;0,O1210&lt;=Umbral),1,0))</f>
        <v/>
      </c>
      <c r="T1210" s="20">
        <f>IF(OR(I1210="",E1210=""),"",IF(OR(I1210="Gasto",I1210="Transferencia",I1210="Pago tarjeta"),-1,1)*C1210)</f>
        <v/>
      </c>
      <c r="U1210" s="20">
        <f>IF(OR(G1210="",AND(I1210&lt;&gt;"Transferencia",I1210&lt;&gt;"Pago tarjeta")),"",IF(IFERROR(INDEX(ctaMon,MATCH(G1210,ctaNom,0))&amp;"","DOP")=N1210,C1210,IF(N1210="USD",C1210*TasaUSD,C1210/TasaUSD)))</f>
        <v/>
      </c>
      <c r="V1210" s="20">
        <f>IF(I1210="","",IF(IFERROR(INDEX(ctaLiq,MATCH(E1210,ctaNom,0))="Sí",FALSE),IF(OR(I1210="Gasto",I1210="Transferencia",I1210="Pago tarjeta"),-1,1)*O1210,0)+IF(AND(U1210&lt;&gt;"",IFERROR(INDEX(ctaLiq,MATCH(G1210,ctaNom,0))="Sí",FALSE)),O1210,0))</f>
        <v/>
      </c>
      <c r="W1210" s="19">
        <f>IF(OR(F1210="",I1210=""),"",IF(COUNTIFS(F$6:F1210,F1210,I$6:I1210,"?*")=1,MAX(W$5:W1209)+1,""))</f>
        <v/>
      </c>
    </row>
    <row r="1211">
      <c r="B1211" s="15" t="n"/>
      <c r="C1211" s="16" t="n"/>
      <c r="D1211" s="17" t="n"/>
      <c r="E1211" s="17" t="n"/>
      <c r="F1211" s="17" t="n"/>
      <c r="G1211" s="17" t="n"/>
      <c r="H1211" s="18">
        <f>IF(AND(B1211="",C1211="",D1211="",E1211=""),"",IF(B1211="","⚠ Falta fecha",IF(C1211="","⚠ Falta monto",IF(D1211="","⚠ Falta categoría",IF(ISNA(MATCH(D1211,catNom,0)),"⚠ Categoría no existe",IF(E1211="","⚠ Falta cuenta",IF(ISNA(MATCH(E1211,ctaNom,0)),"⚠ Cuenta no existe",IF(AND(OR(I1211="Transferencia",I1211="Pago tarjeta"),G1211=""),"⚠ Indica la cuenta «Hacia»",IF(AND(G1211&lt;&gt;"",G1211=E1211),"⚠ «Hacia» igual a la cuenta",IF(AND(G1211&lt;&gt;"",ISNA(MATCH(G1211,ctaNom,0))),"⚠ «Hacia» no existe",IF(AND(I1211="Pago tarjeta",IFERROR(INDEX(ctaTipo,MATCH(G1211,ctaNom,0)),"")&lt;&gt;"Tarjeta de crédito"),"⚠ «Hacia» debe ser la tarjeta",IF(AND(I1211="Trading",IFERROR(INDEX(ctaTipo,MATCH(E1211,ctaNom,0)),"")&lt;&gt;"Cuenta de trading"),"⚠ Usa la cuenta de trading","✓"))))))))))))</f>
        <v/>
      </c>
      <c r="I1211" s="19">
        <f>IF(OR(B1211="",C1211="",D1211=""),"",IFERROR(INDEX(catTipo,MATCH(D1211,catNom,0))&amp;"",""))</f>
        <v/>
      </c>
      <c r="J1211" s="19">
        <f>IF(I1211="","",IFERROR(INDEX(catGrupo,MATCH(D1211,catNom,0))&amp;"",""))</f>
        <v/>
      </c>
      <c r="K1211" s="19">
        <f>IF(I1211="Gasto",IF(IFERROR(INDEX(catClas,MATCH(D1211,catNom,0))&amp;"","")="","Variable",IFERROR(INDEX(catClas,MATCH(D1211,catNom,0))&amp;"","")),"")</f>
        <v/>
      </c>
      <c r="L1211" s="19">
        <f>IF(I1211="","",IFERROR(INDEX(catAlim,MATCH(D1211,catNom,0))&amp;"",""))</f>
        <v/>
      </c>
      <c r="M1211" s="19">
        <f>IF(I1211="","",IFERROR(INDEX(catComida,MATCH(D1211,catNom,0))&amp;"",""))</f>
        <v/>
      </c>
      <c r="N1211" s="19">
        <f>IF(I1211="","",IFERROR(INDEX(ctaMon,MATCH(E1211,ctaNom,0))&amp;"","DOP"))</f>
        <v/>
      </c>
      <c r="O1211" s="20">
        <f>IF(I1211="","",C1211*IF(N1211="USD",TasaUSD,1))</f>
        <v/>
      </c>
      <c r="P1211" s="20">
        <f>IF(I1211="","",IF(I1211="Gasto",O1211,0))</f>
        <v/>
      </c>
      <c r="Q1211" s="20">
        <f>IF(I1211="","",IF(I1211="Ingreso",O1211,0))</f>
        <v/>
      </c>
      <c r="R1211" s="20">
        <f>IF(I1211="","",IF(I1211="Trading",O1211,0))</f>
        <v/>
      </c>
      <c r="S1211" s="19">
        <f>IF(I1211="","",IF(AND(I1211="Gasto",K1211="Variable",J1211&lt;&gt;"Trading",O1211&gt;0,O1211&lt;=Umbral),1,0))</f>
        <v/>
      </c>
      <c r="T1211" s="20">
        <f>IF(OR(I1211="",E1211=""),"",IF(OR(I1211="Gasto",I1211="Transferencia",I1211="Pago tarjeta"),-1,1)*C1211)</f>
        <v/>
      </c>
      <c r="U1211" s="20">
        <f>IF(OR(G1211="",AND(I1211&lt;&gt;"Transferencia",I1211&lt;&gt;"Pago tarjeta")),"",IF(IFERROR(INDEX(ctaMon,MATCH(G1211,ctaNom,0))&amp;"","DOP")=N1211,C1211,IF(N1211="USD",C1211*TasaUSD,C1211/TasaUSD)))</f>
        <v/>
      </c>
      <c r="V1211" s="20">
        <f>IF(I1211="","",IF(IFERROR(INDEX(ctaLiq,MATCH(E1211,ctaNom,0))="Sí",FALSE),IF(OR(I1211="Gasto",I1211="Transferencia",I1211="Pago tarjeta"),-1,1)*O1211,0)+IF(AND(U1211&lt;&gt;"",IFERROR(INDEX(ctaLiq,MATCH(G1211,ctaNom,0))="Sí",FALSE)),O1211,0))</f>
        <v/>
      </c>
      <c r="W1211" s="19">
        <f>IF(OR(F1211="",I1211=""),"",IF(COUNTIFS(F$6:F1211,F1211,I$6:I1211,"?*")=1,MAX(W$5:W1210)+1,""))</f>
        <v/>
      </c>
    </row>
    <row r="1212">
      <c r="B1212" s="15" t="n"/>
      <c r="C1212" s="16" t="n"/>
      <c r="D1212" s="17" t="n"/>
      <c r="E1212" s="17" t="n"/>
      <c r="F1212" s="17" t="n"/>
      <c r="G1212" s="17" t="n"/>
      <c r="H1212" s="18">
        <f>IF(AND(B1212="",C1212="",D1212="",E1212=""),"",IF(B1212="","⚠ Falta fecha",IF(C1212="","⚠ Falta monto",IF(D1212="","⚠ Falta categoría",IF(ISNA(MATCH(D1212,catNom,0)),"⚠ Categoría no existe",IF(E1212="","⚠ Falta cuenta",IF(ISNA(MATCH(E1212,ctaNom,0)),"⚠ Cuenta no existe",IF(AND(OR(I1212="Transferencia",I1212="Pago tarjeta"),G1212=""),"⚠ Indica la cuenta «Hacia»",IF(AND(G1212&lt;&gt;"",G1212=E1212),"⚠ «Hacia» igual a la cuenta",IF(AND(G1212&lt;&gt;"",ISNA(MATCH(G1212,ctaNom,0))),"⚠ «Hacia» no existe",IF(AND(I1212="Pago tarjeta",IFERROR(INDEX(ctaTipo,MATCH(G1212,ctaNom,0)),"")&lt;&gt;"Tarjeta de crédito"),"⚠ «Hacia» debe ser la tarjeta",IF(AND(I1212="Trading",IFERROR(INDEX(ctaTipo,MATCH(E1212,ctaNom,0)),"")&lt;&gt;"Cuenta de trading"),"⚠ Usa la cuenta de trading","✓"))))))))))))</f>
        <v/>
      </c>
      <c r="I1212" s="19">
        <f>IF(OR(B1212="",C1212="",D1212=""),"",IFERROR(INDEX(catTipo,MATCH(D1212,catNom,0))&amp;"",""))</f>
        <v/>
      </c>
      <c r="J1212" s="19">
        <f>IF(I1212="","",IFERROR(INDEX(catGrupo,MATCH(D1212,catNom,0))&amp;"",""))</f>
        <v/>
      </c>
      <c r="K1212" s="19">
        <f>IF(I1212="Gasto",IF(IFERROR(INDEX(catClas,MATCH(D1212,catNom,0))&amp;"","")="","Variable",IFERROR(INDEX(catClas,MATCH(D1212,catNom,0))&amp;"","")),"")</f>
        <v/>
      </c>
      <c r="L1212" s="19">
        <f>IF(I1212="","",IFERROR(INDEX(catAlim,MATCH(D1212,catNom,0))&amp;"",""))</f>
        <v/>
      </c>
      <c r="M1212" s="19">
        <f>IF(I1212="","",IFERROR(INDEX(catComida,MATCH(D1212,catNom,0))&amp;"",""))</f>
        <v/>
      </c>
      <c r="N1212" s="19">
        <f>IF(I1212="","",IFERROR(INDEX(ctaMon,MATCH(E1212,ctaNom,0))&amp;"","DOP"))</f>
        <v/>
      </c>
      <c r="O1212" s="20">
        <f>IF(I1212="","",C1212*IF(N1212="USD",TasaUSD,1))</f>
        <v/>
      </c>
      <c r="P1212" s="20">
        <f>IF(I1212="","",IF(I1212="Gasto",O1212,0))</f>
        <v/>
      </c>
      <c r="Q1212" s="20">
        <f>IF(I1212="","",IF(I1212="Ingreso",O1212,0))</f>
        <v/>
      </c>
      <c r="R1212" s="20">
        <f>IF(I1212="","",IF(I1212="Trading",O1212,0))</f>
        <v/>
      </c>
      <c r="S1212" s="19">
        <f>IF(I1212="","",IF(AND(I1212="Gasto",K1212="Variable",J1212&lt;&gt;"Trading",O1212&gt;0,O1212&lt;=Umbral),1,0))</f>
        <v/>
      </c>
      <c r="T1212" s="20">
        <f>IF(OR(I1212="",E1212=""),"",IF(OR(I1212="Gasto",I1212="Transferencia",I1212="Pago tarjeta"),-1,1)*C1212)</f>
        <v/>
      </c>
      <c r="U1212" s="20">
        <f>IF(OR(G1212="",AND(I1212&lt;&gt;"Transferencia",I1212&lt;&gt;"Pago tarjeta")),"",IF(IFERROR(INDEX(ctaMon,MATCH(G1212,ctaNom,0))&amp;"","DOP")=N1212,C1212,IF(N1212="USD",C1212*TasaUSD,C1212/TasaUSD)))</f>
        <v/>
      </c>
      <c r="V1212" s="20">
        <f>IF(I1212="","",IF(IFERROR(INDEX(ctaLiq,MATCH(E1212,ctaNom,0))="Sí",FALSE),IF(OR(I1212="Gasto",I1212="Transferencia",I1212="Pago tarjeta"),-1,1)*O1212,0)+IF(AND(U1212&lt;&gt;"",IFERROR(INDEX(ctaLiq,MATCH(G1212,ctaNom,0))="Sí",FALSE)),O1212,0))</f>
        <v/>
      </c>
      <c r="W1212" s="19">
        <f>IF(OR(F1212="",I1212=""),"",IF(COUNTIFS(F$6:F1212,F1212,I$6:I1212,"?*")=1,MAX(W$5:W1211)+1,""))</f>
        <v/>
      </c>
    </row>
    <row r="1213">
      <c r="B1213" s="15" t="n"/>
      <c r="C1213" s="16" t="n"/>
      <c r="D1213" s="17" t="n"/>
      <c r="E1213" s="17" t="n"/>
      <c r="F1213" s="17" t="n"/>
      <c r="G1213" s="17" t="n"/>
      <c r="H1213" s="18">
        <f>IF(AND(B1213="",C1213="",D1213="",E1213=""),"",IF(B1213="","⚠ Falta fecha",IF(C1213="","⚠ Falta monto",IF(D1213="","⚠ Falta categoría",IF(ISNA(MATCH(D1213,catNom,0)),"⚠ Categoría no existe",IF(E1213="","⚠ Falta cuenta",IF(ISNA(MATCH(E1213,ctaNom,0)),"⚠ Cuenta no existe",IF(AND(OR(I1213="Transferencia",I1213="Pago tarjeta"),G1213=""),"⚠ Indica la cuenta «Hacia»",IF(AND(G1213&lt;&gt;"",G1213=E1213),"⚠ «Hacia» igual a la cuenta",IF(AND(G1213&lt;&gt;"",ISNA(MATCH(G1213,ctaNom,0))),"⚠ «Hacia» no existe",IF(AND(I1213="Pago tarjeta",IFERROR(INDEX(ctaTipo,MATCH(G1213,ctaNom,0)),"")&lt;&gt;"Tarjeta de crédito"),"⚠ «Hacia» debe ser la tarjeta",IF(AND(I1213="Trading",IFERROR(INDEX(ctaTipo,MATCH(E1213,ctaNom,0)),"")&lt;&gt;"Cuenta de trading"),"⚠ Usa la cuenta de trading","✓"))))))))))))</f>
        <v/>
      </c>
      <c r="I1213" s="19">
        <f>IF(OR(B1213="",C1213="",D1213=""),"",IFERROR(INDEX(catTipo,MATCH(D1213,catNom,0))&amp;"",""))</f>
        <v/>
      </c>
      <c r="J1213" s="19">
        <f>IF(I1213="","",IFERROR(INDEX(catGrupo,MATCH(D1213,catNom,0))&amp;"",""))</f>
        <v/>
      </c>
      <c r="K1213" s="19">
        <f>IF(I1213="Gasto",IF(IFERROR(INDEX(catClas,MATCH(D1213,catNom,0))&amp;"","")="","Variable",IFERROR(INDEX(catClas,MATCH(D1213,catNom,0))&amp;"","")),"")</f>
        <v/>
      </c>
      <c r="L1213" s="19">
        <f>IF(I1213="","",IFERROR(INDEX(catAlim,MATCH(D1213,catNom,0))&amp;"",""))</f>
        <v/>
      </c>
      <c r="M1213" s="19">
        <f>IF(I1213="","",IFERROR(INDEX(catComida,MATCH(D1213,catNom,0))&amp;"",""))</f>
        <v/>
      </c>
      <c r="N1213" s="19">
        <f>IF(I1213="","",IFERROR(INDEX(ctaMon,MATCH(E1213,ctaNom,0))&amp;"","DOP"))</f>
        <v/>
      </c>
      <c r="O1213" s="20">
        <f>IF(I1213="","",C1213*IF(N1213="USD",TasaUSD,1))</f>
        <v/>
      </c>
      <c r="P1213" s="20">
        <f>IF(I1213="","",IF(I1213="Gasto",O1213,0))</f>
        <v/>
      </c>
      <c r="Q1213" s="20">
        <f>IF(I1213="","",IF(I1213="Ingreso",O1213,0))</f>
        <v/>
      </c>
      <c r="R1213" s="20">
        <f>IF(I1213="","",IF(I1213="Trading",O1213,0))</f>
        <v/>
      </c>
      <c r="S1213" s="19">
        <f>IF(I1213="","",IF(AND(I1213="Gasto",K1213="Variable",J1213&lt;&gt;"Trading",O1213&gt;0,O1213&lt;=Umbral),1,0))</f>
        <v/>
      </c>
      <c r="T1213" s="20">
        <f>IF(OR(I1213="",E1213=""),"",IF(OR(I1213="Gasto",I1213="Transferencia",I1213="Pago tarjeta"),-1,1)*C1213)</f>
        <v/>
      </c>
      <c r="U1213" s="20">
        <f>IF(OR(G1213="",AND(I1213&lt;&gt;"Transferencia",I1213&lt;&gt;"Pago tarjeta")),"",IF(IFERROR(INDEX(ctaMon,MATCH(G1213,ctaNom,0))&amp;"","DOP")=N1213,C1213,IF(N1213="USD",C1213*TasaUSD,C1213/TasaUSD)))</f>
        <v/>
      </c>
      <c r="V1213" s="20">
        <f>IF(I1213="","",IF(IFERROR(INDEX(ctaLiq,MATCH(E1213,ctaNom,0))="Sí",FALSE),IF(OR(I1213="Gasto",I1213="Transferencia",I1213="Pago tarjeta"),-1,1)*O1213,0)+IF(AND(U1213&lt;&gt;"",IFERROR(INDEX(ctaLiq,MATCH(G1213,ctaNom,0))="Sí",FALSE)),O1213,0))</f>
        <v/>
      </c>
      <c r="W1213" s="19">
        <f>IF(OR(F1213="",I1213=""),"",IF(COUNTIFS(F$6:F1213,F1213,I$6:I1213,"?*")=1,MAX(W$5:W1212)+1,""))</f>
        <v/>
      </c>
    </row>
    <row r="1214">
      <c r="B1214" s="15" t="n"/>
      <c r="C1214" s="16" t="n"/>
      <c r="D1214" s="17" t="n"/>
      <c r="E1214" s="17" t="n"/>
      <c r="F1214" s="17" t="n"/>
      <c r="G1214" s="17" t="n"/>
      <c r="H1214" s="18">
        <f>IF(AND(B1214="",C1214="",D1214="",E1214=""),"",IF(B1214="","⚠ Falta fecha",IF(C1214="","⚠ Falta monto",IF(D1214="","⚠ Falta categoría",IF(ISNA(MATCH(D1214,catNom,0)),"⚠ Categoría no existe",IF(E1214="","⚠ Falta cuenta",IF(ISNA(MATCH(E1214,ctaNom,0)),"⚠ Cuenta no existe",IF(AND(OR(I1214="Transferencia",I1214="Pago tarjeta"),G1214=""),"⚠ Indica la cuenta «Hacia»",IF(AND(G1214&lt;&gt;"",G1214=E1214),"⚠ «Hacia» igual a la cuenta",IF(AND(G1214&lt;&gt;"",ISNA(MATCH(G1214,ctaNom,0))),"⚠ «Hacia» no existe",IF(AND(I1214="Pago tarjeta",IFERROR(INDEX(ctaTipo,MATCH(G1214,ctaNom,0)),"")&lt;&gt;"Tarjeta de crédito"),"⚠ «Hacia» debe ser la tarjeta",IF(AND(I1214="Trading",IFERROR(INDEX(ctaTipo,MATCH(E1214,ctaNom,0)),"")&lt;&gt;"Cuenta de trading"),"⚠ Usa la cuenta de trading","✓"))))))))))))</f>
        <v/>
      </c>
      <c r="I1214" s="19">
        <f>IF(OR(B1214="",C1214="",D1214=""),"",IFERROR(INDEX(catTipo,MATCH(D1214,catNom,0))&amp;"",""))</f>
        <v/>
      </c>
      <c r="J1214" s="19">
        <f>IF(I1214="","",IFERROR(INDEX(catGrupo,MATCH(D1214,catNom,0))&amp;"",""))</f>
        <v/>
      </c>
      <c r="K1214" s="19">
        <f>IF(I1214="Gasto",IF(IFERROR(INDEX(catClas,MATCH(D1214,catNom,0))&amp;"","")="","Variable",IFERROR(INDEX(catClas,MATCH(D1214,catNom,0))&amp;"","")),"")</f>
        <v/>
      </c>
      <c r="L1214" s="19">
        <f>IF(I1214="","",IFERROR(INDEX(catAlim,MATCH(D1214,catNom,0))&amp;"",""))</f>
        <v/>
      </c>
      <c r="M1214" s="19">
        <f>IF(I1214="","",IFERROR(INDEX(catComida,MATCH(D1214,catNom,0))&amp;"",""))</f>
        <v/>
      </c>
      <c r="N1214" s="19">
        <f>IF(I1214="","",IFERROR(INDEX(ctaMon,MATCH(E1214,ctaNom,0))&amp;"","DOP"))</f>
        <v/>
      </c>
      <c r="O1214" s="20">
        <f>IF(I1214="","",C1214*IF(N1214="USD",TasaUSD,1))</f>
        <v/>
      </c>
      <c r="P1214" s="20">
        <f>IF(I1214="","",IF(I1214="Gasto",O1214,0))</f>
        <v/>
      </c>
      <c r="Q1214" s="20">
        <f>IF(I1214="","",IF(I1214="Ingreso",O1214,0))</f>
        <v/>
      </c>
      <c r="R1214" s="20">
        <f>IF(I1214="","",IF(I1214="Trading",O1214,0))</f>
        <v/>
      </c>
      <c r="S1214" s="19">
        <f>IF(I1214="","",IF(AND(I1214="Gasto",K1214="Variable",J1214&lt;&gt;"Trading",O1214&gt;0,O1214&lt;=Umbral),1,0))</f>
        <v/>
      </c>
      <c r="T1214" s="20">
        <f>IF(OR(I1214="",E1214=""),"",IF(OR(I1214="Gasto",I1214="Transferencia",I1214="Pago tarjeta"),-1,1)*C1214)</f>
        <v/>
      </c>
      <c r="U1214" s="20">
        <f>IF(OR(G1214="",AND(I1214&lt;&gt;"Transferencia",I1214&lt;&gt;"Pago tarjeta")),"",IF(IFERROR(INDEX(ctaMon,MATCH(G1214,ctaNom,0))&amp;"","DOP")=N1214,C1214,IF(N1214="USD",C1214*TasaUSD,C1214/TasaUSD)))</f>
        <v/>
      </c>
      <c r="V1214" s="20">
        <f>IF(I1214="","",IF(IFERROR(INDEX(ctaLiq,MATCH(E1214,ctaNom,0))="Sí",FALSE),IF(OR(I1214="Gasto",I1214="Transferencia",I1214="Pago tarjeta"),-1,1)*O1214,0)+IF(AND(U1214&lt;&gt;"",IFERROR(INDEX(ctaLiq,MATCH(G1214,ctaNom,0))="Sí",FALSE)),O1214,0))</f>
        <v/>
      </c>
      <c r="W1214" s="19">
        <f>IF(OR(F1214="",I1214=""),"",IF(COUNTIFS(F$6:F1214,F1214,I$6:I1214,"?*")=1,MAX(W$5:W1213)+1,""))</f>
        <v/>
      </c>
    </row>
    <row r="1215">
      <c r="B1215" s="15" t="n"/>
      <c r="C1215" s="16" t="n"/>
      <c r="D1215" s="17" t="n"/>
      <c r="E1215" s="17" t="n"/>
      <c r="F1215" s="17" t="n"/>
      <c r="G1215" s="17" t="n"/>
      <c r="H1215" s="18">
        <f>IF(AND(B1215="",C1215="",D1215="",E1215=""),"",IF(B1215="","⚠ Falta fecha",IF(C1215="","⚠ Falta monto",IF(D1215="","⚠ Falta categoría",IF(ISNA(MATCH(D1215,catNom,0)),"⚠ Categoría no existe",IF(E1215="","⚠ Falta cuenta",IF(ISNA(MATCH(E1215,ctaNom,0)),"⚠ Cuenta no existe",IF(AND(OR(I1215="Transferencia",I1215="Pago tarjeta"),G1215=""),"⚠ Indica la cuenta «Hacia»",IF(AND(G1215&lt;&gt;"",G1215=E1215),"⚠ «Hacia» igual a la cuenta",IF(AND(G1215&lt;&gt;"",ISNA(MATCH(G1215,ctaNom,0))),"⚠ «Hacia» no existe",IF(AND(I1215="Pago tarjeta",IFERROR(INDEX(ctaTipo,MATCH(G1215,ctaNom,0)),"")&lt;&gt;"Tarjeta de crédito"),"⚠ «Hacia» debe ser la tarjeta",IF(AND(I1215="Trading",IFERROR(INDEX(ctaTipo,MATCH(E1215,ctaNom,0)),"")&lt;&gt;"Cuenta de trading"),"⚠ Usa la cuenta de trading","✓"))))))))))))</f>
        <v/>
      </c>
      <c r="I1215" s="19">
        <f>IF(OR(B1215="",C1215="",D1215=""),"",IFERROR(INDEX(catTipo,MATCH(D1215,catNom,0))&amp;"",""))</f>
        <v/>
      </c>
      <c r="J1215" s="19">
        <f>IF(I1215="","",IFERROR(INDEX(catGrupo,MATCH(D1215,catNom,0))&amp;"",""))</f>
        <v/>
      </c>
      <c r="K1215" s="19">
        <f>IF(I1215="Gasto",IF(IFERROR(INDEX(catClas,MATCH(D1215,catNom,0))&amp;"","")="","Variable",IFERROR(INDEX(catClas,MATCH(D1215,catNom,0))&amp;"","")),"")</f>
        <v/>
      </c>
      <c r="L1215" s="19">
        <f>IF(I1215="","",IFERROR(INDEX(catAlim,MATCH(D1215,catNom,0))&amp;"",""))</f>
        <v/>
      </c>
      <c r="M1215" s="19">
        <f>IF(I1215="","",IFERROR(INDEX(catComida,MATCH(D1215,catNom,0))&amp;"",""))</f>
        <v/>
      </c>
      <c r="N1215" s="19">
        <f>IF(I1215="","",IFERROR(INDEX(ctaMon,MATCH(E1215,ctaNom,0))&amp;"","DOP"))</f>
        <v/>
      </c>
      <c r="O1215" s="20">
        <f>IF(I1215="","",C1215*IF(N1215="USD",TasaUSD,1))</f>
        <v/>
      </c>
      <c r="P1215" s="20">
        <f>IF(I1215="","",IF(I1215="Gasto",O1215,0))</f>
        <v/>
      </c>
      <c r="Q1215" s="20">
        <f>IF(I1215="","",IF(I1215="Ingreso",O1215,0))</f>
        <v/>
      </c>
      <c r="R1215" s="20">
        <f>IF(I1215="","",IF(I1215="Trading",O1215,0))</f>
        <v/>
      </c>
      <c r="S1215" s="19">
        <f>IF(I1215="","",IF(AND(I1215="Gasto",K1215="Variable",J1215&lt;&gt;"Trading",O1215&gt;0,O1215&lt;=Umbral),1,0))</f>
        <v/>
      </c>
      <c r="T1215" s="20">
        <f>IF(OR(I1215="",E1215=""),"",IF(OR(I1215="Gasto",I1215="Transferencia",I1215="Pago tarjeta"),-1,1)*C1215)</f>
        <v/>
      </c>
      <c r="U1215" s="20">
        <f>IF(OR(G1215="",AND(I1215&lt;&gt;"Transferencia",I1215&lt;&gt;"Pago tarjeta")),"",IF(IFERROR(INDEX(ctaMon,MATCH(G1215,ctaNom,0))&amp;"","DOP")=N1215,C1215,IF(N1215="USD",C1215*TasaUSD,C1215/TasaUSD)))</f>
        <v/>
      </c>
      <c r="V1215" s="20">
        <f>IF(I1215="","",IF(IFERROR(INDEX(ctaLiq,MATCH(E1215,ctaNom,0))="Sí",FALSE),IF(OR(I1215="Gasto",I1215="Transferencia",I1215="Pago tarjeta"),-1,1)*O1215,0)+IF(AND(U1215&lt;&gt;"",IFERROR(INDEX(ctaLiq,MATCH(G1215,ctaNom,0))="Sí",FALSE)),O1215,0))</f>
        <v/>
      </c>
      <c r="W1215" s="19">
        <f>IF(OR(F1215="",I1215=""),"",IF(COUNTIFS(F$6:F1215,F1215,I$6:I1215,"?*")=1,MAX(W$5:W1214)+1,""))</f>
        <v/>
      </c>
    </row>
    <row r="1216">
      <c r="B1216" s="15" t="n"/>
      <c r="C1216" s="16" t="n"/>
      <c r="D1216" s="17" t="n"/>
      <c r="E1216" s="17" t="n"/>
      <c r="F1216" s="17" t="n"/>
      <c r="G1216" s="17" t="n"/>
      <c r="H1216" s="18">
        <f>IF(AND(B1216="",C1216="",D1216="",E1216=""),"",IF(B1216="","⚠ Falta fecha",IF(C1216="","⚠ Falta monto",IF(D1216="","⚠ Falta categoría",IF(ISNA(MATCH(D1216,catNom,0)),"⚠ Categoría no existe",IF(E1216="","⚠ Falta cuenta",IF(ISNA(MATCH(E1216,ctaNom,0)),"⚠ Cuenta no existe",IF(AND(OR(I1216="Transferencia",I1216="Pago tarjeta"),G1216=""),"⚠ Indica la cuenta «Hacia»",IF(AND(G1216&lt;&gt;"",G1216=E1216),"⚠ «Hacia» igual a la cuenta",IF(AND(G1216&lt;&gt;"",ISNA(MATCH(G1216,ctaNom,0))),"⚠ «Hacia» no existe",IF(AND(I1216="Pago tarjeta",IFERROR(INDEX(ctaTipo,MATCH(G1216,ctaNom,0)),"")&lt;&gt;"Tarjeta de crédito"),"⚠ «Hacia» debe ser la tarjeta",IF(AND(I1216="Trading",IFERROR(INDEX(ctaTipo,MATCH(E1216,ctaNom,0)),"")&lt;&gt;"Cuenta de trading"),"⚠ Usa la cuenta de trading","✓"))))))))))))</f>
        <v/>
      </c>
      <c r="I1216" s="19">
        <f>IF(OR(B1216="",C1216="",D1216=""),"",IFERROR(INDEX(catTipo,MATCH(D1216,catNom,0))&amp;"",""))</f>
        <v/>
      </c>
      <c r="J1216" s="19">
        <f>IF(I1216="","",IFERROR(INDEX(catGrupo,MATCH(D1216,catNom,0))&amp;"",""))</f>
        <v/>
      </c>
      <c r="K1216" s="19">
        <f>IF(I1216="Gasto",IF(IFERROR(INDEX(catClas,MATCH(D1216,catNom,0))&amp;"","")="","Variable",IFERROR(INDEX(catClas,MATCH(D1216,catNom,0))&amp;"","")),"")</f>
        <v/>
      </c>
      <c r="L1216" s="19">
        <f>IF(I1216="","",IFERROR(INDEX(catAlim,MATCH(D1216,catNom,0))&amp;"",""))</f>
        <v/>
      </c>
      <c r="M1216" s="19">
        <f>IF(I1216="","",IFERROR(INDEX(catComida,MATCH(D1216,catNom,0))&amp;"",""))</f>
        <v/>
      </c>
      <c r="N1216" s="19">
        <f>IF(I1216="","",IFERROR(INDEX(ctaMon,MATCH(E1216,ctaNom,0))&amp;"","DOP"))</f>
        <v/>
      </c>
      <c r="O1216" s="20">
        <f>IF(I1216="","",C1216*IF(N1216="USD",TasaUSD,1))</f>
        <v/>
      </c>
      <c r="P1216" s="20">
        <f>IF(I1216="","",IF(I1216="Gasto",O1216,0))</f>
        <v/>
      </c>
      <c r="Q1216" s="20">
        <f>IF(I1216="","",IF(I1216="Ingreso",O1216,0))</f>
        <v/>
      </c>
      <c r="R1216" s="20">
        <f>IF(I1216="","",IF(I1216="Trading",O1216,0))</f>
        <v/>
      </c>
      <c r="S1216" s="19">
        <f>IF(I1216="","",IF(AND(I1216="Gasto",K1216="Variable",J1216&lt;&gt;"Trading",O1216&gt;0,O1216&lt;=Umbral),1,0))</f>
        <v/>
      </c>
      <c r="T1216" s="20">
        <f>IF(OR(I1216="",E1216=""),"",IF(OR(I1216="Gasto",I1216="Transferencia",I1216="Pago tarjeta"),-1,1)*C1216)</f>
        <v/>
      </c>
      <c r="U1216" s="20">
        <f>IF(OR(G1216="",AND(I1216&lt;&gt;"Transferencia",I1216&lt;&gt;"Pago tarjeta")),"",IF(IFERROR(INDEX(ctaMon,MATCH(G1216,ctaNom,0))&amp;"","DOP")=N1216,C1216,IF(N1216="USD",C1216*TasaUSD,C1216/TasaUSD)))</f>
        <v/>
      </c>
      <c r="V1216" s="20">
        <f>IF(I1216="","",IF(IFERROR(INDEX(ctaLiq,MATCH(E1216,ctaNom,0))="Sí",FALSE),IF(OR(I1216="Gasto",I1216="Transferencia",I1216="Pago tarjeta"),-1,1)*O1216,0)+IF(AND(U1216&lt;&gt;"",IFERROR(INDEX(ctaLiq,MATCH(G1216,ctaNom,0))="Sí",FALSE)),O1216,0))</f>
        <v/>
      </c>
      <c r="W1216" s="19">
        <f>IF(OR(F1216="",I1216=""),"",IF(COUNTIFS(F$6:F1216,F1216,I$6:I1216,"?*")=1,MAX(W$5:W1215)+1,""))</f>
        <v/>
      </c>
    </row>
    <row r="1217">
      <c r="B1217" s="15" t="n"/>
      <c r="C1217" s="16" t="n"/>
      <c r="D1217" s="17" t="n"/>
      <c r="E1217" s="17" t="n"/>
      <c r="F1217" s="17" t="n"/>
      <c r="G1217" s="17" t="n"/>
      <c r="H1217" s="18">
        <f>IF(AND(B1217="",C1217="",D1217="",E1217=""),"",IF(B1217="","⚠ Falta fecha",IF(C1217="","⚠ Falta monto",IF(D1217="","⚠ Falta categoría",IF(ISNA(MATCH(D1217,catNom,0)),"⚠ Categoría no existe",IF(E1217="","⚠ Falta cuenta",IF(ISNA(MATCH(E1217,ctaNom,0)),"⚠ Cuenta no existe",IF(AND(OR(I1217="Transferencia",I1217="Pago tarjeta"),G1217=""),"⚠ Indica la cuenta «Hacia»",IF(AND(G1217&lt;&gt;"",G1217=E1217),"⚠ «Hacia» igual a la cuenta",IF(AND(G1217&lt;&gt;"",ISNA(MATCH(G1217,ctaNom,0))),"⚠ «Hacia» no existe",IF(AND(I1217="Pago tarjeta",IFERROR(INDEX(ctaTipo,MATCH(G1217,ctaNom,0)),"")&lt;&gt;"Tarjeta de crédito"),"⚠ «Hacia» debe ser la tarjeta",IF(AND(I1217="Trading",IFERROR(INDEX(ctaTipo,MATCH(E1217,ctaNom,0)),"")&lt;&gt;"Cuenta de trading"),"⚠ Usa la cuenta de trading","✓"))))))))))))</f>
        <v/>
      </c>
      <c r="I1217" s="19">
        <f>IF(OR(B1217="",C1217="",D1217=""),"",IFERROR(INDEX(catTipo,MATCH(D1217,catNom,0))&amp;"",""))</f>
        <v/>
      </c>
      <c r="J1217" s="19">
        <f>IF(I1217="","",IFERROR(INDEX(catGrupo,MATCH(D1217,catNom,0))&amp;"",""))</f>
        <v/>
      </c>
      <c r="K1217" s="19">
        <f>IF(I1217="Gasto",IF(IFERROR(INDEX(catClas,MATCH(D1217,catNom,0))&amp;"","")="","Variable",IFERROR(INDEX(catClas,MATCH(D1217,catNom,0))&amp;"","")),"")</f>
        <v/>
      </c>
      <c r="L1217" s="19">
        <f>IF(I1217="","",IFERROR(INDEX(catAlim,MATCH(D1217,catNom,0))&amp;"",""))</f>
        <v/>
      </c>
      <c r="M1217" s="19">
        <f>IF(I1217="","",IFERROR(INDEX(catComida,MATCH(D1217,catNom,0))&amp;"",""))</f>
        <v/>
      </c>
      <c r="N1217" s="19">
        <f>IF(I1217="","",IFERROR(INDEX(ctaMon,MATCH(E1217,ctaNom,0))&amp;"","DOP"))</f>
        <v/>
      </c>
      <c r="O1217" s="20">
        <f>IF(I1217="","",C1217*IF(N1217="USD",TasaUSD,1))</f>
        <v/>
      </c>
      <c r="P1217" s="20">
        <f>IF(I1217="","",IF(I1217="Gasto",O1217,0))</f>
        <v/>
      </c>
      <c r="Q1217" s="20">
        <f>IF(I1217="","",IF(I1217="Ingreso",O1217,0))</f>
        <v/>
      </c>
      <c r="R1217" s="20">
        <f>IF(I1217="","",IF(I1217="Trading",O1217,0))</f>
        <v/>
      </c>
      <c r="S1217" s="19">
        <f>IF(I1217="","",IF(AND(I1217="Gasto",K1217="Variable",J1217&lt;&gt;"Trading",O1217&gt;0,O1217&lt;=Umbral),1,0))</f>
        <v/>
      </c>
      <c r="T1217" s="20">
        <f>IF(OR(I1217="",E1217=""),"",IF(OR(I1217="Gasto",I1217="Transferencia",I1217="Pago tarjeta"),-1,1)*C1217)</f>
        <v/>
      </c>
      <c r="U1217" s="20">
        <f>IF(OR(G1217="",AND(I1217&lt;&gt;"Transferencia",I1217&lt;&gt;"Pago tarjeta")),"",IF(IFERROR(INDEX(ctaMon,MATCH(G1217,ctaNom,0))&amp;"","DOP")=N1217,C1217,IF(N1217="USD",C1217*TasaUSD,C1217/TasaUSD)))</f>
        <v/>
      </c>
      <c r="V1217" s="20">
        <f>IF(I1217="","",IF(IFERROR(INDEX(ctaLiq,MATCH(E1217,ctaNom,0))="Sí",FALSE),IF(OR(I1217="Gasto",I1217="Transferencia",I1217="Pago tarjeta"),-1,1)*O1217,0)+IF(AND(U1217&lt;&gt;"",IFERROR(INDEX(ctaLiq,MATCH(G1217,ctaNom,0))="Sí",FALSE)),O1217,0))</f>
        <v/>
      </c>
      <c r="W1217" s="19">
        <f>IF(OR(F1217="",I1217=""),"",IF(COUNTIFS(F$6:F1217,F1217,I$6:I1217,"?*")=1,MAX(W$5:W1216)+1,""))</f>
        <v/>
      </c>
    </row>
    <row r="1218">
      <c r="B1218" s="15" t="n"/>
      <c r="C1218" s="16" t="n"/>
      <c r="D1218" s="17" t="n"/>
      <c r="E1218" s="17" t="n"/>
      <c r="F1218" s="17" t="n"/>
      <c r="G1218" s="17" t="n"/>
      <c r="H1218" s="18">
        <f>IF(AND(B1218="",C1218="",D1218="",E1218=""),"",IF(B1218="","⚠ Falta fecha",IF(C1218="","⚠ Falta monto",IF(D1218="","⚠ Falta categoría",IF(ISNA(MATCH(D1218,catNom,0)),"⚠ Categoría no existe",IF(E1218="","⚠ Falta cuenta",IF(ISNA(MATCH(E1218,ctaNom,0)),"⚠ Cuenta no existe",IF(AND(OR(I1218="Transferencia",I1218="Pago tarjeta"),G1218=""),"⚠ Indica la cuenta «Hacia»",IF(AND(G1218&lt;&gt;"",G1218=E1218),"⚠ «Hacia» igual a la cuenta",IF(AND(G1218&lt;&gt;"",ISNA(MATCH(G1218,ctaNom,0))),"⚠ «Hacia» no existe",IF(AND(I1218="Pago tarjeta",IFERROR(INDEX(ctaTipo,MATCH(G1218,ctaNom,0)),"")&lt;&gt;"Tarjeta de crédito"),"⚠ «Hacia» debe ser la tarjeta",IF(AND(I1218="Trading",IFERROR(INDEX(ctaTipo,MATCH(E1218,ctaNom,0)),"")&lt;&gt;"Cuenta de trading"),"⚠ Usa la cuenta de trading","✓"))))))))))))</f>
        <v/>
      </c>
      <c r="I1218" s="19">
        <f>IF(OR(B1218="",C1218="",D1218=""),"",IFERROR(INDEX(catTipo,MATCH(D1218,catNom,0))&amp;"",""))</f>
        <v/>
      </c>
      <c r="J1218" s="19">
        <f>IF(I1218="","",IFERROR(INDEX(catGrupo,MATCH(D1218,catNom,0))&amp;"",""))</f>
        <v/>
      </c>
      <c r="K1218" s="19">
        <f>IF(I1218="Gasto",IF(IFERROR(INDEX(catClas,MATCH(D1218,catNom,0))&amp;"","")="","Variable",IFERROR(INDEX(catClas,MATCH(D1218,catNom,0))&amp;"","")),"")</f>
        <v/>
      </c>
      <c r="L1218" s="19">
        <f>IF(I1218="","",IFERROR(INDEX(catAlim,MATCH(D1218,catNom,0))&amp;"",""))</f>
        <v/>
      </c>
      <c r="M1218" s="19">
        <f>IF(I1218="","",IFERROR(INDEX(catComida,MATCH(D1218,catNom,0))&amp;"",""))</f>
        <v/>
      </c>
      <c r="N1218" s="19">
        <f>IF(I1218="","",IFERROR(INDEX(ctaMon,MATCH(E1218,ctaNom,0))&amp;"","DOP"))</f>
        <v/>
      </c>
      <c r="O1218" s="20">
        <f>IF(I1218="","",C1218*IF(N1218="USD",TasaUSD,1))</f>
        <v/>
      </c>
      <c r="P1218" s="20">
        <f>IF(I1218="","",IF(I1218="Gasto",O1218,0))</f>
        <v/>
      </c>
      <c r="Q1218" s="20">
        <f>IF(I1218="","",IF(I1218="Ingreso",O1218,0))</f>
        <v/>
      </c>
      <c r="R1218" s="20">
        <f>IF(I1218="","",IF(I1218="Trading",O1218,0))</f>
        <v/>
      </c>
      <c r="S1218" s="19">
        <f>IF(I1218="","",IF(AND(I1218="Gasto",K1218="Variable",J1218&lt;&gt;"Trading",O1218&gt;0,O1218&lt;=Umbral),1,0))</f>
        <v/>
      </c>
      <c r="T1218" s="20">
        <f>IF(OR(I1218="",E1218=""),"",IF(OR(I1218="Gasto",I1218="Transferencia",I1218="Pago tarjeta"),-1,1)*C1218)</f>
        <v/>
      </c>
      <c r="U1218" s="20">
        <f>IF(OR(G1218="",AND(I1218&lt;&gt;"Transferencia",I1218&lt;&gt;"Pago tarjeta")),"",IF(IFERROR(INDEX(ctaMon,MATCH(G1218,ctaNom,0))&amp;"","DOP")=N1218,C1218,IF(N1218="USD",C1218*TasaUSD,C1218/TasaUSD)))</f>
        <v/>
      </c>
      <c r="V1218" s="20">
        <f>IF(I1218="","",IF(IFERROR(INDEX(ctaLiq,MATCH(E1218,ctaNom,0))="Sí",FALSE),IF(OR(I1218="Gasto",I1218="Transferencia",I1218="Pago tarjeta"),-1,1)*O1218,0)+IF(AND(U1218&lt;&gt;"",IFERROR(INDEX(ctaLiq,MATCH(G1218,ctaNom,0))="Sí",FALSE)),O1218,0))</f>
        <v/>
      </c>
      <c r="W1218" s="19">
        <f>IF(OR(F1218="",I1218=""),"",IF(COUNTIFS(F$6:F1218,F1218,I$6:I1218,"?*")=1,MAX(W$5:W1217)+1,""))</f>
        <v/>
      </c>
    </row>
    <row r="1219">
      <c r="B1219" s="15" t="n"/>
      <c r="C1219" s="16" t="n"/>
      <c r="D1219" s="17" t="n"/>
      <c r="E1219" s="17" t="n"/>
      <c r="F1219" s="17" t="n"/>
      <c r="G1219" s="17" t="n"/>
      <c r="H1219" s="18">
        <f>IF(AND(B1219="",C1219="",D1219="",E1219=""),"",IF(B1219="","⚠ Falta fecha",IF(C1219="","⚠ Falta monto",IF(D1219="","⚠ Falta categoría",IF(ISNA(MATCH(D1219,catNom,0)),"⚠ Categoría no existe",IF(E1219="","⚠ Falta cuenta",IF(ISNA(MATCH(E1219,ctaNom,0)),"⚠ Cuenta no existe",IF(AND(OR(I1219="Transferencia",I1219="Pago tarjeta"),G1219=""),"⚠ Indica la cuenta «Hacia»",IF(AND(G1219&lt;&gt;"",G1219=E1219),"⚠ «Hacia» igual a la cuenta",IF(AND(G1219&lt;&gt;"",ISNA(MATCH(G1219,ctaNom,0))),"⚠ «Hacia» no existe",IF(AND(I1219="Pago tarjeta",IFERROR(INDEX(ctaTipo,MATCH(G1219,ctaNom,0)),"")&lt;&gt;"Tarjeta de crédito"),"⚠ «Hacia» debe ser la tarjeta",IF(AND(I1219="Trading",IFERROR(INDEX(ctaTipo,MATCH(E1219,ctaNom,0)),"")&lt;&gt;"Cuenta de trading"),"⚠ Usa la cuenta de trading","✓"))))))))))))</f>
        <v/>
      </c>
      <c r="I1219" s="19">
        <f>IF(OR(B1219="",C1219="",D1219=""),"",IFERROR(INDEX(catTipo,MATCH(D1219,catNom,0))&amp;"",""))</f>
        <v/>
      </c>
      <c r="J1219" s="19">
        <f>IF(I1219="","",IFERROR(INDEX(catGrupo,MATCH(D1219,catNom,0))&amp;"",""))</f>
        <v/>
      </c>
      <c r="K1219" s="19">
        <f>IF(I1219="Gasto",IF(IFERROR(INDEX(catClas,MATCH(D1219,catNom,0))&amp;"","")="","Variable",IFERROR(INDEX(catClas,MATCH(D1219,catNom,0))&amp;"","")),"")</f>
        <v/>
      </c>
      <c r="L1219" s="19">
        <f>IF(I1219="","",IFERROR(INDEX(catAlim,MATCH(D1219,catNom,0))&amp;"",""))</f>
        <v/>
      </c>
      <c r="M1219" s="19">
        <f>IF(I1219="","",IFERROR(INDEX(catComida,MATCH(D1219,catNom,0))&amp;"",""))</f>
        <v/>
      </c>
      <c r="N1219" s="19">
        <f>IF(I1219="","",IFERROR(INDEX(ctaMon,MATCH(E1219,ctaNom,0))&amp;"","DOP"))</f>
        <v/>
      </c>
      <c r="O1219" s="20">
        <f>IF(I1219="","",C1219*IF(N1219="USD",TasaUSD,1))</f>
        <v/>
      </c>
      <c r="P1219" s="20">
        <f>IF(I1219="","",IF(I1219="Gasto",O1219,0))</f>
        <v/>
      </c>
      <c r="Q1219" s="20">
        <f>IF(I1219="","",IF(I1219="Ingreso",O1219,0))</f>
        <v/>
      </c>
      <c r="R1219" s="20">
        <f>IF(I1219="","",IF(I1219="Trading",O1219,0))</f>
        <v/>
      </c>
      <c r="S1219" s="19">
        <f>IF(I1219="","",IF(AND(I1219="Gasto",K1219="Variable",J1219&lt;&gt;"Trading",O1219&gt;0,O1219&lt;=Umbral),1,0))</f>
        <v/>
      </c>
      <c r="T1219" s="20">
        <f>IF(OR(I1219="",E1219=""),"",IF(OR(I1219="Gasto",I1219="Transferencia",I1219="Pago tarjeta"),-1,1)*C1219)</f>
        <v/>
      </c>
      <c r="U1219" s="20">
        <f>IF(OR(G1219="",AND(I1219&lt;&gt;"Transferencia",I1219&lt;&gt;"Pago tarjeta")),"",IF(IFERROR(INDEX(ctaMon,MATCH(G1219,ctaNom,0))&amp;"","DOP")=N1219,C1219,IF(N1219="USD",C1219*TasaUSD,C1219/TasaUSD)))</f>
        <v/>
      </c>
      <c r="V1219" s="20">
        <f>IF(I1219="","",IF(IFERROR(INDEX(ctaLiq,MATCH(E1219,ctaNom,0))="Sí",FALSE),IF(OR(I1219="Gasto",I1219="Transferencia",I1219="Pago tarjeta"),-1,1)*O1219,0)+IF(AND(U1219&lt;&gt;"",IFERROR(INDEX(ctaLiq,MATCH(G1219,ctaNom,0))="Sí",FALSE)),O1219,0))</f>
        <v/>
      </c>
      <c r="W1219" s="19">
        <f>IF(OR(F1219="",I1219=""),"",IF(COUNTIFS(F$6:F1219,F1219,I$6:I1219,"?*")=1,MAX(W$5:W1218)+1,""))</f>
        <v/>
      </c>
    </row>
    <row r="1220">
      <c r="B1220" s="15" t="n"/>
      <c r="C1220" s="16" t="n"/>
      <c r="D1220" s="17" t="n"/>
      <c r="E1220" s="17" t="n"/>
      <c r="F1220" s="17" t="n"/>
      <c r="G1220" s="17" t="n"/>
      <c r="H1220" s="18">
        <f>IF(AND(B1220="",C1220="",D1220="",E1220=""),"",IF(B1220="","⚠ Falta fecha",IF(C1220="","⚠ Falta monto",IF(D1220="","⚠ Falta categoría",IF(ISNA(MATCH(D1220,catNom,0)),"⚠ Categoría no existe",IF(E1220="","⚠ Falta cuenta",IF(ISNA(MATCH(E1220,ctaNom,0)),"⚠ Cuenta no existe",IF(AND(OR(I1220="Transferencia",I1220="Pago tarjeta"),G1220=""),"⚠ Indica la cuenta «Hacia»",IF(AND(G1220&lt;&gt;"",G1220=E1220),"⚠ «Hacia» igual a la cuenta",IF(AND(G1220&lt;&gt;"",ISNA(MATCH(G1220,ctaNom,0))),"⚠ «Hacia» no existe",IF(AND(I1220="Pago tarjeta",IFERROR(INDEX(ctaTipo,MATCH(G1220,ctaNom,0)),"")&lt;&gt;"Tarjeta de crédito"),"⚠ «Hacia» debe ser la tarjeta",IF(AND(I1220="Trading",IFERROR(INDEX(ctaTipo,MATCH(E1220,ctaNom,0)),"")&lt;&gt;"Cuenta de trading"),"⚠ Usa la cuenta de trading","✓"))))))))))))</f>
        <v/>
      </c>
      <c r="I1220" s="19">
        <f>IF(OR(B1220="",C1220="",D1220=""),"",IFERROR(INDEX(catTipo,MATCH(D1220,catNom,0))&amp;"",""))</f>
        <v/>
      </c>
      <c r="J1220" s="19">
        <f>IF(I1220="","",IFERROR(INDEX(catGrupo,MATCH(D1220,catNom,0))&amp;"",""))</f>
        <v/>
      </c>
      <c r="K1220" s="19">
        <f>IF(I1220="Gasto",IF(IFERROR(INDEX(catClas,MATCH(D1220,catNom,0))&amp;"","")="","Variable",IFERROR(INDEX(catClas,MATCH(D1220,catNom,0))&amp;"","")),"")</f>
        <v/>
      </c>
      <c r="L1220" s="19">
        <f>IF(I1220="","",IFERROR(INDEX(catAlim,MATCH(D1220,catNom,0))&amp;"",""))</f>
        <v/>
      </c>
      <c r="M1220" s="19">
        <f>IF(I1220="","",IFERROR(INDEX(catComida,MATCH(D1220,catNom,0))&amp;"",""))</f>
        <v/>
      </c>
      <c r="N1220" s="19">
        <f>IF(I1220="","",IFERROR(INDEX(ctaMon,MATCH(E1220,ctaNom,0))&amp;"","DOP"))</f>
        <v/>
      </c>
      <c r="O1220" s="20">
        <f>IF(I1220="","",C1220*IF(N1220="USD",TasaUSD,1))</f>
        <v/>
      </c>
      <c r="P1220" s="20">
        <f>IF(I1220="","",IF(I1220="Gasto",O1220,0))</f>
        <v/>
      </c>
      <c r="Q1220" s="20">
        <f>IF(I1220="","",IF(I1220="Ingreso",O1220,0))</f>
        <v/>
      </c>
      <c r="R1220" s="20">
        <f>IF(I1220="","",IF(I1220="Trading",O1220,0))</f>
        <v/>
      </c>
      <c r="S1220" s="19">
        <f>IF(I1220="","",IF(AND(I1220="Gasto",K1220="Variable",J1220&lt;&gt;"Trading",O1220&gt;0,O1220&lt;=Umbral),1,0))</f>
        <v/>
      </c>
      <c r="T1220" s="20">
        <f>IF(OR(I1220="",E1220=""),"",IF(OR(I1220="Gasto",I1220="Transferencia",I1220="Pago tarjeta"),-1,1)*C1220)</f>
        <v/>
      </c>
      <c r="U1220" s="20">
        <f>IF(OR(G1220="",AND(I1220&lt;&gt;"Transferencia",I1220&lt;&gt;"Pago tarjeta")),"",IF(IFERROR(INDEX(ctaMon,MATCH(G1220,ctaNom,0))&amp;"","DOP")=N1220,C1220,IF(N1220="USD",C1220*TasaUSD,C1220/TasaUSD)))</f>
        <v/>
      </c>
      <c r="V1220" s="20">
        <f>IF(I1220="","",IF(IFERROR(INDEX(ctaLiq,MATCH(E1220,ctaNom,0))="Sí",FALSE),IF(OR(I1220="Gasto",I1220="Transferencia",I1220="Pago tarjeta"),-1,1)*O1220,0)+IF(AND(U1220&lt;&gt;"",IFERROR(INDEX(ctaLiq,MATCH(G1220,ctaNom,0))="Sí",FALSE)),O1220,0))</f>
        <v/>
      </c>
      <c r="W1220" s="19">
        <f>IF(OR(F1220="",I1220=""),"",IF(COUNTIFS(F$6:F1220,F1220,I$6:I1220,"?*")=1,MAX(W$5:W1219)+1,""))</f>
        <v/>
      </c>
    </row>
    <row r="1221">
      <c r="B1221" s="15" t="n"/>
      <c r="C1221" s="16" t="n"/>
      <c r="D1221" s="17" t="n"/>
      <c r="E1221" s="17" t="n"/>
      <c r="F1221" s="17" t="n"/>
      <c r="G1221" s="17" t="n"/>
      <c r="H1221" s="18">
        <f>IF(AND(B1221="",C1221="",D1221="",E1221=""),"",IF(B1221="","⚠ Falta fecha",IF(C1221="","⚠ Falta monto",IF(D1221="","⚠ Falta categoría",IF(ISNA(MATCH(D1221,catNom,0)),"⚠ Categoría no existe",IF(E1221="","⚠ Falta cuenta",IF(ISNA(MATCH(E1221,ctaNom,0)),"⚠ Cuenta no existe",IF(AND(OR(I1221="Transferencia",I1221="Pago tarjeta"),G1221=""),"⚠ Indica la cuenta «Hacia»",IF(AND(G1221&lt;&gt;"",G1221=E1221),"⚠ «Hacia» igual a la cuenta",IF(AND(G1221&lt;&gt;"",ISNA(MATCH(G1221,ctaNom,0))),"⚠ «Hacia» no existe",IF(AND(I1221="Pago tarjeta",IFERROR(INDEX(ctaTipo,MATCH(G1221,ctaNom,0)),"")&lt;&gt;"Tarjeta de crédito"),"⚠ «Hacia» debe ser la tarjeta",IF(AND(I1221="Trading",IFERROR(INDEX(ctaTipo,MATCH(E1221,ctaNom,0)),"")&lt;&gt;"Cuenta de trading"),"⚠ Usa la cuenta de trading","✓"))))))))))))</f>
        <v/>
      </c>
      <c r="I1221" s="19">
        <f>IF(OR(B1221="",C1221="",D1221=""),"",IFERROR(INDEX(catTipo,MATCH(D1221,catNom,0))&amp;"",""))</f>
        <v/>
      </c>
      <c r="J1221" s="19">
        <f>IF(I1221="","",IFERROR(INDEX(catGrupo,MATCH(D1221,catNom,0))&amp;"",""))</f>
        <v/>
      </c>
      <c r="K1221" s="19">
        <f>IF(I1221="Gasto",IF(IFERROR(INDEX(catClas,MATCH(D1221,catNom,0))&amp;"","")="","Variable",IFERROR(INDEX(catClas,MATCH(D1221,catNom,0))&amp;"","")),"")</f>
        <v/>
      </c>
      <c r="L1221" s="19">
        <f>IF(I1221="","",IFERROR(INDEX(catAlim,MATCH(D1221,catNom,0))&amp;"",""))</f>
        <v/>
      </c>
      <c r="M1221" s="19">
        <f>IF(I1221="","",IFERROR(INDEX(catComida,MATCH(D1221,catNom,0))&amp;"",""))</f>
        <v/>
      </c>
      <c r="N1221" s="19">
        <f>IF(I1221="","",IFERROR(INDEX(ctaMon,MATCH(E1221,ctaNom,0))&amp;"","DOP"))</f>
        <v/>
      </c>
      <c r="O1221" s="20">
        <f>IF(I1221="","",C1221*IF(N1221="USD",TasaUSD,1))</f>
        <v/>
      </c>
      <c r="P1221" s="20">
        <f>IF(I1221="","",IF(I1221="Gasto",O1221,0))</f>
        <v/>
      </c>
      <c r="Q1221" s="20">
        <f>IF(I1221="","",IF(I1221="Ingreso",O1221,0))</f>
        <v/>
      </c>
      <c r="R1221" s="20">
        <f>IF(I1221="","",IF(I1221="Trading",O1221,0))</f>
        <v/>
      </c>
      <c r="S1221" s="19">
        <f>IF(I1221="","",IF(AND(I1221="Gasto",K1221="Variable",J1221&lt;&gt;"Trading",O1221&gt;0,O1221&lt;=Umbral),1,0))</f>
        <v/>
      </c>
      <c r="T1221" s="20">
        <f>IF(OR(I1221="",E1221=""),"",IF(OR(I1221="Gasto",I1221="Transferencia",I1221="Pago tarjeta"),-1,1)*C1221)</f>
        <v/>
      </c>
      <c r="U1221" s="20">
        <f>IF(OR(G1221="",AND(I1221&lt;&gt;"Transferencia",I1221&lt;&gt;"Pago tarjeta")),"",IF(IFERROR(INDEX(ctaMon,MATCH(G1221,ctaNom,0))&amp;"","DOP")=N1221,C1221,IF(N1221="USD",C1221*TasaUSD,C1221/TasaUSD)))</f>
        <v/>
      </c>
      <c r="V1221" s="20">
        <f>IF(I1221="","",IF(IFERROR(INDEX(ctaLiq,MATCH(E1221,ctaNom,0))="Sí",FALSE),IF(OR(I1221="Gasto",I1221="Transferencia",I1221="Pago tarjeta"),-1,1)*O1221,0)+IF(AND(U1221&lt;&gt;"",IFERROR(INDEX(ctaLiq,MATCH(G1221,ctaNom,0))="Sí",FALSE)),O1221,0))</f>
        <v/>
      </c>
      <c r="W1221" s="19">
        <f>IF(OR(F1221="",I1221=""),"",IF(COUNTIFS(F$6:F1221,F1221,I$6:I1221,"?*")=1,MAX(W$5:W1220)+1,""))</f>
        <v/>
      </c>
    </row>
    <row r="1222">
      <c r="B1222" s="15" t="n"/>
      <c r="C1222" s="16" t="n"/>
      <c r="D1222" s="17" t="n"/>
      <c r="E1222" s="17" t="n"/>
      <c r="F1222" s="17" t="n"/>
      <c r="G1222" s="17" t="n"/>
      <c r="H1222" s="18">
        <f>IF(AND(B1222="",C1222="",D1222="",E1222=""),"",IF(B1222="","⚠ Falta fecha",IF(C1222="","⚠ Falta monto",IF(D1222="","⚠ Falta categoría",IF(ISNA(MATCH(D1222,catNom,0)),"⚠ Categoría no existe",IF(E1222="","⚠ Falta cuenta",IF(ISNA(MATCH(E1222,ctaNom,0)),"⚠ Cuenta no existe",IF(AND(OR(I1222="Transferencia",I1222="Pago tarjeta"),G1222=""),"⚠ Indica la cuenta «Hacia»",IF(AND(G1222&lt;&gt;"",G1222=E1222),"⚠ «Hacia» igual a la cuenta",IF(AND(G1222&lt;&gt;"",ISNA(MATCH(G1222,ctaNom,0))),"⚠ «Hacia» no existe",IF(AND(I1222="Pago tarjeta",IFERROR(INDEX(ctaTipo,MATCH(G1222,ctaNom,0)),"")&lt;&gt;"Tarjeta de crédito"),"⚠ «Hacia» debe ser la tarjeta",IF(AND(I1222="Trading",IFERROR(INDEX(ctaTipo,MATCH(E1222,ctaNom,0)),"")&lt;&gt;"Cuenta de trading"),"⚠ Usa la cuenta de trading","✓"))))))))))))</f>
        <v/>
      </c>
      <c r="I1222" s="19">
        <f>IF(OR(B1222="",C1222="",D1222=""),"",IFERROR(INDEX(catTipo,MATCH(D1222,catNom,0))&amp;"",""))</f>
        <v/>
      </c>
      <c r="J1222" s="19">
        <f>IF(I1222="","",IFERROR(INDEX(catGrupo,MATCH(D1222,catNom,0))&amp;"",""))</f>
        <v/>
      </c>
      <c r="K1222" s="19">
        <f>IF(I1222="Gasto",IF(IFERROR(INDEX(catClas,MATCH(D1222,catNom,0))&amp;"","")="","Variable",IFERROR(INDEX(catClas,MATCH(D1222,catNom,0))&amp;"","")),"")</f>
        <v/>
      </c>
      <c r="L1222" s="19">
        <f>IF(I1222="","",IFERROR(INDEX(catAlim,MATCH(D1222,catNom,0))&amp;"",""))</f>
        <v/>
      </c>
      <c r="M1222" s="19">
        <f>IF(I1222="","",IFERROR(INDEX(catComida,MATCH(D1222,catNom,0))&amp;"",""))</f>
        <v/>
      </c>
      <c r="N1222" s="19">
        <f>IF(I1222="","",IFERROR(INDEX(ctaMon,MATCH(E1222,ctaNom,0))&amp;"","DOP"))</f>
        <v/>
      </c>
      <c r="O1222" s="20">
        <f>IF(I1222="","",C1222*IF(N1222="USD",TasaUSD,1))</f>
        <v/>
      </c>
      <c r="P1222" s="20">
        <f>IF(I1222="","",IF(I1222="Gasto",O1222,0))</f>
        <v/>
      </c>
      <c r="Q1222" s="20">
        <f>IF(I1222="","",IF(I1222="Ingreso",O1222,0))</f>
        <v/>
      </c>
      <c r="R1222" s="20">
        <f>IF(I1222="","",IF(I1222="Trading",O1222,0))</f>
        <v/>
      </c>
      <c r="S1222" s="19">
        <f>IF(I1222="","",IF(AND(I1222="Gasto",K1222="Variable",J1222&lt;&gt;"Trading",O1222&gt;0,O1222&lt;=Umbral),1,0))</f>
        <v/>
      </c>
      <c r="T1222" s="20">
        <f>IF(OR(I1222="",E1222=""),"",IF(OR(I1222="Gasto",I1222="Transferencia",I1222="Pago tarjeta"),-1,1)*C1222)</f>
        <v/>
      </c>
      <c r="U1222" s="20">
        <f>IF(OR(G1222="",AND(I1222&lt;&gt;"Transferencia",I1222&lt;&gt;"Pago tarjeta")),"",IF(IFERROR(INDEX(ctaMon,MATCH(G1222,ctaNom,0))&amp;"","DOP")=N1222,C1222,IF(N1222="USD",C1222*TasaUSD,C1222/TasaUSD)))</f>
        <v/>
      </c>
      <c r="V1222" s="20">
        <f>IF(I1222="","",IF(IFERROR(INDEX(ctaLiq,MATCH(E1222,ctaNom,0))="Sí",FALSE),IF(OR(I1222="Gasto",I1222="Transferencia",I1222="Pago tarjeta"),-1,1)*O1222,0)+IF(AND(U1222&lt;&gt;"",IFERROR(INDEX(ctaLiq,MATCH(G1222,ctaNom,0))="Sí",FALSE)),O1222,0))</f>
        <v/>
      </c>
      <c r="W1222" s="19">
        <f>IF(OR(F1222="",I1222=""),"",IF(COUNTIFS(F$6:F1222,F1222,I$6:I1222,"?*")=1,MAX(W$5:W1221)+1,""))</f>
        <v/>
      </c>
    </row>
    <row r="1223">
      <c r="B1223" s="15" t="n"/>
      <c r="C1223" s="16" t="n"/>
      <c r="D1223" s="17" t="n"/>
      <c r="E1223" s="17" t="n"/>
      <c r="F1223" s="17" t="n"/>
      <c r="G1223" s="17" t="n"/>
      <c r="H1223" s="18">
        <f>IF(AND(B1223="",C1223="",D1223="",E1223=""),"",IF(B1223="","⚠ Falta fecha",IF(C1223="","⚠ Falta monto",IF(D1223="","⚠ Falta categoría",IF(ISNA(MATCH(D1223,catNom,0)),"⚠ Categoría no existe",IF(E1223="","⚠ Falta cuenta",IF(ISNA(MATCH(E1223,ctaNom,0)),"⚠ Cuenta no existe",IF(AND(OR(I1223="Transferencia",I1223="Pago tarjeta"),G1223=""),"⚠ Indica la cuenta «Hacia»",IF(AND(G1223&lt;&gt;"",G1223=E1223),"⚠ «Hacia» igual a la cuenta",IF(AND(G1223&lt;&gt;"",ISNA(MATCH(G1223,ctaNom,0))),"⚠ «Hacia» no existe",IF(AND(I1223="Pago tarjeta",IFERROR(INDEX(ctaTipo,MATCH(G1223,ctaNom,0)),"")&lt;&gt;"Tarjeta de crédito"),"⚠ «Hacia» debe ser la tarjeta",IF(AND(I1223="Trading",IFERROR(INDEX(ctaTipo,MATCH(E1223,ctaNom,0)),"")&lt;&gt;"Cuenta de trading"),"⚠ Usa la cuenta de trading","✓"))))))))))))</f>
        <v/>
      </c>
      <c r="I1223" s="19">
        <f>IF(OR(B1223="",C1223="",D1223=""),"",IFERROR(INDEX(catTipo,MATCH(D1223,catNom,0))&amp;"",""))</f>
        <v/>
      </c>
      <c r="J1223" s="19">
        <f>IF(I1223="","",IFERROR(INDEX(catGrupo,MATCH(D1223,catNom,0))&amp;"",""))</f>
        <v/>
      </c>
      <c r="K1223" s="19">
        <f>IF(I1223="Gasto",IF(IFERROR(INDEX(catClas,MATCH(D1223,catNom,0))&amp;"","")="","Variable",IFERROR(INDEX(catClas,MATCH(D1223,catNom,0))&amp;"","")),"")</f>
        <v/>
      </c>
      <c r="L1223" s="19">
        <f>IF(I1223="","",IFERROR(INDEX(catAlim,MATCH(D1223,catNom,0))&amp;"",""))</f>
        <v/>
      </c>
      <c r="M1223" s="19">
        <f>IF(I1223="","",IFERROR(INDEX(catComida,MATCH(D1223,catNom,0))&amp;"",""))</f>
        <v/>
      </c>
      <c r="N1223" s="19">
        <f>IF(I1223="","",IFERROR(INDEX(ctaMon,MATCH(E1223,ctaNom,0))&amp;"","DOP"))</f>
        <v/>
      </c>
      <c r="O1223" s="20">
        <f>IF(I1223="","",C1223*IF(N1223="USD",TasaUSD,1))</f>
        <v/>
      </c>
      <c r="P1223" s="20">
        <f>IF(I1223="","",IF(I1223="Gasto",O1223,0))</f>
        <v/>
      </c>
      <c r="Q1223" s="20">
        <f>IF(I1223="","",IF(I1223="Ingreso",O1223,0))</f>
        <v/>
      </c>
      <c r="R1223" s="20">
        <f>IF(I1223="","",IF(I1223="Trading",O1223,0))</f>
        <v/>
      </c>
      <c r="S1223" s="19">
        <f>IF(I1223="","",IF(AND(I1223="Gasto",K1223="Variable",J1223&lt;&gt;"Trading",O1223&gt;0,O1223&lt;=Umbral),1,0))</f>
        <v/>
      </c>
      <c r="T1223" s="20">
        <f>IF(OR(I1223="",E1223=""),"",IF(OR(I1223="Gasto",I1223="Transferencia",I1223="Pago tarjeta"),-1,1)*C1223)</f>
        <v/>
      </c>
      <c r="U1223" s="20">
        <f>IF(OR(G1223="",AND(I1223&lt;&gt;"Transferencia",I1223&lt;&gt;"Pago tarjeta")),"",IF(IFERROR(INDEX(ctaMon,MATCH(G1223,ctaNom,0))&amp;"","DOP")=N1223,C1223,IF(N1223="USD",C1223*TasaUSD,C1223/TasaUSD)))</f>
        <v/>
      </c>
      <c r="V1223" s="20">
        <f>IF(I1223="","",IF(IFERROR(INDEX(ctaLiq,MATCH(E1223,ctaNom,0))="Sí",FALSE),IF(OR(I1223="Gasto",I1223="Transferencia",I1223="Pago tarjeta"),-1,1)*O1223,0)+IF(AND(U1223&lt;&gt;"",IFERROR(INDEX(ctaLiq,MATCH(G1223,ctaNom,0))="Sí",FALSE)),O1223,0))</f>
        <v/>
      </c>
      <c r="W1223" s="19">
        <f>IF(OR(F1223="",I1223=""),"",IF(COUNTIFS(F$6:F1223,F1223,I$6:I1223,"?*")=1,MAX(W$5:W1222)+1,""))</f>
        <v/>
      </c>
    </row>
    <row r="1224">
      <c r="B1224" s="15" t="n"/>
      <c r="C1224" s="16" t="n"/>
      <c r="D1224" s="17" t="n"/>
      <c r="E1224" s="17" t="n"/>
      <c r="F1224" s="17" t="n"/>
      <c r="G1224" s="17" t="n"/>
      <c r="H1224" s="18">
        <f>IF(AND(B1224="",C1224="",D1224="",E1224=""),"",IF(B1224="","⚠ Falta fecha",IF(C1224="","⚠ Falta monto",IF(D1224="","⚠ Falta categoría",IF(ISNA(MATCH(D1224,catNom,0)),"⚠ Categoría no existe",IF(E1224="","⚠ Falta cuenta",IF(ISNA(MATCH(E1224,ctaNom,0)),"⚠ Cuenta no existe",IF(AND(OR(I1224="Transferencia",I1224="Pago tarjeta"),G1224=""),"⚠ Indica la cuenta «Hacia»",IF(AND(G1224&lt;&gt;"",G1224=E1224),"⚠ «Hacia» igual a la cuenta",IF(AND(G1224&lt;&gt;"",ISNA(MATCH(G1224,ctaNom,0))),"⚠ «Hacia» no existe",IF(AND(I1224="Pago tarjeta",IFERROR(INDEX(ctaTipo,MATCH(G1224,ctaNom,0)),"")&lt;&gt;"Tarjeta de crédito"),"⚠ «Hacia» debe ser la tarjeta",IF(AND(I1224="Trading",IFERROR(INDEX(ctaTipo,MATCH(E1224,ctaNom,0)),"")&lt;&gt;"Cuenta de trading"),"⚠ Usa la cuenta de trading","✓"))))))))))))</f>
        <v/>
      </c>
      <c r="I1224" s="19">
        <f>IF(OR(B1224="",C1224="",D1224=""),"",IFERROR(INDEX(catTipo,MATCH(D1224,catNom,0))&amp;"",""))</f>
        <v/>
      </c>
      <c r="J1224" s="19">
        <f>IF(I1224="","",IFERROR(INDEX(catGrupo,MATCH(D1224,catNom,0))&amp;"",""))</f>
        <v/>
      </c>
      <c r="K1224" s="19">
        <f>IF(I1224="Gasto",IF(IFERROR(INDEX(catClas,MATCH(D1224,catNom,0))&amp;"","")="","Variable",IFERROR(INDEX(catClas,MATCH(D1224,catNom,0))&amp;"","")),"")</f>
        <v/>
      </c>
      <c r="L1224" s="19">
        <f>IF(I1224="","",IFERROR(INDEX(catAlim,MATCH(D1224,catNom,0))&amp;"",""))</f>
        <v/>
      </c>
      <c r="M1224" s="19">
        <f>IF(I1224="","",IFERROR(INDEX(catComida,MATCH(D1224,catNom,0))&amp;"",""))</f>
        <v/>
      </c>
      <c r="N1224" s="19">
        <f>IF(I1224="","",IFERROR(INDEX(ctaMon,MATCH(E1224,ctaNom,0))&amp;"","DOP"))</f>
        <v/>
      </c>
      <c r="O1224" s="20">
        <f>IF(I1224="","",C1224*IF(N1224="USD",TasaUSD,1))</f>
        <v/>
      </c>
      <c r="P1224" s="20">
        <f>IF(I1224="","",IF(I1224="Gasto",O1224,0))</f>
        <v/>
      </c>
      <c r="Q1224" s="20">
        <f>IF(I1224="","",IF(I1224="Ingreso",O1224,0))</f>
        <v/>
      </c>
      <c r="R1224" s="20">
        <f>IF(I1224="","",IF(I1224="Trading",O1224,0))</f>
        <v/>
      </c>
      <c r="S1224" s="19">
        <f>IF(I1224="","",IF(AND(I1224="Gasto",K1224="Variable",J1224&lt;&gt;"Trading",O1224&gt;0,O1224&lt;=Umbral),1,0))</f>
        <v/>
      </c>
      <c r="T1224" s="20">
        <f>IF(OR(I1224="",E1224=""),"",IF(OR(I1224="Gasto",I1224="Transferencia",I1224="Pago tarjeta"),-1,1)*C1224)</f>
        <v/>
      </c>
      <c r="U1224" s="20">
        <f>IF(OR(G1224="",AND(I1224&lt;&gt;"Transferencia",I1224&lt;&gt;"Pago tarjeta")),"",IF(IFERROR(INDEX(ctaMon,MATCH(G1224,ctaNom,0))&amp;"","DOP")=N1224,C1224,IF(N1224="USD",C1224*TasaUSD,C1224/TasaUSD)))</f>
        <v/>
      </c>
      <c r="V1224" s="20">
        <f>IF(I1224="","",IF(IFERROR(INDEX(ctaLiq,MATCH(E1224,ctaNom,0))="Sí",FALSE),IF(OR(I1224="Gasto",I1224="Transferencia",I1224="Pago tarjeta"),-1,1)*O1224,0)+IF(AND(U1224&lt;&gt;"",IFERROR(INDEX(ctaLiq,MATCH(G1224,ctaNom,0))="Sí",FALSE)),O1224,0))</f>
        <v/>
      </c>
      <c r="W1224" s="19">
        <f>IF(OR(F1224="",I1224=""),"",IF(COUNTIFS(F$6:F1224,F1224,I$6:I1224,"?*")=1,MAX(W$5:W1223)+1,""))</f>
        <v/>
      </c>
    </row>
    <row r="1225">
      <c r="B1225" s="15" t="n"/>
      <c r="C1225" s="16" t="n"/>
      <c r="D1225" s="17" t="n"/>
      <c r="E1225" s="17" t="n"/>
      <c r="F1225" s="17" t="n"/>
      <c r="G1225" s="17" t="n"/>
      <c r="H1225" s="18">
        <f>IF(AND(B1225="",C1225="",D1225="",E1225=""),"",IF(B1225="","⚠ Falta fecha",IF(C1225="","⚠ Falta monto",IF(D1225="","⚠ Falta categoría",IF(ISNA(MATCH(D1225,catNom,0)),"⚠ Categoría no existe",IF(E1225="","⚠ Falta cuenta",IF(ISNA(MATCH(E1225,ctaNom,0)),"⚠ Cuenta no existe",IF(AND(OR(I1225="Transferencia",I1225="Pago tarjeta"),G1225=""),"⚠ Indica la cuenta «Hacia»",IF(AND(G1225&lt;&gt;"",G1225=E1225),"⚠ «Hacia» igual a la cuenta",IF(AND(G1225&lt;&gt;"",ISNA(MATCH(G1225,ctaNom,0))),"⚠ «Hacia» no existe",IF(AND(I1225="Pago tarjeta",IFERROR(INDEX(ctaTipo,MATCH(G1225,ctaNom,0)),"")&lt;&gt;"Tarjeta de crédito"),"⚠ «Hacia» debe ser la tarjeta",IF(AND(I1225="Trading",IFERROR(INDEX(ctaTipo,MATCH(E1225,ctaNom,0)),"")&lt;&gt;"Cuenta de trading"),"⚠ Usa la cuenta de trading","✓"))))))))))))</f>
        <v/>
      </c>
      <c r="I1225" s="19">
        <f>IF(OR(B1225="",C1225="",D1225=""),"",IFERROR(INDEX(catTipo,MATCH(D1225,catNom,0))&amp;"",""))</f>
        <v/>
      </c>
      <c r="J1225" s="19">
        <f>IF(I1225="","",IFERROR(INDEX(catGrupo,MATCH(D1225,catNom,0))&amp;"",""))</f>
        <v/>
      </c>
      <c r="K1225" s="19">
        <f>IF(I1225="Gasto",IF(IFERROR(INDEX(catClas,MATCH(D1225,catNom,0))&amp;"","")="","Variable",IFERROR(INDEX(catClas,MATCH(D1225,catNom,0))&amp;"","")),"")</f>
        <v/>
      </c>
      <c r="L1225" s="19">
        <f>IF(I1225="","",IFERROR(INDEX(catAlim,MATCH(D1225,catNom,0))&amp;"",""))</f>
        <v/>
      </c>
      <c r="M1225" s="19">
        <f>IF(I1225="","",IFERROR(INDEX(catComida,MATCH(D1225,catNom,0))&amp;"",""))</f>
        <v/>
      </c>
      <c r="N1225" s="19">
        <f>IF(I1225="","",IFERROR(INDEX(ctaMon,MATCH(E1225,ctaNom,0))&amp;"","DOP"))</f>
        <v/>
      </c>
      <c r="O1225" s="20">
        <f>IF(I1225="","",C1225*IF(N1225="USD",TasaUSD,1))</f>
        <v/>
      </c>
      <c r="P1225" s="20">
        <f>IF(I1225="","",IF(I1225="Gasto",O1225,0))</f>
        <v/>
      </c>
      <c r="Q1225" s="20">
        <f>IF(I1225="","",IF(I1225="Ingreso",O1225,0))</f>
        <v/>
      </c>
      <c r="R1225" s="20">
        <f>IF(I1225="","",IF(I1225="Trading",O1225,0))</f>
        <v/>
      </c>
      <c r="S1225" s="19">
        <f>IF(I1225="","",IF(AND(I1225="Gasto",K1225="Variable",J1225&lt;&gt;"Trading",O1225&gt;0,O1225&lt;=Umbral),1,0))</f>
        <v/>
      </c>
      <c r="T1225" s="20">
        <f>IF(OR(I1225="",E1225=""),"",IF(OR(I1225="Gasto",I1225="Transferencia",I1225="Pago tarjeta"),-1,1)*C1225)</f>
        <v/>
      </c>
      <c r="U1225" s="20">
        <f>IF(OR(G1225="",AND(I1225&lt;&gt;"Transferencia",I1225&lt;&gt;"Pago tarjeta")),"",IF(IFERROR(INDEX(ctaMon,MATCH(G1225,ctaNom,0))&amp;"","DOP")=N1225,C1225,IF(N1225="USD",C1225*TasaUSD,C1225/TasaUSD)))</f>
        <v/>
      </c>
      <c r="V1225" s="20">
        <f>IF(I1225="","",IF(IFERROR(INDEX(ctaLiq,MATCH(E1225,ctaNom,0))="Sí",FALSE),IF(OR(I1225="Gasto",I1225="Transferencia",I1225="Pago tarjeta"),-1,1)*O1225,0)+IF(AND(U1225&lt;&gt;"",IFERROR(INDEX(ctaLiq,MATCH(G1225,ctaNom,0))="Sí",FALSE)),O1225,0))</f>
        <v/>
      </c>
      <c r="W1225" s="19">
        <f>IF(OR(F1225="",I1225=""),"",IF(COUNTIFS(F$6:F1225,F1225,I$6:I1225,"?*")=1,MAX(W$5:W1224)+1,""))</f>
        <v/>
      </c>
    </row>
    <row r="1226">
      <c r="B1226" s="15" t="n"/>
      <c r="C1226" s="16" t="n"/>
      <c r="D1226" s="17" t="n"/>
      <c r="E1226" s="17" t="n"/>
      <c r="F1226" s="17" t="n"/>
      <c r="G1226" s="17" t="n"/>
      <c r="H1226" s="18">
        <f>IF(AND(B1226="",C1226="",D1226="",E1226=""),"",IF(B1226="","⚠ Falta fecha",IF(C1226="","⚠ Falta monto",IF(D1226="","⚠ Falta categoría",IF(ISNA(MATCH(D1226,catNom,0)),"⚠ Categoría no existe",IF(E1226="","⚠ Falta cuenta",IF(ISNA(MATCH(E1226,ctaNom,0)),"⚠ Cuenta no existe",IF(AND(OR(I1226="Transferencia",I1226="Pago tarjeta"),G1226=""),"⚠ Indica la cuenta «Hacia»",IF(AND(G1226&lt;&gt;"",G1226=E1226),"⚠ «Hacia» igual a la cuenta",IF(AND(G1226&lt;&gt;"",ISNA(MATCH(G1226,ctaNom,0))),"⚠ «Hacia» no existe",IF(AND(I1226="Pago tarjeta",IFERROR(INDEX(ctaTipo,MATCH(G1226,ctaNom,0)),"")&lt;&gt;"Tarjeta de crédito"),"⚠ «Hacia» debe ser la tarjeta",IF(AND(I1226="Trading",IFERROR(INDEX(ctaTipo,MATCH(E1226,ctaNom,0)),"")&lt;&gt;"Cuenta de trading"),"⚠ Usa la cuenta de trading","✓"))))))))))))</f>
        <v/>
      </c>
      <c r="I1226" s="19">
        <f>IF(OR(B1226="",C1226="",D1226=""),"",IFERROR(INDEX(catTipo,MATCH(D1226,catNom,0))&amp;"",""))</f>
        <v/>
      </c>
      <c r="J1226" s="19">
        <f>IF(I1226="","",IFERROR(INDEX(catGrupo,MATCH(D1226,catNom,0))&amp;"",""))</f>
        <v/>
      </c>
      <c r="K1226" s="19">
        <f>IF(I1226="Gasto",IF(IFERROR(INDEX(catClas,MATCH(D1226,catNom,0))&amp;"","")="","Variable",IFERROR(INDEX(catClas,MATCH(D1226,catNom,0))&amp;"","")),"")</f>
        <v/>
      </c>
      <c r="L1226" s="19">
        <f>IF(I1226="","",IFERROR(INDEX(catAlim,MATCH(D1226,catNom,0))&amp;"",""))</f>
        <v/>
      </c>
      <c r="M1226" s="19">
        <f>IF(I1226="","",IFERROR(INDEX(catComida,MATCH(D1226,catNom,0))&amp;"",""))</f>
        <v/>
      </c>
      <c r="N1226" s="19">
        <f>IF(I1226="","",IFERROR(INDEX(ctaMon,MATCH(E1226,ctaNom,0))&amp;"","DOP"))</f>
        <v/>
      </c>
      <c r="O1226" s="20">
        <f>IF(I1226="","",C1226*IF(N1226="USD",TasaUSD,1))</f>
        <v/>
      </c>
      <c r="P1226" s="20">
        <f>IF(I1226="","",IF(I1226="Gasto",O1226,0))</f>
        <v/>
      </c>
      <c r="Q1226" s="20">
        <f>IF(I1226="","",IF(I1226="Ingreso",O1226,0))</f>
        <v/>
      </c>
      <c r="R1226" s="20">
        <f>IF(I1226="","",IF(I1226="Trading",O1226,0))</f>
        <v/>
      </c>
      <c r="S1226" s="19">
        <f>IF(I1226="","",IF(AND(I1226="Gasto",K1226="Variable",J1226&lt;&gt;"Trading",O1226&gt;0,O1226&lt;=Umbral),1,0))</f>
        <v/>
      </c>
      <c r="T1226" s="20">
        <f>IF(OR(I1226="",E1226=""),"",IF(OR(I1226="Gasto",I1226="Transferencia",I1226="Pago tarjeta"),-1,1)*C1226)</f>
        <v/>
      </c>
      <c r="U1226" s="20">
        <f>IF(OR(G1226="",AND(I1226&lt;&gt;"Transferencia",I1226&lt;&gt;"Pago tarjeta")),"",IF(IFERROR(INDEX(ctaMon,MATCH(G1226,ctaNom,0))&amp;"","DOP")=N1226,C1226,IF(N1226="USD",C1226*TasaUSD,C1226/TasaUSD)))</f>
        <v/>
      </c>
      <c r="V1226" s="20">
        <f>IF(I1226="","",IF(IFERROR(INDEX(ctaLiq,MATCH(E1226,ctaNom,0))="Sí",FALSE),IF(OR(I1226="Gasto",I1226="Transferencia",I1226="Pago tarjeta"),-1,1)*O1226,0)+IF(AND(U1226&lt;&gt;"",IFERROR(INDEX(ctaLiq,MATCH(G1226,ctaNom,0))="Sí",FALSE)),O1226,0))</f>
        <v/>
      </c>
      <c r="W1226" s="19">
        <f>IF(OR(F1226="",I1226=""),"",IF(COUNTIFS(F$6:F1226,F1226,I$6:I1226,"?*")=1,MAX(W$5:W1225)+1,""))</f>
        <v/>
      </c>
    </row>
    <row r="1227">
      <c r="B1227" s="15" t="n"/>
      <c r="C1227" s="16" t="n"/>
      <c r="D1227" s="17" t="n"/>
      <c r="E1227" s="17" t="n"/>
      <c r="F1227" s="17" t="n"/>
      <c r="G1227" s="17" t="n"/>
      <c r="H1227" s="18">
        <f>IF(AND(B1227="",C1227="",D1227="",E1227=""),"",IF(B1227="","⚠ Falta fecha",IF(C1227="","⚠ Falta monto",IF(D1227="","⚠ Falta categoría",IF(ISNA(MATCH(D1227,catNom,0)),"⚠ Categoría no existe",IF(E1227="","⚠ Falta cuenta",IF(ISNA(MATCH(E1227,ctaNom,0)),"⚠ Cuenta no existe",IF(AND(OR(I1227="Transferencia",I1227="Pago tarjeta"),G1227=""),"⚠ Indica la cuenta «Hacia»",IF(AND(G1227&lt;&gt;"",G1227=E1227),"⚠ «Hacia» igual a la cuenta",IF(AND(G1227&lt;&gt;"",ISNA(MATCH(G1227,ctaNom,0))),"⚠ «Hacia» no existe",IF(AND(I1227="Pago tarjeta",IFERROR(INDEX(ctaTipo,MATCH(G1227,ctaNom,0)),"")&lt;&gt;"Tarjeta de crédito"),"⚠ «Hacia» debe ser la tarjeta",IF(AND(I1227="Trading",IFERROR(INDEX(ctaTipo,MATCH(E1227,ctaNom,0)),"")&lt;&gt;"Cuenta de trading"),"⚠ Usa la cuenta de trading","✓"))))))))))))</f>
        <v/>
      </c>
      <c r="I1227" s="19">
        <f>IF(OR(B1227="",C1227="",D1227=""),"",IFERROR(INDEX(catTipo,MATCH(D1227,catNom,0))&amp;"",""))</f>
        <v/>
      </c>
      <c r="J1227" s="19">
        <f>IF(I1227="","",IFERROR(INDEX(catGrupo,MATCH(D1227,catNom,0))&amp;"",""))</f>
        <v/>
      </c>
      <c r="K1227" s="19">
        <f>IF(I1227="Gasto",IF(IFERROR(INDEX(catClas,MATCH(D1227,catNom,0))&amp;"","")="","Variable",IFERROR(INDEX(catClas,MATCH(D1227,catNom,0))&amp;"","")),"")</f>
        <v/>
      </c>
      <c r="L1227" s="19">
        <f>IF(I1227="","",IFERROR(INDEX(catAlim,MATCH(D1227,catNom,0))&amp;"",""))</f>
        <v/>
      </c>
      <c r="M1227" s="19">
        <f>IF(I1227="","",IFERROR(INDEX(catComida,MATCH(D1227,catNom,0))&amp;"",""))</f>
        <v/>
      </c>
      <c r="N1227" s="19">
        <f>IF(I1227="","",IFERROR(INDEX(ctaMon,MATCH(E1227,ctaNom,0))&amp;"","DOP"))</f>
        <v/>
      </c>
      <c r="O1227" s="20">
        <f>IF(I1227="","",C1227*IF(N1227="USD",TasaUSD,1))</f>
        <v/>
      </c>
      <c r="P1227" s="20">
        <f>IF(I1227="","",IF(I1227="Gasto",O1227,0))</f>
        <v/>
      </c>
      <c r="Q1227" s="20">
        <f>IF(I1227="","",IF(I1227="Ingreso",O1227,0))</f>
        <v/>
      </c>
      <c r="R1227" s="20">
        <f>IF(I1227="","",IF(I1227="Trading",O1227,0))</f>
        <v/>
      </c>
      <c r="S1227" s="19">
        <f>IF(I1227="","",IF(AND(I1227="Gasto",K1227="Variable",J1227&lt;&gt;"Trading",O1227&gt;0,O1227&lt;=Umbral),1,0))</f>
        <v/>
      </c>
      <c r="T1227" s="20">
        <f>IF(OR(I1227="",E1227=""),"",IF(OR(I1227="Gasto",I1227="Transferencia",I1227="Pago tarjeta"),-1,1)*C1227)</f>
        <v/>
      </c>
      <c r="U1227" s="20">
        <f>IF(OR(G1227="",AND(I1227&lt;&gt;"Transferencia",I1227&lt;&gt;"Pago tarjeta")),"",IF(IFERROR(INDEX(ctaMon,MATCH(G1227,ctaNom,0))&amp;"","DOP")=N1227,C1227,IF(N1227="USD",C1227*TasaUSD,C1227/TasaUSD)))</f>
        <v/>
      </c>
      <c r="V1227" s="20">
        <f>IF(I1227="","",IF(IFERROR(INDEX(ctaLiq,MATCH(E1227,ctaNom,0))="Sí",FALSE),IF(OR(I1227="Gasto",I1227="Transferencia",I1227="Pago tarjeta"),-1,1)*O1227,0)+IF(AND(U1227&lt;&gt;"",IFERROR(INDEX(ctaLiq,MATCH(G1227,ctaNom,0))="Sí",FALSE)),O1227,0))</f>
        <v/>
      </c>
      <c r="W1227" s="19">
        <f>IF(OR(F1227="",I1227=""),"",IF(COUNTIFS(F$6:F1227,F1227,I$6:I1227,"?*")=1,MAX(W$5:W1226)+1,""))</f>
        <v/>
      </c>
    </row>
    <row r="1228">
      <c r="B1228" s="15" t="n"/>
      <c r="C1228" s="16" t="n"/>
      <c r="D1228" s="17" t="n"/>
      <c r="E1228" s="17" t="n"/>
      <c r="F1228" s="17" t="n"/>
      <c r="G1228" s="17" t="n"/>
      <c r="H1228" s="18">
        <f>IF(AND(B1228="",C1228="",D1228="",E1228=""),"",IF(B1228="","⚠ Falta fecha",IF(C1228="","⚠ Falta monto",IF(D1228="","⚠ Falta categoría",IF(ISNA(MATCH(D1228,catNom,0)),"⚠ Categoría no existe",IF(E1228="","⚠ Falta cuenta",IF(ISNA(MATCH(E1228,ctaNom,0)),"⚠ Cuenta no existe",IF(AND(OR(I1228="Transferencia",I1228="Pago tarjeta"),G1228=""),"⚠ Indica la cuenta «Hacia»",IF(AND(G1228&lt;&gt;"",G1228=E1228),"⚠ «Hacia» igual a la cuenta",IF(AND(G1228&lt;&gt;"",ISNA(MATCH(G1228,ctaNom,0))),"⚠ «Hacia» no existe",IF(AND(I1228="Pago tarjeta",IFERROR(INDEX(ctaTipo,MATCH(G1228,ctaNom,0)),"")&lt;&gt;"Tarjeta de crédito"),"⚠ «Hacia» debe ser la tarjeta",IF(AND(I1228="Trading",IFERROR(INDEX(ctaTipo,MATCH(E1228,ctaNom,0)),"")&lt;&gt;"Cuenta de trading"),"⚠ Usa la cuenta de trading","✓"))))))))))))</f>
        <v/>
      </c>
      <c r="I1228" s="19">
        <f>IF(OR(B1228="",C1228="",D1228=""),"",IFERROR(INDEX(catTipo,MATCH(D1228,catNom,0))&amp;"",""))</f>
        <v/>
      </c>
      <c r="J1228" s="19">
        <f>IF(I1228="","",IFERROR(INDEX(catGrupo,MATCH(D1228,catNom,0))&amp;"",""))</f>
        <v/>
      </c>
      <c r="K1228" s="19">
        <f>IF(I1228="Gasto",IF(IFERROR(INDEX(catClas,MATCH(D1228,catNom,0))&amp;"","")="","Variable",IFERROR(INDEX(catClas,MATCH(D1228,catNom,0))&amp;"","")),"")</f>
        <v/>
      </c>
      <c r="L1228" s="19">
        <f>IF(I1228="","",IFERROR(INDEX(catAlim,MATCH(D1228,catNom,0))&amp;"",""))</f>
        <v/>
      </c>
      <c r="M1228" s="19">
        <f>IF(I1228="","",IFERROR(INDEX(catComida,MATCH(D1228,catNom,0))&amp;"",""))</f>
        <v/>
      </c>
      <c r="N1228" s="19">
        <f>IF(I1228="","",IFERROR(INDEX(ctaMon,MATCH(E1228,ctaNom,0))&amp;"","DOP"))</f>
        <v/>
      </c>
      <c r="O1228" s="20">
        <f>IF(I1228="","",C1228*IF(N1228="USD",TasaUSD,1))</f>
        <v/>
      </c>
      <c r="P1228" s="20">
        <f>IF(I1228="","",IF(I1228="Gasto",O1228,0))</f>
        <v/>
      </c>
      <c r="Q1228" s="20">
        <f>IF(I1228="","",IF(I1228="Ingreso",O1228,0))</f>
        <v/>
      </c>
      <c r="R1228" s="20">
        <f>IF(I1228="","",IF(I1228="Trading",O1228,0))</f>
        <v/>
      </c>
      <c r="S1228" s="19">
        <f>IF(I1228="","",IF(AND(I1228="Gasto",K1228="Variable",J1228&lt;&gt;"Trading",O1228&gt;0,O1228&lt;=Umbral),1,0))</f>
        <v/>
      </c>
      <c r="T1228" s="20">
        <f>IF(OR(I1228="",E1228=""),"",IF(OR(I1228="Gasto",I1228="Transferencia",I1228="Pago tarjeta"),-1,1)*C1228)</f>
        <v/>
      </c>
      <c r="U1228" s="20">
        <f>IF(OR(G1228="",AND(I1228&lt;&gt;"Transferencia",I1228&lt;&gt;"Pago tarjeta")),"",IF(IFERROR(INDEX(ctaMon,MATCH(G1228,ctaNom,0))&amp;"","DOP")=N1228,C1228,IF(N1228="USD",C1228*TasaUSD,C1228/TasaUSD)))</f>
        <v/>
      </c>
      <c r="V1228" s="20">
        <f>IF(I1228="","",IF(IFERROR(INDEX(ctaLiq,MATCH(E1228,ctaNom,0))="Sí",FALSE),IF(OR(I1228="Gasto",I1228="Transferencia",I1228="Pago tarjeta"),-1,1)*O1228,0)+IF(AND(U1228&lt;&gt;"",IFERROR(INDEX(ctaLiq,MATCH(G1228,ctaNom,0))="Sí",FALSE)),O1228,0))</f>
        <v/>
      </c>
      <c r="W1228" s="19">
        <f>IF(OR(F1228="",I1228=""),"",IF(COUNTIFS(F$6:F1228,F1228,I$6:I1228,"?*")=1,MAX(W$5:W1227)+1,""))</f>
        <v/>
      </c>
    </row>
    <row r="1229">
      <c r="B1229" s="15" t="n"/>
      <c r="C1229" s="16" t="n"/>
      <c r="D1229" s="17" t="n"/>
      <c r="E1229" s="17" t="n"/>
      <c r="F1229" s="17" t="n"/>
      <c r="G1229" s="17" t="n"/>
      <c r="H1229" s="18">
        <f>IF(AND(B1229="",C1229="",D1229="",E1229=""),"",IF(B1229="","⚠ Falta fecha",IF(C1229="","⚠ Falta monto",IF(D1229="","⚠ Falta categoría",IF(ISNA(MATCH(D1229,catNom,0)),"⚠ Categoría no existe",IF(E1229="","⚠ Falta cuenta",IF(ISNA(MATCH(E1229,ctaNom,0)),"⚠ Cuenta no existe",IF(AND(OR(I1229="Transferencia",I1229="Pago tarjeta"),G1229=""),"⚠ Indica la cuenta «Hacia»",IF(AND(G1229&lt;&gt;"",G1229=E1229),"⚠ «Hacia» igual a la cuenta",IF(AND(G1229&lt;&gt;"",ISNA(MATCH(G1229,ctaNom,0))),"⚠ «Hacia» no existe",IF(AND(I1229="Pago tarjeta",IFERROR(INDEX(ctaTipo,MATCH(G1229,ctaNom,0)),"")&lt;&gt;"Tarjeta de crédito"),"⚠ «Hacia» debe ser la tarjeta",IF(AND(I1229="Trading",IFERROR(INDEX(ctaTipo,MATCH(E1229,ctaNom,0)),"")&lt;&gt;"Cuenta de trading"),"⚠ Usa la cuenta de trading","✓"))))))))))))</f>
        <v/>
      </c>
      <c r="I1229" s="19">
        <f>IF(OR(B1229="",C1229="",D1229=""),"",IFERROR(INDEX(catTipo,MATCH(D1229,catNom,0))&amp;"",""))</f>
        <v/>
      </c>
      <c r="J1229" s="19">
        <f>IF(I1229="","",IFERROR(INDEX(catGrupo,MATCH(D1229,catNom,0))&amp;"",""))</f>
        <v/>
      </c>
      <c r="K1229" s="19">
        <f>IF(I1229="Gasto",IF(IFERROR(INDEX(catClas,MATCH(D1229,catNom,0))&amp;"","")="","Variable",IFERROR(INDEX(catClas,MATCH(D1229,catNom,0))&amp;"","")),"")</f>
        <v/>
      </c>
      <c r="L1229" s="19">
        <f>IF(I1229="","",IFERROR(INDEX(catAlim,MATCH(D1229,catNom,0))&amp;"",""))</f>
        <v/>
      </c>
      <c r="M1229" s="19">
        <f>IF(I1229="","",IFERROR(INDEX(catComida,MATCH(D1229,catNom,0))&amp;"",""))</f>
        <v/>
      </c>
      <c r="N1229" s="19">
        <f>IF(I1229="","",IFERROR(INDEX(ctaMon,MATCH(E1229,ctaNom,0))&amp;"","DOP"))</f>
        <v/>
      </c>
      <c r="O1229" s="20">
        <f>IF(I1229="","",C1229*IF(N1229="USD",TasaUSD,1))</f>
        <v/>
      </c>
      <c r="P1229" s="20">
        <f>IF(I1229="","",IF(I1229="Gasto",O1229,0))</f>
        <v/>
      </c>
      <c r="Q1229" s="20">
        <f>IF(I1229="","",IF(I1229="Ingreso",O1229,0))</f>
        <v/>
      </c>
      <c r="R1229" s="20">
        <f>IF(I1229="","",IF(I1229="Trading",O1229,0))</f>
        <v/>
      </c>
      <c r="S1229" s="19">
        <f>IF(I1229="","",IF(AND(I1229="Gasto",K1229="Variable",J1229&lt;&gt;"Trading",O1229&gt;0,O1229&lt;=Umbral),1,0))</f>
        <v/>
      </c>
      <c r="T1229" s="20">
        <f>IF(OR(I1229="",E1229=""),"",IF(OR(I1229="Gasto",I1229="Transferencia",I1229="Pago tarjeta"),-1,1)*C1229)</f>
        <v/>
      </c>
      <c r="U1229" s="20">
        <f>IF(OR(G1229="",AND(I1229&lt;&gt;"Transferencia",I1229&lt;&gt;"Pago tarjeta")),"",IF(IFERROR(INDEX(ctaMon,MATCH(G1229,ctaNom,0))&amp;"","DOP")=N1229,C1229,IF(N1229="USD",C1229*TasaUSD,C1229/TasaUSD)))</f>
        <v/>
      </c>
      <c r="V1229" s="20">
        <f>IF(I1229="","",IF(IFERROR(INDEX(ctaLiq,MATCH(E1229,ctaNom,0))="Sí",FALSE),IF(OR(I1229="Gasto",I1229="Transferencia",I1229="Pago tarjeta"),-1,1)*O1229,0)+IF(AND(U1229&lt;&gt;"",IFERROR(INDEX(ctaLiq,MATCH(G1229,ctaNom,0))="Sí",FALSE)),O1229,0))</f>
        <v/>
      </c>
      <c r="W1229" s="19">
        <f>IF(OR(F1229="",I1229=""),"",IF(COUNTIFS(F$6:F1229,F1229,I$6:I1229,"?*")=1,MAX(W$5:W1228)+1,""))</f>
        <v/>
      </c>
    </row>
    <row r="1230">
      <c r="B1230" s="15" t="n"/>
      <c r="C1230" s="16" t="n"/>
      <c r="D1230" s="17" t="n"/>
      <c r="E1230" s="17" t="n"/>
      <c r="F1230" s="17" t="n"/>
      <c r="G1230" s="17" t="n"/>
      <c r="H1230" s="18">
        <f>IF(AND(B1230="",C1230="",D1230="",E1230=""),"",IF(B1230="","⚠ Falta fecha",IF(C1230="","⚠ Falta monto",IF(D1230="","⚠ Falta categoría",IF(ISNA(MATCH(D1230,catNom,0)),"⚠ Categoría no existe",IF(E1230="","⚠ Falta cuenta",IF(ISNA(MATCH(E1230,ctaNom,0)),"⚠ Cuenta no existe",IF(AND(OR(I1230="Transferencia",I1230="Pago tarjeta"),G1230=""),"⚠ Indica la cuenta «Hacia»",IF(AND(G1230&lt;&gt;"",G1230=E1230),"⚠ «Hacia» igual a la cuenta",IF(AND(G1230&lt;&gt;"",ISNA(MATCH(G1230,ctaNom,0))),"⚠ «Hacia» no existe",IF(AND(I1230="Pago tarjeta",IFERROR(INDEX(ctaTipo,MATCH(G1230,ctaNom,0)),"")&lt;&gt;"Tarjeta de crédito"),"⚠ «Hacia» debe ser la tarjeta",IF(AND(I1230="Trading",IFERROR(INDEX(ctaTipo,MATCH(E1230,ctaNom,0)),"")&lt;&gt;"Cuenta de trading"),"⚠ Usa la cuenta de trading","✓"))))))))))))</f>
        <v/>
      </c>
      <c r="I1230" s="19">
        <f>IF(OR(B1230="",C1230="",D1230=""),"",IFERROR(INDEX(catTipo,MATCH(D1230,catNom,0))&amp;"",""))</f>
        <v/>
      </c>
      <c r="J1230" s="19">
        <f>IF(I1230="","",IFERROR(INDEX(catGrupo,MATCH(D1230,catNom,0))&amp;"",""))</f>
        <v/>
      </c>
      <c r="K1230" s="19">
        <f>IF(I1230="Gasto",IF(IFERROR(INDEX(catClas,MATCH(D1230,catNom,0))&amp;"","")="","Variable",IFERROR(INDEX(catClas,MATCH(D1230,catNom,0))&amp;"","")),"")</f>
        <v/>
      </c>
      <c r="L1230" s="19">
        <f>IF(I1230="","",IFERROR(INDEX(catAlim,MATCH(D1230,catNom,0))&amp;"",""))</f>
        <v/>
      </c>
      <c r="M1230" s="19">
        <f>IF(I1230="","",IFERROR(INDEX(catComida,MATCH(D1230,catNom,0))&amp;"",""))</f>
        <v/>
      </c>
      <c r="N1230" s="19">
        <f>IF(I1230="","",IFERROR(INDEX(ctaMon,MATCH(E1230,ctaNom,0))&amp;"","DOP"))</f>
        <v/>
      </c>
      <c r="O1230" s="20">
        <f>IF(I1230="","",C1230*IF(N1230="USD",TasaUSD,1))</f>
        <v/>
      </c>
      <c r="P1230" s="20">
        <f>IF(I1230="","",IF(I1230="Gasto",O1230,0))</f>
        <v/>
      </c>
      <c r="Q1230" s="20">
        <f>IF(I1230="","",IF(I1230="Ingreso",O1230,0))</f>
        <v/>
      </c>
      <c r="R1230" s="20">
        <f>IF(I1230="","",IF(I1230="Trading",O1230,0))</f>
        <v/>
      </c>
      <c r="S1230" s="19">
        <f>IF(I1230="","",IF(AND(I1230="Gasto",K1230="Variable",J1230&lt;&gt;"Trading",O1230&gt;0,O1230&lt;=Umbral),1,0))</f>
        <v/>
      </c>
      <c r="T1230" s="20">
        <f>IF(OR(I1230="",E1230=""),"",IF(OR(I1230="Gasto",I1230="Transferencia",I1230="Pago tarjeta"),-1,1)*C1230)</f>
        <v/>
      </c>
      <c r="U1230" s="20">
        <f>IF(OR(G1230="",AND(I1230&lt;&gt;"Transferencia",I1230&lt;&gt;"Pago tarjeta")),"",IF(IFERROR(INDEX(ctaMon,MATCH(G1230,ctaNom,0))&amp;"","DOP")=N1230,C1230,IF(N1230="USD",C1230*TasaUSD,C1230/TasaUSD)))</f>
        <v/>
      </c>
      <c r="V1230" s="20">
        <f>IF(I1230="","",IF(IFERROR(INDEX(ctaLiq,MATCH(E1230,ctaNom,0))="Sí",FALSE),IF(OR(I1230="Gasto",I1230="Transferencia",I1230="Pago tarjeta"),-1,1)*O1230,0)+IF(AND(U1230&lt;&gt;"",IFERROR(INDEX(ctaLiq,MATCH(G1230,ctaNom,0))="Sí",FALSE)),O1230,0))</f>
        <v/>
      </c>
      <c r="W1230" s="19">
        <f>IF(OR(F1230="",I1230=""),"",IF(COUNTIFS(F$6:F1230,F1230,I$6:I1230,"?*")=1,MAX(W$5:W1229)+1,""))</f>
        <v/>
      </c>
    </row>
    <row r="1231">
      <c r="B1231" s="15" t="n"/>
      <c r="C1231" s="16" t="n"/>
      <c r="D1231" s="17" t="n"/>
      <c r="E1231" s="17" t="n"/>
      <c r="F1231" s="17" t="n"/>
      <c r="G1231" s="17" t="n"/>
      <c r="H1231" s="18">
        <f>IF(AND(B1231="",C1231="",D1231="",E1231=""),"",IF(B1231="","⚠ Falta fecha",IF(C1231="","⚠ Falta monto",IF(D1231="","⚠ Falta categoría",IF(ISNA(MATCH(D1231,catNom,0)),"⚠ Categoría no existe",IF(E1231="","⚠ Falta cuenta",IF(ISNA(MATCH(E1231,ctaNom,0)),"⚠ Cuenta no existe",IF(AND(OR(I1231="Transferencia",I1231="Pago tarjeta"),G1231=""),"⚠ Indica la cuenta «Hacia»",IF(AND(G1231&lt;&gt;"",G1231=E1231),"⚠ «Hacia» igual a la cuenta",IF(AND(G1231&lt;&gt;"",ISNA(MATCH(G1231,ctaNom,0))),"⚠ «Hacia» no existe",IF(AND(I1231="Pago tarjeta",IFERROR(INDEX(ctaTipo,MATCH(G1231,ctaNom,0)),"")&lt;&gt;"Tarjeta de crédito"),"⚠ «Hacia» debe ser la tarjeta",IF(AND(I1231="Trading",IFERROR(INDEX(ctaTipo,MATCH(E1231,ctaNom,0)),"")&lt;&gt;"Cuenta de trading"),"⚠ Usa la cuenta de trading","✓"))))))))))))</f>
        <v/>
      </c>
      <c r="I1231" s="19">
        <f>IF(OR(B1231="",C1231="",D1231=""),"",IFERROR(INDEX(catTipo,MATCH(D1231,catNom,0))&amp;"",""))</f>
        <v/>
      </c>
      <c r="J1231" s="19">
        <f>IF(I1231="","",IFERROR(INDEX(catGrupo,MATCH(D1231,catNom,0))&amp;"",""))</f>
        <v/>
      </c>
      <c r="K1231" s="19">
        <f>IF(I1231="Gasto",IF(IFERROR(INDEX(catClas,MATCH(D1231,catNom,0))&amp;"","")="","Variable",IFERROR(INDEX(catClas,MATCH(D1231,catNom,0))&amp;"","")),"")</f>
        <v/>
      </c>
      <c r="L1231" s="19">
        <f>IF(I1231="","",IFERROR(INDEX(catAlim,MATCH(D1231,catNom,0))&amp;"",""))</f>
        <v/>
      </c>
      <c r="M1231" s="19">
        <f>IF(I1231="","",IFERROR(INDEX(catComida,MATCH(D1231,catNom,0))&amp;"",""))</f>
        <v/>
      </c>
      <c r="N1231" s="19">
        <f>IF(I1231="","",IFERROR(INDEX(ctaMon,MATCH(E1231,ctaNom,0))&amp;"","DOP"))</f>
        <v/>
      </c>
      <c r="O1231" s="20">
        <f>IF(I1231="","",C1231*IF(N1231="USD",TasaUSD,1))</f>
        <v/>
      </c>
      <c r="P1231" s="20">
        <f>IF(I1231="","",IF(I1231="Gasto",O1231,0))</f>
        <v/>
      </c>
      <c r="Q1231" s="20">
        <f>IF(I1231="","",IF(I1231="Ingreso",O1231,0))</f>
        <v/>
      </c>
      <c r="R1231" s="20">
        <f>IF(I1231="","",IF(I1231="Trading",O1231,0))</f>
        <v/>
      </c>
      <c r="S1231" s="19">
        <f>IF(I1231="","",IF(AND(I1231="Gasto",K1231="Variable",J1231&lt;&gt;"Trading",O1231&gt;0,O1231&lt;=Umbral),1,0))</f>
        <v/>
      </c>
      <c r="T1231" s="20">
        <f>IF(OR(I1231="",E1231=""),"",IF(OR(I1231="Gasto",I1231="Transferencia",I1231="Pago tarjeta"),-1,1)*C1231)</f>
        <v/>
      </c>
      <c r="U1231" s="20">
        <f>IF(OR(G1231="",AND(I1231&lt;&gt;"Transferencia",I1231&lt;&gt;"Pago tarjeta")),"",IF(IFERROR(INDEX(ctaMon,MATCH(G1231,ctaNom,0))&amp;"","DOP")=N1231,C1231,IF(N1231="USD",C1231*TasaUSD,C1231/TasaUSD)))</f>
        <v/>
      </c>
      <c r="V1231" s="20">
        <f>IF(I1231="","",IF(IFERROR(INDEX(ctaLiq,MATCH(E1231,ctaNom,0))="Sí",FALSE),IF(OR(I1231="Gasto",I1231="Transferencia",I1231="Pago tarjeta"),-1,1)*O1231,0)+IF(AND(U1231&lt;&gt;"",IFERROR(INDEX(ctaLiq,MATCH(G1231,ctaNom,0))="Sí",FALSE)),O1231,0))</f>
        <v/>
      </c>
      <c r="W1231" s="19">
        <f>IF(OR(F1231="",I1231=""),"",IF(COUNTIFS(F$6:F1231,F1231,I$6:I1231,"?*")=1,MAX(W$5:W1230)+1,""))</f>
        <v/>
      </c>
    </row>
    <row r="1232">
      <c r="B1232" s="15" t="n"/>
      <c r="C1232" s="16" t="n"/>
      <c r="D1232" s="17" t="n"/>
      <c r="E1232" s="17" t="n"/>
      <c r="F1232" s="17" t="n"/>
      <c r="G1232" s="17" t="n"/>
      <c r="H1232" s="18">
        <f>IF(AND(B1232="",C1232="",D1232="",E1232=""),"",IF(B1232="","⚠ Falta fecha",IF(C1232="","⚠ Falta monto",IF(D1232="","⚠ Falta categoría",IF(ISNA(MATCH(D1232,catNom,0)),"⚠ Categoría no existe",IF(E1232="","⚠ Falta cuenta",IF(ISNA(MATCH(E1232,ctaNom,0)),"⚠ Cuenta no existe",IF(AND(OR(I1232="Transferencia",I1232="Pago tarjeta"),G1232=""),"⚠ Indica la cuenta «Hacia»",IF(AND(G1232&lt;&gt;"",G1232=E1232),"⚠ «Hacia» igual a la cuenta",IF(AND(G1232&lt;&gt;"",ISNA(MATCH(G1232,ctaNom,0))),"⚠ «Hacia» no existe",IF(AND(I1232="Pago tarjeta",IFERROR(INDEX(ctaTipo,MATCH(G1232,ctaNom,0)),"")&lt;&gt;"Tarjeta de crédito"),"⚠ «Hacia» debe ser la tarjeta",IF(AND(I1232="Trading",IFERROR(INDEX(ctaTipo,MATCH(E1232,ctaNom,0)),"")&lt;&gt;"Cuenta de trading"),"⚠ Usa la cuenta de trading","✓"))))))))))))</f>
        <v/>
      </c>
      <c r="I1232" s="19">
        <f>IF(OR(B1232="",C1232="",D1232=""),"",IFERROR(INDEX(catTipo,MATCH(D1232,catNom,0))&amp;"",""))</f>
        <v/>
      </c>
      <c r="J1232" s="19">
        <f>IF(I1232="","",IFERROR(INDEX(catGrupo,MATCH(D1232,catNom,0))&amp;"",""))</f>
        <v/>
      </c>
      <c r="K1232" s="19">
        <f>IF(I1232="Gasto",IF(IFERROR(INDEX(catClas,MATCH(D1232,catNom,0))&amp;"","")="","Variable",IFERROR(INDEX(catClas,MATCH(D1232,catNom,0))&amp;"","")),"")</f>
        <v/>
      </c>
      <c r="L1232" s="19">
        <f>IF(I1232="","",IFERROR(INDEX(catAlim,MATCH(D1232,catNom,0))&amp;"",""))</f>
        <v/>
      </c>
      <c r="M1232" s="19">
        <f>IF(I1232="","",IFERROR(INDEX(catComida,MATCH(D1232,catNom,0))&amp;"",""))</f>
        <v/>
      </c>
      <c r="N1232" s="19">
        <f>IF(I1232="","",IFERROR(INDEX(ctaMon,MATCH(E1232,ctaNom,0))&amp;"","DOP"))</f>
        <v/>
      </c>
      <c r="O1232" s="20">
        <f>IF(I1232="","",C1232*IF(N1232="USD",TasaUSD,1))</f>
        <v/>
      </c>
      <c r="P1232" s="20">
        <f>IF(I1232="","",IF(I1232="Gasto",O1232,0))</f>
        <v/>
      </c>
      <c r="Q1232" s="20">
        <f>IF(I1232="","",IF(I1232="Ingreso",O1232,0))</f>
        <v/>
      </c>
      <c r="R1232" s="20">
        <f>IF(I1232="","",IF(I1232="Trading",O1232,0))</f>
        <v/>
      </c>
      <c r="S1232" s="19">
        <f>IF(I1232="","",IF(AND(I1232="Gasto",K1232="Variable",J1232&lt;&gt;"Trading",O1232&gt;0,O1232&lt;=Umbral),1,0))</f>
        <v/>
      </c>
      <c r="T1232" s="20">
        <f>IF(OR(I1232="",E1232=""),"",IF(OR(I1232="Gasto",I1232="Transferencia",I1232="Pago tarjeta"),-1,1)*C1232)</f>
        <v/>
      </c>
      <c r="U1232" s="20">
        <f>IF(OR(G1232="",AND(I1232&lt;&gt;"Transferencia",I1232&lt;&gt;"Pago tarjeta")),"",IF(IFERROR(INDEX(ctaMon,MATCH(G1232,ctaNom,0))&amp;"","DOP")=N1232,C1232,IF(N1232="USD",C1232*TasaUSD,C1232/TasaUSD)))</f>
        <v/>
      </c>
      <c r="V1232" s="20">
        <f>IF(I1232="","",IF(IFERROR(INDEX(ctaLiq,MATCH(E1232,ctaNom,0))="Sí",FALSE),IF(OR(I1232="Gasto",I1232="Transferencia",I1232="Pago tarjeta"),-1,1)*O1232,0)+IF(AND(U1232&lt;&gt;"",IFERROR(INDEX(ctaLiq,MATCH(G1232,ctaNom,0))="Sí",FALSE)),O1232,0))</f>
        <v/>
      </c>
      <c r="W1232" s="19">
        <f>IF(OR(F1232="",I1232=""),"",IF(COUNTIFS(F$6:F1232,F1232,I$6:I1232,"?*")=1,MAX(W$5:W1231)+1,""))</f>
        <v/>
      </c>
    </row>
    <row r="1233">
      <c r="B1233" s="15" t="n"/>
      <c r="C1233" s="16" t="n"/>
      <c r="D1233" s="17" t="n"/>
      <c r="E1233" s="17" t="n"/>
      <c r="F1233" s="17" t="n"/>
      <c r="G1233" s="17" t="n"/>
      <c r="H1233" s="18">
        <f>IF(AND(B1233="",C1233="",D1233="",E1233=""),"",IF(B1233="","⚠ Falta fecha",IF(C1233="","⚠ Falta monto",IF(D1233="","⚠ Falta categoría",IF(ISNA(MATCH(D1233,catNom,0)),"⚠ Categoría no existe",IF(E1233="","⚠ Falta cuenta",IF(ISNA(MATCH(E1233,ctaNom,0)),"⚠ Cuenta no existe",IF(AND(OR(I1233="Transferencia",I1233="Pago tarjeta"),G1233=""),"⚠ Indica la cuenta «Hacia»",IF(AND(G1233&lt;&gt;"",G1233=E1233),"⚠ «Hacia» igual a la cuenta",IF(AND(G1233&lt;&gt;"",ISNA(MATCH(G1233,ctaNom,0))),"⚠ «Hacia» no existe",IF(AND(I1233="Pago tarjeta",IFERROR(INDEX(ctaTipo,MATCH(G1233,ctaNom,0)),"")&lt;&gt;"Tarjeta de crédito"),"⚠ «Hacia» debe ser la tarjeta",IF(AND(I1233="Trading",IFERROR(INDEX(ctaTipo,MATCH(E1233,ctaNom,0)),"")&lt;&gt;"Cuenta de trading"),"⚠ Usa la cuenta de trading","✓"))))))))))))</f>
        <v/>
      </c>
      <c r="I1233" s="19">
        <f>IF(OR(B1233="",C1233="",D1233=""),"",IFERROR(INDEX(catTipo,MATCH(D1233,catNom,0))&amp;"",""))</f>
        <v/>
      </c>
      <c r="J1233" s="19">
        <f>IF(I1233="","",IFERROR(INDEX(catGrupo,MATCH(D1233,catNom,0))&amp;"",""))</f>
        <v/>
      </c>
      <c r="K1233" s="19">
        <f>IF(I1233="Gasto",IF(IFERROR(INDEX(catClas,MATCH(D1233,catNom,0))&amp;"","")="","Variable",IFERROR(INDEX(catClas,MATCH(D1233,catNom,0))&amp;"","")),"")</f>
        <v/>
      </c>
      <c r="L1233" s="19">
        <f>IF(I1233="","",IFERROR(INDEX(catAlim,MATCH(D1233,catNom,0))&amp;"",""))</f>
        <v/>
      </c>
      <c r="M1233" s="19">
        <f>IF(I1233="","",IFERROR(INDEX(catComida,MATCH(D1233,catNom,0))&amp;"",""))</f>
        <v/>
      </c>
      <c r="N1233" s="19">
        <f>IF(I1233="","",IFERROR(INDEX(ctaMon,MATCH(E1233,ctaNom,0))&amp;"","DOP"))</f>
        <v/>
      </c>
      <c r="O1233" s="20">
        <f>IF(I1233="","",C1233*IF(N1233="USD",TasaUSD,1))</f>
        <v/>
      </c>
      <c r="P1233" s="20">
        <f>IF(I1233="","",IF(I1233="Gasto",O1233,0))</f>
        <v/>
      </c>
      <c r="Q1233" s="20">
        <f>IF(I1233="","",IF(I1233="Ingreso",O1233,0))</f>
        <v/>
      </c>
      <c r="R1233" s="20">
        <f>IF(I1233="","",IF(I1233="Trading",O1233,0))</f>
        <v/>
      </c>
      <c r="S1233" s="19">
        <f>IF(I1233="","",IF(AND(I1233="Gasto",K1233="Variable",J1233&lt;&gt;"Trading",O1233&gt;0,O1233&lt;=Umbral),1,0))</f>
        <v/>
      </c>
      <c r="T1233" s="20">
        <f>IF(OR(I1233="",E1233=""),"",IF(OR(I1233="Gasto",I1233="Transferencia",I1233="Pago tarjeta"),-1,1)*C1233)</f>
        <v/>
      </c>
      <c r="U1233" s="20">
        <f>IF(OR(G1233="",AND(I1233&lt;&gt;"Transferencia",I1233&lt;&gt;"Pago tarjeta")),"",IF(IFERROR(INDEX(ctaMon,MATCH(G1233,ctaNom,0))&amp;"","DOP")=N1233,C1233,IF(N1233="USD",C1233*TasaUSD,C1233/TasaUSD)))</f>
        <v/>
      </c>
      <c r="V1233" s="20">
        <f>IF(I1233="","",IF(IFERROR(INDEX(ctaLiq,MATCH(E1233,ctaNom,0))="Sí",FALSE),IF(OR(I1233="Gasto",I1233="Transferencia",I1233="Pago tarjeta"),-1,1)*O1233,0)+IF(AND(U1233&lt;&gt;"",IFERROR(INDEX(ctaLiq,MATCH(G1233,ctaNom,0))="Sí",FALSE)),O1233,0))</f>
        <v/>
      </c>
      <c r="W1233" s="19">
        <f>IF(OR(F1233="",I1233=""),"",IF(COUNTIFS(F$6:F1233,F1233,I$6:I1233,"?*")=1,MAX(W$5:W1232)+1,""))</f>
        <v/>
      </c>
    </row>
    <row r="1234">
      <c r="B1234" s="15" t="n"/>
      <c r="C1234" s="16" t="n"/>
      <c r="D1234" s="17" t="n"/>
      <c r="E1234" s="17" t="n"/>
      <c r="F1234" s="17" t="n"/>
      <c r="G1234" s="17" t="n"/>
      <c r="H1234" s="18">
        <f>IF(AND(B1234="",C1234="",D1234="",E1234=""),"",IF(B1234="","⚠ Falta fecha",IF(C1234="","⚠ Falta monto",IF(D1234="","⚠ Falta categoría",IF(ISNA(MATCH(D1234,catNom,0)),"⚠ Categoría no existe",IF(E1234="","⚠ Falta cuenta",IF(ISNA(MATCH(E1234,ctaNom,0)),"⚠ Cuenta no existe",IF(AND(OR(I1234="Transferencia",I1234="Pago tarjeta"),G1234=""),"⚠ Indica la cuenta «Hacia»",IF(AND(G1234&lt;&gt;"",G1234=E1234),"⚠ «Hacia» igual a la cuenta",IF(AND(G1234&lt;&gt;"",ISNA(MATCH(G1234,ctaNom,0))),"⚠ «Hacia» no existe",IF(AND(I1234="Pago tarjeta",IFERROR(INDEX(ctaTipo,MATCH(G1234,ctaNom,0)),"")&lt;&gt;"Tarjeta de crédito"),"⚠ «Hacia» debe ser la tarjeta",IF(AND(I1234="Trading",IFERROR(INDEX(ctaTipo,MATCH(E1234,ctaNom,0)),"")&lt;&gt;"Cuenta de trading"),"⚠ Usa la cuenta de trading","✓"))))))))))))</f>
        <v/>
      </c>
      <c r="I1234" s="19">
        <f>IF(OR(B1234="",C1234="",D1234=""),"",IFERROR(INDEX(catTipo,MATCH(D1234,catNom,0))&amp;"",""))</f>
        <v/>
      </c>
      <c r="J1234" s="19">
        <f>IF(I1234="","",IFERROR(INDEX(catGrupo,MATCH(D1234,catNom,0))&amp;"",""))</f>
        <v/>
      </c>
      <c r="K1234" s="19">
        <f>IF(I1234="Gasto",IF(IFERROR(INDEX(catClas,MATCH(D1234,catNom,0))&amp;"","")="","Variable",IFERROR(INDEX(catClas,MATCH(D1234,catNom,0))&amp;"","")),"")</f>
        <v/>
      </c>
      <c r="L1234" s="19">
        <f>IF(I1234="","",IFERROR(INDEX(catAlim,MATCH(D1234,catNom,0))&amp;"",""))</f>
        <v/>
      </c>
      <c r="M1234" s="19">
        <f>IF(I1234="","",IFERROR(INDEX(catComida,MATCH(D1234,catNom,0))&amp;"",""))</f>
        <v/>
      </c>
      <c r="N1234" s="19">
        <f>IF(I1234="","",IFERROR(INDEX(ctaMon,MATCH(E1234,ctaNom,0))&amp;"","DOP"))</f>
        <v/>
      </c>
      <c r="O1234" s="20">
        <f>IF(I1234="","",C1234*IF(N1234="USD",TasaUSD,1))</f>
        <v/>
      </c>
      <c r="P1234" s="20">
        <f>IF(I1234="","",IF(I1234="Gasto",O1234,0))</f>
        <v/>
      </c>
      <c r="Q1234" s="20">
        <f>IF(I1234="","",IF(I1234="Ingreso",O1234,0))</f>
        <v/>
      </c>
      <c r="R1234" s="20">
        <f>IF(I1234="","",IF(I1234="Trading",O1234,0))</f>
        <v/>
      </c>
      <c r="S1234" s="19">
        <f>IF(I1234="","",IF(AND(I1234="Gasto",K1234="Variable",J1234&lt;&gt;"Trading",O1234&gt;0,O1234&lt;=Umbral),1,0))</f>
        <v/>
      </c>
      <c r="T1234" s="20">
        <f>IF(OR(I1234="",E1234=""),"",IF(OR(I1234="Gasto",I1234="Transferencia",I1234="Pago tarjeta"),-1,1)*C1234)</f>
        <v/>
      </c>
      <c r="U1234" s="20">
        <f>IF(OR(G1234="",AND(I1234&lt;&gt;"Transferencia",I1234&lt;&gt;"Pago tarjeta")),"",IF(IFERROR(INDEX(ctaMon,MATCH(G1234,ctaNom,0))&amp;"","DOP")=N1234,C1234,IF(N1234="USD",C1234*TasaUSD,C1234/TasaUSD)))</f>
        <v/>
      </c>
      <c r="V1234" s="20">
        <f>IF(I1234="","",IF(IFERROR(INDEX(ctaLiq,MATCH(E1234,ctaNom,0))="Sí",FALSE),IF(OR(I1234="Gasto",I1234="Transferencia",I1234="Pago tarjeta"),-1,1)*O1234,0)+IF(AND(U1234&lt;&gt;"",IFERROR(INDEX(ctaLiq,MATCH(G1234,ctaNom,0))="Sí",FALSE)),O1234,0))</f>
        <v/>
      </c>
      <c r="W1234" s="19">
        <f>IF(OR(F1234="",I1234=""),"",IF(COUNTIFS(F$6:F1234,F1234,I$6:I1234,"?*")=1,MAX(W$5:W1233)+1,""))</f>
        <v/>
      </c>
    </row>
    <row r="1235">
      <c r="B1235" s="15" t="n"/>
      <c r="C1235" s="16" t="n"/>
      <c r="D1235" s="17" t="n"/>
      <c r="E1235" s="17" t="n"/>
      <c r="F1235" s="17" t="n"/>
      <c r="G1235" s="17" t="n"/>
      <c r="H1235" s="18">
        <f>IF(AND(B1235="",C1235="",D1235="",E1235=""),"",IF(B1235="","⚠ Falta fecha",IF(C1235="","⚠ Falta monto",IF(D1235="","⚠ Falta categoría",IF(ISNA(MATCH(D1235,catNom,0)),"⚠ Categoría no existe",IF(E1235="","⚠ Falta cuenta",IF(ISNA(MATCH(E1235,ctaNom,0)),"⚠ Cuenta no existe",IF(AND(OR(I1235="Transferencia",I1235="Pago tarjeta"),G1235=""),"⚠ Indica la cuenta «Hacia»",IF(AND(G1235&lt;&gt;"",G1235=E1235),"⚠ «Hacia» igual a la cuenta",IF(AND(G1235&lt;&gt;"",ISNA(MATCH(G1235,ctaNom,0))),"⚠ «Hacia» no existe",IF(AND(I1235="Pago tarjeta",IFERROR(INDEX(ctaTipo,MATCH(G1235,ctaNom,0)),"")&lt;&gt;"Tarjeta de crédito"),"⚠ «Hacia» debe ser la tarjeta",IF(AND(I1235="Trading",IFERROR(INDEX(ctaTipo,MATCH(E1235,ctaNom,0)),"")&lt;&gt;"Cuenta de trading"),"⚠ Usa la cuenta de trading","✓"))))))))))))</f>
        <v/>
      </c>
      <c r="I1235" s="19">
        <f>IF(OR(B1235="",C1235="",D1235=""),"",IFERROR(INDEX(catTipo,MATCH(D1235,catNom,0))&amp;"",""))</f>
        <v/>
      </c>
      <c r="J1235" s="19">
        <f>IF(I1235="","",IFERROR(INDEX(catGrupo,MATCH(D1235,catNom,0))&amp;"",""))</f>
        <v/>
      </c>
      <c r="K1235" s="19">
        <f>IF(I1235="Gasto",IF(IFERROR(INDEX(catClas,MATCH(D1235,catNom,0))&amp;"","")="","Variable",IFERROR(INDEX(catClas,MATCH(D1235,catNom,0))&amp;"","")),"")</f>
        <v/>
      </c>
      <c r="L1235" s="19">
        <f>IF(I1235="","",IFERROR(INDEX(catAlim,MATCH(D1235,catNom,0))&amp;"",""))</f>
        <v/>
      </c>
      <c r="M1235" s="19">
        <f>IF(I1235="","",IFERROR(INDEX(catComida,MATCH(D1235,catNom,0))&amp;"",""))</f>
        <v/>
      </c>
      <c r="N1235" s="19">
        <f>IF(I1235="","",IFERROR(INDEX(ctaMon,MATCH(E1235,ctaNom,0))&amp;"","DOP"))</f>
        <v/>
      </c>
      <c r="O1235" s="20">
        <f>IF(I1235="","",C1235*IF(N1235="USD",TasaUSD,1))</f>
        <v/>
      </c>
      <c r="P1235" s="20">
        <f>IF(I1235="","",IF(I1235="Gasto",O1235,0))</f>
        <v/>
      </c>
      <c r="Q1235" s="20">
        <f>IF(I1235="","",IF(I1235="Ingreso",O1235,0))</f>
        <v/>
      </c>
      <c r="R1235" s="20">
        <f>IF(I1235="","",IF(I1235="Trading",O1235,0))</f>
        <v/>
      </c>
      <c r="S1235" s="19">
        <f>IF(I1235="","",IF(AND(I1235="Gasto",K1235="Variable",J1235&lt;&gt;"Trading",O1235&gt;0,O1235&lt;=Umbral),1,0))</f>
        <v/>
      </c>
      <c r="T1235" s="20">
        <f>IF(OR(I1235="",E1235=""),"",IF(OR(I1235="Gasto",I1235="Transferencia",I1235="Pago tarjeta"),-1,1)*C1235)</f>
        <v/>
      </c>
      <c r="U1235" s="20">
        <f>IF(OR(G1235="",AND(I1235&lt;&gt;"Transferencia",I1235&lt;&gt;"Pago tarjeta")),"",IF(IFERROR(INDEX(ctaMon,MATCH(G1235,ctaNom,0))&amp;"","DOP")=N1235,C1235,IF(N1235="USD",C1235*TasaUSD,C1235/TasaUSD)))</f>
        <v/>
      </c>
      <c r="V1235" s="20">
        <f>IF(I1235="","",IF(IFERROR(INDEX(ctaLiq,MATCH(E1235,ctaNom,0))="Sí",FALSE),IF(OR(I1235="Gasto",I1235="Transferencia",I1235="Pago tarjeta"),-1,1)*O1235,0)+IF(AND(U1235&lt;&gt;"",IFERROR(INDEX(ctaLiq,MATCH(G1235,ctaNom,0))="Sí",FALSE)),O1235,0))</f>
        <v/>
      </c>
      <c r="W1235" s="19">
        <f>IF(OR(F1235="",I1235=""),"",IF(COUNTIFS(F$6:F1235,F1235,I$6:I1235,"?*")=1,MAX(W$5:W1234)+1,""))</f>
        <v/>
      </c>
    </row>
    <row r="1236">
      <c r="B1236" s="15" t="n"/>
      <c r="C1236" s="16" t="n"/>
      <c r="D1236" s="17" t="n"/>
      <c r="E1236" s="17" t="n"/>
      <c r="F1236" s="17" t="n"/>
      <c r="G1236" s="17" t="n"/>
      <c r="H1236" s="18">
        <f>IF(AND(B1236="",C1236="",D1236="",E1236=""),"",IF(B1236="","⚠ Falta fecha",IF(C1236="","⚠ Falta monto",IF(D1236="","⚠ Falta categoría",IF(ISNA(MATCH(D1236,catNom,0)),"⚠ Categoría no existe",IF(E1236="","⚠ Falta cuenta",IF(ISNA(MATCH(E1236,ctaNom,0)),"⚠ Cuenta no existe",IF(AND(OR(I1236="Transferencia",I1236="Pago tarjeta"),G1236=""),"⚠ Indica la cuenta «Hacia»",IF(AND(G1236&lt;&gt;"",G1236=E1236),"⚠ «Hacia» igual a la cuenta",IF(AND(G1236&lt;&gt;"",ISNA(MATCH(G1236,ctaNom,0))),"⚠ «Hacia» no existe",IF(AND(I1236="Pago tarjeta",IFERROR(INDEX(ctaTipo,MATCH(G1236,ctaNom,0)),"")&lt;&gt;"Tarjeta de crédito"),"⚠ «Hacia» debe ser la tarjeta",IF(AND(I1236="Trading",IFERROR(INDEX(ctaTipo,MATCH(E1236,ctaNom,0)),"")&lt;&gt;"Cuenta de trading"),"⚠ Usa la cuenta de trading","✓"))))))))))))</f>
        <v/>
      </c>
      <c r="I1236" s="19">
        <f>IF(OR(B1236="",C1236="",D1236=""),"",IFERROR(INDEX(catTipo,MATCH(D1236,catNom,0))&amp;"",""))</f>
        <v/>
      </c>
      <c r="J1236" s="19">
        <f>IF(I1236="","",IFERROR(INDEX(catGrupo,MATCH(D1236,catNom,0))&amp;"",""))</f>
        <v/>
      </c>
      <c r="K1236" s="19">
        <f>IF(I1236="Gasto",IF(IFERROR(INDEX(catClas,MATCH(D1236,catNom,0))&amp;"","")="","Variable",IFERROR(INDEX(catClas,MATCH(D1236,catNom,0))&amp;"","")),"")</f>
        <v/>
      </c>
      <c r="L1236" s="19">
        <f>IF(I1236="","",IFERROR(INDEX(catAlim,MATCH(D1236,catNom,0))&amp;"",""))</f>
        <v/>
      </c>
      <c r="M1236" s="19">
        <f>IF(I1236="","",IFERROR(INDEX(catComida,MATCH(D1236,catNom,0))&amp;"",""))</f>
        <v/>
      </c>
      <c r="N1236" s="19">
        <f>IF(I1236="","",IFERROR(INDEX(ctaMon,MATCH(E1236,ctaNom,0))&amp;"","DOP"))</f>
        <v/>
      </c>
      <c r="O1236" s="20">
        <f>IF(I1236="","",C1236*IF(N1236="USD",TasaUSD,1))</f>
        <v/>
      </c>
      <c r="P1236" s="20">
        <f>IF(I1236="","",IF(I1236="Gasto",O1236,0))</f>
        <v/>
      </c>
      <c r="Q1236" s="20">
        <f>IF(I1236="","",IF(I1236="Ingreso",O1236,0))</f>
        <v/>
      </c>
      <c r="R1236" s="20">
        <f>IF(I1236="","",IF(I1236="Trading",O1236,0))</f>
        <v/>
      </c>
      <c r="S1236" s="19">
        <f>IF(I1236="","",IF(AND(I1236="Gasto",K1236="Variable",J1236&lt;&gt;"Trading",O1236&gt;0,O1236&lt;=Umbral),1,0))</f>
        <v/>
      </c>
      <c r="T1236" s="20">
        <f>IF(OR(I1236="",E1236=""),"",IF(OR(I1236="Gasto",I1236="Transferencia",I1236="Pago tarjeta"),-1,1)*C1236)</f>
        <v/>
      </c>
      <c r="U1236" s="20">
        <f>IF(OR(G1236="",AND(I1236&lt;&gt;"Transferencia",I1236&lt;&gt;"Pago tarjeta")),"",IF(IFERROR(INDEX(ctaMon,MATCH(G1236,ctaNom,0))&amp;"","DOP")=N1236,C1236,IF(N1236="USD",C1236*TasaUSD,C1236/TasaUSD)))</f>
        <v/>
      </c>
      <c r="V1236" s="20">
        <f>IF(I1236="","",IF(IFERROR(INDEX(ctaLiq,MATCH(E1236,ctaNom,0))="Sí",FALSE),IF(OR(I1236="Gasto",I1236="Transferencia",I1236="Pago tarjeta"),-1,1)*O1236,0)+IF(AND(U1236&lt;&gt;"",IFERROR(INDEX(ctaLiq,MATCH(G1236,ctaNom,0))="Sí",FALSE)),O1236,0))</f>
        <v/>
      </c>
      <c r="W1236" s="19">
        <f>IF(OR(F1236="",I1236=""),"",IF(COUNTIFS(F$6:F1236,F1236,I$6:I1236,"?*")=1,MAX(W$5:W1235)+1,""))</f>
        <v/>
      </c>
    </row>
    <row r="1237">
      <c r="B1237" s="15" t="n"/>
      <c r="C1237" s="16" t="n"/>
      <c r="D1237" s="17" t="n"/>
      <c r="E1237" s="17" t="n"/>
      <c r="F1237" s="17" t="n"/>
      <c r="G1237" s="17" t="n"/>
      <c r="H1237" s="18">
        <f>IF(AND(B1237="",C1237="",D1237="",E1237=""),"",IF(B1237="","⚠ Falta fecha",IF(C1237="","⚠ Falta monto",IF(D1237="","⚠ Falta categoría",IF(ISNA(MATCH(D1237,catNom,0)),"⚠ Categoría no existe",IF(E1237="","⚠ Falta cuenta",IF(ISNA(MATCH(E1237,ctaNom,0)),"⚠ Cuenta no existe",IF(AND(OR(I1237="Transferencia",I1237="Pago tarjeta"),G1237=""),"⚠ Indica la cuenta «Hacia»",IF(AND(G1237&lt;&gt;"",G1237=E1237),"⚠ «Hacia» igual a la cuenta",IF(AND(G1237&lt;&gt;"",ISNA(MATCH(G1237,ctaNom,0))),"⚠ «Hacia» no existe",IF(AND(I1237="Pago tarjeta",IFERROR(INDEX(ctaTipo,MATCH(G1237,ctaNom,0)),"")&lt;&gt;"Tarjeta de crédito"),"⚠ «Hacia» debe ser la tarjeta",IF(AND(I1237="Trading",IFERROR(INDEX(ctaTipo,MATCH(E1237,ctaNom,0)),"")&lt;&gt;"Cuenta de trading"),"⚠ Usa la cuenta de trading","✓"))))))))))))</f>
        <v/>
      </c>
      <c r="I1237" s="19">
        <f>IF(OR(B1237="",C1237="",D1237=""),"",IFERROR(INDEX(catTipo,MATCH(D1237,catNom,0))&amp;"",""))</f>
        <v/>
      </c>
      <c r="J1237" s="19">
        <f>IF(I1237="","",IFERROR(INDEX(catGrupo,MATCH(D1237,catNom,0))&amp;"",""))</f>
        <v/>
      </c>
      <c r="K1237" s="19">
        <f>IF(I1237="Gasto",IF(IFERROR(INDEX(catClas,MATCH(D1237,catNom,0))&amp;"","")="","Variable",IFERROR(INDEX(catClas,MATCH(D1237,catNom,0))&amp;"","")),"")</f>
        <v/>
      </c>
      <c r="L1237" s="19">
        <f>IF(I1237="","",IFERROR(INDEX(catAlim,MATCH(D1237,catNom,0))&amp;"",""))</f>
        <v/>
      </c>
      <c r="M1237" s="19">
        <f>IF(I1237="","",IFERROR(INDEX(catComida,MATCH(D1237,catNom,0))&amp;"",""))</f>
        <v/>
      </c>
      <c r="N1237" s="19">
        <f>IF(I1237="","",IFERROR(INDEX(ctaMon,MATCH(E1237,ctaNom,0))&amp;"","DOP"))</f>
        <v/>
      </c>
      <c r="O1237" s="20">
        <f>IF(I1237="","",C1237*IF(N1237="USD",TasaUSD,1))</f>
        <v/>
      </c>
      <c r="P1237" s="20">
        <f>IF(I1237="","",IF(I1237="Gasto",O1237,0))</f>
        <v/>
      </c>
      <c r="Q1237" s="20">
        <f>IF(I1237="","",IF(I1237="Ingreso",O1237,0))</f>
        <v/>
      </c>
      <c r="R1237" s="20">
        <f>IF(I1237="","",IF(I1237="Trading",O1237,0))</f>
        <v/>
      </c>
      <c r="S1237" s="19">
        <f>IF(I1237="","",IF(AND(I1237="Gasto",K1237="Variable",J1237&lt;&gt;"Trading",O1237&gt;0,O1237&lt;=Umbral),1,0))</f>
        <v/>
      </c>
      <c r="T1237" s="20">
        <f>IF(OR(I1237="",E1237=""),"",IF(OR(I1237="Gasto",I1237="Transferencia",I1237="Pago tarjeta"),-1,1)*C1237)</f>
        <v/>
      </c>
      <c r="U1237" s="20">
        <f>IF(OR(G1237="",AND(I1237&lt;&gt;"Transferencia",I1237&lt;&gt;"Pago tarjeta")),"",IF(IFERROR(INDEX(ctaMon,MATCH(G1237,ctaNom,0))&amp;"","DOP")=N1237,C1237,IF(N1237="USD",C1237*TasaUSD,C1237/TasaUSD)))</f>
        <v/>
      </c>
      <c r="V1237" s="20">
        <f>IF(I1237="","",IF(IFERROR(INDEX(ctaLiq,MATCH(E1237,ctaNom,0))="Sí",FALSE),IF(OR(I1237="Gasto",I1237="Transferencia",I1237="Pago tarjeta"),-1,1)*O1237,0)+IF(AND(U1237&lt;&gt;"",IFERROR(INDEX(ctaLiq,MATCH(G1237,ctaNom,0))="Sí",FALSE)),O1237,0))</f>
        <v/>
      </c>
      <c r="W1237" s="19">
        <f>IF(OR(F1237="",I1237=""),"",IF(COUNTIFS(F$6:F1237,F1237,I$6:I1237,"?*")=1,MAX(W$5:W1236)+1,""))</f>
        <v/>
      </c>
    </row>
    <row r="1238">
      <c r="B1238" s="15" t="n"/>
      <c r="C1238" s="16" t="n"/>
      <c r="D1238" s="17" t="n"/>
      <c r="E1238" s="17" t="n"/>
      <c r="F1238" s="17" t="n"/>
      <c r="G1238" s="17" t="n"/>
      <c r="H1238" s="18">
        <f>IF(AND(B1238="",C1238="",D1238="",E1238=""),"",IF(B1238="","⚠ Falta fecha",IF(C1238="","⚠ Falta monto",IF(D1238="","⚠ Falta categoría",IF(ISNA(MATCH(D1238,catNom,0)),"⚠ Categoría no existe",IF(E1238="","⚠ Falta cuenta",IF(ISNA(MATCH(E1238,ctaNom,0)),"⚠ Cuenta no existe",IF(AND(OR(I1238="Transferencia",I1238="Pago tarjeta"),G1238=""),"⚠ Indica la cuenta «Hacia»",IF(AND(G1238&lt;&gt;"",G1238=E1238),"⚠ «Hacia» igual a la cuenta",IF(AND(G1238&lt;&gt;"",ISNA(MATCH(G1238,ctaNom,0))),"⚠ «Hacia» no existe",IF(AND(I1238="Pago tarjeta",IFERROR(INDEX(ctaTipo,MATCH(G1238,ctaNom,0)),"")&lt;&gt;"Tarjeta de crédito"),"⚠ «Hacia» debe ser la tarjeta",IF(AND(I1238="Trading",IFERROR(INDEX(ctaTipo,MATCH(E1238,ctaNom,0)),"")&lt;&gt;"Cuenta de trading"),"⚠ Usa la cuenta de trading","✓"))))))))))))</f>
        <v/>
      </c>
      <c r="I1238" s="19">
        <f>IF(OR(B1238="",C1238="",D1238=""),"",IFERROR(INDEX(catTipo,MATCH(D1238,catNom,0))&amp;"",""))</f>
        <v/>
      </c>
      <c r="J1238" s="19">
        <f>IF(I1238="","",IFERROR(INDEX(catGrupo,MATCH(D1238,catNom,0))&amp;"",""))</f>
        <v/>
      </c>
      <c r="K1238" s="19">
        <f>IF(I1238="Gasto",IF(IFERROR(INDEX(catClas,MATCH(D1238,catNom,0))&amp;"","")="","Variable",IFERROR(INDEX(catClas,MATCH(D1238,catNom,0))&amp;"","")),"")</f>
        <v/>
      </c>
      <c r="L1238" s="19">
        <f>IF(I1238="","",IFERROR(INDEX(catAlim,MATCH(D1238,catNom,0))&amp;"",""))</f>
        <v/>
      </c>
      <c r="M1238" s="19">
        <f>IF(I1238="","",IFERROR(INDEX(catComida,MATCH(D1238,catNom,0))&amp;"",""))</f>
        <v/>
      </c>
      <c r="N1238" s="19">
        <f>IF(I1238="","",IFERROR(INDEX(ctaMon,MATCH(E1238,ctaNom,0))&amp;"","DOP"))</f>
        <v/>
      </c>
      <c r="O1238" s="20">
        <f>IF(I1238="","",C1238*IF(N1238="USD",TasaUSD,1))</f>
        <v/>
      </c>
      <c r="P1238" s="20">
        <f>IF(I1238="","",IF(I1238="Gasto",O1238,0))</f>
        <v/>
      </c>
      <c r="Q1238" s="20">
        <f>IF(I1238="","",IF(I1238="Ingreso",O1238,0))</f>
        <v/>
      </c>
      <c r="R1238" s="20">
        <f>IF(I1238="","",IF(I1238="Trading",O1238,0))</f>
        <v/>
      </c>
      <c r="S1238" s="19">
        <f>IF(I1238="","",IF(AND(I1238="Gasto",K1238="Variable",J1238&lt;&gt;"Trading",O1238&gt;0,O1238&lt;=Umbral),1,0))</f>
        <v/>
      </c>
      <c r="T1238" s="20">
        <f>IF(OR(I1238="",E1238=""),"",IF(OR(I1238="Gasto",I1238="Transferencia",I1238="Pago tarjeta"),-1,1)*C1238)</f>
        <v/>
      </c>
      <c r="U1238" s="20">
        <f>IF(OR(G1238="",AND(I1238&lt;&gt;"Transferencia",I1238&lt;&gt;"Pago tarjeta")),"",IF(IFERROR(INDEX(ctaMon,MATCH(G1238,ctaNom,0))&amp;"","DOP")=N1238,C1238,IF(N1238="USD",C1238*TasaUSD,C1238/TasaUSD)))</f>
        <v/>
      </c>
      <c r="V1238" s="20">
        <f>IF(I1238="","",IF(IFERROR(INDEX(ctaLiq,MATCH(E1238,ctaNom,0))="Sí",FALSE),IF(OR(I1238="Gasto",I1238="Transferencia",I1238="Pago tarjeta"),-1,1)*O1238,0)+IF(AND(U1238&lt;&gt;"",IFERROR(INDEX(ctaLiq,MATCH(G1238,ctaNom,0))="Sí",FALSE)),O1238,0))</f>
        <v/>
      </c>
      <c r="W1238" s="19">
        <f>IF(OR(F1238="",I1238=""),"",IF(COUNTIFS(F$6:F1238,F1238,I$6:I1238,"?*")=1,MAX(W$5:W1237)+1,""))</f>
        <v/>
      </c>
    </row>
    <row r="1239">
      <c r="B1239" s="15" t="n"/>
      <c r="C1239" s="16" t="n"/>
      <c r="D1239" s="17" t="n"/>
      <c r="E1239" s="17" t="n"/>
      <c r="F1239" s="17" t="n"/>
      <c r="G1239" s="17" t="n"/>
      <c r="H1239" s="18">
        <f>IF(AND(B1239="",C1239="",D1239="",E1239=""),"",IF(B1239="","⚠ Falta fecha",IF(C1239="","⚠ Falta monto",IF(D1239="","⚠ Falta categoría",IF(ISNA(MATCH(D1239,catNom,0)),"⚠ Categoría no existe",IF(E1239="","⚠ Falta cuenta",IF(ISNA(MATCH(E1239,ctaNom,0)),"⚠ Cuenta no existe",IF(AND(OR(I1239="Transferencia",I1239="Pago tarjeta"),G1239=""),"⚠ Indica la cuenta «Hacia»",IF(AND(G1239&lt;&gt;"",G1239=E1239),"⚠ «Hacia» igual a la cuenta",IF(AND(G1239&lt;&gt;"",ISNA(MATCH(G1239,ctaNom,0))),"⚠ «Hacia» no existe",IF(AND(I1239="Pago tarjeta",IFERROR(INDEX(ctaTipo,MATCH(G1239,ctaNom,0)),"")&lt;&gt;"Tarjeta de crédito"),"⚠ «Hacia» debe ser la tarjeta",IF(AND(I1239="Trading",IFERROR(INDEX(ctaTipo,MATCH(E1239,ctaNom,0)),"")&lt;&gt;"Cuenta de trading"),"⚠ Usa la cuenta de trading","✓"))))))))))))</f>
        <v/>
      </c>
      <c r="I1239" s="19">
        <f>IF(OR(B1239="",C1239="",D1239=""),"",IFERROR(INDEX(catTipo,MATCH(D1239,catNom,0))&amp;"",""))</f>
        <v/>
      </c>
      <c r="J1239" s="19">
        <f>IF(I1239="","",IFERROR(INDEX(catGrupo,MATCH(D1239,catNom,0))&amp;"",""))</f>
        <v/>
      </c>
      <c r="K1239" s="19">
        <f>IF(I1239="Gasto",IF(IFERROR(INDEX(catClas,MATCH(D1239,catNom,0))&amp;"","")="","Variable",IFERROR(INDEX(catClas,MATCH(D1239,catNom,0))&amp;"","")),"")</f>
        <v/>
      </c>
      <c r="L1239" s="19">
        <f>IF(I1239="","",IFERROR(INDEX(catAlim,MATCH(D1239,catNom,0))&amp;"",""))</f>
        <v/>
      </c>
      <c r="M1239" s="19">
        <f>IF(I1239="","",IFERROR(INDEX(catComida,MATCH(D1239,catNom,0))&amp;"",""))</f>
        <v/>
      </c>
      <c r="N1239" s="19">
        <f>IF(I1239="","",IFERROR(INDEX(ctaMon,MATCH(E1239,ctaNom,0))&amp;"","DOP"))</f>
        <v/>
      </c>
      <c r="O1239" s="20">
        <f>IF(I1239="","",C1239*IF(N1239="USD",TasaUSD,1))</f>
        <v/>
      </c>
      <c r="P1239" s="20">
        <f>IF(I1239="","",IF(I1239="Gasto",O1239,0))</f>
        <v/>
      </c>
      <c r="Q1239" s="20">
        <f>IF(I1239="","",IF(I1239="Ingreso",O1239,0))</f>
        <v/>
      </c>
      <c r="R1239" s="20">
        <f>IF(I1239="","",IF(I1239="Trading",O1239,0))</f>
        <v/>
      </c>
      <c r="S1239" s="19">
        <f>IF(I1239="","",IF(AND(I1239="Gasto",K1239="Variable",J1239&lt;&gt;"Trading",O1239&gt;0,O1239&lt;=Umbral),1,0))</f>
        <v/>
      </c>
      <c r="T1239" s="20">
        <f>IF(OR(I1239="",E1239=""),"",IF(OR(I1239="Gasto",I1239="Transferencia",I1239="Pago tarjeta"),-1,1)*C1239)</f>
        <v/>
      </c>
      <c r="U1239" s="20">
        <f>IF(OR(G1239="",AND(I1239&lt;&gt;"Transferencia",I1239&lt;&gt;"Pago tarjeta")),"",IF(IFERROR(INDEX(ctaMon,MATCH(G1239,ctaNom,0))&amp;"","DOP")=N1239,C1239,IF(N1239="USD",C1239*TasaUSD,C1239/TasaUSD)))</f>
        <v/>
      </c>
      <c r="V1239" s="20">
        <f>IF(I1239="","",IF(IFERROR(INDEX(ctaLiq,MATCH(E1239,ctaNom,0))="Sí",FALSE),IF(OR(I1239="Gasto",I1239="Transferencia",I1239="Pago tarjeta"),-1,1)*O1239,0)+IF(AND(U1239&lt;&gt;"",IFERROR(INDEX(ctaLiq,MATCH(G1239,ctaNom,0))="Sí",FALSE)),O1239,0))</f>
        <v/>
      </c>
      <c r="W1239" s="19">
        <f>IF(OR(F1239="",I1239=""),"",IF(COUNTIFS(F$6:F1239,F1239,I$6:I1239,"?*")=1,MAX(W$5:W1238)+1,""))</f>
        <v/>
      </c>
    </row>
    <row r="1240">
      <c r="B1240" s="15" t="n"/>
      <c r="C1240" s="16" t="n"/>
      <c r="D1240" s="17" t="n"/>
      <c r="E1240" s="17" t="n"/>
      <c r="F1240" s="17" t="n"/>
      <c r="G1240" s="17" t="n"/>
      <c r="H1240" s="18">
        <f>IF(AND(B1240="",C1240="",D1240="",E1240=""),"",IF(B1240="","⚠ Falta fecha",IF(C1240="","⚠ Falta monto",IF(D1240="","⚠ Falta categoría",IF(ISNA(MATCH(D1240,catNom,0)),"⚠ Categoría no existe",IF(E1240="","⚠ Falta cuenta",IF(ISNA(MATCH(E1240,ctaNom,0)),"⚠ Cuenta no existe",IF(AND(OR(I1240="Transferencia",I1240="Pago tarjeta"),G1240=""),"⚠ Indica la cuenta «Hacia»",IF(AND(G1240&lt;&gt;"",G1240=E1240),"⚠ «Hacia» igual a la cuenta",IF(AND(G1240&lt;&gt;"",ISNA(MATCH(G1240,ctaNom,0))),"⚠ «Hacia» no existe",IF(AND(I1240="Pago tarjeta",IFERROR(INDEX(ctaTipo,MATCH(G1240,ctaNom,0)),"")&lt;&gt;"Tarjeta de crédito"),"⚠ «Hacia» debe ser la tarjeta",IF(AND(I1240="Trading",IFERROR(INDEX(ctaTipo,MATCH(E1240,ctaNom,0)),"")&lt;&gt;"Cuenta de trading"),"⚠ Usa la cuenta de trading","✓"))))))))))))</f>
        <v/>
      </c>
      <c r="I1240" s="19">
        <f>IF(OR(B1240="",C1240="",D1240=""),"",IFERROR(INDEX(catTipo,MATCH(D1240,catNom,0))&amp;"",""))</f>
        <v/>
      </c>
      <c r="J1240" s="19">
        <f>IF(I1240="","",IFERROR(INDEX(catGrupo,MATCH(D1240,catNom,0))&amp;"",""))</f>
        <v/>
      </c>
      <c r="K1240" s="19">
        <f>IF(I1240="Gasto",IF(IFERROR(INDEX(catClas,MATCH(D1240,catNom,0))&amp;"","")="","Variable",IFERROR(INDEX(catClas,MATCH(D1240,catNom,0))&amp;"","")),"")</f>
        <v/>
      </c>
      <c r="L1240" s="19">
        <f>IF(I1240="","",IFERROR(INDEX(catAlim,MATCH(D1240,catNom,0))&amp;"",""))</f>
        <v/>
      </c>
      <c r="M1240" s="19">
        <f>IF(I1240="","",IFERROR(INDEX(catComida,MATCH(D1240,catNom,0))&amp;"",""))</f>
        <v/>
      </c>
      <c r="N1240" s="19">
        <f>IF(I1240="","",IFERROR(INDEX(ctaMon,MATCH(E1240,ctaNom,0))&amp;"","DOP"))</f>
        <v/>
      </c>
      <c r="O1240" s="20">
        <f>IF(I1240="","",C1240*IF(N1240="USD",TasaUSD,1))</f>
        <v/>
      </c>
      <c r="P1240" s="20">
        <f>IF(I1240="","",IF(I1240="Gasto",O1240,0))</f>
        <v/>
      </c>
      <c r="Q1240" s="20">
        <f>IF(I1240="","",IF(I1240="Ingreso",O1240,0))</f>
        <v/>
      </c>
      <c r="R1240" s="20">
        <f>IF(I1240="","",IF(I1240="Trading",O1240,0))</f>
        <v/>
      </c>
      <c r="S1240" s="19">
        <f>IF(I1240="","",IF(AND(I1240="Gasto",K1240="Variable",J1240&lt;&gt;"Trading",O1240&gt;0,O1240&lt;=Umbral),1,0))</f>
        <v/>
      </c>
      <c r="T1240" s="20">
        <f>IF(OR(I1240="",E1240=""),"",IF(OR(I1240="Gasto",I1240="Transferencia",I1240="Pago tarjeta"),-1,1)*C1240)</f>
        <v/>
      </c>
      <c r="U1240" s="20">
        <f>IF(OR(G1240="",AND(I1240&lt;&gt;"Transferencia",I1240&lt;&gt;"Pago tarjeta")),"",IF(IFERROR(INDEX(ctaMon,MATCH(G1240,ctaNom,0))&amp;"","DOP")=N1240,C1240,IF(N1240="USD",C1240*TasaUSD,C1240/TasaUSD)))</f>
        <v/>
      </c>
      <c r="V1240" s="20">
        <f>IF(I1240="","",IF(IFERROR(INDEX(ctaLiq,MATCH(E1240,ctaNom,0))="Sí",FALSE),IF(OR(I1240="Gasto",I1240="Transferencia",I1240="Pago tarjeta"),-1,1)*O1240,0)+IF(AND(U1240&lt;&gt;"",IFERROR(INDEX(ctaLiq,MATCH(G1240,ctaNom,0))="Sí",FALSE)),O1240,0))</f>
        <v/>
      </c>
      <c r="W1240" s="19">
        <f>IF(OR(F1240="",I1240=""),"",IF(COUNTIFS(F$6:F1240,F1240,I$6:I1240,"?*")=1,MAX(W$5:W1239)+1,""))</f>
        <v/>
      </c>
    </row>
    <row r="1241">
      <c r="B1241" s="15" t="n"/>
      <c r="C1241" s="16" t="n"/>
      <c r="D1241" s="17" t="n"/>
      <c r="E1241" s="17" t="n"/>
      <c r="F1241" s="17" t="n"/>
      <c r="G1241" s="17" t="n"/>
      <c r="H1241" s="18">
        <f>IF(AND(B1241="",C1241="",D1241="",E1241=""),"",IF(B1241="","⚠ Falta fecha",IF(C1241="","⚠ Falta monto",IF(D1241="","⚠ Falta categoría",IF(ISNA(MATCH(D1241,catNom,0)),"⚠ Categoría no existe",IF(E1241="","⚠ Falta cuenta",IF(ISNA(MATCH(E1241,ctaNom,0)),"⚠ Cuenta no existe",IF(AND(OR(I1241="Transferencia",I1241="Pago tarjeta"),G1241=""),"⚠ Indica la cuenta «Hacia»",IF(AND(G1241&lt;&gt;"",G1241=E1241),"⚠ «Hacia» igual a la cuenta",IF(AND(G1241&lt;&gt;"",ISNA(MATCH(G1241,ctaNom,0))),"⚠ «Hacia» no existe",IF(AND(I1241="Pago tarjeta",IFERROR(INDEX(ctaTipo,MATCH(G1241,ctaNom,0)),"")&lt;&gt;"Tarjeta de crédito"),"⚠ «Hacia» debe ser la tarjeta",IF(AND(I1241="Trading",IFERROR(INDEX(ctaTipo,MATCH(E1241,ctaNom,0)),"")&lt;&gt;"Cuenta de trading"),"⚠ Usa la cuenta de trading","✓"))))))))))))</f>
        <v/>
      </c>
      <c r="I1241" s="19">
        <f>IF(OR(B1241="",C1241="",D1241=""),"",IFERROR(INDEX(catTipo,MATCH(D1241,catNom,0))&amp;"",""))</f>
        <v/>
      </c>
      <c r="J1241" s="19">
        <f>IF(I1241="","",IFERROR(INDEX(catGrupo,MATCH(D1241,catNom,0))&amp;"",""))</f>
        <v/>
      </c>
      <c r="K1241" s="19">
        <f>IF(I1241="Gasto",IF(IFERROR(INDEX(catClas,MATCH(D1241,catNom,0))&amp;"","")="","Variable",IFERROR(INDEX(catClas,MATCH(D1241,catNom,0))&amp;"","")),"")</f>
        <v/>
      </c>
      <c r="L1241" s="19">
        <f>IF(I1241="","",IFERROR(INDEX(catAlim,MATCH(D1241,catNom,0))&amp;"",""))</f>
        <v/>
      </c>
      <c r="M1241" s="19">
        <f>IF(I1241="","",IFERROR(INDEX(catComida,MATCH(D1241,catNom,0))&amp;"",""))</f>
        <v/>
      </c>
      <c r="N1241" s="19">
        <f>IF(I1241="","",IFERROR(INDEX(ctaMon,MATCH(E1241,ctaNom,0))&amp;"","DOP"))</f>
        <v/>
      </c>
      <c r="O1241" s="20">
        <f>IF(I1241="","",C1241*IF(N1241="USD",TasaUSD,1))</f>
        <v/>
      </c>
      <c r="P1241" s="20">
        <f>IF(I1241="","",IF(I1241="Gasto",O1241,0))</f>
        <v/>
      </c>
      <c r="Q1241" s="20">
        <f>IF(I1241="","",IF(I1241="Ingreso",O1241,0))</f>
        <v/>
      </c>
      <c r="R1241" s="20">
        <f>IF(I1241="","",IF(I1241="Trading",O1241,0))</f>
        <v/>
      </c>
      <c r="S1241" s="19">
        <f>IF(I1241="","",IF(AND(I1241="Gasto",K1241="Variable",J1241&lt;&gt;"Trading",O1241&gt;0,O1241&lt;=Umbral),1,0))</f>
        <v/>
      </c>
      <c r="T1241" s="20">
        <f>IF(OR(I1241="",E1241=""),"",IF(OR(I1241="Gasto",I1241="Transferencia",I1241="Pago tarjeta"),-1,1)*C1241)</f>
        <v/>
      </c>
      <c r="U1241" s="20">
        <f>IF(OR(G1241="",AND(I1241&lt;&gt;"Transferencia",I1241&lt;&gt;"Pago tarjeta")),"",IF(IFERROR(INDEX(ctaMon,MATCH(G1241,ctaNom,0))&amp;"","DOP")=N1241,C1241,IF(N1241="USD",C1241*TasaUSD,C1241/TasaUSD)))</f>
        <v/>
      </c>
      <c r="V1241" s="20">
        <f>IF(I1241="","",IF(IFERROR(INDEX(ctaLiq,MATCH(E1241,ctaNom,0))="Sí",FALSE),IF(OR(I1241="Gasto",I1241="Transferencia",I1241="Pago tarjeta"),-1,1)*O1241,0)+IF(AND(U1241&lt;&gt;"",IFERROR(INDEX(ctaLiq,MATCH(G1241,ctaNom,0))="Sí",FALSE)),O1241,0))</f>
        <v/>
      </c>
      <c r="W1241" s="19">
        <f>IF(OR(F1241="",I1241=""),"",IF(COUNTIFS(F$6:F1241,F1241,I$6:I1241,"?*")=1,MAX(W$5:W1240)+1,""))</f>
        <v/>
      </c>
    </row>
    <row r="1242">
      <c r="B1242" s="15" t="n"/>
      <c r="C1242" s="16" t="n"/>
      <c r="D1242" s="17" t="n"/>
      <c r="E1242" s="17" t="n"/>
      <c r="F1242" s="17" t="n"/>
      <c r="G1242" s="17" t="n"/>
      <c r="H1242" s="18">
        <f>IF(AND(B1242="",C1242="",D1242="",E1242=""),"",IF(B1242="","⚠ Falta fecha",IF(C1242="","⚠ Falta monto",IF(D1242="","⚠ Falta categoría",IF(ISNA(MATCH(D1242,catNom,0)),"⚠ Categoría no existe",IF(E1242="","⚠ Falta cuenta",IF(ISNA(MATCH(E1242,ctaNom,0)),"⚠ Cuenta no existe",IF(AND(OR(I1242="Transferencia",I1242="Pago tarjeta"),G1242=""),"⚠ Indica la cuenta «Hacia»",IF(AND(G1242&lt;&gt;"",G1242=E1242),"⚠ «Hacia» igual a la cuenta",IF(AND(G1242&lt;&gt;"",ISNA(MATCH(G1242,ctaNom,0))),"⚠ «Hacia» no existe",IF(AND(I1242="Pago tarjeta",IFERROR(INDEX(ctaTipo,MATCH(G1242,ctaNom,0)),"")&lt;&gt;"Tarjeta de crédito"),"⚠ «Hacia» debe ser la tarjeta",IF(AND(I1242="Trading",IFERROR(INDEX(ctaTipo,MATCH(E1242,ctaNom,0)),"")&lt;&gt;"Cuenta de trading"),"⚠ Usa la cuenta de trading","✓"))))))))))))</f>
        <v/>
      </c>
      <c r="I1242" s="19">
        <f>IF(OR(B1242="",C1242="",D1242=""),"",IFERROR(INDEX(catTipo,MATCH(D1242,catNom,0))&amp;"",""))</f>
        <v/>
      </c>
      <c r="J1242" s="19">
        <f>IF(I1242="","",IFERROR(INDEX(catGrupo,MATCH(D1242,catNom,0))&amp;"",""))</f>
        <v/>
      </c>
      <c r="K1242" s="19">
        <f>IF(I1242="Gasto",IF(IFERROR(INDEX(catClas,MATCH(D1242,catNom,0))&amp;"","")="","Variable",IFERROR(INDEX(catClas,MATCH(D1242,catNom,0))&amp;"","")),"")</f>
        <v/>
      </c>
      <c r="L1242" s="19">
        <f>IF(I1242="","",IFERROR(INDEX(catAlim,MATCH(D1242,catNom,0))&amp;"",""))</f>
        <v/>
      </c>
      <c r="M1242" s="19">
        <f>IF(I1242="","",IFERROR(INDEX(catComida,MATCH(D1242,catNom,0))&amp;"",""))</f>
        <v/>
      </c>
      <c r="N1242" s="19">
        <f>IF(I1242="","",IFERROR(INDEX(ctaMon,MATCH(E1242,ctaNom,0))&amp;"","DOP"))</f>
        <v/>
      </c>
      <c r="O1242" s="20">
        <f>IF(I1242="","",C1242*IF(N1242="USD",TasaUSD,1))</f>
        <v/>
      </c>
      <c r="P1242" s="20">
        <f>IF(I1242="","",IF(I1242="Gasto",O1242,0))</f>
        <v/>
      </c>
      <c r="Q1242" s="20">
        <f>IF(I1242="","",IF(I1242="Ingreso",O1242,0))</f>
        <v/>
      </c>
      <c r="R1242" s="20">
        <f>IF(I1242="","",IF(I1242="Trading",O1242,0))</f>
        <v/>
      </c>
      <c r="S1242" s="19">
        <f>IF(I1242="","",IF(AND(I1242="Gasto",K1242="Variable",J1242&lt;&gt;"Trading",O1242&gt;0,O1242&lt;=Umbral),1,0))</f>
        <v/>
      </c>
      <c r="T1242" s="20">
        <f>IF(OR(I1242="",E1242=""),"",IF(OR(I1242="Gasto",I1242="Transferencia",I1242="Pago tarjeta"),-1,1)*C1242)</f>
        <v/>
      </c>
      <c r="U1242" s="20">
        <f>IF(OR(G1242="",AND(I1242&lt;&gt;"Transferencia",I1242&lt;&gt;"Pago tarjeta")),"",IF(IFERROR(INDEX(ctaMon,MATCH(G1242,ctaNom,0))&amp;"","DOP")=N1242,C1242,IF(N1242="USD",C1242*TasaUSD,C1242/TasaUSD)))</f>
        <v/>
      </c>
      <c r="V1242" s="20">
        <f>IF(I1242="","",IF(IFERROR(INDEX(ctaLiq,MATCH(E1242,ctaNom,0))="Sí",FALSE),IF(OR(I1242="Gasto",I1242="Transferencia",I1242="Pago tarjeta"),-1,1)*O1242,0)+IF(AND(U1242&lt;&gt;"",IFERROR(INDEX(ctaLiq,MATCH(G1242,ctaNom,0))="Sí",FALSE)),O1242,0))</f>
        <v/>
      </c>
      <c r="W1242" s="19">
        <f>IF(OR(F1242="",I1242=""),"",IF(COUNTIFS(F$6:F1242,F1242,I$6:I1242,"?*")=1,MAX(W$5:W1241)+1,""))</f>
        <v/>
      </c>
    </row>
    <row r="1243">
      <c r="B1243" s="15" t="n"/>
      <c r="C1243" s="16" t="n"/>
      <c r="D1243" s="17" t="n"/>
      <c r="E1243" s="17" t="n"/>
      <c r="F1243" s="17" t="n"/>
      <c r="G1243" s="17" t="n"/>
      <c r="H1243" s="18">
        <f>IF(AND(B1243="",C1243="",D1243="",E1243=""),"",IF(B1243="","⚠ Falta fecha",IF(C1243="","⚠ Falta monto",IF(D1243="","⚠ Falta categoría",IF(ISNA(MATCH(D1243,catNom,0)),"⚠ Categoría no existe",IF(E1243="","⚠ Falta cuenta",IF(ISNA(MATCH(E1243,ctaNom,0)),"⚠ Cuenta no existe",IF(AND(OR(I1243="Transferencia",I1243="Pago tarjeta"),G1243=""),"⚠ Indica la cuenta «Hacia»",IF(AND(G1243&lt;&gt;"",G1243=E1243),"⚠ «Hacia» igual a la cuenta",IF(AND(G1243&lt;&gt;"",ISNA(MATCH(G1243,ctaNom,0))),"⚠ «Hacia» no existe",IF(AND(I1243="Pago tarjeta",IFERROR(INDEX(ctaTipo,MATCH(G1243,ctaNom,0)),"")&lt;&gt;"Tarjeta de crédito"),"⚠ «Hacia» debe ser la tarjeta",IF(AND(I1243="Trading",IFERROR(INDEX(ctaTipo,MATCH(E1243,ctaNom,0)),"")&lt;&gt;"Cuenta de trading"),"⚠ Usa la cuenta de trading","✓"))))))))))))</f>
        <v/>
      </c>
      <c r="I1243" s="19">
        <f>IF(OR(B1243="",C1243="",D1243=""),"",IFERROR(INDEX(catTipo,MATCH(D1243,catNom,0))&amp;"",""))</f>
        <v/>
      </c>
      <c r="J1243" s="19">
        <f>IF(I1243="","",IFERROR(INDEX(catGrupo,MATCH(D1243,catNom,0))&amp;"",""))</f>
        <v/>
      </c>
      <c r="K1243" s="19">
        <f>IF(I1243="Gasto",IF(IFERROR(INDEX(catClas,MATCH(D1243,catNom,0))&amp;"","")="","Variable",IFERROR(INDEX(catClas,MATCH(D1243,catNom,0))&amp;"","")),"")</f>
        <v/>
      </c>
      <c r="L1243" s="19">
        <f>IF(I1243="","",IFERROR(INDEX(catAlim,MATCH(D1243,catNom,0))&amp;"",""))</f>
        <v/>
      </c>
      <c r="M1243" s="19">
        <f>IF(I1243="","",IFERROR(INDEX(catComida,MATCH(D1243,catNom,0))&amp;"",""))</f>
        <v/>
      </c>
      <c r="N1243" s="19">
        <f>IF(I1243="","",IFERROR(INDEX(ctaMon,MATCH(E1243,ctaNom,0))&amp;"","DOP"))</f>
        <v/>
      </c>
      <c r="O1243" s="20">
        <f>IF(I1243="","",C1243*IF(N1243="USD",TasaUSD,1))</f>
        <v/>
      </c>
      <c r="P1243" s="20">
        <f>IF(I1243="","",IF(I1243="Gasto",O1243,0))</f>
        <v/>
      </c>
      <c r="Q1243" s="20">
        <f>IF(I1243="","",IF(I1243="Ingreso",O1243,0))</f>
        <v/>
      </c>
      <c r="R1243" s="20">
        <f>IF(I1243="","",IF(I1243="Trading",O1243,0))</f>
        <v/>
      </c>
      <c r="S1243" s="19">
        <f>IF(I1243="","",IF(AND(I1243="Gasto",K1243="Variable",J1243&lt;&gt;"Trading",O1243&gt;0,O1243&lt;=Umbral),1,0))</f>
        <v/>
      </c>
      <c r="T1243" s="20">
        <f>IF(OR(I1243="",E1243=""),"",IF(OR(I1243="Gasto",I1243="Transferencia",I1243="Pago tarjeta"),-1,1)*C1243)</f>
        <v/>
      </c>
      <c r="U1243" s="20">
        <f>IF(OR(G1243="",AND(I1243&lt;&gt;"Transferencia",I1243&lt;&gt;"Pago tarjeta")),"",IF(IFERROR(INDEX(ctaMon,MATCH(G1243,ctaNom,0))&amp;"","DOP")=N1243,C1243,IF(N1243="USD",C1243*TasaUSD,C1243/TasaUSD)))</f>
        <v/>
      </c>
      <c r="V1243" s="20">
        <f>IF(I1243="","",IF(IFERROR(INDEX(ctaLiq,MATCH(E1243,ctaNom,0))="Sí",FALSE),IF(OR(I1243="Gasto",I1243="Transferencia",I1243="Pago tarjeta"),-1,1)*O1243,0)+IF(AND(U1243&lt;&gt;"",IFERROR(INDEX(ctaLiq,MATCH(G1243,ctaNom,0))="Sí",FALSE)),O1243,0))</f>
        <v/>
      </c>
      <c r="W1243" s="19">
        <f>IF(OR(F1243="",I1243=""),"",IF(COUNTIFS(F$6:F1243,F1243,I$6:I1243,"?*")=1,MAX(W$5:W1242)+1,""))</f>
        <v/>
      </c>
    </row>
    <row r="1244">
      <c r="B1244" s="15" t="n"/>
      <c r="C1244" s="16" t="n"/>
      <c r="D1244" s="17" t="n"/>
      <c r="E1244" s="17" t="n"/>
      <c r="F1244" s="17" t="n"/>
      <c r="G1244" s="17" t="n"/>
      <c r="H1244" s="18">
        <f>IF(AND(B1244="",C1244="",D1244="",E1244=""),"",IF(B1244="","⚠ Falta fecha",IF(C1244="","⚠ Falta monto",IF(D1244="","⚠ Falta categoría",IF(ISNA(MATCH(D1244,catNom,0)),"⚠ Categoría no existe",IF(E1244="","⚠ Falta cuenta",IF(ISNA(MATCH(E1244,ctaNom,0)),"⚠ Cuenta no existe",IF(AND(OR(I1244="Transferencia",I1244="Pago tarjeta"),G1244=""),"⚠ Indica la cuenta «Hacia»",IF(AND(G1244&lt;&gt;"",G1244=E1244),"⚠ «Hacia» igual a la cuenta",IF(AND(G1244&lt;&gt;"",ISNA(MATCH(G1244,ctaNom,0))),"⚠ «Hacia» no existe",IF(AND(I1244="Pago tarjeta",IFERROR(INDEX(ctaTipo,MATCH(G1244,ctaNom,0)),"")&lt;&gt;"Tarjeta de crédito"),"⚠ «Hacia» debe ser la tarjeta",IF(AND(I1244="Trading",IFERROR(INDEX(ctaTipo,MATCH(E1244,ctaNom,0)),"")&lt;&gt;"Cuenta de trading"),"⚠ Usa la cuenta de trading","✓"))))))))))))</f>
        <v/>
      </c>
      <c r="I1244" s="19">
        <f>IF(OR(B1244="",C1244="",D1244=""),"",IFERROR(INDEX(catTipo,MATCH(D1244,catNom,0))&amp;"",""))</f>
        <v/>
      </c>
      <c r="J1244" s="19">
        <f>IF(I1244="","",IFERROR(INDEX(catGrupo,MATCH(D1244,catNom,0))&amp;"",""))</f>
        <v/>
      </c>
      <c r="K1244" s="19">
        <f>IF(I1244="Gasto",IF(IFERROR(INDEX(catClas,MATCH(D1244,catNom,0))&amp;"","")="","Variable",IFERROR(INDEX(catClas,MATCH(D1244,catNom,0))&amp;"","")),"")</f>
        <v/>
      </c>
      <c r="L1244" s="19">
        <f>IF(I1244="","",IFERROR(INDEX(catAlim,MATCH(D1244,catNom,0))&amp;"",""))</f>
        <v/>
      </c>
      <c r="M1244" s="19">
        <f>IF(I1244="","",IFERROR(INDEX(catComida,MATCH(D1244,catNom,0))&amp;"",""))</f>
        <v/>
      </c>
      <c r="N1244" s="19">
        <f>IF(I1244="","",IFERROR(INDEX(ctaMon,MATCH(E1244,ctaNom,0))&amp;"","DOP"))</f>
        <v/>
      </c>
      <c r="O1244" s="20">
        <f>IF(I1244="","",C1244*IF(N1244="USD",TasaUSD,1))</f>
        <v/>
      </c>
      <c r="P1244" s="20">
        <f>IF(I1244="","",IF(I1244="Gasto",O1244,0))</f>
        <v/>
      </c>
      <c r="Q1244" s="20">
        <f>IF(I1244="","",IF(I1244="Ingreso",O1244,0))</f>
        <v/>
      </c>
      <c r="R1244" s="20">
        <f>IF(I1244="","",IF(I1244="Trading",O1244,0))</f>
        <v/>
      </c>
      <c r="S1244" s="19">
        <f>IF(I1244="","",IF(AND(I1244="Gasto",K1244="Variable",J1244&lt;&gt;"Trading",O1244&gt;0,O1244&lt;=Umbral),1,0))</f>
        <v/>
      </c>
      <c r="T1244" s="20">
        <f>IF(OR(I1244="",E1244=""),"",IF(OR(I1244="Gasto",I1244="Transferencia",I1244="Pago tarjeta"),-1,1)*C1244)</f>
        <v/>
      </c>
      <c r="U1244" s="20">
        <f>IF(OR(G1244="",AND(I1244&lt;&gt;"Transferencia",I1244&lt;&gt;"Pago tarjeta")),"",IF(IFERROR(INDEX(ctaMon,MATCH(G1244,ctaNom,0))&amp;"","DOP")=N1244,C1244,IF(N1244="USD",C1244*TasaUSD,C1244/TasaUSD)))</f>
        <v/>
      </c>
      <c r="V1244" s="20">
        <f>IF(I1244="","",IF(IFERROR(INDEX(ctaLiq,MATCH(E1244,ctaNom,0))="Sí",FALSE),IF(OR(I1244="Gasto",I1244="Transferencia",I1244="Pago tarjeta"),-1,1)*O1244,0)+IF(AND(U1244&lt;&gt;"",IFERROR(INDEX(ctaLiq,MATCH(G1244,ctaNom,0))="Sí",FALSE)),O1244,0))</f>
        <v/>
      </c>
      <c r="W1244" s="19">
        <f>IF(OR(F1244="",I1244=""),"",IF(COUNTIFS(F$6:F1244,F1244,I$6:I1244,"?*")=1,MAX(W$5:W1243)+1,""))</f>
        <v/>
      </c>
    </row>
    <row r="1245">
      <c r="B1245" s="15" t="n"/>
      <c r="C1245" s="16" t="n"/>
      <c r="D1245" s="17" t="n"/>
      <c r="E1245" s="17" t="n"/>
      <c r="F1245" s="17" t="n"/>
      <c r="G1245" s="17" t="n"/>
      <c r="H1245" s="18">
        <f>IF(AND(B1245="",C1245="",D1245="",E1245=""),"",IF(B1245="","⚠ Falta fecha",IF(C1245="","⚠ Falta monto",IF(D1245="","⚠ Falta categoría",IF(ISNA(MATCH(D1245,catNom,0)),"⚠ Categoría no existe",IF(E1245="","⚠ Falta cuenta",IF(ISNA(MATCH(E1245,ctaNom,0)),"⚠ Cuenta no existe",IF(AND(OR(I1245="Transferencia",I1245="Pago tarjeta"),G1245=""),"⚠ Indica la cuenta «Hacia»",IF(AND(G1245&lt;&gt;"",G1245=E1245),"⚠ «Hacia» igual a la cuenta",IF(AND(G1245&lt;&gt;"",ISNA(MATCH(G1245,ctaNom,0))),"⚠ «Hacia» no existe",IF(AND(I1245="Pago tarjeta",IFERROR(INDEX(ctaTipo,MATCH(G1245,ctaNom,0)),"")&lt;&gt;"Tarjeta de crédito"),"⚠ «Hacia» debe ser la tarjeta",IF(AND(I1245="Trading",IFERROR(INDEX(ctaTipo,MATCH(E1245,ctaNom,0)),"")&lt;&gt;"Cuenta de trading"),"⚠ Usa la cuenta de trading","✓"))))))))))))</f>
        <v/>
      </c>
      <c r="I1245" s="19">
        <f>IF(OR(B1245="",C1245="",D1245=""),"",IFERROR(INDEX(catTipo,MATCH(D1245,catNom,0))&amp;"",""))</f>
        <v/>
      </c>
      <c r="J1245" s="19">
        <f>IF(I1245="","",IFERROR(INDEX(catGrupo,MATCH(D1245,catNom,0))&amp;"",""))</f>
        <v/>
      </c>
      <c r="K1245" s="19">
        <f>IF(I1245="Gasto",IF(IFERROR(INDEX(catClas,MATCH(D1245,catNom,0))&amp;"","")="","Variable",IFERROR(INDEX(catClas,MATCH(D1245,catNom,0))&amp;"","")),"")</f>
        <v/>
      </c>
      <c r="L1245" s="19">
        <f>IF(I1245="","",IFERROR(INDEX(catAlim,MATCH(D1245,catNom,0))&amp;"",""))</f>
        <v/>
      </c>
      <c r="M1245" s="19">
        <f>IF(I1245="","",IFERROR(INDEX(catComida,MATCH(D1245,catNom,0))&amp;"",""))</f>
        <v/>
      </c>
      <c r="N1245" s="19">
        <f>IF(I1245="","",IFERROR(INDEX(ctaMon,MATCH(E1245,ctaNom,0))&amp;"","DOP"))</f>
        <v/>
      </c>
      <c r="O1245" s="20">
        <f>IF(I1245="","",C1245*IF(N1245="USD",TasaUSD,1))</f>
        <v/>
      </c>
      <c r="P1245" s="20">
        <f>IF(I1245="","",IF(I1245="Gasto",O1245,0))</f>
        <v/>
      </c>
      <c r="Q1245" s="20">
        <f>IF(I1245="","",IF(I1245="Ingreso",O1245,0))</f>
        <v/>
      </c>
      <c r="R1245" s="20">
        <f>IF(I1245="","",IF(I1245="Trading",O1245,0))</f>
        <v/>
      </c>
      <c r="S1245" s="19">
        <f>IF(I1245="","",IF(AND(I1245="Gasto",K1245="Variable",J1245&lt;&gt;"Trading",O1245&gt;0,O1245&lt;=Umbral),1,0))</f>
        <v/>
      </c>
      <c r="T1245" s="20">
        <f>IF(OR(I1245="",E1245=""),"",IF(OR(I1245="Gasto",I1245="Transferencia",I1245="Pago tarjeta"),-1,1)*C1245)</f>
        <v/>
      </c>
      <c r="U1245" s="20">
        <f>IF(OR(G1245="",AND(I1245&lt;&gt;"Transferencia",I1245&lt;&gt;"Pago tarjeta")),"",IF(IFERROR(INDEX(ctaMon,MATCH(G1245,ctaNom,0))&amp;"","DOP")=N1245,C1245,IF(N1245="USD",C1245*TasaUSD,C1245/TasaUSD)))</f>
        <v/>
      </c>
      <c r="V1245" s="20">
        <f>IF(I1245="","",IF(IFERROR(INDEX(ctaLiq,MATCH(E1245,ctaNom,0))="Sí",FALSE),IF(OR(I1245="Gasto",I1245="Transferencia",I1245="Pago tarjeta"),-1,1)*O1245,0)+IF(AND(U1245&lt;&gt;"",IFERROR(INDEX(ctaLiq,MATCH(G1245,ctaNom,0))="Sí",FALSE)),O1245,0))</f>
        <v/>
      </c>
      <c r="W1245" s="19">
        <f>IF(OR(F1245="",I1245=""),"",IF(COUNTIFS(F$6:F1245,F1245,I$6:I1245,"?*")=1,MAX(W$5:W1244)+1,""))</f>
        <v/>
      </c>
    </row>
    <row r="1246">
      <c r="B1246" s="15" t="n"/>
      <c r="C1246" s="16" t="n"/>
      <c r="D1246" s="17" t="n"/>
      <c r="E1246" s="17" t="n"/>
      <c r="F1246" s="17" t="n"/>
      <c r="G1246" s="17" t="n"/>
      <c r="H1246" s="18">
        <f>IF(AND(B1246="",C1246="",D1246="",E1246=""),"",IF(B1246="","⚠ Falta fecha",IF(C1246="","⚠ Falta monto",IF(D1246="","⚠ Falta categoría",IF(ISNA(MATCH(D1246,catNom,0)),"⚠ Categoría no existe",IF(E1246="","⚠ Falta cuenta",IF(ISNA(MATCH(E1246,ctaNom,0)),"⚠ Cuenta no existe",IF(AND(OR(I1246="Transferencia",I1246="Pago tarjeta"),G1246=""),"⚠ Indica la cuenta «Hacia»",IF(AND(G1246&lt;&gt;"",G1246=E1246),"⚠ «Hacia» igual a la cuenta",IF(AND(G1246&lt;&gt;"",ISNA(MATCH(G1246,ctaNom,0))),"⚠ «Hacia» no existe",IF(AND(I1246="Pago tarjeta",IFERROR(INDEX(ctaTipo,MATCH(G1246,ctaNom,0)),"")&lt;&gt;"Tarjeta de crédito"),"⚠ «Hacia» debe ser la tarjeta",IF(AND(I1246="Trading",IFERROR(INDEX(ctaTipo,MATCH(E1246,ctaNom,0)),"")&lt;&gt;"Cuenta de trading"),"⚠ Usa la cuenta de trading","✓"))))))))))))</f>
        <v/>
      </c>
      <c r="I1246" s="19">
        <f>IF(OR(B1246="",C1246="",D1246=""),"",IFERROR(INDEX(catTipo,MATCH(D1246,catNom,0))&amp;"",""))</f>
        <v/>
      </c>
      <c r="J1246" s="19">
        <f>IF(I1246="","",IFERROR(INDEX(catGrupo,MATCH(D1246,catNom,0))&amp;"",""))</f>
        <v/>
      </c>
      <c r="K1246" s="19">
        <f>IF(I1246="Gasto",IF(IFERROR(INDEX(catClas,MATCH(D1246,catNom,0))&amp;"","")="","Variable",IFERROR(INDEX(catClas,MATCH(D1246,catNom,0))&amp;"","")),"")</f>
        <v/>
      </c>
      <c r="L1246" s="19">
        <f>IF(I1246="","",IFERROR(INDEX(catAlim,MATCH(D1246,catNom,0))&amp;"",""))</f>
        <v/>
      </c>
      <c r="M1246" s="19">
        <f>IF(I1246="","",IFERROR(INDEX(catComida,MATCH(D1246,catNom,0))&amp;"",""))</f>
        <v/>
      </c>
      <c r="N1246" s="19">
        <f>IF(I1246="","",IFERROR(INDEX(ctaMon,MATCH(E1246,ctaNom,0))&amp;"","DOP"))</f>
        <v/>
      </c>
      <c r="O1246" s="20">
        <f>IF(I1246="","",C1246*IF(N1246="USD",TasaUSD,1))</f>
        <v/>
      </c>
      <c r="P1246" s="20">
        <f>IF(I1246="","",IF(I1246="Gasto",O1246,0))</f>
        <v/>
      </c>
      <c r="Q1246" s="20">
        <f>IF(I1246="","",IF(I1246="Ingreso",O1246,0))</f>
        <v/>
      </c>
      <c r="R1246" s="20">
        <f>IF(I1246="","",IF(I1246="Trading",O1246,0))</f>
        <v/>
      </c>
      <c r="S1246" s="19">
        <f>IF(I1246="","",IF(AND(I1246="Gasto",K1246="Variable",J1246&lt;&gt;"Trading",O1246&gt;0,O1246&lt;=Umbral),1,0))</f>
        <v/>
      </c>
      <c r="T1246" s="20">
        <f>IF(OR(I1246="",E1246=""),"",IF(OR(I1246="Gasto",I1246="Transferencia",I1246="Pago tarjeta"),-1,1)*C1246)</f>
        <v/>
      </c>
      <c r="U1246" s="20">
        <f>IF(OR(G1246="",AND(I1246&lt;&gt;"Transferencia",I1246&lt;&gt;"Pago tarjeta")),"",IF(IFERROR(INDEX(ctaMon,MATCH(G1246,ctaNom,0))&amp;"","DOP")=N1246,C1246,IF(N1246="USD",C1246*TasaUSD,C1246/TasaUSD)))</f>
        <v/>
      </c>
      <c r="V1246" s="20">
        <f>IF(I1246="","",IF(IFERROR(INDEX(ctaLiq,MATCH(E1246,ctaNom,0))="Sí",FALSE),IF(OR(I1246="Gasto",I1246="Transferencia",I1246="Pago tarjeta"),-1,1)*O1246,0)+IF(AND(U1246&lt;&gt;"",IFERROR(INDEX(ctaLiq,MATCH(G1246,ctaNom,0))="Sí",FALSE)),O1246,0))</f>
        <v/>
      </c>
      <c r="W1246" s="19">
        <f>IF(OR(F1246="",I1246=""),"",IF(COUNTIFS(F$6:F1246,F1246,I$6:I1246,"?*")=1,MAX(W$5:W1245)+1,""))</f>
        <v/>
      </c>
    </row>
    <row r="1247">
      <c r="B1247" s="15" t="n"/>
      <c r="C1247" s="16" t="n"/>
      <c r="D1247" s="17" t="n"/>
      <c r="E1247" s="17" t="n"/>
      <c r="F1247" s="17" t="n"/>
      <c r="G1247" s="17" t="n"/>
      <c r="H1247" s="18">
        <f>IF(AND(B1247="",C1247="",D1247="",E1247=""),"",IF(B1247="","⚠ Falta fecha",IF(C1247="","⚠ Falta monto",IF(D1247="","⚠ Falta categoría",IF(ISNA(MATCH(D1247,catNom,0)),"⚠ Categoría no existe",IF(E1247="","⚠ Falta cuenta",IF(ISNA(MATCH(E1247,ctaNom,0)),"⚠ Cuenta no existe",IF(AND(OR(I1247="Transferencia",I1247="Pago tarjeta"),G1247=""),"⚠ Indica la cuenta «Hacia»",IF(AND(G1247&lt;&gt;"",G1247=E1247),"⚠ «Hacia» igual a la cuenta",IF(AND(G1247&lt;&gt;"",ISNA(MATCH(G1247,ctaNom,0))),"⚠ «Hacia» no existe",IF(AND(I1247="Pago tarjeta",IFERROR(INDEX(ctaTipo,MATCH(G1247,ctaNom,0)),"")&lt;&gt;"Tarjeta de crédito"),"⚠ «Hacia» debe ser la tarjeta",IF(AND(I1247="Trading",IFERROR(INDEX(ctaTipo,MATCH(E1247,ctaNom,0)),"")&lt;&gt;"Cuenta de trading"),"⚠ Usa la cuenta de trading","✓"))))))))))))</f>
        <v/>
      </c>
      <c r="I1247" s="19">
        <f>IF(OR(B1247="",C1247="",D1247=""),"",IFERROR(INDEX(catTipo,MATCH(D1247,catNom,0))&amp;"",""))</f>
        <v/>
      </c>
      <c r="J1247" s="19">
        <f>IF(I1247="","",IFERROR(INDEX(catGrupo,MATCH(D1247,catNom,0))&amp;"",""))</f>
        <v/>
      </c>
      <c r="K1247" s="19">
        <f>IF(I1247="Gasto",IF(IFERROR(INDEX(catClas,MATCH(D1247,catNom,0))&amp;"","")="","Variable",IFERROR(INDEX(catClas,MATCH(D1247,catNom,0))&amp;"","")),"")</f>
        <v/>
      </c>
      <c r="L1247" s="19">
        <f>IF(I1247="","",IFERROR(INDEX(catAlim,MATCH(D1247,catNom,0))&amp;"",""))</f>
        <v/>
      </c>
      <c r="M1247" s="19">
        <f>IF(I1247="","",IFERROR(INDEX(catComida,MATCH(D1247,catNom,0))&amp;"",""))</f>
        <v/>
      </c>
      <c r="N1247" s="19">
        <f>IF(I1247="","",IFERROR(INDEX(ctaMon,MATCH(E1247,ctaNom,0))&amp;"","DOP"))</f>
        <v/>
      </c>
      <c r="O1247" s="20">
        <f>IF(I1247="","",C1247*IF(N1247="USD",TasaUSD,1))</f>
        <v/>
      </c>
      <c r="P1247" s="20">
        <f>IF(I1247="","",IF(I1247="Gasto",O1247,0))</f>
        <v/>
      </c>
      <c r="Q1247" s="20">
        <f>IF(I1247="","",IF(I1247="Ingreso",O1247,0))</f>
        <v/>
      </c>
      <c r="R1247" s="20">
        <f>IF(I1247="","",IF(I1247="Trading",O1247,0))</f>
        <v/>
      </c>
      <c r="S1247" s="19">
        <f>IF(I1247="","",IF(AND(I1247="Gasto",K1247="Variable",J1247&lt;&gt;"Trading",O1247&gt;0,O1247&lt;=Umbral),1,0))</f>
        <v/>
      </c>
      <c r="T1247" s="20">
        <f>IF(OR(I1247="",E1247=""),"",IF(OR(I1247="Gasto",I1247="Transferencia",I1247="Pago tarjeta"),-1,1)*C1247)</f>
        <v/>
      </c>
      <c r="U1247" s="20">
        <f>IF(OR(G1247="",AND(I1247&lt;&gt;"Transferencia",I1247&lt;&gt;"Pago tarjeta")),"",IF(IFERROR(INDEX(ctaMon,MATCH(G1247,ctaNom,0))&amp;"","DOP")=N1247,C1247,IF(N1247="USD",C1247*TasaUSD,C1247/TasaUSD)))</f>
        <v/>
      </c>
      <c r="V1247" s="20">
        <f>IF(I1247="","",IF(IFERROR(INDEX(ctaLiq,MATCH(E1247,ctaNom,0))="Sí",FALSE),IF(OR(I1247="Gasto",I1247="Transferencia",I1247="Pago tarjeta"),-1,1)*O1247,0)+IF(AND(U1247&lt;&gt;"",IFERROR(INDEX(ctaLiq,MATCH(G1247,ctaNom,0))="Sí",FALSE)),O1247,0))</f>
        <v/>
      </c>
      <c r="W1247" s="19">
        <f>IF(OR(F1247="",I1247=""),"",IF(COUNTIFS(F$6:F1247,F1247,I$6:I1247,"?*")=1,MAX(W$5:W1246)+1,""))</f>
        <v/>
      </c>
    </row>
    <row r="1248">
      <c r="B1248" s="15" t="n"/>
      <c r="C1248" s="16" t="n"/>
      <c r="D1248" s="17" t="n"/>
      <c r="E1248" s="17" t="n"/>
      <c r="F1248" s="17" t="n"/>
      <c r="G1248" s="17" t="n"/>
      <c r="H1248" s="18">
        <f>IF(AND(B1248="",C1248="",D1248="",E1248=""),"",IF(B1248="","⚠ Falta fecha",IF(C1248="","⚠ Falta monto",IF(D1248="","⚠ Falta categoría",IF(ISNA(MATCH(D1248,catNom,0)),"⚠ Categoría no existe",IF(E1248="","⚠ Falta cuenta",IF(ISNA(MATCH(E1248,ctaNom,0)),"⚠ Cuenta no existe",IF(AND(OR(I1248="Transferencia",I1248="Pago tarjeta"),G1248=""),"⚠ Indica la cuenta «Hacia»",IF(AND(G1248&lt;&gt;"",G1248=E1248),"⚠ «Hacia» igual a la cuenta",IF(AND(G1248&lt;&gt;"",ISNA(MATCH(G1248,ctaNom,0))),"⚠ «Hacia» no existe",IF(AND(I1248="Pago tarjeta",IFERROR(INDEX(ctaTipo,MATCH(G1248,ctaNom,0)),"")&lt;&gt;"Tarjeta de crédito"),"⚠ «Hacia» debe ser la tarjeta",IF(AND(I1248="Trading",IFERROR(INDEX(ctaTipo,MATCH(E1248,ctaNom,0)),"")&lt;&gt;"Cuenta de trading"),"⚠ Usa la cuenta de trading","✓"))))))))))))</f>
        <v/>
      </c>
      <c r="I1248" s="19">
        <f>IF(OR(B1248="",C1248="",D1248=""),"",IFERROR(INDEX(catTipo,MATCH(D1248,catNom,0))&amp;"",""))</f>
        <v/>
      </c>
      <c r="J1248" s="19">
        <f>IF(I1248="","",IFERROR(INDEX(catGrupo,MATCH(D1248,catNom,0))&amp;"",""))</f>
        <v/>
      </c>
      <c r="K1248" s="19">
        <f>IF(I1248="Gasto",IF(IFERROR(INDEX(catClas,MATCH(D1248,catNom,0))&amp;"","")="","Variable",IFERROR(INDEX(catClas,MATCH(D1248,catNom,0))&amp;"","")),"")</f>
        <v/>
      </c>
      <c r="L1248" s="19">
        <f>IF(I1248="","",IFERROR(INDEX(catAlim,MATCH(D1248,catNom,0))&amp;"",""))</f>
        <v/>
      </c>
      <c r="M1248" s="19">
        <f>IF(I1248="","",IFERROR(INDEX(catComida,MATCH(D1248,catNom,0))&amp;"",""))</f>
        <v/>
      </c>
      <c r="N1248" s="19">
        <f>IF(I1248="","",IFERROR(INDEX(ctaMon,MATCH(E1248,ctaNom,0))&amp;"","DOP"))</f>
        <v/>
      </c>
      <c r="O1248" s="20">
        <f>IF(I1248="","",C1248*IF(N1248="USD",TasaUSD,1))</f>
        <v/>
      </c>
      <c r="P1248" s="20">
        <f>IF(I1248="","",IF(I1248="Gasto",O1248,0))</f>
        <v/>
      </c>
      <c r="Q1248" s="20">
        <f>IF(I1248="","",IF(I1248="Ingreso",O1248,0))</f>
        <v/>
      </c>
      <c r="R1248" s="20">
        <f>IF(I1248="","",IF(I1248="Trading",O1248,0))</f>
        <v/>
      </c>
      <c r="S1248" s="19">
        <f>IF(I1248="","",IF(AND(I1248="Gasto",K1248="Variable",J1248&lt;&gt;"Trading",O1248&gt;0,O1248&lt;=Umbral),1,0))</f>
        <v/>
      </c>
      <c r="T1248" s="20">
        <f>IF(OR(I1248="",E1248=""),"",IF(OR(I1248="Gasto",I1248="Transferencia",I1248="Pago tarjeta"),-1,1)*C1248)</f>
        <v/>
      </c>
      <c r="U1248" s="20">
        <f>IF(OR(G1248="",AND(I1248&lt;&gt;"Transferencia",I1248&lt;&gt;"Pago tarjeta")),"",IF(IFERROR(INDEX(ctaMon,MATCH(G1248,ctaNom,0))&amp;"","DOP")=N1248,C1248,IF(N1248="USD",C1248*TasaUSD,C1248/TasaUSD)))</f>
        <v/>
      </c>
      <c r="V1248" s="20">
        <f>IF(I1248="","",IF(IFERROR(INDEX(ctaLiq,MATCH(E1248,ctaNom,0))="Sí",FALSE),IF(OR(I1248="Gasto",I1248="Transferencia",I1248="Pago tarjeta"),-1,1)*O1248,0)+IF(AND(U1248&lt;&gt;"",IFERROR(INDEX(ctaLiq,MATCH(G1248,ctaNom,0))="Sí",FALSE)),O1248,0))</f>
        <v/>
      </c>
      <c r="W1248" s="19">
        <f>IF(OR(F1248="",I1248=""),"",IF(COUNTIFS(F$6:F1248,F1248,I$6:I1248,"?*")=1,MAX(W$5:W1247)+1,""))</f>
        <v/>
      </c>
    </row>
    <row r="1249">
      <c r="B1249" s="15" t="n"/>
      <c r="C1249" s="16" t="n"/>
      <c r="D1249" s="17" t="n"/>
      <c r="E1249" s="17" t="n"/>
      <c r="F1249" s="17" t="n"/>
      <c r="G1249" s="17" t="n"/>
      <c r="H1249" s="18">
        <f>IF(AND(B1249="",C1249="",D1249="",E1249=""),"",IF(B1249="","⚠ Falta fecha",IF(C1249="","⚠ Falta monto",IF(D1249="","⚠ Falta categoría",IF(ISNA(MATCH(D1249,catNom,0)),"⚠ Categoría no existe",IF(E1249="","⚠ Falta cuenta",IF(ISNA(MATCH(E1249,ctaNom,0)),"⚠ Cuenta no existe",IF(AND(OR(I1249="Transferencia",I1249="Pago tarjeta"),G1249=""),"⚠ Indica la cuenta «Hacia»",IF(AND(G1249&lt;&gt;"",G1249=E1249),"⚠ «Hacia» igual a la cuenta",IF(AND(G1249&lt;&gt;"",ISNA(MATCH(G1249,ctaNom,0))),"⚠ «Hacia» no existe",IF(AND(I1249="Pago tarjeta",IFERROR(INDEX(ctaTipo,MATCH(G1249,ctaNom,0)),"")&lt;&gt;"Tarjeta de crédito"),"⚠ «Hacia» debe ser la tarjeta",IF(AND(I1249="Trading",IFERROR(INDEX(ctaTipo,MATCH(E1249,ctaNom,0)),"")&lt;&gt;"Cuenta de trading"),"⚠ Usa la cuenta de trading","✓"))))))))))))</f>
        <v/>
      </c>
      <c r="I1249" s="19">
        <f>IF(OR(B1249="",C1249="",D1249=""),"",IFERROR(INDEX(catTipo,MATCH(D1249,catNom,0))&amp;"",""))</f>
        <v/>
      </c>
      <c r="J1249" s="19">
        <f>IF(I1249="","",IFERROR(INDEX(catGrupo,MATCH(D1249,catNom,0))&amp;"",""))</f>
        <v/>
      </c>
      <c r="K1249" s="19">
        <f>IF(I1249="Gasto",IF(IFERROR(INDEX(catClas,MATCH(D1249,catNom,0))&amp;"","")="","Variable",IFERROR(INDEX(catClas,MATCH(D1249,catNom,0))&amp;"","")),"")</f>
        <v/>
      </c>
      <c r="L1249" s="19">
        <f>IF(I1249="","",IFERROR(INDEX(catAlim,MATCH(D1249,catNom,0))&amp;"",""))</f>
        <v/>
      </c>
      <c r="M1249" s="19">
        <f>IF(I1249="","",IFERROR(INDEX(catComida,MATCH(D1249,catNom,0))&amp;"",""))</f>
        <v/>
      </c>
      <c r="N1249" s="19">
        <f>IF(I1249="","",IFERROR(INDEX(ctaMon,MATCH(E1249,ctaNom,0))&amp;"","DOP"))</f>
        <v/>
      </c>
      <c r="O1249" s="20">
        <f>IF(I1249="","",C1249*IF(N1249="USD",TasaUSD,1))</f>
        <v/>
      </c>
      <c r="P1249" s="20">
        <f>IF(I1249="","",IF(I1249="Gasto",O1249,0))</f>
        <v/>
      </c>
      <c r="Q1249" s="20">
        <f>IF(I1249="","",IF(I1249="Ingreso",O1249,0))</f>
        <v/>
      </c>
      <c r="R1249" s="20">
        <f>IF(I1249="","",IF(I1249="Trading",O1249,0))</f>
        <v/>
      </c>
      <c r="S1249" s="19">
        <f>IF(I1249="","",IF(AND(I1249="Gasto",K1249="Variable",J1249&lt;&gt;"Trading",O1249&gt;0,O1249&lt;=Umbral),1,0))</f>
        <v/>
      </c>
      <c r="T1249" s="20">
        <f>IF(OR(I1249="",E1249=""),"",IF(OR(I1249="Gasto",I1249="Transferencia",I1249="Pago tarjeta"),-1,1)*C1249)</f>
        <v/>
      </c>
      <c r="U1249" s="20">
        <f>IF(OR(G1249="",AND(I1249&lt;&gt;"Transferencia",I1249&lt;&gt;"Pago tarjeta")),"",IF(IFERROR(INDEX(ctaMon,MATCH(G1249,ctaNom,0))&amp;"","DOP")=N1249,C1249,IF(N1249="USD",C1249*TasaUSD,C1249/TasaUSD)))</f>
        <v/>
      </c>
      <c r="V1249" s="20">
        <f>IF(I1249="","",IF(IFERROR(INDEX(ctaLiq,MATCH(E1249,ctaNom,0))="Sí",FALSE),IF(OR(I1249="Gasto",I1249="Transferencia",I1249="Pago tarjeta"),-1,1)*O1249,0)+IF(AND(U1249&lt;&gt;"",IFERROR(INDEX(ctaLiq,MATCH(G1249,ctaNom,0))="Sí",FALSE)),O1249,0))</f>
        <v/>
      </c>
      <c r="W1249" s="19">
        <f>IF(OR(F1249="",I1249=""),"",IF(COUNTIFS(F$6:F1249,F1249,I$6:I1249,"?*")=1,MAX(W$5:W1248)+1,""))</f>
        <v/>
      </c>
    </row>
    <row r="1250">
      <c r="B1250" s="15" t="n"/>
      <c r="C1250" s="16" t="n"/>
      <c r="D1250" s="17" t="n"/>
      <c r="E1250" s="17" t="n"/>
      <c r="F1250" s="17" t="n"/>
      <c r="G1250" s="17" t="n"/>
      <c r="H1250" s="18">
        <f>IF(AND(B1250="",C1250="",D1250="",E1250=""),"",IF(B1250="","⚠ Falta fecha",IF(C1250="","⚠ Falta monto",IF(D1250="","⚠ Falta categoría",IF(ISNA(MATCH(D1250,catNom,0)),"⚠ Categoría no existe",IF(E1250="","⚠ Falta cuenta",IF(ISNA(MATCH(E1250,ctaNom,0)),"⚠ Cuenta no existe",IF(AND(OR(I1250="Transferencia",I1250="Pago tarjeta"),G1250=""),"⚠ Indica la cuenta «Hacia»",IF(AND(G1250&lt;&gt;"",G1250=E1250),"⚠ «Hacia» igual a la cuenta",IF(AND(G1250&lt;&gt;"",ISNA(MATCH(G1250,ctaNom,0))),"⚠ «Hacia» no existe",IF(AND(I1250="Pago tarjeta",IFERROR(INDEX(ctaTipo,MATCH(G1250,ctaNom,0)),"")&lt;&gt;"Tarjeta de crédito"),"⚠ «Hacia» debe ser la tarjeta",IF(AND(I1250="Trading",IFERROR(INDEX(ctaTipo,MATCH(E1250,ctaNom,0)),"")&lt;&gt;"Cuenta de trading"),"⚠ Usa la cuenta de trading","✓"))))))))))))</f>
        <v/>
      </c>
      <c r="I1250" s="19">
        <f>IF(OR(B1250="",C1250="",D1250=""),"",IFERROR(INDEX(catTipo,MATCH(D1250,catNom,0))&amp;"",""))</f>
        <v/>
      </c>
      <c r="J1250" s="19">
        <f>IF(I1250="","",IFERROR(INDEX(catGrupo,MATCH(D1250,catNom,0))&amp;"",""))</f>
        <v/>
      </c>
      <c r="K1250" s="19">
        <f>IF(I1250="Gasto",IF(IFERROR(INDEX(catClas,MATCH(D1250,catNom,0))&amp;"","")="","Variable",IFERROR(INDEX(catClas,MATCH(D1250,catNom,0))&amp;"","")),"")</f>
        <v/>
      </c>
      <c r="L1250" s="19">
        <f>IF(I1250="","",IFERROR(INDEX(catAlim,MATCH(D1250,catNom,0))&amp;"",""))</f>
        <v/>
      </c>
      <c r="M1250" s="19">
        <f>IF(I1250="","",IFERROR(INDEX(catComida,MATCH(D1250,catNom,0))&amp;"",""))</f>
        <v/>
      </c>
      <c r="N1250" s="19">
        <f>IF(I1250="","",IFERROR(INDEX(ctaMon,MATCH(E1250,ctaNom,0))&amp;"","DOP"))</f>
        <v/>
      </c>
      <c r="O1250" s="20">
        <f>IF(I1250="","",C1250*IF(N1250="USD",TasaUSD,1))</f>
        <v/>
      </c>
      <c r="P1250" s="20">
        <f>IF(I1250="","",IF(I1250="Gasto",O1250,0))</f>
        <v/>
      </c>
      <c r="Q1250" s="20">
        <f>IF(I1250="","",IF(I1250="Ingreso",O1250,0))</f>
        <v/>
      </c>
      <c r="R1250" s="20">
        <f>IF(I1250="","",IF(I1250="Trading",O1250,0))</f>
        <v/>
      </c>
      <c r="S1250" s="19">
        <f>IF(I1250="","",IF(AND(I1250="Gasto",K1250="Variable",J1250&lt;&gt;"Trading",O1250&gt;0,O1250&lt;=Umbral),1,0))</f>
        <v/>
      </c>
      <c r="T1250" s="20">
        <f>IF(OR(I1250="",E1250=""),"",IF(OR(I1250="Gasto",I1250="Transferencia",I1250="Pago tarjeta"),-1,1)*C1250)</f>
        <v/>
      </c>
      <c r="U1250" s="20">
        <f>IF(OR(G1250="",AND(I1250&lt;&gt;"Transferencia",I1250&lt;&gt;"Pago tarjeta")),"",IF(IFERROR(INDEX(ctaMon,MATCH(G1250,ctaNom,0))&amp;"","DOP")=N1250,C1250,IF(N1250="USD",C1250*TasaUSD,C1250/TasaUSD)))</f>
        <v/>
      </c>
      <c r="V1250" s="20">
        <f>IF(I1250="","",IF(IFERROR(INDEX(ctaLiq,MATCH(E1250,ctaNom,0))="Sí",FALSE),IF(OR(I1250="Gasto",I1250="Transferencia",I1250="Pago tarjeta"),-1,1)*O1250,0)+IF(AND(U1250&lt;&gt;"",IFERROR(INDEX(ctaLiq,MATCH(G1250,ctaNom,0))="Sí",FALSE)),O1250,0))</f>
        <v/>
      </c>
      <c r="W1250" s="19">
        <f>IF(OR(F1250="",I1250=""),"",IF(COUNTIFS(F$6:F1250,F1250,I$6:I1250,"?*")=1,MAX(W$5:W1249)+1,""))</f>
        <v/>
      </c>
    </row>
    <row r="1251">
      <c r="B1251" s="15" t="n"/>
      <c r="C1251" s="16" t="n"/>
      <c r="D1251" s="17" t="n"/>
      <c r="E1251" s="17" t="n"/>
      <c r="F1251" s="17" t="n"/>
      <c r="G1251" s="17" t="n"/>
      <c r="H1251" s="18">
        <f>IF(AND(B1251="",C1251="",D1251="",E1251=""),"",IF(B1251="","⚠ Falta fecha",IF(C1251="","⚠ Falta monto",IF(D1251="","⚠ Falta categoría",IF(ISNA(MATCH(D1251,catNom,0)),"⚠ Categoría no existe",IF(E1251="","⚠ Falta cuenta",IF(ISNA(MATCH(E1251,ctaNom,0)),"⚠ Cuenta no existe",IF(AND(OR(I1251="Transferencia",I1251="Pago tarjeta"),G1251=""),"⚠ Indica la cuenta «Hacia»",IF(AND(G1251&lt;&gt;"",G1251=E1251),"⚠ «Hacia» igual a la cuenta",IF(AND(G1251&lt;&gt;"",ISNA(MATCH(G1251,ctaNom,0))),"⚠ «Hacia» no existe",IF(AND(I1251="Pago tarjeta",IFERROR(INDEX(ctaTipo,MATCH(G1251,ctaNom,0)),"")&lt;&gt;"Tarjeta de crédito"),"⚠ «Hacia» debe ser la tarjeta",IF(AND(I1251="Trading",IFERROR(INDEX(ctaTipo,MATCH(E1251,ctaNom,0)),"")&lt;&gt;"Cuenta de trading"),"⚠ Usa la cuenta de trading","✓"))))))))))))</f>
        <v/>
      </c>
      <c r="I1251" s="19">
        <f>IF(OR(B1251="",C1251="",D1251=""),"",IFERROR(INDEX(catTipo,MATCH(D1251,catNom,0))&amp;"",""))</f>
        <v/>
      </c>
      <c r="J1251" s="19">
        <f>IF(I1251="","",IFERROR(INDEX(catGrupo,MATCH(D1251,catNom,0))&amp;"",""))</f>
        <v/>
      </c>
      <c r="K1251" s="19">
        <f>IF(I1251="Gasto",IF(IFERROR(INDEX(catClas,MATCH(D1251,catNom,0))&amp;"","")="","Variable",IFERROR(INDEX(catClas,MATCH(D1251,catNom,0))&amp;"","")),"")</f>
        <v/>
      </c>
      <c r="L1251" s="19">
        <f>IF(I1251="","",IFERROR(INDEX(catAlim,MATCH(D1251,catNom,0))&amp;"",""))</f>
        <v/>
      </c>
      <c r="M1251" s="19">
        <f>IF(I1251="","",IFERROR(INDEX(catComida,MATCH(D1251,catNom,0))&amp;"",""))</f>
        <v/>
      </c>
      <c r="N1251" s="19">
        <f>IF(I1251="","",IFERROR(INDEX(ctaMon,MATCH(E1251,ctaNom,0))&amp;"","DOP"))</f>
        <v/>
      </c>
      <c r="O1251" s="20">
        <f>IF(I1251="","",C1251*IF(N1251="USD",TasaUSD,1))</f>
        <v/>
      </c>
      <c r="P1251" s="20">
        <f>IF(I1251="","",IF(I1251="Gasto",O1251,0))</f>
        <v/>
      </c>
      <c r="Q1251" s="20">
        <f>IF(I1251="","",IF(I1251="Ingreso",O1251,0))</f>
        <v/>
      </c>
      <c r="R1251" s="20">
        <f>IF(I1251="","",IF(I1251="Trading",O1251,0))</f>
        <v/>
      </c>
      <c r="S1251" s="19">
        <f>IF(I1251="","",IF(AND(I1251="Gasto",K1251="Variable",J1251&lt;&gt;"Trading",O1251&gt;0,O1251&lt;=Umbral),1,0))</f>
        <v/>
      </c>
      <c r="T1251" s="20">
        <f>IF(OR(I1251="",E1251=""),"",IF(OR(I1251="Gasto",I1251="Transferencia",I1251="Pago tarjeta"),-1,1)*C1251)</f>
        <v/>
      </c>
      <c r="U1251" s="20">
        <f>IF(OR(G1251="",AND(I1251&lt;&gt;"Transferencia",I1251&lt;&gt;"Pago tarjeta")),"",IF(IFERROR(INDEX(ctaMon,MATCH(G1251,ctaNom,0))&amp;"","DOP")=N1251,C1251,IF(N1251="USD",C1251*TasaUSD,C1251/TasaUSD)))</f>
        <v/>
      </c>
      <c r="V1251" s="20">
        <f>IF(I1251="","",IF(IFERROR(INDEX(ctaLiq,MATCH(E1251,ctaNom,0))="Sí",FALSE),IF(OR(I1251="Gasto",I1251="Transferencia",I1251="Pago tarjeta"),-1,1)*O1251,0)+IF(AND(U1251&lt;&gt;"",IFERROR(INDEX(ctaLiq,MATCH(G1251,ctaNom,0))="Sí",FALSE)),O1251,0))</f>
        <v/>
      </c>
      <c r="W1251" s="19">
        <f>IF(OR(F1251="",I1251=""),"",IF(COUNTIFS(F$6:F1251,F1251,I$6:I1251,"?*")=1,MAX(W$5:W1250)+1,""))</f>
        <v/>
      </c>
    </row>
    <row r="1252">
      <c r="B1252" s="15" t="n"/>
      <c r="C1252" s="16" t="n"/>
      <c r="D1252" s="17" t="n"/>
      <c r="E1252" s="17" t="n"/>
      <c r="F1252" s="17" t="n"/>
      <c r="G1252" s="17" t="n"/>
      <c r="H1252" s="18">
        <f>IF(AND(B1252="",C1252="",D1252="",E1252=""),"",IF(B1252="","⚠ Falta fecha",IF(C1252="","⚠ Falta monto",IF(D1252="","⚠ Falta categoría",IF(ISNA(MATCH(D1252,catNom,0)),"⚠ Categoría no existe",IF(E1252="","⚠ Falta cuenta",IF(ISNA(MATCH(E1252,ctaNom,0)),"⚠ Cuenta no existe",IF(AND(OR(I1252="Transferencia",I1252="Pago tarjeta"),G1252=""),"⚠ Indica la cuenta «Hacia»",IF(AND(G1252&lt;&gt;"",G1252=E1252),"⚠ «Hacia» igual a la cuenta",IF(AND(G1252&lt;&gt;"",ISNA(MATCH(G1252,ctaNom,0))),"⚠ «Hacia» no existe",IF(AND(I1252="Pago tarjeta",IFERROR(INDEX(ctaTipo,MATCH(G1252,ctaNom,0)),"")&lt;&gt;"Tarjeta de crédito"),"⚠ «Hacia» debe ser la tarjeta",IF(AND(I1252="Trading",IFERROR(INDEX(ctaTipo,MATCH(E1252,ctaNom,0)),"")&lt;&gt;"Cuenta de trading"),"⚠ Usa la cuenta de trading","✓"))))))))))))</f>
        <v/>
      </c>
      <c r="I1252" s="19">
        <f>IF(OR(B1252="",C1252="",D1252=""),"",IFERROR(INDEX(catTipo,MATCH(D1252,catNom,0))&amp;"",""))</f>
        <v/>
      </c>
      <c r="J1252" s="19">
        <f>IF(I1252="","",IFERROR(INDEX(catGrupo,MATCH(D1252,catNom,0))&amp;"",""))</f>
        <v/>
      </c>
      <c r="K1252" s="19">
        <f>IF(I1252="Gasto",IF(IFERROR(INDEX(catClas,MATCH(D1252,catNom,0))&amp;"","")="","Variable",IFERROR(INDEX(catClas,MATCH(D1252,catNom,0))&amp;"","")),"")</f>
        <v/>
      </c>
      <c r="L1252" s="19">
        <f>IF(I1252="","",IFERROR(INDEX(catAlim,MATCH(D1252,catNom,0))&amp;"",""))</f>
        <v/>
      </c>
      <c r="M1252" s="19">
        <f>IF(I1252="","",IFERROR(INDEX(catComida,MATCH(D1252,catNom,0))&amp;"",""))</f>
        <v/>
      </c>
      <c r="N1252" s="19">
        <f>IF(I1252="","",IFERROR(INDEX(ctaMon,MATCH(E1252,ctaNom,0))&amp;"","DOP"))</f>
        <v/>
      </c>
      <c r="O1252" s="20">
        <f>IF(I1252="","",C1252*IF(N1252="USD",TasaUSD,1))</f>
        <v/>
      </c>
      <c r="P1252" s="20">
        <f>IF(I1252="","",IF(I1252="Gasto",O1252,0))</f>
        <v/>
      </c>
      <c r="Q1252" s="20">
        <f>IF(I1252="","",IF(I1252="Ingreso",O1252,0))</f>
        <v/>
      </c>
      <c r="R1252" s="20">
        <f>IF(I1252="","",IF(I1252="Trading",O1252,0))</f>
        <v/>
      </c>
      <c r="S1252" s="19">
        <f>IF(I1252="","",IF(AND(I1252="Gasto",K1252="Variable",J1252&lt;&gt;"Trading",O1252&gt;0,O1252&lt;=Umbral),1,0))</f>
        <v/>
      </c>
      <c r="T1252" s="20">
        <f>IF(OR(I1252="",E1252=""),"",IF(OR(I1252="Gasto",I1252="Transferencia",I1252="Pago tarjeta"),-1,1)*C1252)</f>
        <v/>
      </c>
      <c r="U1252" s="20">
        <f>IF(OR(G1252="",AND(I1252&lt;&gt;"Transferencia",I1252&lt;&gt;"Pago tarjeta")),"",IF(IFERROR(INDEX(ctaMon,MATCH(G1252,ctaNom,0))&amp;"","DOP")=N1252,C1252,IF(N1252="USD",C1252*TasaUSD,C1252/TasaUSD)))</f>
        <v/>
      </c>
      <c r="V1252" s="20">
        <f>IF(I1252="","",IF(IFERROR(INDEX(ctaLiq,MATCH(E1252,ctaNom,0))="Sí",FALSE),IF(OR(I1252="Gasto",I1252="Transferencia",I1252="Pago tarjeta"),-1,1)*O1252,0)+IF(AND(U1252&lt;&gt;"",IFERROR(INDEX(ctaLiq,MATCH(G1252,ctaNom,0))="Sí",FALSE)),O1252,0))</f>
        <v/>
      </c>
      <c r="W1252" s="19">
        <f>IF(OR(F1252="",I1252=""),"",IF(COUNTIFS(F$6:F1252,F1252,I$6:I1252,"?*")=1,MAX(W$5:W1251)+1,""))</f>
        <v/>
      </c>
    </row>
    <row r="1253">
      <c r="B1253" s="15" t="n"/>
      <c r="C1253" s="16" t="n"/>
      <c r="D1253" s="17" t="n"/>
      <c r="E1253" s="17" t="n"/>
      <c r="F1253" s="17" t="n"/>
      <c r="G1253" s="17" t="n"/>
      <c r="H1253" s="18">
        <f>IF(AND(B1253="",C1253="",D1253="",E1253=""),"",IF(B1253="","⚠ Falta fecha",IF(C1253="","⚠ Falta monto",IF(D1253="","⚠ Falta categoría",IF(ISNA(MATCH(D1253,catNom,0)),"⚠ Categoría no existe",IF(E1253="","⚠ Falta cuenta",IF(ISNA(MATCH(E1253,ctaNom,0)),"⚠ Cuenta no existe",IF(AND(OR(I1253="Transferencia",I1253="Pago tarjeta"),G1253=""),"⚠ Indica la cuenta «Hacia»",IF(AND(G1253&lt;&gt;"",G1253=E1253),"⚠ «Hacia» igual a la cuenta",IF(AND(G1253&lt;&gt;"",ISNA(MATCH(G1253,ctaNom,0))),"⚠ «Hacia» no existe",IF(AND(I1253="Pago tarjeta",IFERROR(INDEX(ctaTipo,MATCH(G1253,ctaNom,0)),"")&lt;&gt;"Tarjeta de crédito"),"⚠ «Hacia» debe ser la tarjeta",IF(AND(I1253="Trading",IFERROR(INDEX(ctaTipo,MATCH(E1253,ctaNom,0)),"")&lt;&gt;"Cuenta de trading"),"⚠ Usa la cuenta de trading","✓"))))))))))))</f>
        <v/>
      </c>
      <c r="I1253" s="19">
        <f>IF(OR(B1253="",C1253="",D1253=""),"",IFERROR(INDEX(catTipo,MATCH(D1253,catNom,0))&amp;"",""))</f>
        <v/>
      </c>
      <c r="J1253" s="19">
        <f>IF(I1253="","",IFERROR(INDEX(catGrupo,MATCH(D1253,catNom,0))&amp;"",""))</f>
        <v/>
      </c>
      <c r="K1253" s="19">
        <f>IF(I1253="Gasto",IF(IFERROR(INDEX(catClas,MATCH(D1253,catNom,0))&amp;"","")="","Variable",IFERROR(INDEX(catClas,MATCH(D1253,catNom,0))&amp;"","")),"")</f>
        <v/>
      </c>
      <c r="L1253" s="19">
        <f>IF(I1253="","",IFERROR(INDEX(catAlim,MATCH(D1253,catNom,0))&amp;"",""))</f>
        <v/>
      </c>
      <c r="M1253" s="19">
        <f>IF(I1253="","",IFERROR(INDEX(catComida,MATCH(D1253,catNom,0))&amp;"",""))</f>
        <v/>
      </c>
      <c r="N1253" s="19">
        <f>IF(I1253="","",IFERROR(INDEX(ctaMon,MATCH(E1253,ctaNom,0))&amp;"","DOP"))</f>
        <v/>
      </c>
      <c r="O1253" s="20">
        <f>IF(I1253="","",C1253*IF(N1253="USD",TasaUSD,1))</f>
        <v/>
      </c>
      <c r="P1253" s="20">
        <f>IF(I1253="","",IF(I1253="Gasto",O1253,0))</f>
        <v/>
      </c>
      <c r="Q1253" s="20">
        <f>IF(I1253="","",IF(I1253="Ingreso",O1253,0))</f>
        <v/>
      </c>
      <c r="R1253" s="20">
        <f>IF(I1253="","",IF(I1253="Trading",O1253,0))</f>
        <v/>
      </c>
      <c r="S1253" s="19">
        <f>IF(I1253="","",IF(AND(I1253="Gasto",K1253="Variable",J1253&lt;&gt;"Trading",O1253&gt;0,O1253&lt;=Umbral),1,0))</f>
        <v/>
      </c>
      <c r="T1253" s="20">
        <f>IF(OR(I1253="",E1253=""),"",IF(OR(I1253="Gasto",I1253="Transferencia",I1253="Pago tarjeta"),-1,1)*C1253)</f>
        <v/>
      </c>
      <c r="U1253" s="20">
        <f>IF(OR(G1253="",AND(I1253&lt;&gt;"Transferencia",I1253&lt;&gt;"Pago tarjeta")),"",IF(IFERROR(INDEX(ctaMon,MATCH(G1253,ctaNom,0))&amp;"","DOP")=N1253,C1253,IF(N1253="USD",C1253*TasaUSD,C1253/TasaUSD)))</f>
        <v/>
      </c>
      <c r="V1253" s="20">
        <f>IF(I1253="","",IF(IFERROR(INDEX(ctaLiq,MATCH(E1253,ctaNom,0))="Sí",FALSE),IF(OR(I1253="Gasto",I1253="Transferencia",I1253="Pago tarjeta"),-1,1)*O1253,0)+IF(AND(U1253&lt;&gt;"",IFERROR(INDEX(ctaLiq,MATCH(G1253,ctaNom,0))="Sí",FALSE)),O1253,0))</f>
        <v/>
      </c>
      <c r="W1253" s="19">
        <f>IF(OR(F1253="",I1253=""),"",IF(COUNTIFS(F$6:F1253,F1253,I$6:I1253,"?*")=1,MAX(W$5:W1252)+1,""))</f>
        <v/>
      </c>
    </row>
    <row r="1254">
      <c r="B1254" s="15" t="n"/>
      <c r="C1254" s="16" t="n"/>
      <c r="D1254" s="17" t="n"/>
      <c r="E1254" s="17" t="n"/>
      <c r="F1254" s="17" t="n"/>
      <c r="G1254" s="17" t="n"/>
      <c r="H1254" s="18">
        <f>IF(AND(B1254="",C1254="",D1254="",E1254=""),"",IF(B1254="","⚠ Falta fecha",IF(C1254="","⚠ Falta monto",IF(D1254="","⚠ Falta categoría",IF(ISNA(MATCH(D1254,catNom,0)),"⚠ Categoría no existe",IF(E1254="","⚠ Falta cuenta",IF(ISNA(MATCH(E1254,ctaNom,0)),"⚠ Cuenta no existe",IF(AND(OR(I1254="Transferencia",I1254="Pago tarjeta"),G1254=""),"⚠ Indica la cuenta «Hacia»",IF(AND(G1254&lt;&gt;"",G1254=E1254),"⚠ «Hacia» igual a la cuenta",IF(AND(G1254&lt;&gt;"",ISNA(MATCH(G1254,ctaNom,0))),"⚠ «Hacia» no existe",IF(AND(I1254="Pago tarjeta",IFERROR(INDEX(ctaTipo,MATCH(G1254,ctaNom,0)),"")&lt;&gt;"Tarjeta de crédito"),"⚠ «Hacia» debe ser la tarjeta",IF(AND(I1254="Trading",IFERROR(INDEX(ctaTipo,MATCH(E1254,ctaNom,0)),"")&lt;&gt;"Cuenta de trading"),"⚠ Usa la cuenta de trading","✓"))))))))))))</f>
        <v/>
      </c>
      <c r="I1254" s="19">
        <f>IF(OR(B1254="",C1254="",D1254=""),"",IFERROR(INDEX(catTipo,MATCH(D1254,catNom,0))&amp;"",""))</f>
        <v/>
      </c>
      <c r="J1254" s="19">
        <f>IF(I1254="","",IFERROR(INDEX(catGrupo,MATCH(D1254,catNom,0))&amp;"",""))</f>
        <v/>
      </c>
      <c r="K1254" s="19">
        <f>IF(I1254="Gasto",IF(IFERROR(INDEX(catClas,MATCH(D1254,catNom,0))&amp;"","")="","Variable",IFERROR(INDEX(catClas,MATCH(D1254,catNom,0))&amp;"","")),"")</f>
        <v/>
      </c>
      <c r="L1254" s="19">
        <f>IF(I1254="","",IFERROR(INDEX(catAlim,MATCH(D1254,catNom,0))&amp;"",""))</f>
        <v/>
      </c>
      <c r="M1254" s="19">
        <f>IF(I1254="","",IFERROR(INDEX(catComida,MATCH(D1254,catNom,0))&amp;"",""))</f>
        <v/>
      </c>
      <c r="N1254" s="19">
        <f>IF(I1254="","",IFERROR(INDEX(ctaMon,MATCH(E1254,ctaNom,0))&amp;"","DOP"))</f>
        <v/>
      </c>
      <c r="O1254" s="20">
        <f>IF(I1254="","",C1254*IF(N1254="USD",TasaUSD,1))</f>
        <v/>
      </c>
      <c r="P1254" s="20">
        <f>IF(I1254="","",IF(I1254="Gasto",O1254,0))</f>
        <v/>
      </c>
      <c r="Q1254" s="20">
        <f>IF(I1254="","",IF(I1254="Ingreso",O1254,0))</f>
        <v/>
      </c>
      <c r="R1254" s="20">
        <f>IF(I1254="","",IF(I1254="Trading",O1254,0))</f>
        <v/>
      </c>
      <c r="S1254" s="19">
        <f>IF(I1254="","",IF(AND(I1254="Gasto",K1254="Variable",J1254&lt;&gt;"Trading",O1254&gt;0,O1254&lt;=Umbral),1,0))</f>
        <v/>
      </c>
      <c r="T1254" s="20">
        <f>IF(OR(I1254="",E1254=""),"",IF(OR(I1254="Gasto",I1254="Transferencia",I1254="Pago tarjeta"),-1,1)*C1254)</f>
        <v/>
      </c>
      <c r="U1254" s="20">
        <f>IF(OR(G1254="",AND(I1254&lt;&gt;"Transferencia",I1254&lt;&gt;"Pago tarjeta")),"",IF(IFERROR(INDEX(ctaMon,MATCH(G1254,ctaNom,0))&amp;"","DOP")=N1254,C1254,IF(N1254="USD",C1254*TasaUSD,C1254/TasaUSD)))</f>
        <v/>
      </c>
      <c r="V1254" s="20">
        <f>IF(I1254="","",IF(IFERROR(INDEX(ctaLiq,MATCH(E1254,ctaNom,0))="Sí",FALSE),IF(OR(I1254="Gasto",I1254="Transferencia",I1254="Pago tarjeta"),-1,1)*O1254,0)+IF(AND(U1254&lt;&gt;"",IFERROR(INDEX(ctaLiq,MATCH(G1254,ctaNom,0))="Sí",FALSE)),O1254,0))</f>
        <v/>
      </c>
      <c r="W1254" s="19">
        <f>IF(OR(F1254="",I1254=""),"",IF(COUNTIFS(F$6:F1254,F1254,I$6:I1254,"?*")=1,MAX(W$5:W1253)+1,""))</f>
        <v/>
      </c>
    </row>
    <row r="1255">
      <c r="B1255" s="15" t="n"/>
      <c r="C1255" s="16" t="n"/>
      <c r="D1255" s="17" t="n"/>
      <c r="E1255" s="17" t="n"/>
      <c r="F1255" s="17" t="n"/>
      <c r="G1255" s="17" t="n"/>
      <c r="H1255" s="18">
        <f>IF(AND(B1255="",C1255="",D1255="",E1255=""),"",IF(B1255="","⚠ Falta fecha",IF(C1255="","⚠ Falta monto",IF(D1255="","⚠ Falta categoría",IF(ISNA(MATCH(D1255,catNom,0)),"⚠ Categoría no existe",IF(E1255="","⚠ Falta cuenta",IF(ISNA(MATCH(E1255,ctaNom,0)),"⚠ Cuenta no existe",IF(AND(OR(I1255="Transferencia",I1255="Pago tarjeta"),G1255=""),"⚠ Indica la cuenta «Hacia»",IF(AND(G1255&lt;&gt;"",G1255=E1255),"⚠ «Hacia» igual a la cuenta",IF(AND(G1255&lt;&gt;"",ISNA(MATCH(G1255,ctaNom,0))),"⚠ «Hacia» no existe",IF(AND(I1255="Pago tarjeta",IFERROR(INDEX(ctaTipo,MATCH(G1255,ctaNom,0)),"")&lt;&gt;"Tarjeta de crédito"),"⚠ «Hacia» debe ser la tarjeta",IF(AND(I1255="Trading",IFERROR(INDEX(ctaTipo,MATCH(E1255,ctaNom,0)),"")&lt;&gt;"Cuenta de trading"),"⚠ Usa la cuenta de trading","✓"))))))))))))</f>
        <v/>
      </c>
      <c r="I1255" s="19">
        <f>IF(OR(B1255="",C1255="",D1255=""),"",IFERROR(INDEX(catTipo,MATCH(D1255,catNom,0))&amp;"",""))</f>
        <v/>
      </c>
      <c r="J1255" s="19">
        <f>IF(I1255="","",IFERROR(INDEX(catGrupo,MATCH(D1255,catNom,0))&amp;"",""))</f>
        <v/>
      </c>
      <c r="K1255" s="19">
        <f>IF(I1255="Gasto",IF(IFERROR(INDEX(catClas,MATCH(D1255,catNom,0))&amp;"","")="","Variable",IFERROR(INDEX(catClas,MATCH(D1255,catNom,0))&amp;"","")),"")</f>
        <v/>
      </c>
      <c r="L1255" s="19">
        <f>IF(I1255="","",IFERROR(INDEX(catAlim,MATCH(D1255,catNom,0))&amp;"",""))</f>
        <v/>
      </c>
      <c r="M1255" s="19">
        <f>IF(I1255="","",IFERROR(INDEX(catComida,MATCH(D1255,catNom,0))&amp;"",""))</f>
        <v/>
      </c>
      <c r="N1255" s="19">
        <f>IF(I1255="","",IFERROR(INDEX(ctaMon,MATCH(E1255,ctaNom,0))&amp;"","DOP"))</f>
        <v/>
      </c>
      <c r="O1255" s="20">
        <f>IF(I1255="","",C1255*IF(N1255="USD",TasaUSD,1))</f>
        <v/>
      </c>
      <c r="P1255" s="20">
        <f>IF(I1255="","",IF(I1255="Gasto",O1255,0))</f>
        <v/>
      </c>
      <c r="Q1255" s="20">
        <f>IF(I1255="","",IF(I1255="Ingreso",O1255,0))</f>
        <v/>
      </c>
      <c r="R1255" s="20">
        <f>IF(I1255="","",IF(I1255="Trading",O1255,0))</f>
        <v/>
      </c>
      <c r="S1255" s="19">
        <f>IF(I1255="","",IF(AND(I1255="Gasto",K1255="Variable",J1255&lt;&gt;"Trading",O1255&gt;0,O1255&lt;=Umbral),1,0))</f>
        <v/>
      </c>
      <c r="T1255" s="20">
        <f>IF(OR(I1255="",E1255=""),"",IF(OR(I1255="Gasto",I1255="Transferencia",I1255="Pago tarjeta"),-1,1)*C1255)</f>
        <v/>
      </c>
      <c r="U1255" s="20">
        <f>IF(OR(G1255="",AND(I1255&lt;&gt;"Transferencia",I1255&lt;&gt;"Pago tarjeta")),"",IF(IFERROR(INDEX(ctaMon,MATCH(G1255,ctaNom,0))&amp;"","DOP")=N1255,C1255,IF(N1255="USD",C1255*TasaUSD,C1255/TasaUSD)))</f>
        <v/>
      </c>
      <c r="V1255" s="20">
        <f>IF(I1255="","",IF(IFERROR(INDEX(ctaLiq,MATCH(E1255,ctaNom,0))="Sí",FALSE),IF(OR(I1255="Gasto",I1255="Transferencia",I1255="Pago tarjeta"),-1,1)*O1255,0)+IF(AND(U1255&lt;&gt;"",IFERROR(INDEX(ctaLiq,MATCH(G1255,ctaNom,0))="Sí",FALSE)),O1255,0))</f>
        <v/>
      </c>
      <c r="W1255" s="19">
        <f>IF(OR(F1255="",I1255=""),"",IF(COUNTIFS(F$6:F1255,F1255,I$6:I1255,"?*")=1,MAX(W$5:W1254)+1,""))</f>
        <v/>
      </c>
    </row>
    <row r="1256">
      <c r="B1256" s="15" t="n"/>
      <c r="C1256" s="16" t="n"/>
      <c r="D1256" s="17" t="n"/>
      <c r="E1256" s="17" t="n"/>
      <c r="F1256" s="17" t="n"/>
      <c r="G1256" s="17" t="n"/>
      <c r="H1256" s="18">
        <f>IF(AND(B1256="",C1256="",D1256="",E1256=""),"",IF(B1256="","⚠ Falta fecha",IF(C1256="","⚠ Falta monto",IF(D1256="","⚠ Falta categoría",IF(ISNA(MATCH(D1256,catNom,0)),"⚠ Categoría no existe",IF(E1256="","⚠ Falta cuenta",IF(ISNA(MATCH(E1256,ctaNom,0)),"⚠ Cuenta no existe",IF(AND(OR(I1256="Transferencia",I1256="Pago tarjeta"),G1256=""),"⚠ Indica la cuenta «Hacia»",IF(AND(G1256&lt;&gt;"",G1256=E1256),"⚠ «Hacia» igual a la cuenta",IF(AND(G1256&lt;&gt;"",ISNA(MATCH(G1256,ctaNom,0))),"⚠ «Hacia» no existe",IF(AND(I1256="Pago tarjeta",IFERROR(INDEX(ctaTipo,MATCH(G1256,ctaNom,0)),"")&lt;&gt;"Tarjeta de crédito"),"⚠ «Hacia» debe ser la tarjeta",IF(AND(I1256="Trading",IFERROR(INDEX(ctaTipo,MATCH(E1256,ctaNom,0)),"")&lt;&gt;"Cuenta de trading"),"⚠ Usa la cuenta de trading","✓"))))))))))))</f>
        <v/>
      </c>
      <c r="I1256" s="19">
        <f>IF(OR(B1256="",C1256="",D1256=""),"",IFERROR(INDEX(catTipo,MATCH(D1256,catNom,0))&amp;"",""))</f>
        <v/>
      </c>
      <c r="J1256" s="19">
        <f>IF(I1256="","",IFERROR(INDEX(catGrupo,MATCH(D1256,catNom,0))&amp;"",""))</f>
        <v/>
      </c>
      <c r="K1256" s="19">
        <f>IF(I1256="Gasto",IF(IFERROR(INDEX(catClas,MATCH(D1256,catNom,0))&amp;"","")="","Variable",IFERROR(INDEX(catClas,MATCH(D1256,catNom,0))&amp;"","")),"")</f>
        <v/>
      </c>
      <c r="L1256" s="19">
        <f>IF(I1256="","",IFERROR(INDEX(catAlim,MATCH(D1256,catNom,0))&amp;"",""))</f>
        <v/>
      </c>
      <c r="M1256" s="19">
        <f>IF(I1256="","",IFERROR(INDEX(catComida,MATCH(D1256,catNom,0))&amp;"",""))</f>
        <v/>
      </c>
      <c r="N1256" s="19">
        <f>IF(I1256="","",IFERROR(INDEX(ctaMon,MATCH(E1256,ctaNom,0))&amp;"","DOP"))</f>
        <v/>
      </c>
      <c r="O1256" s="20">
        <f>IF(I1256="","",C1256*IF(N1256="USD",TasaUSD,1))</f>
        <v/>
      </c>
      <c r="P1256" s="20">
        <f>IF(I1256="","",IF(I1256="Gasto",O1256,0))</f>
        <v/>
      </c>
      <c r="Q1256" s="20">
        <f>IF(I1256="","",IF(I1256="Ingreso",O1256,0))</f>
        <v/>
      </c>
      <c r="R1256" s="20">
        <f>IF(I1256="","",IF(I1256="Trading",O1256,0))</f>
        <v/>
      </c>
      <c r="S1256" s="19">
        <f>IF(I1256="","",IF(AND(I1256="Gasto",K1256="Variable",J1256&lt;&gt;"Trading",O1256&gt;0,O1256&lt;=Umbral),1,0))</f>
        <v/>
      </c>
      <c r="T1256" s="20">
        <f>IF(OR(I1256="",E1256=""),"",IF(OR(I1256="Gasto",I1256="Transferencia",I1256="Pago tarjeta"),-1,1)*C1256)</f>
        <v/>
      </c>
      <c r="U1256" s="20">
        <f>IF(OR(G1256="",AND(I1256&lt;&gt;"Transferencia",I1256&lt;&gt;"Pago tarjeta")),"",IF(IFERROR(INDEX(ctaMon,MATCH(G1256,ctaNom,0))&amp;"","DOP")=N1256,C1256,IF(N1256="USD",C1256*TasaUSD,C1256/TasaUSD)))</f>
        <v/>
      </c>
      <c r="V1256" s="20">
        <f>IF(I1256="","",IF(IFERROR(INDEX(ctaLiq,MATCH(E1256,ctaNom,0))="Sí",FALSE),IF(OR(I1256="Gasto",I1256="Transferencia",I1256="Pago tarjeta"),-1,1)*O1256,0)+IF(AND(U1256&lt;&gt;"",IFERROR(INDEX(ctaLiq,MATCH(G1256,ctaNom,0))="Sí",FALSE)),O1256,0))</f>
        <v/>
      </c>
      <c r="W1256" s="19">
        <f>IF(OR(F1256="",I1256=""),"",IF(COUNTIFS(F$6:F1256,F1256,I$6:I1256,"?*")=1,MAX(W$5:W1255)+1,""))</f>
        <v/>
      </c>
    </row>
    <row r="1257">
      <c r="B1257" s="15" t="n"/>
      <c r="C1257" s="16" t="n"/>
      <c r="D1257" s="17" t="n"/>
      <c r="E1257" s="17" t="n"/>
      <c r="F1257" s="17" t="n"/>
      <c r="G1257" s="17" t="n"/>
      <c r="H1257" s="18">
        <f>IF(AND(B1257="",C1257="",D1257="",E1257=""),"",IF(B1257="","⚠ Falta fecha",IF(C1257="","⚠ Falta monto",IF(D1257="","⚠ Falta categoría",IF(ISNA(MATCH(D1257,catNom,0)),"⚠ Categoría no existe",IF(E1257="","⚠ Falta cuenta",IF(ISNA(MATCH(E1257,ctaNom,0)),"⚠ Cuenta no existe",IF(AND(OR(I1257="Transferencia",I1257="Pago tarjeta"),G1257=""),"⚠ Indica la cuenta «Hacia»",IF(AND(G1257&lt;&gt;"",G1257=E1257),"⚠ «Hacia» igual a la cuenta",IF(AND(G1257&lt;&gt;"",ISNA(MATCH(G1257,ctaNom,0))),"⚠ «Hacia» no existe",IF(AND(I1257="Pago tarjeta",IFERROR(INDEX(ctaTipo,MATCH(G1257,ctaNom,0)),"")&lt;&gt;"Tarjeta de crédito"),"⚠ «Hacia» debe ser la tarjeta",IF(AND(I1257="Trading",IFERROR(INDEX(ctaTipo,MATCH(E1257,ctaNom,0)),"")&lt;&gt;"Cuenta de trading"),"⚠ Usa la cuenta de trading","✓"))))))))))))</f>
        <v/>
      </c>
      <c r="I1257" s="19">
        <f>IF(OR(B1257="",C1257="",D1257=""),"",IFERROR(INDEX(catTipo,MATCH(D1257,catNom,0))&amp;"",""))</f>
        <v/>
      </c>
      <c r="J1257" s="19">
        <f>IF(I1257="","",IFERROR(INDEX(catGrupo,MATCH(D1257,catNom,0))&amp;"",""))</f>
        <v/>
      </c>
      <c r="K1257" s="19">
        <f>IF(I1257="Gasto",IF(IFERROR(INDEX(catClas,MATCH(D1257,catNom,0))&amp;"","")="","Variable",IFERROR(INDEX(catClas,MATCH(D1257,catNom,0))&amp;"","")),"")</f>
        <v/>
      </c>
      <c r="L1257" s="19">
        <f>IF(I1257="","",IFERROR(INDEX(catAlim,MATCH(D1257,catNom,0))&amp;"",""))</f>
        <v/>
      </c>
      <c r="M1257" s="19">
        <f>IF(I1257="","",IFERROR(INDEX(catComida,MATCH(D1257,catNom,0))&amp;"",""))</f>
        <v/>
      </c>
      <c r="N1257" s="19">
        <f>IF(I1257="","",IFERROR(INDEX(ctaMon,MATCH(E1257,ctaNom,0))&amp;"","DOP"))</f>
        <v/>
      </c>
      <c r="O1257" s="20">
        <f>IF(I1257="","",C1257*IF(N1257="USD",TasaUSD,1))</f>
        <v/>
      </c>
      <c r="P1257" s="20">
        <f>IF(I1257="","",IF(I1257="Gasto",O1257,0))</f>
        <v/>
      </c>
      <c r="Q1257" s="20">
        <f>IF(I1257="","",IF(I1257="Ingreso",O1257,0))</f>
        <v/>
      </c>
      <c r="R1257" s="20">
        <f>IF(I1257="","",IF(I1257="Trading",O1257,0))</f>
        <v/>
      </c>
      <c r="S1257" s="19">
        <f>IF(I1257="","",IF(AND(I1257="Gasto",K1257="Variable",J1257&lt;&gt;"Trading",O1257&gt;0,O1257&lt;=Umbral),1,0))</f>
        <v/>
      </c>
      <c r="T1257" s="20">
        <f>IF(OR(I1257="",E1257=""),"",IF(OR(I1257="Gasto",I1257="Transferencia",I1257="Pago tarjeta"),-1,1)*C1257)</f>
        <v/>
      </c>
      <c r="U1257" s="20">
        <f>IF(OR(G1257="",AND(I1257&lt;&gt;"Transferencia",I1257&lt;&gt;"Pago tarjeta")),"",IF(IFERROR(INDEX(ctaMon,MATCH(G1257,ctaNom,0))&amp;"","DOP")=N1257,C1257,IF(N1257="USD",C1257*TasaUSD,C1257/TasaUSD)))</f>
        <v/>
      </c>
      <c r="V1257" s="20">
        <f>IF(I1257="","",IF(IFERROR(INDEX(ctaLiq,MATCH(E1257,ctaNom,0))="Sí",FALSE),IF(OR(I1257="Gasto",I1257="Transferencia",I1257="Pago tarjeta"),-1,1)*O1257,0)+IF(AND(U1257&lt;&gt;"",IFERROR(INDEX(ctaLiq,MATCH(G1257,ctaNom,0))="Sí",FALSE)),O1257,0))</f>
        <v/>
      </c>
      <c r="W1257" s="19">
        <f>IF(OR(F1257="",I1257=""),"",IF(COUNTIFS(F$6:F1257,F1257,I$6:I1257,"?*")=1,MAX(W$5:W1256)+1,""))</f>
        <v/>
      </c>
    </row>
    <row r="1258">
      <c r="B1258" s="15" t="n"/>
      <c r="C1258" s="16" t="n"/>
      <c r="D1258" s="17" t="n"/>
      <c r="E1258" s="17" t="n"/>
      <c r="F1258" s="17" t="n"/>
      <c r="G1258" s="17" t="n"/>
      <c r="H1258" s="18">
        <f>IF(AND(B1258="",C1258="",D1258="",E1258=""),"",IF(B1258="","⚠ Falta fecha",IF(C1258="","⚠ Falta monto",IF(D1258="","⚠ Falta categoría",IF(ISNA(MATCH(D1258,catNom,0)),"⚠ Categoría no existe",IF(E1258="","⚠ Falta cuenta",IF(ISNA(MATCH(E1258,ctaNom,0)),"⚠ Cuenta no existe",IF(AND(OR(I1258="Transferencia",I1258="Pago tarjeta"),G1258=""),"⚠ Indica la cuenta «Hacia»",IF(AND(G1258&lt;&gt;"",G1258=E1258),"⚠ «Hacia» igual a la cuenta",IF(AND(G1258&lt;&gt;"",ISNA(MATCH(G1258,ctaNom,0))),"⚠ «Hacia» no existe",IF(AND(I1258="Pago tarjeta",IFERROR(INDEX(ctaTipo,MATCH(G1258,ctaNom,0)),"")&lt;&gt;"Tarjeta de crédito"),"⚠ «Hacia» debe ser la tarjeta",IF(AND(I1258="Trading",IFERROR(INDEX(ctaTipo,MATCH(E1258,ctaNom,0)),"")&lt;&gt;"Cuenta de trading"),"⚠ Usa la cuenta de trading","✓"))))))))))))</f>
        <v/>
      </c>
      <c r="I1258" s="19">
        <f>IF(OR(B1258="",C1258="",D1258=""),"",IFERROR(INDEX(catTipo,MATCH(D1258,catNom,0))&amp;"",""))</f>
        <v/>
      </c>
      <c r="J1258" s="19">
        <f>IF(I1258="","",IFERROR(INDEX(catGrupo,MATCH(D1258,catNom,0))&amp;"",""))</f>
        <v/>
      </c>
      <c r="K1258" s="19">
        <f>IF(I1258="Gasto",IF(IFERROR(INDEX(catClas,MATCH(D1258,catNom,0))&amp;"","")="","Variable",IFERROR(INDEX(catClas,MATCH(D1258,catNom,0))&amp;"","")),"")</f>
        <v/>
      </c>
      <c r="L1258" s="19">
        <f>IF(I1258="","",IFERROR(INDEX(catAlim,MATCH(D1258,catNom,0))&amp;"",""))</f>
        <v/>
      </c>
      <c r="M1258" s="19">
        <f>IF(I1258="","",IFERROR(INDEX(catComida,MATCH(D1258,catNom,0))&amp;"",""))</f>
        <v/>
      </c>
      <c r="N1258" s="19">
        <f>IF(I1258="","",IFERROR(INDEX(ctaMon,MATCH(E1258,ctaNom,0))&amp;"","DOP"))</f>
        <v/>
      </c>
      <c r="O1258" s="20">
        <f>IF(I1258="","",C1258*IF(N1258="USD",TasaUSD,1))</f>
        <v/>
      </c>
      <c r="P1258" s="20">
        <f>IF(I1258="","",IF(I1258="Gasto",O1258,0))</f>
        <v/>
      </c>
      <c r="Q1258" s="20">
        <f>IF(I1258="","",IF(I1258="Ingreso",O1258,0))</f>
        <v/>
      </c>
      <c r="R1258" s="20">
        <f>IF(I1258="","",IF(I1258="Trading",O1258,0))</f>
        <v/>
      </c>
      <c r="S1258" s="19">
        <f>IF(I1258="","",IF(AND(I1258="Gasto",K1258="Variable",J1258&lt;&gt;"Trading",O1258&gt;0,O1258&lt;=Umbral),1,0))</f>
        <v/>
      </c>
      <c r="T1258" s="20">
        <f>IF(OR(I1258="",E1258=""),"",IF(OR(I1258="Gasto",I1258="Transferencia",I1258="Pago tarjeta"),-1,1)*C1258)</f>
        <v/>
      </c>
      <c r="U1258" s="20">
        <f>IF(OR(G1258="",AND(I1258&lt;&gt;"Transferencia",I1258&lt;&gt;"Pago tarjeta")),"",IF(IFERROR(INDEX(ctaMon,MATCH(G1258,ctaNom,0))&amp;"","DOP")=N1258,C1258,IF(N1258="USD",C1258*TasaUSD,C1258/TasaUSD)))</f>
        <v/>
      </c>
      <c r="V1258" s="20">
        <f>IF(I1258="","",IF(IFERROR(INDEX(ctaLiq,MATCH(E1258,ctaNom,0))="Sí",FALSE),IF(OR(I1258="Gasto",I1258="Transferencia",I1258="Pago tarjeta"),-1,1)*O1258,0)+IF(AND(U1258&lt;&gt;"",IFERROR(INDEX(ctaLiq,MATCH(G1258,ctaNom,0))="Sí",FALSE)),O1258,0))</f>
        <v/>
      </c>
      <c r="W1258" s="19">
        <f>IF(OR(F1258="",I1258=""),"",IF(COUNTIFS(F$6:F1258,F1258,I$6:I1258,"?*")=1,MAX(W$5:W1257)+1,""))</f>
        <v/>
      </c>
    </row>
    <row r="1259">
      <c r="B1259" s="15" t="n"/>
      <c r="C1259" s="16" t="n"/>
      <c r="D1259" s="17" t="n"/>
      <c r="E1259" s="17" t="n"/>
      <c r="F1259" s="17" t="n"/>
      <c r="G1259" s="17" t="n"/>
      <c r="H1259" s="18">
        <f>IF(AND(B1259="",C1259="",D1259="",E1259=""),"",IF(B1259="","⚠ Falta fecha",IF(C1259="","⚠ Falta monto",IF(D1259="","⚠ Falta categoría",IF(ISNA(MATCH(D1259,catNom,0)),"⚠ Categoría no existe",IF(E1259="","⚠ Falta cuenta",IF(ISNA(MATCH(E1259,ctaNom,0)),"⚠ Cuenta no existe",IF(AND(OR(I1259="Transferencia",I1259="Pago tarjeta"),G1259=""),"⚠ Indica la cuenta «Hacia»",IF(AND(G1259&lt;&gt;"",G1259=E1259),"⚠ «Hacia» igual a la cuenta",IF(AND(G1259&lt;&gt;"",ISNA(MATCH(G1259,ctaNom,0))),"⚠ «Hacia» no existe",IF(AND(I1259="Pago tarjeta",IFERROR(INDEX(ctaTipo,MATCH(G1259,ctaNom,0)),"")&lt;&gt;"Tarjeta de crédito"),"⚠ «Hacia» debe ser la tarjeta",IF(AND(I1259="Trading",IFERROR(INDEX(ctaTipo,MATCH(E1259,ctaNom,0)),"")&lt;&gt;"Cuenta de trading"),"⚠ Usa la cuenta de trading","✓"))))))))))))</f>
        <v/>
      </c>
      <c r="I1259" s="19">
        <f>IF(OR(B1259="",C1259="",D1259=""),"",IFERROR(INDEX(catTipo,MATCH(D1259,catNom,0))&amp;"",""))</f>
        <v/>
      </c>
      <c r="J1259" s="19">
        <f>IF(I1259="","",IFERROR(INDEX(catGrupo,MATCH(D1259,catNom,0))&amp;"",""))</f>
        <v/>
      </c>
      <c r="K1259" s="19">
        <f>IF(I1259="Gasto",IF(IFERROR(INDEX(catClas,MATCH(D1259,catNom,0))&amp;"","")="","Variable",IFERROR(INDEX(catClas,MATCH(D1259,catNom,0))&amp;"","")),"")</f>
        <v/>
      </c>
      <c r="L1259" s="19">
        <f>IF(I1259="","",IFERROR(INDEX(catAlim,MATCH(D1259,catNom,0))&amp;"",""))</f>
        <v/>
      </c>
      <c r="M1259" s="19">
        <f>IF(I1259="","",IFERROR(INDEX(catComida,MATCH(D1259,catNom,0))&amp;"",""))</f>
        <v/>
      </c>
      <c r="N1259" s="19">
        <f>IF(I1259="","",IFERROR(INDEX(ctaMon,MATCH(E1259,ctaNom,0))&amp;"","DOP"))</f>
        <v/>
      </c>
      <c r="O1259" s="20">
        <f>IF(I1259="","",C1259*IF(N1259="USD",TasaUSD,1))</f>
        <v/>
      </c>
      <c r="P1259" s="20">
        <f>IF(I1259="","",IF(I1259="Gasto",O1259,0))</f>
        <v/>
      </c>
      <c r="Q1259" s="20">
        <f>IF(I1259="","",IF(I1259="Ingreso",O1259,0))</f>
        <v/>
      </c>
      <c r="R1259" s="20">
        <f>IF(I1259="","",IF(I1259="Trading",O1259,0))</f>
        <v/>
      </c>
      <c r="S1259" s="19">
        <f>IF(I1259="","",IF(AND(I1259="Gasto",K1259="Variable",J1259&lt;&gt;"Trading",O1259&gt;0,O1259&lt;=Umbral),1,0))</f>
        <v/>
      </c>
      <c r="T1259" s="20">
        <f>IF(OR(I1259="",E1259=""),"",IF(OR(I1259="Gasto",I1259="Transferencia",I1259="Pago tarjeta"),-1,1)*C1259)</f>
        <v/>
      </c>
      <c r="U1259" s="20">
        <f>IF(OR(G1259="",AND(I1259&lt;&gt;"Transferencia",I1259&lt;&gt;"Pago tarjeta")),"",IF(IFERROR(INDEX(ctaMon,MATCH(G1259,ctaNom,0))&amp;"","DOP")=N1259,C1259,IF(N1259="USD",C1259*TasaUSD,C1259/TasaUSD)))</f>
        <v/>
      </c>
      <c r="V1259" s="20">
        <f>IF(I1259="","",IF(IFERROR(INDEX(ctaLiq,MATCH(E1259,ctaNom,0))="Sí",FALSE),IF(OR(I1259="Gasto",I1259="Transferencia",I1259="Pago tarjeta"),-1,1)*O1259,0)+IF(AND(U1259&lt;&gt;"",IFERROR(INDEX(ctaLiq,MATCH(G1259,ctaNom,0))="Sí",FALSE)),O1259,0))</f>
        <v/>
      </c>
      <c r="W1259" s="19">
        <f>IF(OR(F1259="",I1259=""),"",IF(COUNTIFS(F$6:F1259,F1259,I$6:I1259,"?*")=1,MAX(W$5:W1258)+1,""))</f>
        <v/>
      </c>
    </row>
    <row r="1260">
      <c r="B1260" s="15" t="n"/>
      <c r="C1260" s="16" t="n"/>
      <c r="D1260" s="17" t="n"/>
      <c r="E1260" s="17" t="n"/>
      <c r="F1260" s="17" t="n"/>
      <c r="G1260" s="17" t="n"/>
      <c r="H1260" s="18">
        <f>IF(AND(B1260="",C1260="",D1260="",E1260=""),"",IF(B1260="","⚠ Falta fecha",IF(C1260="","⚠ Falta monto",IF(D1260="","⚠ Falta categoría",IF(ISNA(MATCH(D1260,catNom,0)),"⚠ Categoría no existe",IF(E1260="","⚠ Falta cuenta",IF(ISNA(MATCH(E1260,ctaNom,0)),"⚠ Cuenta no existe",IF(AND(OR(I1260="Transferencia",I1260="Pago tarjeta"),G1260=""),"⚠ Indica la cuenta «Hacia»",IF(AND(G1260&lt;&gt;"",G1260=E1260),"⚠ «Hacia» igual a la cuenta",IF(AND(G1260&lt;&gt;"",ISNA(MATCH(G1260,ctaNom,0))),"⚠ «Hacia» no existe",IF(AND(I1260="Pago tarjeta",IFERROR(INDEX(ctaTipo,MATCH(G1260,ctaNom,0)),"")&lt;&gt;"Tarjeta de crédito"),"⚠ «Hacia» debe ser la tarjeta",IF(AND(I1260="Trading",IFERROR(INDEX(ctaTipo,MATCH(E1260,ctaNom,0)),"")&lt;&gt;"Cuenta de trading"),"⚠ Usa la cuenta de trading","✓"))))))))))))</f>
        <v/>
      </c>
      <c r="I1260" s="19">
        <f>IF(OR(B1260="",C1260="",D1260=""),"",IFERROR(INDEX(catTipo,MATCH(D1260,catNom,0))&amp;"",""))</f>
        <v/>
      </c>
      <c r="J1260" s="19">
        <f>IF(I1260="","",IFERROR(INDEX(catGrupo,MATCH(D1260,catNom,0))&amp;"",""))</f>
        <v/>
      </c>
      <c r="K1260" s="19">
        <f>IF(I1260="Gasto",IF(IFERROR(INDEX(catClas,MATCH(D1260,catNom,0))&amp;"","")="","Variable",IFERROR(INDEX(catClas,MATCH(D1260,catNom,0))&amp;"","")),"")</f>
        <v/>
      </c>
      <c r="L1260" s="19">
        <f>IF(I1260="","",IFERROR(INDEX(catAlim,MATCH(D1260,catNom,0))&amp;"",""))</f>
        <v/>
      </c>
      <c r="M1260" s="19">
        <f>IF(I1260="","",IFERROR(INDEX(catComida,MATCH(D1260,catNom,0))&amp;"",""))</f>
        <v/>
      </c>
      <c r="N1260" s="19">
        <f>IF(I1260="","",IFERROR(INDEX(ctaMon,MATCH(E1260,ctaNom,0))&amp;"","DOP"))</f>
        <v/>
      </c>
      <c r="O1260" s="20">
        <f>IF(I1260="","",C1260*IF(N1260="USD",TasaUSD,1))</f>
        <v/>
      </c>
      <c r="P1260" s="20">
        <f>IF(I1260="","",IF(I1260="Gasto",O1260,0))</f>
        <v/>
      </c>
      <c r="Q1260" s="20">
        <f>IF(I1260="","",IF(I1260="Ingreso",O1260,0))</f>
        <v/>
      </c>
      <c r="R1260" s="20">
        <f>IF(I1260="","",IF(I1260="Trading",O1260,0))</f>
        <v/>
      </c>
      <c r="S1260" s="19">
        <f>IF(I1260="","",IF(AND(I1260="Gasto",K1260="Variable",J1260&lt;&gt;"Trading",O1260&gt;0,O1260&lt;=Umbral),1,0))</f>
        <v/>
      </c>
      <c r="T1260" s="20">
        <f>IF(OR(I1260="",E1260=""),"",IF(OR(I1260="Gasto",I1260="Transferencia",I1260="Pago tarjeta"),-1,1)*C1260)</f>
        <v/>
      </c>
      <c r="U1260" s="20">
        <f>IF(OR(G1260="",AND(I1260&lt;&gt;"Transferencia",I1260&lt;&gt;"Pago tarjeta")),"",IF(IFERROR(INDEX(ctaMon,MATCH(G1260,ctaNom,0))&amp;"","DOP")=N1260,C1260,IF(N1260="USD",C1260*TasaUSD,C1260/TasaUSD)))</f>
        <v/>
      </c>
      <c r="V1260" s="20">
        <f>IF(I1260="","",IF(IFERROR(INDEX(ctaLiq,MATCH(E1260,ctaNom,0))="Sí",FALSE),IF(OR(I1260="Gasto",I1260="Transferencia",I1260="Pago tarjeta"),-1,1)*O1260,0)+IF(AND(U1260&lt;&gt;"",IFERROR(INDEX(ctaLiq,MATCH(G1260,ctaNom,0))="Sí",FALSE)),O1260,0))</f>
        <v/>
      </c>
      <c r="W1260" s="19">
        <f>IF(OR(F1260="",I1260=""),"",IF(COUNTIFS(F$6:F1260,F1260,I$6:I1260,"?*")=1,MAX(W$5:W1259)+1,""))</f>
        <v/>
      </c>
    </row>
    <row r="1261">
      <c r="B1261" s="15" t="n"/>
      <c r="C1261" s="16" t="n"/>
      <c r="D1261" s="17" t="n"/>
      <c r="E1261" s="17" t="n"/>
      <c r="F1261" s="17" t="n"/>
      <c r="G1261" s="17" t="n"/>
      <c r="H1261" s="18">
        <f>IF(AND(B1261="",C1261="",D1261="",E1261=""),"",IF(B1261="","⚠ Falta fecha",IF(C1261="","⚠ Falta monto",IF(D1261="","⚠ Falta categoría",IF(ISNA(MATCH(D1261,catNom,0)),"⚠ Categoría no existe",IF(E1261="","⚠ Falta cuenta",IF(ISNA(MATCH(E1261,ctaNom,0)),"⚠ Cuenta no existe",IF(AND(OR(I1261="Transferencia",I1261="Pago tarjeta"),G1261=""),"⚠ Indica la cuenta «Hacia»",IF(AND(G1261&lt;&gt;"",G1261=E1261),"⚠ «Hacia» igual a la cuenta",IF(AND(G1261&lt;&gt;"",ISNA(MATCH(G1261,ctaNom,0))),"⚠ «Hacia» no existe",IF(AND(I1261="Pago tarjeta",IFERROR(INDEX(ctaTipo,MATCH(G1261,ctaNom,0)),"")&lt;&gt;"Tarjeta de crédito"),"⚠ «Hacia» debe ser la tarjeta",IF(AND(I1261="Trading",IFERROR(INDEX(ctaTipo,MATCH(E1261,ctaNom,0)),"")&lt;&gt;"Cuenta de trading"),"⚠ Usa la cuenta de trading","✓"))))))))))))</f>
        <v/>
      </c>
      <c r="I1261" s="19">
        <f>IF(OR(B1261="",C1261="",D1261=""),"",IFERROR(INDEX(catTipo,MATCH(D1261,catNom,0))&amp;"",""))</f>
        <v/>
      </c>
      <c r="J1261" s="19">
        <f>IF(I1261="","",IFERROR(INDEX(catGrupo,MATCH(D1261,catNom,0))&amp;"",""))</f>
        <v/>
      </c>
      <c r="K1261" s="19">
        <f>IF(I1261="Gasto",IF(IFERROR(INDEX(catClas,MATCH(D1261,catNom,0))&amp;"","")="","Variable",IFERROR(INDEX(catClas,MATCH(D1261,catNom,0))&amp;"","")),"")</f>
        <v/>
      </c>
      <c r="L1261" s="19">
        <f>IF(I1261="","",IFERROR(INDEX(catAlim,MATCH(D1261,catNom,0))&amp;"",""))</f>
        <v/>
      </c>
      <c r="M1261" s="19">
        <f>IF(I1261="","",IFERROR(INDEX(catComida,MATCH(D1261,catNom,0))&amp;"",""))</f>
        <v/>
      </c>
      <c r="N1261" s="19">
        <f>IF(I1261="","",IFERROR(INDEX(ctaMon,MATCH(E1261,ctaNom,0))&amp;"","DOP"))</f>
        <v/>
      </c>
      <c r="O1261" s="20">
        <f>IF(I1261="","",C1261*IF(N1261="USD",TasaUSD,1))</f>
        <v/>
      </c>
      <c r="P1261" s="20">
        <f>IF(I1261="","",IF(I1261="Gasto",O1261,0))</f>
        <v/>
      </c>
      <c r="Q1261" s="20">
        <f>IF(I1261="","",IF(I1261="Ingreso",O1261,0))</f>
        <v/>
      </c>
      <c r="R1261" s="20">
        <f>IF(I1261="","",IF(I1261="Trading",O1261,0))</f>
        <v/>
      </c>
      <c r="S1261" s="19">
        <f>IF(I1261="","",IF(AND(I1261="Gasto",K1261="Variable",J1261&lt;&gt;"Trading",O1261&gt;0,O1261&lt;=Umbral),1,0))</f>
        <v/>
      </c>
      <c r="T1261" s="20">
        <f>IF(OR(I1261="",E1261=""),"",IF(OR(I1261="Gasto",I1261="Transferencia",I1261="Pago tarjeta"),-1,1)*C1261)</f>
        <v/>
      </c>
      <c r="U1261" s="20">
        <f>IF(OR(G1261="",AND(I1261&lt;&gt;"Transferencia",I1261&lt;&gt;"Pago tarjeta")),"",IF(IFERROR(INDEX(ctaMon,MATCH(G1261,ctaNom,0))&amp;"","DOP")=N1261,C1261,IF(N1261="USD",C1261*TasaUSD,C1261/TasaUSD)))</f>
        <v/>
      </c>
      <c r="V1261" s="20">
        <f>IF(I1261="","",IF(IFERROR(INDEX(ctaLiq,MATCH(E1261,ctaNom,0))="Sí",FALSE),IF(OR(I1261="Gasto",I1261="Transferencia",I1261="Pago tarjeta"),-1,1)*O1261,0)+IF(AND(U1261&lt;&gt;"",IFERROR(INDEX(ctaLiq,MATCH(G1261,ctaNom,0))="Sí",FALSE)),O1261,0))</f>
        <v/>
      </c>
      <c r="W1261" s="19">
        <f>IF(OR(F1261="",I1261=""),"",IF(COUNTIFS(F$6:F1261,F1261,I$6:I1261,"?*")=1,MAX(W$5:W1260)+1,""))</f>
        <v/>
      </c>
    </row>
    <row r="1262">
      <c r="B1262" s="15" t="n"/>
      <c r="C1262" s="16" t="n"/>
      <c r="D1262" s="17" t="n"/>
      <c r="E1262" s="17" t="n"/>
      <c r="F1262" s="17" t="n"/>
      <c r="G1262" s="17" t="n"/>
      <c r="H1262" s="18">
        <f>IF(AND(B1262="",C1262="",D1262="",E1262=""),"",IF(B1262="","⚠ Falta fecha",IF(C1262="","⚠ Falta monto",IF(D1262="","⚠ Falta categoría",IF(ISNA(MATCH(D1262,catNom,0)),"⚠ Categoría no existe",IF(E1262="","⚠ Falta cuenta",IF(ISNA(MATCH(E1262,ctaNom,0)),"⚠ Cuenta no existe",IF(AND(OR(I1262="Transferencia",I1262="Pago tarjeta"),G1262=""),"⚠ Indica la cuenta «Hacia»",IF(AND(G1262&lt;&gt;"",G1262=E1262),"⚠ «Hacia» igual a la cuenta",IF(AND(G1262&lt;&gt;"",ISNA(MATCH(G1262,ctaNom,0))),"⚠ «Hacia» no existe",IF(AND(I1262="Pago tarjeta",IFERROR(INDEX(ctaTipo,MATCH(G1262,ctaNom,0)),"")&lt;&gt;"Tarjeta de crédito"),"⚠ «Hacia» debe ser la tarjeta",IF(AND(I1262="Trading",IFERROR(INDEX(ctaTipo,MATCH(E1262,ctaNom,0)),"")&lt;&gt;"Cuenta de trading"),"⚠ Usa la cuenta de trading","✓"))))))))))))</f>
        <v/>
      </c>
      <c r="I1262" s="19">
        <f>IF(OR(B1262="",C1262="",D1262=""),"",IFERROR(INDEX(catTipo,MATCH(D1262,catNom,0))&amp;"",""))</f>
        <v/>
      </c>
      <c r="J1262" s="19">
        <f>IF(I1262="","",IFERROR(INDEX(catGrupo,MATCH(D1262,catNom,0))&amp;"",""))</f>
        <v/>
      </c>
      <c r="K1262" s="19">
        <f>IF(I1262="Gasto",IF(IFERROR(INDEX(catClas,MATCH(D1262,catNom,0))&amp;"","")="","Variable",IFERROR(INDEX(catClas,MATCH(D1262,catNom,0))&amp;"","")),"")</f>
        <v/>
      </c>
      <c r="L1262" s="19">
        <f>IF(I1262="","",IFERROR(INDEX(catAlim,MATCH(D1262,catNom,0))&amp;"",""))</f>
        <v/>
      </c>
      <c r="M1262" s="19">
        <f>IF(I1262="","",IFERROR(INDEX(catComida,MATCH(D1262,catNom,0))&amp;"",""))</f>
        <v/>
      </c>
      <c r="N1262" s="19">
        <f>IF(I1262="","",IFERROR(INDEX(ctaMon,MATCH(E1262,ctaNom,0))&amp;"","DOP"))</f>
        <v/>
      </c>
      <c r="O1262" s="20">
        <f>IF(I1262="","",C1262*IF(N1262="USD",TasaUSD,1))</f>
        <v/>
      </c>
      <c r="P1262" s="20">
        <f>IF(I1262="","",IF(I1262="Gasto",O1262,0))</f>
        <v/>
      </c>
      <c r="Q1262" s="20">
        <f>IF(I1262="","",IF(I1262="Ingreso",O1262,0))</f>
        <v/>
      </c>
      <c r="R1262" s="20">
        <f>IF(I1262="","",IF(I1262="Trading",O1262,0))</f>
        <v/>
      </c>
      <c r="S1262" s="19">
        <f>IF(I1262="","",IF(AND(I1262="Gasto",K1262="Variable",J1262&lt;&gt;"Trading",O1262&gt;0,O1262&lt;=Umbral),1,0))</f>
        <v/>
      </c>
      <c r="T1262" s="20">
        <f>IF(OR(I1262="",E1262=""),"",IF(OR(I1262="Gasto",I1262="Transferencia",I1262="Pago tarjeta"),-1,1)*C1262)</f>
        <v/>
      </c>
      <c r="U1262" s="20">
        <f>IF(OR(G1262="",AND(I1262&lt;&gt;"Transferencia",I1262&lt;&gt;"Pago tarjeta")),"",IF(IFERROR(INDEX(ctaMon,MATCH(G1262,ctaNom,0))&amp;"","DOP")=N1262,C1262,IF(N1262="USD",C1262*TasaUSD,C1262/TasaUSD)))</f>
        <v/>
      </c>
      <c r="V1262" s="20">
        <f>IF(I1262="","",IF(IFERROR(INDEX(ctaLiq,MATCH(E1262,ctaNom,0))="Sí",FALSE),IF(OR(I1262="Gasto",I1262="Transferencia",I1262="Pago tarjeta"),-1,1)*O1262,0)+IF(AND(U1262&lt;&gt;"",IFERROR(INDEX(ctaLiq,MATCH(G1262,ctaNom,0))="Sí",FALSE)),O1262,0))</f>
        <v/>
      </c>
      <c r="W1262" s="19">
        <f>IF(OR(F1262="",I1262=""),"",IF(COUNTIFS(F$6:F1262,F1262,I$6:I1262,"?*")=1,MAX(W$5:W1261)+1,""))</f>
        <v/>
      </c>
    </row>
    <row r="1263">
      <c r="B1263" s="15" t="n"/>
      <c r="C1263" s="16" t="n"/>
      <c r="D1263" s="17" t="n"/>
      <c r="E1263" s="17" t="n"/>
      <c r="F1263" s="17" t="n"/>
      <c r="G1263" s="17" t="n"/>
      <c r="H1263" s="18">
        <f>IF(AND(B1263="",C1263="",D1263="",E1263=""),"",IF(B1263="","⚠ Falta fecha",IF(C1263="","⚠ Falta monto",IF(D1263="","⚠ Falta categoría",IF(ISNA(MATCH(D1263,catNom,0)),"⚠ Categoría no existe",IF(E1263="","⚠ Falta cuenta",IF(ISNA(MATCH(E1263,ctaNom,0)),"⚠ Cuenta no existe",IF(AND(OR(I1263="Transferencia",I1263="Pago tarjeta"),G1263=""),"⚠ Indica la cuenta «Hacia»",IF(AND(G1263&lt;&gt;"",G1263=E1263),"⚠ «Hacia» igual a la cuenta",IF(AND(G1263&lt;&gt;"",ISNA(MATCH(G1263,ctaNom,0))),"⚠ «Hacia» no existe",IF(AND(I1263="Pago tarjeta",IFERROR(INDEX(ctaTipo,MATCH(G1263,ctaNom,0)),"")&lt;&gt;"Tarjeta de crédito"),"⚠ «Hacia» debe ser la tarjeta",IF(AND(I1263="Trading",IFERROR(INDEX(ctaTipo,MATCH(E1263,ctaNom,0)),"")&lt;&gt;"Cuenta de trading"),"⚠ Usa la cuenta de trading","✓"))))))))))))</f>
        <v/>
      </c>
      <c r="I1263" s="19">
        <f>IF(OR(B1263="",C1263="",D1263=""),"",IFERROR(INDEX(catTipo,MATCH(D1263,catNom,0))&amp;"",""))</f>
        <v/>
      </c>
      <c r="J1263" s="19">
        <f>IF(I1263="","",IFERROR(INDEX(catGrupo,MATCH(D1263,catNom,0))&amp;"",""))</f>
        <v/>
      </c>
      <c r="K1263" s="19">
        <f>IF(I1263="Gasto",IF(IFERROR(INDEX(catClas,MATCH(D1263,catNom,0))&amp;"","")="","Variable",IFERROR(INDEX(catClas,MATCH(D1263,catNom,0))&amp;"","")),"")</f>
        <v/>
      </c>
      <c r="L1263" s="19">
        <f>IF(I1263="","",IFERROR(INDEX(catAlim,MATCH(D1263,catNom,0))&amp;"",""))</f>
        <v/>
      </c>
      <c r="M1263" s="19">
        <f>IF(I1263="","",IFERROR(INDEX(catComida,MATCH(D1263,catNom,0))&amp;"",""))</f>
        <v/>
      </c>
      <c r="N1263" s="19">
        <f>IF(I1263="","",IFERROR(INDEX(ctaMon,MATCH(E1263,ctaNom,0))&amp;"","DOP"))</f>
        <v/>
      </c>
      <c r="O1263" s="20">
        <f>IF(I1263="","",C1263*IF(N1263="USD",TasaUSD,1))</f>
        <v/>
      </c>
      <c r="P1263" s="20">
        <f>IF(I1263="","",IF(I1263="Gasto",O1263,0))</f>
        <v/>
      </c>
      <c r="Q1263" s="20">
        <f>IF(I1263="","",IF(I1263="Ingreso",O1263,0))</f>
        <v/>
      </c>
      <c r="R1263" s="20">
        <f>IF(I1263="","",IF(I1263="Trading",O1263,0))</f>
        <v/>
      </c>
      <c r="S1263" s="19">
        <f>IF(I1263="","",IF(AND(I1263="Gasto",K1263="Variable",J1263&lt;&gt;"Trading",O1263&gt;0,O1263&lt;=Umbral),1,0))</f>
        <v/>
      </c>
      <c r="T1263" s="20">
        <f>IF(OR(I1263="",E1263=""),"",IF(OR(I1263="Gasto",I1263="Transferencia",I1263="Pago tarjeta"),-1,1)*C1263)</f>
        <v/>
      </c>
      <c r="U1263" s="20">
        <f>IF(OR(G1263="",AND(I1263&lt;&gt;"Transferencia",I1263&lt;&gt;"Pago tarjeta")),"",IF(IFERROR(INDEX(ctaMon,MATCH(G1263,ctaNom,0))&amp;"","DOP")=N1263,C1263,IF(N1263="USD",C1263*TasaUSD,C1263/TasaUSD)))</f>
        <v/>
      </c>
      <c r="V1263" s="20">
        <f>IF(I1263="","",IF(IFERROR(INDEX(ctaLiq,MATCH(E1263,ctaNom,0))="Sí",FALSE),IF(OR(I1263="Gasto",I1263="Transferencia",I1263="Pago tarjeta"),-1,1)*O1263,0)+IF(AND(U1263&lt;&gt;"",IFERROR(INDEX(ctaLiq,MATCH(G1263,ctaNom,0))="Sí",FALSE)),O1263,0))</f>
        <v/>
      </c>
      <c r="W1263" s="19">
        <f>IF(OR(F1263="",I1263=""),"",IF(COUNTIFS(F$6:F1263,F1263,I$6:I1263,"?*")=1,MAX(W$5:W1262)+1,""))</f>
        <v/>
      </c>
    </row>
    <row r="1264">
      <c r="B1264" s="15" t="n"/>
      <c r="C1264" s="16" t="n"/>
      <c r="D1264" s="17" t="n"/>
      <c r="E1264" s="17" t="n"/>
      <c r="F1264" s="17" t="n"/>
      <c r="G1264" s="17" t="n"/>
      <c r="H1264" s="18">
        <f>IF(AND(B1264="",C1264="",D1264="",E1264=""),"",IF(B1264="","⚠ Falta fecha",IF(C1264="","⚠ Falta monto",IF(D1264="","⚠ Falta categoría",IF(ISNA(MATCH(D1264,catNom,0)),"⚠ Categoría no existe",IF(E1264="","⚠ Falta cuenta",IF(ISNA(MATCH(E1264,ctaNom,0)),"⚠ Cuenta no existe",IF(AND(OR(I1264="Transferencia",I1264="Pago tarjeta"),G1264=""),"⚠ Indica la cuenta «Hacia»",IF(AND(G1264&lt;&gt;"",G1264=E1264),"⚠ «Hacia» igual a la cuenta",IF(AND(G1264&lt;&gt;"",ISNA(MATCH(G1264,ctaNom,0))),"⚠ «Hacia» no existe",IF(AND(I1264="Pago tarjeta",IFERROR(INDEX(ctaTipo,MATCH(G1264,ctaNom,0)),"")&lt;&gt;"Tarjeta de crédito"),"⚠ «Hacia» debe ser la tarjeta",IF(AND(I1264="Trading",IFERROR(INDEX(ctaTipo,MATCH(E1264,ctaNom,0)),"")&lt;&gt;"Cuenta de trading"),"⚠ Usa la cuenta de trading","✓"))))))))))))</f>
        <v/>
      </c>
      <c r="I1264" s="19">
        <f>IF(OR(B1264="",C1264="",D1264=""),"",IFERROR(INDEX(catTipo,MATCH(D1264,catNom,0))&amp;"",""))</f>
        <v/>
      </c>
      <c r="J1264" s="19">
        <f>IF(I1264="","",IFERROR(INDEX(catGrupo,MATCH(D1264,catNom,0))&amp;"",""))</f>
        <v/>
      </c>
      <c r="K1264" s="19">
        <f>IF(I1264="Gasto",IF(IFERROR(INDEX(catClas,MATCH(D1264,catNom,0))&amp;"","")="","Variable",IFERROR(INDEX(catClas,MATCH(D1264,catNom,0))&amp;"","")),"")</f>
        <v/>
      </c>
      <c r="L1264" s="19">
        <f>IF(I1264="","",IFERROR(INDEX(catAlim,MATCH(D1264,catNom,0))&amp;"",""))</f>
        <v/>
      </c>
      <c r="M1264" s="19">
        <f>IF(I1264="","",IFERROR(INDEX(catComida,MATCH(D1264,catNom,0))&amp;"",""))</f>
        <v/>
      </c>
      <c r="N1264" s="19">
        <f>IF(I1264="","",IFERROR(INDEX(ctaMon,MATCH(E1264,ctaNom,0))&amp;"","DOP"))</f>
        <v/>
      </c>
      <c r="O1264" s="20">
        <f>IF(I1264="","",C1264*IF(N1264="USD",TasaUSD,1))</f>
        <v/>
      </c>
      <c r="P1264" s="20">
        <f>IF(I1264="","",IF(I1264="Gasto",O1264,0))</f>
        <v/>
      </c>
      <c r="Q1264" s="20">
        <f>IF(I1264="","",IF(I1264="Ingreso",O1264,0))</f>
        <v/>
      </c>
      <c r="R1264" s="20">
        <f>IF(I1264="","",IF(I1264="Trading",O1264,0))</f>
        <v/>
      </c>
      <c r="S1264" s="19">
        <f>IF(I1264="","",IF(AND(I1264="Gasto",K1264="Variable",J1264&lt;&gt;"Trading",O1264&gt;0,O1264&lt;=Umbral),1,0))</f>
        <v/>
      </c>
      <c r="T1264" s="20">
        <f>IF(OR(I1264="",E1264=""),"",IF(OR(I1264="Gasto",I1264="Transferencia",I1264="Pago tarjeta"),-1,1)*C1264)</f>
        <v/>
      </c>
      <c r="U1264" s="20">
        <f>IF(OR(G1264="",AND(I1264&lt;&gt;"Transferencia",I1264&lt;&gt;"Pago tarjeta")),"",IF(IFERROR(INDEX(ctaMon,MATCH(G1264,ctaNom,0))&amp;"","DOP")=N1264,C1264,IF(N1264="USD",C1264*TasaUSD,C1264/TasaUSD)))</f>
        <v/>
      </c>
      <c r="V1264" s="20">
        <f>IF(I1264="","",IF(IFERROR(INDEX(ctaLiq,MATCH(E1264,ctaNom,0))="Sí",FALSE),IF(OR(I1264="Gasto",I1264="Transferencia",I1264="Pago tarjeta"),-1,1)*O1264,0)+IF(AND(U1264&lt;&gt;"",IFERROR(INDEX(ctaLiq,MATCH(G1264,ctaNom,0))="Sí",FALSE)),O1264,0))</f>
        <v/>
      </c>
      <c r="W1264" s="19">
        <f>IF(OR(F1264="",I1264=""),"",IF(COUNTIFS(F$6:F1264,F1264,I$6:I1264,"?*")=1,MAX(W$5:W1263)+1,""))</f>
        <v/>
      </c>
    </row>
    <row r="1265">
      <c r="B1265" s="15" t="n"/>
      <c r="C1265" s="16" t="n"/>
      <c r="D1265" s="17" t="n"/>
      <c r="E1265" s="17" t="n"/>
      <c r="F1265" s="17" t="n"/>
      <c r="G1265" s="17" t="n"/>
      <c r="H1265" s="18">
        <f>IF(AND(B1265="",C1265="",D1265="",E1265=""),"",IF(B1265="","⚠ Falta fecha",IF(C1265="","⚠ Falta monto",IF(D1265="","⚠ Falta categoría",IF(ISNA(MATCH(D1265,catNom,0)),"⚠ Categoría no existe",IF(E1265="","⚠ Falta cuenta",IF(ISNA(MATCH(E1265,ctaNom,0)),"⚠ Cuenta no existe",IF(AND(OR(I1265="Transferencia",I1265="Pago tarjeta"),G1265=""),"⚠ Indica la cuenta «Hacia»",IF(AND(G1265&lt;&gt;"",G1265=E1265),"⚠ «Hacia» igual a la cuenta",IF(AND(G1265&lt;&gt;"",ISNA(MATCH(G1265,ctaNom,0))),"⚠ «Hacia» no existe",IF(AND(I1265="Pago tarjeta",IFERROR(INDEX(ctaTipo,MATCH(G1265,ctaNom,0)),"")&lt;&gt;"Tarjeta de crédito"),"⚠ «Hacia» debe ser la tarjeta",IF(AND(I1265="Trading",IFERROR(INDEX(ctaTipo,MATCH(E1265,ctaNom,0)),"")&lt;&gt;"Cuenta de trading"),"⚠ Usa la cuenta de trading","✓"))))))))))))</f>
        <v/>
      </c>
      <c r="I1265" s="19">
        <f>IF(OR(B1265="",C1265="",D1265=""),"",IFERROR(INDEX(catTipo,MATCH(D1265,catNom,0))&amp;"",""))</f>
        <v/>
      </c>
      <c r="J1265" s="19">
        <f>IF(I1265="","",IFERROR(INDEX(catGrupo,MATCH(D1265,catNom,0))&amp;"",""))</f>
        <v/>
      </c>
      <c r="K1265" s="19">
        <f>IF(I1265="Gasto",IF(IFERROR(INDEX(catClas,MATCH(D1265,catNom,0))&amp;"","")="","Variable",IFERROR(INDEX(catClas,MATCH(D1265,catNom,0))&amp;"","")),"")</f>
        <v/>
      </c>
      <c r="L1265" s="19">
        <f>IF(I1265="","",IFERROR(INDEX(catAlim,MATCH(D1265,catNom,0))&amp;"",""))</f>
        <v/>
      </c>
      <c r="M1265" s="19">
        <f>IF(I1265="","",IFERROR(INDEX(catComida,MATCH(D1265,catNom,0))&amp;"",""))</f>
        <v/>
      </c>
      <c r="N1265" s="19">
        <f>IF(I1265="","",IFERROR(INDEX(ctaMon,MATCH(E1265,ctaNom,0))&amp;"","DOP"))</f>
        <v/>
      </c>
      <c r="O1265" s="20">
        <f>IF(I1265="","",C1265*IF(N1265="USD",TasaUSD,1))</f>
        <v/>
      </c>
      <c r="P1265" s="20">
        <f>IF(I1265="","",IF(I1265="Gasto",O1265,0))</f>
        <v/>
      </c>
      <c r="Q1265" s="20">
        <f>IF(I1265="","",IF(I1265="Ingreso",O1265,0))</f>
        <v/>
      </c>
      <c r="R1265" s="20">
        <f>IF(I1265="","",IF(I1265="Trading",O1265,0))</f>
        <v/>
      </c>
      <c r="S1265" s="19">
        <f>IF(I1265="","",IF(AND(I1265="Gasto",K1265="Variable",J1265&lt;&gt;"Trading",O1265&gt;0,O1265&lt;=Umbral),1,0))</f>
        <v/>
      </c>
      <c r="T1265" s="20">
        <f>IF(OR(I1265="",E1265=""),"",IF(OR(I1265="Gasto",I1265="Transferencia",I1265="Pago tarjeta"),-1,1)*C1265)</f>
        <v/>
      </c>
      <c r="U1265" s="20">
        <f>IF(OR(G1265="",AND(I1265&lt;&gt;"Transferencia",I1265&lt;&gt;"Pago tarjeta")),"",IF(IFERROR(INDEX(ctaMon,MATCH(G1265,ctaNom,0))&amp;"","DOP")=N1265,C1265,IF(N1265="USD",C1265*TasaUSD,C1265/TasaUSD)))</f>
        <v/>
      </c>
      <c r="V1265" s="20">
        <f>IF(I1265="","",IF(IFERROR(INDEX(ctaLiq,MATCH(E1265,ctaNom,0))="Sí",FALSE),IF(OR(I1265="Gasto",I1265="Transferencia",I1265="Pago tarjeta"),-1,1)*O1265,0)+IF(AND(U1265&lt;&gt;"",IFERROR(INDEX(ctaLiq,MATCH(G1265,ctaNom,0))="Sí",FALSE)),O1265,0))</f>
        <v/>
      </c>
      <c r="W1265" s="19">
        <f>IF(OR(F1265="",I1265=""),"",IF(COUNTIFS(F$6:F1265,F1265,I$6:I1265,"?*")=1,MAX(W$5:W1264)+1,""))</f>
        <v/>
      </c>
    </row>
    <row r="1266">
      <c r="B1266" s="15" t="n"/>
      <c r="C1266" s="16" t="n"/>
      <c r="D1266" s="17" t="n"/>
      <c r="E1266" s="17" t="n"/>
      <c r="F1266" s="17" t="n"/>
      <c r="G1266" s="17" t="n"/>
      <c r="H1266" s="18">
        <f>IF(AND(B1266="",C1266="",D1266="",E1266=""),"",IF(B1266="","⚠ Falta fecha",IF(C1266="","⚠ Falta monto",IF(D1266="","⚠ Falta categoría",IF(ISNA(MATCH(D1266,catNom,0)),"⚠ Categoría no existe",IF(E1266="","⚠ Falta cuenta",IF(ISNA(MATCH(E1266,ctaNom,0)),"⚠ Cuenta no existe",IF(AND(OR(I1266="Transferencia",I1266="Pago tarjeta"),G1266=""),"⚠ Indica la cuenta «Hacia»",IF(AND(G1266&lt;&gt;"",G1266=E1266),"⚠ «Hacia» igual a la cuenta",IF(AND(G1266&lt;&gt;"",ISNA(MATCH(G1266,ctaNom,0))),"⚠ «Hacia» no existe",IF(AND(I1266="Pago tarjeta",IFERROR(INDEX(ctaTipo,MATCH(G1266,ctaNom,0)),"")&lt;&gt;"Tarjeta de crédito"),"⚠ «Hacia» debe ser la tarjeta",IF(AND(I1266="Trading",IFERROR(INDEX(ctaTipo,MATCH(E1266,ctaNom,0)),"")&lt;&gt;"Cuenta de trading"),"⚠ Usa la cuenta de trading","✓"))))))))))))</f>
        <v/>
      </c>
      <c r="I1266" s="19">
        <f>IF(OR(B1266="",C1266="",D1266=""),"",IFERROR(INDEX(catTipo,MATCH(D1266,catNom,0))&amp;"",""))</f>
        <v/>
      </c>
      <c r="J1266" s="19">
        <f>IF(I1266="","",IFERROR(INDEX(catGrupo,MATCH(D1266,catNom,0))&amp;"",""))</f>
        <v/>
      </c>
      <c r="K1266" s="19">
        <f>IF(I1266="Gasto",IF(IFERROR(INDEX(catClas,MATCH(D1266,catNom,0))&amp;"","")="","Variable",IFERROR(INDEX(catClas,MATCH(D1266,catNom,0))&amp;"","")),"")</f>
        <v/>
      </c>
      <c r="L1266" s="19">
        <f>IF(I1266="","",IFERROR(INDEX(catAlim,MATCH(D1266,catNom,0))&amp;"",""))</f>
        <v/>
      </c>
      <c r="M1266" s="19">
        <f>IF(I1266="","",IFERROR(INDEX(catComida,MATCH(D1266,catNom,0))&amp;"",""))</f>
        <v/>
      </c>
      <c r="N1266" s="19">
        <f>IF(I1266="","",IFERROR(INDEX(ctaMon,MATCH(E1266,ctaNom,0))&amp;"","DOP"))</f>
        <v/>
      </c>
      <c r="O1266" s="20">
        <f>IF(I1266="","",C1266*IF(N1266="USD",TasaUSD,1))</f>
        <v/>
      </c>
      <c r="P1266" s="20">
        <f>IF(I1266="","",IF(I1266="Gasto",O1266,0))</f>
        <v/>
      </c>
      <c r="Q1266" s="20">
        <f>IF(I1266="","",IF(I1266="Ingreso",O1266,0))</f>
        <v/>
      </c>
      <c r="R1266" s="20">
        <f>IF(I1266="","",IF(I1266="Trading",O1266,0))</f>
        <v/>
      </c>
      <c r="S1266" s="19">
        <f>IF(I1266="","",IF(AND(I1266="Gasto",K1266="Variable",J1266&lt;&gt;"Trading",O1266&gt;0,O1266&lt;=Umbral),1,0))</f>
        <v/>
      </c>
      <c r="T1266" s="20">
        <f>IF(OR(I1266="",E1266=""),"",IF(OR(I1266="Gasto",I1266="Transferencia",I1266="Pago tarjeta"),-1,1)*C1266)</f>
        <v/>
      </c>
      <c r="U1266" s="20">
        <f>IF(OR(G1266="",AND(I1266&lt;&gt;"Transferencia",I1266&lt;&gt;"Pago tarjeta")),"",IF(IFERROR(INDEX(ctaMon,MATCH(G1266,ctaNom,0))&amp;"","DOP")=N1266,C1266,IF(N1266="USD",C1266*TasaUSD,C1266/TasaUSD)))</f>
        <v/>
      </c>
      <c r="V1266" s="20">
        <f>IF(I1266="","",IF(IFERROR(INDEX(ctaLiq,MATCH(E1266,ctaNom,0))="Sí",FALSE),IF(OR(I1266="Gasto",I1266="Transferencia",I1266="Pago tarjeta"),-1,1)*O1266,0)+IF(AND(U1266&lt;&gt;"",IFERROR(INDEX(ctaLiq,MATCH(G1266,ctaNom,0))="Sí",FALSE)),O1266,0))</f>
        <v/>
      </c>
      <c r="W1266" s="19">
        <f>IF(OR(F1266="",I1266=""),"",IF(COUNTIFS(F$6:F1266,F1266,I$6:I1266,"?*")=1,MAX(W$5:W1265)+1,""))</f>
        <v/>
      </c>
    </row>
    <row r="1267">
      <c r="B1267" s="15" t="n"/>
      <c r="C1267" s="16" t="n"/>
      <c r="D1267" s="17" t="n"/>
      <c r="E1267" s="17" t="n"/>
      <c r="F1267" s="17" t="n"/>
      <c r="G1267" s="17" t="n"/>
      <c r="H1267" s="18">
        <f>IF(AND(B1267="",C1267="",D1267="",E1267=""),"",IF(B1267="","⚠ Falta fecha",IF(C1267="","⚠ Falta monto",IF(D1267="","⚠ Falta categoría",IF(ISNA(MATCH(D1267,catNom,0)),"⚠ Categoría no existe",IF(E1267="","⚠ Falta cuenta",IF(ISNA(MATCH(E1267,ctaNom,0)),"⚠ Cuenta no existe",IF(AND(OR(I1267="Transferencia",I1267="Pago tarjeta"),G1267=""),"⚠ Indica la cuenta «Hacia»",IF(AND(G1267&lt;&gt;"",G1267=E1267),"⚠ «Hacia» igual a la cuenta",IF(AND(G1267&lt;&gt;"",ISNA(MATCH(G1267,ctaNom,0))),"⚠ «Hacia» no existe",IF(AND(I1267="Pago tarjeta",IFERROR(INDEX(ctaTipo,MATCH(G1267,ctaNom,0)),"")&lt;&gt;"Tarjeta de crédito"),"⚠ «Hacia» debe ser la tarjeta",IF(AND(I1267="Trading",IFERROR(INDEX(ctaTipo,MATCH(E1267,ctaNom,0)),"")&lt;&gt;"Cuenta de trading"),"⚠ Usa la cuenta de trading","✓"))))))))))))</f>
        <v/>
      </c>
      <c r="I1267" s="19">
        <f>IF(OR(B1267="",C1267="",D1267=""),"",IFERROR(INDEX(catTipo,MATCH(D1267,catNom,0))&amp;"",""))</f>
        <v/>
      </c>
      <c r="J1267" s="19">
        <f>IF(I1267="","",IFERROR(INDEX(catGrupo,MATCH(D1267,catNom,0))&amp;"",""))</f>
        <v/>
      </c>
      <c r="K1267" s="19">
        <f>IF(I1267="Gasto",IF(IFERROR(INDEX(catClas,MATCH(D1267,catNom,0))&amp;"","")="","Variable",IFERROR(INDEX(catClas,MATCH(D1267,catNom,0))&amp;"","")),"")</f>
        <v/>
      </c>
      <c r="L1267" s="19">
        <f>IF(I1267="","",IFERROR(INDEX(catAlim,MATCH(D1267,catNom,0))&amp;"",""))</f>
        <v/>
      </c>
      <c r="M1267" s="19">
        <f>IF(I1267="","",IFERROR(INDEX(catComida,MATCH(D1267,catNom,0))&amp;"",""))</f>
        <v/>
      </c>
      <c r="N1267" s="19">
        <f>IF(I1267="","",IFERROR(INDEX(ctaMon,MATCH(E1267,ctaNom,0))&amp;"","DOP"))</f>
        <v/>
      </c>
      <c r="O1267" s="20">
        <f>IF(I1267="","",C1267*IF(N1267="USD",TasaUSD,1))</f>
        <v/>
      </c>
      <c r="P1267" s="20">
        <f>IF(I1267="","",IF(I1267="Gasto",O1267,0))</f>
        <v/>
      </c>
      <c r="Q1267" s="20">
        <f>IF(I1267="","",IF(I1267="Ingreso",O1267,0))</f>
        <v/>
      </c>
      <c r="R1267" s="20">
        <f>IF(I1267="","",IF(I1267="Trading",O1267,0))</f>
        <v/>
      </c>
      <c r="S1267" s="19">
        <f>IF(I1267="","",IF(AND(I1267="Gasto",K1267="Variable",J1267&lt;&gt;"Trading",O1267&gt;0,O1267&lt;=Umbral),1,0))</f>
        <v/>
      </c>
      <c r="T1267" s="20">
        <f>IF(OR(I1267="",E1267=""),"",IF(OR(I1267="Gasto",I1267="Transferencia",I1267="Pago tarjeta"),-1,1)*C1267)</f>
        <v/>
      </c>
      <c r="U1267" s="20">
        <f>IF(OR(G1267="",AND(I1267&lt;&gt;"Transferencia",I1267&lt;&gt;"Pago tarjeta")),"",IF(IFERROR(INDEX(ctaMon,MATCH(G1267,ctaNom,0))&amp;"","DOP")=N1267,C1267,IF(N1267="USD",C1267*TasaUSD,C1267/TasaUSD)))</f>
        <v/>
      </c>
      <c r="V1267" s="20">
        <f>IF(I1267="","",IF(IFERROR(INDEX(ctaLiq,MATCH(E1267,ctaNom,0))="Sí",FALSE),IF(OR(I1267="Gasto",I1267="Transferencia",I1267="Pago tarjeta"),-1,1)*O1267,0)+IF(AND(U1267&lt;&gt;"",IFERROR(INDEX(ctaLiq,MATCH(G1267,ctaNom,0))="Sí",FALSE)),O1267,0))</f>
        <v/>
      </c>
      <c r="W1267" s="19">
        <f>IF(OR(F1267="",I1267=""),"",IF(COUNTIFS(F$6:F1267,F1267,I$6:I1267,"?*")=1,MAX(W$5:W1266)+1,""))</f>
        <v/>
      </c>
    </row>
    <row r="1268">
      <c r="B1268" s="15" t="n"/>
      <c r="C1268" s="16" t="n"/>
      <c r="D1268" s="17" t="n"/>
      <c r="E1268" s="17" t="n"/>
      <c r="F1268" s="17" t="n"/>
      <c r="G1268" s="17" t="n"/>
      <c r="H1268" s="18">
        <f>IF(AND(B1268="",C1268="",D1268="",E1268=""),"",IF(B1268="","⚠ Falta fecha",IF(C1268="","⚠ Falta monto",IF(D1268="","⚠ Falta categoría",IF(ISNA(MATCH(D1268,catNom,0)),"⚠ Categoría no existe",IF(E1268="","⚠ Falta cuenta",IF(ISNA(MATCH(E1268,ctaNom,0)),"⚠ Cuenta no existe",IF(AND(OR(I1268="Transferencia",I1268="Pago tarjeta"),G1268=""),"⚠ Indica la cuenta «Hacia»",IF(AND(G1268&lt;&gt;"",G1268=E1268),"⚠ «Hacia» igual a la cuenta",IF(AND(G1268&lt;&gt;"",ISNA(MATCH(G1268,ctaNom,0))),"⚠ «Hacia» no existe",IF(AND(I1268="Pago tarjeta",IFERROR(INDEX(ctaTipo,MATCH(G1268,ctaNom,0)),"")&lt;&gt;"Tarjeta de crédito"),"⚠ «Hacia» debe ser la tarjeta",IF(AND(I1268="Trading",IFERROR(INDEX(ctaTipo,MATCH(E1268,ctaNom,0)),"")&lt;&gt;"Cuenta de trading"),"⚠ Usa la cuenta de trading","✓"))))))))))))</f>
        <v/>
      </c>
      <c r="I1268" s="19">
        <f>IF(OR(B1268="",C1268="",D1268=""),"",IFERROR(INDEX(catTipo,MATCH(D1268,catNom,0))&amp;"",""))</f>
        <v/>
      </c>
      <c r="J1268" s="19">
        <f>IF(I1268="","",IFERROR(INDEX(catGrupo,MATCH(D1268,catNom,0))&amp;"",""))</f>
        <v/>
      </c>
      <c r="K1268" s="19">
        <f>IF(I1268="Gasto",IF(IFERROR(INDEX(catClas,MATCH(D1268,catNom,0))&amp;"","")="","Variable",IFERROR(INDEX(catClas,MATCH(D1268,catNom,0))&amp;"","")),"")</f>
        <v/>
      </c>
      <c r="L1268" s="19">
        <f>IF(I1268="","",IFERROR(INDEX(catAlim,MATCH(D1268,catNom,0))&amp;"",""))</f>
        <v/>
      </c>
      <c r="M1268" s="19">
        <f>IF(I1268="","",IFERROR(INDEX(catComida,MATCH(D1268,catNom,0))&amp;"",""))</f>
        <v/>
      </c>
      <c r="N1268" s="19">
        <f>IF(I1268="","",IFERROR(INDEX(ctaMon,MATCH(E1268,ctaNom,0))&amp;"","DOP"))</f>
        <v/>
      </c>
      <c r="O1268" s="20">
        <f>IF(I1268="","",C1268*IF(N1268="USD",TasaUSD,1))</f>
        <v/>
      </c>
      <c r="P1268" s="20">
        <f>IF(I1268="","",IF(I1268="Gasto",O1268,0))</f>
        <v/>
      </c>
      <c r="Q1268" s="20">
        <f>IF(I1268="","",IF(I1268="Ingreso",O1268,0))</f>
        <v/>
      </c>
      <c r="R1268" s="20">
        <f>IF(I1268="","",IF(I1268="Trading",O1268,0))</f>
        <v/>
      </c>
      <c r="S1268" s="19">
        <f>IF(I1268="","",IF(AND(I1268="Gasto",K1268="Variable",J1268&lt;&gt;"Trading",O1268&gt;0,O1268&lt;=Umbral),1,0))</f>
        <v/>
      </c>
      <c r="T1268" s="20">
        <f>IF(OR(I1268="",E1268=""),"",IF(OR(I1268="Gasto",I1268="Transferencia",I1268="Pago tarjeta"),-1,1)*C1268)</f>
        <v/>
      </c>
      <c r="U1268" s="20">
        <f>IF(OR(G1268="",AND(I1268&lt;&gt;"Transferencia",I1268&lt;&gt;"Pago tarjeta")),"",IF(IFERROR(INDEX(ctaMon,MATCH(G1268,ctaNom,0))&amp;"","DOP")=N1268,C1268,IF(N1268="USD",C1268*TasaUSD,C1268/TasaUSD)))</f>
        <v/>
      </c>
      <c r="V1268" s="20">
        <f>IF(I1268="","",IF(IFERROR(INDEX(ctaLiq,MATCH(E1268,ctaNom,0))="Sí",FALSE),IF(OR(I1268="Gasto",I1268="Transferencia",I1268="Pago tarjeta"),-1,1)*O1268,0)+IF(AND(U1268&lt;&gt;"",IFERROR(INDEX(ctaLiq,MATCH(G1268,ctaNom,0))="Sí",FALSE)),O1268,0))</f>
        <v/>
      </c>
      <c r="W1268" s="19">
        <f>IF(OR(F1268="",I1268=""),"",IF(COUNTIFS(F$6:F1268,F1268,I$6:I1268,"?*")=1,MAX(W$5:W1267)+1,""))</f>
        <v/>
      </c>
    </row>
    <row r="1269">
      <c r="B1269" s="15" t="n"/>
      <c r="C1269" s="16" t="n"/>
      <c r="D1269" s="17" t="n"/>
      <c r="E1269" s="17" t="n"/>
      <c r="F1269" s="17" t="n"/>
      <c r="G1269" s="17" t="n"/>
      <c r="H1269" s="18">
        <f>IF(AND(B1269="",C1269="",D1269="",E1269=""),"",IF(B1269="","⚠ Falta fecha",IF(C1269="","⚠ Falta monto",IF(D1269="","⚠ Falta categoría",IF(ISNA(MATCH(D1269,catNom,0)),"⚠ Categoría no existe",IF(E1269="","⚠ Falta cuenta",IF(ISNA(MATCH(E1269,ctaNom,0)),"⚠ Cuenta no existe",IF(AND(OR(I1269="Transferencia",I1269="Pago tarjeta"),G1269=""),"⚠ Indica la cuenta «Hacia»",IF(AND(G1269&lt;&gt;"",G1269=E1269),"⚠ «Hacia» igual a la cuenta",IF(AND(G1269&lt;&gt;"",ISNA(MATCH(G1269,ctaNom,0))),"⚠ «Hacia» no existe",IF(AND(I1269="Pago tarjeta",IFERROR(INDEX(ctaTipo,MATCH(G1269,ctaNom,0)),"")&lt;&gt;"Tarjeta de crédito"),"⚠ «Hacia» debe ser la tarjeta",IF(AND(I1269="Trading",IFERROR(INDEX(ctaTipo,MATCH(E1269,ctaNom,0)),"")&lt;&gt;"Cuenta de trading"),"⚠ Usa la cuenta de trading","✓"))))))))))))</f>
        <v/>
      </c>
      <c r="I1269" s="19">
        <f>IF(OR(B1269="",C1269="",D1269=""),"",IFERROR(INDEX(catTipo,MATCH(D1269,catNom,0))&amp;"",""))</f>
        <v/>
      </c>
      <c r="J1269" s="19">
        <f>IF(I1269="","",IFERROR(INDEX(catGrupo,MATCH(D1269,catNom,0))&amp;"",""))</f>
        <v/>
      </c>
      <c r="K1269" s="19">
        <f>IF(I1269="Gasto",IF(IFERROR(INDEX(catClas,MATCH(D1269,catNom,0))&amp;"","")="","Variable",IFERROR(INDEX(catClas,MATCH(D1269,catNom,0))&amp;"","")),"")</f>
        <v/>
      </c>
      <c r="L1269" s="19">
        <f>IF(I1269="","",IFERROR(INDEX(catAlim,MATCH(D1269,catNom,0))&amp;"",""))</f>
        <v/>
      </c>
      <c r="M1269" s="19">
        <f>IF(I1269="","",IFERROR(INDEX(catComida,MATCH(D1269,catNom,0))&amp;"",""))</f>
        <v/>
      </c>
      <c r="N1269" s="19">
        <f>IF(I1269="","",IFERROR(INDEX(ctaMon,MATCH(E1269,ctaNom,0))&amp;"","DOP"))</f>
        <v/>
      </c>
      <c r="O1269" s="20">
        <f>IF(I1269="","",C1269*IF(N1269="USD",TasaUSD,1))</f>
        <v/>
      </c>
      <c r="P1269" s="20">
        <f>IF(I1269="","",IF(I1269="Gasto",O1269,0))</f>
        <v/>
      </c>
      <c r="Q1269" s="20">
        <f>IF(I1269="","",IF(I1269="Ingreso",O1269,0))</f>
        <v/>
      </c>
      <c r="R1269" s="20">
        <f>IF(I1269="","",IF(I1269="Trading",O1269,0))</f>
        <v/>
      </c>
      <c r="S1269" s="19">
        <f>IF(I1269="","",IF(AND(I1269="Gasto",K1269="Variable",J1269&lt;&gt;"Trading",O1269&gt;0,O1269&lt;=Umbral),1,0))</f>
        <v/>
      </c>
      <c r="T1269" s="20">
        <f>IF(OR(I1269="",E1269=""),"",IF(OR(I1269="Gasto",I1269="Transferencia",I1269="Pago tarjeta"),-1,1)*C1269)</f>
        <v/>
      </c>
      <c r="U1269" s="20">
        <f>IF(OR(G1269="",AND(I1269&lt;&gt;"Transferencia",I1269&lt;&gt;"Pago tarjeta")),"",IF(IFERROR(INDEX(ctaMon,MATCH(G1269,ctaNom,0))&amp;"","DOP")=N1269,C1269,IF(N1269="USD",C1269*TasaUSD,C1269/TasaUSD)))</f>
        <v/>
      </c>
      <c r="V1269" s="20">
        <f>IF(I1269="","",IF(IFERROR(INDEX(ctaLiq,MATCH(E1269,ctaNom,0))="Sí",FALSE),IF(OR(I1269="Gasto",I1269="Transferencia",I1269="Pago tarjeta"),-1,1)*O1269,0)+IF(AND(U1269&lt;&gt;"",IFERROR(INDEX(ctaLiq,MATCH(G1269,ctaNom,0))="Sí",FALSE)),O1269,0))</f>
        <v/>
      </c>
      <c r="W1269" s="19">
        <f>IF(OR(F1269="",I1269=""),"",IF(COUNTIFS(F$6:F1269,F1269,I$6:I1269,"?*")=1,MAX(W$5:W1268)+1,""))</f>
        <v/>
      </c>
    </row>
    <row r="1270">
      <c r="B1270" s="15" t="n"/>
      <c r="C1270" s="16" t="n"/>
      <c r="D1270" s="17" t="n"/>
      <c r="E1270" s="17" t="n"/>
      <c r="F1270" s="17" t="n"/>
      <c r="G1270" s="17" t="n"/>
      <c r="H1270" s="18">
        <f>IF(AND(B1270="",C1270="",D1270="",E1270=""),"",IF(B1270="","⚠ Falta fecha",IF(C1270="","⚠ Falta monto",IF(D1270="","⚠ Falta categoría",IF(ISNA(MATCH(D1270,catNom,0)),"⚠ Categoría no existe",IF(E1270="","⚠ Falta cuenta",IF(ISNA(MATCH(E1270,ctaNom,0)),"⚠ Cuenta no existe",IF(AND(OR(I1270="Transferencia",I1270="Pago tarjeta"),G1270=""),"⚠ Indica la cuenta «Hacia»",IF(AND(G1270&lt;&gt;"",G1270=E1270),"⚠ «Hacia» igual a la cuenta",IF(AND(G1270&lt;&gt;"",ISNA(MATCH(G1270,ctaNom,0))),"⚠ «Hacia» no existe",IF(AND(I1270="Pago tarjeta",IFERROR(INDEX(ctaTipo,MATCH(G1270,ctaNom,0)),"")&lt;&gt;"Tarjeta de crédito"),"⚠ «Hacia» debe ser la tarjeta",IF(AND(I1270="Trading",IFERROR(INDEX(ctaTipo,MATCH(E1270,ctaNom,0)),"")&lt;&gt;"Cuenta de trading"),"⚠ Usa la cuenta de trading","✓"))))))))))))</f>
        <v/>
      </c>
      <c r="I1270" s="19">
        <f>IF(OR(B1270="",C1270="",D1270=""),"",IFERROR(INDEX(catTipo,MATCH(D1270,catNom,0))&amp;"",""))</f>
        <v/>
      </c>
      <c r="J1270" s="19">
        <f>IF(I1270="","",IFERROR(INDEX(catGrupo,MATCH(D1270,catNom,0))&amp;"",""))</f>
        <v/>
      </c>
      <c r="K1270" s="19">
        <f>IF(I1270="Gasto",IF(IFERROR(INDEX(catClas,MATCH(D1270,catNom,0))&amp;"","")="","Variable",IFERROR(INDEX(catClas,MATCH(D1270,catNom,0))&amp;"","")),"")</f>
        <v/>
      </c>
      <c r="L1270" s="19">
        <f>IF(I1270="","",IFERROR(INDEX(catAlim,MATCH(D1270,catNom,0))&amp;"",""))</f>
        <v/>
      </c>
      <c r="M1270" s="19">
        <f>IF(I1270="","",IFERROR(INDEX(catComida,MATCH(D1270,catNom,0))&amp;"",""))</f>
        <v/>
      </c>
      <c r="N1270" s="19">
        <f>IF(I1270="","",IFERROR(INDEX(ctaMon,MATCH(E1270,ctaNom,0))&amp;"","DOP"))</f>
        <v/>
      </c>
      <c r="O1270" s="20">
        <f>IF(I1270="","",C1270*IF(N1270="USD",TasaUSD,1))</f>
        <v/>
      </c>
      <c r="P1270" s="20">
        <f>IF(I1270="","",IF(I1270="Gasto",O1270,0))</f>
        <v/>
      </c>
      <c r="Q1270" s="20">
        <f>IF(I1270="","",IF(I1270="Ingreso",O1270,0))</f>
        <v/>
      </c>
      <c r="R1270" s="20">
        <f>IF(I1270="","",IF(I1270="Trading",O1270,0))</f>
        <v/>
      </c>
      <c r="S1270" s="19">
        <f>IF(I1270="","",IF(AND(I1270="Gasto",K1270="Variable",J1270&lt;&gt;"Trading",O1270&gt;0,O1270&lt;=Umbral),1,0))</f>
        <v/>
      </c>
      <c r="T1270" s="20">
        <f>IF(OR(I1270="",E1270=""),"",IF(OR(I1270="Gasto",I1270="Transferencia",I1270="Pago tarjeta"),-1,1)*C1270)</f>
        <v/>
      </c>
      <c r="U1270" s="20">
        <f>IF(OR(G1270="",AND(I1270&lt;&gt;"Transferencia",I1270&lt;&gt;"Pago tarjeta")),"",IF(IFERROR(INDEX(ctaMon,MATCH(G1270,ctaNom,0))&amp;"","DOP")=N1270,C1270,IF(N1270="USD",C1270*TasaUSD,C1270/TasaUSD)))</f>
        <v/>
      </c>
      <c r="V1270" s="20">
        <f>IF(I1270="","",IF(IFERROR(INDEX(ctaLiq,MATCH(E1270,ctaNom,0))="Sí",FALSE),IF(OR(I1270="Gasto",I1270="Transferencia",I1270="Pago tarjeta"),-1,1)*O1270,0)+IF(AND(U1270&lt;&gt;"",IFERROR(INDEX(ctaLiq,MATCH(G1270,ctaNom,0))="Sí",FALSE)),O1270,0))</f>
        <v/>
      </c>
      <c r="W1270" s="19">
        <f>IF(OR(F1270="",I1270=""),"",IF(COUNTIFS(F$6:F1270,F1270,I$6:I1270,"?*")=1,MAX(W$5:W1269)+1,""))</f>
        <v/>
      </c>
    </row>
    <row r="1271">
      <c r="B1271" s="15" t="n"/>
      <c r="C1271" s="16" t="n"/>
      <c r="D1271" s="17" t="n"/>
      <c r="E1271" s="17" t="n"/>
      <c r="F1271" s="17" t="n"/>
      <c r="G1271" s="17" t="n"/>
      <c r="H1271" s="18">
        <f>IF(AND(B1271="",C1271="",D1271="",E1271=""),"",IF(B1271="","⚠ Falta fecha",IF(C1271="","⚠ Falta monto",IF(D1271="","⚠ Falta categoría",IF(ISNA(MATCH(D1271,catNom,0)),"⚠ Categoría no existe",IF(E1271="","⚠ Falta cuenta",IF(ISNA(MATCH(E1271,ctaNom,0)),"⚠ Cuenta no existe",IF(AND(OR(I1271="Transferencia",I1271="Pago tarjeta"),G1271=""),"⚠ Indica la cuenta «Hacia»",IF(AND(G1271&lt;&gt;"",G1271=E1271),"⚠ «Hacia» igual a la cuenta",IF(AND(G1271&lt;&gt;"",ISNA(MATCH(G1271,ctaNom,0))),"⚠ «Hacia» no existe",IF(AND(I1271="Pago tarjeta",IFERROR(INDEX(ctaTipo,MATCH(G1271,ctaNom,0)),"")&lt;&gt;"Tarjeta de crédito"),"⚠ «Hacia» debe ser la tarjeta",IF(AND(I1271="Trading",IFERROR(INDEX(ctaTipo,MATCH(E1271,ctaNom,0)),"")&lt;&gt;"Cuenta de trading"),"⚠ Usa la cuenta de trading","✓"))))))))))))</f>
        <v/>
      </c>
      <c r="I1271" s="19">
        <f>IF(OR(B1271="",C1271="",D1271=""),"",IFERROR(INDEX(catTipo,MATCH(D1271,catNom,0))&amp;"",""))</f>
        <v/>
      </c>
      <c r="J1271" s="19">
        <f>IF(I1271="","",IFERROR(INDEX(catGrupo,MATCH(D1271,catNom,0))&amp;"",""))</f>
        <v/>
      </c>
      <c r="K1271" s="19">
        <f>IF(I1271="Gasto",IF(IFERROR(INDEX(catClas,MATCH(D1271,catNom,0))&amp;"","")="","Variable",IFERROR(INDEX(catClas,MATCH(D1271,catNom,0))&amp;"","")),"")</f>
        <v/>
      </c>
      <c r="L1271" s="19">
        <f>IF(I1271="","",IFERROR(INDEX(catAlim,MATCH(D1271,catNom,0))&amp;"",""))</f>
        <v/>
      </c>
      <c r="M1271" s="19">
        <f>IF(I1271="","",IFERROR(INDEX(catComida,MATCH(D1271,catNom,0))&amp;"",""))</f>
        <v/>
      </c>
      <c r="N1271" s="19">
        <f>IF(I1271="","",IFERROR(INDEX(ctaMon,MATCH(E1271,ctaNom,0))&amp;"","DOP"))</f>
        <v/>
      </c>
      <c r="O1271" s="20">
        <f>IF(I1271="","",C1271*IF(N1271="USD",TasaUSD,1))</f>
        <v/>
      </c>
      <c r="P1271" s="20">
        <f>IF(I1271="","",IF(I1271="Gasto",O1271,0))</f>
        <v/>
      </c>
      <c r="Q1271" s="20">
        <f>IF(I1271="","",IF(I1271="Ingreso",O1271,0))</f>
        <v/>
      </c>
      <c r="R1271" s="20">
        <f>IF(I1271="","",IF(I1271="Trading",O1271,0))</f>
        <v/>
      </c>
      <c r="S1271" s="19">
        <f>IF(I1271="","",IF(AND(I1271="Gasto",K1271="Variable",J1271&lt;&gt;"Trading",O1271&gt;0,O1271&lt;=Umbral),1,0))</f>
        <v/>
      </c>
      <c r="T1271" s="20">
        <f>IF(OR(I1271="",E1271=""),"",IF(OR(I1271="Gasto",I1271="Transferencia",I1271="Pago tarjeta"),-1,1)*C1271)</f>
        <v/>
      </c>
      <c r="U1271" s="20">
        <f>IF(OR(G1271="",AND(I1271&lt;&gt;"Transferencia",I1271&lt;&gt;"Pago tarjeta")),"",IF(IFERROR(INDEX(ctaMon,MATCH(G1271,ctaNom,0))&amp;"","DOP")=N1271,C1271,IF(N1271="USD",C1271*TasaUSD,C1271/TasaUSD)))</f>
        <v/>
      </c>
      <c r="V1271" s="20">
        <f>IF(I1271="","",IF(IFERROR(INDEX(ctaLiq,MATCH(E1271,ctaNom,0))="Sí",FALSE),IF(OR(I1271="Gasto",I1271="Transferencia",I1271="Pago tarjeta"),-1,1)*O1271,0)+IF(AND(U1271&lt;&gt;"",IFERROR(INDEX(ctaLiq,MATCH(G1271,ctaNom,0))="Sí",FALSE)),O1271,0))</f>
        <v/>
      </c>
      <c r="W1271" s="19">
        <f>IF(OR(F1271="",I1271=""),"",IF(COUNTIFS(F$6:F1271,F1271,I$6:I1271,"?*")=1,MAX(W$5:W1270)+1,""))</f>
        <v/>
      </c>
    </row>
    <row r="1272">
      <c r="B1272" s="15" t="n"/>
      <c r="C1272" s="16" t="n"/>
      <c r="D1272" s="17" t="n"/>
      <c r="E1272" s="17" t="n"/>
      <c r="F1272" s="17" t="n"/>
      <c r="G1272" s="17" t="n"/>
      <c r="H1272" s="18">
        <f>IF(AND(B1272="",C1272="",D1272="",E1272=""),"",IF(B1272="","⚠ Falta fecha",IF(C1272="","⚠ Falta monto",IF(D1272="","⚠ Falta categoría",IF(ISNA(MATCH(D1272,catNom,0)),"⚠ Categoría no existe",IF(E1272="","⚠ Falta cuenta",IF(ISNA(MATCH(E1272,ctaNom,0)),"⚠ Cuenta no existe",IF(AND(OR(I1272="Transferencia",I1272="Pago tarjeta"),G1272=""),"⚠ Indica la cuenta «Hacia»",IF(AND(G1272&lt;&gt;"",G1272=E1272),"⚠ «Hacia» igual a la cuenta",IF(AND(G1272&lt;&gt;"",ISNA(MATCH(G1272,ctaNom,0))),"⚠ «Hacia» no existe",IF(AND(I1272="Pago tarjeta",IFERROR(INDEX(ctaTipo,MATCH(G1272,ctaNom,0)),"")&lt;&gt;"Tarjeta de crédito"),"⚠ «Hacia» debe ser la tarjeta",IF(AND(I1272="Trading",IFERROR(INDEX(ctaTipo,MATCH(E1272,ctaNom,0)),"")&lt;&gt;"Cuenta de trading"),"⚠ Usa la cuenta de trading","✓"))))))))))))</f>
        <v/>
      </c>
      <c r="I1272" s="19">
        <f>IF(OR(B1272="",C1272="",D1272=""),"",IFERROR(INDEX(catTipo,MATCH(D1272,catNom,0))&amp;"",""))</f>
        <v/>
      </c>
      <c r="J1272" s="19">
        <f>IF(I1272="","",IFERROR(INDEX(catGrupo,MATCH(D1272,catNom,0))&amp;"",""))</f>
        <v/>
      </c>
      <c r="K1272" s="19">
        <f>IF(I1272="Gasto",IF(IFERROR(INDEX(catClas,MATCH(D1272,catNom,0))&amp;"","")="","Variable",IFERROR(INDEX(catClas,MATCH(D1272,catNom,0))&amp;"","")),"")</f>
        <v/>
      </c>
      <c r="L1272" s="19">
        <f>IF(I1272="","",IFERROR(INDEX(catAlim,MATCH(D1272,catNom,0))&amp;"",""))</f>
        <v/>
      </c>
      <c r="M1272" s="19">
        <f>IF(I1272="","",IFERROR(INDEX(catComida,MATCH(D1272,catNom,0))&amp;"",""))</f>
        <v/>
      </c>
      <c r="N1272" s="19">
        <f>IF(I1272="","",IFERROR(INDEX(ctaMon,MATCH(E1272,ctaNom,0))&amp;"","DOP"))</f>
        <v/>
      </c>
      <c r="O1272" s="20">
        <f>IF(I1272="","",C1272*IF(N1272="USD",TasaUSD,1))</f>
        <v/>
      </c>
      <c r="P1272" s="20">
        <f>IF(I1272="","",IF(I1272="Gasto",O1272,0))</f>
        <v/>
      </c>
      <c r="Q1272" s="20">
        <f>IF(I1272="","",IF(I1272="Ingreso",O1272,0))</f>
        <v/>
      </c>
      <c r="R1272" s="20">
        <f>IF(I1272="","",IF(I1272="Trading",O1272,0))</f>
        <v/>
      </c>
      <c r="S1272" s="19">
        <f>IF(I1272="","",IF(AND(I1272="Gasto",K1272="Variable",J1272&lt;&gt;"Trading",O1272&gt;0,O1272&lt;=Umbral),1,0))</f>
        <v/>
      </c>
      <c r="T1272" s="20">
        <f>IF(OR(I1272="",E1272=""),"",IF(OR(I1272="Gasto",I1272="Transferencia",I1272="Pago tarjeta"),-1,1)*C1272)</f>
        <v/>
      </c>
      <c r="U1272" s="20">
        <f>IF(OR(G1272="",AND(I1272&lt;&gt;"Transferencia",I1272&lt;&gt;"Pago tarjeta")),"",IF(IFERROR(INDEX(ctaMon,MATCH(G1272,ctaNom,0))&amp;"","DOP")=N1272,C1272,IF(N1272="USD",C1272*TasaUSD,C1272/TasaUSD)))</f>
        <v/>
      </c>
      <c r="V1272" s="20">
        <f>IF(I1272="","",IF(IFERROR(INDEX(ctaLiq,MATCH(E1272,ctaNom,0))="Sí",FALSE),IF(OR(I1272="Gasto",I1272="Transferencia",I1272="Pago tarjeta"),-1,1)*O1272,0)+IF(AND(U1272&lt;&gt;"",IFERROR(INDEX(ctaLiq,MATCH(G1272,ctaNom,0))="Sí",FALSE)),O1272,0))</f>
        <v/>
      </c>
      <c r="W1272" s="19">
        <f>IF(OR(F1272="",I1272=""),"",IF(COUNTIFS(F$6:F1272,F1272,I$6:I1272,"?*")=1,MAX(W$5:W1271)+1,""))</f>
        <v/>
      </c>
    </row>
    <row r="1273">
      <c r="B1273" s="15" t="n"/>
      <c r="C1273" s="16" t="n"/>
      <c r="D1273" s="17" t="n"/>
      <c r="E1273" s="17" t="n"/>
      <c r="F1273" s="17" t="n"/>
      <c r="G1273" s="17" t="n"/>
      <c r="H1273" s="18">
        <f>IF(AND(B1273="",C1273="",D1273="",E1273=""),"",IF(B1273="","⚠ Falta fecha",IF(C1273="","⚠ Falta monto",IF(D1273="","⚠ Falta categoría",IF(ISNA(MATCH(D1273,catNom,0)),"⚠ Categoría no existe",IF(E1273="","⚠ Falta cuenta",IF(ISNA(MATCH(E1273,ctaNom,0)),"⚠ Cuenta no existe",IF(AND(OR(I1273="Transferencia",I1273="Pago tarjeta"),G1273=""),"⚠ Indica la cuenta «Hacia»",IF(AND(G1273&lt;&gt;"",G1273=E1273),"⚠ «Hacia» igual a la cuenta",IF(AND(G1273&lt;&gt;"",ISNA(MATCH(G1273,ctaNom,0))),"⚠ «Hacia» no existe",IF(AND(I1273="Pago tarjeta",IFERROR(INDEX(ctaTipo,MATCH(G1273,ctaNom,0)),"")&lt;&gt;"Tarjeta de crédito"),"⚠ «Hacia» debe ser la tarjeta",IF(AND(I1273="Trading",IFERROR(INDEX(ctaTipo,MATCH(E1273,ctaNom,0)),"")&lt;&gt;"Cuenta de trading"),"⚠ Usa la cuenta de trading","✓"))))))))))))</f>
        <v/>
      </c>
      <c r="I1273" s="19">
        <f>IF(OR(B1273="",C1273="",D1273=""),"",IFERROR(INDEX(catTipo,MATCH(D1273,catNom,0))&amp;"",""))</f>
        <v/>
      </c>
      <c r="J1273" s="19">
        <f>IF(I1273="","",IFERROR(INDEX(catGrupo,MATCH(D1273,catNom,0))&amp;"",""))</f>
        <v/>
      </c>
      <c r="K1273" s="19">
        <f>IF(I1273="Gasto",IF(IFERROR(INDEX(catClas,MATCH(D1273,catNom,0))&amp;"","")="","Variable",IFERROR(INDEX(catClas,MATCH(D1273,catNom,0))&amp;"","")),"")</f>
        <v/>
      </c>
      <c r="L1273" s="19">
        <f>IF(I1273="","",IFERROR(INDEX(catAlim,MATCH(D1273,catNom,0))&amp;"",""))</f>
        <v/>
      </c>
      <c r="M1273" s="19">
        <f>IF(I1273="","",IFERROR(INDEX(catComida,MATCH(D1273,catNom,0))&amp;"",""))</f>
        <v/>
      </c>
      <c r="N1273" s="19">
        <f>IF(I1273="","",IFERROR(INDEX(ctaMon,MATCH(E1273,ctaNom,0))&amp;"","DOP"))</f>
        <v/>
      </c>
      <c r="O1273" s="20">
        <f>IF(I1273="","",C1273*IF(N1273="USD",TasaUSD,1))</f>
        <v/>
      </c>
      <c r="P1273" s="20">
        <f>IF(I1273="","",IF(I1273="Gasto",O1273,0))</f>
        <v/>
      </c>
      <c r="Q1273" s="20">
        <f>IF(I1273="","",IF(I1273="Ingreso",O1273,0))</f>
        <v/>
      </c>
      <c r="R1273" s="20">
        <f>IF(I1273="","",IF(I1273="Trading",O1273,0))</f>
        <v/>
      </c>
      <c r="S1273" s="19">
        <f>IF(I1273="","",IF(AND(I1273="Gasto",K1273="Variable",J1273&lt;&gt;"Trading",O1273&gt;0,O1273&lt;=Umbral),1,0))</f>
        <v/>
      </c>
      <c r="T1273" s="20">
        <f>IF(OR(I1273="",E1273=""),"",IF(OR(I1273="Gasto",I1273="Transferencia",I1273="Pago tarjeta"),-1,1)*C1273)</f>
        <v/>
      </c>
      <c r="U1273" s="20">
        <f>IF(OR(G1273="",AND(I1273&lt;&gt;"Transferencia",I1273&lt;&gt;"Pago tarjeta")),"",IF(IFERROR(INDEX(ctaMon,MATCH(G1273,ctaNom,0))&amp;"","DOP")=N1273,C1273,IF(N1273="USD",C1273*TasaUSD,C1273/TasaUSD)))</f>
        <v/>
      </c>
      <c r="V1273" s="20">
        <f>IF(I1273="","",IF(IFERROR(INDEX(ctaLiq,MATCH(E1273,ctaNom,0))="Sí",FALSE),IF(OR(I1273="Gasto",I1273="Transferencia",I1273="Pago tarjeta"),-1,1)*O1273,0)+IF(AND(U1273&lt;&gt;"",IFERROR(INDEX(ctaLiq,MATCH(G1273,ctaNom,0))="Sí",FALSE)),O1273,0))</f>
        <v/>
      </c>
      <c r="W1273" s="19">
        <f>IF(OR(F1273="",I1273=""),"",IF(COUNTIFS(F$6:F1273,F1273,I$6:I1273,"?*")=1,MAX(W$5:W1272)+1,""))</f>
        <v/>
      </c>
    </row>
    <row r="1274">
      <c r="B1274" s="15" t="n"/>
      <c r="C1274" s="16" t="n"/>
      <c r="D1274" s="17" t="n"/>
      <c r="E1274" s="17" t="n"/>
      <c r="F1274" s="17" t="n"/>
      <c r="G1274" s="17" t="n"/>
      <c r="H1274" s="18">
        <f>IF(AND(B1274="",C1274="",D1274="",E1274=""),"",IF(B1274="","⚠ Falta fecha",IF(C1274="","⚠ Falta monto",IF(D1274="","⚠ Falta categoría",IF(ISNA(MATCH(D1274,catNom,0)),"⚠ Categoría no existe",IF(E1274="","⚠ Falta cuenta",IF(ISNA(MATCH(E1274,ctaNom,0)),"⚠ Cuenta no existe",IF(AND(OR(I1274="Transferencia",I1274="Pago tarjeta"),G1274=""),"⚠ Indica la cuenta «Hacia»",IF(AND(G1274&lt;&gt;"",G1274=E1274),"⚠ «Hacia» igual a la cuenta",IF(AND(G1274&lt;&gt;"",ISNA(MATCH(G1274,ctaNom,0))),"⚠ «Hacia» no existe",IF(AND(I1274="Pago tarjeta",IFERROR(INDEX(ctaTipo,MATCH(G1274,ctaNom,0)),"")&lt;&gt;"Tarjeta de crédito"),"⚠ «Hacia» debe ser la tarjeta",IF(AND(I1274="Trading",IFERROR(INDEX(ctaTipo,MATCH(E1274,ctaNom,0)),"")&lt;&gt;"Cuenta de trading"),"⚠ Usa la cuenta de trading","✓"))))))))))))</f>
        <v/>
      </c>
      <c r="I1274" s="19">
        <f>IF(OR(B1274="",C1274="",D1274=""),"",IFERROR(INDEX(catTipo,MATCH(D1274,catNom,0))&amp;"",""))</f>
        <v/>
      </c>
      <c r="J1274" s="19">
        <f>IF(I1274="","",IFERROR(INDEX(catGrupo,MATCH(D1274,catNom,0))&amp;"",""))</f>
        <v/>
      </c>
      <c r="K1274" s="19">
        <f>IF(I1274="Gasto",IF(IFERROR(INDEX(catClas,MATCH(D1274,catNom,0))&amp;"","")="","Variable",IFERROR(INDEX(catClas,MATCH(D1274,catNom,0))&amp;"","")),"")</f>
        <v/>
      </c>
      <c r="L1274" s="19">
        <f>IF(I1274="","",IFERROR(INDEX(catAlim,MATCH(D1274,catNom,0))&amp;"",""))</f>
        <v/>
      </c>
      <c r="M1274" s="19">
        <f>IF(I1274="","",IFERROR(INDEX(catComida,MATCH(D1274,catNom,0))&amp;"",""))</f>
        <v/>
      </c>
      <c r="N1274" s="19">
        <f>IF(I1274="","",IFERROR(INDEX(ctaMon,MATCH(E1274,ctaNom,0))&amp;"","DOP"))</f>
        <v/>
      </c>
      <c r="O1274" s="20">
        <f>IF(I1274="","",C1274*IF(N1274="USD",TasaUSD,1))</f>
        <v/>
      </c>
      <c r="P1274" s="20">
        <f>IF(I1274="","",IF(I1274="Gasto",O1274,0))</f>
        <v/>
      </c>
      <c r="Q1274" s="20">
        <f>IF(I1274="","",IF(I1274="Ingreso",O1274,0))</f>
        <v/>
      </c>
      <c r="R1274" s="20">
        <f>IF(I1274="","",IF(I1274="Trading",O1274,0))</f>
        <v/>
      </c>
      <c r="S1274" s="19">
        <f>IF(I1274="","",IF(AND(I1274="Gasto",K1274="Variable",J1274&lt;&gt;"Trading",O1274&gt;0,O1274&lt;=Umbral),1,0))</f>
        <v/>
      </c>
      <c r="T1274" s="20">
        <f>IF(OR(I1274="",E1274=""),"",IF(OR(I1274="Gasto",I1274="Transferencia",I1274="Pago tarjeta"),-1,1)*C1274)</f>
        <v/>
      </c>
      <c r="U1274" s="20">
        <f>IF(OR(G1274="",AND(I1274&lt;&gt;"Transferencia",I1274&lt;&gt;"Pago tarjeta")),"",IF(IFERROR(INDEX(ctaMon,MATCH(G1274,ctaNom,0))&amp;"","DOP")=N1274,C1274,IF(N1274="USD",C1274*TasaUSD,C1274/TasaUSD)))</f>
        <v/>
      </c>
      <c r="V1274" s="20">
        <f>IF(I1274="","",IF(IFERROR(INDEX(ctaLiq,MATCH(E1274,ctaNom,0))="Sí",FALSE),IF(OR(I1274="Gasto",I1274="Transferencia",I1274="Pago tarjeta"),-1,1)*O1274,0)+IF(AND(U1274&lt;&gt;"",IFERROR(INDEX(ctaLiq,MATCH(G1274,ctaNom,0))="Sí",FALSE)),O1274,0))</f>
        <v/>
      </c>
      <c r="W1274" s="19">
        <f>IF(OR(F1274="",I1274=""),"",IF(COUNTIFS(F$6:F1274,F1274,I$6:I1274,"?*")=1,MAX(W$5:W1273)+1,""))</f>
        <v/>
      </c>
    </row>
    <row r="1275">
      <c r="B1275" s="15" t="n"/>
      <c r="C1275" s="16" t="n"/>
      <c r="D1275" s="17" t="n"/>
      <c r="E1275" s="17" t="n"/>
      <c r="F1275" s="17" t="n"/>
      <c r="G1275" s="17" t="n"/>
      <c r="H1275" s="18">
        <f>IF(AND(B1275="",C1275="",D1275="",E1275=""),"",IF(B1275="","⚠ Falta fecha",IF(C1275="","⚠ Falta monto",IF(D1275="","⚠ Falta categoría",IF(ISNA(MATCH(D1275,catNom,0)),"⚠ Categoría no existe",IF(E1275="","⚠ Falta cuenta",IF(ISNA(MATCH(E1275,ctaNom,0)),"⚠ Cuenta no existe",IF(AND(OR(I1275="Transferencia",I1275="Pago tarjeta"),G1275=""),"⚠ Indica la cuenta «Hacia»",IF(AND(G1275&lt;&gt;"",G1275=E1275),"⚠ «Hacia» igual a la cuenta",IF(AND(G1275&lt;&gt;"",ISNA(MATCH(G1275,ctaNom,0))),"⚠ «Hacia» no existe",IF(AND(I1275="Pago tarjeta",IFERROR(INDEX(ctaTipo,MATCH(G1275,ctaNom,0)),"")&lt;&gt;"Tarjeta de crédito"),"⚠ «Hacia» debe ser la tarjeta",IF(AND(I1275="Trading",IFERROR(INDEX(ctaTipo,MATCH(E1275,ctaNom,0)),"")&lt;&gt;"Cuenta de trading"),"⚠ Usa la cuenta de trading","✓"))))))))))))</f>
        <v/>
      </c>
      <c r="I1275" s="19">
        <f>IF(OR(B1275="",C1275="",D1275=""),"",IFERROR(INDEX(catTipo,MATCH(D1275,catNom,0))&amp;"",""))</f>
        <v/>
      </c>
      <c r="J1275" s="19">
        <f>IF(I1275="","",IFERROR(INDEX(catGrupo,MATCH(D1275,catNom,0))&amp;"",""))</f>
        <v/>
      </c>
      <c r="K1275" s="19">
        <f>IF(I1275="Gasto",IF(IFERROR(INDEX(catClas,MATCH(D1275,catNom,0))&amp;"","")="","Variable",IFERROR(INDEX(catClas,MATCH(D1275,catNom,0))&amp;"","")),"")</f>
        <v/>
      </c>
      <c r="L1275" s="19">
        <f>IF(I1275="","",IFERROR(INDEX(catAlim,MATCH(D1275,catNom,0))&amp;"",""))</f>
        <v/>
      </c>
      <c r="M1275" s="19">
        <f>IF(I1275="","",IFERROR(INDEX(catComida,MATCH(D1275,catNom,0))&amp;"",""))</f>
        <v/>
      </c>
      <c r="N1275" s="19">
        <f>IF(I1275="","",IFERROR(INDEX(ctaMon,MATCH(E1275,ctaNom,0))&amp;"","DOP"))</f>
        <v/>
      </c>
      <c r="O1275" s="20">
        <f>IF(I1275="","",C1275*IF(N1275="USD",TasaUSD,1))</f>
        <v/>
      </c>
      <c r="P1275" s="20">
        <f>IF(I1275="","",IF(I1275="Gasto",O1275,0))</f>
        <v/>
      </c>
      <c r="Q1275" s="20">
        <f>IF(I1275="","",IF(I1275="Ingreso",O1275,0))</f>
        <v/>
      </c>
      <c r="R1275" s="20">
        <f>IF(I1275="","",IF(I1275="Trading",O1275,0))</f>
        <v/>
      </c>
      <c r="S1275" s="19">
        <f>IF(I1275="","",IF(AND(I1275="Gasto",K1275="Variable",J1275&lt;&gt;"Trading",O1275&gt;0,O1275&lt;=Umbral),1,0))</f>
        <v/>
      </c>
      <c r="T1275" s="20">
        <f>IF(OR(I1275="",E1275=""),"",IF(OR(I1275="Gasto",I1275="Transferencia",I1275="Pago tarjeta"),-1,1)*C1275)</f>
        <v/>
      </c>
      <c r="U1275" s="20">
        <f>IF(OR(G1275="",AND(I1275&lt;&gt;"Transferencia",I1275&lt;&gt;"Pago tarjeta")),"",IF(IFERROR(INDEX(ctaMon,MATCH(G1275,ctaNom,0))&amp;"","DOP")=N1275,C1275,IF(N1275="USD",C1275*TasaUSD,C1275/TasaUSD)))</f>
        <v/>
      </c>
      <c r="V1275" s="20">
        <f>IF(I1275="","",IF(IFERROR(INDEX(ctaLiq,MATCH(E1275,ctaNom,0))="Sí",FALSE),IF(OR(I1275="Gasto",I1275="Transferencia",I1275="Pago tarjeta"),-1,1)*O1275,0)+IF(AND(U1275&lt;&gt;"",IFERROR(INDEX(ctaLiq,MATCH(G1275,ctaNom,0))="Sí",FALSE)),O1275,0))</f>
        <v/>
      </c>
      <c r="W1275" s="19">
        <f>IF(OR(F1275="",I1275=""),"",IF(COUNTIFS(F$6:F1275,F1275,I$6:I1275,"?*")=1,MAX(W$5:W1274)+1,""))</f>
        <v/>
      </c>
    </row>
    <row r="1276">
      <c r="B1276" s="15" t="n"/>
      <c r="C1276" s="16" t="n"/>
      <c r="D1276" s="17" t="n"/>
      <c r="E1276" s="17" t="n"/>
      <c r="F1276" s="17" t="n"/>
      <c r="G1276" s="17" t="n"/>
      <c r="H1276" s="18">
        <f>IF(AND(B1276="",C1276="",D1276="",E1276=""),"",IF(B1276="","⚠ Falta fecha",IF(C1276="","⚠ Falta monto",IF(D1276="","⚠ Falta categoría",IF(ISNA(MATCH(D1276,catNom,0)),"⚠ Categoría no existe",IF(E1276="","⚠ Falta cuenta",IF(ISNA(MATCH(E1276,ctaNom,0)),"⚠ Cuenta no existe",IF(AND(OR(I1276="Transferencia",I1276="Pago tarjeta"),G1276=""),"⚠ Indica la cuenta «Hacia»",IF(AND(G1276&lt;&gt;"",G1276=E1276),"⚠ «Hacia» igual a la cuenta",IF(AND(G1276&lt;&gt;"",ISNA(MATCH(G1276,ctaNom,0))),"⚠ «Hacia» no existe",IF(AND(I1276="Pago tarjeta",IFERROR(INDEX(ctaTipo,MATCH(G1276,ctaNom,0)),"")&lt;&gt;"Tarjeta de crédito"),"⚠ «Hacia» debe ser la tarjeta",IF(AND(I1276="Trading",IFERROR(INDEX(ctaTipo,MATCH(E1276,ctaNom,0)),"")&lt;&gt;"Cuenta de trading"),"⚠ Usa la cuenta de trading","✓"))))))))))))</f>
        <v/>
      </c>
      <c r="I1276" s="19">
        <f>IF(OR(B1276="",C1276="",D1276=""),"",IFERROR(INDEX(catTipo,MATCH(D1276,catNom,0))&amp;"",""))</f>
        <v/>
      </c>
      <c r="J1276" s="19">
        <f>IF(I1276="","",IFERROR(INDEX(catGrupo,MATCH(D1276,catNom,0))&amp;"",""))</f>
        <v/>
      </c>
      <c r="K1276" s="19">
        <f>IF(I1276="Gasto",IF(IFERROR(INDEX(catClas,MATCH(D1276,catNom,0))&amp;"","")="","Variable",IFERROR(INDEX(catClas,MATCH(D1276,catNom,0))&amp;"","")),"")</f>
        <v/>
      </c>
      <c r="L1276" s="19">
        <f>IF(I1276="","",IFERROR(INDEX(catAlim,MATCH(D1276,catNom,0))&amp;"",""))</f>
        <v/>
      </c>
      <c r="M1276" s="19">
        <f>IF(I1276="","",IFERROR(INDEX(catComida,MATCH(D1276,catNom,0))&amp;"",""))</f>
        <v/>
      </c>
      <c r="N1276" s="19">
        <f>IF(I1276="","",IFERROR(INDEX(ctaMon,MATCH(E1276,ctaNom,0))&amp;"","DOP"))</f>
        <v/>
      </c>
      <c r="O1276" s="20">
        <f>IF(I1276="","",C1276*IF(N1276="USD",TasaUSD,1))</f>
        <v/>
      </c>
      <c r="P1276" s="20">
        <f>IF(I1276="","",IF(I1276="Gasto",O1276,0))</f>
        <v/>
      </c>
      <c r="Q1276" s="20">
        <f>IF(I1276="","",IF(I1276="Ingreso",O1276,0))</f>
        <v/>
      </c>
      <c r="R1276" s="20">
        <f>IF(I1276="","",IF(I1276="Trading",O1276,0))</f>
        <v/>
      </c>
      <c r="S1276" s="19">
        <f>IF(I1276="","",IF(AND(I1276="Gasto",K1276="Variable",J1276&lt;&gt;"Trading",O1276&gt;0,O1276&lt;=Umbral),1,0))</f>
        <v/>
      </c>
      <c r="T1276" s="20">
        <f>IF(OR(I1276="",E1276=""),"",IF(OR(I1276="Gasto",I1276="Transferencia",I1276="Pago tarjeta"),-1,1)*C1276)</f>
        <v/>
      </c>
      <c r="U1276" s="20">
        <f>IF(OR(G1276="",AND(I1276&lt;&gt;"Transferencia",I1276&lt;&gt;"Pago tarjeta")),"",IF(IFERROR(INDEX(ctaMon,MATCH(G1276,ctaNom,0))&amp;"","DOP")=N1276,C1276,IF(N1276="USD",C1276*TasaUSD,C1276/TasaUSD)))</f>
        <v/>
      </c>
      <c r="V1276" s="20">
        <f>IF(I1276="","",IF(IFERROR(INDEX(ctaLiq,MATCH(E1276,ctaNom,0))="Sí",FALSE),IF(OR(I1276="Gasto",I1276="Transferencia",I1276="Pago tarjeta"),-1,1)*O1276,0)+IF(AND(U1276&lt;&gt;"",IFERROR(INDEX(ctaLiq,MATCH(G1276,ctaNom,0))="Sí",FALSE)),O1276,0))</f>
        <v/>
      </c>
      <c r="W1276" s="19">
        <f>IF(OR(F1276="",I1276=""),"",IF(COUNTIFS(F$6:F1276,F1276,I$6:I1276,"?*")=1,MAX(W$5:W1275)+1,""))</f>
        <v/>
      </c>
    </row>
    <row r="1277">
      <c r="B1277" s="15" t="n"/>
      <c r="C1277" s="16" t="n"/>
      <c r="D1277" s="17" t="n"/>
      <c r="E1277" s="17" t="n"/>
      <c r="F1277" s="17" t="n"/>
      <c r="G1277" s="17" t="n"/>
      <c r="H1277" s="18">
        <f>IF(AND(B1277="",C1277="",D1277="",E1277=""),"",IF(B1277="","⚠ Falta fecha",IF(C1277="","⚠ Falta monto",IF(D1277="","⚠ Falta categoría",IF(ISNA(MATCH(D1277,catNom,0)),"⚠ Categoría no existe",IF(E1277="","⚠ Falta cuenta",IF(ISNA(MATCH(E1277,ctaNom,0)),"⚠ Cuenta no existe",IF(AND(OR(I1277="Transferencia",I1277="Pago tarjeta"),G1277=""),"⚠ Indica la cuenta «Hacia»",IF(AND(G1277&lt;&gt;"",G1277=E1277),"⚠ «Hacia» igual a la cuenta",IF(AND(G1277&lt;&gt;"",ISNA(MATCH(G1277,ctaNom,0))),"⚠ «Hacia» no existe",IF(AND(I1277="Pago tarjeta",IFERROR(INDEX(ctaTipo,MATCH(G1277,ctaNom,0)),"")&lt;&gt;"Tarjeta de crédito"),"⚠ «Hacia» debe ser la tarjeta",IF(AND(I1277="Trading",IFERROR(INDEX(ctaTipo,MATCH(E1277,ctaNom,0)),"")&lt;&gt;"Cuenta de trading"),"⚠ Usa la cuenta de trading","✓"))))))))))))</f>
        <v/>
      </c>
      <c r="I1277" s="19">
        <f>IF(OR(B1277="",C1277="",D1277=""),"",IFERROR(INDEX(catTipo,MATCH(D1277,catNom,0))&amp;"",""))</f>
        <v/>
      </c>
      <c r="J1277" s="19">
        <f>IF(I1277="","",IFERROR(INDEX(catGrupo,MATCH(D1277,catNom,0))&amp;"",""))</f>
        <v/>
      </c>
      <c r="K1277" s="19">
        <f>IF(I1277="Gasto",IF(IFERROR(INDEX(catClas,MATCH(D1277,catNom,0))&amp;"","")="","Variable",IFERROR(INDEX(catClas,MATCH(D1277,catNom,0))&amp;"","")),"")</f>
        <v/>
      </c>
      <c r="L1277" s="19">
        <f>IF(I1277="","",IFERROR(INDEX(catAlim,MATCH(D1277,catNom,0))&amp;"",""))</f>
        <v/>
      </c>
      <c r="M1277" s="19">
        <f>IF(I1277="","",IFERROR(INDEX(catComida,MATCH(D1277,catNom,0))&amp;"",""))</f>
        <v/>
      </c>
      <c r="N1277" s="19">
        <f>IF(I1277="","",IFERROR(INDEX(ctaMon,MATCH(E1277,ctaNom,0))&amp;"","DOP"))</f>
        <v/>
      </c>
      <c r="O1277" s="20">
        <f>IF(I1277="","",C1277*IF(N1277="USD",TasaUSD,1))</f>
        <v/>
      </c>
      <c r="P1277" s="20">
        <f>IF(I1277="","",IF(I1277="Gasto",O1277,0))</f>
        <v/>
      </c>
      <c r="Q1277" s="20">
        <f>IF(I1277="","",IF(I1277="Ingreso",O1277,0))</f>
        <v/>
      </c>
      <c r="R1277" s="20">
        <f>IF(I1277="","",IF(I1277="Trading",O1277,0))</f>
        <v/>
      </c>
      <c r="S1277" s="19">
        <f>IF(I1277="","",IF(AND(I1277="Gasto",K1277="Variable",J1277&lt;&gt;"Trading",O1277&gt;0,O1277&lt;=Umbral),1,0))</f>
        <v/>
      </c>
      <c r="T1277" s="20">
        <f>IF(OR(I1277="",E1277=""),"",IF(OR(I1277="Gasto",I1277="Transferencia",I1277="Pago tarjeta"),-1,1)*C1277)</f>
        <v/>
      </c>
      <c r="U1277" s="20">
        <f>IF(OR(G1277="",AND(I1277&lt;&gt;"Transferencia",I1277&lt;&gt;"Pago tarjeta")),"",IF(IFERROR(INDEX(ctaMon,MATCH(G1277,ctaNom,0))&amp;"","DOP")=N1277,C1277,IF(N1277="USD",C1277*TasaUSD,C1277/TasaUSD)))</f>
        <v/>
      </c>
      <c r="V1277" s="20">
        <f>IF(I1277="","",IF(IFERROR(INDEX(ctaLiq,MATCH(E1277,ctaNom,0))="Sí",FALSE),IF(OR(I1277="Gasto",I1277="Transferencia",I1277="Pago tarjeta"),-1,1)*O1277,0)+IF(AND(U1277&lt;&gt;"",IFERROR(INDEX(ctaLiq,MATCH(G1277,ctaNom,0))="Sí",FALSE)),O1277,0))</f>
        <v/>
      </c>
      <c r="W1277" s="19">
        <f>IF(OR(F1277="",I1277=""),"",IF(COUNTIFS(F$6:F1277,F1277,I$6:I1277,"?*")=1,MAX(W$5:W1276)+1,""))</f>
        <v/>
      </c>
    </row>
    <row r="1278">
      <c r="B1278" s="15" t="n"/>
      <c r="C1278" s="16" t="n"/>
      <c r="D1278" s="17" t="n"/>
      <c r="E1278" s="17" t="n"/>
      <c r="F1278" s="17" t="n"/>
      <c r="G1278" s="17" t="n"/>
      <c r="H1278" s="18">
        <f>IF(AND(B1278="",C1278="",D1278="",E1278=""),"",IF(B1278="","⚠ Falta fecha",IF(C1278="","⚠ Falta monto",IF(D1278="","⚠ Falta categoría",IF(ISNA(MATCH(D1278,catNom,0)),"⚠ Categoría no existe",IF(E1278="","⚠ Falta cuenta",IF(ISNA(MATCH(E1278,ctaNom,0)),"⚠ Cuenta no existe",IF(AND(OR(I1278="Transferencia",I1278="Pago tarjeta"),G1278=""),"⚠ Indica la cuenta «Hacia»",IF(AND(G1278&lt;&gt;"",G1278=E1278),"⚠ «Hacia» igual a la cuenta",IF(AND(G1278&lt;&gt;"",ISNA(MATCH(G1278,ctaNom,0))),"⚠ «Hacia» no existe",IF(AND(I1278="Pago tarjeta",IFERROR(INDEX(ctaTipo,MATCH(G1278,ctaNom,0)),"")&lt;&gt;"Tarjeta de crédito"),"⚠ «Hacia» debe ser la tarjeta",IF(AND(I1278="Trading",IFERROR(INDEX(ctaTipo,MATCH(E1278,ctaNom,0)),"")&lt;&gt;"Cuenta de trading"),"⚠ Usa la cuenta de trading","✓"))))))))))))</f>
        <v/>
      </c>
      <c r="I1278" s="19">
        <f>IF(OR(B1278="",C1278="",D1278=""),"",IFERROR(INDEX(catTipo,MATCH(D1278,catNom,0))&amp;"",""))</f>
        <v/>
      </c>
      <c r="J1278" s="19">
        <f>IF(I1278="","",IFERROR(INDEX(catGrupo,MATCH(D1278,catNom,0))&amp;"",""))</f>
        <v/>
      </c>
      <c r="K1278" s="19">
        <f>IF(I1278="Gasto",IF(IFERROR(INDEX(catClas,MATCH(D1278,catNom,0))&amp;"","")="","Variable",IFERROR(INDEX(catClas,MATCH(D1278,catNom,0))&amp;"","")),"")</f>
        <v/>
      </c>
      <c r="L1278" s="19">
        <f>IF(I1278="","",IFERROR(INDEX(catAlim,MATCH(D1278,catNom,0))&amp;"",""))</f>
        <v/>
      </c>
      <c r="M1278" s="19">
        <f>IF(I1278="","",IFERROR(INDEX(catComida,MATCH(D1278,catNom,0))&amp;"",""))</f>
        <v/>
      </c>
      <c r="N1278" s="19">
        <f>IF(I1278="","",IFERROR(INDEX(ctaMon,MATCH(E1278,ctaNom,0))&amp;"","DOP"))</f>
        <v/>
      </c>
      <c r="O1278" s="20">
        <f>IF(I1278="","",C1278*IF(N1278="USD",TasaUSD,1))</f>
        <v/>
      </c>
      <c r="P1278" s="20">
        <f>IF(I1278="","",IF(I1278="Gasto",O1278,0))</f>
        <v/>
      </c>
      <c r="Q1278" s="20">
        <f>IF(I1278="","",IF(I1278="Ingreso",O1278,0))</f>
        <v/>
      </c>
      <c r="R1278" s="20">
        <f>IF(I1278="","",IF(I1278="Trading",O1278,0))</f>
        <v/>
      </c>
      <c r="S1278" s="19">
        <f>IF(I1278="","",IF(AND(I1278="Gasto",K1278="Variable",J1278&lt;&gt;"Trading",O1278&gt;0,O1278&lt;=Umbral),1,0))</f>
        <v/>
      </c>
      <c r="T1278" s="20">
        <f>IF(OR(I1278="",E1278=""),"",IF(OR(I1278="Gasto",I1278="Transferencia",I1278="Pago tarjeta"),-1,1)*C1278)</f>
        <v/>
      </c>
      <c r="U1278" s="20">
        <f>IF(OR(G1278="",AND(I1278&lt;&gt;"Transferencia",I1278&lt;&gt;"Pago tarjeta")),"",IF(IFERROR(INDEX(ctaMon,MATCH(G1278,ctaNom,0))&amp;"","DOP")=N1278,C1278,IF(N1278="USD",C1278*TasaUSD,C1278/TasaUSD)))</f>
        <v/>
      </c>
      <c r="V1278" s="20">
        <f>IF(I1278="","",IF(IFERROR(INDEX(ctaLiq,MATCH(E1278,ctaNom,0))="Sí",FALSE),IF(OR(I1278="Gasto",I1278="Transferencia",I1278="Pago tarjeta"),-1,1)*O1278,0)+IF(AND(U1278&lt;&gt;"",IFERROR(INDEX(ctaLiq,MATCH(G1278,ctaNom,0))="Sí",FALSE)),O1278,0))</f>
        <v/>
      </c>
      <c r="W1278" s="19">
        <f>IF(OR(F1278="",I1278=""),"",IF(COUNTIFS(F$6:F1278,F1278,I$6:I1278,"?*")=1,MAX(W$5:W1277)+1,""))</f>
        <v/>
      </c>
    </row>
    <row r="1279">
      <c r="B1279" s="15" t="n"/>
      <c r="C1279" s="16" t="n"/>
      <c r="D1279" s="17" t="n"/>
      <c r="E1279" s="17" t="n"/>
      <c r="F1279" s="17" t="n"/>
      <c r="G1279" s="17" t="n"/>
      <c r="H1279" s="18">
        <f>IF(AND(B1279="",C1279="",D1279="",E1279=""),"",IF(B1279="","⚠ Falta fecha",IF(C1279="","⚠ Falta monto",IF(D1279="","⚠ Falta categoría",IF(ISNA(MATCH(D1279,catNom,0)),"⚠ Categoría no existe",IF(E1279="","⚠ Falta cuenta",IF(ISNA(MATCH(E1279,ctaNom,0)),"⚠ Cuenta no existe",IF(AND(OR(I1279="Transferencia",I1279="Pago tarjeta"),G1279=""),"⚠ Indica la cuenta «Hacia»",IF(AND(G1279&lt;&gt;"",G1279=E1279),"⚠ «Hacia» igual a la cuenta",IF(AND(G1279&lt;&gt;"",ISNA(MATCH(G1279,ctaNom,0))),"⚠ «Hacia» no existe",IF(AND(I1279="Pago tarjeta",IFERROR(INDEX(ctaTipo,MATCH(G1279,ctaNom,0)),"")&lt;&gt;"Tarjeta de crédito"),"⚠ «Hacia» debe ser la tarjeta",IF(AND(I1279="Trading",IFERROR(INDEX(ctaTipo,MATCH(E1279,ctaNom,0)),"")&lt;&gt;"Cuenta de trading"),"⚠ Usa la cuenta de trading","✓"))))))))))))</f>
        <v/>
      </c>
      <c r="I1279" s="19">
        <f>IF(OR(B1279="",C1279="",D1279=""),"",IFERROR(INDEX(catTipo,MATCH(D1279,catNom,0))&amp;"",""))</f>
        <v/>
      </c>
      <c r="J1279" s="19">
        <f>IF(I1279="","",IFERROR(INDEX(catGrupo,MATCH(D1279,catNom,0))&amp;"",""))</f>
        <v/>
      </c>
      <c r="K1279" s="19">
        <f>IF(I1279="Gasto",IF(IFERROR(INDEX(catClas,MATCH(D1279,catNom,0))&amp;"","")="","Variable",IFERROR(INDEX(catClas,MATCH(D1279,catNom,0))&amp;"","")),"")</f>
        <v/>
      </c>
      <c r="L1279" s="19">
        <f>IF(I1279="","",IFERROR(INDEX(catAlim,MATCH(D1279,catNom,0))&amp;"",""))</f>
        <v/>
      </c>
      <c r="M1279" s="19">
        <f>IF(I1279="","",IFERROR(INDEX(catComida,MATCH(D1279,catNom,0))&amp;"",""))</f>
        <v/>
      </c>
      <c r="N1279" s="19">
        <f>IF(I1279="","",IFERROR(INDEX(ctaMon,MATCH(E1279,ctaNom,0))&amp;"","DOP"))</f>
        <v/>
      </c>
      <c r="O1279" s="20">
        <f>IF(I1279="","",C1279*IF(N1279="USD",TasaUSD,1))</f>
        <v/>
      </c>
      <c r="P1279" s="20">
        <f>IF(I1279="","",IF(I1279="Gasto",O1279,0))</f>
        <v/>
      </c>
      <c r="Q1279" s="20">
        <f>IF(I1279="","",IF(I1279="Ingreso",O1279,0))</f>
        <v/>
      </c>
      <c r="R1279" s="20">
        <f>IF(I1279="","",IF(I1279="Trading",O1279,0))</f>
        <v/>
      </c>
      <c r="S1279" s="19">
        <f>IF(I1279="","",IF(AND(I1279="Gasto",K1279="Variable",J1279&lt;&gt;"Trading",O1279&gt;0,O1279&lt;=Umbral),1,0))</f>
        <v/>
      </c>
      <c r="T1279" s="20">
        <f>IF(OR(I1279="",E1279=""),"",IF(OR(I1279="Gasto",I1279="Transferencia",I1279="Pago tarjeta"),-1,1)*C1279)</f>
        <v/>
      </c>
      <c r="U1279" s="20">
        <f>IF(OR(G1279="",AND(I1279&lt;&gt;"Transferencia",I1279&lt;&gt;"Pago tarjeta")),"",IF(IFERROR(INDEX(ctaMon,MATCH(G1279,ctaNom,0))&amp;"","DOP")=N1279,C1279,IF(N1279="USD",C1279*TasaUSD,C1279/TasaUSD)))</f>
        <v/>
      </c>
      <c r="V1279" s="20">
        <f>IF(I1279="","",IF(IFERROR(INDEX(ctaLiq,MATCH(E1279,ctaNom,0))="Sí",FALSE),IF(OR(I1279="Gasto",I1279="Transferencia",I1279="Pago tarjeta"),-1,1)*O1279,0)+IF(AND(U1279&lt;&gt;"",IFERROR(INDEX(ctaLiq,MATCH(G1279,ctaNom,0))="Sí",FALSE)),O1279,0))</f>
        <v/>
      </c>
      <c r="W1279" s="19">
        <f>IF(OR(F1279="",I1279=""),"",IF(COUNTIFS(F$6:F1279,F1279,I$6:I1279,"?*")=1,MAX(W$5:W1278)+1,""))</f>
        <v/>
      </c>
    </row>
    <row r="1280">
      <c r="B1280" s="15" t="n"/>
      <c r="C1280" s="16" t="n"/>
      <c r="D1280" s="17" t="n"/>
      <c r="E1280" s="17" t="n"/>
      <c r="F1280" s="17" t="n"/>
      <c r="G1280" s="17" t="n"/>
      <c r="H1280" s="18">
        <f>IF(AND(B1280="",C1280="",D1280="",E1280=""),"",IF(B1280="","⚠ Falta fecha",IF(C1280="","⚠ Falta monto",IF(D1280="","⚠ Falta categoría",IF(ISNA(MATCH(D1280,catNom,0)),"⚠ Categoría no existe",IF(E1280="","⚠ Falta cuenta",IF(ISNA(MATCH(E1280,ctaNom,0)),"⚠ Cuenta no existe",IF(AND(OR(I1280="Transferencia",I1280="Pago tarjeta"),G1280=""),"⚠ Indica la cuenta «Hacia»",IF(AND(G1280&lt;&gt;"",G1280=E1280),"⚠ «Hacia» igual a la cuenta",IF(AND(G1280&lt;&gt;"",ISNA(MATCH(G1280,ctaNom,0))),"⚠ «Hacia» no existe",IF(AND(I1280="Pago tarjeta",IFERROR(INDEX(ctaTipo,MATCH(G1280,ctaNom,0)),"")&lt;&gt;"Tarjeta de crédito"),"⚠ «Hacia» debe ser la tarjeta",IF(AND(I1280="Trading",IFERROR(INDEX(ctaTipo,MATCH(E1280,ctaNom,0)),"")&lt;&gt;"Cuenta de trading"),"⚠ Usa la cuenta de trading","✓"))))))))))))</f>
        <v/>
      </c>
      <c r="I1280" s="19">
        <f>IF(OR(B1280="",C1280="",D1280=""),"",IFERROR(INDEX(catTipo,MATCH(D1280,catNom,0))&amp;"",""))</f>
        <v/>
      </c>
      <c r="J1280" s="19">
        <f>IF(I1280="","",IFERROR(INDEX(catGrupo,MATCH(D1280,catNom,0))&amp;"",""))</f>
        <v/>
      </c>
      <c r="K1280" s="19">
        <f>IF(I1280="Gasto",IF(IFERROR(INDEX(catClas,MATCH(D1280,catNom,0))&amp;"","")="","Variable",IFERROR(INDEX(catClas,MATCH(D1280,catNom,0))&amp;"","")),"")</f>
        <v/>
      </c>
      <c r="L1280" s="19">
        <f>IF(I1280="","",IFERROR(INDEX(catAlim,MATCH(D1280,catNom,0))&amp;"",""))</f>
        <v/>
      </c>
      <c r="M1280" s="19">
        <f>IF(I1280="","",IFERROR(INDEX(catComida,MATCH(D1280,catNom,0))&amp;"",""))</f>
        <v/>
      </c>
      <c r="N1280" s="19">
        <f>IF(I1280="","",IFERROR(INDEX(ctaMon,MATCH(E1280,ctaNom,0))&amp;"","DOP"))</f>
        <v/>
      </c>
      <c r="O1280" s="20">
        <f>IF(I1280="","",C1280*IF(N1280="USD",TasaUSD,1))</f>
        <v/>
      </c>
      <c r="P1280" s="20">
        <f>IF(I1280="","",IF(I1280="Gasto",O1280,0))</f>
        <v/>
      </c>
      <c r="Q1280" s="20">
        <f>IF(I1280="","",IF(I1280="Ingreso",O1280,0))</f>
        <v/>
      </c>
      <c r="R1280" s="20">
        <f>IF(I1280="","",IF(I1280="Trading",O1280,0))</f>
        <v/>
      </c>
      <c r="S1280" s="19">
        <f>IF(I1280="","",IF(AND(I1280="Gasto",K1280="Variable",J1280&lt;&gt;"Trading",O1280&gt;0,O1280&lt;=Umbral),1,0))</f>
        <v/>
      </c>
      <c r="T1280" s="20">
        <f>IF(OR(I1280="",E1280=""),"",IF(OR(I1280="Gasto",I1280="Transferencia",I1280="Pago tarjeta"),-1,1)*C1280)</f>
        <v/>
      </c>
      <c r="U1280" s="20">
        <f>IF(OR(G1280="",AND(I1280&lt;&gt;"Transferencia",I1280&lt;&gt;"Pago tarjeta")),"",IF(IFERROR(INDEX(ctaMon,MATCH(G1280,ctaNom,0))&amp;"","DOP")=N1280,C1280,IF(N1280="USD",C1280*TasaUSD,C1280/TasaUSD)))</f>
        <v/>
      </c>
      <c r="V1280" s="20">
        <f>IF(I1280="","",IF(IFERROR(INDEX(ctaLiq,MATCH(E1280,ctaNom,0))="Sí",FALSE),IF(OR(I1280="Gasto",I1280="Transferencia",I1280="Pago tarjeta"),-1,1)*O1280,0)+IF(AND(U1280&lt;&gt;"",IFERROR(INDEX(ctaLiq,MATCH(G1280,ctaNom,0))="Sí",FALSE)),O1280,0))</f>
        <v/>
      </c>
      <c r="W1280" s="19">
        <f>IF(OR(F1280="",I1280=""),"",IF(COUNTIFS(F$6:F1280,F1280,I$6:I1280,"?*")=1,MAX(W$5:W1279)+1,""))</f>
        <v/>
      </c>
    </row>
    <row r="1281">
      <c r="B1281" s="15" t="n"/>
      <c r="C1281" s="16" t="n"/>
      <c r="D1281" s="17" t="n"/>
      <c r="E1281" s="17" t="n"/>
      <c r="F1281" s="17" t="n"/>
      <c r="G1281" s="17" t="n"/>
      <c r="H1281" s="18">
        <f>IF(AND(B1281="",C1281="",D1281="",E1281=""),"",IF(B1281="","⚠ Falta fecha",IF(C1281="","⚠ Falta monto",IF(D1281="","⚠ Falta categoría",IF(ISNA(MATCH(D1281,catNom,0)),"⚠ Categoría no existe",IF(E1281="","⚠ Falta cuenta",IF(ISNA(MATCH(E1281,ctaNom,0)),"⚠ Cuenta no existe",IF(AND(OR(I1281="Transferencia",I1281="Pago tarjeta"),G1281=""),"⚠ Indica la cuenta «Hacia»",IF(AND(G1281&lt;&gt;"",G1281=E1281),"⚠ «Hacia» igual a la cuenta",IF(AND(G1281&lt;&gt;"",ISNA(MATCH(G1281,ctaNom,0))),"⚠ «Hacia» no existe",IF(AND(I1281="Pago tarjeta",IFERROR(INDEX(ctaTipo,MATCH(G1281,ctaNom,0)),"")&lt;&gt;"Tarjeta de crédito"),"⚠ «Hacia» debe ser la tarjeta",IF(AND(I1281="Trading",IFERROR(INDEX(ctaTipo,MATCH(E1281,ctaNom,0)),"")&lt;&gt;"Cuenta de trading"),"⚠ Usa la cuenta de trading","✓"))))))))))))</f>
        <v/>
      </c>
      <c r="I1281" s="19">
        <f>IF(OR(B1281="",C1281="",D1281=""),"",IFERROR(INDEX(catTipo,MATCH(D1281,catNom,0))&amp;"",""))</f>
        <v/>
      </c>
      <c r="J1281" s="19">
        <f>IF(I1281="","",IFERROR(INDEX(catGrupo,MATCH(D1281,catNom,0))&amp;"",""))</f>
        <v/>
      </c>
      <c r="K1281" s="19">
        <f>IF(I1281="Gasto",IF(IFERROR(INDEX(catClas,MATCH(D1281,catNom,0))&amp;"","")="","Variable",IFERROR(INDEX(catClas,MATCH(D1281,catNom,0))&amp;"","")),"")</f>
        <v/>
      </c>
      <c r="L1281" s="19">
        <f>IF(I1281="","",IFERROR(INDEX(catAlim,MATCH(D1281,catNom,0))&amp;"",""))</f>
        <v/>
      </c>
      <c r="M1281" s="19">
        <f>IF(I1281="","",IFERROR(INDEX(catComida,MATCH(D1281,catNom,0))&amp;"",""))</f>
        <v/>
      </c>
      <c r="N1281" s="19">
        <f>IF(I1281="","",IFERROR(INDEX(ctaMon,MATCH(E1281,ctaNom,0))&amp;"","DOP"))</f>
        <v/>
      </c>
      <c r="O1281" s="20">
        <f>IF(I1281="","",C1281*IF(N1281="USD",TasaUSD,1))</f>
        <v/>
      </c>
      <c r="P1281" s="20">
        <f>IF(I1281="","",IF(I1281="Gasto",O1281,0))</f>
        <v/>
      </c>
      <c r="Q1281" s="20">
        <f>IF(I1281="","",IF(I1281="Ingreso",O1281,0))</f>
        <v/>
      </c>
      <c r="R1281" s="20">
        <f>IF(I1281="","",IF(I1281="Trading",O1281,0))</f>
        <v/>
      </c>
      <c r="S1281" s="19">
        <f>IF(I1281="","",IF(AND(I1281="Gasto",K1281="Variable",J1281&lt;&gt;"Trading",O1281&gt;0,O1281&lt;=Umbral),1,0))</f>
        <v/>
      </c>
      <c r="T1281" s="20">
        <f>IF(OR(I1281="",E1281=""),"",IF(OR(I1281="Gasto",I1281="Transferencia",I1281="Pago tarjeta"),-1,1)*C1281)</f>
        <v/>
      </c>
      <c r="U1281" s="20">
        <f>IF(OR(G1281="",AND(I1281&lt;&gt;"Transferencia",I1281&lt;&gt;"Pago tarjeta")),"",IF(IFERROR(INDEX(ctaMon,MATCH(G1281,ctaNom,0))&amp;"","DOP")=N1281,C1281,IF(N1281="USD",C1281*TasaUSD,C1281/TasaUSD)))</f>
        <v/>
      </c>
      <c r="V1281" s="20">
        <f>IF(I1281="","",IF(IFERROR(INDEX(ctaLiq,MATCH(E1281,ctaNom,0))="Sí",FALSE),IF(OR(I1281="Gasto",I1281="Transferencia",I1281="Pago tarjeta"),-1,1)*O1281,0)+IF(AND(U1281&lt;&gt;"",IFERROR(INDEX(ctaLiq,MATCH(G1281,ctaNom,0))="Sí",FALSE)),O1281,0))</f>
        <v/>
      </c>
      <c r="W1281" s="19">
        <f>IF(OR(F1281="",I1281=""),"",IF(COUNTIFS(F$6:F1281,F1281,I$6:I1281,"?*")=1,MAX(W$5:W1280)+1,""))</f>
        <v/>
      </c>
    </row>
    <row r="1282">
      <c r="B1282" s="15" t="n"/>
      <c r="C1282" s="16" t="n"/>
      <c r="D1282" s="17" t="n"/>
      <c r="E1282" s="17" t="n"/>
      <c r="F1282" s="17" t="n"/>
      <c r="G1282" s="17" t="n"/>
      <c r="H1282" s="18">
        <f>IF(AND(B1282="",C1282="",D1282="",E1282=""),"",IF(B1282="","⚠ Falta fecha",IF(C1282="","⚠ Falta monto",IF(D1282="","⚠ Falta categoría",IF(ISNA(MATCH(D1282,catNom,0)),"⚠ Categoría no existe",IF(E1282="","⚠ Falta cuenta",IF(ISNA(MATCH(E1282,ctaNom,0)),"⚠ Cuenta no existe",IF(AND(OR(I1282="Transferencia",I1282="Pago tarjeta"),G1282=""),"⚠ Indica la cuenta «Hacia»",IF(AND(G1282&lt;&gt;"",G1282=E1282),"⚠ «Hacia» igual a la cuenta",IF(AND(G1282&lt;&gt;"",ISNA(MATCH(G1282,ctaNom,0))),"⚠ «Hacia» no existe",IF(AND(I1282="Pago tarjeta",IFERROR(INDEX(ctaTipo,MATCH(G1282,ctaNom,0)),"")&lt;&gt;"Tarjeta de crédito"),"⚠ «Hacia» debe ser la tarjeta",IF(AND(I1282="Trading",IFERROR(INDEX(ctaTipo,MATCH(E1282,ctaNom,0)),"")&lt;&gt;"Cuenta de trading"),"⚠ Usa la cuenta de trading","✓"))))))))))))</f>
        <v/>
      </c>
      <c r="I1282" s="19">
        <f>IF(OR(B1282="",C1282="",D1282=""),"",IFERROR(INDEX(catTipo,MATCH(D1282,catNom,0))&amp;"",""))</f>
        <v/>
      </c>
      <c r="J1282" s="19">
        <f>IF(I1282="","",IFERROR(INDEX(catGrupo,MATCH(D1282,catNom,0))&amp;"",""))</f>
        <v/>
      </c>
      <c r="K1282" s="19">
        <f>IF(I1282="Gasto",IF(IFERROR(INDEX(catClas,MATCH(D1282,catNom,0))&amp;"","")="","Variable",IFERROR(INDEX(catClas,MATCH(D1282,catNom,0))&amp;"","")),"")</f>
        <v/>
      </c>
      <c r="L1282" s="19">
        <f>IF(I1282="","",IFERROR(INDEX(catAlim,MATCH(D1282,catNom,0))&amp;"",""))</f>
        <v/>
      </c>
      <c r="M1282" s="19">
        <f>IF(I1282="","",IFERROR(INDEX(catComida,MATCH(D1282,catNom,0))&amp;"",""))</f>
        <v/>
      </c>
      <c r="N1282" s="19">
        <f>IF(I1282="","",IFERROR(INDEX(ctaMon,MATCH(E1282,ctaNom,0))&amp;"","DOP"))</f>
        <v/>
      </c>
      <c r="O1282" s="20">
        <f>IF(I1282="","",C1282*IF(N1282="USD",TasaUSD,1))</f>
        <v/>
      </c>
      <c r="P1282" s="20">
        <f>IF(I1282="","",IF(I1282="Gasto",O1282,0))</f>
        <v/>
      </c>
      <c r="Q1282" s="20">
        <f>IF(I1282="","",IF(I1282="Ingreso",O1282,0))</f>
        <v/>
      </c>
      <c r="R1282" s="20">
        <f>IF(I1282="","",IF(I1282="Trading",O1282,0))</f>
        <v/>
      </c>
      <c r="S1282" s="19">
        <f>IF(I1282="","",IF(AND(I1282="Gasto",K1282="Variable",J1282&lt;&gt;"Trading",O1282&gt;0,O1282&lt;=Umbral),1,0))</f>
        <v/>
      </c>
      <c r="T1282" s="20">
        <f>IF(OR(I1282="",E1282=""),"",IF(OR(I1282="Gasto",I1282="Transferencia",I1282="Pago tarjeta"),-1,1)*C1282)</f>
        <v/>
      </c>
      <c r="U1282" s="20">
        <f>IF(OR(G1282="",AND(I1282&lt;&gt;"Transferencia",I1282&lt;&gt;"Pago tarjeta")),"",IF(IFERROR(INDEX(ctaMon,MATCH(G1282,ctaNom,0))&amp;"","DOP")=N1282,C1282,IF(N1282="USD",C1282*TasaUSD,C1282/TasaUSD)))</f>
        <v/>
      </c>
      <c r="V1282" s="20">
        <f>IF(I1282="","",IF(IFERROR(INDEX(ctaLiq,MATCH(E1282,ctaNom,0))="Sí",FALSE),IF(OR(I1282="Gasto",I1282="Transferencia",I1282="Pago tarjeta"),-1,1)*O1282,0)+IF(AND(U1282&lt;&gt;"",IFERROR(INDEX(ctaLiq,MATCH(G1282,ctaNom,0))="Sí",FALSE)),O1282,0))</f>
        <v/>
      </c>
      <c r="W1282" s="19">
        <f>IF(OR(F1282="",I1282=""),"",IF(COUNTIFS(F$6:F1282,F1282,I$6:I1282,"?*")=1,MAX(W$5:W1281)+1,""))</f>
        <v/>
      </c>
    </row>
    <row r="1283">
      <c r="B1283" s="15" t="n"/>
      <c r="C1283" s="16" t="n"/>
      <c r="D1283" s="17" t="n"/>
      <c r="E1283" s="17" t="n"/>
      <c r="F1283" s="17" t="n"/>
      <c r="G1283" s="17" t="n"/>
      <c r="H1283" s="18">
        <f>IF(AND(B1283="",C1283="",D1283="",E1283=""),"",IF(B1283="","⚠ Falta fecha",IF(C1283="","⚠ Falta monto",IF(D1283="","⚠ Falta categoría",IF(ISNA(MATCH(D1283,catNom,0)),"⚠ Categoría no existe",IF(E1283="","⚠ Falta cuenta",IF(ISNA(MATCH(E1283,ctaNom,0)),"⚠ Cuenta no existe",IF(AND(OR(I1283="Transferencia",I1283="Pago tarjeta"),G1283=""),"⚠ Indica la cuenta «Hacia»",IF(AND(G1283&lt;&gt;"",G1283=E1283),"⚠ «Hacia» igual a la cuenta",IF(AND(G1283&lt;&gt;"",ISNA(MATCH(G1283,ctaNom,0))),"⚠ «Hacia» no existe",IF(AND(I1283="Pago tarjeta",IFERROR(INDEX(ctaTipo,MATCH(G1283,ctaNom,0)),"")&lt;&gt;"Tarjeta de crédito"),"⚠ «Hacia» debe ser la tarjeta",IF(AND(I1283="Trading",IFERROR(INDEX(ctaTipo,MATCH(E1283,ctaNom,0)),"")&lt;&gt;"Cuenta de trading"),"⚠ Usa la cuenta de trading","✓"))))))))))))</f>
        <v/>
      </c>
      <c r="I1283" s="19">
        <f>IF(OR(B1283="",C1283="",D1283=""),"",IFERROR(INDEX(catTipo,MATCH(D1283,catNom,0))&amp;"",""))</f>
        <v/>
      </c>
      <c r="J1283" s="19">
        <f>IF(I1283="","",IFERROR(INDEX(catGrupo,MATCH(D1283,catNom,0))&amp;"",""))</f>
        <v/>
      </c>
      <c r="K1283" s="19">
        <f>IF(I1283="Gasto",IF(IFERROR(INDEX(catClas,MATCH(D1283,catNom,0))&amp;"","")="","Variable",IFERROR(INDEX(catClas,MATCH(D1283,catNom,0))&amp;"","")),"")</f>
        <v/>
      </c>
      <c r="L1283" s="19">
        <f>IF(I1283="","",IFERROR(INDEX(catAlim,MATCH(D1283,catNom,0))&amp;"",""))</f>
        <v/>
      </c>
      <c r="M1283" s="19">
        <f>IF(I1283="","",IFERROR(INDEX(catComida,MATCH(D1283,catNom,0))&amp;"",""))</f>
        <v/>
      </c>
      <c r="N1283" s="19">
        <f>IF(I1283="","",IFERROR(INDEX(ctaMon,MATCH(E1283,ctaNom,0))&amp;"","DOP"))</f>
        <v/>
      </c>
      <c r="O1283" s="20">
        <f>IF(I1283="","",C1283*IF(N1283="USD",TasaUSD,1))</f>
        <v/>
      </c>
      <c r="P1283" s="20">
        <f>IF(I1283="","",IF(I1283="Gasto",O1283,0))</f>
        <v/>
      </c>
      <c r="Q1283" s="20">
        <f>IF(I1283="","",IF(I1283="Ingreso",O1283,0))</f>
        <v/>
      </c>
      <c r="R1283" s="20">
        <f>IF(I1283="","",IF(I1283="Trading",O1283,0))</f>
        <v/>
      </c>
      <c r="S1283" s="19">
        <f>IF(I1283="","",IF(AND(I1283="Gasto",K1283="Variable",J1283&lt;&gt;"Trading",O1283&gt;0,O1283&lt;=Umbral),1,0))</f>
        <v/>
      </c>
      <c r="T1283" s="20">
        <f>IF(OR(I1283="",E1283=""),"",IF(OR(I1283="Gasto",I1283="Transferencia",I1283="Pago tarjeta"),-1,1)*C1283)</f>
        <v/>
      </c>
      <c r="U1283" s="20">
        <f>IF(OR(G1283="",AND(I1283&lt;&gt;"Transferencia",I1283&lt;&gt;"Pago tarjeta")),"",IF(IFERROR(INDEX(ctaMon,MATCH(G1283,ctaNom,0))&amp;"","DOP")=N1283,C1283,IF(N1283="USD",C1283*TasaUSD,C1283/TasaUSD)))</f>
        <v/>
      </c>
      <c r="V1283" s="20">
        <f>IF(I1283="","",IF(IFERROR(INDEX(ctaLiq,MATCH(E1283,ctaNom,0))="Sí",FALSE),IF(OR(I1283="Gasto",I1283="Transferencia",I1283="Pago tarjeta"),-1,1)*O1283,0)+IF(AND(U1283&lt;&gt;"",IFERROR(INDEX(ctaLiq,MATCH(G1283,ctaNom,0))="Sí",FALSE)),O1283,0))</f>
        <v/>
      </c>
      <c r="W1283" s="19">
        <f>IF(OR(F1283="",I1283=""),"",IF(COUNTIFS(F$6:F1283,F1283,I$6:I1283,"?*")=1,MAX(W$5:W1282)+1,""))</f>
        <v/>
      </c>
    </row>
    <row r="1284">
      <c r="B1284" s="15" t="n"/>
      <c r="C1284" s="16" t="n"/>
      <c r="D1284" s="17" t="n"/>
      <c r="E1284" s="17" t="n"/>
      <c r="F1284" s="17" t="n"/>
      <c r="G1284" s="17" t="n"/>
      <c r="H1284" s="18">
        <f>IF(AND(B1284="",C1284="",D1284="",E1284=""),"",IF(B1284="","⚠ Falta fecha",IF(C1284="","⚠ Falta monto",IF(D1284="","⚠ Falta categoría",IF(ISNA(MATCH(D1284,catNom,0)),"⚠ Categoría no existe",IF(E1284="","⚠ Falta cuenta",IF(ISNA(MATCH(E1284,ctaNom,0)),"⚠ Cuenta no existe",IF(AND(OR(I1284="Transferencia",I1284="Pago tarjeta"),G1284=""),"⚠ Indica la cuenta «Hacia»",IF(AND(G1284&lt;&gt;"",G1284=E1284),"⚠ «Hacia» igual a la cuenta",IF(AND(G1284&lt;&gt;"",ISNA(MATCH(G1284,ctaNom,0))),"⚠ «Hacia» no existe",IF(AND(I1284="Pago tarjeta",IFERROR(INDEX(ctaTipo,MATCH(G1284,ctaNom,0)),"")&lt;&gt;"Tarjeta de crédito"),"⚠ «Hacia» debe ser la tarjeta",IF(AND(I1284="Trading",IFERROR(INDEX(ctaTipo,MATCH(E1284,ctaNom,0)),"")&lt;&gt;"Cuenta de trading"),"⚠ Usa la cuenta de trading","✓"))))))))))))</f>
        <v/>
      </c>
      <c r="I1284" s="19">
        <f>IF(OR(B1284="",C1284="",D1284=""),"",IFERROR(INDEX(catTipo,MATCH(D1284,catNom,0))&amp;"",""))</f>
        <v/>
      </c>
      <c r="J1284" s="19">
        <f>IF(I1284="","",IFERROR(INDEX(catGrupo,MATCH(D1284,catNom,0))&amp;"",""))</f>
        <v/>
      </c>
      <c r="K1284" s="19">
        <f>IF(I1284="Gasto",IF(IFERROR(INDEX(catClas,MATCH(D1284,catNom,0))&amp;"","")="","Variable",IFERROR(INDEX(catClas,MATCH(D1284,catNom,0))&amp;"","")),"")</f>
        <v/>
      </c>
      <c r="L1284" s="19">
        <f>IF(I1284="","",IFERROR(INDEX(catAlim,MATCH(D1284,catNom,0))&amp;"",""))</f>
        <v/>
      </c>
      <c r="M1284" s="19">
        <f>IF(I1284="","",IFERROR(INDEX(catComida,MATCH(D1284,catNom,0))&amp;"",""))</f>
        <v/>
      </c>
      <c r="N1284" s="19">
        <f>IF(I1284="","",IFERROR(INDEX(ctaMon,MATCH(E1284,ctaNom,0))&amp;"","DOP"))</f>
        <v/>
      </c>
      <c r="O1284" s="20">
        <f>IF(I1284="","",C1284*IF(N1284="USD",TasaUSD,1))</f>
        <v/>
      </c>
      <c r="P1284" s="20">
        <f>IF(I1284="","",IF(I1284="Gasto",O1284,0))</f>
        <v/>
      </c>
      <c r="Q1284" s="20">
        <f>IF(I1284="","",IF(I1284="Ingreso",O1284,0))</f>
        <v/>
      </c>
      <c r="R1284" s="20">
        <f>IF(I1284="","",IF(I1284="Trading",O1284,0))</f>
        <v/>
      </c>
      <c r="S1284" s="19">
        <f>IF(I1284="","",IF(AND(I1284="Gasto",K1284="Variable",J1284&lt;&gt;"Trading",O1284&gt;0,O1284&lt;=Umbral),1,0))</f>
        <v/>
      </c>
      <c r="T1284" s="20">
        <f>IF(OR(I1284="",E1284=""),"",IF(OR(I1284="Gasto",I1284="Transferencia",I1284="Pago tarjeta"),-1,1)*C1284)</f>
        <v/>
      </c>
      <c r="U1284" s="20">
        <f>IF(OR(G1284="",AND(I1284&lt;&gt;"Transferencia",I1284&lt;&gt;"Pago tarjeta")),"",IF(IFERROR(INDEX(ctaMon,MATCH(G1284,ctaNom,0))&amp;"","DOP")=N1284,C1284,IF(N1284="USD",C1284*TasaUSD,C1284/TasaUSD)))</f>
        <v/>
      </c>
      <c r="V1284" s="20">
        <f>IF(I1284="","",IF(IFERROR(INDEX(ctaLiq,MATCH(E1284,ctaNom,0))="Sí",FALSE),IF(OR(I1284="Gasto",I1284="Transferencia",I1284="Pago tarjeta"),-1,1)*O1284,0)+IF(AND(U1284&lt;&gt;"",IFERROR(INDEX(ctaLiq,MATCH(G1284,ctaNom,0))="Sí",FALSE)),O1284,0))</f>
        <v/>
      </c>
      <c r="W1284" s="19">
        <f>IF(OR(F1284="",I1284=""),"",IF(COUNTIFS(F$6:F1284,F1284,I$6:I1284,"?*")=1,MAX(W$5:W1283)+1,""))</f>
        <v/>
      </c>
    </row>
    <row r="1285">
      <c r="B1285" s="15" t="n"/>
      <c r="C1285" s="16" t="n"/>
      <c r="D1285" s="17" t="n"/>
      <c r="E1285" s="17" t="n"/>
      <c r="F1285" s="17" t="n"/>
      <c r="G1285" s="17" t="n"/>
      <c r="H1285" s="18">
        <f>IF(AND(B1285="",C1285="",D1285="",E1285=""),"",IF(B1285="","⚠ Falta fecha",IF(C1285="","⚠ Falta monto",IF(D1285="","⚠ Falta categoría",IF(ISNA(MATCH(D1285,catNom,0)),"⚠ Categoría no existe",IF(E1285="","⚠ Falta cuenta",IF(ISNA(MATCH(E1285,ctaNom,0)),"⚠ Cuenta no existe",IF(AND(OR(I1285="Transferencia",I1285="Pago tarjeta"),G1285=""),"⚠ Indica la cuenta «Hacia»",IF(AND(G1285&lt;&gt;"",G1285=E1285),"⚠ «Hacia» igual a la cuenta",IF(AND(G1285&lt;&gt;"",ISNA(MATCH(G1285,ctaNom,0))),"⚠ «Hacia» no existe",IF(AND(I1285="Pago tarjeta",IFERROR(INDEX(ctaTipo,MATCH(G1285,ctaNom,0)),"")&lt;&gt;"Tarjeta de crédito"),"⚠ «Hacia» debe ser la tarjeta",IF(AND(I1285="Trading",IFERROR(INDEX(ctaTipo,MATCH(E1285,ctaNom,0)),"")&lt;&gt;"Cuenta de trading"),"⚠ Usa la cuenta de trading","✓"))))))))))))</f>
        <v/>
      </c>
      <c r="I1285" s="19">
        <f>IF(OR(B1285="",C1285="",D1285=""),"",IFERROR(INDEX(catTipo,MATCH(D1285,catNom,0))&amp;"",""))</f>
        <v/>
      </c>
      <c r="J1285" s="19">
        <f>IF(I1285="","",IFERROR(INDEX(catGrupo,MATCH(D1285,catNom,0))&amp;"",""))</f>
        <v/>
      </c>
      <c r="K1285" s="19">
        <f>IF(I1285="Gasto",IF(IFERROR(INDEX(catClas,MATCH(D1285,catNom,0))&amp;"","")="","Variable",IFERROR(INDEX(catClas,MATCH(D1285,catNom,0))&amp;"","")),"")</f>
        <v/>
      </c>
      <c r="L1285" s="19">
        <f>IF(I1285="","",IFERROR(INDEX(catAlim,MATCH(D1285,catNom,0))&amp;"",""))</f>
        <v/>
      </c>
      <c r="M1285" s="19">
        <f>IF(I1285="","",IFERROR(INDEX(catComida,MATCH(D1285,catNom,0))&amp;"",""))</f>
        <v/>
      </c>
      <c r="N1285" s="19">
        <f>IF(I1285="","",IFERROR(INDEX(ctaMon,MATCH(E1285,ctaNom,0))&amp;"","DOP"))</f>
        <v/>
      </c>
      <c r="O1285" s="20">
        <f>IF(I1285="","",C1285*IF(N1285="USD",TasaUSD,1))</f>
        <v/>
      </c>
      <c r="P1285" s="20">
        <f>IF(I1285="","",IF(I1285="Gasto",O1285,0))</f>
        <v/>
      </c>
      <c r="Q1285" s="20">
        <f>IF(I1285="","",IF(I1285="Ingreso",O1285,0))</f>
        <v/>
      </c>
      <c r="R1285" s="20">
        <f>IF(I1285="","",IF(I1285="Trading",O1285,0))</f>
        <v/>
      </c>
      <c r="S1285" s="19">
        <f>IF(I1285="","",IF(AND(I1285="Gasto",K1285="Variable",J1285&lt;&gt;"Trading",O1285&gt;0,O1285&lt;=Umbral),1,0))</f>
        <v/>
      </c>
      <c r="T1285" s="20">
        <f>IF(OR(I1285="",E1285=""),"",IF(OR(I1285="Gasto",I1285="Transferencia",I1285="Pago tarjeta"),-1,1)*C1285)</f>
        <v/>
      </c>
      <c r="U1285" s="20">
        <f>IF(OR(G1285="",AND(I1285&lt;&gt;"Transferencia",I1285&lt;&gt;"Pago tarjeta")),"",IF(IFERROR(INDEX(ctaMon,MATCH(G1285,ctaNom,0))&amp;"","DOP")=N1285,C1285,IF(N1285="USD",C1285*TasaUSD,C1285/TasaUSD)))</f>
        <v/>
      </c>
      <c r="V1285" s="20">
        <f>IF(I1285="","",IF(IFERROR(INDEX(ctaLiq,MATCH(E1285,ctaNom,0))="Sí",FALSE),IF(OR(I1285="Gasto",I1285="Transferencia",I1285="Pago tarjeta"),-1,1)*O1285,0)+IF(AND(U1285&lt;&gt;"",IFERROR(INDEX(ctaLiq,MATCH(G1285,ctaNom,0))="Sí",FALSE)),O1285,0))</f>
        <v/>
      </c>
      <c r="W1285" s="19">
        <f>IF(OR(F1285="",I1285=""),"",IF(COUNTIFS(F$6:F1285,F1285,I$6:I1285,"?*")=1,MAX(W$5:W1284)+1,""))</f>
        <v/>
      </c>
    </row>
    <row r="1286">
      <c r="B1286" s="15" t="n"/>
      <c r="C1286" s="16" t="n"/>
      <c r="D1286" s="17" t="n"/>
      <c r="E1286" s="17" t="n"/>
      <c r="F1286" s="17" t="n"/>
      <c r="G1286" s="17" t="n"/>
      <c r="H1286" s="18">
        <f>IF(AND(B1286="",C1286="",D1286="",E1286=""),"",IF(B1286="","⚠ Falta fecha",IF(C1286="","⚠ Falta monto",IF(D1286="","⚠ Falta categoría",IF(ISNA(MATCH(D1286,catNom,0)),"⚠ Categoría no existe",IF(E1286="","⚠ Falta cuenta",IF(ISNA(MATCH(E1286,ctaNom,0)),"⚠ Cuenta no existe",IF(AND(OR(I1286="Transferencia",I1286="Pago tarjeta"),G1286=""),"⚠ Indica la cuenta «Hacia»",IF(AND(G1286&lt;&gt;"",G1286=E1286),"⚠ «Hacia» igual a la cuenta",IF(AND(G1286&lt;&gt;"",ISNA(MATCH(G1286,ctaNom,0))),"⚠ «Hacia» no existe",IF(AND(I1286="Pago tarjeta",IFERROR(INDEX(ctaTipo,MATCH(G1286,ctaNom,0)),"")&lt;&gt;"Tarjeta de crédito"),"⚠ «Hacia» debe ser la tarjeta",IF(AND(I1286="Trading",IFERROR(INDEX(ctaTipo,MATCH(E1286,ctaNom,0)),"")&lt;&gt;"Cuenta de trading"),"⚠ Usa la cuenta de trading","✓"))))))))))))</f>
        <v/>
      </c>
      <c r="I1286" s="19">
        <f>IF(OR(B1286="",C1286="",D1286=""),"",IFERROR(INDEX(catTipo,MATCH(D1286,catNom,0))&amp;"",""))</f>
        <v/>
      </c>
      <c r="J1286" s="19">
        <f>IF(I1286="","",IFERROR(INDEX(catGrupo,MATCH(D1286,catNom,0))&amp;"",""))</f>
        <v/>
      </c>
      <c r="K1286" s="19">
        <f>IF(I1286="Gasto",IF(IFERROR(INDEX(catClas,MATCH(D1286,catNom,0))&amp;"","")="","Variable",IFERROR(INDEX(catClas,MATCH(D1286,catNom,0))&amp;"","")),"")</f>
        <v/>
      </c>
      <c r="L1286" s="19">
        <f>IF(I1286="","",IFERROR(INDEX(catAlim,MATCH(D1286,catNom,0))&amp;"",""))</f>
        <v/>
      </c>
      <c r="M1286" s="19">
        <f>IF(I1286="","",IFERROR(INDEX(catComida,MATCH(D1286,catNom,0))&amp;"",""))</f>
        <v/>
      </c>
      <c r="N1286" s="19">
        <f>IF(I1286="","",IFERROR(INDEX(ctaMon,MATCH(E1286,ctaNom,0))&amp;"","DOP"))</f>
        <v/>
      </c>
      <c r="O1286" s="20">
        <f>IF(I1286="","",C1286*IF(N1286="USD",TasaUSD,1))</f>
        <v/>
      </c>
      <c r="P1286" s="20">
        <f>IF(I1286="","",IF(I1286="Gasto",O1286,0))</f>
        <v/>
      </c>
      <c r="Q1286" s="20">
        <f>IF(I1286="","",IF(I1286="Ingreso",O1286,0))</f>
        <v/>
      </c>
      <c r="R1286" s="20">
        <f>IF(I1286="","",IF(I1286="Trading",O1286,0))</f>
        <v/>
      </c>
      <c r="S1286" s="19">
        <f>IF(I1286="","",IF(AND(I1286="Gasto",K1286="Variable",J1286&lt;&gt;"Trading",O1286&gt;0,O1286&lt;=Umbral),1,0))</f>
        <v/>
      </c>
      <c r="T1286" s="20">
        <f>IF(OR(I1286="",E1286=""),"",IF(OR(I1286="Gasto",I1286="Transferencia",I1286="Pago tarjeta"),-1,1)*C1286)</f>
        <v/>
      </c>
      <c r="U1286" s="20">
        <f>IF(OR(G1286="",AND(I1286&lt;&gt;"Transferencia",I1286&lt;&gt;"Pago tarjeta")),"",IF(IFERROR(INDEX(ctaMon,MATCH(G1286,ctaNom,0))&amp;"","DOP")=N1286,C1286,IF(N1286="USD",C1286*TasaUSD,C1286/TasaUSD)))</f>
        <v/>
      </c>
      <c r="V1286" s="20">
        <f>IF(I1286="","",IF(IFERROR(INDEX(ctaLiq,MATCH(E1286,ctaNom,0))="Sí",FALSE),IF(OR(I1286="Gasto",I1286="Transferencia",I1286="Pago tarjeta"),-1,1)*O1286,0)+IF(AND(U1286&lt;&gt;"",IFERROR(INDEX(ctaLiq,MATCH(G1286,ctaNom,0))="Sí",FALSE)),O1286,0))</f>
        <v/>
      </c>
      <c r="W1286" s="19">
        <f>IF(OR(F1286="",I1286=""),"",IF(COUNTIFS(F$6:F1286,F1286,I$6:I1286,"?*")=1,MAX(W$5:W1285)+1,""))</f>
        <v/>
      </c>
    </row>
    <row r="1287">
      <c r="B1287" s="15" t="n"/>
      <c r="C1287" s="16" t="n"/>
      <c r="D1287" s="17" t="n"/>
      <c r="E1287" s="17" t="n"/>
      <c r="F1287" s="17" t="n"/>
      <c r="G1287" s="17" t="n"/>
      <c r="H1287" s="18">
        <f>IF(AND(B1287="",C1287="",D1287="",E1287=""),"",IF(B1287="","⚠ Falta fecha",IF(C1287="","⚠ Falta monto",IF(D1287="","⚠ Falta categoría",IF(ISNA(MATCH(D1287,catNom,0)),"⚠ Categoría no existe",IF(E1287="","⚠ Falta cuenta",IF(ISNA(MATCH(E1287,ctaNom,0)),"⚠ Cuenta no existe",IF(AND(OR(I1287="Transferencia",I1287="Pago tarjeta"),G1287=""),"⚠ Indica la cuenta «Hacia»",IF(AND(G1287&lt;&gt;"",G1287=E1287),"⚠ «Hacia» igual a la cuenta",IF(AND(G1287&lt;&gt;"",ISNA(MATCH(G1287,ctaNom,0))),"⚠ «Hacia» no existe",IF(AND(I1287="Pago tarjeta",IFERROR(INDEX(ctaTipo,MATCH(G1287,ctaNom,0)),"")&lt;&gt;"Tarjeta de crédito"),"⚠ «Hacia» debe ser la tarjeta",IF(AND(I1287="Trading",IFERROR(INDEX(ctaTipo,MATCH(E1287,ctaNom,0)),"")&lt;&gt;"Cuenta de trading"),"⚠ Usa la cuenta de trading","✓"))))))))))))</f>
        <v/>
      </c>
      <c r="I1287" s="19">
        <f>IF(OR(B1287="",C1287="",D1287=""),"",IFERROR(INDEX(catTipo,MATCH(D1287,catNom,0))&amp;"",""))</f>
        <v/>
      </c>
      <c r="J1287" s="19">
        <f>IF(I1287="","",IFERROR(INDEX(catGrupo,MATCH(D1287,catNom,0))&amp;"",""))</f>
        <v/>
      </c>
      <c r="K1287" s="19">
        <f>IF(I1287="Gasto",IF(IFERROR(INDEX(catClas,MATCH(D1287,catNom,0))&amp;"","")="","Variable",IFERROR(INDEX(catClas,MATCH(D1287,catNom,0))&amp;"","")),"")</f>
        <v/>
      </c>
      <c r="L1287" s="19">
        <f>IF(I1287="","",IFERROR(INDEX(catAlim,MATCH(D1287,catNom,0))&amp;"",""))</f>
        <v/>
      </c>
      <c r="M1287" s="19">
        <f>IF(I1287="","",IFERROR(INDEX(catComida,MATCH(D1287,catNom,0))&amp;"",""))</f>
        <v/>
      </c>
      <c r="N1287" s="19">
        <f>IF(I1287="","",IFERROR(INDEX(ctaMon,MATCH(E1287,ctaNom,0))&amp;"","DOP"))</f>
        <v/>
      </c>
      <c r="O1287" s="20">
        <f>IF(I1287="","",C1287*IF(N1287="USD",TasaUSD,1))</f>
        <v/>
      </c>
      <c r="P1287" s="20">
        <f>IF(I1287="","",IF(I1287="Gasto",O1287,0))</f>
        <v/>
      </c>
      <c r="Q1287" s="20">
        <f>IF(I1287="","",IF(I1287="Ingreso",O1287,0))</f>
        <v/>
      </c>
      <c r="R1287" s="20">
        <f>IF(I1287="","",IF(I1287="Trading",O1287,0))</f>
        <v/>
      </c>
      <c r="S1287" s="19">
        <f>IF(I1287="","",IF(AND(I1287="Gasto",K1287="Variable",J1287&lt;&gt;"Trading",O1287&gt;0,O1287&lt;=Umbral),1,0))</f>
        <v/>
      </c>
      <c r="T1287" s="20">
        <f>IF(OR(I1287="",E1287=""),"",IF(OR(I1287="Gasto",I1287="Transferencia",I1287="Pago tarjeta"),-1,1)*C1287)</f>
        <v/>
      </c>
      <c r="U1287" s="20">
        <f>IF(OR(G1287="",AND(I1287&lt;&gt;"Transferencia",I1287&lt;&gt;"Pago tarjeta")),"",IF(IFERROR(INDEX(ctaMon,MATCH(G1287,ctaNom,0))&amp;"","DOP")=N1287,C1287,IF(N1287="USD",C1287*TasaUSD,C1287/TasaUSD)))</f>
        <v/>
      </c>
      <c r="V1287" s="20">
        <f>IF(I1287="","",IF(IFERROR(INDEX(ctaLiq,MATCH(E1287,ctaNom,0))="Sí",FALSE),IF(OR(I1287="Gasto",I1287="Transferencia",I1287="Pago tarjeta"),-1,1)*O1287,0)+IF(AND(U1287&lt;&gt;"",IFERROR(INDEX(ctaLiq,MATCH(G1287,ctaNom,0))="Sí",FALSE)),O1287,0))</f>
        <v/>
      </c>
      <c r="W1287" s="19">
        <f>IF(OR(F1287="",I1287=""),"",IF(COUNTIFS(F$6:F1287,F1287,I$6:I1287,"?*")=1,MAX(W$5:W1286)+1,""))</f>
        <v/>
      </c>
    </row>
    <row r="1288">
      <c r="B1288" s="15" t="n"/>
      <c r="C1288" s="16" t="n"/>
      <c r="D1288" s="17" t="n"/>
      <c r="E1288" s="17" t="n"/>
      <c r="F1288" s="17" t="n"/>
      <c r="G1288" s="17" t="n"/>
      <c r="H1288" s="18">
        <f>IF(AND(B1288="",C1288="",D1288="",E1288=""),"",IF(B1288="","⚠ Falta fecha",IF(C1288="","⚠ Falta monto",IF(D1288="","⚠ Falta categoría",IF(ISNA(MATCH(D1288,catNom,0)),"⚠ Categoría no existe",IF(E1288="","⚠ Falta cuenta",IF(ISNA(MATCH(E1288,ctaNom,0)),"⚠ Cuenta no existe",IF(AND(OR(I1288="Transferencia",I1288="Pago tarjeta"),G1288=""),"⚠ Indica la cuenta «Hacia»",IF(AND(G1288&lt;&gt;"",G1288=E1288),"⚠ «Hacia» igual a la cuenta",IF(AND(G1288&lt;&gt;"",ISNA(MATCH(G1288,ctaNom,0))),"⚠ «Hacia» no existe",IF(AND(I1288="Pago tarjeta",IFERROR(INDEX(ctaTipo,MATCH(G1288,ctaNom,0)),"")&lt;&gt;"Tarjeta de crédito"),"⚠ «Hacia» debe ser la tarjeta",IF(AND(I1288="Trading",IFERROR(INDEX(ctaTipo,MATCH(E1288,ctaNom,0)),"")&lt;&gt;"Cuenta de trading"),"⚠ Usa la cuenta de trading","✓"))))))))))))</f>
        <v/>
      </c>
      <c r="I1288" s="19">
        <f>IF(OR(B1288="",C1288="",D1288=""),"",IFERROR(INDEX(catTipo,MATCH(D1288,catNom,0))&amp;"",""))</f>
        <v/>
      </c>
      <c r="J1288" s="19">
        <f>IF(I1288="","",IFERROR(INDEX(catGrupo,MATCH(D1288,catNom,0))&amp;"",""))</f>
        <v/>
      </c>
      <c r="K1288" s="19">
        <f>IF(I1288="Gasto",IF(IFERROR(INDEX(catClas,MATCH(D1288,catNom,0))&amp;"","")="","Variable",IFERROR(INDEX(catClas,MATCH(D1288,catNom,0))&amp;"","")),"")</f>
        <v/>
      </c>
      <c r="L1288" s="19">
        <f>IF(I1288="","",IFERROR(INDEX(catAlim,MATCH(D1288,catNom,0))&amp;"",""))</f>
        <v/>
      </c>
      <c r="M1288" s="19">
        <f>IF(I1288="","",IFERROR(INDEX(catComida,MATCH(D1288,catNom,0))&amp;"",""))</f>
        <v/>
      </c>
      <c r="N1288" s="19">
        <f>IF(I1288="","",IFERROR(INDEX(ctaMon,MATCH(E1288,ctaNom,0))&amp;"","DOP"))</f>
        <v/>
      </c>
      <c r="O1288" s="20">
        <f>IF(I1288="","",C1288*IF(N1288="USD",TasaUSD,1))</f>
        <v/>
      </c>
      <c r="P1288" s="20">
        <f>IF(I1288="","",IF(I1288="Gasto",O1288,0))</f>
        <v/>
      </c>
      <c r="Q1288" s="20">
        <f>IF(I1288="","",IF(I1288="Ingreso",O1288,0))</f>
        <v/>
      </c>
      <c r="R1288" s="20">
        <f>IF(I1288="","",IF(I1288="Trading",O1288,0))</f>
        <v/>
      </c>
      <c r="S1288" s="19">
        <f>IF(I1288="","",IF(AND(I1288="Gasto",K1288="Variable",J1288&lt;&gt;"Trading",O1288&gt;0,O1288&lt;=Umbral),1,0))</f>
        <v/>
      </c>
      <c r="T1288" s="20">
        <f>IF(OR(I1288="",E1288=""),"",IF(OR(I1288="Gasto",I1288="Transferencia",I1288="Pago tarjeta"),-1,1)*C1288)</f>
        <v/>
      </c>
      <c r="U1288" s="20">
        <f>IF(OR(G1288="",AND(I1288&lt;&gt;"Transferencia",I1288&lt;&gt;"Pago tarjeta")),"",IF(IFERROR(INDEX(ctaMon,MATCH(G1288,ctaNom,0))&amp;"","DOP")=N1288,C1288,IF(N1288="USD",C1288*TasaUSD,C1288/TasaUSD)))</f>
        <v/>
      </c>
      <c r="V1288" s="20">
        <f>IF(I1288="","",IF(IFERROR(INDEX(ctaLiq,MATCH(E1288,ctaNom,0))="Sí",FALSE),IF(OR(I1288="Gasto",I1288="Transferencia",I1288="Pago tarjeta"),-1,1)*O1288,0)+IF(AND(U1288&lt;&gt;"",IFERROR(INDEX(ctaLiq,MATCH(G1288,ctaNom,0))="Sí",FALSE)),O1288,0))</f>
        <v/>
      </c>
      <c r="W1288" s="19">
        <f>IF(OR(F1288="",I1288=""),"",IF(COUNTIFS(F$6:F1288,F1288,I$6:I1288,"?*")=1,MAX(W$5:W1287)+1,""))</f>
        <v/>
      </c>
    </row>
    <row r="1289">
      <c r="B1289" s="15" t="n"/>
      <c r="C1289" s="16" t="n"/>
      <c r="D1289" s="17" t="n"/>
      <c r="E1289" s="17" t="n"/>
      <c r="F1289" s="17" t="n"/>
      <c r="G1289" s="17" t="n"/>
      <c r="H1289" s="18">
        <f>IF(AND(B1289="",C1289="",D1289="",E1289=""),"",IF(B1289="","⚠ Falta fecha",IF(C1289="","⚠ Falta monto",IF(D1289="","⚠ Falta categoría",IF(ISNA(MATCH(D1289,catNom,0)),"⚠ Categoría no existe",IF(E1289="","⚠ Falta cuenta",IF(ISNA(MATCH(E1289,ctaNom,0)),"⚠ Cuenta no existe",IF(AND(OR(I1289="Transferencia",I1289="Pago tarjeta"),G1289=""),"⚠ Indica la cuenta «Hacia»",IF(AND(G1289&lt;&gt;"",G1289=E1289),"⚠ «Hacia» igual a la cuenta",IF(AND(G1289&lt;&gt;"",ISNA(MATCH(G1289,ctaNom,0))),"⚠ «Hacia» no existe",IF(AND(I1289="Pago tarjeta",IFERROR(INDEX(ctaTipo,MATCH(G1289,ctaNom,0)),"")&lt;&gt;"Tarjeta de crédito"),"⚠ «Hacia» debe ser la tarjeta",IF(AND(I1289="Trading",IFERROR(INDEX(ctaTipo,MATCH(E1289,ctaNom,0)),"")&lt;&gt;"Cuenta de trading"),"⚠ Usa la cuenta de trading","✓"))))))))))))</f>
        <v/>
      </c>
      <c r="I1289" s="19">
        <f>IF(OR(B1289="",C1289="",D1289=""),"",IFERROR(INDEX(catTipo,MATCH(D1289,catNom,0))&amp;"",""))</f>
        <v/>
      </c>
      <c r="J1289" s="19">
        <f>IF(I1289="","",IFERROR(INDEX(catGrupo,MATCH(D1289,catNom,0))&amp;"",""))</f>
        <v/>
      </c>
      <c r="K1289" s="19">
        <f>IF(I1289="Gasto",IF(IFERROR(INDEX(catClas,MATCH(D1289,catNom,0))&amp;"","")="","Variable",IFERROR(INDEX(catClas,MATCH(D1289,catNom,0))&amp;"","")),"")</f>
        <v/>
      </c>
      <c r="L1289" s="19">
        <f>IF(I1289="","",IFERROR(INDEX(catAlim,MATCH(D1289,catNom,0))&amp;"",""))</f>
        <v/>
      </c>
      <c r="M1289" s="19">
        <f>IF(I1289="","",IFERROR(INDEX(catComida,MATCH(D1289,catNom,0))&amp;"",""))</f>
        <v/>
      </c>
      <c r="N1289" s="19">
        <f>IF(I1289="","",IFERROR(INDEX(ctaMon,MATCH(E1289,ctaNom,0))&amp;"","DOP"))</f>
        <v/>
      </c>
      <c r="O1289" s="20">
        <f>IF(I1289="","",C1289*IF(N1289="USD",TasaUSD,1))</f>
        <v/>
      </c>
      <c r="P1289" s="20">
        <f>IF(I1289="","",IF(I1289="Gasto",O1289,0))</f>
        <v/>
      </c>
      <c r="Q1289" s="20">
        <f>IF(I1289="","",IF(I1289="Ingreso",O1289,0))</f>
        <v/>
      </c>
      <c r="R1289" s="20">
        <f>IF(I1289="","",IF(I1289="Trading",O1289,0))</f>
        <v/>
      </c>
      <c r="S1289" s="19">
        <f>IF(I1289="","",IF(AND(I1289="Gasto",K1289="Variable",J1289&lt;&gt;"Trading",O1289&gt;0,O1289&lt;=Umbral),1,0))</f>
        <v/>
      </c>
      <c r="T1289" s="20">
        <f>IF(OR(I1289="",E1289=""),"",IF(OR(I1289="Gasto",I1289="Transferencia",I1289="Pago tarjeta"),-1,1)*C1289)</f>
        <v/>
      </c>
      <c r="U1289" s="20">
        <f>IF(OR(G1289="",AND(I1289&lt;&gt;"Transferencia",I1289&lt;&gt;"Pago tarjeta")),"",IF(IFERROR(INDEX(ctaMon,MATCH(G1289,ctaNom,0))&amp;"","DOP")=N1289,C1289,IF(N1289="USD",C1289*TasaUSD,C1289/TasaUSD)))</f>
        <v/>
      </c>
      <c r="V1289" s="20">
        <f>IF(I1289="","",IF(IFERROR(INDEX(ctaLiq,MATCH(E1289,ctaNom,0))="Sí",FALSE),IF(OR(I1289="Gasto",I1289="Transferencia",I1289="Pago tarjeta"),-1,1)*O1289,0)+IF(AND(U1289&lt;&gt;"",IFERROR(INDEX(ctaLiq,MATCH(G1289,ctaNom,0))="Sí",FALSE)),O1289,0))</f>
        <v/>
      </c>
      <c r="W1289" s="19">
        <f>IF(OR(F1289="",I1289=""),"",IF(COUNTIFS(F$6:F1289,F1289,I$6:I1289,"?*")=1,MAX(W$5:W1288)+1,""))</f>
        <v/>
      </c>
    </row>
    <row r="1290">
      <c r="B1290" s="15" t="n"/>
      <c r="C1290" s="16" t="n"/>
      <c r="D1290" s="17" t="n"/>
      <c r="E1290" s="17" t="n"/>
      <c r="F1290" s="17" t="n"/>
      <c r="G1290" s="17" t="n"/>
      <c r="H1290" s="18">
        <f>IF(AND(B1290="",C1290="",D1290="",E1290=""),"",IF(B1290="","⚠ Falta fecha",IF(C1290="","⚠ Falta monto",IF(D1290="","⚠ Falta categoría",IF(ISNA(MATCH(D1290,catNom,0)),"⚠ Categoría no existe",IF(E1290="","⚠ Falta cuenta",IF(ISNA(MATCH(E1290,ctaNom,0)),"⚠ Cuenta no existe",IF(AND(OR(I1290="Transferencia",I1290="Pago tarjeta"),G1290=""),"⚠ Indica la cuenta «Hacia»",IF(AND(G1290&lt;&gt;"",G1290=E1290),"⚠ «Hacia» igual a la cuenta",IF(AND(G1290&lt;&gt;"",ISNA(MATCH(G1290,ctaNom,0))),"⚠ «Hacia» no existe",IF(AND(I1290="Pago tarjeta",IFERROR(INDEX(ctaTipo,MATCH(G1290,ctaNom,0)),"")&lt;&gt;"Tarjeta de crédito"),"⚠ «Hacia» debe ser la tarjeta",IF(AND(I1290="Trading",IFERROR(INDEX(ctaTipo,MATCH(E1290,ctaNom,0)),"")&lt;&gt;"Cuenta de trading"),"⚠ Usa la cuenta de trading","✓"))))))))))))</f>
        <v/>
      </c>
      <c r="I1290" s="19">
        <f>IF(OR(B1290="",C1290="",D1290=""),"",IFERROR(INDEX(catTipo,MATCH(D1290,catNom,0))&amp;"",""))</f>
        <v/>
      </c>
      <c r="J1290" s="19">
        <f>IF(I1290="","",IFERROR(INDEX(catGrupo,MATCH(D1290,catNom,0))&amp;"",""))</f>
        <v/>
      </c>
      <c r="K1290" s="19">
        <f>IF(I1290="Gasto",IF(IFERROR(INDEX(catClas,MATCH(D1290,catNom,0))&amp;"","")="","Variable",IFERROR(INDEX(catClas,MATCH(D1290,catNom,0))&amp;"","")),"")</f>
        <v/>
      </c>
      <c r="L1290" s="19">
        <f>IF(I1290="","",IFERROR(INDEX(catAlim,MATCH(D1290,catNom,0))&amp;"",""))</f>
        <v/>
      </c>
      <c r="M1290" s="19">
        <f>IF(I1290="","",IFERROR(INDEX(catComida,MATCH(D1290,catNom,0))&amp;"",""))</f>
        <v/>
      </c>
      <c r="N1290" s="19">
        <f>IF(I1290="","",IFERROR(INDEX(ctaMon,MATCH(E1290,ctaNom,0))&amp;"","DOP"))</f>
        <v/>
      </c>
      <c r="O1290" s="20">
        <f>IF(I1290="","",C1290*IF(N1290="USD",TasaUSD,1))</f>
        <v/>
      </c>
      <c r="P1290" s="20">
        <f>IF(I1290="","",IF(I1290="Gasto",O1290,0))</f>
        <v/>
      </c>
      <c r="Q1290" s="20">
        <f>IF(I1290="","",IF(I1290="Ingreso",O1290,0))</f>
        <v/>
      </c>
      <c r="R1290" s="20">
        <f>IF(I1290="","",IF(I1290="Trading",O1290,0))</f>
        <v/>
      </c>
      <c r="S1290" s="19">
        <f>IF(I1290="","",IF(AND(I1290="Gasto",K1290="Variable",J1290&lt;&gt;"Trading",O1290&gt;0,O1290&lt;=Umbral),1,0))</f>
        <v/>
      </c>
      <c r="T1290" s="20">
        <f>IF(OR(I1290="",E1290=""),"",IF(OR(I1290="Gasto",I1290="Transferencia",I1290="Pago tarjeta"),-1,1)*C1290)</f>
        <v/>
      </c>
      <c r="U1290" s="20">
        <f>IF(OR(G1290="",AND(I1290&lt;&gt;"Transferencia",I1290&lt;&gt;"Pago tarjeta")),"",IF(IFERROR(INDEX(ctaMon,MATCH(G1290,ctaNom,0))&amp;"","DOP")=N1290,C1290,IF(N1290="USD",C1290*TasaUSD,C1290/TasaUSD)))</f>
        <v/>
      </c>
      <c r="V1290" s="20">
        <f>IF(I1290="","",IF(IFERROR(INDEX(ctaLiq,MATCH(E1290,ctaNom,0))="Sí",FALSE),IF(OR(I1290="Gasto",I1290="Transferencia",I1290="Pago tarjeta"),-1,1)*O1290,0)+IF(AND(U1290&lt;&gt;"",IFERROR(INDEX(ctaLiq,MATCH(G1290,ctaNom,0))="Sí",FALSE)),O1290,0))</f>
        <v/>
      </c>
      <c r="W1290" s="19">
        <f>IF(OR(F1290="",I1290=""),"",IF(COUNTIFS(F$6:F1290,F1290,I$6:I1290,"?*")=1,MAX(W$5:W1289)+1,""))</f>
        <v/>
      </c>
    </row>
    <row r="1291">
      <c r="B1291" s="15" t="n"/>
      <c r="C1291" s="16" t="n"/>
      <c r="D1291" s="17" t="n"/>
      <c r="E1291" s="17" t="n"/>
      <c r="F1291" s="17" t="n"/>
      <c r="G1291" s="17" t="n"/>
      <c r="H1291" s="18">
        <f>IF(AND(B1291="",C1291="",D1291="",E1291=""),"",IF(B1291="","⚠ Falta fecha",IF(C1291="","⚠ Falta monto",IF(D1291="","⚠ Falta categoría",IF(ISNA(MATCH(D1291,catNom,0)),"⚠ Categoría no existe",IF(E1291="","⚠ Falta cuenta",IF(ISNA(MATCH(E1291,ctaNom,0)),"⚠ Cuenta no existe",IF(AND(OR(I1291="Transferencia",I1291="Pago tarjeta"),G1291=""),"⚠ Indica la cuenta «Hacia»",IF(AND(G1291&lt;&gt;"",G1291=E1291),"⚠ «Hacia» igual a la cuenta",IF(AND(G1291&lt;&gt;"",ISNA(MATCH(G1291,ctaNom,0))),"⚠ «Hacia» no existe",IF(AND(I1291="Pago tarjeta",IFERROR(INDEX(ctaTipo,MATCH(G1291,ctaNom,0)),"")&lt;&gt;"Tarjeta de crédito"),"⚠ «Hacia» debe ser la tarjeta",IF(AND(I1291="Trading",IFERROR(INDEX(ctaTipo,MATCH(E1291,ctaNom,0)),"")&lt;&gt;"Cuenta de trading"),"⚠ Usa la cuenta de trading","✓"))))))))))))</f>
        <v/>
      </c>
      <c r="I1291" s="19">
        <f>IF(OR(B1291="",C1291="",D1291=""),"",IFERROR(INDEX(catTipo,MATCH(D1291,catNom,0))&amp;"",""))</f>
        <v/>
      </c>
      <c r="J1291" s="19">
        <f>IF(I1291="","",IFERROR(INDEX(catGrupo,MATCH(D1291,catNom,0))&amp;"",""))</f>
        <v/>
      </c>
      <c r="K1291" s="19">
        <f>IF(I1291="Gasto",IF(IFERROR(INDEX(catClas,MATCH(D1291,catNom,0))&amp;"","")="","Variable",IFERROR(INDEX(catClas,MATCH(D1291,catNom,0))&amp;"","")),"")</f>
        <v/>
      </c>
      <c r="L1291" s="19">
        <f>IF(I1291="","",IFERROR(INDEX(catAlim,MATCH(D1291,catNom,0))&amp;"",""))</f>
        <v/>
      </c>
      <c r="M1291" s="19">
        <f>IF(I1291="","",IFERROR(INDEX(catComida,MATCH(D1291,catNom,0))&amp;"",""))</f>
        <v/>
      </c>
      <c r="N1291" s="19">
        <f>IF(I1291="","",IFERROR(INDEX(ctaMon,MATCH(E1291,ctaNom,0))&amp;"","DOP"))</f>
        <v/>
      </c>
      <c r="O1291" s="20">
        <f>IF(I1291="","",C1291*IF(N1291="USD",TasaUSD,1))</f>
        <v/>
      </c>
      <c r="P1291" s="20">
        <f>IF(I1291="","",IF(I1291="Gasto",O1291,0))</f>
        <v/>
      </c>
      <c r="Q1291" s="20">
        <f>IF(I1291="","",IF(I1291="Ingreso",O1291,0))</f>
        <v/>
      </c>
      <c r="R1291" s="20">
        <f>IF(I1291="","",IF(I1291="Trading",O1291,0))</f>
        <v/>
      </c>
      <c r="S1291" s="19">
        <f>IF(I1291="","",IF(AND(I1291="Gasto",K1291="Variable",J1291&lt;&gt;"Trading",O1291&gt;0,O1291&lt;=Umbral),1,0))</f>
        <v/>
      </c>
      <c r="T1291" s="20">
        <f>IF(OR(I1291="",E1291=""),"",IF(OR(I1291="Gasto",I1291="Transferencia",I1291="Pago tarjeta"),-1,1)*C1291)</f>
        <v/>
      </c>
      <c r="U1291" s="20">
        <f>IF(OR(G1291="",AND(I1291&lt;&gt;"Transferencia",I1291&lt;&gt;"Pago tarjeta")),"",IF(IFERROR(INDEX(ctaMon,MATCH(G1291,ctaNom,0))&amp;"","DOP")=N1291,C1291,IF(N1291="USD",C1291*TasaUSD,C1291/TasaUSD)))</f>
        <v/>
      </c>
      <c r="V1291" s="20">
        <f>IF(I1291="","",IF(IFERROR(INDEX(ctaLiq,MATCH(E1291,ctaNom,0))="Sí",FALSE),IF(OR(I1291="Gasto",I1291="Transferencia",I1291="Pago tarjeta"),-1,1)*O1291,0)+IF(AND(U1291&lt;&gt;"",IFERROR(INDEX(ctaLiq,MATCH(G1291,ctaNom,0))="Sí",FALSE)),O1291,0))</f>
        <v/>
      </c>
      <c r="W1291" s="19">
        <f>IF(OR(F1291="",I1291=""),"",IF(COUNTIFS(F$6:F1291,F1291,I$6:I1291,"?*")=1,MAX(W$5:W1290)+1,""))</f>
        <v/>
      </c>
    </row>
    <row r="1292">
      <c r="B1292" s="15" t="n"/>
      <c r="C1292" s="16" t="n"/>
      <c r="D1292" s="17" t="n"/>
      <c r="E1292" s="17" t="n"/>
      <c r="F1292" s="17" t="n"/>
      <c r="G1292" s="17" t="n"/>
      <c r="H1292" s="18">
        <f>IF(AND(B1292="",C1292="",D1292="",E1292=""),"",IF(B1292="","⚠ Falta fecha",IF(C1292="","⚠ Falta monto",IF(D1292="","⚠ Falta categoría",IF(ISNA(MATCH(D1292,catNom,0)),"⚠ Categoría no existe",IF(E1292="","⚠ Falta cuenta",IF(ISNA(MATCH(E1292,ctaNom,0)),"⚠ Cuenta no existe",IF(AND(OR(I1292="Transferencia",I1292="Pago tarjeta"),G1292=""),"⚠ Indica la cuenta «Hacia»",IF(AND(G1292&lt;&gt;"",G1292=E1292),"⚠ «Hacia» igual a la cuenta",IF(AND(G1292&lt;&gt;"",ISNA(MATCH(G1292,ctaNom,0))),"⚠ «Hacia» no existe",IF(AND(I1292="Pago tarjeta",IFERROR(INDEX(ctaTipo,MATCH(G1292,ctaNom,0)),"")&lt;&gt;"Tarjeta de crédito"),"⚠ «Hacia» debe ser la tarjeta",IF(AND(I1292="Trading",IFERROR(INDEX(ctaTipo,MATCH(E1292,ctaNom,0)),"")&lt;&gt;"Cuenta de trading"),"⚠ Usa la cuenta de trading","✓"))))))))))))</f>
        <v/>
      </c>
      <c r="I1292" s="19">
        <f>IF(OR(B1292="",C1292="",D1292=""),"",IFERROR(INDEX(catTipo,MATCH(D1292,catNom,0))&amp;"",""))</f>
        <v/>
      </c>
      <c r="J1292" s="19">
        <f>IF(I1292="","",IFERROR(INDEX(catGrupo,MATCH(D1292,catNom,0))&amp;"",""))</f>
        <v/>
      </c>
      <c r="K1292" s="19">
        <f>IF(I1292="Gasto",IF(IFERROR(INDEX(catClas,MATCH(D1292,catNom,0))&amp;"","")="","Variable",IFERROR(INDEX(catClas,MATCH(D1292,catNom,0))&amp;"","")),"")</f>
        <v/>
      </c>
      <c r="L1292" s="19">
        <f>IF(I1292="","",IFERROR(INDEX(catAlim,MATCH(D1292,catNom,0))&amp;"",""))</f>
        <v/>
      </c>
      <c r="M1292" s="19">
        <f>IF(I1292="","",IFERROR(INDEX(catComida,MATCH(D1292,catNom,0))&amp;"",""))</f>
        <v/>
      </c>
      <c r="N1292" s="19">
        <f>IF(I1292="","",IFERROR(INDEX(ctaMon,MATCH(E1292,ctaNom,0))&amp;"","DOP"))</f>
        <v/>
      </c>
      <c r="O1292" s="20">
        <f>IF(I1292="","",C1292*IF(N1292="USD",TasaUSD,1))</f>
        <v/>
      </c>
      <c r="P1292" s="20">
        <f>IF(I1292="","",IF(I1292="Gasto",O1292,0))</f>
        <v/>
      </c>
      <c r="Q1292" s="20">
        <f>IF(I1292="","",IF(I1292="Ingreso",O1292,0))</f>
        <v/>
      </c>
      <c r="R1292" s="20">
        <f>IF(I1292="","",IF(I1292="Trading",O1292,0))</f>
        <v/>
      </c>
      <c r="S1292" s="19">
        <f>IF(I1292="","",IF(AND(I1292="Gasto",K1292="Variable",J1292&lt;&gt;"Trading",O1292&gt;0,O1292&lt;=Umbral),1,0))</f>
        <v/>
      </c>
      <c r="T1292" s="20">
        <f>IF(OR(I1292="",E1292=""),"",IF(OR(I1292="Gasto",I1292="Transferencia",I1292="Pago tarjeta"),-1,1)*C1292)</f>
        <v/>
      </c>
      <c r="U1292" s="20">
        <f>IF(OR(G1292="",AND(I1292&lt;&gt;"Transferencia",I1292&lt;&gt;"Pago tarjeta")),"",IF(IFERROR(INDEX(ctaMon,MATCH(G1292,ctaNom,0))&amp;"","DOP")=N1292,C1292,IF(N1292="USD",C1292*TasaUSD,C1292/TasaUSD)))</f>
        <v/>
      </c>
      <c r="V1292" s="20">
        <f>IF(I1292="","",IF(IFERROR(INDEX(ctaLiq,MATCH(E1292,ctaNom,0))="Sí",FALSE),IF(OR(I1292="Gasto",I1292="Transferencia",I1292="Pago tarjeta"),-1,1)*O1292,0)+IF(AND(U1292&lt;&gt;"",IFERROR(INDEX(ctaLiq,MATCH(G1292,ctaNom,0))="Sí",FALSE)),O1292,0))</f>
        <v/>
      </c>
      <c r="W1292" s="19">
        <f>IF(OR(F1292="",I1292=""),"",IF(COUNTIFS(F$6:F1292,F1292,I$6:I1292,"?*")=1,MAX(W$5:W1291)+1,""))</f>
        <v/>
      </c>
    </row>
    <row r="1293">
      <c r="B1293" s="15" t="n"/>
      <c r="C1293" s="16" t="n"/>
      <c r="D1293" s="17" t="n"/>
      <c r="E1293" s="17" t="n"/>
      <c r="F1293" s="17" t="n"/>
      <c r="G1293" s="17" t="n"/>
      <c r="H1293" s="18">
        <f>IF(AND(B1293="",C1293="",D1293="",E1293=""),"",IF(B1293="","⚠ Falta fecha",IF(C1293="","⚠ Falta monto",IF(D1293="","⚠ Falta categoría",IF(ISNA(MATCH(D1293,catNom,0)),"⚠ Categoría no existe",IF(E1293="","⚠ Falta cuenta",IF(ISNA(MATCH(E1293,ctaNom,0)),"⚠ Cuenta no existe",IF(AND(OR(I1293="Transferencia",I1293="Pago tarjeta"),G1293=""),"⚠ Indica la cuenta «Hacia»",IF(AND(G1293&lt;&gt;"",G1293=E1293),"⚠ «Hacia» igual a la cuenta",IF(AND(G1293&lt;&gt;"",ISNA(MATCH(G1293,ctaNom,0))),"⚠ «Hacia» no existe",IF(AND(I1293="Pago tarjeta",IFERROR(INDEX(ctaTipo,MATCH(G1293,ctaNom,0)),"")&lt;&gt;"Tarjeta de crédito"),"⚠ «Hacia» debe ser la tarjeta",IF(AND(I1293="Trading",IFERROR(INDEX(ctaTipo,MATCH(E1293,ctaNom,0)),"")&lt;&gt;"Cuenta de trading"),"⚠ Usa la cuenta de trading","✓"))))))))))))</f>
        <v/>
      </c>
      <c r="I1293" s="19">
        <f>IF(OR(B1293="",C1293="",D1293=""),"",IFERROR(INDEX(catTipo,MATCH(D1293,catNom,0))&amp;"",""))</f>
        <v/>
      </c>
      <c r="J1293" s="19">
        <f>IF(I1293="","",IFERROR(INDEX(catGrupo,MATCH(D1293,catNom,0))&amp;"",""))</f>
        <v/>
      </c>
      <c r="K1293" s="19">
        <f>IF(I1293="Gasto",IF(IFERROR(INDEX(catClas,MATCH(D1293,catNom,0))&amp;"","")="","Variable",IFERROR(INDEX(catClas,MATCH(D1293,catNom,0))&amp;"","")),"")</f>
        <v/>
      </c>
      <c r="L1293" s="19">
        <f>IF(I1293="","",IFERROR(INDEX(catAlim,MATCH(D1293,catNom,0))&amp;"",""))</f>
        <v/>
      </c>
      <c r="M1293" s="19">
        <f>IF(I1293="","",IFERROR(INDEX(catComida,MATCH(D1293,catNom,0))&amp;"",""))</f>
        <v/>
      </c>
      <c r="N1293" s="19">
        <f>IF(I1293="","",IFERROR(INDEX(ctaMon,MATCH(E1293,ctaNom,0))&amp;"","DOP"))</f>
        <v/>
      </c>
      <c r="O1293" s="20">
        <f>IF(I1293="","",C1293*IF(N1293="USD",TasaUSD,1))</f>
        <v/>
      </c>
      <c r="P1293" s="20">
        <f>IF(I1293="","",IF(I1293="Gasto",O1293,0))</f>
        <v/>
      </c>
      <c r="Q1293" s="20">
        <f>IF(I1293="","",IF(I1293="Ingreso",O1293,0))</f>
        <v/>
      </c>
      <c r="R1293" s="20">
        <f>IF(I1293="","",IF(I1293="Trading",O1293,0))</f>
        <v/>
      </c>
      <c r="S1293" s="19">
        <f>IF(I1293="","",IF(AND(I1293="Gasto",K1293="Variable",J1293&lt;&gt;"Trading",O1293&gt;0,O1293&lt;=Umbral),1,0))</f>
        <v/>
      </c>
      <c r="T1293" s="20">
        <f>IF(OR(I1293="",E1293=""),"",IF(OR(I1293="Gasto",I1293="Transferencia",I1293="Pago tarjeta"),-1,1)*C1293)</f>
        <v/>
      </c>
      <c r="U1293" s="20">
        <f>IF(OR(G1293="",AND(I1293&lt;&gt;"Transferencia",I1293&lt;&gt;"Pago tarjeta")),"",IF(IFERROR(INDEX(ctaMon,MATCH(G1293,ctaNom,0))&amp;"","DOP")=N1293,C1293,IF(N1293="USD",C1293*TasaUSD,C1293/TasaUSD)))</f>
        <v/>
      </c>
      <c r="V1293" s="20">
        <f>IF(I1293="","",IF(IFERROR(INDEX(ctaLiq,MATCH(E1293,ctaNom,0))="Sí",FALSE),IF(OR(I1293="Gasto",I1293="Transferencia",I1293="Pago tarjeta"),-1,1)*O1293,0)+IF(AND(U1293&lt;&gt;"",IFERROR(INDEX(ctaLiq,MATCH(G1293,ctaNom,0))="Sí",FALSE)),O1293,0))</f>
        <v/>
      </c>
      <c r="W1293" s="19">
        <f>IF(OR(F1293="",I1293=""),"",IF(COUNTIFS(F$6:F1293,F1293,I$6:I1293,"?*")=1,MAX(W$5:W1292)+1,""))</f>
        <v/>
      </c>
    </row>
    <row r="1294">
      <c r="B1294" s="15" t="n"/>
      <c r="C1294" s="16" t="n"/>
      <c r="D1294" s="17" t="n"/>
      <c r="E1294" s="17" t="n"/>
      <c r="F1294" s="17" t="n"/>
      <c r="G1294" s="17" t="n"/>
      <c r="H1294" s="18">
        <f>IF(AND(B1294="",C1294="",D1294="",E1294=""),"",IF(B1294="","⚠ Falta fecha",IF(C1294="","⚠ Falta monto",IF(D1294="","⚠ Falta categoría",IF(ISNA(MATCH(D1294,catNom,0)),"⚠ Categoría no existe",IF(E1294="","⚠ Falta cuenta",IF(ISNA(MATCH(E1294,ctaNom,0)),"⚠ Cuenta no existe",IF(AND(OR(I1294="Transferencia",I1294="Pago tarjeta"),G1294=""),"⚠ Indica la cuenta «Hacia»",IF(AND(G1294&lt;&gt;"",G1294=E1294),"⚠ «Hacia» igual a la cuenta",IF(AND(G1294&lt;&gt;"",ISNA(MATCH(G1294,ctaNom,0))),"⚠ «Hacia» no existe",IF(AND(I1294="Pago tarjeta",IFERROR(INDEX(ctaTipo,MATCH(G1294,ctaNom,0)),"")&lt;&gt;"Tarjeta de crédito"),"⚠ «Hacia» debe ser la tarjeta",IF(AND(I1294="Trading",IFERROR(INDEX(ctaTipo,MATCH(E1294,ctaNom,0)),"")&lt;&gt;"Cuenta de trading"),"⚠ Usa la cuenta de trading","✓"))))))))))))</f>
        <v/>
      </c>
      <c r="I1294" s="19">
        <f>IF(OR(B1294="",C1294="",D1294=""),"",IFERROR(INDEX(catTipo,MATCH(D1294,catNom,0))&amp;"",""))</f>
        <v/>
      </c>
      <c r="J1294" s="19">
        <f>IF(I1294="","",IFERROR(INDEX(catGrupo,MATCH(D1294,catNom,0))&amp;"",""))</f>
        <v/>
      </c>
      <c r="K1294" s="19">
        <f>IF(I1294="Gasto",IF(IFERROR(INDEX(catClas,MATCH(D1294,catNom,0))&amp;"","")="","Variable",IFERROR(INDEX(catClas,MATCH(D1294,catNom,0))&amp;"","")),"")</f>
        <v/>
      </c>
      <c r="L1294" s="19">
        <f>IF(I1294="","",IFERROR(INDEX(catAlim,MATCH(D1294,catNom,0))&amp;"",""))</f>
        <v/>
      </c>
      <c r="M1294" s="19">
        <f>IF(I1294="","",IFERROR(INDEX(catComida,MATCH(D1294,catNom,0))&amp;"",""))</f>
        <v/>
      </c>
      <c r="N1294" s="19">
        <f>IF(I1294="","",IFERROR(INDEX(ctaMon,MATCH(E1294,ctaNom,0))&amp;"","DOP"))</f>
        <v/>
      </c>
      <c r="O1294" s="20">
        <f>IF(I1294="","",C1294*IF(N1294="USD",TasaUSD,1))</f>
        <v/>
      </c>
      <c r="P1294" s="20">
        <f>IF(I1294="","",IF(I1294="Gasto",O1294,0))</f>
        <v/>
      </c>
      <c r="Q1294" s="20">
        <f>IF(I1294="","",IF(I1294="Ingreso",O1294,0))</f>
        <v/>
      </c>
      <c r="R1294" s="20">
        <f>IF(I1294="","",IF(I1294="Trading",O1294,0))</f>
        <v/>
      </c>
      <c r="S1294" s="19">
        <f>IF(I1294="","",IF(AND(I1294="Gasto",K1294="Variable",J1294&lt;&gt;"Trading",O1294&gt;0,O1294&lt;=Umbral),1,0))</f>
        <v/>
      </c>
      <c r="T1294" s="20">
        <f>IF(OR(I1294="",E1294=""),"",IF(OR(I1294="Gasto",I1294="Transferencia",I1294="Pago tarjeta"),-1,1)*C1294)</f>
        <v/>
      </c>
      <c r="U1294" s="20">
        <f>IF(OR(G1294="",AND(I1294&lt;&gt;"Transferencia",I1294&lt;&gt;"Pago tarjeta")),"",IF(IFERROR(INDEX(ctaMon,MATCH(G1294,ctaNom,0))&amp;"","DOP")=N1294,C1294,IF(N1294="USD",C1294*TasaUSD,C1294/TasaUSD)))</f>
        <v/>
      </c>
      <c r="V1294" s="20">
        <f>IF(I1294="","",IF(IFERROR(INDEX(ctaLiq,MATCH(E1294,ctaNom,0))="Sí",FALSE),IF(OR(I1294="Gasto",I1294="Transferencia",I1294="Pago tarjeta"),-1,1)*O1294,0)+IF(AND(U1294&lt;&gt;"",IFERROR(INDEX(ctaLiq,MATCH(G1294,ctaNom,0))="Sí",FALSE)),O1294,0))</f>
        <v/>
      </c>
      <c r="W1294" s="19">
        <f>IF(OR(F1294="",I1294=""),"",IF(COUNTIFS(F$6:F1294,F1294,I$6:I1294,"?*")=1,MAX(W$5:W1293)+1,""))</f>
        <v/>
      </c>
    </row>
    <row r="1295">
      <c r="B1295" s="15" t="n"/>
      <c r="C1295" s="16" t="n"/>
      <c r="D1295" s="17" t="n"/>
      <c r="E1295" s="17" t="n"/>
      <c r="F1295" s="17" t="n"/>
      <c r="G1295" s="17" t="n"/>
      <c r="H1295" s="18">
        <f>IF(AND(B1295="",C1295="",D1295="",E1295=""),"",IF(B1295="","⚠ Falta fecha",IF(C1295="","⚠ Falta monto",IF(D1295="","⚠ Falta categoría",IF(ISNA(MATCH(D1295,catNom,0)),"⚠ Categoría no existe",IF(E1295="","⚠ Falta cuenta",IF(ISNA(MATCH(E1295,ctaNom,0)),"⚠ Cuenta no existe",IF(AND(OR(I1295="Transferencia",I1295="Pago tarjeta"),G1295=""),"⚠ Indica la cuenta «Hacia»",IF(AND(G1295&lt;&gt;"",G1295=E1295),"⚠ «Hacia» igual a la cuenta",IF(AND(G1295&lt;&gt;"",ISNA(MATCH(G1295,ctaNom,0))),"⚠ «Hacia» no existe",IF(AND(I1295="Pago tarjeta",IFERROR(INDEX(ctaTipo,MATCH(G1295,ctaNom,0)),"")&lt;&gt;"Tarjeta de crédito"),"⚠ «Hacia» debe ser la tarjeta",IF(AND(I1295="Trading",IFERROR(INDEX(ctaTipo,MATCH(E1295,ctaNom,0)),"")&lt;&gt;"Cuenta de trading"),"⚠ Usa la cuenta de trading","✓"))))))))))))</f>
        <v/>
      </c>
      <c r="I1295" s="19">
        <f>IF(OR(B1295="",C1295="",D1295=""),"",IFERROR(INDEX(catTipo,MATCH(D1295,catNom,0))&amp;"",""))</f>
        <v/>
      </c>
      <c r="J1295" s="19">
        <f>IF(I1295="","",IFERROR(INDEX(catGrupo,MATCH(D1295,catNom,0))&amp;"",""))</f>
        <v/>
      </c>
      <c r="K1295" s="19">
        <f>IF(I1295="Gasto",IF(IFERROR(INDEX(catClas,MATCH(D1295,catNom,0))&amp;"","")="","Variable",IFERROR(INDEX(catClas,MATCH(D1295,catNom,0))&amp;"","")),"")</f>
        <v/>
      </c>
      <c r="L1295" s="19">
        <f>IF(I1295="","",IFERROR(INDEX(catAlim,MATCH(D1295,catNom,0))&amp;"",""))</f>
        <v/>
      </c>
      <c r="M1295" s="19">
        <f>IF(I1295="","",IFERROR(INDEX(catComida,MATCH(D1295,catNom,0))&amp;"",""))</f>
        <v/>
      </c>
      <c r="N1295" s="19">
        <f>IF(I1295="","",IFERROR(INDEX(ctaMon,MATCH(E1295,ctaNom,0))&amp;"","DOP"))</f>
        <v/>
      </c>
      <c r="O1295" s="20">
        <f>IF(I1295="","",C1295*IF(N1295="USD",TasaUSD,1))</f>
        <v/>
      </c>
      <c r="P1295" s="20">
        <f>IF(I1295="","",IF(I1295="Gasto",O1295,0))</f>
        <v/>
      </c>
      <c r="Q1295" s="20">
        <f>IF(I1295="","",IF(I1295="Ingreso",O1295,0))</f>
        <v/>
      </c>
      <c r="R1295" s="20">
        <f>IF(I1295="","",IF(I1295="Trading",O1295,0))</f>
        <v/>
      </c>
      <c r="S1295" s="19">
        <f>IF(I1295="","",IF(AND(I1295="Gasto",K1295="Variable",J1295&lt;&gt;"Trading",O1295&gt;0,O1295&lt;=Umbral),1,0))</f>
        <v/>
      </c>
      <c r="T1295" s="20">
        <f>IF(OR(I1295="",E1295=""),"",IF(OR(I1295="Gasto",I1295="Transferencia",I1295="Pago tarjeta"),-1,1)*C1295)</f>
        <v/>
      </c>
      <c r="U1295" s="20">
        <f>IF(OR(G1295="",AND(I1295&lt;&gt;"Transferencia",I1295&lt;&gt;"Pago tarjeta")),"",IF(IFERROR(INDEX(ctaMon,MATCH(G1295,ctaNom,0))&amp;"","DOP")=N1295,C1295,IF(N1295="USD",C1295*TasaUSD,C1295/TasaUSD)))</f>
        <v/>
      </c>
      <c r="V1295" s="20">
        <f>IF(I1295="","",IF(IFERROR(INDEX(ctaLiq,MATCH(E1295,ctaNom,0))="Sí",FALSE),IF(OR(I1295="Gasto",I1295="Transferencia",I1295="Pago tarjeta"),-1,1)*O1295,0)+IF(AND(U1295&lt;&gt;"",IFERROR(INDEX(ctaLiq,MATCH(G1295,ctaNom,0))="Sí",FALSE)),O1295,0))</f>
        <v/>
      </c>
      <c r="W1295" s="19">
        <f>IF(OR(F1295="",I1295=""),"",IF(COUNTIFS(F$6:F1295,F1295,I$6:I1295,"?*")=1,MAX(W$5:W1294)+1,""))</f>
        <v/>
      </c>
    </row>
    <row r="1296">
      <c r="B1296" s="15" t="n"/>
      <c r="C1296" s="16" t="n"/>
      <c r="D1296" s="17" t="n"/>
      <c r="E1296" s="17" t="n"/>
      <c r="F1296" s="17" t="n"/>
      <c r="G1296" s="17" t="n"/>
      <c r="H1296" s="18">
        <f>IF(AND(B1296="",C1296="",D1296="",E1296=""),"",IF(B1296="","⚠ Falta fecha",IF(C1296="","⚠ Falta monto",IF(D1296="","⚠ Falta categoría",IF(ISNA(MATCH(D1296,catNom,0)),"⚠ Categoría no existe",IF(E1296="","⚠ Falta cuenta",IF(ISNA(MATCH(E1296,ctaNom,0)),"⚠ Cuenta no existe",IF(AND(OR(I1296="Transferencia",I1296="Pago tarjeta"),G1296=""),"⚠ Indica la cuenta «Hacia»",IF(AND(G1296&lt;&gt;"",G1296=E1296),"⚠ «Hacia» igual a la cuenta",IF(AND(G1296&lt;&gt;"",ISNA(MATCH(G1296,ctaNom,0))),"⚠ «Hacia» no existe",IF(AND(I1296="Pago tarjeta",IFERROR(INDEX(ctaTipo,MATCH(G1296,ctaNom,0)),"")&lt;&gt;"Tarjeta de crédito"),"⚠ «Hacia» debe ser la tarjeta",IF(AND(I1296="Trading",IFERROR(INDEX(ctaTipo,MATCH(E1296,ctaNom,0)),"")&lt;&gt;"Cuenta de trading"),"⚠ Usa la cuenta de trading","✓"))))))))))))</f>
        <v/>
      </c>
      <c r="I1296" s="19">
        <f>IF(OR(B1296="",C1296="",D1296=""),"",IFERROR(INDEX(catTipo,MATCH(D1296,catNom,0))&amp;"",""))</f>
        <v/>
      </c>
      <c r="J1296" s="19">
        <f>IF(I1296="","",IFERROR(INDEX(catGrupo,MATCH(D1296,catNom,0))&amp;"",""))</f>
        <v/>
      </c>
      <c r="K1296" s="19">
        <f>IF(I1296="Gasto",IF(IFERROR(INDEX(catClas,MATCH(D1296,catNom,0))&amp;"","")="","Variable",IFERROR(INDEX(catClas,MATCH(D1296,catNom,0))&amp;"","")),"")</f>
        <v/>
      </c>
      <c r="L1296" s="19">
        <f>IF(I1296="","",IFERROR(INDEX(catAlim,MATCH(D1296,catNom,0))&amp;"",""))</f>
        <v/>
      </c>
      <c r="M1296" s="19">
        <f>IF(I1296="","",IFERROR(INDEX(catComida,MATCH(D1296,catNom,0))&amp;"",""))</f>
        <v/>
      </c>
      <c r="N1296" s="19">
        <f>IF(I1296="","",IFERROR(INDEX(ctaMon,MATCH(E1296,ctaNom,0))&amp;"","DOP"))</f>
        <v/>
      </c>
      <c r="O1296" s="20">
        <f>IF(I1296="","",C1296*IF(N1296="USD",TasaUSD,1))</f>
        <v/>
      </c>
      <c r="P1296" s="20">
        <f>IF(I1296="","",IF(I1296="Gasto",O1296,0))</f>
        <v/>
      </c>
      <c r="Q1296" s="20">
        <f>IF(I1296="","",IF(I1296="Ingreso",O1296,0))</f>
        <v/>
      </c>
      <c r="R1296" s="20">
        <f>IF(I1296="","",IF(I1296="Trading",O1296,0))</f>
        <v/>
      </c>
      <c r="S1296" s="19">
        <f>IF(I1296="","",IF(AND(I1296="Gasto",K1296="Variable",J1296&lt;&gt;"Trading",O1296&gt;0,O1296&lt;=Umbral),1,0))</f>
        <v/>
      </c>
      <c r="T1296" s="20">
        <f>IF(OR(I1296="",E1296=""),"",IF(OR(I1296="Gasto",I1296="Transferencia",I1296="Pago tarjeta"),-1,1)*C1296)</f>
        <v/>
      </c>
      <c r="U1296" s="20">
        <f>IF(OR(G1296="",AND(I1296&lt;&gt;"Transferencia",I1296&lt;&gt;"Pago tarjeta")),"",IF(IFERROR(INDEX(ctaMon,MATCH(G1296,ctaNom,0))&amp;"","DOP")=N1296,C1296,IF(N1296="USD",C1296*TasaUSD,C1296/TasaUSD)))</f>
        <v/>
      </c>
      <c r="V1296" s="20">
        <f>IF(I1296="","",IF(IFERROR(INDEX(ctaLiq,MATCH(E1296,ctaNom,0))="Sí",FALSE),IF(OR(I1296="Gasto",I1296="Transferencia",I1296="Pago tarjeta"),-1,1)*O1296,0)+IF(AND(U1296&lt;&gt;"",IFERROR(INDEX(ctaLiq,MATCH(G1296,ctaNom,0))="Sí",FALSE)),O1296,0))</f>
        <v/>
      </c>
      <c r="W1296" s="19">
        <f>IF(OR(F1296="",I1296=""),"",IF(COUNTIFS(F$6:F1296,F1296,I$6:I1296,"?*")=1,MAX(W$5:W1295)+1,""))</f>
        <v/>
      </c>
    </row>
    <row r="1297">
      <c r="B1297" s="15" t="n"/>
      <c r="C1297" s="16" t="n"/>
      <c r="D1297" s="17" t="n"/>
      <c r="E1297" s="17" t="n"/>
      <c r="F1297" s="17" t="n"/>
      <c r="G1297" s="17" t="n"/>
      <c r="H1297" s="18">
        <f>IF(AND(B1297="",C1297="",D1297="",E1297=""),"",IF(B1297="","⚠ Falta fecha",IF(C1297="","⚠ Falta monto",IF(D1297="","⚠ Falta categoría",IF(ISNA(MATCH(D1297,catNom,0)),"⚠ Categoría no existe",IF(E1297="","⚠ Falta cuenta",IF(ISNA(MATCH(E1297,ctaNom,0)),"⚠ Cuenta no existe",IF(AND(OR(I1297="Transferencia",I1297="Pago tarjeta"),G1297=""),"⚠ Indica la cuenta «Hacia»",IF(AND(G1297&lt;&gt;"",G1297=E1297),"⚠ «Hacia» igual a la cuenta",IF(AND(G1297&lt;&gt;"",ISNA(MATCH(G1297,ctaNom,0))),"⚠ «Hacia» no existe",IF(AND(I1297="Pago tarjeta",IFERROR(INDEX(ctaTipo,MATCH(G1297,ctaNom,0)),"")&lt;&gt;"Tarjeta de crédito"),"⚠ «Hacia» debe ser la tarjeta",IF(AND(I1297="Trading",IFERROR(INDEX(ctaTipo,MATCH(E1297,ctaNom,0)),"")&lt;&gt;"Cuenta de trading"),"⚠ Usa la cuenta de trading","✓"))))))))))))</f>
        <v/>
      </c>
      <c r="I1297" s="19">
        <f>IF(OR(B1297="",C1297="",D1297=""),"",IFERROR(INDEX(catTipo,MATCH(D1297,catNom,0))&amp;"",""))</f>
        <v/>
      </c>
      <c r="J1297" s="19">
        <f>IF(I1297="","",IFERROR(INDEX(catGrupo,MATCH(D1297,catNom,0))&amp;"",""))</f>
        <v/>
      </c>
      <c r="K1297" s="19">
        <f>IF(I1297="Gasto",IF(IFERROR(INDEX(catClas,MATCH(D1297,catNom,0))&amp;"","")="","Variable",IFERROR(INDEX(catClas,MATCH(D1297,catNom,0))&amp;"","")),"")</f>
        <v/>
      </c>
      <c r="L1297" s="19">
        <f>IF(I1297="","",IFERROR(INDEX(catAlim,MATCH(D1297,catNom,0))&amp;"",""))</f>
        <v/>
      </c>
      <c r="M1297" s="19">
        <f>IF(I1297="","",IFERROR(INDEX(catComida,MATCH(D1297,catNom,0))&amp;"",""))</f>
        <v/>
      </c>
      <c r="N1297" s="19">
        <f>IF(I1297="","",IFERROR(INDEX(ctaMon,MATCH(E1297,ctaNom,0))&amp;"","DOP"))</f>
        <v/>
      </c>
      <c r="O1297" s="20">
        <f>IF(I1297="","",C1297*IF(N1297="USD",TasaUSD,1))</f>
        <v/>
      </c>
      <c r="P1297" s="20">
        <f>IF(I1297="","",IF(I1297="Gasto",O1297,0))</f>
        <v/>
      </c>
      <c r="Q1297" s="20">
        <f>IF(I1297="","",IF(I1297="Ingreso",O1297,0))</f>
        <v/>
      </c>
      <c r="R1297" s="20">
        <f>IF(I1297="","",IF(I1297="Trading",O1297,0))</f>
        <v/>
      </c>
      <c r="S1297" s="19">
        <f>IF(I1297="","",IF(AND(I1297="Gasto",K1297="Variable",J1297&lt;&gt;"Trading",O1297&gt;0,O1297&lt;=Umbral),1,0))</f>
        <v/>
      </c>
      <c r="T1297" s="20">
        <f>IF(OR(I1297="",E1297=""),"",IF(OR(I1297="Gasto",I1297="Transferencia",I1297="Pago tarjeta"),-1,1)*C1297)</f>
        <v/>
      </c>
      <c r="U1297" s="20">
        <f>IF(OR(G1297="",AND(I1297&lt;&gt;"Transferencia",I1297&lt;&gt;"Pago tarjeta")),"",IF(IFERROR(INDEX(ctaMon,MATCH(G1297,ctaNom,0))&amp;"","DOP")=N1297,C1297,IF(N1297="USD",C1297*TasaUSD,C1297/TasaUSD)))</f>
        <v/>
      </c>
      <c r="V1297" s="20">
        <f>IF(I1297="","",IF(IFERROR(INDEX(ctaLiq,MATCH(E1297,ctaNom,0))="Sí",FALSE),IF(OR(I1297="Gasto",I1297="Transferencia",I1297="Pago tarjeta"),-1,1)*O1297,0)+IF(AND(U1297&lt;&gt;"",IFERROR(INDEX(ctaLiq,MATCH(G1297,ctaNom,0))="Sí",FALSE)),O1297,0))</f>
        <v/>
      </c>
      <c r="W1297" s="19">
        <f>IF(OR(F1297="",I1297=""),"",IF(COUNTIFS(F$6:F1297,F1297,I$6:I1297,"?*")=1,MAX(W$5:W1296)+1,""))</f>
        <v/>
      </c>
    </row>
    <row r="1298">
      <c r="B1298" s="15" t="n"/>
      <c r="C1298" s="16" t="n"/>
      <c r="D1298" s="17" t="n"/>
      <c r="E1298" s="17" t="n"/>
      <c r="F1298" s="17" t="n"/>
      <c r="G1298" s="17" t="n"/>
      <c r="H1298" s="18">
        <f>IF(AND(B1298="",C1298="",D1298="",E1298=""),"",IF(B1298="","⚠ Falta fecha",IF(C1298="","⚠ Falta monto",IF(D1298="","⚠ Falta categoría",IF(ISNA(MATCH(D1298,catNom,0)),"⚠ Categoría no existe",IF(E1298="","⚠ Falta cuenta",IF(ISNA(MATCH(E1298,ctaNom,0)),"⚠ Cuenta no existe",IF(AND(OR(I1298="Transferencia",I1298="Pago tarjeta"),G1298=""),"⚠ Indica la cuenta «Hacia»",IF(AND(G1298&lt;&gt;"",G1298=E1298),"⚠ «Hacia» igual a la cuenta",IF(AND(G1298&lt;&gt;"",ISNA(MATCH(G1298,ctaNom,0))),"⚠ «Hacia» no existe",IF(AND(I1298="Pago tarjeta",IFERROR(INDEX(ctaTipo,MATCH(G1298,ctaNom,0)),"")&lt;&gt;"Tarjeta de crédito"),"⚠ «Hacia» debe ser la tarjeta",IF(AND(I1298="Trading",IFERROR(INDEX(ctaTipo,MATCH(E1298,ctaNom,0)),"")&lt;&gt;"Cuenta de trading"),"⚠ Usa la cuenta de trading","✓"))))))))))))</f>
        <v/>
      </c>
      <c r="I1298" s="19">
        <f>IF(OR(B1298="",C1298="",D1298=""),"",IFERROR(INDEX(catTipo,MATCH(D1298,catNom,0))&amp;"",""))</f>
        <v/>
      </c>
      <c r="J1298" s="19">
        <f>IF(I1298="","",IFERROR(INDEX(catGrupo,MATCH(D1298,catNom,0))&amp;"",""))</f>
        <v/>
      </c>
      <c r="K1298" s="19">
        <f>IF(I1298="Gasto",IF(IFERROR(INDEX(catClas,MATCH(D1298,catNom,0))&amp;"","")="","Variable",IFERROR(INDEX(catClas,MATCH(D1298,catNom,0))&amp;"","")),"")</f>
        <v/>
      </c>
      <c r="L1298" s="19">
        <f>IF(I1298="","",IFERROR(INDEX(catAlim,MATCH(D1298,catNom,0))&amp;"",""))</f>
        <v/>
      </c>
      <c r="M1298" s="19">
        <f>IF(I1298="","",IFERROR(INDEX(catComida,MATCH(D1298,catNom,0))&amp;"",""))</f>
        <v/>
      </c>
      <c r="N1298" s="19">
        <f>IF(I1298="","",IFERROR(INDEX(ctaMon,MATCH(E1298,ctaNom,0))&amp;"","DOP"))</f>
        <v/>
      </c>
      <c r="O1298" s="20">
        <f>IF(I1298="","",C1298*IF(N1298="USD",TasaUSD,1))</f>
        <v/>
      </c>
      <c r="P1298" s="20">
        <f>IF(I1298="","",IF(I1298="Gasto",O1298,0))</f>
        <v/>
      </c>
      <c r="Q1298" s="20">
        <f>IF(I1298="","",IF(I1298="Ingreso",O1298,0))</f>
        <v/>
      </c>
      <c r="R1298" s="20">
        <f>IF(I1298="","",IF(I1298="Trading",O1298,0))</f>
        <v/>
      </c>
      <c r="S1298" s="19">
        <f>IF(I1298="","",IF(AND(I1298="Gasto",K1298="Variable",J1298&lt;&gt;"Trading",O1298&gt;0,O1298&lt;=Umbral),1,0))</f>
        <v/>
      </c>
      <c r="T1298" s="20">
        <f>IF(OR(I1298="",E1298=""),"",IF(OR(I1298="Gasto",I1298="Transferencia",I1298="Pago tarjeta"),-1,1)*C1298)</f>
        <v/>
      </c>
      <c r="U1298" s="20">
        <f>IF(OR(G1298="",AND(I1298&lt;&gt;"Transferencia",I1298&lt;&gt;"Pago tarjeta")),"",IF(IFERROR(INDEX(ctaMon,MATCH(G1298,ctaNom,0))&amp;"","DOP")=N1298,C1298,IF(N1298="USD",C1298*TasaUSD,C1298/TasaUSD)))</f>
        <v/>
      </c>
      <c r="V1298" s="20">
        <f>IF(I1298="","",IF(IFERROR(INDEX(ctaLiq,MATCH(E1298,ctaNom,0))="Sí",FALSE),IF(OR(I1298="Gasto",I1298="Transferencia",I1298="Pago tarjeta"),-1,1)*O1298,0)+IF(AND(U1298&lt;&gt;"",IFERROR(INDEX(ctaLiq,MATCH(G1298,ctaNom,0))="Sí",FALSE)),O1298,0))</f>
        <v/>
      </c>
      <c r="W1298" s="19">
        <f>IF(OR(F1298="",I1298=""),"",IF(COUNTIFS(F$6:F1298,F1298,I$6:I1298,"?*")=1,MAX(W$5:W1297)+1,""))</f>
        <v/>
      </c>
    </row>
    <row r="1299">
      <c r="B1299" s="15" t="n"/>
      <c r="C1299" s="16" t="n"/>
      <c r="D1299" s="17" t="n"/>
      <c r="E1299" s="17" t="n"/>
      <c r="F1299" s="17" t="n"/>
      <c r="G1299" s="17" t="n"/>
      <c r="H1299" s="18">
        <f>IF(AND(B1299="",C1299="",D1299="",E1299=""),"",IF(B1299="","⚠ Falta fecha",IF(C1299="","⚠ Falta monto",IF(D1299="","⚠ Falta categoría",IF(ISNA(MATCH(D1299,catNom,0)),"⚠ Categoría no existe",IF(E1299="","⚠ Falta cuenta",IF(ISNA(MATCH(E1299,ctaNom,0)),"⚠ Cuenta no existe",IF(AND(OR(I1299="Transferencia",I1299="Pago tarjeta"),G1299=""),"⚠ Indica la cuenta «Hacia»",IF(AND(G1299&lt;&gt;"",G1299=E1299),"⚠ «Hacia» igual a la cuenta",IF(AND(G1299&lt;&gt;"",ISNA(MATCH(G1299,ctaNom,0))),"⚠ «Hacia» no existe",IF(AND(I1299="Pago tarjeta",IFERROR(INDEX(ctaTipo,MATCH(G1299,ctaNom,0)),"")&lt;&gt;"Tarjeta de crédito"),"⚠ «Hacia» debe ser la tarjeta",IF(AND(I1299="Trading",IFERROR(INDEX(ctaTipo,MATCH(E1299,ctaNom,0)),"")&lt;&gt;"Cuenta de trading"),"⚠ Usa la cuenta de trading","✓"))))))))))))</f>
        <v/>
      </c>
      <c r="I1299" s="19">
        <f>IF(OR(B1299="",C1299="",D1299=""),"",IFERROR(INDEX(catTipo,MATCH(D1299,catNom,0))&amp;"",""))</f>
        <v/>
      </c>
      <c r="J1299" s="19">
        <f>IF(I1299="","",IFERROR(INDEX(catGrupo,MATCH(D1299,catNom,0))&amp;"",""))</f>
        <v/>
      </c>
      <c r="K1299" s="19">
        <f>IF(I1299="Gasto",IF(IFERROR(INDEX(catClas,MATCH(D1299,catNom,0))&amp;"","")="","Variable",IFERROR(INDEX(catClas,MATCH(D1299,catNom,0))&amp;"","")),"")</f>
        <v/>
      </c>
      <c r="L1299" s="19">
        <f>IF(I1299="","",IFERROR(INDEX(catAlim,MATCH(D1299,catNom,0))&amp;"",""))</f>
        <v/>
      </c>
      <c r="M1299" s="19">
        <f>IF(I1299="","",IFERROR(INDEX(catComida,MATCH(D1299,catNom,0))&amp;"",""))</f>
        <v/>
      </c>
      <c r="N1299" s="19">
        <f>IF(I1299="","",IFERROR(INDEX(ctaMon,MATCH(E1299,ctaNom,0))&amp;"","DOP"))</f>
        <v/>
      </c>
      <c r="O1299" s="20">
        <f>IF(I1299="","",C1299*IF(N1299="USD",TasaUSD,1))</f>
        <v/>
      </c>
      <c r="P1299" s="20">
        <f>IF(I1299="","",IF(I1299="Gasto",O1299,0))</f>
        <v/>
      </c>
      <c r="Q1299" s="20">
        <f>IF(I1299="","",IF(I1299="Ingreso",O1299,0))</f>
        <v/>
      </c>
      <c r="R1299" s="20">
        <f>IF(I1299="","",IF(I1299="Trading",O1299,0))</f>
        <v/>
      </c>
      <c r="S1299" s="19">
        <f>IF(I1299="","",IF(AND(I1299="Gasto",K1299="Variable",J1299&lt;&gt;"Trading",O1299&gt;0,O1299&lt;=Umbral),1,0))</f>
        <v/>
      </c>
      <c r="T1299" s="20">
        <f>IF(OR(I1299="",E1299=""),"",IF(OR(I1299="Gasto",I1299="Transferencia",I1299="Pago tarjeta"),-1,1)*C1299)</f>
        <v/>
      </c>
      <c r="U1299" s="20">
        <f>IF(OR(G1299="",AND(I1299&lt;&gt;"Transferencia",I1299&lt;&gt;"Pago tarjeta")),"",IF(IFERROR(INDEX(ctaMon,MATCH(G1299,ctaNom,0))&amp;"","DOP")=N1299,C1299,IF(N1299="USD",C1299*TasaUSD,C1299/TasaUSD)))</f>
        <v/>
      </c>
      <c r="V1299" s="20">
        <f>IF(I1299="","",IF(IFERROR(INDEX(ctaLiq,MATCH(E1299,ctaNom,0))="Sí",FALSE),IF(OR(I1299="Gasto",I1299="Transferencia",I1299="Pago tarjeta"),-1,1)*O1299,0)+IF(AND(U1299&lt;&gt;"",IFERROR(INDEX(ctaLiq,MATCH(G1299,ctaNom,0))="Sí",FALSE)),O1299,0))</f>
        <v/>
      </c>
      <c r="W1299" s="19">
        <f>IF(OR(F1299="",I1299=""),"",IF(COUNTIFS(F$6:F1299,F1299,I$6:I1299,"?*")=1,MAX(W$5:W1298)+1,""))</f>
        <v/>
      </c>
    </row>
    <row r="1300">
      <c r="B1300" s="15" t="n"/>
      <c r="C1300" s="16" t="n"/>
      <c r="D1300" s="17" t="n"/>
      <c r="E1300" s="17" t="n"/>
      <c r="F1300" s="17" t="n"/>
      <c r="G1300" s="17" t="n"/>
      <c r="H1300" s="18">
        <f>IF(AND(B1300="",C1300="",D1300="",E1300=""),"",IF(B1300="","⚠ Falta fecha",IF(C1300="","⚠ Falta monto",IF(D1300="","⚠ Falta categoría",IF(ISNA(MATCH(D1300,catNom,0)),"⚠ Categoría no existe",IF(E1300="","⚠ Falta cuenta",IF(ISNA(MATCH(E1300,ctaNom,0)),"⚠ Cuenta no existe",IF(AND(OR(I1300="Transferencia",I1300="Pago tarjeta"),G1300=""),"⚠ Indica la cuenta «Hacia»",IF(AND(G1300&lt;&gt;"",G1300=E1300),"⚠ «Hacia» igual a la cuenta",IF(AND(G1300&lt;&gt;"",ISNA(MATCH(G1300,ctaNom,0))),"⚠ «Hacia» no existe",IF(AND(I1300="Pago tarjeta",IFERROR(INDEX(ctaTipo,MATCH(G1300,ctaNom,0)),"")&lt;&gt;"Tarjeta de crédito"),"⚠ «Hacia» debe ser la tarjeta",IF(AND(I1300="Trading",IFERROR(INDEX(ctaTipo,MATCH(E1300,ctaNom,0)),"")&lt;&gt;"Cuenta de trading"),"⚠ Usa la cuenta de trading","✓"))))))))))))</f>
        <v/>
      </c>
      <c r="I1300" s="19">
        <f>IF(OR(B1300="",C1300="",D1300=""),"",IFERROR(INDEX(catTipo,MATCH(D1300,catNom,0))&amp;"",""))</f>
        <v/>
      </c>
      <c r="J1300" s="19">
        <f>IF(I1300="","",IFERROR(INDEX(catGrupo,MATCH(D1300,catNom,0))&amp;"",""))</f>
        <v/>
      </c>
      <c r="K1300" s="19">
        <f>IF(I1300="Gasto",IF(IFERROR(INDEX(catClas,MATCH(D1300,catNom,0))&amp;"","")="","Variable",IFERROR(INDEX(catClas,MATCH(D1300,catNom,0))&amp;"","")),"")</f>
        <v/>
      </c>
      <c r="L1300" s="19">
        <f>IF(I1300="","",IFERROR(INDEX(catAlim,MATCH(D1300,catNom,0))&amp;"",""))</f>
        <v/>
      </c>
      <c r="M1300" s="19">
        <f>IF(I1300="","",IFERROR(INDEX(catComida,MATCH(D1300,catNom,0))&amp;"",""))</f>
        <v/>
      </c>
      <c r="N1300" s="19">
        <f>IF(I1300="","",IFERROR(INDEX(ctaMon,MATCH(E1300,ctaNom,0))&amp;"","DOP"))</f>
        <v/>
      </c>
      <c r="O1300" s="20">
        <f>IF(I1300="","",C1300*IF(N1300="USD",TasaUSD,1))</f>
        <v/>
      </c>
      <c r="P1300" s="20">
        <f>IF(I1300="","",IF(I1300="Gasto",O1300,0))</f>
        <v/>
      </c>
      <c r="Q1300" s="20">
        <f>IF(I1300="","",IF(I1300="Ingreso",O1300,0))</f>
        <v/>
      </c>
      <c r="R1300" s="20">
        <f>IF(I1300="","",IF(I1300="Trading",O1300,0))</f>
        <v/>
      </c>
      <c r="S1300" s="19">
        <f>IF(I1300="","",IF(AND(I1300="Gasto",K1300="Variable",J1300&lt;&gt;"Trading",O1300&gt;0,O1300&lt;=Umbral),1,0))</f>
        <v/>
      </c>
      <c r="T1300" s="20">
        <f>IF(OR(I1300="",E1300=""),"",IF(OR(I1300="Gasto",I1300="Transferencia",I1300="Pago tarjeta"),-1,1)*C1300)</f>
        <v/>
      </c>
      <c r="U1300" s="20">
        <f>IF(OR(G1300="",AND(I1300&lt;&gt;"Transferencia",I1300&lt;&gt;"Pago tarjeta")),"",IF(IFERROR(INDEX(ctaMon,MATCH(G1300,ctaNom,0))&amp;"","DOP")=N1300,C1300,IF(N1300="USD",C1300*TasaUSD,C1300/TasaUSD)))</f>
        <v/>
      </c>
      <c r="V1300" s="20">
        <f>IF(I1300="","",IF(IFERROR(INDEX(ctaLiq,MATCH(E1300,ctaNom,0))="Sí",FALSE),IF(OR(I1300="Gasto",I1300="Transferencia",I1300="Pago tarjeta"),-1,1)*O1300,0)+IF(AND(U1300&lt;&gt;"",IFERROR(INDEX(ctaLiq,MATCH(G1300,ctaNom,0))="Sí",FALSE)),O1300,0))</f>
        <v/>
      </c>
      <c r="W1300" s="19">
        <f>IF(OR(F1300="",I1300=""),"",IF(COUNTIFS(F$6:F1300,F1300,I$6:I1300,"?*")=1,MAX(W$5:W1299)+1,""))</f>
        <v/>
      </c>
    </row>
    <row r="1301">
      <c r="B1301" s="15" t="n"/>
      <c r="C1301" s="16" t="n"/>
      <c r="D1301" s="17" t="n"/>
      <c r="E1301" s="17" t="n"/>
      <c r="F1301" s="17" t="n"/>
      <c r="G1301" s="17" t="n"/>
      <c r="H1301" s="18">
        <f>IF(AND(B1301="",C1301="",D1301="",E1301=""),"",IF(B1301="","⚠ Falta fecha",IF(C1301="","⚠ Falta monto",IF(D1301="","⚠ Falta categoría",IF(ISNA(MATCH(D1301,catNom,0)),"⚠ Categoría no existe",IF(E1301="","⚠ Falta cuenta",IF(ISNA(MATCH(E1301,ctaNom,0)),"⚠ Cuenta no existe",IF(AND(OR(I1301="Transferencia",I1301="Pago tarjeta"),G1301=""),"⚠ Indica la cuenta «Hacia»",IF(AND(G1301&lt;&gt;"",G1301=E1301),"⚠ «Hacia» igual a la cuenta",IF(AND(G1301&lt;&gt;"",ISNA(MATCH(G1301,ctaNom,0))),"⚠ «Hacia» no existe",IF(AND(I1301="Pago tarjeta",IFERROR(INDEX(ctaTipo,MATCH(G1301,ctaNom,0)),"")&lt;&gt;"Tarjeta de crédito"),"⚠ «Hacia» debe ser la tarjeta",IF(AND(I1301="Trading",IFERROR(INDEX(ctaTipo,MATCH(E1301,ctaNom,0)),"")&lt;&gt;"Cuenta de trading"),"⚠ Usa la cuenta de trading","✓"))))))))))))</f>
        <v/>
      </c>
      <c r="I1301" s="19">
        <f>IF(OR(B1301="",C1301="",D1301=""),"",IFERROR(INDEX(catTipo,MATCH(D1301,catNom,0))&amp;"",""))</f>
        <v/>
      </c>
      <c r="J1301" s="19">
        <f>IF(I1301="","",IFERROR(INDEX(catGrupo,MATCH(D1301,catNom,0))&amp;"",""))</f>
        <v/>
      </c>
      <c r="K1301" s="19">
        <f>IF(I1301="Gasto",IF(IFERROR(INDEX(catClas,MATCH(D1301,catNom,0))&amp;"","")="","Variable",IFERROR(INDEX(catClas,MATCH(D1301,catNom,0))&amp;"","")),"")</f>
        <v/>
      </c>
      <c r="L1301" s="19">
        <f>IF(I1301="","",IFERROR(INDEX(catAlim,MATCH(D1301,catNom,0))&amp;"",""))</f>
        <v/>
      </c>
      <c r="M1301" s="19">
        <f>IF(I1301="","",IFERROR(INDEX(catComida,MATCH(D1301,catNom,0))&amp;"",""))</f>
        <v/>
      </c>
      <c r="N1301" s="19">
        <f>IF(I1301="","",IFERROR(INDEX(ctaMon,MATCH(E1301,ctaNom,0))&amp;"","DOP"))</f>
        <v/>
      </c>
      <c r="O1301" s="20">
        <f>IF(I1301="","",C1301*IF(N1301="USD",TasaUSD,1))</f>
        <v/>
      </c>
      <c r="P1301" s="20">
        <f>IF(I1301="","",IF(I1301="Gasto",O1301,0))</f>
        <v/>
      </c>
      <c r="Q1301" s="20">
        <f>IF(I1301="","",IF(I1301="Ingreso",O1301,0))</f>
        <v/>
      </c>
      <c r="R1301" s="20">
        <f>IF(I1301="","",IF(I1301="Trading",O1301,0))</f>
        <v/>
      </c>
      <c r="S1301" s="19">
        <f>IF(I1301="","",IF(AND(I1301="Gasto",K1301="Variable",J1301&lt;&gt;"Trading",O1301&gt;0,O1301&lt;=Umbral),1,0))</f>
        <v/>
      </c>
      <c r="T1301" s="20">
        <f>IF(OR(I1301="",E1301=""),"",IF(OR(I1301="Gasto",I1301="Transferencia",I1301="Pago tarjeta"),-1,1)*C1301)</f>
        <v/>
      </c>
      <c r="U1301" s="20">
        <f>IF(OR(G1301="",AND(I1301&lt;&gt;"Transferencia",I1301&lt;&gt;"Pago tarjeta")),"",IF(IFERROR(INDEX(ctaMon,MATCH(G1301,ctaNom,0))&amp;"","DOP")=N1301,C1301,IF(N1301="USD",C1301*TasaUSD,C1301/TasaUSD)))</f>
        <v/>
      </c>
      <c r="V1301" s="20">
        <f>IF(I1301="","",IF(IFERROR(INDEX(ctaLiq,MATCH(E1301,ctaNom,0))="Sí",FALSE),IF(OR(I1301="Gasto",I1301="Transferencia",I1301="Pago tarjeta"),-1,1)*O1301,0)+IF(AND(U1301&lt;&gt;"",IFERROR(INDEX(ctaLiq,MATCH(G1301,ctaNom,0))="Sí",FALSE)),O1301,0))</f>
        <v/>
      </c>
      <c r="W1301" s="19">
        <f>IF(OR(F1301="",I1301=""),"",IF(COUNTIFS(F$6:F1301,F1301,I$6:I1301,"?*")=1,MAX(W$5:W1300)+1,""))</f>
        <v/>
      </c>
    </row>
    <row r="1302">
      <c r="B1302" s="15" t="n"/>
      <c r="C1302" s="16" t="n"/>
      <c r="D1302" s="17" t="n"/>
      <c r="E1302" s="17" t="n"/>
      <c r="F1302" s="17" t="n"/>
      <c r="G1302" s="17" t="n"/>
      <c r="H1302" s="18">
        <f>IF(AND(B1302="",C1302="",D1302="",E1302=""),"",IF(B1302="","⚠ Falta fecha",IF(C1302="","⚠ Falta monto",IF(D1302="","⚠ Falta categoría",IF(ISNA(MATCH(D1302,catNom,0)),"⚠ Categoría no existe",IF(E1302="","⚠ Falta cuenta",IF(ISNA(MATCH(E1302,ctaNom,0)),"⚠ Cuenta no existe",IF(AND(OR(I1302="Transferencia",I1302="Pago tarjeta"),G1302=""),"⚠ Indica la cuenta «Hacia»",IF(AND(G1302&lt;&gt;"",G1302=E1302),"⚠ «Hacia» igual a la cuenta",IF(AND(G1302&lt;&gt;"",ISNA(MATCH(G1302,ctaNom,0))),"⚠ «Hacia» no existe",IF(AND(I1302="Pago tarjeta",IFERROR(INDEX(ctaTipo,MATCH(G1302,ctaNom,0)),"")&lt;&gt;"Tarjeta de crédito"),"⚠ «Hacia» debe ser la tarjeta",IF(AND(I1302="Trading",IFERROR(INDEX(ctaTipo,MATCH(E1302,ctaNom,0)),"")&lt;&gt;"Cuenta de trading"),"⚠ Usa la cuenta de trading","✓"))))))))))))</f>
        <v/>
      </c>
      <c r="I1302" s="19">
        <f>IF(OR(B1302="",C1302="",D1302=""),"",IFERROR(INDEX(catTipo,MATCH(D1302,catNom,0))&amp;"",""))</f>
        <v/>
      </c>
      <c r="J1302" s="19">
        <f>IF(I1302="","",IFERROR(INDEX(catGrupo,MATCH(D1302,catNom,0))&amp;"",""))</f>
        <v/>
      </c>
      <c r="K1302" s="19">
        <f>IF(I1302="Gasto",IF(IFERROR(INDEX(catClas,MATCH(D1302,catNom,0))&amp;"","")="","Variable",IFERROR(INDEX(catClas,MATCH(D1302,catNom,0))&amp;"","")),"")</f>
        <v/>
      </c>
      <c r="L1302" s="19">
        <f>IF(I1302="","",IFERROR(INDEX(catAlim,MATCH(D1302,catNom,0))&amp;"",""))</f>
        <v/>
      </c>
      <c r="M1302" s="19">
        <f>IF(I1302="","",IFERROR(INDEX(catComida,MATCH(D1302,catNom,0))&amp;"",""))</f>
        <v/>
      </c>
      <c r="N1302" s="19">
        <f>IF(I1302="","",IFERROR(INDEX(ctaMon,MATCH(E1302,ctaNom,0))&amp;"","DOP"))</f>
        <v/>
      </c>
      <c r="O1302" s="20">
        <f>IF(I1302="","",C1302*IF(N1302="USD",TasaUSD,1))</f>
        <v/>
      </c>
      <c r="P1302" s="20">
        <f>IF(I1302="","",IF(I1302="Gasto",O1302,0))</f>
        <v/>
      </c>
      <c r="Q1302" s="20">
        <f>IF(I1302="","",IF(I1302="Ingreso",O1302,0))</f>
        <v/>
      </c>
      <c r="R1302" s="20">
        <f>IF(I1302="","",IF(I1302="Trading",O1302,0))</f>
        <v/>
      </c>
      <c r="S1302" s="19">
        <f>IF(I1302="","",IF(AND(I1302="Gasto",K1302="Variable",J1302&lt;&gt;"Trading",O1302&gt;0,O1302&lt;=Umbral),1,0))</f>
        <v/>
      </c>
      <c r="T1302" s="20">
        <f>IF(OR(I1302="",E1302=""),"",IF(OR(I1302="Gasto",I1302="Transferencia",I1302="Pago tarjeta"),-1,1)*C1302)</f>
        <v/>
      </c>
      <c r="U1302" s="20">
        <f>IF(OR(G1302="",AND(I1302&lt;&gt;"Transferencia",I1302&lt;&gt;"Pago tarjeta")),"",IF(IFERROR(INDEX(ctaMon,MATCH(G1302,ctaNom,0))&amp;"","DOP")=N1302,C1302,IF(N1302="USD",C1302*TasaUSD,C1302/TasaUSD)))</f>
        <v/>
      </c>
      <c r="V1302" s="20">
        <f>IF(I1302="","",IF(IFERROR(INDEX(ctaLiq,MATCH(E1302,ctaNom,0))="Sí",FALSE),IF(OR(I1302="Gasto",I1302="Transferencia",I1302="Pago tarjeta"),-1,1)*O1302,0)+IF(AND(U1302&lt;&gt;"",IFERROR(INDEX(ctaLiq,MATCH(G1302,ctaNom,0))="Sí",FALSE)),O1302,0))</f>
        <v/>
      </c>
      <c r="W1302" s="19">
        <f>IF(OR(F1302="",I1302=""),"",IF(COUNTIFS(F$6:F1302,F1302,I$6:I1302,"?*")=1,MAX(W$5:W1301)+1,""))</f>
        <v/>
      </c>
    </row>
    <row r="1303">
      <c r="B1303" s="15" t="n"/>
      <c r="C1303" s="16" t="n"/>
      <c r="D1303" s="17" t="n"/>
      <c r="E1303" s="17" t="n"/>
      <c r="F1303" s="17" t="n"/>
      <c r="G1303" s="17" t="n"/>
      <c r="H1303" s="18">
        <f>IF(AND(B1303="",C1303="",D1303="",E1303=""),"",IF(B1303="","⚠ Falta fecha",IF(C1303="","⚠ Falta monto",IF(D1303="","⚠ Falta categoría",IF(ISNA(MATCH(D1303,catNom,0)),"⚠ Categoría no existe",IF(E1303="","⚠ Falta cuenta",IF(ISNA(MATCH(E1303,ctaNom,0)),"⚠ Cuenta no existe",IF(AND(OR(I1303="Transferencia",I1303="Pago tarjeta"),G1303=""),"⚠ Indica la cuenta «Hacia»",IF(AND(G1303&lt;&gt;"",G1303=E1303),"⚠ «Hacia» igual a la cuenta",IF(AND(G1303&lt;&gt;"",ISNA(MATCH(G1303,ctaNom,0))),"⚠ «Hacia» no existe",IF(AND(I1303="Pago tarjeta",IFERROR(INDEX(ctaTipo,MATCH(G1303,ctaNom,0)),"")&lt;&gt;"Tarjeta de crédito"),"⚠ «Hacia» debe ser la tarjeta",IF(AND(I1303="Trading",IFERROR(INDEX(ctaTipo,MATCH(E1303,ctaNom,0)),"")&lt;&gt;"Cuenta de trading"),"⚠ Usa la cuenta de trading","✓"))))))))))))</f>
        <v/>
      </c>
      <c r="I1303" s="19">
        <f>IF(OR(B1303="",C1303="",D1303=""),"",IFERROR(INDEX(catTipo,MATCH(D1303,catNom,0))&amp;"",""))</f>
        <v/>
      </c>
      <c r="J1303" s="19">
        <f>IF(I1303="","",IFERROR(INDEX(catGrupo,MATCH(D1303,catNom,0))&amp;"",""))</f>
        <v/>
      </c>
      <c r="K1303" s="19">
        <f>IF(I1303="Gasto",IF(IFERROR(INDEX(catClas,MATCH(D1303,catNom,0))&amp;"","")="","Variable",IFERROR(INDEX(catClas,MATCH(D1303,catNom,0))&amp;"","")),"")</f>
        <v/>
      </c>
      <c r="L1303" s="19">
        <f>IF(I1303="","",IFERROR(INDEX(catAlim,MATCH(D1303,catNom,0))&amp;"",""))</f>
        <v/>
      </c>
      <c r="M1303" s="19">
        <f>IF(I1303="","",IFERROR(INDEX(catComida,MATCH(D1303,catNom,0))&amp;"",""))</f>
        <v/>
      </c>
      <c r="N1303" s="19">
        <f>IF(I1303="","",IFERROR(INDEX(ctaMon,MATCH(E1303,ctaNom,0))&amp;"","DOP"))</f>
        <v/>
      </c>
      <c r="O1303" s="20">
        <f>IF(I1303="","",C1303*IF(N1303="USD",TasaUSD,1))</f>
        <v/>
      </c>
      <c r="P1303" s="20">
        <f>IF(I1303="","",IF(I1303="Gasto",O1303,0))</f>
        <v/>
      </c>
      <c r="Q1303" s="20">
        <f>IF(I1303="","",IF(I1303="Ingreso",O1303,0))</f>
        <v/>
      </c>
      <c r="R1303" s="20">
        <f>IF(I1303="","",IF(I1303="Trading",O1303,0))</f>
        <v/>
      </c>
      <c r="S1303" s="19">
        <f>IF(I1303="","",IF(AND(I1303="Gasto",K1303="Variable",J1303&lt;&gt;"Trading",O1303&gt;0,O1303&lt;=Umbral),1,0))</f>
        <v/>
      </c>
      <c r="T1303" s="20">
        <f>IF(OR(I1303="",E1303=""),"",IF(OR(I1303="Gasto",I1303="Transferencia",I1303="Pago tarjeta"),-1,1)*C1303)</f>
        <v/>
      </c>
      <c r="U1303" s="20">
        <f>IF(OR(G1303="",AND(I1303&lt;&gt;"Transferencia",I1303&lt;&gt;"Pago tarjeta")),"",IF(IFERROR(INDEX(ctaMon,MATCH(G1303,ctaNom,0))&amp;"","DOP")=N1303,C1303,IF(N1303="USD",C1303*TasaUSD,C1303/TasaUSD)))</f>
        <v/>
      </c>
      <c r="V1303" s="20">
        <f>IF(I1303="","",IF(IFERROR(INDEX(ctaLiq,MATCH(E1303,ctaNom,0))="Sí",FALSE),IF(OR(I1303="Gasto",I1303="Transferencia",I1303="Pago tarjeta"),-1,1)*O1303,0)+IF(AND(U1303&lt;&gt;"",IFERROR(INDEX(ctaLiq,MATCH(G1303,ctaNom,0))="Sí",FALSE)),O1303,0))</f>
        <v/>
      </c>
      <c r="W1303" s="19">
        <f>IF(OR(F1303="",I1303=""),"",IF(COUNTIFS(F$6:F1303,F1303,I$6:I1303,"?*")=1,MAX(W$5:W1302)+1,""))</f>
        <v/>
      </c>
    </row>
    <row r="1304">
      <c r="B1304" s="15" t="n"/>
      <c r="C1304" s="16" t="n"/>
      <c r="D1304" s="17" t="n"/>
      <c r="E1304" s="17" t="n"/>
      <c r="F1304" s="17" t="n"/>
      <c r="G1304" s="17" t="n"/>
      <c r="H1304" s="18">
        <f>IF(AND(B1304="",C1304="",D1304="",E1304=""),"",IF(B1304="","⚠ Falta fecha",IF(C1304="","⚠ Falta monto",IF(D1304="","⚠ Falta categoría",IF(ISNA(MATCH(D1304,catNom,0)),"⚠ Categoría no existe",IF(E1304="","⚠ Falta cuenta",IF(ISNA(MATCH(E1304,ctaNom,0)),"⚠ Cuenta no existe",IF(AND(OR(I1304="Transferencia",I1304="Pago tarjeta"),G1304=""),"⚠ Indica la cuenta «Hacia»",IF(AND(G1304&lt;&gt;"",G1304=E1304),"⚠ «Hacia» igual a la cuenta",IF(AND(G1304&lt;&gt;"",ISNA(MATCH(G1304,ctaNom,0))),"⚠ «Hacia» no existe",IF(AND(I1304="Pago tarjeta",IFERROR(INDEX(ctaTipo,MATCH(G1304,ctaNom,0)),"")&lt;&gt;"Tarjeta de crédito"),"⚠ «Hacia» debe ser la tarjeta",IF(AND(I1304="Trading",IFERROR(INDEX(ctaTipo,MATCH(E1304,ctaNom,0)),"")&lt;&gt;"Cuenta de trading"),"⚠ Usa la cuenta de trading","✓"))))))))))))</f>
        <v/>
      </c>
      <c r="I1304" s="19">
        <f>IF(OR(B1304="",C1304="",D1304=""),"",IFERROR(INDEX(catTipo,MATCH(D1304,catNom,0))&amp;"",""))</f>
        <v/>
      </c>
      <c r="J1304" s="19">
        <f>IF(I1304="","",IFERROR(INDEX(catGrupo,MATCH(D1304,catNom,0))&amp;"",""))</f>
        <v/>
      </c>
      <c r="K1304" s="19">
        <f>IF(I1304="Gasto",IF(IFERROR(INDEX(catClas,MATCH(D1304,catNom,0))&amp;"","")="","Variable",IFERROR(INDEX(catClas,MATCH(D1304,catNom,0))&amp;"","")),"")</f>
        <v/>
      </c>
      <c r="L1304" s="19">
        <f>IF(I1304="","",IFERROR(INDEX(catAlim,MATCH(D1304,catNom,0))&amp;"",""))</f>
        <v/>
      </c>
      <c r="M1304" s="19">
        <f>IF(I1304="","",IFERROR(INDEX(catComida,MATCH(D1304,catNom,0))&amp;"",""))</f>
        <v/>
      </c>
      <c r="N1304" s="19">
        <f>IF(I1304="","",IFERROR(INDEX(ctaMon,MATCH(E1304,ctaNom,0))&amp;"","DOP"))</f>
        <v/>
      </c>
      <c r="O1304" s="20">
        <f>IF(I1304="","",C1304*IF(N1304="USD",TasaUSD,1))</f>
        <v/>
      </c>
      <c r="P1304" s="20">
        <f>IF(I1304="","",IF(I1304="Gasto",O1304,0))</f>
        <v/>
      </c>
      <c r="Q1304" s="20">
        <f>IF(I1304="","",IF(I1304="Ingreso",O1304,0))</f>
        <v/>
      </c>
      <c r="R1304" s="20">
        <f>IF(I1304="","",IF(I1304="Trading",O1304,0))</f>
        <v/>
      </c>
      <c r="S1304" s="19">
        <f>IF(I1304="","",IF(AND(I1304="Gasto",K1304="Variable",J1304&lt;&gt;"Trading",O1304&gt;0,O1304&lt;=Umbral),1,0))</f>
        <v/>
      </c>
      <c r="T1304" s="20">
        <f>IF(OR(I1304="",E1304=""),"",IF(OR(I1304="Gasto",I1304="Transferencia",I1304="Pago tarjeta"),-1,1)*C1304)</f>
        <v/>
      </c>
      <c r="U1304" s="20">
        <f>IF(OR(G1304="",AND(I1304&lt;&gt;"Transferencia",I1304&lt;&gt;"Pago tarjeta")),"",IF(IFERROR(INDEX(ctaMon,MATCH(G1304,ctaNom,0))&amp;"","DOP")=N1304,C1304,IF(N1304="USD",C1304*TasaUSD,C1304/TasaUSD)))</f>
        <v/>
      </c>
      <c r="V1304" s="20">
        <f>IF(I1304="","",IF(IFERROR(INDEX(ctaLiq,MATCH(E1304,ctaNom,0))="Sí",FALSE),IF(OR(I1304="Gasto",I1304="Transferencia",I1304="Pago tarjeta"),-1,1)*O1304,0)+IF(AND(U1304&lt;&gt;"",IFERROR(INDEX(ctaLiq,MATCH(G1304,ctaNom,0))="Sí",FALSE)),O1304,0))</f>
        <v/>
      </c>
      <c r="W1304" s="19">
        <f>IF(OR(F1304="",I1304=""),"",IF(COUNTIFS(F$6:F1304,F1304,I$6:I1304,"?*")=1,MAX(W$5:W1303)+1,""))</f>
        <v/>
      </c>
    </row>
    <row r="1305">
      <c r="B1305" s="15" t="n"/>
      <c r="C1305" s="16" t="n"/>
      <c r="D1305" s="17" t="n"/>
      <c r="E1305" s="17" t="n"/>
      <c r="F1305" s="17" t="n"/>
      <c r="G1305" s="17" t="n"/>
      <c r="H1305" s="18">
        <f>IF(AND(B1305="",C1305="",D1305="",E1305=""),"",IF(B1305="","⚠ Falta fecha",IF(C1305="","⚠ Falta monto",IF(D1305="","⚠ Falta categoría",IF(ISNA(MATCH(D1305,catNom,0)),"⚠ Categoría no existe",IF(E1305="","⚠ Falta cuenta",IF(ISNA(MATCH(E1305,ctaNom,0)),"⚠ Cuenta no existe",IF(AND(OR(I1305="Transferencia",I1305="Pago tarjeta"),G1305=""),"⚠ Indica la cuenta «Hacia»",IF(AND(G1305&lt;&gt;"",G1305=E1305),"⚠ «Hacia» igual a la cuenta",IF(AND(G1305&lt;&gt;"",ISNA(MATCH(G1305,ctaNom,0))),"⚠ «Hacia» no existe",IF(AND(I1305="Pago tarjeta",IFERROR(INDEX(ctaTipo,MATCH(G1305,ctaNom,0)),"")&lt;&gt;"Tarjeta de crédito"),"⚠ «Hacia» debe ser la tarjeta",IF(AND(I1305="Trading",IFERROR(INDEX(ctaTipo,MATCH(E1305,ctaNom,0)),"")&lt;&gt;"Cuenta de trading"),"⚠ Usa la cuenta de trading","✓"))))))))))))</f>
        <v/>
      </c>
      <c r="I1305" s="19">
        <f>IF(OR(B1305="",C1305="",D1305=""),"",IFERROR(INDEX(catTipo,MATCH(D1305,catNom,0))&amp;"",""))</f>
        <v/>
      </c>
      <c r="J1305" s="19">
        <f>IF(I1305="","",IFERROR(INDEX(catGrupo,MATCH(D1305,catNom,0))&amp;"",""))</f>
        <v/>
      </c>
      <c r="K1305" s="19">
        <f>IF(I1305="Gasto",IF(IFERROR(INDEX(catClas,MATCH(D1305,catNom,0))&amp;"","")="","Variable",IFERROR(INDEX(catClas,MATCH(D1305,catNom,0))&amp;"","")),"")</f>
        <v/>
      </c>
      <c r="L1305" s="19">
        <f>IF(I1305="","",IFERROR(INDEX(catAlim,MATCH(D1305,catNom,0))&amp;"",""))</f>
        <v/>
      </c>
      <c r="M1305" s="19">
        <f>IF(I1305="","",IFERROR(INDEX(catComida,MATCH(D1305,catNom,0))&amp;"",""))</f>
        <v/>
      </c>
      <c r="N1305" s="19">
        <f>IF(I1305="","",IFERROR(INDEX(ctaMon,MATCH(E1305,ctaNom,0))&amp;"","DOP"))</f>
        <v/>
      </c>
      <c r="O1305" s="20">
        <f>IF(I1305="","",C1305*IF(N1305="USD",TasaUSD,1))</f>
        <v/>
      </c>
      <c r="P1305" s="20">
        <f>IF(I1305="","",IF(I1305="Gasto",O1305,0))</f>
        <v/>
      </c>
      <c r="Q1305" s="20">
        <f>IF(I1305="","",IF(I1305="Ingreso",O1305,0))</f>
        <v/>
      </c>
      <c r="R1305" s="20">
        <f>IF(I1305="","",IF(I1305="Trading",O1305,0))</f>
        <v/>
      </c>
      <c r="S1305" s="19">
        <f>IF(I1305="","",IF(AND(I1305="Gasto",K1305="Variable",J1305&lt;&gt;"Trading",O1305&gt;0,O1305&lt;=Umbral),1,0))</f>
        <v/>
      </c>
      <c r="T1305" s="20">
        <f>IF(OR(I1305="",E1305=""),"",IF(OR(I1305="Gasto",I1305="Transferencia",I1305="Pago tarjeta"),-1,1)*C1305)</f>
        <v/>
      </c>
      <c r="U1305" s="20">
        <f>IF(OR(G1305="",AND(I1305&lt;&gt;"Transferencia",I1305&lt;&gt;"Pago tarjeta")),"",IF(IFERROR(INDEX(ctaMon,MATCH(G1305,ctaNom,0))&amp;"","DOP")=N1305,C1305,IF(N1305="USD",C1305*TasaUSD,C1305/TasaUSD)))</f>
        <v/>
      </c>
      <c r="V1305" s="20">
        <f>IF(I1305="","",IF(IFERROR(INDEX(ctaLiq,MATCH(E1305,ctaNom,0))="Sí",FALSE),IF(OR(I1305="Gasto",I1305="Transferencia",I1305="Pago tarjeta"),-1,1)*O1305,0)+IF(AND(U1305&lt;&gt;"",IFERROR(INDEX(ctaLiq,MATCH(G1305,ctaNom,0))="Sí",FALSE)),O1305,0))</f>
        <v/>
      </c>
      <c r="W1305" s="19">
        <f>IF(OR(F1305="",I1305=""),"",IF(COUNTIFS(F$6:F1305,F1305,I$6:I1305,"?*")=1,MAX(W$5:W1304)+1,""))</f>
        <v/>
      </c>
    </row>
    <row r="1306">
      <c r="B1306" s="15" t="n"/>
      <c r="C1306" s="16" t="n"/>
      <c r="D1306" s="17" t="n"/>
      <c r="E1306" s="17" t="n"/>
      <c r="F1306" s="17" t="n"/>
      <c r="G1306" s="17" t="n"/>
      <c r="H1306" s="18">
        <f>IF(AND(B1306="",C1306="",D1306="",E1306=""),"",IF(B1306="","⚠ Falta fecha",IF(C1306="","⚠ Falta monto",IF(D1306="","⚠ Falta categoría",IF(ISNA(MATCH(D1306,catNom,0)),"⚠ Categoría no existe",IF(E1306="","⚠ Falta cuenta",IF(ISNA(MATCH(E1306,ctaNom,0)),"⚠ Cuenta no existe",IF(AND(OR(I1306="Transferencia",I1306="Pago tarjeta"),G1306=""),"⚠ Indica la cuenta «Hacia»",IF(AND(G1306&lt;&gt;"",G1306=E1306),"⚠ «Hacia» igual a la cuenta",IF(AND(G1306&lt;&gt;"",ISNA(MATCH(G1306,ctaNom,0))),"⚠ «Hacia» no existe",IF(AND(I1306="Pago tarjeta",IFERROR(INDEX(ctaTipo,MATCH(G1306,ctaNom,0)),"")&lt;&gt;"Tarjeta de crédito"),"⚠ «Hacia» debe ser la tarjeta",IF(AND(I1306="Trading",IFERROR(INDEX(ctaTipo,MATCH(E1306,ctaNom,0)),"")&lt;&gt;"Cuenta de trading"),"⚠ Usa la cuenta de trading","✓"))))))))))))</f>
        <v/>
      </c>
      <c r="I1306" s="19">
        <f>IF(OR(B1306="",C1306="",D1306=""),"",IFERROR(INDEX(catTipo,MATCH(D1306,catNom,0))&amp;"",""))</f>
        <v/>
      </c>
      <c r="J1306" s="19">
        <f>IF(I1306="","",IFERROR(INDEX(catGrupo,MATCH(D1306,catNom,0))&amp;"",""))</f>
        <v/>
      </c>
      <c r="K1306" s="19">
        <f>IF(I1306="Gasto",IF(IFERROR(INDEX(catClas,MATCH(D1306,catNom,0))&amp;"","")="","Variable",IFERROR(INDEX(catClas,MATCH(D1306,catNom,0))&amp;"","")),"")</f>
        <v/>
      </c>
      <c r="L1306" s="19">
        <f>IF(I1306="","",IFERROR(INDEX(catAlim,MATCH(D1306,catNom,0))&amp;"",""))</f>
        <v/>
      </c>
      <c r="M1306" s="19">
        <f>IF(I1306="","",IFERROR(INDEX(catComida,MATCH(D1306,catNom,0))&amp;"",""))</f>
        <v/>
      </c>
      <c r="N1306" s="19">
        <f>IF(I1306="","",IFERROR(INDEX(ctaMon,MATCH(E1306,ctaNom,0))&amp;"","DOP"))</f>
        <v/>
      </c>
      <c r="O1306" s="20">
        <f>IF(I1306="","",C1306*IF(N1306="USD",TasaUSD,1))</f>
        <v/>
      </c>
      <c r="P1306" s="20">
        <f>IF(I1306="","",IF(I1306="Gasto",O1306,0))</f>
        <v/>
      </c>
      <c r="Q1306" s="20">
        <f>IF(I1306="","",IF(I1306="Ingreso",O1306,0))</f>
        <v/>
      </c>
      <c r="R1306" s="20">
        <f>IF(I1306="","",IF(I1306="Trading",O1306,0))</f>
        <v/>
      </c>
      <c r="S1306" s="19">
        <f>IF(I1306="","",IF(AND(I1306="Gasto",K1306="Variable",J1306&lt;&gt;"Trading",O1306&gt;0,O1306&lt;=Umbral),1,0))</f>
        <v/>
      </c>
      <c r="T1306" s="20">
        <f>IF(OR(I1306="",E1306=""),"",IF(OR(I1306="Gasto",I1306="Transferencia",I1306="Pago tarjeta"),-1,1)*C1306)</f>
        <v/>
      </c>
      <c r="U1306" s="20">
        <f>IF(OR(G1306="",AND(I1306&lt;&gt;"Transferencia",I1306&lt;&gt;"Pago tarjeta")),"",IF(IFERROR(INDEX(ctaMon,MATCH(G1306,ctaNom,0))&amp;"","DOP")=N1306,C1306,IF(N1306="USD",C1306*TasaUSD,C1306/TasaUSD)))</f>
        <v/>
      </c>
      <c r="V1306" s="20">
        <f>IF(I1306="","",IF(IFERROR(INDEX(ctaLiq,MATCH(E1306,ctaNom,0))="Sí",FALSE),IF(OR(I1306="Gasto",I1306="Transferencia",I1306="Pago tarjeta"),-1,1)*O1306,0)+IF(AND(U1306&lt;&gt;"",IFERROR(INDEX(ctaLiq,MATCH(G1306,ctaNom,0))="Sí",FALSE)),O1306,0))</f>
        <v/>
      </c>
      <c r="W1306" s="19">
        <f>IF(OR(F1306="",I1306=""),"",IF(COUNTIFS(F$6:F1306,F1306,I$6:I1306,"?*")=1,MAX(W$5:W1305)+1,""))</f>
        <v/>
      </c>
    </row>
    <row r="1307">
      <c r="B1307" s="15" t="n"/>
      <c r="C1307" s="16" t="n"/>
      <c r="D1307" s="17" t="n"/>
      <c r="E1307" s="17" t="n"/>
      <c r="F1307" s="17" t="n"/>
      <c r="G1307" s="17" t="n"/>
      <c r="H1307" s="18">
        <f>IF(AND(B1307="",C1307="",D1307="",E1307=""),"",IF(B1307="","⚠ Falta fecha",IF(C1307="","⚠ Falta monto",IF(D1307="","⚠ Falta categoría",IF(ISNA(MATCH(D1307,catNom,0)),"⚠ Categoría no existe",IF(E1307="","⚠ Falta cuenta",IF(ISNA(MATCH(E1307,ctaNom,0)),"⚠ Cuenta no existe",IF(AND(OR(I1307="Transferencia",I1307="Pago tarjeta"),G1307=""),"⚠ Indica la cuenta «Hacia»",IF(AND(G1307&lt;&gt;"",G1307=E1307),"⚠ «Hacia» igual a la cuenta",IF(AND(G1307&lt;&gt;"",ISNA(MATCH(G1307,ctaNom,0))),"⚠ «Hacia» no existe",IF(AND(I1307="Pago tarjeta",IFERROR(INDEX(ctaTipo,MATCH(G1307,ctaNom,0)),"")&lt;&gt;"Tarjeta de crédito"),"⚠ «Hacia» debe ser la tarjeta",IF(AND(I1307="Trading",IFERROR(INDEX(ctaTipo,MATCH(E1307,ctaNom,0)),"")&lt;&gt;"Cuenta de trading"),"⚠ Usa la cuenta de trading","✓"))))))))))))</f>
        <v/>
      </c>
      <c r="I1307" s="19">
        <f>IF(OR(B1307="",C1307="",D1307=""),"",IFERROR(INDEX(catTipo,MATCH(D1307,catNom,0))&amp;"",""))</f>
        <v/>
      </c>
      <c r="J1307" s="19">
        <f>IF(I1307="","",IFERROR(INDEX(catGrupo,MATCH(D1307,catNom,0))&amp;"",""))</f>
        <v/>
      </c>
      <c r="K1307" s="19">
        <f>IF(I1307="Gasto",IF(IFERROR(INDEX(catClas,MATCH(D1307,catNom,0))&amp;"","")="","Variable",IFERROR(INDEX(catClas,MATCH(D1307,catNom,0))&amp;"","")),"")</f>
        <v/>
      </c>
      <c r="L1307" s="19">
        <f>IF(I1307="","",IFERROR(INDEX(catAlim,MATCH(D1307,catNom,0))&amp;"",""))</f>
        <v/>
      </c>
      <c r="M1307" s="19">
        <f>IF(I1307="","",IFERROR(INDEX(catComida,MATCH(D1307,catNom,0))&amp;"",""))</f>
        <v/>
      </c>
      <c r="N1307" s="19">
        <f>IF(I1307="","",IFERROR(INDEX(ctaMon,MATCH(E1307,ctaNom,0))&amp;"","DOP"))</f>
        <v/>
      </c>
      <c r="O1307" s="20">
        <f>IF(I1307="","",C1307*IF(N1307="USD",TasaUSD,1))</f>
        <v/>
      </c>
      <c r="P1307" s="20">
        <f>IF(I1307="","",IF(I1307="Gasto",O1307,0))</f>
        <v/>
      </c>
      <c r="Q1307" s="20">
        <f>IF(I1307="","",IF(I1307="Ingreso",O1307,0))</f>
        <v/>
      </c>
      <c r="R1307" s="20">
        <f>IF(I1307="","",IF(I1307="Trading",O1307,0))</f>
        <v/>
      </c>
      <c r="S1307" s="19">
        <f>IF(I1307="","",IF(AND(I1307="Gasto",K1307="Variable",J1307&lt;&gt;"Trading",O1307&gt;0,O1307&lt;=Umbral),1,0))</f>
        <v/>
      </c>
      <c r="T1307" s="20">
        <f>IF(OR(I1307="",E1307=""),"",IF(OR(I1307="Gasto",I1307="Transferencia",I1307="Pago tarjeta"),-1,1)*C1307)</f>
        <v/>
      </c>
      <c r="U1307" s="20">
        <f>IF(OR(G1307="",AND(I1307&lt;&gt;"Transferencia",I1307&lt;&gt;"Pago tarjeta")),"",IF(IFERROR(INDEX(ctaMon,MATCH(G1307,ctaNom,0))&amp;"","DOP")=N1307,C1307,IF(N1307="USD",C1307*TasaUSD,C1307/TasaUSD)))</f>
        <v/>
      </c>
      <c r="V1307" s="20">
        <f>IF(I1307="","",IF(IFERROR(INDEX(ctaLiq,MATCH(E1307,ctaNom,0))="Sí",FALSE),IF(OR(I1307="Gasto",I1307="Transferencia",I1307="Pago tarjeta"),-1,1)*O1307,0)+IF(AND(U1307&lt;&gt;"",IFERROR(INDEX(ctaLiq,MATCH(G1307,ctaNom,0))="Sí",FALSE)),O1307,0))</f>
        <v/>
      </c>
      <c r="W1307" s="19">
        <f>IF(OR(F1307="",I1307=""),"",IF(COUNTIFS(F$6:F1307,F1307,I$6:I1307,"?*")=1,MAX(W$5:W1306)+1,""))</f>
        <v/>
      </c>
    </row>
    <row r="1308">
      <c r="B1308" s="15" t="n"/>
      <c r="C1308" s="16" t="n"/>
      <c r="D1308" s="17" t="n"/>
      <c r="E1308" s="17" t="n"/>
      <c r="F1308" s="17" t="n"/>
      <c r="G1308" s="17" t="n"/>
      <c r="H1308" s="18">
        <f>IF(AND(B1308="",C1308="",D1308="",E1308=""),"",IF(B1308="","⚠ Falta fecha",IF(C1308="","⚠ Falta monto",IF(D1308="","⚠ Falta categoría",IF(ISNA(MATCH(D1308,catNom,0)),"⚠ Categoría no existe",IF(E1308="","⚠ Falta cuenta",IF(ISNA(MATCH(E1308,ctaNom,0)),"⚠ Cuenta no existe",IF(AND(OR(I1308="Transferencia",I1308="Pago tarjeta"),G1308=""),"⚠ Indica la cuenta «Hacia»",IF(AND(G1308&lt;&gt;"",G1308=E1308),"⚠ «Hacia» igual a la cuenta",IF(AND(G1308&lt;&gt;"",ISNA(MATCH(G1308,ctaNom,0))),"⚠ «Hacia» no existe",IF(AND(I1308="Pago tarjeta",IFERROR(INDEX(ctaTipo,MATCH(G1308,ctaNom,0)),"")&lt;&gt;"Tarjeta de crédito"),"⚠ «Hacia» debe ser la tarjeta",IF(AND(I1308="Trading",IFERROR(INDEX(ctaTipo,MATCH(E1308,ctaNom,0)),"")&lt;&gt;"Cuenta de trading"),"⚠ Usa la cuenta de trading","✓"))))))))))))</f>
        <v/>
      </c>
      <c r="I1308" s="19">
        <f>IF(OR(B1308="",C1308="",D1308=""),"",IFERROR(INDEX(catTipo,MATCH(D1308,catNom,0))&amp;"",""))</f>
        <v/>
      </c>
      <c r="J1308" s="19">
        <f>IF(I1308="","",IFERROR(INDEX(catGrupo,MATCH(D1308,catNom,0))&amp;"",""))</f>
        <v/>
      </c>
      <c r="K1308" s="19">
        <f>IF(I1308="Gasto",IF(IFERROR(INDEX(catClas,MATCH(D1308,catNom,0))&amp;"","")="","Variable",IFERROR(INDEX(catClas,MATCH(D1308,catNom,0))&amp;"","")),"")</f>
        <v/>
      </c>
      <c r="L1308" s="19">
        <f>IF(I1308="","",IFERROR(INDEX(catAlim,MATCH(D1308,catNom,0))&amp;"",""))</f>
        <v/>
      </c>
      <c r="M1308" s="19">
        <f>IF(I1308="","",IFERROR(INDEX(catComida,MATCH(D1308,catNom,0))&amp;"",""))</f>
        <v/>
      </c>
      <c r="N1308" s="19">
        <f>IF(I1308="","",IFERROR(INDEX(ctaMon,MATCH(E1308,ctaNom,0))&amp;"","DOP"))</f>
        <v/>
      </c>
      <c r="O1308" s="20">
        <f>IF(I1308="","",C1308*IF(N1308="USD",TasaUSD,1))</f>
        <v/>
      </c>
      <c r="P1308" s="20">
        <f>IF(I1308="","",IF(I1308="Gasto",O1308,0))</f>
        <v/>
      </c>
      <c r="Q1308" s="20">
        <f>IF(I1308="","",IF(I1308="Ingreso",O1308,0))</f>
        <v/>
      </c>
      <c r="R1308" s="20">
        <f>IF(I1308="","",IF(I1308="Trading",O1308,0))</f>
        <v/>
      </c>
      <c r="S1308" s="19">
        <f>IF(I1308="","",IF(AND(I1308="Gasto",K1308="Variable",J1308&lt;&gt;"Trading",O1308&gt;0,O1308&lt;=Umbral),1,0))</f>
        <v/>
      </c>
      <c r="T1308" s="20">
        <f>IF(OR(I1308="",E1308=""),"",IF(OR(I1308="Gasto",I1308="Transferencia",I1308="Pago tarjeta"),-1,1)*C1308)</f>
        <v/>
      </c>
      <c r="U1308" s="20">
        <f>IF(OR(G1308="",AND(I1308&lt;&gt;"Transferencia",I1308&lt;&gt;"Pago tarjeta")),"",IF(IFERROR(INDEX(ctaMon,MATCH(G1308,ctaNom,0))&amp;"","DOP")=N1308,C1308,IF(N1308="USD",C1308*TasaUSD,C1308/TasaUSD)))</f>
        <v/>
      </c>
      <c r="V1308" s="20">
        <f>IF(I1308="","",IF(IFERROR(INDEX(ctaLiq,MATCH(E1308,ctaNom,0))="Sí",FALSE),IF(OR(I1308="Gasto",I1308="Transferencia",I1308="Pago tarjeta"),-1,1)*O1308,0)+IF(AND(U1308&lt;&gt;"",IFERROR(INDEX(ctaLiq,MATCH(G1308,ctaNom,0))="Sí",FALSE)),O1308,0))</f>
        <v/>
      </c>
      <c r="W1308" s="19">
        <f>IF(OR(F1308="",I1308=""),"",IF(COUNTIFS(F$6:F1308,F1308,I$6:I1308,"?*")=1,MAX(W$5:W1307)+1,""))</f>
        <v/>
      </c>
    </row>
    <row r="1309">
      <c r="B1309" s="15" t="n"/>
      <c r="C1309" s="16" t="n"/>
      <c r="D1309" s="17" t="n"/>
      <c r="E1309" s="17" t="n"/>
      <c r="F1309" s="17" t="n"/>
      <c r="G1309" s="17" t="n"/>
      <c r="H1309" s="18">
        <f>IF(AND(B1309="",C1309="",D1309="",E1309=""),"",IF(B1309="","⚠ Falta fecha",IF(C1309="","⚠ Falta monto",IF(D1309="","⚠ Falta categoría",IF(ISNA(MATCH(D1309,catNom,0)),"⚠ Categoría no existe",IF(E1309="","⚠ Falta cuenta",IF(ISNA(MATCH(E1309,ctaNom,0)),"⚠ Cuenta no existe",IF(AND(OR(I1309="Transferencia",I1309="Pago tarjeta"),G1309=""),"⚠ Indica la cuenta «Hacia»",IF(AND(G1309&lt;&gt;"",G1309=E1309),"⚠ «Hacia» igual a la cuenta",IF(AND(G1309&lt;&gt;"",ISNA(MATCH(G1309,ctaNom,0))),"⚠ «Hacia» no existe",IF(AND(I1309="Pago tarjeta",IFERROR(INDEX(ctaTipo,MATCH(G1309,ctaNom,0)),"")&lt;&gt;"Tarjeta de crédito"),"⚠ «Hacia» debe ser la tarjeta",IF(AND(I1309="Trading",IFERROR(INDEX(ctaTipo,MATCH(E1309,ctaNom,0)),"")&lt;&gt;"Cuenta de trading"),"⚠ Usa la cuenta de trading","✓"))))))))))))</f>
        <v/>
      </c>
      <c r="I1309" s="19">
        <f>IF(OR(B1309="",C1309="",D1309=""),"",IFERROR(INDEX(catTipo,MATCH(D1309,catNom,0))&amp;"",""))</f>
        <v/>
      </c>
      <c r="J1309" s="19">
        <f>IF(I1309="","",IFERROR(INDEX(catGrupo,MATCH(D1309,catNom,0))&amp;"",""))</f>
        <v/>
      </c>
      <c r="K1309" s="19">
        <f>IF(I1309="Gasto",IF(IFERROR(INDEX(catClas,MATCH(D1309,catNom,0))&amp;"","")="","Variable",IFERROR(INDEX(catClas,MATCH(D1309,catNom,0))&amp;"","")),"")</f>
        <v/>
      </c>
      <c r="L1309" s="19">
        <f>IF(I1309="","",IFERROR(INDEX(catAlim,MATCH(D1309,catNom,0))&amp;"",""))</f>
        <v/>
      </c>
      <c r="M1309" s="19">
        <f>IF(I1309="","",IFERROR(INDEX(catComida,MATCH(D1309,catNom,0))&amp;"",""))</f>
        <v/>
      </c>
      <c r="N1309" s="19">
        <f>IF(I1309="","",IFERROR(INDEX(ctaMon,MATCH(E1309,ctaNom,0))&amp;"","DOP"))</f>
        <v/>
      </c>
      <c r="O1309" s="20">
        <f>IF(I1309="","",C1309*IF(N1309="USD",TasaUSD,1))</f>
        <v/>
      </c>
      <c r="P1309" s="20">
        <f>IF(I1309="","",IF(I1309="Gasto",O1309,0))</f>
        <v/>
      </c>
      <c r="Q1309" s="20">
        <f>IF(I1309="","",IF(I1309="Ingreso",O1309,0))</f>
        <v/>
      </c>
      <c r="R1309" s="20">
        <f>IF(I1309="","",IF(I1309="Trading",O1309,0))</f>
        <v/>
      </c>
      <c r="S1309" s="19">
        <f>IF(I1309="","",IF(AND(I1309="Gasto",K1309="Variable",J1309&lt;&gt;"Trading",O1309&gt;0,O1309&lt;=Umbral),1,0))</f>
        <v/>
      </c>
      <c r="T1309" s="20">
        <f>IF(OR(I1309="",E1309=""),"",IF(OR(I1309="Gasto",I1309="Transferencia",I1309="Pago tarjeta"),-1,1)*C1309)</f>
        <v/>
      </c>
      <c r="U1309" s="20">
        <f>IF(OR(G1309="",AND(I1309&lt;&gt;"Transferencia",I1309&lt;&gt;"Pago tarjeta")),"",IF(IFERROR(INDEX(ctaMon,MATCH(G1309,ctaNom,0))&amp;"","DOP")=N1309,C1309,IF(N1309="USD",C1309*TasaUSD,C1309/TasaUSD)))</f>
        <v/>
      </c>
      <c r="V1309" s="20">
        <f>IF(I1309="","",IF(IFERROR(INDEX(ctaLiq,MATCH(E1309,ctaNom,0))="Sí",FALSE),IF(OR(I1309="Gasto",I1309="Transferencia",I1309="Pago tarjeta"),-1,1)*O1309,0)+IF(AND(U1309&lt;&gt;"",IFERROR(INDEX(ctaLiq,MATCH(G1309,ctaNom,0))="Sí",FALSE)),O1309,0))</f>
        <v/>
      </c>
      <c r="W1309" s="19">
        <f>IF(OR(F1309="",I1309=""),"",IF(COUNTIFS(F$6:F1309,F1309,I$6:I1309,"?*")=1,MAX(W$5:W1308)+1,""))</f>
        <v/>
      </c>
    </row>
    <row r="1310">
      <c r="B1310" s="15" t="n"/>
      <c r="C1310" s="16" t="n"/>
      <c r="D1310" s="17" t="n"/>
      <c r="E1310" s="17" t="n"/>
      <c r="F1310" s="17" t="n"/>
      <c r="G1310" s="17" t="n"/>
      <c r="H1310" s="18">
        <f>IF(AND(B1310="",C1310="",D1310="",E1310=""),"",IF(B1310="","⚠ Falta fecha",IF(C1310="","⚠ Falta monto",IF(D1310="","⚠ Falta categoría",IF(ISNA(MATCH(D1310,catNom,0)),"⚠ Categoría no existe",IF(E1310="","⚠ Falta cuenta",IF(ISNA(MATCH(E1310,ctaNom,0)),"⚠ Cuenta no existe",IF(AND(OR(I1310="Transferencia",I1310="Pago tarjeta"),G1310=""),"⚠ Indica la cuenta «Hacia»",IF(AND(G1310&lt;&gt;"",G1310=E1310),"⚠ «Hacia» igual a la cuenta",IF(AND(G1310&lt;&gt;"",ISNA(MATCH(G1310,ctaNom,0))),"⚠ «Hacia» no existe",IF(AND(I1310="Pago tarjeta",IFERROR(INDEX(ctaTipo,MATCH(G1310,ctaNom,0)),"")&lt;&gt;"Tarjeta de crédito"),"⚠ «Hacia» debe ser la tarjeta",IF(AND(I1310="Trading",IFERROR(INDEX(ctaTipo,MATCH(E1310,ctaNom,0)),"")&lt;&gt;"Cuenta de trading"),"⚠ Usa la cuenta de trading","✓"))))))))))))</f>
        <v/>
      </c>
      <c r="I1310" s="19">
        <f>IF(OR(B1310="",C1310="",D1310=""),"",IFERROR(INDEX(catTipo,MATCH(D1310,catNom,0))&amp;"",""))</f>
        <v/>
      </c>
      <c r="J1310" s="19">
        <f>IF(I1310="","",IFERROR(INDEX(catGrupo,MATCH(D1310,catNom,0))&amp;"",""))</f>
        <v/>
      </c>
      <c r="K1310" s="19">
        <f>IF(I1310="Gasto",IF(IFERROR(INDEX(catClas,MATCH(D1310,catNom,0))&amp;"","")="","Variable",IFERROR(INDEX(catClas,MATCH(D1310,catNom,0))&amp;"","")),"")</f>
        <v/>
      </c>
      <c r="L1310" s="19">
        <f>IF(I1310="","",IFERROR(INDEX(catAlim,MATCH(D1310,catNom,0))&amp;"",""))</f>
        <v/>
      </c>
      <c r="M1310" s="19">
        <f>IF(I1310="","",IFERROR(INDEX(catComida,MATCH(D1310,catNom,0))&amp;"",""))</f>
        <v/>
      </c>
      <c r="N1310" s="19">
        <f>IF(I1310="","",IFERROR(INDEX(ctaMon,MATCH(E1310,ctaNom,0))&amp;"","DOP"))</f>
        <v/>
      </c>
      <c r="O1310" s="20">
        <f>IF(I1310="","",C1310*IF(N1310="USD",TasaUSD,1))</f>
        <v/>
      </c>
      <c r="P1310" s="20">
        <f>IF(I1310="","",IF(I1310="Gasto",O1310,0))</f>
        <v/>
      </c>
      <c r="Q1310" s="20">
        <f>IF(I1310="","",IF(I1310="Ingreso",O1310,0))</f>
        <v/>
      </c>
      <c r="R1310" s="20">
        <f>IF(I1310="","",IF(I1310="Trading",O1310,0))</f>
        <v/>
      </c>
      <c r="S1310" s="19">
        <f>IF(I1310="","",IF(AND(I1310="Gasto",K1310="Variable",J1310&lt;&gt;"Trading",O1310&gt;0,O1310&lt;=Umbral),1,0))</f>
        <v/>
      </c>
      <c r="T1310" s="20">
        <f>IF(OR(I1310="",E1310=""),"",IF(OR(I1310="Gasto",I1310="Transferencia",I1310="Pago tarjeta"),-1,1)*C1310)</f>
        <v/>
      </c>
      <c r="U1310" s="20">
        <f>IF(OR(G1310="",AND(I1310&lt;&gt;"Transferencia",I1310&lt;&gt;"Pago tarjeta")),"",IF(IFERROR(INDEX(ctaMon,MATCH(G1310,ctaNom,0))&amp;"","DOP")=N1310,C1310,IF(N1310="USD",C1310*TasaUSD,C1310/TasaUSD)))</f>
        <v/>
      </c>
      <c r="V1310" s="20">
        <f>IF(I1310="","",IF(IFERROR(INDEX(ctaLiq,MATCH(E1310,ctaNom,0))="Sí",FALSE),IF(OR(I1310="Gasto",I1310="Transferencia",I1310="Pago tarjeta"),-1,1)*O1310,0)+IF(AND(U1310&lt;&gt;"",IFERROR(INDEX(ctaLiq,MATCH(G1310,ctaNom,0))="Sí",FALSE)),O1310,0))</f>
        <v/>
      </c>
      <c r="W1310" s="19">
        <f>IF(OR(F1310="",I1310=""),"",IF(COUNTIFS(F$6:F1310,F1310,I$6:I1310,"?*")=1,MAX(W$5:W1309)+1,""))</f>
        <v/>
      </c>
    </row>
    <row r="1311">
      <c r="B1311" s="15" t="n"/>
      <c r="C1311" s="16" t="n"/>
      <c r="D1311" s="17" t="n"/>
      <c r="E1311" s="17" t="n"/>
      <c r="F1311" s="17" t="n"/>
      <c r="G1311" s="17" t="n"/>
      <c r="H1311" s="18">
        <f>IF(AND(B1311="",C1311="",D1311="",E1311=""),"",IF(B1311="","⚠ Falta fecha",IF(C1311="","⚠ Falta monto",IF(D1311="","⚠ Falta categoría",IF(ISNA(MATCH(D1311,catNom,0)),"⚠ Categoría no existe",IF(E1311="","⚠ Falta cuenta",IF(ISNA(MATCH(E1311,ctaNom,0)),"⚠ Cuenta no existe",IF(AND(OR(I1311="Transferencia",I1311="Pago tarjeta"),G1311=""),"⚠ Indica la cuenta «Hacia»",IF(AND(G1311&lt;&gt;"",G1311=E1311),"⚠ «Hacia» igual a la cuenta",IF(AND(G1311&lt;&gt;"",ISNA(MATCH(G1311,ctaNom,0))),"⚠ «Hacia» no existe",IF(AND(I1311="Pago tarjeta",IFERROR(INDEX(ctaTipo,MATCH(G1311,ctaNom,0)),"")&lt;&gt;"Tarjeta de crédito"),"⚠ «Hacia» debe ser la tarjeta",IF(AND(I1311="Trading",IFERROR(INDEX(ctaTipo,MATCH(E1311,ctaNom,0)),"")&lt;&gt;"Cuenta de trading"),"⚠ Usa la cuenta de trading","✓"))))))))))))</f>
        <v/>
      </c>
      <c r="I1311" s="19">
        <f>IF(OR(B1311="",C1311="",D1311=""),"",IFERROR(INDEX(catTipo,MATCH(D1311,catNom,0))&amp;"",""))</f>
        <v/>
      </c>
      <c r="J1311" s="19">
        <f>IF(I1311="","",IFERROR(INDEX(catGrupo,MATCH(D1311,catNom,0))&amp;"",""))</f>
        <v/>
      </c>
      <c r="K1311" s="19">
        <f>IF(I1311="Gasto",IF(IFERROR(INDEX(catClas,MATCH(D1311,catNom,0))&amp;"","")="","Variable",IFERROR(INDEX(catClas,MATCH(D1311,catNom,0))&amp;"","")),"")</f>
        <v/>
      </c>
      <c r="L1311" s="19">
        <f>IF(I1311="","",IFERROR(INDEX(catAlim,MATCH(D1311,catNom,0))&amp;"",""))</f>
        <v/>
      </c>
      <c r="M1311" s="19">
        <f>IF(I1311="","",IFERROR(INDEX(catComida,MATCH(D1311,catNom,0))&amp;"",""))</f>
        <v/>
      </c>
      <c r="N1311" s="19">
        <f>IF(I1311="","",IFERROR(INDEX(ctaMon,MATCH(E1311,ctaNom,0))&amp;"","DOP"))</f>
        <v/>
      </c>
      <c r="O1311" s="20">
        <f>IF(I1311="","",C1311*IF(N1311="USD",TasaUSD,1))</f>
        <v/>
      </c>
      <c r="P1311" s="20">
        <f>IF(I1311="","",IF(I1311="Gasto",O1311,0))</f>
        <v/>
      </c>
      <c r="Q1311" s="20">
        <f>IF(I1311="","",IF(I1311="Ingreso",O1311,0))</f>
        <v/>
      </c>
      <c r="R1311" s="20">
        <f>IF(I1311="","",IF(I1311="Trading",O1311,0))</f>
        <v/>
      </c>
      <c r="S1311" s="19">
        <f>IF(I1311="","",IF(AND(I1311="Gasto",K1311="Variable",J1311&lt;&gt;"Trading",O1311&gt;0,O1311&lt;=Umbral),1,0))</f>
        <v/>
      </c>
      <c r="T1311" s="20">
        <f>IF(OR(I1311="",E1311=""),"",IF(OR(I1311="Gasto",I1311="Transferencia",I1311="Pago tarjeta"),-1,1)*C1311)</f>
        <v/>
      </c>
      <c r="U1311" s="20">
        <f>IF(OR(G1311="",AND(I1311&lt;&gt;"Transferencia",I1311&lt;&gt;"Pago tarjeta")),"",IF(IFERROR(INDEX(ctaMon,MATCH(G1311,ctaNom,0))&amp;"","DOP")=N1311,C1311,IF(N1311="USD",C1311*TasaUSD,C1311/TasaUSD)))</f>
        <v/>
      </c>
      <c r="V1311" s="20">
        <f>IF(I1311="","",IF(IFERROR(INDEX(ctaLiq,MATCH(E1311,ctaNom,0))="Sí",FALSE),IF(OR(I1311="Gasto",I1311="Transferencia",I1311="Pago tarjeta"),-1,1)*O1311,0)+IF(AND(U1311&lt;&gt;"",IFERROR(INDEX(ctaLiq,MATCH(G1311,ctaNom,0))="Sí",FALSE)),O1311,0))</f>
        <v/>
      </c>
      <c r="W1311" s="19">
        <f>IF(OR(F1311="",I1311=""),"",IF(COUNTIFS(F$6:F1311,F1311,I$6:I1311,"?*")=1,MAX(W$5:W1310)+1,""))</f>
        <v/>
      </c>
    </row>
    <row r="1312">
      <c r="B1312" s="15" t="n"/>
      <c r="C1312" s="16" t="n"/>
      <c r="D1312" s="17" t="n"/>
      <c r="E1312" s="17" t="n"/>
      <c r="F1312" s="17" t="n"/>
      <c r="G1312" s="17" t="n"/>
      <c r="H1312" s="18">
        <f>IF(AND(B1312="",C1312="",D1312="",E1312=""),"",IF(B1312="","⚠ Falta fecha",IF(C1312="","⚠ Falta monto",IF(D1312="","⚠ Falta categoría",IF(ISNA(MATCH(D1312,catNom,0)),"⚠ Categoría no existe",IF(E1312="","⚠ Falta cuenta",IF(ISNA(MATCH(E1312,ctaNom,0)),"⚠ Cuenta no existe",IF(AND(OR(I1312="Transferencia",I1312="Pago tarjeta"),G1312=""),"⚠ Indica la cuenta «Hacia»",IF(AND(G1312&lt;&gt;"",G1312=E1312),"⚠ «Hacia» igual a la cuenta",IF(AND(G1312&lt;&gt;"",ISNA(MATCH(G1312,ctaNom,0))),"⚠ «Hacia» no existe",IF(AND(I1312="Pago tarjeta",IFERROR(INDEX(ctaTipo,MATCH(G1312,ctaNom,0)),"")&lt;&gt;"Tarjeta de crédito"),"⚠ «Hacia» debe ser la tarjeta",IF(AND(I1312="Trading",IFERROR(INDEX(ctaTipo,MATCH(E1312,ctaNom,0)),"")&lt;&gt;"Cuenta de trading"),"⚠ Usa la cuenta de trading","✓"))))))))))))</f>
        <v/>
      </c>
      <c r="I1312" s="19">
        <f>IF(OR(B1312="",C1312="",D1312=""),"",IFERROR(INDEX(catTipo,MATCH(D1312,catNom,0))&amp;"",""))</f>
        <v/>
      </c>
      <c r="J1312" s="19">
        <f>IF(I1312="","",IFERROR(INDEX(catGrupo,MATCH(D1312,catNom,0))&amp;"",""))</f>
        <v/>
      </c>
      <c r="K1312" s="19">
        <f>IF(I1312="Gasto",IF(IFERROR(INDEX(catClas,MATCH(D1312,catNom,0))&amp;"","")="","Variable",IFERROR(INDEX(catClas,MATCH(D1312,catNom,0))&amp;"","")),"")</f>
        <v/>
      </c>
      <c r="L1312" s="19">
        <f>IF(I1312="","",IFERROR(INDEX(catAlim,MATCH(D1312,catNom,0))&amp;"",""))</f>
        <v/>
      </c>
      <c r="M1312" s="19">
        <f>IF(I1312="","",IFERROR(INDEX(catComida,MATCH(D1312,catNom,0))&amp;"",""))</f>
        <v/>
      </c>
      <c r="N1312" s="19">
        <f>IF(I1312="","",IFERROR(INDEX(ctaMon,MATCH(E1312,ctaNom,0))&amp;"","DOP"))</f>
        <v/>
      </c>
      <c r="O1312" s="20">
        <f>IF(I1312="","",C1312*IF(N1312="USD",TasaUSD,1))</f>
        <v/>
      </c>
      <c r="P1312" s="20">
        <f>IF(I1312="","",IF(I1312="Gasto",O1312,0))</f>
        <v/>
      </c>
      <c r="Q1312" s="20">
        <f>IF(I1312="","",IF(I1312="Ingreso",O1312,0))</f>
        <v/>
      </c>
      <c r="R1312" s="20">
        <f>IF(I1312="","",IF(I1312="Trading",O1312,0))</f>
        <v/>
      </c>
      <c r="S1312" s="19">
        <f>IF(I1312="","",IF(AND(I1312="Gasto",K1312="Variable",J1312&lt;&gt;"Trading",O1312&gt;0,O1312&lt;=Umbral),1,0))</f>
        <v/>
      </c>
      <c r="T1312" s="20">
        <f>IF(OR(I1312="",E1312=""),"",IF(OR(I1312="Gasto",I1312="Transferencia",I1312="Pago tarjeta"),-1,1)*C1312)</f>
        <v/>
      </c>
      <c r="U1312" s="20">
        <f>IF(OR(G1312="",AND(I1312&lt;&gt;"Transferencia",I1312&lt;&gt;"Pago tarjeta")),"",IF(IFERROR(INDEX(ctaMon,MATCH(G1312,ctaNom,0))&amp;"","DOP")=N1312,C1312,IF(N1312="USD",C1312*TasaUSD,C1312/TasaUSD)))</f>
        <v/>
      </c>
      <c r="V1312" s="20">
        <f>IF(I1312="","",IF(IFERROR(INDEX(ctaLiq,MATCH(E1312,ctaNom,0))="Sí",FALSE),IF(OR(I1312="Gasto",I1312="Transferencia",I1312="Pago tarjeta"),-1,1)*O1312,0)+IF(AND(U1312&lt;&gt;"",IFERROR(INDEX(ctaLiq,MATCH(G1312,ctaNom,0))="Sí",FALSE)),O1312,0))</f>
        <v/>
      </c>
      <c r="W1312" s="19">
        <f>IF(OR(F1312="",I1312=""),"",IF(COUNTIFS(F$6:F1312,F1312,I$6:I1312,"?*")=1,MAX(W$5:W1311)+1,""))</f>
        <v/>
      </c>
    </row>
    <row r="1313">
      <c r="B1313" s="15" t="n"/>
      <c r="C1313" s="16" t="n"/>
      <c r="D1313" s="17" t="n"/>
      <c r="E1313" s="17" t="n"/>
      <c r="F1313" s="17" t="n"/>
      <c r="G1313" s="17" t="n"/>
      <c r="H1313" s="18">
        <f>IF(AND(B1313="",C1313="",D1313="",E1313=""),"",IF(B1313="","⚠ Falta fecha",IF(C1313="","⚠ Falta monto",IF(D1313="","⚠ Falta categoría",IF(ISNA(MATCH(D1313,catNom,0)),"⚠ Categoría no existe",IF(E1313="","⚠ Falta cuenta",IF(ISNA(MATCH(E1313,ctaNom,0)),"⚠ Cuenta no existe",IF(AND(OR(I1313="Transferencia",I1313="Pago tarjeta"),G1313=""),"⚠ Indica la cuenta «Hacia»",IF(AND(G1313&lt;&gt;"",G1313=E1313),"⚠ «Hacia» igual a la cuenta",IF(AND(G1313&lt;&gt;"",ISNA(MATCH(G1313,ctaNom,0))),"⚠ «Hacia» no existe",IF(AND(I1313="Pago tarjeta",IFERROR(INDEX(ctaTipo,MATCH(G1313,ctaNom,0)),"")&lt;&gt;"Tarjeta de crédito"),"⚠ «Hacia» debe ser la tarjeta",IF(AND(I1313="Trading",IFERROR(INDEX(ctaTipo,MATCH(E1313,ctaNom,0)),"")&lt;&gt;"Cuenta de trading"),"⚠ Usa la cuenta de trading","✓"))))))))))))</f>
        <v/>
      </c>
      <c r="I1313" s="19">
        <f>IF(OR(B1313="",C1313="",D1313=""),"",IFERROR(INDEX(catTipo,MATCH(D1313,catNom,0))&amp;"",""))</f>
        <v/>
      </c>
      <c r="J1313" s="19">
        <f>IF(I1313="","",IFERROR(INDEX(catGrupo,MATCH(D1313,catNom,0))&amp;"",""))</f>
        <v/>
      </c>
      <c r="K1313" s="19">
        <f>IF(I1313="Gasto",IF(IFERROR(INDEX(catClas,MATCH(D1313,catNom,0))&amp;"","")="","Variable",IFERROR(INDEX(catClas,MATCH(D1313,catNom,0))&amp;"","")),"")</f>
        <v/>
      </c>
      <c r="L1313" s="19">
        <f>IF(I1313="","",IFERROR(INDEX(catAlim,MATCH(D1313,catNom,0))&amp;"",""))</f>
        <v/>
      </c>
      <c r="M1313" s="19">
        <f>IF(I1313="","",IFERROR(INDEX(catComida,MATCH(D1313,catNom,0))&amp;"",""))</f>
        <v/>
      </c>
      <c r="N1313" s="19">
        <f>IF(I1313="","",IFERROR(INDEX(ctaMon,MATCH(E1313,ctaNom,0))&amp;"","DOP"))</f>
        <v/>
      </c>
      <c r="O1313" s="20">
        <f>IF(I1313="","",C1313*IF(N1313="USD",TasaUSD,1))</f>
        <v/>
      </c>
      <c r="P1313" s="20">
        <f>IF(I1313="","",IF(I1313="Gasto",O1313,0))</f>
        <v/>
      </c>
      <c r="Q1313" s="20">
        <f>IF(I1313="","",IF(I1313="Ingreso",O1313,0))</f>
        <v/>
      </c>
      <c r="R1313" s="20">
        <f>IF(I1313="","",IF(I1313="Trading",O1313,0))</f>
        <v/>
      </c>
      <c r="S1313" s="19">
        <f>IF(I1313="","",IF(AND(I1313="Gasto",K1313="Variable",J1313&lt;&gt;"Trading",O1313&gt;0,O1313&lt;=Umbral),1,0))</f>
        <v/>
      </c>
      <c r="T1313" s="20">
        <f>IF(OR(I1313="",E1313=""),"",IF(OR(I1313="Gasto",I1313="Transferencia",I1313="Pago tarjeta"),-1,1)*C1313)</f>
        <v/>
      </c>
      <c r="U1313" s="20">
        <f>IF(OR(G1313="",AND(I1313&lt;&gt;"Transferencia",I1313&lt;&gt;"Pago tarjeta")),"",IF(IFERROR(INDEX(ctaMon,MATCH(G1313,ctaNom,0))&amp;"","DOP")=N1313,C1313,IF(N1313="USD",C1313*TasaUSD,C1313/TasaUSD)))</f>
        <v/>
      </c>
      <c r="V1313" s="20">
        <f>IF(I1313="","",IF(IFERROR(INDEX(ctaLiq,MATCH(E1313,ctaNom,0))="Sí",FALSE),IF(OR(I1313="Gasto",I1313="Transferencia",I1313="Pago tarjeta"),-1,1)*O1313,0)+IF(AND(U1313&lt;&gt;"",IFERROR(INDEX(ctaLiq,MATCH(G1313,ctaNom,0))="Sí",FALSE)),O1313,0))</f>
        <v/>
      </c>
      <c r="W1313" s="19">
        <f>IF(OR(F1313="",I1313=""),"",IF(COUNTIFS(F$6:F1313,F1313,I$6:I1313,"?*")=1,MAX(W$5:W1312)+1,""))</f>
        <v/>
      </c>
    </row>
    <row r="1314">
      <c r="B1314" s="15" t="n"/>
      <c r="C1314" s="16" t="n"/>
      <c r="D1314" s="17" t="n"/>
      <c r="E1314" s="17" t="n"/>
      <c r="F1314" s="17" t="n"/>
      <c r="G1314" s="17" t="n"/>
      <c r="H1314" s="18">
        <f>IF(AND(B1314="",C1314="",D1314="",E1314=""),"",IF(B1314="","⚠ Falta fecha",IF(C1314="","⚠ Falta monto",IF(D1314="","⚠ Falta categoría",IF(ISNA(MATCH(D1314,catNom,0)),"⚠ Categoría no existe",IF(E1314="","⚠ Falta cuenta",IF(ISNA(MATCH(E1314,ctaNom,0)),"⚠ Cuenta no existe",IF(AND(OR(I1314="Transferencia",I1314="Pago tarjeta"),G1314=""),"⚠ Indica la cuenta «Hacia»",IF(AND(G1314&lt;&gt;"",G1314=E1314),"⚠ «Hacia» igual a la cuenta",IF(AND(G1314&lt;&gt;"",ISNA(MATCH(G1314,ctaNom,0))),"⚠ «Hacia» no existe",IF(AND(I1314="Pago tarjeta",IFERROR(INDEX(ctaTipo,MATCH(G1314,ctaNom,0)),"")&lt;&gt;"Tarjeta de crédito"),"⚠ «Hacia» debe ser la tarjeta",IF(AND(I1314="Trading",IFERROR(INDEX(ctaTipo,MATCH(E1314,ctaNom,0)),"")&lt;&gt;"Cuenta de trading"),"⚠ Usa la cuenta de trading","✓"))))))))))))</f>
        <v/>
      </c>
      <c r="I1314" s="19">
        <f>IF(OR(B1314="",C1314="",D1314=""),"",IFERROR(INDEX(catTipo,MATCH(D1314,catNom,0))&amp;"",""))</f>
        <v/>
      </c>
      <c r="J1314" s="19">
        <f>IF(I1314="","",IFERROR(INDEX(catGrupo,MATCH(D1314,catNom,0))&amp;"",""))</f>
        <v/>
      </c>
      <c r="K1314" s="19">
        <f>IF(I1314="Gasto",IF(IFERROR(INDEX(catClas,MATCH(D1314,catNom,0))&amp;"","")="","Variable",IFERROR(INDEX(catClas,MATCH(D1314,catNom,0))&amp;"","")),"")</f>
        <v/>
      </c>
      <c r="L1314" s="19">
        <f>IF(I1314="","",IFERROR(INDEX(catAlim,MATCH(D1314,catNom,0))&amp;"",""))</f>
        <v/>
      </c>
      <c r="M1314" s="19">
        <f>IF(I1314="","",IFERROR(INDEX(catComida,MATCH(D1314,catNom,0))&amp;"",""))</f>
        <v/>
      </c>
      <c r="N1314" s="19">
        <f>IF(I1314="","",IFERROR(INDEX(ctaMon,MATCH(E1314,ctaNom,0))&amp;"","DOP"))</f>
        <v/>
      </c>
      <c r="O1314" s="20">
        <f>IF(I1314="","",C1314*IF(N1314="USD",TasaUSD,1))</f>
        <v/>
      </c>
      <c r="P1314" s="20">
        <f>IF(I1314="","",IF(I1314="Gasto",O1314,0))</f>
        <v/>
      </c>
      <c r="Q1314" s="20">
        <f>IF(I1314="","",IF(I1314="Ingreso",O1314,0))</f>
        <v/>
      </c>
      <c r="R1314" s="20">
        <f>IF(I1314="","",IF(I1314="Trading",O1314,0))</f>
        <v/>
      </c>
      <c r="S1314" s="19">
        <f>IF(I1314="","",IF(AND(I1314="Gasto",K1314="Variable",J1314&lt;&gt;"Trading",O1314&gt;0,O1314&lt;=Umbral),1,0))</f>
        <v/>
      </c>
      <c r="T1314" s="20">
        <f>IF(OR(I1314="",E1314=""),"",IF(OR(I1314="Gasto",I1314="Transferencia",I1314="Pago tarjeta"),-1,1)*C1314)</f>
        <v/>
      </c>
      <c r="U1314" s="20">
        <f>IF(OR(G1314="",AND(I1314&lt;&gt;"Transferencia",I1314&lt;&gt;"Pago tarjeta")),"",IF(IFERROR(INDEX(ctaMon,MATCH(G1314,ctaNom,0))&amp;"","DOP")=N1314,C1314,IF(N1314="USD",C1314*TasaUSD,C1314/TasaUSD)))</f>
        <v/>
      </c>
      <c r="V1314" s="20">
        <f>IF(I1314="","",IF(IFERROR(INDEX(ctaLiq,MATCH(E1314,ctaNom,0))="Sí",FALSE),IF(OR(I1314="Gasto",I1314="Transferencia",I1314="Pago tarjeta"),-1,1)*O1314,0)+IF(AND(U1314&lt;&gt;"",IFERROR(INDEX(ctaLiq,MATCH(G1314,ctaNom,0))="Sí",FALSE)),O1314,0))</f>
        <v/>
      </c>
      <c r="W1314" s="19">
        <f>IF(OR(F1314="",I1314=""),"",IF(COUNTIFS(F$6:F1314,F1314,I$6:I1314,"?*")=1,MAX(W$5:W1313)+1,""))</f>
        <v/>
      </c>
    </row>
    <row r="1315">
      <c r="B1315" s="15" t="n"/>
      <c r="C1315" s="16" t="n"/>
      <c r="D1315" s="17" t="n"/>
      <c r="E1315" s="17" t="n"/>
      <c r="F1315" s="17" t="n"/>
      <c r="G1315" s="17" t="n"/>
      <c r="H1315" s="18">
        <f>IF(AND(B1315="",C1315="",D1315="",E1315=""),"",IF(B1315="","⚠ Falta fecha",IF(C1315="","⚠ Falta monto",IF(D1315="","⚠ Falta categoría",IF(ISNA(MATCH(D1315,catNom,0)),"⚠ Categoría no existe",IF(E1315="","⚠ Falta cuenta",IF(ISNA(MATCH(E1315,ctaNom,0)),"⚠ Cuenta no existe",IF(AND(OR(I1315="Transferencia",I1315="Pago tarjeta"),G1315=""),"⚠ Indica la cuenta «Hacia»",IF(AND(G1315&lt;&gt;"",G1315=E1315),"⚠ «Hacia» igual a la cuenta",IF(AND(G1315&lt;&gt;"",ISNA(MATCH(G1315,ctaNom,0))),"⚠ «Hacia» no existe",IF(AND(I1315="Pago tarjeta",IFERROR(INDEX(ctaTipo,MATCH(G1315,ctaNom,0)),"")&lt;&gt;"Tarjeta de crédito"),"⚠ «Hacia» debe ser la tarjeta",IF(AND(I1315="Trading",IFERROR(INDEX(ctaTipo,MATCH(E1315,ctaNom,0)),"")&lt;&gt;"Cuenta de trading"),"⚠ Usa la cuenta de trading","✓"))))))))))))</f>
        <v/>
      </c>
      <c r="I1315" s="19">
        <f>IF(OR(B1315="",C1315="",D1315=""),"",IFERROR(INDEX(catTipo,MATCH(D1315,catNom,0))&amp;"",""))</f>
        <v/>
      </c>
      <c r="J1315" s="19">
        <f>IF(I1315="","",IFERROR(INDEX(catGrupo,MATCH(D1315,catNom,0))&amp;"",""))</f>
        <v/>
      </c>
      <c r="K1315" s="19">
        <f>IF(I1315="Gasto",IF(IFERROR(INDEX(catClas,MATCH(D1315,catNom,0))&amp;"","")="","Variable",IFERROR(INDEX(catClas,MATCH(D1315,catNom,0))&amp;"","")),"")</f>
        <v/>
      </c>
      <c r="L1315" s="19">
        <f>IF(I1315="","",IFERROR(INDEX(catAlim,MATCH(D1315,catNom,0))&amp;"",""))</f>
        <v/>
      </c>
      <c r="M1315" s="19">
        <f>IF(I1315="","",IFERROR(INDEX(catComida,MATCH(D1315,catNom,0))&amp;"",""))</f>
        <v/>
      </c>
      <c r="N1315" s="19">
        <f>IF(I1315="","",IFERROR(INDEX(ctaMon,MATCH(E1315,ctaNom,0))&amp;"","DOP"))</f>
        <v/>
      </c>
      <c r="O1315" s="20">
        <f>IF(I1315="","",C1315*IF(N1315="USD",TasaUSD,1))</f>
        <v/>
      </c>
      <c r="P1315" s="20">
        <f>IF(I1315="","",IF(I1315="Gasto",O1315,0))</f>
        <v/>
      </c>
      <c r="Q1315" s="20">
        <f>IF(I1315="","",IF(I1315="Ingreso",O1315,0))</f>
        <v/>
      </c>
      <c r="R1315" s="20">
        <f>IF(I1315="","",IF(I1315="Trading",O1315,0))</f>
        <v/>
      </c>
      <c r="S1315" s="19">
        <f>IF(I1315="","",IF(AND(I1315="Gasto",K1315="Variable",J1315&lt;&gt;"Trading",O1315&gt;0,O1315&lt;=Umbral),1,0))</f>
        <v/>
      </c>
      <c r="T1315" s="20">
        <f>IF(OR(I1315="",E1315=""),"",IF(OR(I1315="Gasto",I1315="Transferencia",I1315="Pago tarjeta"),-1,1)*C1315)</f>
        <v/>
      </c>
      <c r="U1315" s="20">
        <f>IF(OR(G1315="",AND(I1315&lt;&gt;"Transferencia",I1315&lt;&gt;"Pago tarjeta")),"",IF(IFERROR(INDEX(ctaMon,MATCH(G1315,ctaNom,0))&amp;"","DOP")=N1315,C1315,IF(N1315="USD",C1315*TasaUSD,C1315/TasaUSD)))</f>
        <v/>
      </c>
      <c r="V1315" s="20">
        <f>IF(I1315="","",IF(IFERROR(INDEX(ctaLiq,MATCH(E1315,ctaNom,0))="Sí",FALSE),IF(OR(I1315="Gasto",I1315="Transferencia",I1315="Pago tarjeta"),-1,1)*O1315,0)+IF(AND(U1315&lt;&gt;"",IFERROR(INDEX(ctaLiq,MATCH(G1315,ctaNom,0))="Sí",FALSE)),O1315,0))</f>
        <v/>
      </c>
      <c r="W1315" s="19">
        <f>IF(OR(F1315="",I1315=""),"",IF(COUNTIFS(F$6:F1315,F1315,I$6:I1315,"?*")=1,MAX(W$5:W1314)+1,""))</f>
        <v/>
      </c>
    </row>
    <row r="1316">
      <c r="B1316" s="15" t="n"/>
      <c r="C1316" s="16" t="n"/>
      <c r="D1316" s="17" t="n"/>
      <c r="E1316" s="17" t="n"/>
      <c r="F1316" s="17" t="n"/>
      <c r="G1316" s="17" t="n"/>
      <c r="H1316" s="18">
        <f>IF(AND(B1316="",C1316="",D1316="",E1316=""),"",IF(B1316="","⚠ Falta fecha",IF(C1316="","⚠ Falta monto",IF(D1316="","⚠ Falta categoría",IF(ISNA(MATCH(D1316,catNom,0)),"⚠ Categoría no existe",IF(E1316="","⚠ Falta cuenta",IF(ISNA(MATCH(E1316,ctaNom,0)),"⚠ Cuenta no existe",IF(AND(OR(I1316="Transferencia",I1316="Pago tarjeta"),G1316=""),"⚠ Indica la cuenta «Hacia»",IF(AND(G1316&lt;&gt;"",G1316=E1316),"⚠ «Hacia» igual a la cuenta",IF(AND(G1316&lt;&gt;"",ISNA(MATCH(G1316,ctaNom,0))),"⚠ «Hacia» no existe",IF(AND(I1316="Pago tarjeta",IFERROR(INDEX(ctaTipo,MATCH(G1316,ctaNom,0)),"")&lt;&gt;"Tarjeta de crédito"),"⚠ «Hacia» debe ser la tarjeta",IF(AND(I1316="Trading",IFERROR(INDEX(ctaTipo,MATCH(E1316,ctaNom,0)),"")&lt;&gt;"Cuenta de trading"),"⚠ Usa la cuenta de trading","✓"))))))))))))</f>
        <v/>
      </c>
      <c r="I1316" s="19">
        <f>IF(OR(B1316="",C1316="",D1316=""),"",IFERROR(INDEX(catTipo,MATCH(D1316,catNom,0))&amp;"",""))</f>
        <v/>
      </c>
      <c r="J1316" s="19">
        <f>IF(I1316="","",IFERROR(INDEX(catGrupo,MATCH(D1316,catNom,0))&amp;"",""))</f>
        <v/>
      </c>
      <c r="K1316" s="19">
        <f>IF(I1316="Gasto",IF(IFERROR(INDEX(catClas,MATCH(D1316,catNom,0))&amp;"","")="","Variable",IFERROR(INDEX(catClas,MATCH(D1316,catNom,0))&amp;"","")),"")</f>
        <v/>
      </c>
      <c r="L1316" s="19">
        <f>IF(I1316="","",IFERROR(INDEX(catAlim,MATCH(D1316,catNom,0))&amp;"",""))</f>
        <v/>
      </c>
      <c r="M1316" s="19">
        <f>IF(I1316="","",IFERROR(INDEX(catComida,MATCH(D1316,catNom,0))&amp;"",""))</f>
        <v/>
      </c>
      <c r="N1316" s="19">
        <f>IF(I1316="","",IFERROR(INDEX(ctaMon,MATCH(E1316,ctaNom,0))&amp;"","DOP"))</f>
        <v/>
      </c>
      <c r="O1316" s="20">
        <f>IF(I1316="","",C1316*IF(N1316="USD",TasaUSD,1))</f>
        <v/>
      </c>
      <c r="P1316" s="20">
        <f>IF(I1316="","",IF(I1316="Gasto",O1316,0))</f>
        <v/>
      </c>
      <c r="Q1316" s="20">
        <f>IF(I1316="","",IF(I1316="Ingreso",O1316,0))</f>
        <v/>
      </c>
      <c r="R1316" s="20">
        <f>IF(I1316="","",IF(I1316="Trading",O1316,0))</f>
        <v/>
      </c>
      <c r="S1316" s="19">
        <f>IF(I1316="","",IF(AND(I1316="Gasto",K1316="Variable",J1316&lt;&gt;"Trading",O1316&gt;0,O1316&lt;=Umbral),1,0))</f>
        <v/>
      </c>
      <c r="T1316" s="20">
        <f>IF(OR(I1316="",E1316=""),"",IF(OR(I1316="Gasto",I1316="Transferencia",I1316="Pago tarjeta"),-1,1)*C1316)</f>
        <v/>
      </c>
      <c r="U1316" s="20">
        <f>IF(OR(G1316="",AND(I1316&lt;&gt;"Transferencia",I1316&lt;&gt;"Pago tarjeta")),"",IF(IFERROR(INDEX(ctaMon,MATCH(G1316,ctaNom,0))&amp;"","DOP")=N1316,C1316,IF(N1316="USD",C1316*TasaUSD,C1316/TasaUSD)))</f>
        <v/>
      </c>
      <c r="V1316" s="20">
        <f>IF(I1316="","",IF(IFERROR(INDEX(ctaLiq,MATCH(E1316,ctaNom,0))="Sí",FALSE),IF(OR(I1316="Gasto",I1316="Transferencia",I1316="Pago tarjeta"),-1,1)*O1316,0)+IF(AND(U1316&lt;&gt;"",IFERROR(INDEX(ctaLiq,MATCH(G1316,ctaNom,0))="Sí",FALSE)),O1316,0))</f>
        <v/>
      </c>
      <c r="W1316" s="19">
        <f>IF(OR(F1316="",I1316=""),"",IF(COUNTIFS(F$6:F1316,F1316,I$6:I1316,"?*")=1,MAX(W$5:W1315)+1,""))</f>
        <v/>
      </c>
    </row>
    <row r="1317">
      <c r="B1317" s="15" t="n"/>
      <c r="C1317" s="16" t="n"/>
      <c r="D1317" s="17" t="n"/>
      <c r="E1317" s="17" t="n"/>
      <c r="F1317" s="17" t="n"/>
      <c r="G1317" s="17" t="n"/>
      <c r="H1317" s="18">
        <f>IF(AND(B1317="",C1317="",D1317="",E1317=""),"",IF(B1317="","⚠ Falta fecha",IF(C1317="","⚠ Falta monto",IF(D1317="","⚠ Falta categoría",IF(ISNA(MATCH(D1317,catNom,0)),"⚠ Categoría no existe",IF(E1317="","⚠ Falta cuenta",IF(ISNA(MATCH(E1317,ctaNom,0)),"⚠ Cuenta no existe",IF(AND(OR(I1317="Transferencia",I1317="Pago tarjeta"),G1317=""),"⚠ Indica la cuenta «Hacia»",IF(AND(G1317&lt;&gt;"",G1317=E1317),"⚠ «Hacia» igual a la cuenta",IF(AND(G1317&lt;&gt;"",ISNA(MATCH(G1317,ctaNom,0))),"⚠ «Hacia» no existe",IF(AND(I1317="Pago tarjeta",IFERROR(INDEX(ctaTipo,MATCH(G1317,ctaNom,0)),"")&lt;&gt;"Tarjeta de crédito"),"⚠ «Hacia» debe ser la tarjeta",IF(AND(I1317="Trading",IFERROR(INDEX(ctaTipo,MATCH(E1317,ctaNom,0)),"")&lt;&gt;"Cuenta de trading"),"⚠ Usa la cuenta de trading","✓"))))))))))))</f>
        <v/>
      </c>
      <c r="I1317" s="19">
        <f>IF(OR(B1317="",C1317="",D1317=""),"",IFERROR(INDEX(catTipo,MATCH(D1317,catNom,0))&amp;"",""))</f>
        <v/>
      </c>
      <c r="J1317" s="19">
        <f>IF(I1317="","",IFERROR(INDEX(catGrupo,MATCH(D1317,catNom,0))&amp;"",""))</f>
        <v/>
      </c>
      <c r="K1317" s="19">
        <f>IF(I1317="Gasto",IF(IFERROR(INDEX(catClas,MATCH(D1317,catNom,0))&amp;"","")="","Variable",IFERROR(INDEX(catClas,MATCH(D1317,catNom,0))&amp;"","")),"")</f>
        <v/>
      </c>
      <c r="L1317" s="19">
        <f>IF(I1317="","",IFERROR(INDEX(catAlim,MATCH(D1317,catNom,0))&amp;"",""))</f>
        <v/>
      </c>
      <c r="M1317" s="19">
        <f>IF(I1317="","",IFERROR(INDEX(catComida,MATCH(D1317,catNom,0))&amp;"",""))</f>
        <v/>
      </c>
      <c r="N1317" s="19">
        <f>IF(I1317="","",IFERROR(INDEX(ctaMon,MATCH(E1317,ctaNom,0))&amp;"","DOP"))</f>
        <v/>
      </c>
      <c r="O1317" s="20">
        <f>IF(I1317="","",C1317*IF(N1317="USD",TasaUSD,1))</f>
        <v/>
      </c>
      <c r="P1317" s="20">
        <f>IF(I1317="","",IF(I1317="Gasto",O1317,0))</f>
        <v/>
      </c>
      <c r="Q1317" s="20">
        <f>IF(I1317="","",IF(I1317="Ingreso",O1317,0))</f>
        <v/>
      </c>
      <c r="R1317" s="20">
        <f>IF(I1317="","",IF(I1317="Trading",O1317,0))</f>
        <v/>
      </c>
      <c r="S1317" s="19">
        <f>IF(I1317="","",IF(AND(I1317="Gasto",K1317="Variable",J1317&lt;&gt;"Trading",O1317&gt;0,O1317&lt;=Umbral),1,0))</f>
        <v/>
      </c>
      <c r="T1317" s="20">
        <f>IF(OR(I1317="",E1317=""),"",IF(OR(I1317="Gasto",I1317="Transferencia",I1317="Pago tarjeta"),-1,1)*C1317)</f>
        <v/>
      </c>
      <c r="U1317" s="20">
        <f>IF(OR(G1317="",AND(I1317&lt;&gt;"Transferencia",I1317&lt;&gt;"Pago tarjeta")),"",IF(IFERROR(INDEX(ctaMon,MATCH(G1317,ctaNom,0))&amp;"","DOP")=N1317,C1317,IF(N1317="USD",C1317*TasaUSD,C1317/TasaUSD)))</f>
        <v/>
      </c>
      <c r="V1317" s="20">
        <f>IF(I1317="","",IF(IFERROR(INDEX(ctaLiq,MATCH(E1317,ctaNom,0))="Sí",FALSE),IF(OR(I1317="Gasto",I1317="Transferencia",I1317="Pago tarjeta"),-1,1)*O1317,0)+IF(AND(U1317&lt;&gt;"",IFERROR(INDEX(ctaLiq,MATCH(G1317,ctaNom,0))="Sí",FALSE)),O1317,0))</f>
        <v/>
      </c>
      <c r="W1317" s="19">
        <f>IF(OR(F1317="",I1317=""),"",IF(COUNTIFS(F$6:F1317,F1317,I$6:I1317,"?*")=1,MAX(W$5:W1316)+1,""))</f>
        <v/>
      </c>
    </row>
    <row r="1318">
      <c r="B1318" s="15" t="n"/>
      <c r="C1318" s="16" t="n"/>
      <c r="D1318" s="17" t="n"/>
      <c r="E1318" s="17" t="n"/>
      <c r="F1318" s="17" t="n"/>
      <c r="G1318" s="17" t="n"/>
      <c r="H1318" s="18">
        <f>IF(AND(B1318="",C1318="",D1318="",E1318=""),"",IF(B1318="","⚠ Falta fecha",IF(C1318="","⚠ Falta monto",IF(D1318="","⚠ Falta categoría",IF(ISNA(MATCH(D1318,catNom,0)),"⚠ Categoría no existe",IF(E1318="","⚠ Falta cuenta",IF(ISNA(MATCH(E1318,ctaNom,0)),"⚠ Cuenta no existe",IF(AND(OR(I1318="Transferencia",I1318="Pago tarjeta"),G1318=""),"⚠ Indica la cuenta «Hacia»",IF(AND(G1318&lt;&gt;"",G1318=E1318),"⚠ «Hacia» igual a la cuenta",IF(AND(G1318&lt;&gt;"",ISNA(MATCH(G1318,ctaNom,0))),"⚠ «Hacia» no existe",IF(AND(I1318="Pago tarjeta",IFERROR(INDEX(ctaTipo,MATCH(G1318,ctaNom,0)),"")&lt;&gt;"Tarjeta de crédito"),"⚠ «Hacia» debe ser la tarjeta",IF(AND(I1318="Trading",IFERROR(INDEX(ctaTipo,MATCH(E1318,ctaNom,0)),"")&lt;&gt;"Cuenta de trading"),"⚠ Usa la cuenta de trading","✓"))))))))))))</f>
        <v/>
      </c>
      <c r="I1318" s="19">
        <f>IF(OR(B1318="",C1318="",D1318=""),"",IFERROR(INDEX(catTipo,MATCH(D1318,catNom,0))&amp;"",""))</f>
        <v/>
      </c>
      <c r="J1318" s="19">
        <f>IF(I1318="","",IFERROR(INDEX(catGrupo,MATCH(D1318,catNom,0))&amp;"",""))</f>
        <v/>
      </c>
      <c r="K1318" s="19">
        <f>IF(I1318="Gasto",IF(IFERROR(INDEX(catClas,MATCH(D1318,catNom,0))&amp;"","")="","Variable",IFERROR(INDEX(catClas,MATCH(D1318,catNom,0))&amp;"","")),"")</f>
        <v/>
      </c>
      <c r="L1318" s="19">
        <f>IF(I1318="","",IFERROR(INDEX(catAlim,MATCH(D1318,catNom,0))&amp;"",""))</f>
        <v/>
      </c>
      <c r="M1318" s="19">
        <f>IF(I1318="","",IFERROR(INDEX(catComida,MATCH(D1318,catNom,0))&amp;"",""))</f>
        <v/>
      </c>
      <c r="N1318" s="19">
        <f>IF(I1318="","",IFERROR(INDEX(ctaMon,MATCH(E1318,ctaNom,0))&amp;"","DOP"))</f>
        <v/>
      </c>
      <c r="O1318" s="20">
        <f>IF(I1318="","",C1318*IF(N1318="USD",TasaUSD,1))</f>
        <v/>
      </c>
      <c r="P1318" s="20">
        <f>IF(I1318="","",IF(I1318="Gasto",O1318,0))</f>
        <v/>
      </c>
      <c r="Q1318" s="20">
        <f>IF(I1318="","",IF(I1318="Ingreso",O1318,0))</f>
        <v/>
      </c>
      <c r="R1318" s="20">
        <f>IF(I1318="","",IF(I1318="Trading",O1318,0))</f>
        <v/>
      </c>
      <c r="S1318" s="19">
        <f>IF(I1318="","",IF(AND(I1318="Gasto",K1318="Variable",J1318&lt;&gt;"Trading",O1318&gt;0,O1318&lt;=Umbral),1,0))</f>
        <v/>
      </c>
      <c r="T1318" s="20">
        <f>IF(OR(I1318="",E1318=""),"",IF(OR(I1318="Gasto",I1318="Transferencia",I1318="Pago tarjeta"),-1,1)*C1318)</f>
        <v/>
      </c>
      <c r="U1318" s="20">
        <f>IF(OR(G1318="",AND(I1318&lt;&gt;"Transferencia",I1318&lt;&gt;"Pago tarjeta")),"",IF(IFERROR(INDEX(ctaMon,MATCH(G1318,ctaNom,0))&amp;"","DOP")=N1318,C1318,IF(N1318="USD",C1318*TasaUSD,C1318/TasaUSD)))</f>
        <v/>
      </c>
      <c r="V1318" s="20">
        <f>IF(I1318="","",IF(IFERROR(INDEX(ctaLiq,MATCH(E1318,ctaNom,0))="Sí",FALSE),IF(OR(I1318="Gasto",I1318="Transferencia",I1318="Pago tarjeta"),-1,1)*O1318,0)+IF(AND(U1318&lt;&gt;"",IFERROR(INDEX(ctaLiq,MATCH(G1318,ctaNom,0))="Sí",FALSE)),O1318,0))</f>
        <v/>
      </c>
      <c r="W1318" s="19">
        <f>IF(OR(F1318="",I1318=""),"",IF(COUNTIFS(F$6:F1318,F1318,I$6:I1318,"?*")=1,MAX(W$5:W1317)+1,""))</f>
        <v/>
      </c>
    </row>
    <row r="1319">
      <c r="B1319" s="15" t="n"/>
      <c r="C1319" s="16" t="n"/>
      <c r="D1319" s="17" t="n"/>
      <c r="E1319" s="17" t="n"/>
      <c r="F1319" s="17" t="n"/>
      <c r="G1319" s="17" t="n"/>
      <c r="H1319" s="18">
        <f>IF(AND(B1319="",C1319="",D1319="",E1319=""),"",IF(B1319="","⚠ Falta fecha",IF(C1319="","⚠ Falta monto",IF(D1319="","⚠ Falta categoría",IF(ISNA(MATCH(D1319,catNom,0)),"⚠ Categoría no existe",IF(E1319="","⚠ Falta cuenta",IF(ISNA(MATCH(E1319,ctaNom,0)),"⚠ Cuenta no existe",IF(AND(OR(I1319="Transferencia",I1319="Pago tarjeta"),G1319=""),"⚠ Indica la cuenta «Hacia»",IF(AND(G1319&lt;&gt;"",G1319=E1319),"⚠ «Hacia» igual a la cuenta",IF(AND(G1319&lt;&gt;"",ISNA(MATCH(G1319,ctaNom,0))),"⚠ «Hacia» no existe",IF(AND(I1319="Pago tarjeta",IFERROR(INDEX(ctaTipo,MATCH(G1319,ctaNom,0)),"")&lt;&gt;"Tarjeta de crédito"),"⚠ «Hacia» debe ser la tarjeta",IF(AND(I1319="Trading",IFERROR(INDEX(ctaTipo,MATCH(E1319,ctaNom,0)),"")&lt;&gt;"Cuenta de trading"),"⚠ Usa la cuenta de trading","✓"))))))))))))</f>
        <v/>
      </c>
      <c r="I1319" s="19">
        <f>IF(OR(B1319="",C1319="",D1319=""),"",IFERROR(INDEX(catTipo,MATCH(D1319,catNom,0))&amp;"",""))</f>
        <v/>
      </c>
      <c r="J1319" s="19">
        <f>IF(I1319="","",IFERROR(INDEX(catGrupo,MATCH(D1319,catNom,0))&amp;"",""))</f>
        <v/>
      </c>
      <c r="K1319" s="19">
        <f>IF(I1319="Gasto",IF(IFERROR(INDEX(catClas,MATCH(D1319,catNom,0))&amp;"","")="","Variable",IFERROR(INDEX(catClas,MATCH(D1319,catNom,0))&amp;"","")),"")</f>
        <v/>
      </c>
      <c r="L1319" s="19">
        <f>IF(I1319="","",IFERROR(INDEX(catAlim,MATCH(D1319,catNom,0))&amp;"",""))</f>
        <v/>
      </c>
      <c r="M1319" s="19">
        <f>IF(I1319="","",IFERROR(INDEX(catComida,MATCH(D1319,catNom,0))&amp;"",""))</f>
        <v/>
      </c>
      <c r="N1319" s="19">
        <f>IF(I1319="","",IFERROR(INDEX(ctaMon,MATCH(E1319,ctaNom,0))&amp;"","DOP"))</f>
        <v/>
      </c>
      <c r="O1319" s="20">
        <f>IF(I1319="","",C1319*IF(N1319="USD",TasaUSD,1))</f>
        <v/>
      </c>
      <c r="P1319" s="20">
        <f>IF(I1319="","",IF(I1319="Gasto",O1319,0))</f>
        <v/>
      </c>
      <c r="Q1319" s="20">
        <f>IF(I1319="","",IF(I1319="Ingreso",O1319,0))</f>
        <v/>
      </c>
      <c r="R1319" s="20">
        <f>IF(I1319="","",IF(I1319="Trading",O1319,0))</f>
        <v/>
      </c>
      <c r="S1319" s="19">
        <f>IF(I1319="","",IF(AND(I1319="Gasto",K1319="Variable",J1319&lt;&gt;"Trading",O1319&gt;0,O1319&lt;=Umbral),1,0))</f>
        <v/>
      </c>
      <c r="T1319" s="20">
        <f>IF(OR(I1319="",E1319=""),"",IF(OR(I1319="Gasto",I1319="Transferencia",I1319="Pago tarjeta"),-1,1)*C1319)</f>
        <v/>
      </c>
      <c r="U1319" s="20">
        <f>IF(OR(G1319="",AND(I1319&lt;&gt;"Transferencia",I1319&lt;&gt;"Pago tarjeta")),"",IF(IFERROR(INDEX(ctaMon,MATCH(G1319,ctaNom,0))&amp;"","DOP")=N1319,C1319,IF(N1319="USD",C1319*TasaUSD,C1319/TasaUSD)))</f>
        <v/>
      </c>
      <c r="V1319" s="20">
        <f>IF(I1319="","",IF(IFERROR(INDEX(ctaLiq,MATCH(E1319,ctaNom,0))="Sí",FALSE),IF(OR(I1319="Gasto",I1319="Transferencia",I1319="Pago tarjeta"),-1,1)*O1319,0)+IF(AND(U1319&lt;&gt;"",IFERROR(INDEX(ctaLiq,MATCH(G1319,ctaNom,0))="Sí",FALSE)),O1319,0))</f>
        <v/>
      </c>
      <c r="W1319" s="19">
        <f>IF(OR(F1319="",I1319=""),"",IF(COUNTIFS(F$6:F1319,F1319,I$6:I1319,"?*")=1,MAX(W$5:W1318)+1,""))</f>
        <v/>
      </c>
    </row>
    <row r="1320">
      <c r="B1320" s="15" t="n"/>
      <c r="C1320" s="16" t="n"/>
      <c r="D1320" s="17" t="n"/>
      <c r="E1320" s="17" t="n"/>
      <c r="F1320" s="17" t="n"/>
      <c r="G1320" s="17" t="n"/>
      <c r="H1320" s="18">
        <f>IF(AND(B1320="",C1320="",D1320="",E1320=""),"",IF(B1320="","⚠ Falta fecha",IF(C1320="","⚠ Falta monto",IF(D1320="","⚠ Falta categoría",IF(ISNA(MATCH(D1320,catNom,0)),"⚠ Categoría no existe",IF(E1320="","⚠ Falta cuenta",IF(ISNA(MATCH(E1320,ctaNom,0)),"⚠ Cuenta no existe",IF(AND(OR(I1320="Transferencia",I1320="Pago tarjeta"),G1320=""),"⚠ Indica la cuenta «Hacia»",IF(AND(G1320&lt;&gt;"",G1320=E1320),"⚠ «Hacia» igual a la cuenta",IF(AND(G1320&lt;&gt;"",ISNA(MATCH(G1320,ctaNom,0))),"⚠ «Hacia» no existe",IF(AND(I1320="Pago tarjeta",IFERROR(INDEX(ctaTipo,MATCH(G1320,ctaNom,0)),"")&lt;&gt;"Tarjeta de crédito"),"⚠ «Hacia» debe ser la tarjeta",IF(AND(I1320="Trading",IFERROR(INDEX(ctaTipo,MATCH(E1320,ctaNom,0)),"")&lt;&gt;"Cuenta de trading"),"⚠ Usa la cuenta de trading","✓"))))))))))))</f>
        <v/>
      </c>
      <c r="I1320" s="19">
        <f>IF(OR(B1320="",C1320="",D1320=""),"",IFERROR(INDEX(catTipo,MATCH(D1320,catNom,0))&amp;"",""))</f>
        <v/>
      </c>
      <c r="J1320" s="19">
        <f>IF(I1320="","",IFERROR(INDEX(catGrupo,MATCH(D1320,catNom,0))&amp;"",""))</f>
        <v/>
      </c>
      <c r="K1320" s="19">
        <f>IF(I1320="Gasto",IF(IFERROR(INDEX(catClas,MATCH(D1320,catNom,0))&amp;"","")="","Variable",IFERROR(INDEX(catClas,MATCH(D1320,catNom,0))&amp;"","")),"")</f>
        <v/>
      </c>
      <c r="L1320" s="19">
        <f>IF(I1320="","",IFERROR(INDEX(catAlim,MATCH(D1320,catNom,0))&amp;"",""))</f>
        <v/>
      </c>
      <c r="M1320" s="19">
        <f>IF(I1320="","",IFERROR(INDEX(catComida,MATCH(D1320,catNom,0))&amp;"",""))</f>
        <v/>
      </c>
      <c r="N1320" s="19">
        <f>IF(I1320="","",IFERROR(INDEX(ctaMon,MATCH(E1320,ctaNom,0))&amp;"","DOP"))</f>
        <v/>
      </c>
      <c r="O1320" s="20">
        <f>IF(I1320="","",C1320*IF(N1320="USD",TasaUSD,1))</f>
        <v/>
      </c>
      <c r="P1320" s="20">
        <f>IF(I1320="","",IF(I1320="Gasto",O1320,0))</f>
        <v/>
      </c>
      <c r="Q1320" s="20">
        <f>IF(I1320="","",IF(I1320="Ingreso",O1320,0))</f>
        <v/>
      </c>
      <c r="R1320" s="20">
        <f>IF(I1320="","",IF(I1320="Trading",O1320,0))</f>
        <v/>
      </c>
      <c r="S1320" s="19">
        <f>IF(I1320="","",IF(AND(I1320="Gasto",K1320="Variable",J1320&lt;&gt;"Trading",O1320&gt;0,O1320&lt;=Umbral),1,0))</f>
        <v/>
      </c>
      <c r="T1320" s="20">
        <f>IF(OR(I1320="",E1320=""),"",IF(OR(I1320="Gasto",I1320="Transferencia",I1320="Pago tarjeta"),-1,1)*C1320)</f>
        <v/>
      </c>
      <c r="U1320" s="20">
        <f>IF(OR(G1320="",AND(I1320&lt;&gt;"Transferencia",I1320&lt;&gt;"Pago tarjeta")),"",IF(IFERROR(INDEX(ctaMon,MATCH(G1320,ctaNom,0))&amp;"","DOP")=N1320,C1320,IF(N1320="USD",C1320*TasaUSD,C1320/TasaUSD)))</f>
        <v/>
      </c>
      <c r="V1320" s="20">
        <f>IF(I1320="","",IF(IFERROR(INDEX(ctaLiq,MATCH(E1320,ctaNom,0))="Sí",FALSE),IF(OR(I1320="Gasto",I1320="Transferencia",I1320="Pago tarjeta"),-1,1)*O1320,0)+IF(AND(U1320&lt;&gt;"",IFERROR(INDEX(ctaLiq,MATCH(G1320,ctaNom,0))="Sí",FALSE)),O1320,0))</f>
        <v/>
      </c>
      <c r="W1320" s="19">
        <f>IF(OR(F1320="",I1320=""),"",IF(COUNTIFS(F$6:F1320,F1320,I$6:I1320,"?*")=1,MAX(W$5:W1319)+1,""))</f>
        <v/>
      </c>
    </row>
    <row r="1321">
      <c r="B1321" s="15" t="n"/>
      <c r="C1321" s="16" t="n"/>
      <c r="D1321" s="17" t="n"/>
      <c r="E1321" s="17" t="n"/>
      <c r="F1321" s="17" t="n"/>
      <c r="G1321" s="17" t="n"/>
      <c r="H1321" s="18">
        <f>IF(AND(B1321="",C1321="",D1321="",E1321=""),"",IF(B1321="","⚠ Falta fecha",IF(C1321="","⚠ Falta monto",IF(D1321="","⚠ Falta categoría",IF(ISNA(MATCH(D1321,catNom,0)),"⚠ Categoría no existe",IF(E1321="","⚠ Falta cuenta",IF(ISNA(MATCH(E1321,ctaNom,0)),"⚠ Cuenta no existe",IF(AND(OR(I1321="Transferencia",I1321="Pago tarjeta"),G1321=""),"⚠ Indica la cuenta «Hacia»",IF(AND(G1321&lt;&gt;"",G1321=E1321),"⚠ «Hacia» igual a la cuenta",IF(AND(G1321&lt;&gt;"",ISNA(MATCH(G1321,ctaNom,0))),"⚠ «Hacia» no existe",IF(AND(I1321="Pago tarjeta",IFERROR(INDEX(ctaTipo,MATCH(G1321,ctaNom,0)),"")&lt;&gt;"Tarjeta de crédito"),"⚠ «Hacia» debe ser la tarjeta",IF(AND(I1321="Trading",IFERROR(INDEX(ctaTipo,MATCH(E1321,ctaNom,0)),"")&lt;&gt;"Cuenta de trading"),"⚠ Usa la cuenta de trading","✓"))))))))))))</f>
        <v/>
      </c>
      <c r="I1321" s="19">
        <f>IF(OR(B1321="",C1321="",D1321=""),"",IFERROR(INDEX(catTipo,MATCH(D1321,catNom,0))&amp;"",""))</f>
        <v/>
      </c>
      <c r="J1321" s="19">
        <f>IF(I1321="","",IFERROR(INDEX(catGrupo,MATCH(D1321,catNom,0))&amp;"",""))</f>
        <v/>
      </c>
      <c r="K1321" s="19">
        <f>IF(I1321="Gasto",IF(IFERROR(INDEX(catClas,MATCH(D1321,catNom,0))&amp;"","")="","Variable",IFERROR(INDEX(catClas,MATCH(D1321,catNom,0))&amp;"","")),"")</f>
        <v/>
      </c>
      <c r="L1321" s="19">
        <f>IF(I1321="","",IFERROR(INDEX(catAlim,MATCH(D1321,catNom,0))&amp;"",""))</f>
        <v/>
      </c>
      <c r="M1321" s="19">
        <f>IF(I1321="","",IFERROR(INDEX(catComida,MATCH(D1321,catNom,0))&amp;"",""))</f>
        <v/>
      </c>
      <c r="N1321" s="19">
        <f>IF(I1321="","",IFERROR(INDEX(ctaMon,MATCH(E1321,ctaNom,0))&amp;"","DOP"))</f>
        <v/>
      </c>
      <c r="O1321" s="20">
        <f>IF(I1321="","",C1321*IF(N1321="USD",TasaUSD,1))</f>
        <v/>
      </c>
      <c r="P1321" s="20">
        <f>IF(I1321="","",IF(I1321="Gasto",O1321,0))</f>
        <v/>
      </c>
      <c r="Q1321" s="20">
        <f>IF(I1321="","",IF(I1321="Ingreso",O1321,0))</f>
        <v/>
      </c>
      <c r="R1321" s="20">
        <f>IF(I1321="","",IF(I1321="Trading",O1321,0))</f>
        <v/>
      </c>
      <c r="S1321" s="19">
        <f>IF(I1321="","",IF(AND(I1321="Gasto",K1321="Variable",J1321&lt;&gt;"Trading",O1321&gt;0,O1321&lt;=Umbral),1,0))</f>
        <v/>
      </c>
      <c r="T1321" s="20">
        <f>IF(OR(I1321="",E1321=""),"",IF(OR(I1321="Gasto",I1321="Transferencia",I1321="Pago tarjeta"),-1,1)*C1321)</f>
        <v/>
      </c>
      <c r="U1321" s="20">
        <f>IF(OR(G1321="",AND(I1321&lt;&gt;"Transferencia",I1321&lt;&gt;"Pago tarjeta")),"",IF(IFERROR(INDEX(ctaMon,MATCH(G1321,ctaNom,0))&amp;"","DOP")=N1321,C1321,IF(N1321="USD",C1321*TasaUSD,C1321/TasaUSD)))</f>
        <v/>
      </c>
      <c r="V1321" s="20">
        <f>IF(I1321="","",IF(IFERROR(INDEX(ctaLiq,MATCH(E1321,ctaNom,0))="Sí",FALSE),IF(OR(I1321="Gasto",I1321="Transferencia",I1321="Pago tarjeta"),-1,1)*O1321,0)+IF(AND(U1321&lt;&gt;"",IFERROR(INDEX(ctaLiq,MATCH(G1321,ctaNom,0))="Sí",FALSE)),O1321,0))</f>
        <v/>
      </c>
      <c r="W1321" s="19">
        <f>IF(OR(F1321="",I1321=""),"",IF(COUNTIFS(F$6:F1321,F1321,I$6:I1321,"?*")=1,MAX(W$5:W1320)+1,""))</f>
        <v/>
      </c>
    </row>
    <row r="1322">
      <c r="B1322" s="15" t="n"/>
      <c r="C1322" s="16" t="n"/>
      <c r="D1322" s="17" t="n"/>
      <c r="E1322" s="17" t="n"/>
      <c r="F1322" s="17" t="n"/>
      <c r="G1322" s="17" t="n"/>
      <c r="H1322" s="18">
        <f>IF(AND(B1322="",C1322="",D1322="",E1322=""),"",IF(B1322="","⚠ Falta fecha",IF(C1322="","⚠ Falta monto",IF(D1322="","⚠ Falta categoría",IF(ISNA(MATCH(D1322,catNom,0)),"⚠ Categoría no existe",IF(E1322="","⚠ Falta cuenta",IF(ISNA(MATCH(E1322,ctaNom,0)),"⚠ Cuenta no existe",IF(AND(OR(I1322="Transferencia",I1322="Pago tarjeta"),G1322=""),"⚠ Indica la cuenta «Hacia»",IF(AND(G1322&lt;&gt;"",G1322=E1322),"⚠ «Hacia» igual a la cuenta",IF(AND(G1322&lt;&gt;"",ISNA(MATCH(G1322,ctaNom,0))),"⚠ «Hacia» no existe",IF(AND(I1322="Pago tarjeta",IFERROR(INDEX(ctaTipo,MATCH(G1322,ctaNom,0)),"")&lt;&gt;"Tarjeta de crédito"),"⚠ «Hacia» debe ser la tarjeta",IF(AND(I1322="Trading",IFERROR(INDEX(ctaTipo,MATCH(E1322,ctaNom,0)),"")&lt;&gt;"Cuenta de trading"),"⚠ Usa la cuenta de trading","✓"))))))))))))</f>
        <v/>
      </c>
      <c r="I1322" s="19">
        <f>IF(OR(B1322="",C1322="",D1322=""),"",IFERROR(INDEX(catTipo,MATCH(D1322,catNom,0))&amp;"",""))</f>
        <v/>
      </c>
      <c r="J1322" s="19">
        <f>IF(I1322="","",IFERROR(INDEX(catGrupo,MATCH(D1322,catNom,0))&amp;"",""))</f>
        <v/>
      </c>
      <c r="K1322" s="19">
        <f>IF(I1322="Gasto",IF(IFERROR(INDEX(catClas,MATCH(D1322,catNom,0))&amp;"","")="","Variable",IFERROR(INDEX(catClas,MATCH(D1322,catNom,0))&amp;"","")),"")</f>
        <v/>
      </c>
      <c r="L1322" s="19">
        <f>IF(I1322="","",IFERROR(INDEX(catAlim,MATCH(D1322,catNom,0))&amp;"",""))</f>
        <v/>
      </c>
      <c r="M1322" s="19">
        <f>IF(I1322="","",IFERROR(INDEX(catComida,MATCH(D1322,catNom,0))&amp;"",""))</f>
        <v/>
      </c>
      <c r="N1322" s="19">
        <f>IF(I1322="","",IFERROR(INDEX(ctaMon,MATCH(E1322,ctaNom,0))&amp;"","DOP"))</f>
        <v/>
      </c>
      <c r="O1322" s="20">
        <f>IF(I1322="","",C1322*IF(N1322="USD",TasaUSD,1))</f>
        <v/>
      </c>
      <c r="P1322" s="20">
        <f>IF(I1322="","",IF(I1322="Gasto",O1322,0))</f>
        <v/>
      </c>
      <c r="Q1322" s="20">
        <f>IF(I1322="","",IF(I1322="Ingreso",O1322,0))</f>
        <v/>
      </c>
      <c r="R1322" s="20">
        <f>IF(I1322="","",IF(I1322="Trading",O1322,0))</f>
        <v/>
      </c>
      <c r="S1322" s="19">
        <f>IF(I1322="","",IF(AND(I1322="Gasto",K1322="Variable",J1322&lt;&gt;"Trading",O1322&gt;0,O1322&lt;=Umbral),1,0))</f>
        <v/>
      </c>
      <c r="T1322" s="20">
        <f>IF(OR(I1322="",E1322=""),"",IF(OR(I1322="Gasto",I1322="Transferencia",I1322="Pago tarjeta"),-1,1)*C1322)</f>
        <v/>
      </c>
      <c r="U1322" s="20">
        <f>IF(OR(G1322="",AND(I1322&lt;&gt;"Transferencia",I1322&lt;&gt;"Pago tarjeta")),"",IF(IFERROR(INDEX(ctaMon,MATCH(G1322,ctaNom,0))&amp;"","DOP")=N1322,C1322,IF(N1322="USD",C1322*TasaUSD,C1322/TasaUSD)))</f>
        <v/>
      </c>
      <c r="V1322" s="20">
        <f>IF(I1322="","",IF(IFERROR(INDEX(ctaLiq,MATCH(E1322,ctaNom,0))="Sí",FALSE),IF(OR(I1322="Gasto",I1322="Transferencia",I1322="Pago tarjeta"),-1,1)*O1322,0)+IF(AND(U1322&lt;&gt;"",IFERROR(INDEX(ctaLiq,MATCH(G1322,ctaNom,0))="Sí",FALSE)),O1322,0))</f>
        <v/>
      </c>
      <c r="W1322" s="19">
        <f>IF(OR(F1322="",I1322=""),"",IF(COUNTIFS(F$6:F1322,F1322,I$6:I1322,"?*")=1,MAX(W$5:W1321)+1,""))</f>
        <v/>
      </c>
    </row>
    <row r="1323">
      <c r="B1323" s="15" t="n"/>
      <c r="C1323" s="16" t="n"/>
      <c r="D1323" s="17" t="n"/>
      <c r="E1323" s="17" t="n"/>
      <c r="F1323" s="17" t="n"/>
      <c r="G1323" s="17" t="n"/>
      <c r="H1323" s="18">
        <f>IF(AND(B1323="",C1323="",D1323="",E1323=""),"",IF(B1323="","⚠ Falta fecha",IF(C1323="","⚠ Falta monto",IF(D1323="","⚠ Falta categoría",IF(ISNA(MATCH(D1323,catNom,0)),"⚠ Categoría no existe",IF(E1323="","⚠ Falta cuenta",IF(ISNA(MATCH(E1323,ctaNom,0)),"⚠ Cuenta no existe",IF(AND(OR(I1323="Transferencia",I1323="Pago tarjeta"),G1323=""),"⚠ Indica la cuenta «Hacia»",IF(AND(G1323&lt;&gt;"",G1323=E1323),"⚠ «Hacia» igual a la cuenta",IF(AND(G1323&lt;&gt;"",ISNA(MATCH(G1323,ctaNom,0))),"⚠ «Hacia» no existe",IF(AND(I1323="Pago tarjeta",IFERROR(INDEX(ctaTipo,MATCH(G1323,ctaNom,0)),"")&lt;&gt;"Tarjeta de crédito"),"⚠ «Hacia» debe ser la tarjeta",IF(AND(I1323="Trading",IFERROR(INDEX(ctaTipo,MATCH(E1323,ctaNom,0)),"")&lt;&gt;"Cuenta de trading"),"⚠ Usa la cuenta de trading","✓"))))))))))))</f>
        <v/>
      </c>
      <c r="I1323" s="19">
        <f>IF(OR(B1323="",C1323="",D1323=""),"",IFERROR(INDEX(catTipo,MATCH(D1323,catNom,0))&amp;"",""))</f>
        <v/>
      </c>
      <c r="J1323" s="19">
        <f>IF(I1323="","",IFERROR(INDEX(catGrupo,MATCH(D1323,catNom,0))&amp;"",""))</f>
        <v/>
      </c>
      <c r="K1323" s="19">
        <f>IF(I1323="Gasto",IF(IFERROR(INDEX(catClas,MATCH(D1323,catNom,0))&amp;"","")="","Variable",IFERROR(INDEX(catClas,MATCH(D1323,catNom,0))&amp;"","")),"")</f>
        <v/>
      </c>
      <c r="L1323" s="19">
        <f>IF(I1323="","",IFERROR(INDEX(catAlim,MATCH(D1323,catNom,0))&amp;"",""))</f>
        <v/>
      </c>
      <c r="M1323" s="19">
        <f>IF(I1323="","",IFERROR(INDEX(catComida,MATCH(D1323,catNom,0))&amp;"",""))</f>
        <v/>
      </c>
      <c r="N1323" s="19">
        <f>IF(I1323="","",IFERROR(INDEX(ctaMon,MATCH(E1323,ctaNom,0))&amp;"","DOP"))</f>
        <v/>
      </c>
      <c r="O1323" s="20">
        <f>IF(I1323="","",C1323*IF(N1323="USD",TasaUSD,1))</f>
        <v/>
      </c>
      <c r="P1323" s="20">
        <f>IF(I1323="","",IF(I1323="Gasto",O1323,0))</f>
        <v/>
      </c>
      <c r="Q1323" s="20">
        <f>IF(I1323="","",IF(I1323="Ingreso",O1323,0))</f>
        <v/>
      </c>
      <c r="R1323" s="20">
        <f>IF(I1323="","",IF(I1323="Trading",O1323,0))</f>
        <v/>
      </c>
      <c r="S1323" s="19">
        <f>IF(I1323="","",IF(AND(I1323="Gasto",K1323="Variable",J1323&lt;&gt;"Trading",O1323&gt;0,O1323&lt;=Umbral),1,0))</f>
        <v/>
      </c>
      <c r="T1323" s="20">
        <f>IF(OR(I1323="",E1323=""),"",IF(OR(I1323="Gasto",I1323="Transferencia",I1323="Pago tarjeta"),-1,1)*C1323)</f>
        <v/>
      </c>
      <c r="U1323" s="20">
        <f>IF(OR(G1323="",AND(I1323&lt;&gt;"Transferencia",I1323&lt;&gt;"Pago tarjeta")),"",IF(IFERROR(INDEX(ctaMon,MATCH(G1323,ctaNom,0))&amp;"","DOP")=N1323,C1323,IF(N1323="USD",C1323*TasaUSD,C1323/TasaUSD)))</f>
        <v/>
      </c>
      <c r="V1323" s="20">
        <f>IF(I1323="","",IF(IFERROR(INDEX(ctaLiq,MATCH(E1323,ctaNom,0))="Sí",FALSE),IF(OR(I1323="Gasto",I1323="Transferencia",I1323="Pago tarjeta"),-1,1)*O1323,0)+IF(AND(U1323&lt;&gt;"",IFERROR(INDEX(ctaLiq,MATCH(G1323,ctaNom,0))="Sí",FALSE)),O1323,0))</f>
        <v/>
      </c>
      <c r="W1323" s="19">
        <f>IF(OR(F1323="",I1323=""),"",IF(COUNTIFS(F$6:F1323,F1323,I$6:I1323,"?*")=1,MAX(W$5:W1322)+1,""))</f>
        <v/>
      </c>
    </row>
    <row r="1324">
      <c r="B1324" s="15" t="n"/>
      <c r="C1324" s="16" t="n"/>
      <c r="D1324" s="17" t="n"/>
      <c r="E1324" s="17" t="n"/>
      <c r="F1324" s="17" t="n"/>
      <c r="G1324" s="17" t="n"/>
      <c r="H1324" s="18">
        <f>IF(AND(B1324="",C1324="",D1324="",E1324=""),"",IF(B1324="","⚠ Falta fecha",IF(C1324="","⚠ Falta monto",IF(D1324="","⚠ Falta categoría",IF(ISNA(MATCH(D1324,catNom,0)),"⚠ Categoría no existe",IF(E1324="","⚠ Falta cuenta",IF(ISNA(MATCH(E1324,ctaNom,0)),"⚠ Cuenta no existe",IF(AND(OR(I1324="Transferencia",I1324="Pago tarjeta"),G1324=""),"⚠ Indica la cuenta «Hacia»",IF(AND(G1324&lt;&gt;"",G1324=E1324),"⚠ «Hacia» igual a la cuenta",IF(AND(G1324&lt;&gt;"",ISNA(MATCH(G1324,ctaNom,0))),"⚠ «Hacia» no existe",IF(AND(I1324="Pago tarjeta",IFERROR(INDEX(ctaTipo,MATCH(G1324,ctaNom,0)),"")&lt;&gt;"Tarjeta de crédito"),"⚠ «Hacia» debe ser la tarjeta",IF(AND(I1324="Trading",IFERROR(INDEX(ctaTipo,MATCH(E1324,ctaNom,0)),"")&lt;&gt;"Cuenta de trading"),"⚠ Usa la cuenta de trading","✓"))))))))))))</f>
        <v/>
      </c>
      <c r="I1324" s="19">
        <f>IF(OR(B1324="",C1324="",D1324=""),"",IFERROR(INDEX(catTipo,MATCH(D1324,catNom,0))&amp;"",""))</f>
        <v/>
      </c>
      <c r="J1324" s="19">
        <f>IF(I1324="","",IFERROR(INDEX(catGrupo,MATCH(D1324,catNom,0))&amp;"",""))</f>
        <v/>
      </c>
      <c r="K1324" s="19">
        <f>IF(I1324="Gasto",IF(IFERROR(INDEX(catClas,MATCH(D1324,catNom,0))&amp;"","")="","Variable",IFERROR(INDEX(catClas,MATCH(D1324,catNom,0))&amp;"","")),"")</f>
        <v/>
      </c>
      <c r="L1324" s="19">
        <f>IF(I1324="","",IFERROR(INDEX(catAlim,MATCH(D1324,catNom,0))&amp;"",""))</f>
        <v/>
      </c>
      <c r="M1324" s="19">
        <f>IF(I1324="","",IFERROR(INDEX(catComida,MATCH(D1324,catNom,0))&amp;"",""))</f>
        <v/>
      </c>
      <c r="N1324" s="19">
        <f>IF(I1324="","",IFERROR(INDEX(ctaMon,MATCH(E1324,ctaNom,0))&amp;"","DOP"))</f>
        <v/>
      </c>
      <c r="O1324" s="20">
        <f>IF(I1324="","",C1324*IF(N1324="USD",TasaUSD,1))</f>
        <v/>
      </c>
      <c r="P1324" s="20">
        <f>IF(I1324="","",IF(I1324="Gasto",O1324,0))</f>
        <v/>
      </c>
      <c r="Q1324" s="20">
        <f>IF(I1324="","",IF(I1324="Ingreso",O1324,0))</f>
        <v/>
      </c>
      <c r="R1324" s="20">
        <f>IF(I1324="","",IF(I1324="Trading",O1324,0))</f>
        <v/>
      </c>
      <c r="S1324" s="19">
        <f>IF(I1324="","",IF(AND(I1324="Gasto",K1324="Variable",J1324&lt;&gt;"Trading",O1324&gt;0,O1324&lt;=Umbral),1,0))</f>
        <v/>
      </c>
      <c r="T1324" s="20">
        <f>IF(OR(I1324="",E1324=""),"",IF(OR(I1324="Gasto",I1324="Transferencia",I1324="Pago tarjeta"),-1,1)*C1324)</f>
        <v/>
      </c>
      <c r="U1324" s="20">
        <f>IF(OR(G1324="",AND(I1324&lt;&gt;"Transferencia",I1324&lt;&gt;"Pago tarjeta")),"",IF(IFERROR(INDEX(ctaMon,MATCH(G1324,ctaNom,0))&amp;"","DOP")=N1324,C1324,IF(N1324="USD",C1324*TasaUSD,C1324/TasaUSD)))</f>
        <v/>
      </c>
      <c r="V1324" s="20">
        <f>IF(I1324="","",IF(IFERROR(INDEX(ctaLiq,MATCH(E1324,ctaNom,0))="Sí",FALSE),IF(OR(I1324="Gasto",I1324="Transferencia",I1324="Pago tarjeta"),-1,1)*O1324,0)+IF(AND(U1324&lt;&gt;"",IFERROR(INDEX(ctaLiq,MATCH(G1324,ctaNom,0))="Sí",FALSE)),O1324,0))</f>
        <v/>
      </c>
      <c r="W1324" s="19">
        <f>IF(OR(F1324="",I1324=""),"",IF(COUNTIFS(F$6:F1324,F1324,I$6:I1324,"?*")=1,MAX(W$5:W1323)+1,""))</f>
        <v/>
      </c>
    </row>
    <row r="1325">
      <c r="B1325" s="15" t="n"/>
      <c r="C1325" s="16" t="n"/>
      <c r="D1325" s="17" t="n"/>
      <c r="E1325" s="17" t="n"/>
      <c r="F1325" s="17" t="n"/>
      <c r="G1325" s="17" t="n"/>
      <c r="H1325" s="18">
        <f>IF(AND(B1325="",C1325="",D1325="",E1325=""),"",IF(B1325="","⚠ Falta fecha",IF(C1325="","⚠ Falta monto",IF(D1325="","⚠ Falta categoría",IF(ISNA(MATCH(D1325,catNom,0)),"⚠ Categoría no existe",IF(E1325="","⚠ Falta cuenta",IF(ISNA(MATCH(E1325,ctaNom,0)),"⚠ Cuenta no existe",IF(AND(OR(I1325="Transferencia",I1325="Pago tarjeta"),G1325=""),"⚠ Indica la cuenta «Hacia»",IF(AND(G1325&lt;&gt;"",G1325=E1325),"⚠ «Hacia» igual a la cuenta",IF(AND(G1325&lt;&gt;"",ISNA(MATCH(G1325,ctaNom,0))),"⚠ «Hacia» no existe",IF(AND(I1325="Pago tarjeta",IFERROR(INDEX(ctaTipo,MATCH(G1325,ctaNom,0)),"")&lt;&gt;"Tarjeta de crédito"),"⚠ «Hacia» debe ser la tarjeta",IF(AND(I1325="Trading",IFERROR(INDEX(ctaTipo,MATCH(E1325,ctaNom,0)),"")&lt;&gt;"Cuenta de trading"),"⚠ Usa la cuenta de trading","✓"))))))))))))</f>
        <v/>
      </c>
      <c r="I1325" s="19">
        <f>IF(OR(B1325="",C1325="",D1325=""),"",IFERROR(INDEX(catTipo,MATCH(D1325,catNom,0))&amp;"",""))</f>
        <v/>
      </c>
      <c r="J1325" s="19">
        <f>IF(I1325="","",IFERROR(INDEX(catGrupo,MATCH(D1325,catNom,0))&amp;"",""))</f>
        <v/>
      </c>
      <c r="K1325" s="19">
        <f>IF(I1325="Gasto",IF(IFERROR(INDEX(catClas,MATCH(D1325,catNom,0))&amp;"","")="","Variable",IFERROR(INDEX(catClas,MATCH(D1325,catNom,0))&amp;"","")),"")</f>
        <v/>
      </c>
      <c r="L1325" s="19">
        <f>IF(I1325="","",IFERROR(INDEX(catAlim,MATCH(D1325,catNom,0))&amp;"",""))</f>
        <v/>
      </c>
      <c r="M1325" s="19">
        <f>IF(I1325="","",IFERROR(INDEX(catComida,MATCH(D1325,catNom,0))&amp;"",""))</f>
        <v/>
      </c>
      <c r="N1325" s="19">
        <f>IF(I1325="","",IFERROR(INDEX(ctaMon,MATCH(E1325,ctaNom,0))&amp;"","DOP"))</f>
        <v/>
      </c>
      <c r="O1325" s="20">
        <f>IF(I1325="","",C1325*IF(N1325="USD",TasaUSD,1))</f>
        <v/>
      </c>
      <c r="P1325" s="20">
        <f>IF(I1325="","",IF(I1325="Gasto",O1325,0))</f>
        <v/>
      </c>
      <c r="Q1325" s="20">
        <f>IF(I1325="","",IF(I1325="Ingreso",O1325,0))</f>
        <v/>
      </c>
      <c r="R1325" s="20">
        <f>IF(I1325="","",IF(I1325="Trading",O1325,0))</f>
        <v/>
      </c>
      <c r="S1325" s="19">
        <f>IF(I1325="","",IF(AND(I1325="Gasto",K1325="Variable",J1325&lt;&gt;"Trading",O1325&gt;0,O1325&lt;=Umbral),1,0))</f>
        <v/>
      </c>
      <c r="T1325" s="20">
        <f>IF(OR(I1325="",E1325=""),"",IF(OR(I1325="Gasto",I1325="Transferencia",I1325="Pago tarjeta"),-1,1)*C1325)</f>
        <v/>
      </c>
      <c r="U1325" s="20">
        <f>IF(OR(G1325="",AND(I1325&lt;&gt;"Transferencia",I1325&lt;&gt;"Pago tarjeta")),"",IF(IFERROR(INDEX(ctaMon,MATCH(G1325,ctaNom,0))&amp;"","DOP")=N1325,C1325,IF(N1325="USD",C1325*TasaUSD,C1325/TasaUSD)))</f>
        <v/>
      </c>
      <c r="V1325" s="20">
        <f>IF(I1325="","",IF(IFERROR(INDEX(ctaLiq,MATCH(E1325,ctaNom,0))="Sí",FALSE),IF(OR(I1325="Gasto",I1325="Transferencia",I1325="Pago tarjeta"),-1,1)*O1325,0)+IF(AND(U1325&lt;&gt;"",IFERROR(INDEX(ctaLiq,MATCH(G1325,ctaNom,0))="Sí",FALSE)),O1325,0))</f>
        <v/>
      </c>
      <c r="W1325" s="19">
        <f>IF(OR(F1325="",I1325=""),"",IF(COUNTIFS(F$6:F1325,F1325,I$6:I1325,"?*")=1,MAX(W$5:W1324)+1,""))</f>
        <v/>
      </c>
    </row>
    <row r="1326">
      <c r="B1326" s="15" t="n"/>
      <c r="C1326" s="16" t="n"/>
      <c r="D1326" s="17" t="n"/>
      <c r="E1326" s="17" t="n"/>
      <c r="F1326" s="17" t="n"/>
      <c r="G1326" s="17" t="n"/>
      <c r="H1326" s="18">
        <f>IF(AND(B1326="",C1326="",D1326="",E1326=""),"",IF(B1326="","⚠ Falta fecha",IF(C1326="","⚠ Falta monto",IF(D1326="","⚠ Falta categoría",IF(ISNA(MATCH(D1326,catNom,0)),"⚠ Categoría no existe",IF(E1326="","⚠ Falta cuenta",IF(ISNA(MATCH(E1326,ctaNom,0)),"⚠ Cuenta no existe",IF(AND(OR(I1326="Transferencia",I1326="Pago tarjeta"),G1326=""),"⚠ Indica la cuenta «Hacia»",IF(AND(G1326&lt;&gt;"",G1326=E1326),"⚠ «Hacia» igual a la cuenta",IF(AND(G1326&lt;&gt;"",ISNA(MATCH(G1326,ctaNom,0))),"⚠ «Hacia» no existe",IF(AND(I1326="Pago tarjeta",IFERROR(INDEX(ctaTipo,MATCH(G1326,ctaNom,0)),"")&lt;&gt;"Tarjeta de crédito"),"⚠ «Hacia» debe ser la tarjeta",IF(AND(I1326="Trading",IFERROR(INDEX(ctaTipo,MATCH(E1326,ctaNom,0)),"")&lt;&gt;"Cuenta de trading"),"⚠ Usa la cuenta de trading","✓"))))))))))))</f>
        <v/>
      </c>
      <c r="I1326" s="19">
        <f>IF(OR(B1326="",C1326="",D1326=""),"",IFERROR(INDEX(catTipo,MATCH(D1326,catNom,0))&amp;"",""))</f>
        <v/>
      </c>
      <c r="J1326" s="19">
        <f>IF(I1326="","",IFERROR(INDEX(catGrupo,MATCH(D1326,catNom,0))&amp;"",""))</f>
        <v/>
      </c>
      <c r="K1326" s="19">
        <f>IF(I1326="Gasto",IF(IFERROR(INDEX(catClas,MATCH(D1326,catNom,0))&amp;"","")="","Variable",IFERROR(INDEX(catClas,MATCH(D1326,catNom,0))&amp;"","")),"")</f>
        <v/>
      </c>
      <c r="L1326" s="19">
        <f>IF(I1326="","",IFERROR(INDEX(catAlim,MATCH(D1326,catNom,0))&amp;"",""))</f>
        <v/>
      </c>
      <c r="M1326" s="19">
        <f>IF(I1326="","",IFERROR(INDEX(catComida,MATCH(D1326,catNom,0))&amp;"",""))</f>
        <v/>
      </c>
      <c r="N1326" s="19">
        <f>IF(I1326="","",IFERROR(INDEX(ctaMon,MATCH(E1326,ctaNom,0))&amp;"","DOP"))</f>
        <v/>
      </c>
      <c r="O1326" s="20">
        <f>IF(I1326="","",C1326*IF(N1326="USD",TasaUSD,1))</f>
        <v/>
      </c>
      <c r="P1326" s="20">
        <f>IF(I1326="","",IF(I1326="Gasto",O1326,0))</f>
        <v/>
      </c>
      <c r="Q1326" s="20">
        <f>IF(I1326="","",IF(I1326="Ingreso",O1326,0))</f>
        <v/>
      </c>
      <c r="R1326" s="20">
        <f>IF(I1326="","",IF(I1326="Trading",O1326,0))</f>
        <v/>
      </c>
      <c r="S1326" s="19">
        <f>IF(I1326="","",IF(AND(I1326="Gasto",K1326="Variable",J1326&lt;&gt;"Trading",O1326&gt;0,O1326&lt;=Umbral),1,0))</f>
        <v/>
      </c>
      <c r="T1326" s="20">
        <f>IF(OR(I1326="",E1326=""),"",IF(OR(I1326="Gasto",I1326="Transferencia",I1326="Pago tarjeta"),-1,1)*C1326)</f>
        <v/>
      </c>
      <c r="U1326" s="20">
        <f>IF(OR(G1326="",AND(I1326&lt;&gt;"Transferencia",I1326&lt;&gt;"Pago tarjeta")),"",IF(IFERROR(INDEX(ctaMon,MATCH(G1326,ctaNom,0))&amp;"","DOP")=N1326,C1326,IF(N1326="USD",C1326*TasaUSD,C1326/TasaUSD)))</f>
        <v/>
      </c>
      <c r="V1326" s="20">
        <f>IF(I1326="","",IF(IFERROR(INDEX(ctaLiq,MATCH(E1326,ctaNom,0))="Sí",FALSE),IF(OR(I1326="Gasto",I1326="Transferencia",I1326="Pago tarjeta"),-1,1)*O1326,0)+IF(AND(U1326&lt;&gt;"",IFERROR(INDEX(ctaLiq,MATCH(G1326,ctaNom,0))="Sí",FALSE)),O1326,0))</f>
        <v/>
      </c>
      <c r="W1326" s="19">
        <f>IF(OR(F1326="",I1326=""),"",IF(COUNTIFS(F$6:F1326,F1326,I$6:I1326,"?*")=1,MAX(W$5:W1325)+1,""))</f>
        <v/>
      </c>
    </row>
    <row r="1327">
      <c r="B1327" s="15" t="n"/>
      <c r="C1327" s="16" t="n"/>
      <c r="D1327" s="17" t="n"/>
      <c r="E1327" s="17" t="n"/>
      <c r="F1327" s="17" t="n"/>
      <c r="G1327" s="17" t="n"/>
      <c r="H1327" s="18">
        <f>IF(AND(B1327="",C1327="",D1327="",E1327=""),"",IF(B1327="","⚠ Falta fecha",IF(C1327="","⚠ Falta monto",IF(D1327="","⚠ Falta categoría",IF(ISNA(MATCH(D1327,catNom,0)),"⚠ Categoría no existe",IF(E1327="","⚠ Falta cuenta",IF(ISNA(MATCH(E1327,ctaNom,0)),"⚠ Cuenta no existe",IF(AND(OR(I1327="Transferencia",I1327="Pago tarjeta"),G1327=""),"⚠ Indica la cuenta «Hacia»",IF(AND(G1327&lt;&gt;"",G1327=E1327),"⚠ «Hacia» igual a la cuenta",IF(AND(G1327&lt;&gt;"",ISNA(MATCH(G1327,ctaNom,0))),"⚠ «Hacia» no existe",IF(AND(I1327="Pago tarjeta",IFERROR(INDEX(ctaTipo,MATCH(G1327,ctaNom,0)),"")&lt;&gt;"Tarjeta de crédito"),"⚠ «Hacia» debe ser la tarjeta",IF(AND(I1327="Trading",IFERROR(INDEX(ctaTipo,MATCH(E1327,ctaNom,0)),"")&lt;&gt;"Cuenta de trading"),"⚠ Usa la cuenta de trading","✓"))))))))))))</f>
        <v/>
      </c>
      <c r="I1327" s="19">
        <f>IF(OR(B1327="",C1327="",D1327=""),"",IFERROR(INDEX(catTipo,MATCH(D1327,catNom,0))&amp;"",""))</f>
        <v/>
      </c>
      <c r="J1327" s="19">
        <f>IF(I1327="","",IFERROR(INDEX(catGrupo,MATCH(D1327,catNom,0))&amp;"",""))</f>
        <v/>
      </c>
      <c r="K1327" s="19">
        <f>IF(I1327="Gasto",IF(IFERROR(INDEX(catClas,MATCH(D1327,catNom,0))&amp;"","")="","Variable",IFERROR(INDEX(catClas,MATCH(D1327,catNom,0))&amp;"","")),"")</f>
        <v/>
      </c>
      <c r="L1327" s="19">
        <f>IF(I1327="","",IFERROR(INDEX(catAlim,MATCH(D1327,catNom,0))&amp;"",""))</f>
        <v/>
      </c>
      <c r="M1327" s="19">
        <f>IF(I1327="","",IFERROR(INDEX(catComida,MATCH(D1327,catNom,0))&amp;"",""))</f>
        <v/>
      </c>
      <c r="N1327" s="19">
        <f>IF(I1327="","",IFERROR(INDEX(ctaMon,MATCH(E1327,ctaNom,0))&amp;"","DOP"))</f>
        <v/>
      </c>
      <c r="O1327" s="20">
        <f>IF(I1327="","",C1327*IF(N1327="USD",TasaUSD,1))</f>
        <v/>
      </c>
      <c r="P1327" s="20">
        <f>IF(I1327="","",IF(I1327="Gasto",O1327,0))</f>
        <v/>
      </c>
      <c r="Q1327" s="20">
        <f>IF(I1327="","",IF(I1327="Ingreso",O1327,0))</f>
        <v/>
      </c>
      <c r="R1327" s="20">
        <f>IF(I1327="","",IF(I1327="Trading",O1327,0))</f>
        <v/>
      </c>
      <c r="S1327" s="19">
        <f>IF(I1327="","",IF(AND(I1327="Gasto",K1327="Variable",J1327&lt;&gt;"Trading",O1327&gt;0,O1327&lt;=Umbral),1,0))</f>
        <v/>
      </c>
      <c r="T1327" s="20">
        <f>IF(OR(I1327="",E1327=""),"",IF(OR(I1327="Gasto",I1327="Transferencia",I1327="Pago tarjeta"),-1,1)*C1327)</f>
        <v/>
      </c>
      <c r="U1327" s="20">
        <f>IF(OR(G1327="",AND(I1327&lt;&gt;"Transferencia",I1327&lt;&gt;"Pago tarjeta")),"",IF(IFERROR(INDEX(ctaMon,MATCH(G1327,ctaNom,0))&amp;"","DOP")=N1327,C1327,IF(N1327="USD",C1327*TasaUSD,C1327/TasaUSD)))</f>
        <v/>
      </c>
      <c r="V1327" s="20">
        <f>IF(I1327="","",IF(IFERROR(INDEX(ctaLiq,MATCH(E1327,ctaNom,0))="Sí",FALSE),IF(OR(I1327="Gasto",I1327="Transferencia",I1327="Pago tarjeta"),-1,1)*O1327,0)+IF(AND(U1327&lt;&gt;"",IFERROR(INDEX(ctaLiq,MATCH(G1327,ctaNom,0))="Sí",FALSE)),O1327,0))</f>
        <v/>
      </c>
      <c r="W1327" s="19">
        <f>IF(OR(F1327="",I1327=""),"",IF(COUNTIFS(F$6:F1327,F1327,I$6:I1327,"?*")=1,MAX(W$5:W1326)+1,""))</f>
        <v/>
      </c>
    </row>
    <row r="1328">
      <c r="B1328" s="15" t="n"/>
      <c r="C1328" s="16" t="n"/>
      <c r="D1328" s="17" t="n"/>
      <c r="E1328" s="17" t="n"/>
      <c r="F1328" s="17" t="n"/>
      <c r="G1328" s="17" t="n"/>
      <c r="H1328" s="18">
        <f>IF(AND(B1328="",C1328="",D1328="",E1328=""),"",IF(B1328="","⚠ Falta fecha",IF(C1328="","⚠ Falta monto",IF(D1328="","⚠ Falta categoría",IF(ISNA(MATCH(D1328,catNom,0)),"⚠ Categoría no existe",IF(E1328="","⚠ Falta cuenta",IF(ISNA(MATCH(E1328,ctaNom,0)),"⚠ Cuenta no existe",IF(AND(OR(I1328="Transferencia",I1328="Pago tarjeta"),G1328=""),"⚠ Indica la cuenta «Hacia»",IF(AND(G1328&lt;&gt;"",G1328=E1328),"⚠ «Hacia» igual a la cuenta",IF(AND(G1328&lt;&gt;"",ISNA(MATCH(G1328,ctaNom,0))),"⚠ «Hacia» no existe",IF(AND(I1328="Pago tarjeta",IFERROR(INDEX(ctaTipo,MATCH(G1328,ctaNom,0)),"")&lt;&gt;"Tarjeta de crédito"),"⚠ «Hacia» debe ser la tarjeta",IF(AND(I1328="Trading",IFERROR(INDEX(ctaTipo,MATCH(E1328,ctaNom,0)),"")&lt;&gt;"Cuenta de trading"),"⚠ Usa la cuenta de trading","✓"))))))))))))</f>
        <v/>
      </c>
      <c r="I1328" s="19">
        <f>IF(OR(B1328="",C1328="",D1328=""),"",IFERROR(INDEX(catTipo,MATCH(D1328,catNom,0))&amp;"",""))</f>
        <v/>
      </c>
      <c r="J1328" s="19">
        <f>IF(I1328="","",IFERROR(INDEX(catGrupo,MATCH(D1328,catNom,0))&amp;"",""))</f>
        <v/>
      </c>
      <c r="K1328" s="19">
        <f>IF(I1328="Gasto",IF(IFERROR(INDEX(catClas,MATCH(D1328,catNom,0))&amp;"","")="","Variable",IFERROR(INDEX(catClas,MATCH(D1328,catNom,0))&amp;"","")),"")</f>
        <v/>
      </c>
      <c r="L1328" s="19">
        <f>IF(I1328="","",IFERROR(INDEX(catAlim,MATCH(D1328,catNom,0))&amp;"",""))</f>
        <v/>
      </c>
      <c r="M1328" s="19">
        <f>IF(I1328="","",IFERROR(INDEX(catComida,MATCH(D1328,catNom,0))&amp;"",""))</f>
        <v/>
      </c>
      <c r="N1328" s="19">
        <f>IF(I1328="","",IFERROR(INDEX(ctaMon,MATCH(E1328,ctaNom,0))&amp;"","DOP"))</f>
        <v/>
      </c>
      <c r="O1328" s="20">
        <f>IF(I1328="","",C1328*IF(N1328="USD",TasaUSD,1))</f>
        <v/>
      </c>
      <c r="P1328" s="20">
        <f>IF(I1328="","",IF(I1328="Gasto",O1328,0))</f>
        <v/>
      </c>
      <c r="Q1328" s="20">
        <f>IF(I1328="","",IF(I1328="Ingreso",O1328,0))</f>
        <v/>
      </c>
      <c r="R1328" s="20">
        <f>IF(I1328="","",IF(I1328="Trading",O1328,0))</f>
        <v/>
      </c>
      <c r="S1328" s="19">
        <f>IF(I1328="","",IF(AND(I1328="Gasto",K1328="Variable",J1328&lt;&gt;"Trading",O1328&gt;0,O1328&lt;=Umbral),1,0))</f>
        <v/>
      </c>
      <c r="T1328" s="20">
        <f>IF(OR(I1328="",E1328=""),"",IF(OR(I1328="Gasto",I1328="Transferencia",I1328="Pago tarjeta"),-1,1)*C1328)</f>
        <v/>
      </c>
      <c r="U1328" s="20">
        <f>IF(OR(G1328="",AND(I1328&lt;&gt;"Transferencia",I1328&lt;&gt;"Pago tarjeta")),"",IF(IFERROR(INDEX(ctaMon,MATCH(G1328,ctaNom,0))&amp;"","DOP")=N1328,C1328,IF(N1328="USD",C1328*TasaUSD,C1328/TasaUSD)))</f>
        <v/>
      </c>
      <c r="V1328" s="20">
        <f>IF(I1328="","",IF(IFERROR(INDEX(ctaLiq,MATCH(E1328,ctaNom,0))="Sí",FALSE),IF(OR(I1328="Gasto",I1328="Transferencia",I1328="Pago tarjeta"),-1,1)*O1328,0)+IF(AND(U1328&lt;&gt;"",IFERROR(INDEX(ctaLiq,MATCH(G1328,ctaNom,0))="Sí",FALSE)),O1328,0))</f>
        <v/>
      </c>
      <c r="W1328" s="19">
        <f>IF(OR(F1328="",I1328=""),"",IF(COUNTIFS(F$6:F1328,F1328,I$6:I1328,"?*")=1,MAX(W$5:W1327)+1,""))</f>
        <v/>
      </c>
    </row>
    <row r="1329">
      <c r="B1329" s="15" t="n"/>
      <c r="C1329" s="16" t="n"/>
      <c r="D1329" s="17" t="n"/>
      <c r="E1329" s="17" t="n"/>
      <c r="F1329" s="17" t="n"/>
      <c r="G1329" s="17" t="n"/>
      <c r="H1329" s="18">
        <f>IF(AND(B1329="",C1329="",D1329="",E1329=""),"",IF(B1329="","⚠ Falta fecha",IF(C1329="","⚠ Falta monto",IF(D1329="","⚠ Falta categoría",IF(ISNA(MATCH(D1329,catNom,0)),"⚠ Categoría no existe",IF(E1329="","⚠ Falta cuenta",IF(ISNA(MATCH(E1329,ctaNom,0)),"⚠ Cuenta no existe",IF(AND(OR(I1329="Transferencia",I1329="Pago tarjeta"),G1329=""),"⚠ Indica la cuenta «Hacia»",IF(AND(G1329&lt;&gt;"",G1329=E1329),"⚠ «Hacia» igual a la cuenta",IF(AND(G1329&lt;&gt;"",ISNA(MATCH(G1329,ctaNom,0))),"⚠ «Hacia» no existe",IF(AND(I1329="Pago tarjeta",IFERROR(INDEX(ctaTipo,MATCH(G1329,ctaNom,0)),"")&lt;&gt;"Tarjeta de crédito"),"⚠ «Hacia» debe ser la tarjeta",IF(AND(I1329="Trading",IFERROR(INDEX(ctaTipo,MATCH(E1329,ctaNom,0)),"")&lt;&gt;"Cuenta de trading"),"⚠ Usa la cuenta de trading","✓"))))))))))))</f>
        <v/>
      </c>
      <c r="I1329" s="19">
        <f>IF(OR(B1329="",C1329="",D1329=""),"",IFERROR(INDEX(catTipo,MATCH(D1329,catNom,0))&amp;"",""))</f>
        <v/>
      </c>
      <c r="J1329" s="19">
        <f>IF(I1329="","",IFERROR(INDEX(catGrupo,MATCH(D1329,catNom,0))&amp;"",""))</f>
        <v/>
      </c>
      <c r="K1329" s="19">
        <f>IF(I1329="Gasto",IF(IFERROR(INDEX(catClas,MATCH(D1329,catNom,0))&amp;"","")="","Variable",IFERROR(INDEX(catClas,MATCH(D1329,catNom,0))&amp;"","")),"")</f>
        <v/>
      </c>
      <c r="L1329" s="19">
        <f>IF(I1329="","",IFERROR(INDEX(catAlim,MATCH(D1329,catNom,0))&amp;"",""))</f>
        <v/>
      </c>
      <c r="M1329" s="19">
        <f>IF(I1329="","",IFERROR(INDEX(catComida,MATCH(D1329,catNom,0))&amp;"",""))</f>
        <v/>
      </c>
      <c r="N1329" s="19">
        <f>IF(I1329="","",IFERROR(INDEX(ctaMon,MATCH(E1329,ctaNom,0))&amp;"","DOP"))</f>
        <v/>
      </c>
      <c r="O1329" s="20">
        <f>IF(I1329="","",C1329*IF(N1329="USD",TasaUSD,1))</f>
        <v/>
      </c>
      <c r="P1329" s="20">
        <f>IF(I1329="","",IF(I1329="Gasto",O1329,0))</f>
        <v/>
      </c>
      <c r="Q1329" s="20">
        <f>IF(I1329="","",IF(I1329="Ingreso",O1329,0))</f>
        <v/>
      </c>
      <c r="R1329" s="20">
        <f>IF(I1329="","",IF(I1329="Trading",O1329,0))</f>
        <v/>
      </c>
      <c r="S1329" s="19">
        <f>IF(I1329="","",IF(AND(I1329="Gasto",K1329="Variable",J1329&lt;&gt;"Trading",O1329&gt;0,O1329&lt;=Umbral),1,0))</f>
        <v/>
      </c>
      <c r="T1329" s="20">
        <f>IF(OR(I1329="",E1329=""),"",IF(OR(I1329="Gasto",I1329="Transferencia",I1329="Pago tarjeta"),-1,1)*C1329)</f>
        <v/>
      </c>
      <c r="U1329" s="20">
        <f>IF(OR(G1329="",AND(I1329&lt;&gt;"Transferencia",I1329&lt;&gt;"Pago tarjeta")),"",IF(IFERROR(INDEX(ctaMon,MATCH(G1329,ctaNom,0))&amp;"","DOP")=N1329,C1329,IF(N1329="USD",C1329*TasaUSD,C1329/TasaUSD)))</f>
        <v/>
      </c>
      <c r="V1329" s="20">
        <f>IF(I1329="","",IF(IFERROR(INDEX(ctaLiq,MATCH(E1329,ctaNom,0))="Sí",FALSE),IF(OR(I1329="Gasto",I1329="Transferencia",I1329="Pago tarjeta"),-1,1)*O1329,0)+IF(AND(U1329&lt;&gt;"",IFERROR(INDEX(ctaLiq,MATCH(G1329,ctaNom,0))="Sí",FALSE)),O1329,0))</f>
        <v/>
      </c>
      <c r="W1329" s="19">
        <f>IF(OR(F1329="",I1329=""),"",IF(COUNTIFS(F$6:F1329,F1329,I$6:I1329,"?*")=1,MAX(W$5:W1328)+1,""))</f>
        <v/>
      </c>
    </row>
    <row r="1330">
      <c r="B1330" s="15" t="n"/>
      <c r="C1330" s="16" t="n"/>
      <c r="D1330" s="17" t="n"/>
      <c r="E1330" s="17" t="n"/>
      <c r="F1330" s="17" t="n"/>
      <c r="G1330" s="17" t="n"/>
      <c r="H1330" s="18">
        <f>IF(AND(B1330="",C1330="",D1330="",E1330=""),"",IF(B1330="","⚠ Falta fecha",IF(C1330="","⚠ Falta monto",IF(D1330="","⚠ Falta categoría",IF(ISNA(MATCH(D1330,catNom,0)),"⚠ Categoría no existe",IF(E1330="","⚠ Falta cuenta",IF(ISNA(MATCH(E1330,ctaNom,0)),"⚠ Cuenta no existe",IF(AND(OR(I1330="Transferencia",I1330="Pago tarjeta"),G1330=""),"⚠ Indica la cuenta «Hacia»",IF(AND(G1330&lt;&gt;"",G1330=E1330),"⚠ «Hacia» igual a la cuenta",IF(AND(G1330&lt;&gt;"",ISNA(MATCH(G1330,ctaNom,0))),"⚠ «Hacia» no existe",IF(AND(I1330="Pago tarjeta",IFERROR(INDEX(ctaTipo,MATCH(G1330,ctaNom,0)),"")&lt;&gt;"Tarjeta de crédito"),"⚠ «Hacia» debe ser la tarjeta",IF(AND(I1330="Trading",IFERROR(INDEX(ctaTipo,MATCH(E1330,ctaNom,0)),"")&lt;&gt;"Cuenta de trading"),"⚠ Usa la cuenta de trading","✓"))))))))))))</f>
        <v/>
      </c>
      <c r="I1330" s="19">
        <f>IF(OR(B1330="",C1330="",D1330=""),"",IFERROR(INDEX(catTipo,MATCH(D1330,catNom,0))&amp;"",""))</f>
        <v/>
      </c>
      <c r="J1330" s="19">
        <f>IF(I1330="","",IFERROR(INDEX(catGrupo,MATCH(D1330,catNom,0))&amp;"",""))</f>
        <v/>
      </c>
      <c r="K1330" s="19">
        <f>IF(I1330="Gasto",IF(IFERROR(INDEX(catClas,MATCH(D1330,catNom,0))&amp;"","")="","Variable",IFERROR(INDEX(catClas,MATCH(D1330,catNom,0))&amp;"","")),"")</f>
        <v/>
      </c>
      <c r="L1330" s="19">
        <f>IF(I1330="","",IFERROR(INDEX(catAlim,MATCH(D1330,catNom,0))&amp;"",""))</f>
        <v/>
      </c>
      <c r="M1330" s="19">
        <f>IF(I1330="","",IFERROR(INDEX(catComida,MATCH(D1330,catNom,0))&amp;"",""))</f>
        <v/>
      </c>
      <c r="N1330" s="19">
        <f>IF(I1330="","",IFERROR(INDEX(ctaMon,MATCH(E1330,ctaNom,0))&amp;"","DOP"))</f>
        <v/>
      </c>
      <c r="O1330" s="20">
        <f>IF(I1330="","",C1330*IF(N1330="USD",TasaUSD,1))</f>
        <v/>
      </c>
      <c r="P1330" s="20">
        <f>IF(I1330="","",IF(I1330="Gasto",O1330,0))</f>
        <v/>
      </c>
      <c r="Q1330" s="20">
        <f>IF(I1330="","",IF(I1330="Ingreso",O1330,0))</f>
        <v/>
      </c>
      <c r="R1330" s="20">
        <f>IF(I1330="","",IF(I1330="Trading",O1330,0))</f>
        <v/>
      </c>
      <c r="S1330" s="19">
        <f>IF(I1330="","",IF(AND(I1330="Gasto",K1330="Variable",J1330&lt;&gt;"Trading",O1330&gt;0,O1330&lt;=Umbral),1,0))</f>
        <v/>
      </c>
      <c r="T1330" s="20">
        <f>IF(OR(I1330="",E1330=""),"",IF(OR(I1330="Gasto",I1330="Transferencia",I1330="Pago tarjeta"),-1,1)*C1330)</f>
        <v/>
      </c>
      <c r="U1330" s="20">
        <f>IF(OR(G1330="",AND(I1330&lt;&gt;"Transferencia",I1330&lt;&gt;"Pago tarjeta")),"",IF(IFERROR(INDEX(ctaMon,MATCH(G1330,ctaNom,0))&amp;"","DOP")=N1330,C1330,IF(N1330="USD",C1330*TasaUSD,C1330/TasaUSD)))</f>
        <v/>
      </c>
      <c r="V1330" s="20">
        <f>IF(I1330="","",IF(IFERROR(INDEX(ctaLiq,MATCH(E1330,ctaNom,0))="Sí",FALSE),IF(OR(I1330="Gasto",I1330="Transferencia",I1330="Pago tarjeta"),-1,1)*O1330,0)+IF(AND(U1330&lt;&gt;"",IFERROR(INDEX(ctaLiq,MATCH(G1330,ctaNom,0))="Sí",FALSE)),O1330,0))</f>
        <v/>
      </c>
      <c r="W1330" s="19">
        <f>IF(OR(F1330="",I1330=""),"",IF(COUNTIFS(F$6:F1330,F1330,I$6:I1330,"?*")=1,MAX(W$5:W1329)+1,""))</f>
        <v/>
      </c>
    </row>
    <row r="1331">
      <c r="B1331" s="15" t="n"/>
      <c r="C1331" s="16" t="n"/>
      <c r="D1331" s="17" t="n"/>
      <c r="E1331" s="17" t="n"/>
      <c r="F1331" s="17" t="n"/>
      <c r="G1331" s="17" t="n"/>
      <c r="H1331" s="18">
        <f>IF(AND(B1331="",C1331="",D1331="",E1331=""),"",IF(B1331="","⚠ Falta fecha",IF(C1331="","⚠ Falta monto",IF(D1331="","⚠ Falta categoría",IF(ISNA(MATCH(D1331,catNom,0)),"⚠ Categoría no existe",IF(E1331="","⚠ Falta cuenta",IF(ISNA(MATCH(E1331,ctaNom,0)),"⚠ Cuenta no existe",IF(AND(OR(I1331="Transferencia",I1331="Pago tarjeta"),G1331=""),"⚠ Indica la cuenta «Hacia»",IF(AND(G1331&lt;&gt;"",G1331=E1331),"⚠ «Hacia» igual a la cuenta",IF(AND(G1331&lt;&gt;"",ISNA(MATCH(G1331,ctaNom,0))),"⚠ «Hacia» no existe",IF(AND(I1331="Pago tarjeta",IFERROR(INDEX(ctaTipo,MATCH(G1331,ctaNom,0)),"")&lt;&gt;"Tarjeta de crédito"),"⚠ «Hacia» debe ser la tarjeta",IF(AND(I1331="Trading",IFERROR(INDEX(ctaTipo,MATCH(E1331,ctaNom,0)),"")&lt;&gt;"Cuenta de trading"),"⚠ Usa la cuenta de trading","✓"))))))))))))</f>
        <v/>
      </c>
      <c r="I1331" s="19">
        <f>IF(OR(B1331="",C1331="",D1331=""),"",IFERROR(INDEX(catTipo,MATCH(D1331,catNom,0))&amp;"",""))</f>
        <v/>
      </c>
      <c r="J1331" s="19">
        <f>IF(I1331="","",IFERROR(INDEX(catGrupo,MATCH(D1331,catNom,0))&amp;"",""))</f>
        <v/>
      </c>
      <c r="K1331" s="19">
        <f>IF(I1331="Gasto",IF(IFERROR(INDEX(catClas,MATCH(D1331,catNom,0))&amp;"","")="","Variable",IFERROR(INDEX(catClas,MATCH(D1331,catNom,0))&amp;"","")),"")</f>
        <v/>
      </c>
      <c r="L1331" s="19">
        <f>IF(I1331="","",IFERROR(INDEX(catAlim,MATCH(D1331,catNom,0))&amp;"",""))</f>
        <v/>
      </c>
      <c r="M1331" s="19">
        <f>IF(I1331="","",IFERROR(INDEX(catComida,MATCH(D1331,catNom,0))&amp;"",""))</f>
        <v/>
      </c>
      <c r="N1331" s="19">
        <f>IF(I1331="","",IFERROR(INDEX(ctaMon,MATCH(E1331,ctaNom,0))&amp;"","DOP"))</f>
        <v/>
      </c>
      <c r="O1331" s="20">
        <f>IF(I1331="","",C1331*IF(N1331="USD",TasaUSD,1))</f>
        <v/>
      </c>
      <c r="P1331" s="20">
        <f>IF(I1331="","",IF(I1331="Gasto",O1331,0))</f>
        <v/>
      </c>
      <c r="Q1331" s="20">
        <f>IF(I1331="","",IF(I1331="Ingreso",O1331,0))</f>
        <v/>
      </c>
      <c r="R1331" s="20">
        <f>IF(I1331="","",IF(I1331="Trading",O1331,0))</f>
        <v/>
      </c>
      <c r="S1331" s="19">
        <f>IF(I1331="","",IF(AND(I1331="Gasto",K1331="Variable",J1331&lt;&gt;"Trading",O1331&gt;0,O1331&lt;=Umbral),1,0))</f>
        <v/>
      </c>
      <c r="T1331" s="20">
        <f>IF(OR(I1331="",E1331=""),"",IF(OR(I1331="Gasto",I1331="Transferencia",I1331="Pago tarjeta"),-1,1)*C1331)</f>
        <v/>
      </c>
      <c r="U1331" s="20">
        <f>IF(OR(G1331="",AND(I1331&lt;&gt;"Transferencia",I1331&lt;&gt;"Pago tarjeta")),"",IF(IFERROR(INDEX(ctaMon,MATCH(G1331,ctaNom,0))&amp;"","DOP")=N1331,C1331,IF(N1331="USD",C1331*TasaUSD,C1331/TasaUSD)))</f>
        <v/>
      </c>
      <c r="V1331" s="20">
        <f>IF(I1331="","",IF(IFERROR(INDEX(ctaLiq,MATCH(E1331,ctaNom,0))="Sí",FALSE),IF(OR(I1331="Gasto",I1331="Transferencia",I1331="Pago tarjeta"),-1,1)*O1331,0)+IF(AND(U1331&lt;&gt;"",IFERROR(INDEX(ctaLiq,MATCH(G1331,ctaNom,0))="Sí",FALSE)),O1331,0))</f>
        <v/>
      </c>
      <c r="W1331" s="19">
        <f>IF(OR(F1331="",I1331=""),"",IF(COUNTIFS(F$6:F1331,F1331,I$6:I1331,"?*")=1,MAX(W$5:W1330)+1,""))</f>
        <v/>
      </c>
    </row>
    <row r="1332">
      <c r="B1332" s="15" t="n"/>
      <c r="C1332" s="16" t="n"/>
      <c r="D1332" s="17" t="n"/>
      <c r="E1332" s="17" t="n"/>
      <c r="F1332" s="17" t="n"/>
      <c r="G1332" s="17" t="n"/>
      <c r="H1332" s="18">
        <f>IF(AND(B1332="",C1332="",D1332="",E1332=""),"",IF(B1332="","⚠ Falta fecha",IF(C1332="","⚠ Falta monto",IF(D1332="","⚠ Falta categoría",IF(ISNA(MATCH(D1332,catNom,0)),"⚠ Categoría no existe",IF(E1332="","⚠ Falta cuenta",IF(ISNA(MATCH(E1332,ctaNom,0)),"⚠ Cuenta no existe",IF(AND(OR(I1332="Transferencia",I1332="Pago tarjeta"),G1332=""),"⚠ Indica la cuenta «Hacia»",IF(AND(G1332&lt;&gt;"",G1332=E1332),"⚠ «Hacia» igual a la cuenta",IF(AND(G1332&lt;&gt;"",ISNA(MATCH(G1332,ctaNom,0))),"⚠ «Hacia» no existe",IF(AND(I1332="Pago tarjeta",IFERROR(INDEX(ctaTipo,MATCH(G1332,ctaNom,0)),"")&lt;&gt;"Tarjeta de crédito"),"⚠ «Hacia» debe ser la tarjeta",IF(AND(I1332="Trading",IFERROR(INDEX(ctaTipo,MATCH(E1332,ctaNom,0)),"")&lt;&gt;"Cuenta de trading"),"⚠ Usa la cuenta de trading","✓"))))))))))))</f>
        <v/>
      </c>
      <c r="I1332" s="19">
        <f>IF(OR(B1332="",C1332="",D1332=""),"",IFERROR(INDEX(catTipo,MATCH(D1332,catNom,0))&amp;"",""))</f>
        <v/>
      </c>
      <c r="J1332" s="19">
        <f>IF(I1332="","",IFERROR(INDEX(catGrupo,MATCH(D1332,catNom,0))&amp;"",""))</f>
        <v/>
      </c>
      <c r="K1332" s="19">
        <f>IF(I1332="Gasto",IF(IFERROR(INDEX(catClas,MATCH(D1332,catNom,0))&amp;"","")="","Variable",IFERROR(INDEX(catClas,MATCH(D1332,catNom,0))&amp;"","")),"")</f>
        <v/>
      </c>
      <c r="L1332" s="19">
        <f>IF(I1332="","",IFERROR(INDEX(catAlim,MATCH(D1332,catNom,0))&amp;"",""))</f>
        <v/>
      </c>
      <c r="M1332" s="19">
        <f>IF(I1332="","",IFERROR(INDEX(catComida,MATCH(D1332,catNom,0))&amp;"",""))</f>
        <v/>
      </c>
      <c r="N1332" s="19">
        <f>IF(I1332="","",IFERROR(INDEX(ctaMon,MATCH(E1332,ctaNom,0))&amp;"","DOP"))</f>
        <v/>
      </c>
      <c r="O1332" s="20">
        <f>IF(I1332="","",C1332*IF(N1332="USD",TasaUSD,1))</f>
        <v/>
      </c>
      <c r="P1332" s="20">
        <f>IF(I1332="","",IF(I1332="Gasto",O1332,0))</f>
        <v/>
      </c>
      <c r="Q1332" s="20">
        <f>IF(I1332="","",IF(I1332="Ingreso",O1332,0))</f>
        <v/>
      </c>
      <c r="R1332" s="20">
        <f>IF(I1332="","",IF(I1332="Trading",O1332,0))</f>
        <v/>
      </c>
      <c r="S1332" s="19">
        <f>IF(I1332="","",IF(AND(I1332="Gasto",K1332="Variable",J1332&lt;&gt;"Trading",O1332&gt;0,O1332&lt;=Umbral),1,0))</f>
        <v/>
      </c>
      <c r="T1332" s="20">
        <f>IF(OR(I1332="",E1332=""),"",IF(OR(I1332="Gasto",I1332="Transferencia",I1332="Pago tarjeta"),-1,1)*C1332)</f>
        <v/>
      </c>
      <c r="U1332" s="20">
        <f>IF(OR(G1332="",AND(I1332&lt;&gt;"Transferencia",I1332&lt;&gt;"Pago tarjeta")),"",IF(IFERROR(INDEX(ctaMon,MATCH(G1332,ctaNom,0))&amp;"","DOP")=N1332,C1332,IF(N1332="USD",C1332*TasaUSD,C1332/TasaUSD)))</f>
        <v/>
      </c>
      <c r="V1332" s="20">
        <f>IF(I1332="","",IF(IFERROR(INDEX(ctaLiq,MATCH(E1332,ctaNom,0))="Sí",FALSE),IF(OR(I1332="Gasto",I1332="Transferencia",I1332="Pago tarjeta"),-1,1)*O1332,0)+IF(AND(U1332&lt;&gt;"",IFERROR(INDEX(ctaLiq,MATCH(G1332,ctaNom,0))="Sí",FALSE)),O1332,0))</f>
        <v/>
      </c>
      <c r="W1332" s="19">
        <f>IF(OR(F1332="",I1332=""),"",IF(COUNTIFS(F$6:F1332,F1332,I$6:I1332,"?*")=1,MAX(W$5:W1331)+1,""))</f>
        <v/>
      </c>
    </row>
    <row r="1333">
      <c r="B1333" s="15" t="n"/>
      <c r="C1333" s="16" t="n"/>
      <c r="D1333" s="17" t="n"/>
      <c r="E1333" s="17" t="n"/>
      <c r="F1333" s="17" t="n"/>
      <c r="G1333" s="17" t="n"/>
      <c r="H1333" s="18">
        <f>IF(AND(B1333="",C1333="",D1333="",E1333=""),"",IF(B1333="","⚠ Falta fecha",IF(C1333="","⚠ Falta monto",IF(D1333="","⚠ Falta categoría",IF(ISNA(MATCH(D1333,catNom,0)),"⚠ Categoría no existe",IF(E1333="","⚠ Falta cuenta",IF(ISNA(MATCH(E1333,ctaNom,0)),"⚠ Cuenta no existe",IF(AND(OR(I1333="Transferencia",I1333="Pago tarjeta"),G1333=""),"⚠ Indica la cuenta «Hacia»",IF(AND(G1333&lt;&gt;"",G1333=E1333),"⚠ «Hacia» igual a la cuenta",IF(AND(G1333&lt;&gt;"",ISNA(MATCH(G1333,ctaNom,0))),"⚠ «Hacia» no existe",IF(AND(I1333="Pago tarjeta",IFERROR(INDEX(ctaTipo,MATCH(G1333,ctaNom,0)),"")&lt;&gt;"Tarjeta de crédito"),"⚠ «Hacia» debe ser la tarjeta",IF(AND(I1333="Trading",IFERROR(INDEX(ctaTipo,MATCH(E1333,ctaNom,0)),"")&lt;&gt;"Cuenta de trading"),"⚠ Usa la cuenta de trading","✓"))))))))))))</f>
        <v/>
      </c>
      <c r="I1333" s="19">
        <f>IF(OR(B1333="",C1333="",D1333=""),"",IFERROR(INDEX(catTipo,MATCH(D1333,catNom,0))&amp;"",""))</f>
        <v/>
      </c>
      <c r="J1333" s="19">
        <f>IF(I1333="","",IFERROR(INDEX(catGrupo,MATCH(D1333,catNom,0))&amp;"",""))</f>
        <v/>
      </c>
      <c r="K1333" s="19">
        <f>IF(I1333="Gasto",IF(IFERROR(INDEX(catClas,MATCH(D1333,catNom,0))&amp;"","")="","Variable",IFERROR(INDEX(catClas,MATCH(D1333,catNom,0))&amp;"","")),"")</f>
        <v/>
      </c>
      <c r="L1333" s="19">
        <f>IF(I1333="","",IFERROR(INDEX(catAlim,MATCH(D1333,catNom,0))&amp;"",""))</f>
        <v/>
      </c>
      <c r="M1333" s="19">
        <f>IF(I1333="","",IFERROR(INDEX(catComida,MATCH(D1333,catNom,0))&amp;"",""))</f>
        <v/>
      </c>
      <c r="N1333" s="19">
        <f>IF(I1333="","",IFERROR(INDEX(ctaMon,MATCH(E1333,ctaNom,0))&amp;"","DOP"))</f>
        <v/>
      </c>
      <c r="O1333" s="20">
        <f>IF(I1333="","",C1333*IF(N1333="USD",TasaUSD,1))</f>
        <v/>
      </c>
      <c r="P1333" s="20">
        <f>IF(I1333="","",IF(I1333="Gasto",O1333,0))</f>
        <v/>
      </c>
      <c r="Q1333" s="20">
        <f>IF(I1333="","",IF(I1333="Ingreso",O1333,0))</f>
        <v/>
      </c>
      <c r="R1333" s="20">
        <f>IF(I1333="","",IF(I1333="Trading",O1333,0))</f>
        <v/>
      </c>
      <c r="S1333" s="19">
        <f>IF(I1333="","",IF(AND(I1333="Gasto",K1333="Variable",J1333&lt;&gt;"Trading",O1333&gt;0,O1333&lt;=Umbral),1,0))</f>
        <v/>
      </c>
      <c r="T1333" s="20">
        <f>IF(OR(I1333="",E1333=""),"",IF(OR(I1333="Gasto",I1333="Transferencia",I1333="Pago tarjeta"),-1,1)*C1333)</f>
        <v/>
      </c>
      <c r="U1333" s="20">
        <f>IF(OR(G1333="",AND(I1333&lt;&gt;"Transferencia",I1333&lt;&gt;"Pago tarjeta")),"",IF(IFERROR(INDEX(ctaMon,MATCH(G1333,ctaNom,0))&amp;"","DOP")=N1333,C1333,IF(N1333="USD",C1333*TasaUSD,C1333/TasaUSD)))</f>
        <v/>
      </c>
      <c r="V1333" s="20">
        <f>IF(I1333="","",IF(IFERROR(INDEX(ctaLiq,MATCH(E1333,ctaNom,0))="Sí",FALSE),IF(OR(I1333="Gasto",I1333="Transferencia",I1333="Pago tarjeta"),-1,1)*O1333,0)+IF(AND(U1333&lt;&gt;"",IFERROR(INDEX(ctaLiq,MATCH(G1333,ctaNom,0))="Sí",FALSE)),O1333,0))</f>
        <v/>
      </c>
      <c r="W1333" s="19">
        <f>IF(OR(F1333="",I1333=""),"",IF(COUNTIFS(F$6:F1333,F1333,I$6:I1333,"?*")=1,MAX(W$5:W1332)+1,""))</f>
        <v/>
      </c>
    </row>
    <row r="1334">
      <c r="B1334" s="15" t="n"/>
      <c r="C1334" s="16" t="n"/>
      <c r="D1334" s="17" t="n"/>
      <c r="E1334" s="17" t="n"/>
      <c r="F1334" s="17" t="n"/>
      <c r="G1334" s="17" t="n"/>
      <c r="H1334" s="18">
        <f>IF(AND(B1334="",C1334="",D1334="",E1334=""),"",IF(B1334="","⚠ Falta fecha",IF(C1334="","⚠ Falta monto",IF(D1334="","⚠ Falta categoría",IF(ISNA(MATCH(D1334,catNom,0)),"⚠ Categoría no existe",IF(E1334="","⚠ Falta cuenta",IF(ISNA(MATCH(E1334,ctaNom,0)),"⚠ Cuenta no existe",IF(AND(OR(I1334="Transferencia",I1334="Pago tarjeta"),G1334=""),"⚠ Indica la cuenta «Hacia»",IF(AND(G1334&lt;&gt;"",G1334=E1334),"⚠ «Hacia» igual a la cuenta",IF(AND(G1334&lt;&gt;"",ISNA(MATCH(G1334,ctaNom,0))),"⚠ «Hacia» no existe",IF(AND(I1334="Pago tarjeta",IFERROR(INDEX(ctaTipo,MATCH(G1334,ctaNom,0)),"")&lt;&gt;"Tarjeta de crédito"),"⚠ «Hacia» debe ser la tarjeta",IF(AND(I1334="Trading",IFERROR(INDEX(ctaTipo,MATCH(E1334,ctaNom,0)),"")&lt;&gt;"Cuenta de trading"),"⚠ Usa la cuenta de trading","✓"))))))))))))</f>
        <v/>
      </c>
      <c r="I1334" s="19">
        <f>IF(OR(B1334="",C1334="",D1334=""),"",IFERROR(INDEX(catTipo,MATCH(D1334,catNom,0))&amp;"",""))</f>
        <v/>
      </c>
      <c r="J1334" s="19">
        <f>IF(I1334="","",IFERROR(INDEX(catGrupo,MATCH(D1334,catNom,0))&amp;"",""))</f>
        <v/>
      </c>
      <c r="K1334" s="19">
        <f>IF(I1334="Gasto",IF(IFERROR(INDEX(catClas,MATCH(D1334,catNom,0))&amp;"","")="","Variable",IFERROR(INDEX(catClas,MATCH(D1334,catNom,0))&amp;"","")),"")</f>
        <v/>
      </c>
      <c r="L1334" s="19">
        <f>IF(I1334="","",IFERROR(INDEX(catAlim,MATCH(D1334,catNom,0))&amp;"",""))</f>
        <v/>
      </c>
      <c r="M1334" s="19">
        <f>IF(I1334="","",IFERROR(INDEX(catComida,MATCH(D1334,catNom,0))&amp;"",""))</f>
        <v/>
      </c>
      <c r="N1334" s="19">
        <f>IF(I1334="","",IFERROR(INDEX(ctaMon,MATCH(E1334,ctaNom,0))&amp;"","DOP"))</f>
        <v/>
      </c>
      <c r="O1334" s="20">
        <f>IF(I1334="","",C1334*IF(N1334="USD",TasaUSD,1))</f>
        <v/>
      </c>
      <c r="P1334" s="20">
        <f>IF(I1334="","",IF(I1334="Gasto",O1334,0))</f>
        <v/>
      </c>
      <c r="Q1334" s="20">
        <f>IF(I1334="","",IF(I1334="Ingreso",O1334,0))</f>
        <v/>
      </c>
      <c r="R1334" s="20">
        <f>IF(I1334="","",IF(I1334="Trading",O1334,0))</f>
        <v/>
      </c>
      <c r="S1334" s="19">
        <f>IF(I1334="","",IF(AND(I1334="Gasto",K1334="Variable",J1334&lt;&gt;"Trading",O1334&gt;0,O1334&lt;=Umbral),1,0))</f>
        <v/>
      </c>
      <c r="T1334" s="20">
        <f>IF(OR(I1334="",E1334=""),"",IF(OR(I1334="Gasto",I1334="Transferencia",I1334="Pago tarjeta"),-1,1)*C1334)</f>
        <v/>
      </c>
      <c r="U1334" s="20">
        <f>IF(OR(G1334="",AND(I1334&lt;&gt;"Transferencia",I1334&lt;&gt;"Pago tarjeta")),"",IF(IFERROR(INDEX(ctaMon,MATCH(G1334,ctaNom,0))&amp;"","DOP")=N1334,C1334,IF(N1334="USD",C1334*TasaUSD,C1334/TasaUSD)))</f>
        <v/>
      </c>
      <c r="V1334" s="20">
        <f>IF(I1334="","",IF(IFERROR(INDEX(ctaLiq,MATCH(E1334,ctaNom,0))="Sí",FALSE),IF(OR(I1334="Gasto",I1334="Transferencia",I1334="Pago tarjeta"),-1,1)*O1334,0)+IF(AND(U1334&lt;&gt;"",IFERROR(INDEX(ctaLiq,MATCH(G1334,ctaNom,0))="Sí",FALSE)),O1334,0))</f>
        <v/>
      </c>
      <c r="W1334" s="19">
        <f>IF(OR(F1334="",I1334=""),"",IF(COUNTIFS(F$6:F1334,F1334,I$6:I1334,"?*")=1,MAX(W$5:W1333)+1,""))</f>
        <v/>
      </c>
    </row>
    <row r="1335">
      <c r="B1335" s="15" t="n"/>
      <c r="C1335" s="16" t="n"/>
      <c r="D1335" s="17" t="n"/>
      <c r="E1335" s="17" t="n"/>
      <c r="F1335" s="17" t="n"/>
      <c r="G1335" s="17" t="n"/>
      <c r="H1335" s="18">
        <f>IF(AND(B1335="",C1335="",D1335="",E1335=""),"",IF(B1335="","⚠ Falta fecha",IF(C1335="","⚠ Falta monto",IF(D1335="","⚠ Falta categoría",IF(ISNA(MATCH(D1335,catNom,0)),"⚠ Categoría no existe",IF(E1335="","⚠ Falta cuenta",IF(ISNA(MATCH(E1335,ctaNom,0)),"⚠ Cuenta no existe",IF(AND(OR(I1335="Transferencia",I1335="Pago tarjeta"),G1335=""),"⚠ Indica la cuenta «Hacia»",IF(AND(G1335&lt;&gt;"",G1335=E1335),"⚠ «Hacia» igual a la cuenta",IF(AND(G1335&lt;&gt;"",ISNA(MATCH(G1335,ctaNom,0))),"⚠ «Hacia» no existe",IF(AND(I1335="Pago tarjeta",IFERROR(INDEX(ctaTipo,MATCH(G1335,ctaNom,0)),"")&lt;&gt;"Tarjeta de crédito"),"⚠ «Hacia» debe ser la tarjeta",IF(AND(I1335="Trading",IFERROR(INDEX(ctaTipo,MATCH(E1335,ctaNom,0)),"")&lt;&gt;"Cuenta de trading"),"⚠ Usa la cuenta de trading","✓"))))))))))))</f>
        <v/>
      </c>
      <c r="I1335" s="19">
        <f>IF(OR(B1335="",C1335="",D1335=""),"",IFERROR(INDEX(catTipo,MATCH(D1335,catNom,0))&amp;"",""))</f>
        <v/>
      </c>
      <c r="J1335" s="19">
        <f>IF(I1335="","",IFERROR(INDEX(catGrupo,MATCH(D1335,catNom,0))&amp;"",""))</f>
        <v/>
      </c>
      <c r="K1335" s="19">
        <f>IF(I1335="Gasto",IF(IFERROR(INDEX(catClas,MATCH(D1335,catNom,0))&amp;"","")="","Variable",IFERROR(INDEX(catClas,MATCH(D1335,catNom,0))&amp;"","")),"")</f>
        <v/>
      </c>
      <c r="L1335" s="19">
        <f>IF(I1335="","",IFERROR(INDEX(catAlim,MATCH(D1335,catNom,0))&amp;"",""))</f>
        <v/>
      </c>
      <c r="M1335" s="19">
        <f>IF(I1335="","",IFERROR(INDEX(catComida,MATCH(D1335,catNom,0))&amp;"",""))</f>
        <v/>
      </c>
      <c r="N1335" s="19">
        <f>IF(I1335="","",IFERROR(INDEX(ctaMon,MATCH(E1335,ctaNom,0))&amp;"","DOP"))</f>
        <v/>
      </c>
      <c r="O1335" s="20">
        <f>IF(I1335="","",C1335*IF(N1335="USD",TasaUSD,1))</f>
        <v/>
      </c>
      <c r="P1335" s="20">
        <f>IF(I1335="","",IF(I1335="Gasto",O1335,0))</f>
        <v/>
      </c>
      <c r="Q1335" s="20">
        <f>IF(I1335="","",IF(I1335="Ingreso",O1335,0))</f>
        <v/>
      </c>
      <c r="R1335" s="20">
        <f>IF(I1335="","",IF(I1335="Trading",O1335,0))</f>
        <v/>
      </c>
      <c r="S1335" s="19">
        <f>IF(I1335="","",IF(AND(I1335="Gasto",K1335="Variable",J1335&lt;&gt;"Trading",O1335&gt;0,O1335&lt;=Umbral),1,0))</f>
        <v/>
      </c>
      <c r="T1335" s="20">
        <f>IF(OR(I1335="",E1335=""),"",IF(OR(I1335="Gasto",I1335="Transferencia",I1335="Pago tarjeta"),-1,1)*C1335)</f>
        <v/>
      </c>
      <c r="U1335" s="20">
        <f>IF(OR(G1335="",AND(I1335&lt;&gt;"Transferencia",I1335&lt;&gt;"Pago tarjeta")),"",IF(IFERROR(INDEX(ctaMon,MATCH(G1335,ctaNom,0))&amp;"","DOP")=N1335,C1335,IF(N1335="USD",C1335*TasaUSD,C1335/TasaUSD)))</f>
        <v/>
      </c>
      <c r="V1335" s="20">
        <f>IF(I1335="","",IF(IFERROR(INDEX(ctaLiq,MATCH(E1335,ctaNom,0))="Sí",FALSE),IF(OR(I1335="Gasto",I1335="Transferencia",I1335="Pago tarjeta"),-1,1)*O1335,0)+IF(AND(U1335&lt;&gt;"",IFERROR(INDEX(ctaLiq,MATCH(G1335,ctaNom,0))="Sí",FALSE)),O1335,0))</f>
        <v/>
      </c>
      <c r="W1335" s="19">
        <f>IF(OR(F1335="",I1335=""),"",IF(COUNTIFS(F$6:F1335,F1335,I$6:I1335,"?*")=1,MAX(W$5:W1334)+1,""))</f>
        <v/>
      </c>
    </row>
    <row r="1336">
      <c r="B1336" s="15" t="n"/>
      <c r="C1336" s="16" t="n"/>
      <c r="D1336" s="17" t="n"/>
      <c r="E1336" s="17" t="n"/>
      <c r="F1336" s="17" t="n"/>
      <c r="G1336" s="17" t="n"/>
      <c r="H1336" s="18">
        <f>IF(AND(B1336="",C1336="",D1336="",E1336=""),"",IF(B1336="","⚠ Falta fecha",IF(C1336="","⚠ Falta monto",IF(D1336="","⚠ Falta categoría",IF(ISNA(MATCH(D1336,catNom,0)),"⚠ Categoría no existe",IF(E1336="","⚠ Falta cuenta",IF(ISNA(MATCH(E1336,ctaNom,0)),"⚠ Cuenta no existe",IF(AND(OR(I1336="Transferencia",I1336="Pago tarjeta"),G1336=""),"⚠ Indica la cuenta «Hacia»",IF(AND(G1336&lt;&gt;"",G1336=E1336),"⚠ «Hacia» igual a la cuenta",IF(AND(G1336&lt;&gt;"",ISNA(MATCH(G1336,ctaNom,0))),"⚠ «Hacia» no existe",IF(AND(I1336="Pago tarjeta",IFERROR(INDEX(ctaTipo,MATCH(G1336,ctaNom,0)),"")&lt;&gt;"Tarjeta de crédito"),"⚠ «Hacia» debe ser la tarjeta",IF(AND(I1336="Trading",IFERROR(INDEX(ctaTipo,MATCH(E1336,ctaNom,0)),"")&lt;&gt;"Cuenta de trading"),"⚠ Usa la cuenta de trading","✓"))))))))))))</f>
        <v/>
      </c>
      <c r="I1336" s="19">
        <f>IF(OR(B1336="",C1336="",D1336=""),"",IFERROR(INDEX(catTipo,MATCH(D1336,catNom,0))&amp;"",""))</f>
        <v/>
      </c>
      <c r="J1336" s="19">
        <f>IF(I1336="","",IFERROR(INDEX(catGrupo,MATCH(D1336,catNom,0))&amp;"",""))</f>
        <v/>
      </c>
      <c r="K1336" s="19">
        <f>IF(I1336="Gasto",IF(IFERROR(INDEX(catClas,MATCH(D1336,catNom,0))&amp;"","")="","Variable",IFERROR(INDEX(catClas,MATCH(D1336,catNom,0))&amp;"","")),"")</f>
        <v/>
      </c>
      <c r="L1336" s="19">
        <f>IF(I1336="","",IFERROR(INDEX(catAlim,MATCH(D1336,catNom,0))&amp;"",""))</f>
        <v/>
      </c>
      <c r="M1336" s="19">
        <f>IF(I1336="","",IFERROR(INDEX(catComida,MATCH(D1336,catNom,0))&amp;"",""))</f>
        <v/>
      </c>
      <c r="N1336" s="19">
        <f>IF(I1336="","",IFERROR(INDEX(ctaMon,MATCH(E1336,ctaNom,0))&amp;"","DOP"))</f>
        <v/>
      </c>
      <c r="O1336" s="20">
        <f>IF(I1336="","",C1336*IF(N1336="USD",TasaUSD,1))</f>
        <v/>
      </c>
      <c r="P1336" s="20">
        <f>IF(I1336="","",IF(I1336="Gasto",O1336,0))</f>
        <v/>
      </c>
      <c r="Q1336" s="20">
        <f>IF(I1336="","",IF(I1336="Ingreso",O1336,0))</f>
        <v/>
      </c>
      <c r="R1336" s="20">
        <f>IF(I1336="","",IF(I1336="Trading",O1336,0))</f>
        <v/>
      </c>
      <c r="S1336" s="19">
        <f>IF(I1336="","",IF(AND(I1336="Gasto",K1336="Variable",J1336&lt;&gt;"Trading",O1336&gt;0,O1336&lt;=Umbral),1,0))</f>
        <v/>
      </c>
      <c r="T1336" s="20">
        <f>IF(OR(I1336="",E1336=""),"",IF(OR(I1336="Gasto",I1336="Transferencia",I1336="Pago tarjeta"),-1,1)*C1336)</f>
        <v/>
      </c>
      <c r="U1336" s="20">
        <f>IF(OR(G1336="",AND(I1336&lt;&gt;"Transferencia",I1336&lt;&gt;"Pago tarjeta")),"",IF(IFERROR(INDEX(ctaMon,MATCH(G1336,ctaNom,0))&amp;"","DOP")=N1336,C1336,IF(N1336="USD",C1336*TasaUSD,C1336/TasaUSD)))</f>
        <v/>
      </c>
      <c r="V1336" s="20">
        <f>IF(I1336="","",IF(IFERROR(INDEX(ctaLiq,MATCH(E1336,ctaNom,0))="Sí",FALSE),IF(OR(I1336="Gasto",I1336="Transferencia",I1336="Pago tarjeta"),-1,1)*O1336,0)+IF(AND(U1336&lt;&gt;"",IFERROR(INDEX(ctaLiq,MATCH(G1336,ctaNom,0))="Sí",FALSE)),O1336,0))</f>
        <v/>
      </c>
      <c r="W1336" s="19">
        <f>IF(OR(F1336="",I1336=""),"",IF(COUNTIFS(F$6:F1336,F1336,I$6:I1336,"?*")=1,MAX(W$5:W1335)+1,""))</f>
        <v/>
      </c>
    </row>
    <row r="1337">
      <c r="B1337" s="15" t="n"/>
      <c r="C1337" s="16" t="n"/>
      <c r="D1337" s="17" t="n"/>
      <c r="E1337" s="17" t="n"/>
      <c r="F1337" s="17" t="n"/>
      <c r="G1337" s="17" t="n"/>
      <c r="H1337" s="18">
        <f>IF(AND(B1337="",C1337="",D1337="",E1337=""),"",IF(B1337="","⚠ Falta fecha",IF(C1337="","⚠ Falta monto",IF(D1337="","⚠ Falta categoría",IF(ISNA(MATCH(D1337,catNom,0)),"⚠ Categoría no existe",IF(E1337="","⚠ Falta cuenta",IF(ISNA(MATCH(E1337,ctaNom,0)),"⚠ Cuenta no existe",IF(AND(OR(I1337="Transferencia",I1337="Pago tarjeta"),G1337=""),"⚠ Indica la cuenta «Hacia»",IF(AND(G1337&lt;&gt;"",G1337=E1337),"⚠ «Hacia» igual a la cuenta",IF(AND(G1337&lt;&gt;"",ISNA(MATCH(G1337,ctaNom,0))),"⚠ «Hacia» no existe",IF(AND(I1337="Pago tarjeta",IFERROR(INDEX(ctaTipo,MATCH(G1337,ctaNom,0)),"")&lt;&gt;"Tarjeta de crédito"),"⚠ «Hacia» debe ser la tarjeta",IF(AND(I1337="Trading",IFERROR(INDEX(ctaTipo,MATCH(E1337,ctaNom,0)),"")&lt;&gt;"Cuenta de trading"),"⚠ Usa la cuenta de trading","✓"))))))))))))</f>
        <v/>
      </c>
      <c r="I1337" s="19">
        <f>IF(OR(B1337="",C1337="",D1337=""),"",IFERROR(INDEX(catTipo,MATCH(D1337,catNom,0))&amp;"",""))</f>
        <v/>
      </c>
      <c r="J1337" s="19">
        <f>IF(I1337="","",IFERROR(INDEX(catGrupo,MATCH(D1337,catNom,0))&amp;"",""))</f>
        <v/>
      </c>
      <c r="K1337" s="19">
        <f>IF(I1337="Gasto",IF(IFERROR(INDEX(catClas,MATCH(D1337,catNom,0))&amp;"","")="","Variable",IFERROR(INDEX(catClas,MATCH(D1337,catNom,0))&amp;"","")),"")</f>
        <v/>
      </c>
      <c r="L1337" s="19">
        <f>IF(I1337="","",IFERROR(INDEX(catAlim,MATCH(D1337,catNom,0))&amp;"",""))</f>
        <v/>
      </c>
      <c r="M1337" s="19">
        <f>IF(I1337="","",IFERROR(INDEX(catComida,MATCH(D1337,catNom,0))&amp;"",""))</f>
        <v/>
      </c>
      <c r="N1337" s="19">
        <f>IF(I1337="","",IFERROR(INDEX(ctaMon,MATCH(E1337,ctaNom,0))&amp;"","DOP"))</f>
        <v/>
      </c>
      <c r="O1337" s="20">
        <f>IF(I1337="","",C1337*IF(N1337="USD",TasaUSD,1))</f>
        <v/>
      </c>
      <c r="P1337" s="20">
        <f>IF(I1337="","",IF(I1337="Gasto",O1337,0))</f>
        <v/>
      </c>
      <c r="Q1337" s="20">
        <f>IF(I1337="","",IF(I1337="Ingreso",O1337,0))</f>
        <v/>
      </c>
      <c r="R1337" s="20">
        <f>IF(I1337="","",IF(I1337="Trading",O1337,0))</f>
        <v/>
      </c>
      <c r="S1337" s="19">
        <f>IF(I1337="","",IF(AND(I1337="Gasto",K1337="Variable",J1337&lt;&gt;"Trading",O1337&gt;0,O1337&lt;=Umbral),1,0))</f>
        <v/>
      </c>
      <c r="T1337" s="20">
        <f>IF(OR(I1337="",E1337=""),"",IF(OR(I1337="Gasto",I1337="Transferencia",I1337="Pago tarjeta"),-1,1)*C1337)</f>
        <v/>
      </c>
      <c r="U1337" s="20">
        <f>IF(OR(G1337="",AND(I1337&lt;&gt;"Transferencia",I1337&lt;&gt;"Pago tarjeta")),"",IF(IFERROR(INDEX(ctaMon,MATCH(G1337,ctaNom,0))&amp;"","DOP")=N1337,C1337,IF(N1337="USD",C1337*TasaUSD,C1337/TasaUSD)))</f>
        <v/>
      </c>
      <c r="V1337" s="20">
        <f>IF(I1337="","",IF(IFERROR(INDEX(ctaLiq,MATCH(E1337,ctaNom,0))="Sí",FALSE),IF(OR(I1337="Gasto",I1337="Transferencia",I1337="Pago tarjeta"),-1,1)*O1337,0)+IF(AND(U1337&lt;&gt;"",IFERROR(INDEX(ctaLiq,MATCH(G1337,ctaNom,0))="Sí",FALSE)),O1337,0))</f>
        <v/>
      </c>
      <c r="W1337" s="19">
        <f>IF(OR(F1337="",I1337=""),"",IF(COUNTIFS(F$6:F1337,F1337,I$6:I1337,"?*")=1,MAX(W$5:W1336)+1,""))</f>
        <v/>
      </c>
    </row>
    <row r="1338">
      <c r="B1338" s="15" t="n"/>
      <c r="C1338" s="16" t="n"/>
      <c r="D1338" s="17" t="n"/>
      <c r="E1338" s="17" t="n"/>
      <c r="F1338" s="17" t="n"/>
      <c r="G1338" s="17" t="n"/>
      <c r="H1338" s="18">
        <f>IF(AND(B1338="",C1338="",D1338="",E1338=""),"",IF(B1338="","⚠ Falta fecha",IF(C1338="","⚠ Falta monto",IF(D1338="","⚠ Falta categoría",IF(ISNA(MATCH(D1338,catNom,0)),"⚠ Categoría no existe",IF(E1338="","⚠ Falta cuenta",IF(ISNA(MATCH(E1338,ctaNom,0)),"⚠ Cuenta no existe",IF(AND(OR(I1338="Transferencia",I1338="Pago tarjeta"),G1338=""),"⚠ Indica la cuenta «Hacia»",IF(AND(G1338&lt;&gt;"",G1338=E1338),"⚠ «Hacia» igual a la cuenta",IF(AND(G1338&lt;&gt;"",ISNA(MATCH(G1338,ctaNom,0))),"⚠ «Hacia» no existe",IF(AND(I1338="Pago tarjeta",IFERROR(INDEX(ctaTipo,MATCH(G1338,ctaNom,0)),"")&lt;&gt;"Tarjeta de crédito"),"⚠ «Hacia» debe ser la tarjeta",IF(AND(I1338="Trading",IFERROR(INDEX(ctaTipo,MATCH(E1338,ctaNom,0)),"")&lt;&gt;"Cuenta de trading"),"⚠ Usa la cuenta de trading","✓"))))))))))))</f>
        <v/>
      </c>
      <c r="I1338" s="19">
        <f>IF(OR(B1338="",C1338="",D1338=""),"",IFERROR(INDEX(catTipo,MATCH(D1338,catNom,0))&amp;"",""))</f>
        <v/>
      </c>
      <c r="J1338" s="19">
        <f>IF(I1338="","",IFERROR(INDEX(catGrupo,MATCH(D1338,catNom,0))&amp;"",""))</f>
        <v/>
      </c>
      <c r="K1338" s="19">
        <f>IF(I1338="Gasto",IF(IFERROR(INDEX(catClas,MATCH(D1338,catNom,0))&amp;"","")="","Variable",IFERROR(INDEX(catClas,MATCH(D1338,catNom,0))&amp;"","")),"")</f>
        <v/>
      </c>
      <c r="L1338" s="19">
        <f>IF(I1338="","",IFERROR(INDEX(catAlim,MATCH(D1338,catNom,0))&amp;"",""))</f>
        <v/>
      </c>
      <c r="M1338" s="19">
        <f>IF(I1338="","",IFERROR(INDEX(catComida,MATCH(D1338,catNom,0))&amp;"",""))</f>
        <v/>
      </c>
      <c r="N1338" s="19">
        <f>IF(I1338="","",IFERROR(INDEX(ctaMon,MATCH(E1338,ctaNom,0))&amp;"","DOP"))</f>
        <v/>
      </c>
      <c r="O1338" s="20">
        <f>IF(I1338="","",C1338*IF(N1338="USD",TasaUSD,1))</f>
        <v/>
      </c>
      <c r="P1338" s="20">
        <f>IF(I1338="","",IF(I1338="Gasto",O1338,0))</f>
        <v/>
      </c>
      <c r="Q1338" s="20">
        <f>IF(I1338="","",IF(I1338="Ingreso",O1338,0))</f>
        <v/>
      </c>
      <c r="R1338" s="20">
        <f>IF(I1338="","",IF(I1338="Trading",O1338,0))</f>
        <v/>
      </c>
      <c r="S1338" s="19">
        <f>IF(I1338="","",IF(AND(I1338="Gasto",K1338="Variable",J1338&lt;&gt;"Trading",O1338&gt;0,O1338&lt;=Umbral),1,0))</f>
        <v/>
      </c>
      <c r="T1338" s="20">
        <f>IF(OR(I1338="",E1338=""),"",IF(OR(I1338="Gasto",I1338="Transferencia",I1338="Pago tarjeta"),-1,1)*C1338)</f>
        <v/>
      </c>
      <c r="U1338" s="20">
        <f>IF(OR(G1338="",AND(I1338&lt;&gt;"Transferencia",I1338&lt;&gt;"Pago tarjeta")),"",IF(IFERROR(INDEX(ctaMon,MATCH(G1338,ctaNom,0))&amp;"","DOP")=N1338,C1338,IF(N1338="USD",C1338*TasaUSD,C1338/TasaUSD)))</f>
        <v/>
      </c>
      <c r="V1338" s="20">
        <f>IF(I1338="","",IF(IFERROR(INDEX(ctaLiq,MATCH(E1338,ctaNom,0))="Sí",FALSE),IF(OR(I1338="Gasto",I1338="Transferencia",I1338="Pago tarjeta"),-1,1)*O1338,0)+IF(AND(U1338&lt;&gt;"",IFERROR(INDEX(ctaLiq,MATCH(G1338,ctaNom,0))="Sí",FALSE)),O1338,0))</f>
        <v/>
      </c>
      <c r="W1338" s="19">
        <f>IF(OR(F1338="",I1338=""),"",IF(COUNTIFS(F$6:F1338,F1338,I$6:I1338,"?*")=1,MAX(W$5:W1337)+1,""))</f>
        <v/>
      </c>
    </row>
    <row r="1339">
      <c r="B1339" s="15" t="n"/>
      <c r="C1339" s="16" t="n"/>
      <c r="D1339" s="17" t="n"/>
      <c r="E1339" s="17" t="n"/>
      <c r="F1339" s="17" t="n"/>
      <c r="G1339" s="17" t="n"/>
      <c r="H1339" s="18">
        <f>IF(AND(B1339="",C1339="",D1339="",E1339=""),"",IF(B1339="","⚠ Falta fecha",IF(C1339="","⚠ Falta monto",IF(D1339="","⚠ Falta categoría",IF(ISNA(MATCH(D1339,catNom,0)),"⚠ Categoría no existe",IF(E1339="","⚠ Falta cuenta",IF(ISNA(MATCH(E1339,ctaNom,0)),"⚠ Cuenta no existe",IF(AND(OR(I1339="Transferencia",I1339="Pago tarjeta"),G1339=""),"⚠ Indica la cuenta «Hacia»",IF(AND(G1339&lt;&gt;"",G1339=E1339),"⚠ «Hacia» igual a la cuenta",IF(AND(G1339&lt;&gt;"",ISNA(MATCH(G1339,ctaNom,0))),"⚠ «Hacia» no existe",IF(AND(I1339="Pago tarjeta",IFERROR(INDEX(ctaTipo,MATCH(G1339,ctaNom,0)),"")&lt;&gt;"Tarjeta de crédito"),"⚠ «Hacia» debe ser la tarjeta",IF(AND(I1339="Trading",IFERROR(INDEX(ctaTipo,MATCH(E1339,ctaNom,0)),"")&lt;&gt;"Cuenta de trading"),"⚠ Usa la cuenta de trading","✓"))))))))))))</f>
        <v/>
      </c>
      <c r="I1339" s="19">
        <f>IF(OR(B1339="",C1339="",D1339=""),"",IFERROR(INDEX(catTipo,MATCH(D1339,catNom,0))&amp;"",""))</f>
        <v/>
      </c>
      <c r="J1339" s="19">
        <f>IF(I1339="","",IFERROR(INDEX(catGrupo,MATCH(D1339,catNom,0))&amp;"",""))</f>
        <v/>
      </c>
      <c r="K1339" s="19">
        <f>IF(I1339="Gasto",IF(IFERROR(INDEX(catClas,MATCH(D1339,catNom,0))&amp;"","")="","Variable",IFERROR(INDEX(catClas,MATCH(D1339,catNom,0))&amp;"","")),"")</f>
        <v/>
      </c>
      <c r="L1339" s="19">
        <f>IF(I1339="","",IFERROR(INDEX(catAlim,MATCH(D1339,catNom,0))&amp;"",""))</f>
        <v/>
      </c>
      <c r="M1339" s="19">
        <f>IF(I1339="","",IFERROR(INDEX(catComida,MATCH(D1339,catNom,0))&amp;"",""))</f>
        <v/>
      </c>
      <c r="N1339" s="19">
        <f>IF(I1339="","",IFERROR(INDEX(ctaMon,MATCH(E1339,ctaNom,0))&amp;"","DOP"))</f>
        <v/>
      </c>
      <c r="O1339" s="20">
        <f>IF(I1339="","",C1339*IF(N1339="USD",TasaUSD,1))</f>
        <v/>
      </c>
      <c r="P1339" s="20">
        <f>IF(I1339="","",IF(I1339="Gasto",O1339,0))</f>
        <v/>
      </c>
      <c r="Q1339" s="20">
        <f>IF(I1339="","",IF(I1339="Ingreso",O1339,0))</f>
        <v/>
      </c>
      <c r="R1339" s="20">
        <f>IF(I1339="","",IF(I1339="Trading",O1339,0))</f>
        <v/>
      </c>
      <c r="S1339" s="19">
        <f>IF(I1339="","",IF(AND(I1339="Gasto",K1339="Variable",J1339&lt;&gt;"Trading",O1339&gt;0,O1339&lt;=Umbral),1,0))</f>
        <v/>
      </c>
      <c r="T1339" s="20">
        <f>IF(OR(I1339="",E1339=""),"",IF(OR(I1339="Gasto",I1339="Transferencia",I1339="Pago tarjeta"),-1,1)*C1339)</f>
        <v/>
      </c>
      <c r="U1339" s="20">
        <f>IF(OR(G1339="",AND(I1339&lt;&gt;"Transferencia",I1339&lt;&gt;"Pago tarjeta")),"",IF(IFERROR(INDEX(ctaMon,MATCH(G1339,ctaNom,0))&amp;"","DOP")=N1339,C1339,IF(N1339="USD",C1339*TasaUSD,C1339/TasaUSD)))</f>
        <v/>
      </c>
      <c r="V1339" s="20">
        <f>IF(I1339="","",IF(IFERROR(INDEX(ctaLiq,MATCH(E1339,ctaNom,0))="Sí",FALSE),IF(OR(I1339="Gasto",I1339="Transferencia",I1339="Pago tarjeta"),-1,1)*O1339,0)+IF(AND(U1339&lt;&gt;"",IFERROR(INDEX(ctaLiq,MATCH(G1339,ctaNom,0))="Sí",FALSE)),O1339,0))</f>
        <v/>
      </c>
      <c r="W1339" s="19">
        <f>IF(OR(F1339="",I1339=""),"",IF(COUNTIFS(F$6:F1339,F1339,I$6:I1339,"?*")=1,MAX(W$5:W1338)+1,""))</f>
        <v/>
      </c>
    </row>
    <row r="1340">
      <c r="B1340" s="15" t="n"/>
      <c r="C1340" s="16" t="n"/>
      <c r="D1340" s="17" t="n"/>
      <c r="E1340" s="17" t="n"/>
      <c r="F1340" s="17" t="n"/>
      <c r="G1340" s="17" t="n"/>
      <c r="H1340" s="18">
        <f>IF(AND(B1340="",C1340="",D1340="",E1340=""),"",IF(B1340="","⚠ Falta fecha",IF(C1340="","⚠ Falta monto",IF(D1340="","⚠ Falta categoría",IF(ISNA(MATCH(D1340,catNom,0)),"⚠ Categoría no existe",IF(E1340="","⚠ Falta cuenta",IF(ISNA(MATCH(E1340,ctaNom,0)),"⚠ Cuenta no existe",IF(AND(OR(I1340="Transferencia",I1340="Pago tarjeta"),G1340=""),"⚠ Indica la cuenta «Hacia»",IF(AND(G1340&lt;&gt;"",G1340=E1340),"⚠ «Hacia» igual a la cuenta",IF(AND(G1340&lt;&gt;"",ISNA(MATCH(G1340,ctaNom,0))),"⚠ «Hacia» no existe",IF(AND(I1340="Pago tarjeta",IFERROR(INDEX(ctaTipo,MATCH(G1340,ctaNom,0)),"")&lt;&gt;"Tarjeta de crédito"),"⚠ «Hacia» debe ser la tarjeta",IF(AND(I1340="Trading",IFERROR(INDEX(ctaTipo,MATCH(E1340,ctaNom,0)),"")&lt;&gt;"Cuenta de trading"),"⚠ Usa la cuenta de trading","✓"))))))))))))</f>
        <v/>
      </c>
      <c r="I1340" s="19">
        <f>IF(OR(B1340="",C1340="",D1340=""),"",IFERROR(INDEX(catTipo,MATCH(D1340,catNom,0))&amp;"",""))</f>
        <v/>
      </c>
      <c r="J1340" s="19">
        <f>IF(I1340="","",IFERROR(INDEX(catGrupo,MATCH(D1340,catNom,0))&amp;"",""))</f>
        <v/>
      </c>
      <c r="K1340" s="19">
        <f>IF(I1340="Gasto",IF(IFERROR(INDEX(catClas,MATCH(D1340,catNom,0))&amp;"","")="","Variable",IFERROR(INDEX(catClas,MATCH(D1340,catNom,0))&amp;"","")),"")</f>
        <v/>
      </c>
      <c r="L1340" s="19">
        <f>IF(I1340="","",IFERROR(INDEX(catAlim,MATCH(D1340,catNom,0))&amp;"",""))</f>
        <v/>
      </c>
      <c r="M1340" s="19">
        <f>IF(I1340="","",IFERROR(INDEX(catComida,MATCH(D1340,catNom,0))&amp;"",""))</f>
        <v/>
      </c>
      <c r="N1340" s="19">
        <f>IF(I1340="","",IFERROR(INDEX(ctaMon,MATCH(E1340,ctaNom,0))&amp;"","DOP"))</f>
        <v/>
      </c>
      <c r="O1340" s="20">
        <f>IF(I1340="","",C1340*IF(N1340="USD",TasaUSD,1))</f>
        <v/>
      </c>
      <c r="P1340" s="20">
        <f>IF(I1340="","",IF(I1340="Gasto",O1340,0))</f>
        <v/>
      </c>
      <c r="Q1340" s="20">
        <f>IF(I1340="","",IF(I1340="Ingreso",O1340,0))</f>
        <v/>
      </c>
      <c r="R1340" s="20">
        <f>IF(I1340="","",IF(I1340="Trading",O1340,0))</f>
        <v/>
      </c>
      <c r="S1340" s="19">
        <f>IF(I1340="","",IF(AND(I1340="Gasto",K1340="Variable",J1340&lt;&gt;"Trading",O1340&gt;0,O1340&lt;=Umbral),1,0))</f>
        <v/>
      </c>
      <c r="T1340" s="20">
        <f>IF(OR(I1340="",E1340=""),"",IF(OR(I1340="Gasto",I1340="Transferencia",I1340="Pago tarjeta"),-1,1)*C1340)</f>
        <v/>
      </c>
      <c r="U1340" s="20">
        <f>IF(OR(G1340="",AND(I1340&lt;&gt;"Transferencia",I1340&lt;&gt;"Pago tarjeta")),"",IF(IFERROR(INDEX(ctaMon,MATCH(G1340,ctaNom,0))&amp;"","DOP")=N1340,C1340,IF(N1340="USD",C1340*TasaUSD,C1340/TasaUSD)))</f>
        <v/>
      </c>
      <c r="V1340" s="20">
        <f>IF(I1340="","",IF(IFERROR(INDEX(ctaLiq,MATCH(E1340,ctaNom,0))="Sí",FALSE),IF(OR(I1340="Gasto",I1340="Transferencia",I1340="Pago tarjeta"),-1,1)*O1340,0)+IF(AND(U1340&lt;&gt;"",IFERROR(INDEX(ctaLiq,MATCH(G1340,ctaNom,0))="Sí",FALSE)),O1340,0))</f>
        <v/>
      </c>
      <c r="W1340" s="19">
        <f>IF(OR(F1340="",I1340=""),"",IF(COUNTIFS(F$6:F1340,F1340,I$6:I1340,"?*")=1,MAX(W$5:W1339)+1,""))</f>
        <v/>
      </c>
    </row>
    <row r="1341">
      <c r="B1341" s="15" t="n"/>
      <c r="C1341" s="16" t="n"/>
      <c r="D1341" s="17" t="n"/>
      <c r="E1341" s="17" t="n"/>
      <c r="F1341" s="17" t="n"/>
      <c r="G1341" s="17" t="n"/>
      <c r="H1341" s="18">
        <f>IF(AND(B1341="",C1341="",D1341="",E1341=""),"",IF(B1341="","⚠ Falta fecha",IF(C1341="","⚠ Falta monto",IF(D1341="","⚠ Falta categoría",IF(ISNA(MATCH(D1341,catNom,0)),"⚠ Categoría no existe",IF(E1341="","⚠ Falta cuenta",IF(ISNA(MATCH(E1341,ctaNom,0)),"⚠ Cuenta no existe",IF(AND(OR(I1341="Transferencia",I1341="Pago tarjeta"),G1341=""),"⚠ Indica la cuenta «Hacia»",IF(AND(G1341&lt;&gt;"",G1341=E1341),"⚠ «Hacia» igual a la cuenta",IF(AND(G1341&lt;&gt;"",ISNA(MATCH(G1341,ctaNom,0))),"⚠ «Hacia» no existe",IF(AND(I1341="Pago tarjeta",IFERROR(INDEX(ctaTipo,MATCH(G1341,ctaNom,0)),"")&lt;&gt;"Tarjeta de crédito"),"⚠ «Hacia» debe ser la tarjeta",IF(AND(I1341="Trading",IFERROR(INDEX(ctaTipo,MATCH(E1341,ctaNom,0)),"")&lt;&gt;"Cuenta de trading"),"⚠ Usa la cuenta de trading","✓"))))))))))))</f>
        <v/>
      </c>
      <c r="I1341" s="19">
        <f>IF(OR(B1341="",C1341="",D1341=""),"",IFERROR(INDEX(catTipo,MATCH(D1341,catNom,0))&amp;"",""))</f>
        <v/>
      </c>
      <c r="J1341" s="19">
        <f>IF(I1341="","",IFERROR(INDEX(catGrupo,MATCH(D1341,catNom,0))&amp;"",""))</f>
        <v/>
      </c>
      <c r="K1341" s="19">
        <f>IF(I1341="Gasto",IF(IFERROR(INDEX(catClas,MATCH(D1341,catNom,0))&amp;"","")="","Variable",IFERROR(INDEX(catClas,MATCH(D1341,catNom,0))&amp;"","")),"")</f>
        <v/>
      </c>
      <c r="L1341" s="19">
        <f>IF(I1341="","",IFERROR(INDEX(catAlim,MATCH(D1341,catNom,0))&amp;"",""))</f>
        <v/>
      </c>
      <c r="M1341" s="19">
        <f>IF(I1341="","",IFERROR(INDEX(catComida,MATCH(D1341,catNom,0))&amp;"",""))</f>
        <v/>
      </c>
      <c r="N1341" s="19">
        <f>IF(I1341="","",IFERROR(INDEX(ctaMon,MATCH(E1341,ctaNom,0))&amp;"","DOP"))</f>
        <v/>
      </c>
      <c r="O1341" s="20">
        <f>IF(I1341="","",C1341*IF(N1341="USD",TasaUSD,1))</f>
        <v/>
      </c>
      <c r="P1341" s="20">
        <f>IF(I1341="","",IF(I1341="Gasto",O1341,0))</f>
        <v/>
      </c>
      <c r="Q1341" s="20">
        <f>IF(I1341="","",IF(I1341="Ingreso",O1341,0))</f>
        <v/>
      </c>
      <c r="R1341" s="20">
        <f>IF(I1341="","",IF(I1341="Trading",O1341,0))</f>
        <v/>
      </c>
      <c r="S1341" s="19">
        <f>IF(I1341="","",IF(AND(I1341="Gasto",K1341="Variable",J1341&lt;&gt;"Trading",O1341&gt;0,O1341&lt;=Umbral),1,0))</f>
        <v/>
      </c>
      <c r="T1341" s="20">
        <f>IF(OR(I1341="",E1341=""),"",IF(OR(I1341="Gasto",I1341="Transferencia",I1341="Pago tarjeta"),-1,1)*C1341)</f>
        <v/>
      </c>
      <c r="U1341" s="20">
        <f>IF(OR(G1341="",AND(I1341&lt;&gt;"Transferencia",I1341&lt;&gt;"Pago tarjeta")),"",IF(IFERROR(INDEX(ctaMon,MATCH(G1341,ctaNom,0))&amp;"","DOP")=N1341,C1341,IF(N1341="USD",C1341*TasaUSD,C1341/TasaUSD)))</f>
        <v/>
      </c>
      <c r="V1341" s="20">
        <f>IF(I1341="","",IF(IFERROR(INDEX(ctaLiq,MATCH(E1341,ctaNom,0))="Sí",FALSE),IF(OR(I1341="Gasto",I1341="Transferencia",I1341="Pago tarjeta"),-1,1)*O1341,0)+IF(AND(U1341&lt;&gt;"",IFERROR(INDEX(ctaLiq,MATCH(G1341,ctaNom,0))="Sí",FALSE)),O1341,0))</f>
        <v/>
      </c>
      <c r="W1341" s="19">
        <f>IF(OR(F1341="",I1341=""),"",IF(COUNTIFS(F$6:F1341,F1341,I$6:I1341,"?*")=1,MAX(W$5:W1340)+1,""))</f>
        <v/>
      </c>
    </row>
    <row r="1342">
      <c r="B1342" s="15" t="n"/>
      <c r="C1342" s="16" t="n"/>
      <c r="D1342" s="17" t="n"/>
      <c r="E1342" s="17" t="n"/>
      <c r="F1342" s="17" t="n"/>
      <c r="G1342" s="17" t="n"/>
      <c r="H1342" s="18">
        <f>IF(AND(B1342="",C1342="",D1342="",E1342=""),"",IF(B1342="","⚠ Falta fecha",IF(C1342="","⚠ Falta monto",IF(D1342="","⚠ Falta categoría",IF(ISNA(MATCH(D1342,catNom,0)),"⚠ Categoría no existe",IF(E1342="","⚠ Falta cuenta",IF(ISNA(MATCH(E1342,ctaNom,0)),"⚠ Cuenta no existe",IF(AND(OR(I1342="Transferencia",I1342="Pago tarjeta"),G1342=""),"⚠ Indica la cuenta «Hacia»",IF(AND(G1342&lt;&gt;"",G1342=E1342),"⚠ «Hacia» igual a la cuenta",IF(AND(G1342&lt;&gt;"",ISNA(MATCH(G1342,ctaNom,0))),"⚠ «Hacia» no existe",IF(AND(I1342="Pago tarjeta",IFERROR(INDEX(ctaTipo,MATCH(G1342,ctaNom,0)),"")&lt;&gt;"Tarjeta de crédito"),"⚠ «Hacia» debe ser la tarjeta",IF(AND(I1342="Trading",IFERROR(INDEX(ctaTipo,MATCH(E1342,ctaNom,0)),"")&lt;&gt;"Cuenta de trading"),"⚠ Usa la cuenta de trading","✓"))))))))))))</f>
        <v/>
      </c>
      <c r="I1342" s="19">
        <f>IF(OR(B1342="",C1342="",D1342=""),"",IFERROR(INDEX(catTipo,MATCH(D1342,catNom,0))&amp;"",""))</f>
        <v/>
      </c>
      <c r="J1342" s="19">
        <f>IF(I1342="","",IFERROR(INDEX(catGrupo,MATCH(D1342,catNom,0))&amp;"",""))</f>
        <v/>
      </c>
      <c r="K1342" s="19">
        <f>IF(I1342="Gasto",IF(IFERROR(INDEX(catClas,MATCH(D1342,catNom,0))&amp;"","")="","Variable",IFERROR(INDEX(catClas,MATCH(D1342,catNom,0))&amp;"","")),"")</f>
        <v/>
      </c>
      <c r="L1342" s="19">
        <f>IF(I1342="","",IFERROR(INDEX(catAlim,MATCH(D1342,catNom,0))&amp;"",""))</f>
        <v/>
      </c>
      <c r="M1342" s="19">
        <f>IF(I1342="","",IFERROR(INDEX(catComida,MATCH(D1342,catNom,0))&amp;"",""))</f>
        <v/>
      </c>
      <c r="N1342" s="19">
        <f>IF(I1342="","",IFERROR(INDEX(ctaMon,MATCH(E1342,ctaNom,0))&amp;"","DOP"))</f>
        <v/>
      </c>
      <c r="O1342" s="20">
        <f>IF(I1342="","",C1342*IF(N1342="USD",TasaUSD,1))</f>
        <v/>
      </c>
      <c r="P1342" s="20">
        <f>IF(I1342="","",IF(I1342="Gasto",O1342,0))</f>
        <v/>
      </c>
      <c r="Q1342" s="20">
        <f>IF(I1342="","",IF(I1342="Ingreso",O1342,0))</f>
        <v/>
      </c>
      <c r="R1342" s="20">
        <f>IF(I1342="","",IF(I1342="Trading",O1342,0))</f>
        <v/>
      </c>
      <c r="S1342" s="19">
        <f>IF(I1342="","",IF(AND(I1342="Gasto",K1342="Variable",J1342&lt;&gt;"Trading",O1342&gt;0,O1342&lt;=Umbral),1,0))</f>
        <v/>
      </c>
      <c r="T1342" s="20">
        <f>IF(OR(I1342="",E1342=""),"",IF(OR(I1342="Gasto",I1342="Transferencia",I1342="Pago tarjeta"),-1,1)*C1342)</f>
        <v/>
      </c>
      <c r="U1342" s="20">
        <f>IF(OR(G1342="",AND(I1342&lt;&gt;"Transferencia",I1342&lt;&gt;"Pago tarjeta")),"",IF(IFERROR(INDEX(ctaMon,MATCH(G1342,ctaNom,0))&amp;"","DOP")=N1342,C1342,IF(N1342="USD",C1342*TasaUSD,C1342/TasaUSD)))</f>
        <v/>
      </c>
      <c r="V1342" s="20">
        <f>IF(I1342="","",IF(IFERROR(INDEX(ctaLiq,MATCH(E1342,ctaNom,0))="Sí",FALSE),IF(OR(I1342="Gasto",I1342="Transferencia",I1342="Pago tarjeta"),-1,1)*O1342,0)+IF(AND(U1342&lt;&gt;"",IFERROR(INDEX(ctaLiq,MATCH(G1342,ctaNom,0))="Sí",FALSE)),O1342,0))</f>
        <v/>
      </c>
      <c r="W1342" s="19">
        <f>IF(OR(F1342="",I1342=""),"",IF(COUNTIFS(F$6:F1342,F1342,I$6:I1342,"?*")=1,MAX(W$5:W1341)+1,""))</f>
        <v/>
      </c>
    </row>
    <row r="1343">
      <c r="B1343" s="15" t="n"/>
      <c r="C1343" s="16" t="n"/>
      <c r="D1343" s="17" t="n"/>
      <c r="E1343" s="17" t="n"/>
      <c r="F1343" s="17" t="n"/>
      <c r="G1343" s="17" t="n"/>
      <c r="H1343" s="18">
        <f>IF(AND(B1343="",C1343="",D1343="",E1343=""),"",IF(B1343="","⚠ Falta fecha",IF(C1343="","⚠ Falta monto",IF(D1343="","⚠ Falta categoría",IF(ISNA(MATCH(D1343,catNom,0)),"⚠ Categoría no existe",IF(E1343="","⚠ Falta cuenta",IF(ISNA(MATCH(E1343,ctaNom,0)),"⚠ Cuenta no existe",IF(AND(OR(I1343="Transferencia",I1343="Pago tarjeta"),G1343=""),"⚠ Indica la cuenta «Hacia»",IF(AND(G1343&lt;&gt;"",G1343=E1343),"⚠ «Hacia» igual a la cuenta",IF(AND(G1343&lt;&gt;"",ISNA(MATCH(G1343,ctaNom,0))),"⚠ «Hacia» no existe",IF(AND(I1343="Pago tarjeta",IFERROR(INDEX(ctaTipo,MATCH(G1343,ctaNom,0)),"")&lt;&gt;"Tarjeta de crédito"),"⚠ «Hacia» debe ser la tarjeta",IF(AND(I1343="Trading",IFERROR(INDEX(ctaTipo,MATCH(E1343,ctaNom,0)),"")&lt;&gt;"Cuenta de trading"),"⚠ Usa la cuenta de trading","✓"))))))))))))</f>
        <v/>
      </c>
      <c r="I1343" s="19">
        <f>IF(OR(B1343="",C1343="",D1343=""),"",IFERROR(INDEX(catTipo,MATCH(D1343,catNom,0))&amp;"",""))</f>
        <v/>
      </c>
      <c r="J1343" s="19">
        <f>IF(I1343="","",IFERROR(INDEX(catGrupo,MATCH(D1343,catNom,0))&amp;"",""))</f>
        <v/>
      </c>
      <c r="K1343" s="19">
        <f>IF(I1343="Gasto",IF(IFERROR(INDEX(catClas,MATCH(D1343,catNom,0))&amp;"","")="","Variable",IFERROR(INDEX(catClas,MATCH(D1343,catNom,0))&amp;"","")),"")</f>
        <v/>
      </c>
      <c r="L1343" s="19">
        <f>IF(I1343="","",IFERROR(INDEX(catAlim,MATCH(D1343,catNom,0))&amp;"",""))</f>
        <v/>
      </c>
      <c r="M1343" s="19">
        <f>IF(I1343="","",IFERROR(INDEX(catComida,MATCH(D1343,catNom,0))&amp;"",""))</f>
        <v/>
      </c>
      <c r="N1343" s="19">
        <f>IF(I1343="","",IFERROR(INDEX(ctaMon,MATCH(E1343,ctaNom,0))&amp;"","DOP"))</f>
        <v/>
      </c>
      <c r="O1343" s="20">
        <f>IF(I1343="","",C1343*IF(N1343="USD",TasaUSD,1))</f>
        <v/>
      </c>
      <c r="P1343" s="20">
        <f>IF(I1343="","",IF(I1343="Gasto",O1343,0))</f>
        <v/>
      </c>
      <c r="Q1343" s="20">
        <f>IF(I1343="","",IF(I1343="Ingreso",O1343,0))</f>
        <v/>
      </c>
      <c r="R1343" s="20">
        <f>IF(I1343="","",IF(I1343="Trading",O1343,0))</f>
        <v/>
      </c>
      <c r="S1343" s="19">
        <f>IF(I1343="","",IF(AND(I1343="Gasto",K1343="Variable",J1343&lt;&gt;"Trading",O1343&gt;0,O1343&lt;=Umbral),1,0))</f>
        <v/>
      </c>
      <c r="T1343" s="20">
        <f>IF(OR(I1343="",E1343=""),"",IF(OR(I1343="Gasto",I1343="Transferencia",I1343="Pago tarjeta"),-1,1)*C1343)</f>
        <v/>
      </c>
      <c r="U1343" s="20">
        <f>IF(OR(G1343="",AND(I1343&lt;&gt;"Transferencia",I1343&lt;&gt;"Pago tarjeta")),"",IF(IFERROR(INDEX(ctaMon,MATCH(G1343,ctaNom,0))&amp;"","DOP")=N1343,C1343,IF(N1343="USD",C1343*TasaUSD,C1343/TasaUSD)))</f>
        <v/>
      </c>
      <c r="V1343" s="20">
        <f>IF(I1343="","",IF(IFERROR(INDEX(ctaLiq,MATCH(E1343,ctaNom,0))="Sí",FALSE),IF(OR(I1343="Gasto",I1343="Transferencia",I1343="Pago tarjeta"),-1,1)*O1343,0)+IF(AND(U1343&lt;&gt;"",IFERROR(INDEX(ctaLiq,MATCH(G1343,ctaNom,0))="Sí",FALSE)),O1343,0))</f>
        <v/>
      </c>
      <c r="W1343" s="19">
        <f>IF(OR(F1343="",I1343=""),"",IF(COUNTIFS(F$6:F1343,F1343,I$6:I1343,"?*")=1,MAX(W$5:W1342)+1,""))</f>
        <v/>
      </c>
    </row>
    <row r="1344">
      <c r="B1344" s="15" t="n"/>
      <c r="C1344" s="16" t="n"/>
      <c r="D1344" s="17" t="n"/>
      <c r="E1344" s="17" t="n"/>
      <c r="F1344" s="17" t="n"/>
      <c r="G1344" s="17" t="n"/>
      <c r="H1344" s="18">
        <f>IF(AND(B1344="",C1344="",D1344="",E1344=""),"",IF(B1344="","⚠ Falta fecha",IF(C1344="","⚠ Falta monto",IF(D1344="","⚠ Falta categoría",IF(ISNA(MATCH(D1344,catNom,0)),"⚠ Categoría no existe",IF(E1344="","⚠ Falta cuenta",IF(ISNA(MATCH(E1344,ctaNom,0)),"⚠ Cuenta no existe",IF(AND(OR(I1344="Transferencia",I1344="Pago tarjeta"),G1344=""),"⚠ Indica la cuenta «Hacia»",IF(AND(G1344&lt;&gt;"",G1344=E1344),"⚠ «Hacia» igual a la cuenta",IF(AND(G1344&lt;&gt;"",ISNA(MATCH(G1344,ctaNom,0))),"⚠ «Hacia» no existe",IF(AND(I1344="Pago tarjeta",IFERROR(INDEX(ctaTipo,MATCH(G1344,ctaNom,0)),"")&lt;&gt;"Tarjeta de crédito"),"⚠ «Hacia» debe ser la tarjeta",IF(AND(I1344="Trading",IFERROR(INDEX(ctaTipo,MATCH(E1344,ctaNom,0)),"")&lt;&gt;"Cuenta de trading"),"⚠ Usa la cuenta de trading","✓"))))))))))))</f>
        <v/>
      </c>
      <c r="I1344" s="19">
        <f>IF(OR(B1344="",C1344="",D1344=""),"",IFERROR(INDEX(catTipo,MATCH(D1344,catNom,0))&amp;"",""))</f>
        <v/>
      </c>
      <c r="J1344" s="19">
        <f>IF(I1344="","",IFERROR(INDEX(catGrupo,MATCH(D1344,catNom,0))&amp;"",""))</f>
        <v/>
      </c>
      <c r="K1344" s="19">
        <f>IF(I1344="Gasto",IF(IFERROR(INDEX(catClas,MATCH(D1344,catNom,0))&amp;"","")="","Variable",IFERROR(INDEX(catClas,MATCH(D1344,catNom,0))&amp;"","")),"")</f>
        <v/>
      </c>
      <c r="L1344" s="19">
        <f>IF(I1344="","",IFERROR(INDEX(catAlim,MATCH(D1344,catNom,0))&amp;"",""))</f>
        <v/>
      </c>
      <c r="M1344" s="19">
        <f>IF(I1344="","",IFERROR(INDEX(catComida,MATCH(D1344,catNom,0))&amp;"",""))</f>
        <v/>
      </c>
      <c r="N1344" s="19">
        <f>IF(I1344="","",IFERROR(INDEX(ctaMon,MATCH(E1344,ctaNom,0))&amp;"","DOP"))</f>
        <v/>
      </c>
      <c r="O1344" s="20">
        <f>IF(I1344="","",C1344*IF(N1344="USD",TasaUSD,1))</f>
        <v/>
      </c>
      <c r="P1344" s="20">
        <f>IF(I1344="","",IF(I1344="Gasto",O1344,0))</f>
        <v/>
      </c>
      <c r="Q1344" s="20">
        <f>IF(I1344="","",IF(I1344="Ingreso",O1344,0))</f>
        <v/>
      </c>
      <c r="R1344" s="20">
        <f>IF(I1344="","",IF(I1344="Trading",O1344,0))</f>
        <v/>
      </c>
      <c r="S1344" s="19">
        <f>IF(I1344="","",IF(AND(I1344="Gasto",K1344="Variable",J1344&lt;&gt;"Trading",O1344&gt;0,O1344&lt;=Umbral),1,0))</f>
        <v/>
      </c>
      <c r="T1344" s="20">
        <f>IF(OR(I1344="",E1344=""),"",IF(OR(I1344="Gasto",I1344="Transferencia",I1344="Pago tarjeta"),-1,1)*C1344)</f>
        <v/>
      </c>
      <c r="U1344" s="20">
        <f>IF(OR(G1344="",AND(I1344&lt;&gt;"Transferencia",I1344&lt;&gt;"Pago tarjeta")),"",IF(IFERROR(INDEX(ctaMon,MATCH(G1344,ctaNom,0))&amp;"","DOP")=N1344,C1344,IF(N1344="USD",C1344*TasaUSD,C1344/TasaUSD)))</f>
        <v/>
      </c>
      <c r="V1344" s="20">
        <f>IF(I1344="","",IF(IFERROR(INDEX(ctaLiq,MATCH(E1344,ctaNom,0))="Sí",FALSE),IF(OR(I1344="Gasto",I1344="Transferencia",I1344="Pago tarjeta"),-1,1)*O1344,0)+IF(AND(U1344&lt;&gt;"",IFERROR(INDEX(ctaLiq,MATCH(G1344,ctaNom,0))="Sí",FALSE)),O1344,0))</f>
        <v/>
      </c>
      <c r="W1344" s="19">
        <f>IF(OR(F1344="",I1344=""),"",IF(COUNTIFS(F$6:F1344,F1344,I$6:I1344,"?*")=1,MAX(W$5:W1343)+1,""))</f>
        <v/>
      </c>
    </row>
    <row r="1345">
      <c r="B1345" s="15" t="n"/>
      <c r="C1345" s="16" t="n"/>
      <c r="D1345" s="17" t="n"/>
      <c r="E1345" s="17" t="n"/>
      <c r="F1345" s="17" t="n"/>
      <c r="G1345" s="17" t="n"/>
      <c r="H1345" s="18">
        <f>IF(AND(B1345="",C1345="",D1345="",E1345=""),"",IF(B1345="","⚠ Falta fecha",IF(C1345="","⚠ Falta monto",IF(D1345="","⚠ Falta categoría",IF(ISNA(MATCH(D1345,catNom,0)),"⚠ Categoría no existe",IF(E1345="","⚠ Falta cuenta",IF(ISNA(MATCH(E1345,ctaNom,0)),"⚠ Cuenta no existe",IF(AND(OR(I1345="Transferencia",I1345="Pago tarjeta"),G1345=""),"⚠ Indica la cuenta «Hacia»",IF(AND(G1345&lt;&gt;"",G1345=E1345),"⚠ «Hacia» igual a la cuenta",IF(AND(G1345&lt;&gt;"",ISNA(MATCH(G1345,ctaNom,0))),"⚠ «Hacia» no existe",IF(AND(I1345="Pago tarjeta",IFERROR(INDEX(ctaTipo,MATCH(G1345,ctaNom,0)),"")&lt;&gt;"Tarjeta de crédito"),"⚠ «Hacia» debe ser la tarjeta",IF(AND(I1345="Trading",IFERROR(INDEX(ctaTipo,MATCH(E1345,ctaNom,0)),"")&lt;&gt;"Cuenta de trading"),"⚠ Usa la cuenta de trading","✓"))))))))))))</f>
        <v/>
      </c>
      <c r="I1345" s="19">
        <f>IF(OR(B1345="",C1345="",D1345=""),"",IFERROR(INDEX(catTipo,MATCH(D1345,catNom,0))&amp;"",""))</f>
        <v/>
      </c>
      <c r="J1345" s="19">
        <f>IF(I1345="","",IFERROR(INDEX(catGrupo,MATCH(D1345,catNom,0))&amp;"",""))</f>
        <v/>
      </c>
      <c r="K1345" s="19">
        <f>IF(I1345="Gasto",IF(IFERROR(INDEX(catClas,MATCH(D1345,catNom,0))&amp;"","")="","Variable",IFERROR(INDEX(catClas,MATCH(D1345,catNom,0))&amp;"","")),"")</f>
        <v/>
      </c>
      <c r="L1345" s="19">
        <f>IF(I1345="","",IFERROR(INDEX(catAlim,MATCH(D1345,catNom,0))&amp;"",""))</f>
        <v/>
      </c>
      <c r="M1345" s="19">
        <f>IF(I1345="","",IFERROR(INDEX(catComida,MATCH(D1345,catNom,0))&amp;"",""))</f>
        <v/>
      </c>
      <c r="N1345" s="19">
        <f>IF(I1345="","",IFERROR(INDEX(ctaMon,MATCH(E1345,ctaNom,0))&amp;"","DOP"))</f>
        <v/>
      </c>
      <c r="O1345" s="20">
        <f>IF(I1345="","",C1345*IF(N1345="USD",TasaUSD,1))</f>
        <v/>
      </c>
      <c r="P1345" s="20">
        <f>IF(I1345="","",IF(I1345="Gasto",O1345,0))</f>
        <v/>
      </c>
      <c r="Q1345" s="20">
        <f>IF(I1345="","",IF(I1345="Ingreso",O1345,0))</f>
        <v/>
      </c>
      <c r="R1345" s="20">
        <f>IF(I1345="","",IF(I1345="Trading",O1345,0))</f>
        <v/>
      </c>
      <c r="S1345" s="19">
        <f>IF(I1345="","",IF(AND(I1345="Gasto",K1345="Variable",J1345&lt;&gt;"Trading",O1345&gt;0,O1345&lt;=Umbral),1,0))</f>
        <v/>
      </c>
      <c r="T1345" s="20">
        <f>IF(OR(I1345="",E1345=""),"",IF(OR(I1345="Gasto",I1345="Transferencia",I1345="Pago tarjeta"),-1,1)*C1345)</f>
        <v/>
      </c>
      <c r="U1345" s="20">
        <f>IF(OR(G1345="",AND(I1345&lt;&gt;"Transferencia",I1345&lt;&gt;"Pago tarjeta")),"",IF(IFERROR(INDEX(ctaMon,MATCH(G1345,ctaNom,0))&amp;"","DOP")=N1345,C1345,IF(N1345="USD",C1345*TasaUSD,C1345/TasaUSD)))</f>
        <v/>
      </c>
      <c r="V1345" s="20">
        <f>IF(I1345="","",IF(IFERROR(INDEX(ctaLiq,MATCH(E1345,ctaNom,0))="Sí",FALSE),IF(OR(I1345="Gasto",I1345="Transferencia",I1345="Pago tarjeta"),-1,1)*O1345,0)+IF(AND(U1345&lt;&gt;"",IFERROR(INDEX(ctaLiq,MATCH(G1345,ctaNom,0))="Sí",FALSE)),O1345,0))</f>
        <v/>
      </c>
      <c r="W1345" s="19">
        <f>IF(OR(F1345="",I1345=""),"",IF(COUNTIFS(F$6:F1345,F1345,I$6:I1345,"?*")=1,MAX(W$5:W1344)+1,""))</f>
        <v/>
      </c>
    </row>
    <row r="1346">
      <c r="B1346" s="15" t="n"/>
      <c r="C1346" s="16" t="n"/>
      <c r="D1346" s="17" t="n"/>
      <c r="E1346" s="17" t="n"/>
      <c r="F1346" s="17" t="n"/>
      <c r="G1346" s="17" t="n"/>
      <c r="H1346" s="18">
        <f>IF(AND(B1346="",C1346="",D1346="",E1346=""),"",IF(B1346="","⚠ Falta fecha",IF(C1346="","⚠ Falta monto",IF(D1346="","⚠ Falta categoría",IF(ISNA(MATCH(D1346,catNom,0)),"⚠ Categoría no existe",IF(E1346="","⚠ Falta cuenta",IF(ISNA(MATCH(E1346,ctaNom,0)),"⚠ Cuenta no existe",IF(AND(OR(I1346="Transferencia",I1346="Pago tarjeta"),G1346=""),"⚠ Indica la cuenta «Hacia»",IF(AND(G1346&lt;&gt;"",G1346=E1346),"⚠ «Hacia» igual a la cuenta",IF(AND(G1346&lt;&gt;"",ISNA(MATCH(G1346,ctaNom,0))),"⚠ «Hacia» no existe",IF(AND(I1346="Pago tarjeta",IFERROR(INDEX(ctaTipo,MATCH(G1346,ctaNom,0)),"")&lt;&gt;"Tarjeta de crédito"),"⚠ «Hacia» debe ser la tarjeta",IF(AND(I1346="Trading",IFERROR(INDEX(ctaTipo,MATCH(E1346,ctaNom,0)),"")&lt;&gt;"Cuenta de trading"),"⚠ Usa la cuenta de trading","✓"))))))))))))</f>
        <v/>
      </c>
      <c r="I1346" s="19">
        <f>IF(OR(B1346="",C1346="",D1346=""),"",IFERROR(INDEX(catTipo,MATCH(D1346,catNom,0))&amp;"",""))</f>
        <v/>
      </c>
      <c r="J1346" s="19">
        <f>IF(I1346="","",IFERROR(INDEX(catGrupo,MATCH(D1346,catNom,0))&amp;"",""))</f>
        <v/>
      </c>
      <c r="K1346" s="19">
        <f>IF(I1346="Gasto",IF(IFERROR(INDEX(catClas,MATCH(D1346,catNom,0))&amp;"","")="","Variable",IFERROR(INDEX(catClas,MATCH(D1346,catNom,0))&amp;"","")),"")</f>
        <v/>
      </c>
      <c r="L1346" s="19">
        <f>IF(I1346="","",IFERROR(INDEX(catAlim,MATCH(D1346,catNom,0))&amp;"",""))</f>
        <v/>
      </c>
      <c r="M1346" s="19">
        <f>IF(I1346="","",IFERROR(INDEX(catComida,MATCH(D1346,catNom,0))&amp;"",""))</f>
        <v/>
      </c>
      <c r="N1346" s="19">
        <f>IF(I1346="","",IFERROR(INDEX(ctaMon,MATCH(E1346,ctaNom,0))&amp;"","DOP"))</f>
        <v/>
      </c>
      <c r="O1346" s="20">
        <f>IF(I1346="","",C1346*IF(N1346="USD",TasaUSD,1))</f>
        <v/>
      </c>
      <c r="P1346" s="20">
        <f>IF(I1346="","",IF(I1346="Gasto",O1346,0))</f>
        <v/>
      </c>
      <c r="Q1346" s="20">
        <f>IF(I1346="","",IF(I1346="Ingreso",O1346,0))</f>
        <v/>
      </c>
      <c r="R1346" s="20">
        <f>IF(I1346="","",IF(I1346="Trading",O1346,0))</f>
        <v/>
      </c>
      <c r="S1346" s="19">
        <f>IF(I1346="","",IF(AND(I1346="Gasto",K1346="Variable",J1346&lt;&gt;"Trading",O1346&gt;0,O1346&lt;=Umbral),1,0))</f>
        <v/>
      </c>
      <c r="T1346" s="20">
        <f>IF(OR(I1346="",E1346=""),"",IF(OR(I1346="Gasto",I1346="Transferencia",I1346="Pago tarjeta"),-1,1)*C1346)</f>
        <v/>
      </c>
      <c r="U1346" s="20">
        <f>IF(OR(G1346="",AND(I1346&lt;&gt;"Transferencia",I1346&lt;&gt;"Pago tarjeta")),"",IF(IFERROR(INDEX(ctaMon,MATCH(G1346,ctaNom,0))&amp;"","DOP")=N1346,C1346,IF(N1346="USD",C1346*TasaUSD,C1346/TasaUSD)))</f>
        <v/>
      </c>
      <c r="V1346" s="20">
        <f>IF(I1346="","",IF(IFERROR(INDEX(ctaLiq,MATCH(E1346,ctaNom,0))="Sí",FALSE),IF(OR(I1346="Gasto",I1346="Transferencia",I1346="Pago tarjeta"),-1,1)*O1346,0)+IF(AND(U1346&lt;&gt;"",IFERROR(INDEX(ctaLiq,MATCH(G1346,ctaNom,0))="Sí",FALSE)),O1346,0))</f>
        <v/>
      </c>
      <c r="W1346" s="19">
        <f>IF(OR(F1346="",I1346=""),"",IF(COUNTIFS(F$6:F1346,F1346,I$6:I1346,"?*")=1,MAX(W$5:W1345)+1,""))</f>
        <v/>
      </c>
    </row>
    <row r="1347">
      <c r="B1347" s="15" t="n"/>
      <c r="C1347" s="16" t="n"/>
      <c r="D1347" s="17" t="n"/>
      <c r="E1347" s="17" t="n"/>
      <c r="F1347" s="17" t="n"/>
      <c r="G1347" s="17" t="n"/>
      <c r="H1347" s="18">
        <f>IF(AND(B1347="",C1347="",D1347="",E1347=""),"",IF(B1347="","⚠ Falta fecha",IF(C1347="","⚠ Falta monto",IF(D1347="","⚠ Falta categoría",IF(ISNA(MATCH(D1347,catNom,0)),"⚠ Categoría no existe",IF(E1347="","⚠ Falta cuenta",IF(ISNA(MATCH(E1347,ctaNom,0)),"⚠ Cuenta no existe",IF(AND(OR(I1347="Transferencia",I1347="Pago tarjeta"),G1347=""),"⚠ Indica la cuenta «Hacia»",IF(AND(G1347&lt;&gt;"",G1347=E1347),"⚠ «Hacia» igual a la cuenta",IF(AND(G1347&lt;&gt;"",ISNA(MATCH(G1347,ctaNom,0))),"⚠ «Hacia» no existe",IF(AND(I1347="Pago tarjeta",IFERROR(INDEX(ctaTipo,MATCH(G1347,ctaNom,0)),"")&lt;&gt;"Tarjeta de crédito"),"⚠ «Hacia» debe ser la tarjeta",IF(AND(I1347="Trading",IFERROR(INDEX(ctaTipo,MATCH(E1347,ctaNom,0)),"")&lt;&gt;"Cuenta de trading"),"⚠ Usa la cuenta de trading","✓"))))))))))))</f>
        <v/>
      </c>
      <c r="I1347" s="19">
        <f>IF(OR(B1347="",C1347="",D1347=""),"",IFERROR(INDEX(catTipo,MATCH(D1347,catNom,0))&amp;"",""))</f>
        <v/>
      </c>
      <c r="J1347" s="19">
        <f>IF(I1347="","",IFERROR(INDEX(catGrupo,MATCH(D1347,catNom,0))&amp;"",""))</f>
        <v/>
      </c>
      <c r="K1347" s="19">
        <f>IF(I1347="Gasto",IF(IFERROR(INDEX(catClas,MATCH(D1347,catNom,0))&amp;"","")="","Variable",IFERROR(INDEX(catClas,MATCH(D1347,catNom,0))&amp;"","")),"")</f>
        <v/>
      </c>
      <c r="L1347" s="19">
        <f>IF(I1347="","",IFERROR(INDEX(catAlim,MATCH(D1347,catNom,0))&amp;"",""))</f>
        <v/>
      </c>
      <c r="M1347" s="19">
        <f>IF(I1347="","",IFERROR(INDEX(catComida,MATCH(D1347,catNom,0))&amp;"",""))</f>
        <v/>
      </c>
      <c r="N1347" s="19">
        <f>IF(I1347="","",IFERROR(INDEX(ctaMon,MATCH(E1347,ctaNom,0))&amp;"","DOP"))</f>
        <v/>
      </c>
      <c r="O1347" s="20">
        <f>IF(I1347="","",C1347*IF(N1347="USD",TasaUSD,1))</f>
        <v/>
      </c>
      <c r="P1347" s="20">
        <f>IF(I1347="","",IF(I1347="Gasto",O1347,0))</f>
        <v/>
      </c>
      <c r="Q1347" s="20">
        <f>IF(I1347="","",IF(I1347="Ingreso",O1347,0))</f>
        <v/>
      </c>
      <c r="R1347" s="20">
        <f>IF(I1347="","",IF(I1347="Trading",O1347,0))</f>
        <v/>
      </c>
      <c r="S1347" s="19">
        <f>IF(I1347="","",IF(AND(I1347="Gasto",K1347="Variable",J1347&lt;&gt;"Trading",O1347&gt;0,O1347&lt;=Umbral),1,0))</f>
        <v/>
      </c>
      <c r="T1347" s="20">
        <f>IF(OR(I1347="",E1347=""),"",IF(OR(I1347="Gasto",I1347="Transferencia",I1347="Pago tarjeta"),-1,1)*C1347)</f>
        <v/>
      </c>
      <c r="U1347" s="20">
        <f>IF(OR(G1347="",AND(I1347&lt;&gt;"Transferencia",I1347&lt;&gt;"Pago tarjeta")),"",IF(IFERROR(INDEX(ctaMon,MATCH(G1347,ctaNom,0))&amp;"","DOP")=N1347,C1347,IF(N1347="USD",C1347*TasaUSD,C1347/TasaUSD)))</f>
        <v/>
      </c>
      <c r="V1347" s="20">
        <f>IF(I1347="","",IF(IFERROR(INDEX(ctaLiq,MATCH(E1347,ctaNom,0))="Sí",FALSE),IF(OR(I1347="Gasto",I1347="Transferencia",I1347="Pago tarjeta"),-1,1)*O1347,0)+IF(AND(U1347&lt;&gt;"",IFERROR(INDEX(ctaLiq,MATCH(G1347,ctaNom,0))="Sí",FALSE)),O1347,0))</f>
        <v/>
      </c>
      <c r="W1347" s="19">
        <f>IF(OR(F1347="",I1347=""),"",IF(COUNTIFS(F$6:F1347,F1347,I$6:I1347,"?*")=1,MAX(W$5:W1346)+1,""))</f>
        <v/>
      </c>
    </row>
    <row r="1348">
      <c r="B1348" s="15" t="n"/>
      <c r="C1348" s="16" t="n"/>
      <c r="D1348" s="17" t="n"/>
      <c r="E1348" s="17" t="n"/>
      <c r="F1348" s="17" t="n"/>
      <c r="G1348" s="17" t="n"/>
      <c r="H1348" s="18">
        <f>IF(AND(B1348="",C1348="",D1348="",E1348=""),"",IF(B1348="","⚠ Falta fecha",IF(C1348="","⚠ Falta monto",IF(D1348="","⚠ Falta categoría",IF(ISNA(MATCH(D1348,catNom,0)),"⚠ Categoría no existe",IF(E1348="","⚠ Falta cuenta",IF(ISNA(MATCH(E1348,ctaNom,0)),"⚠ Cuenta no existe",IF(AND(OR(I1348="Transferencia",I1348="Pago tarjeta"),G1348=""),"⚠ Indica la cuenta «Hacia»",IF(AND(G1348&lt;&gt;"",G1348=E1348),"⚠ «Hacia» igual a la cuenta",IF(AND(G1348&lt;&gt;"",ISNA(MATCH(G1348,ctaNom,0))),"⚠ «Hacia» no existe",IF(AND(I1348="Pago tarjeta",IFERROR(INDEX(ctaTipo,MATCH(G1348,ctaNom,0)),"")&lt;&gt;"Tarjeta de crédito"),"⚠ «Hacia» debe ser la tarjeta",IF(AND(I1348="Trading",IFERROR(INDEX(ctaTipo,MATCH(E1348,ctaNom,0)),"")&lt;&gt;"Cuenta de trading"),"⚠ Usa la cuenta de trading","✓"))))))))))))</f>
        <v/>
      </c>
      <c r="I1348" s="19">
        <f>IF(OR(B1348="",C1348="",D1348=""),"",IFERROR(INDEX(catTipo,MATCH(D1348,catNom,0))&amp;"",""))</f>
        <v/>
      </c>
      <c r="J1348" s="19">
        <f>IF(I1348="","",IFERROR(INDEX(catGrupo,MATCH(D1348,catNom,0))&amp;"",""))</f>
        <v/>
      </c>
      <c r="K1348" s="19">
        <f>IF(I1348="Gasto",IF(IFERROR(INDEX(catClas,MATCH(D1348,catNom,0))&amp;"","")="","Variable",IFERROR(INDEX(catClas,MATCH(D1348,catNom,0))&amp;"","")),"")</f>
        <v/>
      </c>
      <c r="L1348" s="19">
        <f>IF(I1348="","",IFERROR(INDEX(catAlim,MATCH(D1348,catNom,0))&amp;"",""))</f>
        <v/>
      </c>
      <c r="M1348" s="19">
        <f>IF(I1348="","",IFERROR(INDEX(catComida,MATCH(D1348,catNom,0))&amp;"",""))</f>
        <v/>
      </c>
      <c r="N1348" s="19">
        <f>IF(I1348="","",IFERROR(INDEX(ctaMon,MATCH(E1348,ctaNom,0))&amp;"","DOP"))</f>
        <v/>
      </c>
      <c r="O1348" s="20">
        <f>IF(I1348="","",C1348*IF(N1348="USD",TasaUSD,1))</f>
        <v/>
      </c>
      <c r="P1348" s="20">
        <f>IF(I1348="","",IF(I1348="Gasto",O1348,0))</f>
        <v/>
      </c>
      <c r="Q1348" s="20">
        <f>IF(I1348="","",IF(I1348="Ingreso",O1348,0))</f>
        <v/>
      </c>
      <c r="R1348" s="20">
        <f>IF(I1348="","",IF(I1348="Trading",O1348,0))</f>
        <v/>
      </c>
      <c r="S1348" s="19">
        <f>IF(I1348="","",IF(AND(I1348="Gasto",K1348="Variable",J1348&lt;&gt;"Trading",O1348&gt;0,O1348&lt;=Umbral),1,0))</f>
        <v/>
      </c>
      <c r="T1348" s="20">
        <f>IF(OR(I1348="",E1348=""),"",IF(OR(I1348="Gasto",I1348="Transferencia",I1348="Pago tarjeta"),-1,1)*C1348)</f>
        <v/>
      </c>
      <c r="U1348" s="20">
        <f>IF(OR(G1348="",AND(I1348&lt;&gt;"Transferencia",I1348&lt;&gt;"Pago tarjeta")),"",IF(IFERROR(INDEX(ctaMon,MATCH(G1348,ctaNom,0))&amp;"","DOP")=N1348,C1348,IF(N1348="USD",C1348*TasaUSD,C1348/TasaUSD)))</f>
        <v/>
      </c>
      <c r="V1348" s="20">
        <f>IF(I1348="","",IF(IFERROR(INDEX(ctaLiq,MATCH(E1348,ctaNom,0))="Sí",FALSE),IF(OR(I1348="Gasto",I1348="Transferencia",I1348="Pago tarjeta"),-1,1)*O1348,0)+IF(AND(U1348&lt;&gt;"",IFERROR(INDEX(ctaLiq,MATCH(G1348,ctaNom,0))="Sí",FALSE)),O1348,0))</f>
        <v/>
      </c>
      <c r="W1348" s="19">
        <f>IF(OR(F1348="",I1348=""),"",IF(COUNTIFS(F$6:F1348,F1348,I$6:I1348,"?*")=1,MAX(W$5:W1347)+1,""))</f>
        <v/>
      </c>
    </row>
    <row r="1349">
      <c r="B1349" s="15" t="n"/>
      <c r="C1349" s="16" t="n"/>
      <c r="D1349" s="17" t="n"/>
      <c r="E1349" s="17" t="n"/>
      <c r="F1349" s="17" t="n"/>
      <c r="G1349" s="17" t="n"/>
      <c r="H1349" s="18">
        <f>IF(AND(B1349="",C1349="",D1349="",E1349=""),"",IF(B1349="","⚠ Falta fecha",IF(C1349="","⚠ Falta monto",IF(D1349="","⚠ Falta categoría",IF(ISNA(MATCH(D1349,catNom,0)),"⚠ Categoría no existe",IF(E1349="","⚠ Falta cuenta",IF(ISNA(MATCH(E1349,ctaNom,0)),"⚠ Cuenta no existe",IF(AND(OR(I1349="Transferencia",I1349="Pago tarjeta"),G1349=""),"⚠ Indica la cuenta «Hacia»",IF(AND(G1349&lt;&gt;"",G1349=E1349),"⚠ «Hacia» igual a la cuenta",IF(AND(G1349&lt;&gt;"",ISNA(MATCH(G1349,ctaNom,0))),"⚠ «Hacia» no existe",IF(AND(I1349="Pago tarjeta",IFERROR(INDEX(ctaTipo,MATCH(G1349,ctaNom,0)),"")&lt;&gt;"Tarjeta de crédito"),"⚠ «Hacia» debe ser la tarjeta",IF(AND(I1349="Trading",IFERROR(INDEX(ctaTipo,MATCH(E1349,ctaNom,0)),"")&lt;&gt;"Cuenta de trading"),"⚠ Usa la cuenta de trading","✓"))))))))))))</f>
        <v/>
      </c>
      <c r="I1349" s="19">
        <f>IF(OR(B1349="",C1349="",D1349=""),"",IFERROR(INDEX(catTipo,MATCH(D1349,catNom,0))&amp;"",""))</f>
        <v/>
      </c>
      <c r="J1349" s="19">
        <f>IF(I1349="","",IFERROR(INDEX(catGrupo,MATCH(D1349,catNom,0))&amp;"",""))</f>
        <v/>
      </c>
      <c r="K1349" s="19">
        <f>IF(I1349="Gasto",IF(IFERROR(INDEX(catClas,MATCH(D1349,catNom,0))&amp;"","")="","Variable",IFERROR(INDEX(catClas,MATCH(D1349,catNom,0))&amp;"","")),"")</f>
        <v/>
      </c>
      <c r="L1349" s="19">
        <f>IF(I1349="","",IFERROR(INDEX(catAlim,MATCH(D1349,catNom,0))&amp;"",""))</f>
        <v/>
      </c>
      <c r="M1349" s="19">
        <f>IF(I1349="","",IFERROR(INDEX(catComida,MATCH(D1349,catNom,0))&amp;"",""))</f>
        <v/>
      </c>
      <c r="N1349" s="19">
        <f>IF(I1349="","",IFERROR(INDEX(ctaMon,MATCH(E1349,ctaNom,0))&amp;"","DOP"))</f>
        <v/>
      </c>
      <c r="O1349" s="20">
        <f>IF(I1349="","",C1349*IF(N1349="USD",TasaUSD,1))</f>
        <v/>
      </c>
      <c r="P1349" s="20">
        <f>IF(I1349="","",IF(I1349="Gasto",O1349,0))</f>
        <v/>
      </c>
      <c r="Q1349" s="20">
        <f>IF(I1349="","",IF(I1349="Ingreso",O1349,0))</f>
        <v/>
      </c>
      <c r="R1349" s="20">
        <f>IF(I1349="","",IF(I1349="Trading",O1349,0))</f>
        <v/>
      </c>
      <c r="S1349" s="19">
        <f>IF(I1349="","",IF(AND(I1349="Gasto",K1349="Variable",J1349&lt;&gt;"Trading",O1349&gt;0,O1349&lt;=Umbral),1,0))</f>
        <v/>
      </c>
      <c r="T1349" s="20">
        <f>IF(OR(I1349="",E1349=""),"",IF(OR(I1349="Gasto",I1349="Transferencia",I1349="Pago tarjeta"),-1,1)*C1349)</f>
        <v/>
      </c>
      <c r="U1349" s="20">
        <f>IF(OR(G1349="",AND(I1349&lt;&gt;"Transferencia",I1349&lt;&gt;"Pago tarjeta")),"",IF(IFERROR(INDEX(ctaMon,MATCH(G1349,ctaNom,0))&amp;"","DOP")=N1349,C1349,IF(N1349="USD",C1349*TasaUSD,C1349/TasaUSD)))</f>
        <v/>
      </c>
      <c r="V1349" s="20">
        <f>IF(I1349="","",IF(IFERROR(INDEX(ctaLiq,MATCH(E1349,ctaNom,0))="Sí",FALSE),IF(OR(I1349="Gasto",I1349="Transferencia",I1349="Pago tarjeta"),-1,1)*O1349,0)+IF(AND(U1349&lt;&gt;"",IFERROR(INDEX(ctaLiq,MATCH(G1349,ctaNom,0))="Sí",FALSE)),O1349,0))</f>
        <v/>
      </c>
      <c r="W1349" s="19">
        <f>IF(OR(F1349="",I1349=""),"",IF(COUNTIFS(F$6:F1349,F1349,I$6:I1349,"?*")=1,MAX(W$5:W1348)+1,""))</f>
        <v/>
      </c>
    </row>
    <row r="1350">
      <c r="B1350" s="15" t="n"/>
      <c r="C1350" s="16" t="n"/>
      <c r="D1350" s="17" t="n"/>
      <c r="E1350" s="17" t="n"/>
      <c r="F1350" s="17" t="n"/>
      <c r="G1350" s="17" t="n"/>
      <c r="H1350" s="18">
        <f>IF(AND(B1350="",C1350="",D1350="",E1350=""),"",IF(B1350="","⚠ Falta fecha",IF(C1350="","⚠ Falta monto",IF(D1350="","⚠ Falta categoría",IF(ISNA(MATCH(D1350,catNom,0)),"⚠ Categoría no existe",IF(E1350="","⚠ Falta cuenta",IF(ISNA(MATCH(E1350,ctaNom,0)),"⚠ Cuenta no existe",IF(AND(OR(I1350="Transferencia",I1350="Pago tarjeta"),G1350=""),"⚠ Indica la cuenta «Hacia»",IF(AND(G1350&lt;&gt;"",G1350=E1350),"⚠ «Hacia» igual a la cuenta",IF(AND(G1350&lt;&gt;"",ISNA(MATCH(G1350,ctaNom,0))),"⚠ «Hacia» no existe",IF(AND(I1350="Pago tarjeta",IFERROR(INDEX(ctaTipo,MATCH(G1350,ctaNom,0)),"")&lt;&gt;"Tarjeta de crédito"),"⚠ «Hacia» debe ser la tarjeta",IF(AND(I1350="Trading",IFERROR(INDEX(ctaTipo,MATCH(E1350,ctaNom,0)),"")&lt;&gt;"Cuenta de trading"),"⚠ Usa la cuenta de trading","✓"))))))))))))</f>
        <v/>
      </c>
      <c r="I1350" s="19">
        <f>IF(OR(B1350="",C1350="",D1350=""),"",IFERROR(INDEX(catTipo,MATCH(D1350,catNom,0))&amp;"",""))</f>
        <v/>
      </c>
      <c r="J1350" s="19">
        <f>IF(I1350="","",IFERROR(INDEX(catGrupo,MATCH(D1350,catNom,0))&amp;"",""))</f>
        <v/>
      </c>
      <c r="K1350" s="19">
        <f>IF(I1350="Gasto",IF(IFERROR(INDEX(catClas,MATCH(D1350,catNom,0))&amp;"","")="","Variable",IFERROR(INDEX(catClas,MATCH(D1350,catNom,0))&amp;"","")),"")</f>
        <v/>
      </c>
      <c r="L1350" s="19">
        <f>IF(I1350="","",IFERROR(INDEX(catAlim,MATCH(D1350,catNom,0))&amp;"",""))</f>
        <v/>
      </c>
      <c r="M1350" s="19">
        <f>IF(I1350="","",IFERROR(INDEX(catComida,MATCH(D1350,catNom,0))&amp;"",""))</f>
        <v/>
      </c>
      <c r="N1350" s="19">
        <f>IF(I1350="","",IFERROR(INDEX(ctaMon,MATCH(E1350,ctaNom,0))&amp;"","DOP"))</f>
        <v/>
      </c>
      <c r="O1350" s="20">
        <f>IF(I1350="","",C1350*IF(N1350="USD",TasaUSD,1))</f>
        <v/>
      </c>
      <c r="P1350" s="20">
        <f>IF(I1350="","",IF(I1350="Gasto",O1350,0))</f>
        <v/>
      </c>
      <c r="Q1350" s="20">
        <f>IF(I1350="","",IF(I1350="Ingreso",O1350,0))</f>
        <v/>
      </c>
      <c r="R1350" s="20">
        <f>IF(I1350="","",IF(I1350="Trading",O1350,0))</f>
        <v/>
      </c>
      <c r="S1350" s="19">
        <f>IF(I1350="","",IF(AND(I1350="Gasto",K1350="Variable",J1350&lt;&gt;"Trading",O1350&gt;0,O1350&lt;=Umbral),1,0))</f>
        <v/>
      </c>
      <c r="T1350" s="20">
        <f>IF(OR(I1350="",E1350=""),"",IF(OR(I1350="Gasto",I1350="Transferencia",I1350="Pago tarjeta"),-1,1)*C1350)</f>
        <v/>
      </c>
      <c r="U1350" s="20">
        <f>IF(OR(G1350="",AND(I1350&lt;&gt;"Transferencia",I1350&lt;&gt;"Pago tarjeta")),"",IF(IFERROR(INDEX(ctaMon,MATCH(G1350,ctaNom,0))&amp;"","DOP")=N1350,C1350,IF(N1350="USD",C1350*TasaUSD,C1350/TasaUSD)))</f>
        <v/>
      </c>
      <c r="V1350" s="20">
        <f>IF(I1350="","",IF(IFERROR(INDEX(ctaLiq,MATCH(E1350,ctaNom,0))="Sí",FALSE),IF(OR(I1350="Gasto",I1350="Transferencia",I1350="Pago tarjeta"),-1,1)*O1350,0)+IF(AND(U1350&lt;&gt;"",IFERROR(INDEX(ctaLiq,MATCH(G1350,ctaNom,0))="Sí",FALSE)),O1350,0))</f>
        <v/>
      </c>
      <c r="W1350" s="19">
        <f>IF(OR(F1350="",I1350=""),"",IF(COUNTIFS(F$6:F1350,F1350,I$6:I1350,"?*")=1,MAX(W$5:W1349)+1,""))</f>
        <v/>
      </c>
    </row>
    <row r="1351">
      <c r="B1351" s="15" t="n"/>
      <c r="C1351" s="16" t="n"/>
      <c r="D1351" s="17" t="n"/>
      <c r="E1351" s="17" t="n"/>
      <c r="F1351" s="17" t="n"/>
      <c r="G1351" s="17" t="n"/>
      <c r="H1351" s="18">
        <f>IF(AND(B1351="",C1351="",D1351="",E1351=""),"",IF(B1351="","⚠ Falta fecha",IF(C1351="","⚠ Falta monto",IF(D1351="","⚠ Falta categoría",IF(ISNA(MATCH(D1351,catNom,0)),"⚠ Categoría no existe",IF(E1351="","⚠ Falta cuenta",IF(ISNA(MATCH(E1351,ctaNom,0)),"⚠ Cuenta no existe",IF(AND(OR(I1351="Transferencia",I1351="Pago tarjeta"),G1351=""),"⚠ Indica la cuenta «Hacia»",IF(AND(G1351&lt;&gt;"",G1351=E1351),"⚠ «Hacia» igual a la cuenta",IF(AND(G1351&lt;&gt;"",ISNA(MATCH(G1351,ctaNom,0))),"⚠ «Hacia» no existe",IF(AND(I1351="Pago tarjeta",IFERROR(INDEX(ctaTipo,MATCH(G1351,ctaNom,0)),"")&lt;&gt;"Tarjeta de crédito"),"⚠ «Hacia» debe ser la tarjeta",IF(AND(I1351="Trading",IFERROR(INDEX(ctaTipo,MATCH(E1351,ctaNom,0)),"")&lt;&gt;"Cuenta de trading"),"⚠ Usa la cuenta de trading","✓"))))))))))))</f>
        <v/>
      </c>
      <c r="I1351" s="19">
        <f>IF(OR(B1351="",C1351="",D1351=""),"",IFERROR(INDEX(catTipo,MATCH(D1351,catNom,0))&amp;"",""))</f>
        <v/>
      </c>
      <c r="J1351" s="19">
        <f>IF(I1351="","",IFERROR(INDEX(catGrupo,MATCH(D1351,catNom,0))&amp;"",""))</f>
        <v/>
      </c>
      <c r="K1351" s="19">
        <f>IF(I1351="Gasto",IF(IFERROR(INDEX(catClas,MATCH(D1351,catNom,0))&amp;"","")="","Variable",IFERROR(INDEX(catClas,MATCH(D1351,catNom,0))&amp;"","")),"")</f>
        <v/>
      </c>
      <c r="L1351" s="19">
        <f>IF(I1351="","",IFERROR(INDEX(catAlim,MATCH(D1351,catNom,0))&amp;"",""))</f>
        <v/>
      </c>
      <c r="M1351" s="19">
        <f>IF(I1351="","",IFERROR(INDEX(catComida,MATCH(D1351,catNom,0))&amp;"",""))</f>
        <v/>
      </c>
      <c r="N1351" s="19">
        <f>IF(I1351="","",IFERROR(INDEX(ctaMon,MATCH(E1351,ctaNom,0))&amp;"","DOP"))</f>
        <v/>
      </c>
      <c r="O1351" s="20">
        <f>IF(I1351="","",C1351*IF(N1351="USD",TasaUSD,1))</f>
        <v/>
      </c>
      <c r="P1351" s="20">
        <f>IF(I1351="","",IF(I1351="Gasto",O1351,0))</f>
        <v/>
      </c>
      <c r="Q1351" s="20">
        <f>IF(I1351="","",IF(I1351="Ingreso",O1351,0))</f>
        <v/>
      </c>
      <c r="R1351" s="20">
        <f>IF(I1351="","",IF(I1351="Trading",O1351,0))</f>
        <v/>
      </c>
      <c r="S1351" s="19">
        <f>IF(I1351="","",IF(AND(I1351="Gasto",K1351="Variable",J1351&lt;&gt;"Trading",O1351&gt;0,O1351&lt;=Umbral),1,0))</f>
        <v/>
      </c>
      <c r="T1351" s="20">
        <f>IF(OR(I1351="",E1351=""),"",IF(OR(I1351="Gasto",I1351="Transferencia",I1351="Pago tarjeta"),-1,1)*C1351)</f>
        <v/>
      </c>
      <c r="U1351" s="20">
        <f>IF(OR(G1351="",AND(I1351&lt;&gt;"Transferencia",I1351&lt;&gt;"Pago tarjeta")),"",IF(IFERROR(INDEX(ctaMon,MATCH(G1351,ctaNom,0))&amp;"","DOP")=N1351,C1351,IF(N1351="USD",C1351*TasaUSD,C1351/TasaUSD)))</f>
        <v/>
      </c>
      <c r="V1351" s="20">
        <f>IF(I1351="","",IF(IFERROR(INDEX(ctaLiq,MATCH(E1351,ctaNom,0))="Sí",FALSE),IF(OR(I1351="Gasto",I1351="Transferencia",I1351="Pago tarjeta"),-1,1)*O1351,0)+IF(AND(U1351&lt;&gt;"",IFERROR(INDEX(ctaLiq,MATCH(G1351,ctaNom,0))="Sí",FALSE)),O1351,0))</f>
        <v/>
      </c>
      <c r="W1351" s="19">
        <f>IF(OR(F1351="",I1351=""),"",IF(COUNTIFS(F$6:F1351,F1351,I$6:I1351,"?*")=1,MAX(W$5:W1350)+1,""))</f>
        <v/>
      </c>
    </row>
    <row r="1352">
      <c r="B1352" s="15" t="n"/>
      <c r="C1352" s="16" t="n"/>
      <c r="D1352" s="17" t="n"/>
      <c r="E1352" s="17" t="n"/>
      <c r="F1352" s="17" t="n"/>
      <c r="G1352" s="17" t="n"/>
      <c r="H1352" s="18">
        <f>IF(AND(B1352="",C1352="",D1352="",E1352=""),"",IF(B1352="","⚠ Falta fecha",IF(C1352="","⚠ Falta monto",IF(D1352="","⚠ Falta categoría",IF(ISNA(MATCH(D1352,catNom,0)),"⚠ Categoría no existe",IF(E1352="","⚠ Falta cuenta",IF(ISNA(MATCH(E1352,ctaNom,0)),"⚠ Cuenta no existe",IF(AND(OR(I1352="Transferencia",I1352="Pago tarjeta"),G1352=""),"⚠ Indica la cuenta «Hacia»",IF(AND(G1352&lt;&gt;"",G1352=E1352),"⚠ «Hacia» igual a la cuenta",IF(AND(G1352&lt;&gt;"",ISNA(MATCH(G1352,ctaNom,0))),"⚠ «Hacia» no existe",IF(AND(I1352="Pago tarjeta",IFERROR(INDEX(ctaTipo,MATCH(G1352,ctaNom,0)),"")&lt;&gt;"Tarjeta de crédito"),"⚠ «Hacia» debe ser la tarjeta",IF(AND(I1352="Trading",IFERROR(INDEX(ctaTipo,MATCH(E1352,ctaNom,0)),"")&lt;&gt;"Cuenta de trading"),"⚠ Usa la cuenta de trading","✓"))))))))))))</f>
        <v/>
      </c>
      <c r="I1352" s="19">
        <f>IF(OR(B1352="",C1352="",D1352=""),"",IFERROR(INDEX(catTipo,MATCH(D1352,catNom,0))&amp;"",""))</f>
        <v/>
      </c>
      <c r="J1352" s="19">
        <f>IF(I1352="","",IFERROR(INDEX(catGrupo,MATCH(D1352,catNom,0))&amp;"",""))</f>
        <v/>
      </c>
      <c r="K1352" s="19">
        <f>IF(I1352="Gasto",IF(IFERROR(INDEX(catClas,MATCH(D1352,catNom,0))&amp;"","")="","Variable",IFERROR(INDEX(catClas,MATCH(D1352,catNom,0))&amp;"","")),"")</f>
        <v/>
      </c>
      <c r="L1352" s="19">
        <f>IF(I1352="","",IFERROR(INDEX(catAlim,MATCH(D1352,catNom,0))&amp;"",""))</f>
        <v/>
      </c>
      <c r="M1352" s="19">
        <f>IF(I1352="","",IFERROR(INDEX(catComida,MATCH(D1352,catNom,0))&amp;"",""))</f>
        <v/>
      </c>
      <c r="N1352" s="19">
        <f>IF(I1352="","",IFERROR(INDEX(ctaMon,MATCH(E1352,ctaNom,0))&amp;"","DOP"))</f>
        <v/>
      </c>
      <c r="O1352" s="20">
        <f>IF(I1352="","",C1352*IF(N1352="USD",TasaUSD,1))</f>
        <v/>
      </c>
      <c r="P1352" s="20">
        <f>IF(I1352="","",IF(I1352="Gasto",O1352,0))</f>
        <v/>
      </c>
      <c r="Q1352" s="20">
        <f>IF(I1352="","",IF(I1352="Ingreso",O1352,0))</f>
        <v/>
      </c>
      <c r="R1352" s="20">
        <f>IF(I1352="","",IF(I1352="Trading",O1352,0))</f>
        <v/>
      </c>
      <c r="S1352" s="19">
        <f>IF(I1352="","",IF(AND(I1352="Gasto",K1352="Variable",J1352&lt;&gt;"Trading",O1352&gt;0,O1352&lt;=Umbral),1,0))</f>
        <v/>
      </c>
      <c r="T1352" s="20">
        <f>IF(OR(I1352="",E1352=""),"",IF(OR(I1352="Gasto",I1352="Transferencia",I1352="Pago tarjeta"),-1,1)*C1352)</f>
        <v/>
      </c>
      <c r="U1352" s="20">
        <f>IF(OR(G1352="",AND(I1352&lt;&gt;"Transferencia",I1352&lt;&gt;"Pago tarjeta")),"",IF(IFERROR(INDEX(ctaMon,MATCH(G1352,ctaNom,0))&amp;"","DOP")=N1352,C1352,IF(N1352="USD",C1352*TasaUSD,C1352/TasaUSD)))</f>
        <v/>
      </c>
      <c r="V1352" s="20">
        <f>IF(I1352="","",IF(IFERROR(INDEX(ctaLiq,MATCH(E1352,ctaNom,0))="Sí",FALSE),IF(OR(I1352="Gasto",I1352="Transferencia",I1352="Pago tarjeta"),-1,1)*O1352,0)+IF(AND(U1352&lt;&gt;"",IFERROR(INDEX(ctaLiq,MATCH(G1352,ctaNom,0))="Sí",FALSE)),O1352,0))</f>
        <v/>
      </c>
      <c r="W1352" s="19">
        <f>IF(OR(F1352="",I1352=""),"",IF(COUNTIFS(F$6:F1352,F1352,I$6:I1352,"?*")=1,MAX(W$5:W1351)+1,""))</f>
        <v/>
      </c>
    </row>
    <row r="1353">
      <c r="B1353" s="15" t="n"/>
      <c r="C1353" s="16" t="n"/>
      <c r="D1353" s="17" t="n"/>
      <c r="E1353" s="17" t="n"/>
      <c r="F1353" s="17" t="n"/>
      <c r="G1353" s="17" t="n"/>
      <c r="H1353" s="18">
        <f>IF(AND(B1353="",C1353="",D1353="",E1353=""),"",IF(B1353="","⚠ Falta fecha",IF(C1353="","⚠ Falta monto",IF(D1353="","⚠ Falta categoría",IF(ISNA(MATCH(D1353,catNom,0)),"⚠ Categoría no existe",IF(E1353="","⚠ Falta cuenta",IF(ISNA(MATCH(E1353,ctaNom,0)),"⚠ Cuenta no existe",IF(AND(OR(I1353="Transferencia",I1353="Pago tarjeta"),G1353=""),"⚠ Indica la cuenta «Hacia»",IF(AND(G1353&lt;&gt;"",G1353=E1353),"⚠ «Hacia» igual a la cuenta",IF(AND(G1353&lt;&gt;"",ISNA(MATCH(G1353,ctaNom,0))),"⚠ «Hacia» no existe",IF(AND(I1353="Pago tarjeta",IFERROR(INDEX(ctaTipo,MATCH(G1353,ctaNom,0)),"")&lt;&gt;"Tarjeta de crédito"),"⚠ «Hacia» debe ser la tarjeta",IF(AND(I1353="Trading",IFERROR(INDEX(ctaTipo,MATCH(E1353,ctaNom,0)),"")&lt;&gt;"Cuenta de trading"),"⚠ Usa la cuenta de trading","✓"))))))))))))</f>
        <v/>
      </c>
      <c r="I1353" s="19">
        <f>IF(OR(B1353="",C1353="",D1353=""),"",IFERROR(INDEX(catTipo,MATCH(D1353,catNom,0))&amp;"",""))</f>
        <v/>
      </c>
      <c r="J1353" s="19">
        <f>IF(I1353="","",IFERROR(INDEX(catGrupo,MATCH(D1353,catNom,0))&amp;"",""))</f>
        <v/>
      </c>
      <c r="K1353" s="19">
        <f>IF(I1353="Gasto",IF(IFERROR(INDEX(catClas,MATCH(D1353,catNom,0))&amp;"","")="","Variable",IFERROR(INDEX(catClas,MATCH(D1353,catNom,0))&amp;"","")),"")</f>
        <v/>
      </c>
      <c r="L1353" s="19">
        <f>IF(I1353="","",IFERROR(INDEX(catAlim,MATCH(D1353,catNom,0))&amp;"",""))</f>
        <v/>
      </c>
      <c r="M1353" s="19">
        <f>IF(I1353="","",IFERROR(INDEX(catComida,MATCH(D1353,catNom,0))&amp;"",""))</f>
        <v/>
      </c>
      <c r="N1353" s="19">
        <f>IF(I1353="","",IFERROR(INDEX(ctaMon,MATCH(E1353,ctaNom,0))&amp;"","DOP"))</f>
        <v/>
      </c>
      <c r="O1353" s="20">
        <f>IF(I1353="","",C1353*IF(N1353="USD",TasaUSD,1))</f>
        <v/>
      </c>
      <c r="P1353" s="20">
        <f>IF(I1353="","",IF(I1353="Gasto",O1353,0))</f>
        <v/>
      </c>
      <c r="Q1353" s="20">
        <f>IF(I1353="","",IF(I1353="Ingreso",O1353,0))</f>
        <v/>
      </c>
      <c r="R1353" s="20">
        <f>IF(I1353="","",IF(I1353="Trading",O1353,0))</f>
        <v/>
      </c>
      <c r="S1353" s="19">
        <f>IF(I1353="","",IF(AND(I1353="Gasto",K1353="Variable",J1353&lt;&gt;"Trading",O1353&gt;0,O1353&lt;=Umbral),1,0))</f>
        <v/>
      </c>
      <c r="T1353" s="20">
        <f>IF(OR(I1353="",E1353=""),"",IF(OR(I1353="Gasto",I1353="Transferencia",I1353="Pago tarjeta"),-1,1)*C1353)</f>
        <v/>
      </c>
      <c r="U1353" s="20">
        <f>IF(OR(G1353="",AND(I1353&lt;&gt;"Transferencia",I1353&lt;&gt;"Pago tarjeta")),"",IF(IFERROR(INDEX(ctaMon,MATCH(G1353,ctaNom,0))&amp;"","DOP")=N1353,C1353,IF(N1353="USD",C1353*TasaUSD,C1353/TasaUSD)))</f>
        <v/>
      </c>
      <c r="V1353" s="20">
        <f>IF(I1353="","",IF(IFERROR(INDEX(ctaLiq,MATCH(E1353,ctaNom,0))="Sí",FALSE),IF(OR(I1353="Gasto",I1353="Transferencia",I1353="Pago tarjeta"),-1,1)*O1353,0)+IF(AND(U1353&lt;&gt;"",IFERROR(INDEX(ctaLiq,MATCH(G1353,ctaNom,0))="Sí",FALSE)),O1353,0))</f>
        <v/>
      </c>
      <c r="W1353" s="19">
        <f>IF(OR(F1353="",I1353=""),"",IF(COUNTIFS(F$6:F1353,F1353,I$6:I1353,"?*")=1,MAX(W$5:W1352)+1,""))</f>
        <v/>
      </c>
    </row>
    <row r="1354">
      <c r="B1354" s="15" t="n"/>
      <c r="C1354" s="16" t="n"/>
      <c r="D1354" s="17" t="n"/>
      <c r="E1354" s="17" t="n"/>
      <c r="F1354" s="17" t="n"/>
      <c r="G1354" s="17" t="n"/>
      <c r="H1354" s="18">
        <f>IF(AND(B1354="",C1354="",D1354="",E1354=""),"",IF(B1354="","⚠ Falta fecha",IF(C1354="","⚠ Falta monto",IF(D1354="","⚠ Falta categoría",IF(ISNA(MATCH(D1354,catNom,0)),"⚠ Categoría no existe",IF(E1354="","⚠ Falta cuenta",IF(ISNA(MATCH(E1354,ctaNom,0)),"⚠ Cuenta no existe",IF(AND(OR(I1354="Transferencia",I1354="Pago tarjeta"),G1354=""),"⚠ Indica la cuenta «Hacia»",IF(AND(G1354&lt;&gt;"",G1354=E1354),"⚠ «Hacia» igual a la cuenta",IF(AND(G1354&lt;&gt;"",ISNA(MATCH(G1354,ctaNom,0))),"⚠ «Hacia» no existe",IF(AND(I1354="Pago tarjeta",IFERROR(INDEX(ctaTipo,MATCH(G1354,ctaNom,0)),"")&lt;&gt;"Tarjeta de crédito"),"⚠ «Hacia» debe ser la tarjeta",IF(AND(I1354="Trading",IFERROR(INDEX(ctaTipo,MATCH(E1354,ctaNom,0)),"")&lt;&gt;"Cuenta de trading"),"⚠ Usa la cuenta de trading","✓"))))))))))))</f>
        <v/>
      </c>
      <c r="I1354" s="19">
        <f>IF(OR(B1354="",C1354="",D1354=""),"",IFERROR(INDEX(catTipo,MATCH(D1354,catNom,0))&amp;"",""))</f>
        <v/>
      </c>
      <c r="J1354" s="19">
        <f>IF(I1354="","",IFERROR(INDEX(catGrupo,MATCH(D1354,catNom,0))&amp;"",""))</f>
        <v/>
      </c>
      <c r="K1354" s="19">
        <f>IF(I1354="Gasto",IF(IFERROR(INDEX(catClas,MATCH(D1354,catNom,0))&amp;"","")="","Variable",IFERROR(INDEX(catClas,MATCH(D1354,catNom,0))&amp;"","")),"")</f>
        <v/>
      </c>
      <c r="L1354" s="19">
        <f>IF(I1354="","",IFERROR(INDEX(catAlim,MATCH(D1354,catNom,0))&amp;"",""))</f>
        <v/>
      </c>
      <c r="M1354" s="19">
        <f>IF(I1354="","",IFERROR(INDEX(catComida,MATCH(D1354,catNom,0))&amp;"",""))</f>
        <v/>
      </c>
      <c r="N1354" s="19">
        <f>IF(I1354="","",IFERROR(INDEX(ctaMon,MATCH(E1354,ctaNom,0))&amp;"","DOP"))</f>
        <v/>
      </c>
      <c r="O1354" s="20">
        <f>IF(I1354="","",C1354*IF(N1354="USD",TasaUSD,1))</f>
        <v/>
      </c>
      <c r="P1354" s="20">
        <f>IF(I1354="","",IF(I1354="Gasto",O1354,0))</f>
        <v/>
      </c>
      <c r="Q1354" s="20">
        <f>IF(I1354="","",IF(I1354="Ingreso",O1354,0))</f>
        <v/>
      </c>
      <c r="R1354" s="20">
        <f>IF(I1354="","",IF(I1354="Trading",O1354,0))</f>
        <v/>
      </c>
      <c r="S1354" s="19">
        <f>IF(I1354="","",IF(AND(I1354="Gasto",K1354="Variable",J1354&lt;&gt;"Trading",O1354&gt;0,O1354&lt;=Umbral),1,0))</f>
        <v/>
      </c>
      <c r="T1354" s="20">
        <f>IF(OR(I1354="",E1354=""),"",IF(OR(I1354="Gasto",I1354="Transferencia",I1354="Pago tarjeta"),-1,1)*C1354)</f>
        <v/>
      </c>
      <c r="U1354" s="20">
        <f>IF(OR(G1354="",AND(I1354&lt;&gt;"Transferencia",I1354&lt;&gt;"Pago tarjeta")),"",IF(IFERROR(INDEX(ctaMon,MATCH(G1354,ctaNom,0))&amp;"","DOP")=N1354,C1354,IF(N1354="USD",C1354*TasaUSD,C1354/TasaUSD)))</f>
        <v/>
      </c>
      <c r="V1354" s="20">
        <f>IF(I1354="","",IF(IFERROR(INDEX(ctaLiq,MATCH(E1354,ctaNom,0))="Sí",FALSE),IF(OR(I1354="Gasto",I1354="Transferencia",I1354="Pago tarjeta"),-1,1)*O1354,0)+IF(AND(U1354&lt;&gt;"",IFERROR(INDEX(ctaLiq,MATCH(G1354,ctaNom,0))="Sí",FALSE)),O1354,0))</f>
        <v/>
      </c>
      <c r="W1354" s="19">
        <f>IF(OR(F1354="",I1354=""),"",IF(COUNTIFS(F$6:F1354,F1354,I$6:I1354,"?*")=1,MAX(W$5:W1353)+1,""))</f>
        <v/>
      </c>
    </row>
    <row r="1355">
      <c r="B1355" s="15" t="n"/>
      <c r="C1355" s="16" t="n"/>
      <c r="D1355" s="17" t="n"/>
      <c r="E1355" s="17" t="n"/>
      <c r="F1355" s="17" t="n"/>
      <c r="G1355" s="17" t="n"/>
      <c r="H1355" s="18">
        <f>IF(AND(B1355="",C1355="",D1355="",E1355=""),"",IF(B1355="","⚠ Falta fecha",IF(C1355="","⚠ Falta monto",IF(D1355="","⚠ Falta categoría",IF(ISNA(MATCH(D1355,catNom,0)),"⚠ Categoría no existe",IF(E1355="","⚠ Falta cuenta",IF(ISNA(MATCH(E1355,ctaNom,0)),"⚠ Cuenta no existe",IF(AND(OR(I1355="Transferencia",I1355="Pago tarjeta"),G1355=""),"⚠ Indica la cuenta «Hacia»",IF(AND(G1355&lt;&gt;"",G1355=E1355),"⚠ «Hacia» igual a la cuenta",IF(AND(G1355&lt;&gt;"",ISNA(MATCH(G1355,ctaNom,0))),"⚠ «Hacia» no existe",IF(AND(I1355="Pago tarjeta",IFERROR(INDEX(ctaTipo,MATCH(G1355,ctaNom,0)),"")&lt;&gt;"Tarjeta de crédito"),"⚠ «Hacia» debe ser la tarjeta",IF(AND(I1355="Trading",IFERROR(INDEX(ctaTipo,MATCH(E1355,ctaNom,0)),"")&lt;&gt;"Cuenta de trading"),"⚠ Usa la cuenta de trading","✓"))))))))))))</f>
        <v/>
      </c>
      <c r="I1355" s="19">
        <f>IF(OR(B1355="",C1355="",D1355=""),"",IFERROR(INDEX(catTipo,MATCH(D1355,catNom,0))&amp;"",""))</f>
        <v/>
      </c>
      <c r="J1355" s="19">
        <f>IF(I1355="","",IFERROR(INDEX(catGrupo,MATCH(D1355,catNom,0))&amp;"",""))</f>
        <v/>
      </c>
      <c r="K1355" s="19">
        <f>IF(I1355="Gasto",IF(IFERROR(INDEX(catClas,MATCH(D1355,catNom,0))&amp;"","")="","Variable",IFERROR(INDEX(catClas,MATCH(D1355,catNom,0))&amp;"","")),"")</f>
        <v/>
      </c>
      <c r="L1355" s="19">
        <f>IF(I1355="","",IFERROR(INDEX(catAlim,MATCH(D1355,catNom,0))&amp;"",""))</f>
        <v/>
      </c>
      <c r="M1355" s="19">
        <f>IF(I1355="","",IFERROR(INDEX(catComida,MATCH(D1355,catNom,0))&amp;"",""))</f>
        <v/>
      </c>
      <c r="N1355" s="19">
        <f>IF(I1355="","",IFERROR(INDEX(ctaMon,MATCH(E1355,ctaNom,0))&amp;"","DOP"))</f>
        <v/>
      </c>
      <c r="O1355" s="20">
        <f>IF(I1355="","",C1355*IF(N1355="USD",TasaUSD,1))</f>
        <v/>
      </c>
      <c r="P1355" s="20">
        <f>IF(I1355="","",IF(I1355="Gasto",O1355,0))</f>
        <v/>
      </c>
      <c r="Q1355" s="20">
        <f>IF(I1355="","",IF(I1355="Ingreso",O1355,0))</f>
        <v/>
      </c>
      <c r="R1355" s="20">
        <f>IF(I1355="","",IF(I1355="Trading",O1355,0))</f>
        <v/>
      </c>
      <c r="S1355" s="19">
        <f>IF(I1355="","",IF(AND(I1355="Gasto",K1355="Variable",J1355&lt;&gt;"Trading",O1355&gt;0,O1355&lt;=Umbral),1,0))</f>
        <v/>
      </c>
      <c r="T1355" s="20">
        <f>IF(OR(I1355="",E1355=""),"",IF(OR(I1355="Gasto",I1355="Transferencia",I1355="Pago tarjeta"),-1,1)*C1355)</f>
        <v/>
      </c>
      <c r="U1355" s="20">
        <f>IF(OR(G1355="",AND(I1355&lt;&gt;"Transferencia",I1355&lt;&gt;"Pago tarjeta")),"",IF(IFERROR(INDEX(ctaMon,MATCH(G1355,ctaNom,0))&amp;"","DOP")=N1355,C1355,IF(N1355="USD",C1355*TasaUSD,C1355/TasaUSD)))</f>
        <v/>
      </c>
      <c r="V1355" s="20">
        <f>IF(I1355="","",IF(IFERROR(INDEX(ctaLiq,MATCH(E1355,ctaNom,0))="Sí",FALSE),IF(OR(I1355="Gasto",I1355="Transferencia",I1355="Pago tarjeta"),-1,1)*O1355,0)+IF(AND(U1355&lt;&gt;"",IFERROR(INDEX(ctaLiq,MATCH(G1355,ctaNom,0))="Sí",FALSE)),O1355,0))</f>
        <v/>
      </c>
      <c r="W1355" s="19">
        <f>IF(OR(F1355="",I1355=""),"",IF(COUNTIFS(F$6:F1355,F1355,I$6:I1355,"?*")=1,MAX(W$5:W1354)+1,""))</f>
        <v/>
      </c>
    </row>
    <row r="1356">
      <c r="B1356" s="15" t="n"/>
      <c r="C1356" s="16" t="n"/>
      <c r="D1356" s="17" t="n"/>
      <c r="E1356" s="17" t="n"/>
      <c r="F1356" s="17" t="n"/>
      <c r="G1356" s="17" t="n"/>
      <c r="H1356" s="18">
        <f>IF(AND(B1356="",C1356="",D1356="",E1356=""),"",IF(B1356="","⚠ Falta fecha",IF(C1356="","⚠ Falta monto",IF(D1356="","⚠ Falta categoría",IF(ISNA(MATCH(D1356,catNom,0)),"⚠ Categoría no existe",IF(E1356="","⚠ Falta cuenta",IF(ISNA(MATCH(E1356,ctaNom,0)),"⚠ Cuenta no existe",IF(AND(OR(I1356="Transferencia",I1356="Pago tarjeta"),G1356=""),"⚠ Indica la cuenta «Hacia»",IF(AND(G1356&lt;&gt;"",G1356=E1356),"⚠ «Hacia» igual a la cuenta",IF(AND(G1356&lt;&gt;"",ISNA(MATCH(G1356,ctaNom,0))),"⚠ «Hacia» no existe",IF(AND(I1356="Pago tarjeta",IFERROR(INDEX(ctaTipo,MATCH(G1356,ctaNom,0)),"")&lt;&gt;"Tarjeta de crédito"),"⚠ «Hacia» debe ser la tarjeta",IF(AND(I1356="Trading",IFERROR(INDEX(ctaTipo,MATCH(E1356,ctaNom,0)),"")&lt;&gt;"Cuenta de trading"),"⚠ Usa la cuenta de trading","✓"))))))))))))</f>
        <v/>
      </c>
      <c r="I1356" s="19">
        <f>IF(OR(B1356="",C1356="",D1356=""),"",IFERROR(INDEX(catTipo,MATCH(D1356,catNom,0))&amp;"",""))</f>
        <v/>
      </c>
      <c r="J1356" s="19">
        <f>IF(I1356="","",IFERROR(INDEX(catGrupo,MATCH(D1356,catNom,0))&amp;"",""))</f>
        <v/>
      </c>
      <c r="K1356" s="19">
        <f>IF(I1356="Gasto",IF(IFERROR(INDEX(catClas,MATCH(D1356,catNom,0))&amp;"","")="","Variable",IFERROR(INDEX(catClas,MATCH(D1356,catNom,0))&amp;"","")),"")</f>
        <v/>
      </c>
      <c r="L1356" s="19">
        <f>IF(I1356="","",IFERROR(INDEX(catAlim,MATCH(D1356,catNom,0))&amp;"",""))</f>
        <v/>
      </c>
      <c r="M1356" s="19">
        <f>IF(I1356="","",IFERROR(INDEX(catComida,MATCH(D1356,catNom,0))&amp;"",""))</f>
        <v/>
      </c>
      <c r="N1356" s="19">
        <f>IF(I1356="","",IFERROR(INDEX(ctaMon,MATCH(E1356,ctaNom,0))&amp;"","DOP"))</f>
        <v/>
      </c>
      <c r="O1356" s="20">
        <f>IF(I1356="","",C1356*IF(N1356="USD",TasaUSD,1))</f>
        <v/>
      </c>
      <c r="P1356" s="20">
        <f>IF(I1356="","",IF(I1356="Gasto",O1356,0))</f>
        <v/>
      </c>
      <c r="Q1356" s="20">
        <f>IF(I1356="","",IF(I1356="Ingreso",O1356,0))</f>
        <v/>
      </c>
      <c r="R1356" s="20">
        <f>IF(I1356="","",IF(I1356="Trading",O1356,0))</f>
        <v/>
      </c>
      <c r="S1356" s="19">
        <f>IF(I1356="","",IF(AND(I1356="Gasto",K1356="Variable",J1356&lt;&gt;"Trading",O1356&gt;0,O1356&lt;=Umbral),1,0))</f>
        <v/>
      </c>
      <c r="T1356" s="20">
        <f>IF(OR(I1356="",E1356=""),"",IF(OR(I1356="Gasto",I1356="Transferencia",I1356="Pago tarjeta"),-1,1)*C1356)</f>
        <v/>
      </c>
      <c r="U1356" s="20">
        <f>IF(OR(G1356="",AND(I1356&lt;&gt;"Transferencia",I1356&lt;&gt;"Pago tarjeta")),"",IF(IFERROR(INDEX(ctaMon,MATCH(G1356,ctaNom,0))&amp;"","DOP")=N1356,C1356,IF(N1356="USD",C1356*TasaUSD,C1356/TasaUSD)))</f>
        <v/>
      </c>
      <c r="V1356" s="20">
        <f>IF(I1356="","",IF(IFERROR(INDEX(ctaLiq,MATCH(E1356,ctaNom,0))="Sí",FALSE),IF(OR(I1356="Gasto",I1356="Transferencia",I1356="Pago tarjeta"),-1,1)*O1356,0)+IF(AND(U1356&lt;&gt;"",IFERROR(INDEX(ctaLiq,MATCH(G1356,ctaNom,0))="Sí",FALSE)),O1356,0))</f>
        <v/>
      </c>
      <c r="W1356" s="19">
        <f>IF(OR(F1356="",I1356=""),"",IF(COUNTIFS(F$6:F1356,F1356,I$6:I1356,"?*")=1,MAX(W$5:W1355)+1,""))</f>
        <v/>
      </c>
    </row>
    <row r="1357">
      <c r="B1357" s="15" t="n"/>
      <c r="C1357" s="16" t="n"/>
      <c r="D1357" s="17" t="n"/>
      <c r="E1357" s="17" t="n"/>
      <c r="F1357" s="17" t="n"/>
      <c r="G1357" s="17" t="n"/>
      <c r="H1357" s="18">
        <f>IF(AND(B1357="",C1357="",D1357="",E1357=""),"",IF(B1357="","⚠ Falta fecha",IF(C1357="","⚠ Falta monto",IF(D1357="","⚠ Falta categoría",IF(ISNA(MATCH(D1357,catNom,0)),"⚠ Categoría no existe",IF(E1357="","⚠ Falta cuenta",IF(ISNA(MATCH(E1357,ctaNom,0)),"⚠ Cuenta no existe",IF(AND(OR(I1357="Transferencia",I1357="Pago tarjeta"),G1357=""),"⚠ Indica la cuenta «Hacia»",IF(AND(G1357&lt;&gt;"",G1357=E1357),"⚠ «Hacia» igual a la cuenta",IF(AND(G1357&lt;&gt;"",ISNA(MATCH(G1357,ctaNom,0))),"⚠ «Hacia» no existe",IF(AND(I1357="Pago tarjeta",IFERROR(INDEX(ctaTipo,MATCH(G1357,ctaNom,0)),"")&lt;&gt;"Tarjeta de crédito"),"⚠ «Hacia» debe ser la tarjeta",IF(AND(I1357="Trading",IFERROR(INDEX(ctaTipo,MATCH(E1357,ctaNom,0)),"")&lt;&gt;"Cuenta de trading"),"⚠ Usa la cuenta de trading","✓"))))))))))))</f>
        <v/>
      </c>
      <c r="I1357" s="19">
        <f>IF(OR(B1357="",C1357="",D1357=""),"",IFERROR(INDEX(catTipo,MATCH(D1357,catNom,0))&amp;"",""))</f>
        <v/>
      </c>
      <c r="J1357" s="19">
        <f>IF(I1357="","",IFERROR(INDEX(catGrupo,MATCH(D1357,catNom,0))&amp;"",""))</f>
        <v/>
      </c>
      <c r="K1357" s="19">
        <f>IF(I1357="Gasto",IF(IFERROR(INDEX(catClas,MATCH(D1357,catNom,0))&amp;"","")="","Variable",IFERROR(INDEX(catClas,MATCH(D1357,catNom,0))&amp;"","")),"")</f>
        <v/>
      </c>
      <c r="L1357" s="19">
        <f>IF(I1357="","",IFERROR(INDEX(catAlim,MATCH(D1357,catNom,0))&amp;"",""))</f>
        <v/>
      </c>
      <c r="M1357" s="19">
        <f>IF(I1357="","",IFERROR(INDEX(catComida,MATCH(D1357,catNom,0))&amp;"",""))</f>
        <v/>
      </c>
      <c r="N1357" s="19">
        <f>IF(I1357="","",IFERROR(INDEX(ctaMon,MATCH(E1357,ctaNom,0))&amp;"","DOP"))</f>
        <v/>
      </c>
      <c r="O1357" s="20">
        <f>IF(I1357="","",C1357*IF(N1357="USD",TasaUSD,1))</f>
        <v/>
      </c>
      <c r="P1357" s="20">
        <f>IF(I1357="","",IF(I1357="Gasto",O1357,0))</f>
        <v/>
      </c>
      <c r="Q1357" s="20">
        <f>IF(I1357="","",IF(I1357="Ingreso",O1357,0))</f>
        <v/>
      </c>
      <c r="R1357" s="20">
        <f>IF(I1357="","",IF(I1357="Trading",O1357,0))</f>
        <v/>
      </c>
      <c r="S1357" s="19">
        <f>IF(I1357="","",IF(AND(I1357="Gasto",K1357="Variable",J1357&lt;&gt;"Trading",O1357&gt;0,O1357&lt;=Umbral),1,0))</f>
        <v/>
      </c>
      <c r="T1357" s="20">
        <f>IF(OR(I1357="",E1357=""),"",IF(OR(I1357="Gasto",I1357="Transferencia",I1357="Pago tarjeta"),-1,1)*C1357)</f>
        <v/>
      </c>
      <c r="U1357" s="20">
        <f>IF(OR(G1357="",AND(I1357&lt;&gt;"Transferencia",I1357&lt;&gt;"Pago tarjeta")),"",IF(IFERROR(INDEX(ctaMon,MATCH(G1357,ctaNom,0))&amp;"","DOP")=N1357,C1357,IF(N1357="USD",C1357*TasaUSD,C1357/TasaUSD)))</f>
        <v/>
      </c>
      <c r="V1357" s="20">
        <f>IF(I1357="","",IF(IFERROR(INDEX(ctaLiq,MATCH(E1357,ctaNom,0))="Sí",FALSE),IF(OR(I1357="Gasto",I1357="Transferencia",I1357="Pago tarjeta"),-1,1)*O1357,0)+IF(AND(U1357&lt;&gt;"",IFERROR(INDEX(ctaLiq,MATCH(G1357,ctaNom,0))="Sí",FALSE)),O1357,0))</f>
        <v/>
      </c>
      <c r="W1357" s="19">
        <f>IF(OR(F1357="",I1357=""),"",IF(COUNTIFS(F$6:F1357,F1357,I$6:I1357,"?*")=1,MAX(W$5:W1356)+1,""))</f>
        <v/>
      </c>
    </row>
    <row r="1358">
      <c r="B1358" s="15" t="n"/>
      <c r="C1358" s="16" t="n"/>
      <c r="D1358" s="17" t="n"/>
      <c r="E1358" s="17" t="n"/>
      <c r="F1358" s="17" t="n"/>
      <c r="G1358" s="17" t="n"/>
      <c r="H1358" s="18">
        <f>IF(AND(B1358="",C1358="",D1358="",E1358=""),"",IF(B1358="","⚠ Falta fecha",IF(C1358="","⚠ Falta monto",IF(D1358="","⚠ Falta categoría",IF(ISNA(MATCH(D1358,catNom,0)),"⚠ Categoría no existe",IF(E1358="","⚠ Falta cuenta",IF(ISNA(MATCH(E1358,ctaNom,0)),"⚠ Cuenta no existe",IF(AND(OR(I1358="Transferencia",I1358="Pago tarjeta"),G1358=""),"⚠ Indica la cuenta «Hacia»",IF(AND(G1358&lt;&gt;"",G1358=E1358),"⚠ «Hacia» igual a la cuenta",IF(AND(G1358&lt;&gt;"",ISNA(MATCH(G1358,ctaNom,0))),"⚠ «Hacia» no existe",IF(AND(I1358="Pago tarjeta",IFERROR(INDEX(ctaTipo,MATCH(G1358,ctaNom,0)),"")&lt;&gt;"Tarjeta de crédito"),"⚠ «Hacia» debe ser la tarjeta",IF(AND(I1358="Trading",IFERROR(INDEX(ctaTipo,MATCH(E1358,ctaNom,0)),"")&lt;&gt;"Cuenta de trading"),"⚠ Usa la cuenta de trading","✓"))))))))))))</f>
        <v/>
      </c>
      <c r="I1358" s="19">
        <f>IF(OR(B1358="",C1358="",D1358=""),"",IFERROR(INDEX(catTipo,MATCH(D1358,catNom,0))&amp;"",""))</f>
        <v/>
      </c>
      <c r="J1358" s="19">
        <f>IF(I1358="","",IFERROR(INDEX(catGrupo,MATCH(D1358,catNom,0))&amp;"",""))</f>
        <v/>
      </c>
      <c r="K1358" s="19">
        <f>IF(I1358="Gasto",IF(IFERROR(INDEX(catClas,MATCH(D1358,catNom,0))&amp;"","")="","Variable",IFERROR(INDEX(catClas,MATCH(D1358,catNom,0))&amp;"","")),"")</f>
        <v/>
      </c>
      <c r="L1358" s="19">
        <f>IF(I1358="","",IFERROR(INDEX(catAlim,MATCH(D1358,catNom,0))&amp;"",""))</f>
        <v/>
      </c>
      <c r="M1358" s="19">
        <f>IF(I1358="","",IFERROR(INDEX(catComida,MATCH(D1358,catNom,0))&amp;"",""))</f>
        <v/>
      </c>
      <c r="N1358" s="19">
        <f>IF(I1358="","",IFERROR(INDEX(ctaMon,MATCH(E1358,ctaNom,0))&amp;"","DOP"))</f>
        <v/>
      </c>
      <c r="O1358" s="20">
        <f>IF(I1358="","",C1358*IF(N1358="USD",TasaUSD,1))</f>
        <v/>
      </c>
      <c r="P1358" s="20">
        <f>IF(I1358="","",IF(I1358="Gasto",O1358,0))</f>
        <v/>
      </c>
      <c r="Q1358" s="20">
        <f>IF(I1358="","",IF(I1358="Ingreso",O1358,0))</f>
        <v/>
      </c>
      <c r="R1358" s="20">
        <f>IF(I1358="","",IF(I1358="Trading",O1358,0))</f>
        <v/>
      </c>
      <c r="S1358" s="19">
        <f>IF(I1358="","",IF(AND(I1358="Gasto",K1358="Variable",J1358&lt;&gt;"Trading",O1358&gt;0,O1358&lt;=Umbral),1,0))</f>
        <v/>
      </c>
      <c r="T1358" s="20">
        <f>IF(OR(I1358="",E1358=""),"",IF(OR(I1358="Gasto",I1358="Transferencia",I1358="Pago tarjeta"),-1,1)*C1358)</f>
        <v/>
      </c>
      <c r="U1358" s="20">
        <f>IF(OR(G1358="",AND(I1358&lt;&gt;"Transferencia",I1358&lt;&gt;"Pago tarjeta")),"",IF(IFERROR(INDEX(ctaMon,MATCH(G1358,ctaNom,0))&amp;"","DOP")=N1358,C1358,IF(N1358="USD",C1358*TasaUSD,C1358/TasaUSD)))</f>
        <v/>
      </c>
      <c r="V1358" s="20">
        <f>IF(I1358="","",IF(IFERROR(INDEX(ctaLiq,MATCH(E1358,ctaNom,0))="Sí",FALSE),IF(OR(I1358="Gasto",I1358="Transferencia",I1358="Pago tarjeta"),-1,1)*O1358,0)+IF(AND(U1358&lt;&gt;"",IFERROR(INDEX(ctaLiq,MATCH(G1358,ctaNom,0))="Sí",FALSE)),O1358,0))</f>
        <v/>
      </c>
      <c r="W1358" s="19">
        <f>IF(OR(F1358="",I1358=""),"",IF(COUNTIFS(F$6:F1358,F1358,I$6:I1358,"?*")=1,MAX(W$5:W1357)+1,""))</f>
        <v/>
      </c>
    </row>
    <row r="1359">
      <c r="B1359" s="15" t="n"/>
      <c r="C1359" s="16" t="n"/>
      <c r="D1359" s="17" t="n"/>
      <c r="E1359" s="17" t="n"/>
      <c r="F1359" s="17" t="n"/>
      <c r="G1359" s="17" t="n"/>
      <c r="H1359" s="18">
        <f>IF(AND(B1359="",C1359="",D1359="",E1359=""),"",IF(B1359="","⚠ Falta fecha",IF(C1359="","⚠ Falta monto",IF(D1359="","⚠ Falta categoría",IF(ISNA(MATCH(D1359,catNom,0)),"⚠ Categoría no existe",IF(E1359="","⚠ Falta cuenta",IF(ISNA(MATCH(E1359,ctaNom,0)),"⚠ Cuenta no existe",IF(AND(OR(I1359="Transferencia",I1359="Pago tarjeta"),G1359=""),"⚠ Indica la cuenta «Hacia»",IF(AND(G1359&lt;&gt;"",G1359=E1359),"⚠ «Hacia» igual a la cuenta",IF(AND(G1359&lt;&gt;"",ISNA(MATCH(G1359,ctaNom,0))),"⚠ «Hacia» no existe",IF(AND(I1359="Pago tarjeta",IFERROR(INDEX(ctaTipo,MATCH(G1359,ctaNom,0)),"")&lt;&gt;"Tarjeta de crédito"),"⚠ «Hacia» debe ser la tarjeta",IF(AND(I1359="Trading",IFERROR(INDEX(ctaTipo,MATCH(E1359,ctaNom,0)),"")&lt;&gt;"Cuenta de trading"),"⚠ Usa la cuenta de trading","✓"))))))))))))</f>
        <v/>
      </c>
      <c r="I1359" s="19">
        <f>IF(OR(B1359="",C1359="",D1359=""),"",IFERROR(INDEX(catTipo,MATCH(D1359,catNom,0))&amp;"",""))</f>
        <v/>
      </c>
      <c r="J1359" s="19">
        <f>IF(I1359="","",IFERROR(INDEX(catGrupo,MATCH(D1359,catNom,0))&amp;"",""))</f>
        <v/>
      </c>
      <c r="K1359" s="19">
        <f>IF(I1359="Gasto",IF(IFERROR(INDEX(catClas,MATCH(D1359,catNom,0))&amp;"","")="","Variable",IFERROR(INDEX(catClas,MATCH(D1359,catNom,0))&amp;"","")),"")</f>
        <v/>
      </c>
      <c r="L1359" s="19">
        <f>IF(I1359="","",IFERROR(INDEX(catAlim,MATCH(D1359,catNom,0))&amp;"",""))</f>
        <v/>
      </c>
      <c r="M1359" s="19">
        <f>IF(I1359="","",IFERROR(INDEX(catComida,MATCH(D1359,catNom,0))&amp;"",""))</f>
        <v/>
      </c>
      <c r="N1359" s="19">
        <f>IF(I1359="","",IFERROR(INDEX(ctaMon,MATCH(E1359,ctaNom,0))&amp;"","DOP"))</f>
        <v/>
      </c>
      <c r="O1359" s="20">
        <f>IF(I1359="","",C1359*IF(N1359="USD",TasaUSD,1))</f>
        <v/>
      </c>
      <c r="P1359" s="20">
        <f>IF(I1359="","",IF(I1359="Gasto",O1359,0))</f>
        <v/>
      </c>
      <c r="Q1359" s="20">
        <f>IF(I1359="","",IF(I1359="Ingreso",O1359,0))</f>
        <v/>
      </c>
      <c r="R1359" s="20">
        <f>IF(I1359="","",IF(I1359="Trading",O1359,0))</f>
        <v/>
      </c>
      <c r="S1359" s="19">
        <f>IF(I1359="","",IF(AND(I1359="Gasto",K1359="Variable",J1359&lt;&gt;"Trading",O1359&gt;0,O1359&lt;=Umbral),1,0))</f>
        <v/>
      </c>
      <c r="T1359" s="20">
        <f>IF(OR(I1359="",E1359=""),"",IF(OR(I1359="Gasto",I1359="Transferencia",I1359="Pago tarjeta"),-1,1)*C1359)</f>
        <v/>
      </c>
      <c r="U1359" s="20">
        <f>IF(OR(G1359="",AND(I1359&lt;&gt;"Transferencia",I1359&lt;&gt;"Pago tarjeta")),"",IF(IFERROR(INDEX(ctaMon,MATCH(G1359,ctaNom,0))&amp;"","DOP")=N1359,C1359,IF(N1359="USD",C1359*TasaUSD,C1359/TasaUSD)))</f>
        <v/>
      </c>
      <c r="V1359" s="20">
        <f>IF(I1359="","",IF(IFERROR(INDEX(ctaLiq,MATCH(E1359,ctaNom,0))="Sí",FALSE),IF(OR(I1359="Gasto",I1359="Transferencia",I1359="Pago tarjeta"),-1,1)*O1359,0)+IF(AND(U1359&lt;&gt;"",IFERROR(INDEX(ctaLiq,MATCH(G1359,ctaNom,0))="Sí",FALSE)),O1359,0))</f>
        <v/>
      </c>
      <c r="W1359" s="19">
        <f>IF(OR(F1359="",I1359=""),"",IF(COUNTIFS(F$6:F1359,F1359,I$6:I1359,"?*")=1,MAX(W$5:W1358)+1,""))</f>
        <v/>
      </c>
    </row>
    <row r="1360">
      <c r="B1360" s="15" t="n"/>
      <c r="C1360" s="16" t="n"/>
      <c r="D1360" s="17" t="n"/>
      <c r="E1360" s="17" t="n"/>
      <c r="F1360" s="17" t="n"/>
      <c r="G1360" s="17" t="n"/>
      <c r="H1360" s="18">
        <f>IF(AND(B1360="",C1360="",D1360="",E1360=""),"",IF(B1360="","⚠ Falta fecha",IF(C1360="","⚠ Falta monto",IF(D1360="","⚠ Falta categoría",IF(ISNA(MATCH(D1360,catNom,0)),"⚠ Categoría no existe",IF(E1360="","⚠ Falta cuenta",IF(ISNA(MATCH(E1360,ctaNom,0)),"⚠ Cuenta no existe",IF(AND(OR(I1360="Transferencia",I1360="Pago tarjeta"),G1360=""),"⚠ Indica la cuenta «Hacia»",IF(AND(G1360&lt;&gt;"",G1360=E1360),"⚠ «Hacia» igual a la cuenta",IF(AND(G1360&lt;&gt;"",ISNA(MATCH(G1360,ctaNom,0))),"⚠ «Hacia» no existe",IF(AND(I1360="Pago tarjeta",IFERROR(INDEX(ctaTipo,MATCH(G1360,ctaNom,0)),"")&lt;&gt;"Tarjeta de crédito"),"⚠ «Hacia» debe ser la tarjeta",IF(AND(I1360="Trading",IFERROR(INDEX(ctaTipo,MATCH(E1360,ctaNom,0)),"")&lt;&gt;"Cuenta de trading"),"⚠ Usa la cuenta de trading","✓"))))))))))))</f>
        <v/>
      </c>
      <c r="I1360" s="19">
        <f>IF(OR(B1360="",C1360="",D1360=""),"",IFERROR(INDEX(catTipo,MATCH(D1360,catNom,0))&amp;"",""))</f>
        <v/>
      </c>
      <c r="J1360" s="19">
        <f>IF(I1360="","",IFERROR(INDEX(catGrupo,MATCH(D1360,catNom,0))&amp;"",""))</f>
        <v/>
      </c>
      <c r="K1360" s="19">
        <f>IF(I1360="Gasto",IF(IFERROR(INDEX(catClas,MATCH(D1360,catNom,0))&amp;"","")="","Variable",IFERROR(INDEX(catClas,MATCH(D1360,catNom,0))&amp;"","")),"")</f>
        <v/>
      </c>
      <c r="L1360" s="19">
        <f>IF(I1360="","",IFERROR(INDEX(catAlim,MATCH(D1360,catNom,0))&amp;"",""))</f>
        <v/>
      </c>
      <c r="M1360" s="19">
        <f>IF(I1360="","",IFERROR(INDEX(catComida,MATCH(D1360,catNom,0))&amp;"",""))</f>
        <v/>
      </c>
      <c r="N1360" s="19">
        <f>IF(I1360="","",IFERROR(INDEX(ctaMon,MATCH(E1360,ctaNom,0))&amp;"","DOP"))</f>
        <v/>
      </c>
      <c r="O1360" s="20">
        <f>IF(I1360="","",C1360*IF(N1360="USD",TasaUSD,1))</f>
        <v/>
      </c>
      <c r="P1360" s="20">
        <f>IF(I1360="","",IF(I1360="Gasto",O1360,0))</f>
        <v/>
      </c>
      <c r="Q1360" s="20">
        <f>IF(I1360="","",IF(I1360="Ingreso",O1360,0))</f>
        <v/>
      </c>
      <c r="R1360" s="20">
        <f>IF(I1360="","",IF(I1360="Trading",O1360,0))</f>
        <v/>
      </c>
      <c r="S1360" s="19">
        <f>IF(I1360="","",IF(AND(I1360="Gasto",K1360="Variable",J1360&lt;&gt;"Trading",O1360&gt;0,O1360&lt;=Umbral),1,0))</f>
        <v/>
      </c>
      <c r="T1360" s="20">
        <f>IF(OR(I1360="",E1360=""),"",IF(OR(I1360="Gasto",I1360="Transferencia",I1360="Pago tarjeta"),-1,1)*C1360)</f>
        <v/>
      </c>
      <c r="U1360" s="20">
        <f>IF(OR(G1360="",AND(I1360&lt;&gt;"Transferencia",I1360&lt;&gt;"Pago tarjeta")),"",IF(IFERROR(INDEX(ctaMon,MATCH(G1360,ctaNom,0))&amp;"","DOP")=N1360,C1360,IF(N1360="USD",C1360*TasaUSD,C1360/TasaUSD)))</f>
        <v/>
      </c>
      <c r="V1360" s="20">
        <f>IF(I1360="","",IF(IFERROR(INDEX(ctaLiq,MATCH(E1360,ctaNom,0))="Sí",FALSE),IF(OR(I1360="Gasto",I1360="Transferencia",I1360="Pago tarjeta"),-1,1)*O1360,0)+IF(AND(U1360&lt;&gt;"",IFERROR(INDEX(ctaLiq,MATCH(G1360,ctaNom,0))="Sí",FALSE)),O1360,0))</f>
        <v/>
      </c>
      <c r="W1360" s="19">
        <f>IF(OR(F1360="",I1360=""),"",IF(COUNTIFS(F$6:F1360,F1360,I$6:I1360,"?*")=1,MAX(W$5:W1359)+1,""))</f>
        <v/>
      </c>
    </row>
    <row r="1361">
      <c r="B1361" s="15" t="n"/>
      <c r="C1361" s="16" t="n"/>
      <c r="D1361" s="17" t="n"/>
      <c r="E1361" s="17" t="n"/>
      <c r="F1361" s="17" t="n"/>
      <c r="G1361" s="17" t="n"/>
      <c r="H1361" s="18">
        <f>IF(AND(B1361="",C1361="",D1361="",E1361=""),"",IF(B1361="","⚠ Falta fecha",IF(C1361="","⚠ Falta monto",IF(D1361="","⚠ Falta categoría",IF(ISNA(MATCH(D1361,catNom,0)),"⚠ Categoría no existe",IF(E1361="","⚠ Falta cuenta",IF(ISNA(MATCH(E1361,ctaNom,0)),"⚠ Cuenta no existe",IF(AND(OR(I1361="Transferencia",I1361="Pago tarjeta"),G1361=""),"⚠ Indica la cuenta «Hacia»",IF(AND(G1361&lt;&gt;"",G1361=E1361),"⚠ «Hacia» igual a la cuenta",IF(AND(G1361&lt;&gt;"",ISNA(MATCH(G1361,ctaNom,0))),"⚠ «Hacia» no existe",IF(AND(I1361="Pago tarjeta",IFERROR(INDEX(ctaTipo,MATCH(G1361,ctaNom,0)),"")&lt;&gt;"Tarjeta de crédito"),"⚠ «Hacia» debe ser la tarjeta",IF(AND(I1361="Trading",IFERROR(INDEX(ctaTipo,MATCH(E1361,ctaNom,0)),"")&lt;&gt;"Cuenta de trading"),"⚠ Usa la cuenta de trading","✓"))))))))))))</f>
        <v/>
      </c>
      <c r="I1361" s="19">
        <f>IF(OR(B1361="",C1361="",D1361=""),"",IFERROR(INDEX(catTipo,MATCH(D1361,catNom,0))&amp;"",""))</f>
        <v/>
      </c>
      <c r="J1361" s="19">
        <f>IF(I1361="","",IFERROR(INDEX(catGrupo,MATCH(D1361,catNom,0))&amp;"",""))</f>
        <v/>
      </c>
      <c r="K1361" s="19">
        <f>IF(I1361="Gasto",IF(IFERROR(INDEX(catClas,MATCH(D1361,catNom,0))&amp;"","")="","Variable",IFERROR(INDEX(catClas,MATCH(D1361,catNom,0))&amp;"","")),"")</f>
        <v/>
      </c>
      <c r="L1361" s="19">
        <f>IF(I1361="","",IFERROR(INDEX(catAlim,MATCH(D1361,catNom,0))&amp;"",""))</f>
        <v/>
      </c>
      <c r="M1361" s="19">
        <f>IF(I1361="","",IFERROR(INDEX(catComida,MATCH(D1361,catNom,0))&amp;"",""))</f>
        <v/>
      </c>
      <c r="N1361" s="19">
        <f>IF(I1361="","",IFERROR(INDEX(ctaMon,MATCH(E1361,ctaNom,0))&amp;"","DOP"))</f>
        <v/>
      </c>
      <c r="O1361" s="20">
        <f>IF(I1361="","",C1361*IF(N1361="USD",TasaUSD,1))</f>
        <v/>
      </c>
      <c r="P1361" s="20">
        <f>IF(I1361="","",IF(I1361="Gasto",O1361,0))</f>
        <v/>
      </c>
      <c r="Q1361" s="20">
        <f>IF(I1361="","",IF(I1361="Ingreso",O1361,0))</f>
        <v/>
      </c>
      <c r="R1361" s="20">
        <f>IF(I1361="","",IF(I1361="Trading",O1361,0))</f>
        <v/>
      </c>
      <c r="S1361" s="19">
        <f>IF(I1361="","",IF(AND(I1361="Gasto",K1361="Variable",J1361&lt;&gt;"Trading",O1361&gt;0,O1361&lt;=Umbral),1,0))</f>
        <v/>
      </c>
      <c r="T1361" s="20">
        <f>IF(OR(I1361="",E1361=""),"",IF(OR(I1361="Gasto",I1361="Transferencia",I1361="Pago tarjeta"),-1,1)*C1361)</f>
        <v/>
      </c>
      <c r="U1361" s="20">
        <f>IF(OR(G1361="",AND(I1361&lt;&gt;"Transferencia",I1361&lt;&gt;"Pago tarjeta")),"",IF(IFERROR(INDEX(ctaMon,MATCH(G1361,ctaNom,0))&amp;"","DOP")=N1361,C1361,IF(N1361="USD",C1361*TasaUSD,C1361/TasaUSD)))</f>
        <v/>
      </c>
      <c r="V1361" s="20">
        <f>IF(I1361="","",IF(IFERROR(INDEX(ctaLiq,MATCH(E1361,ctaNom,0))="Sí",FALSE),IF(OR(I1361="Gasto",I1361="Transferencia",I1361="Pago tarjeta"),-1,1)*O1361,0)+IF(AND(U1361&lt;&gt;"",IFERROR(INDEX(ctaLiq,MATCH(G1361,ctaNom,0))="Sí",FALSE)),O1361,0))</f>
        <v/>
      </c>
      <c r="W1361" s="19">
        <f>IF(OR(F1361="",I1361=""),"",IF(COUNTIFS(F$6:F1361,F1361,I$6:I1361,"?*")=1,MAX(W$5:W1360)+1,""))</f>
        <v/>
      </c>
    </row>
    <row r="1362">
      <c r="B1362" s="15" t="n"/>
      <c r="C1362" s="16" t="n"/>
      <c r="D1362" s="17" t="n"/>
      <c r="E1362" s="17" t="n"/>
      <c r="F1362" s="17" t="n"/>
      <c r="G1362" s="17" t="n"/>
      <c r="H1362" s="18">
        <f>IF(AND(B1362="",C1362="",D1362="",E1362=""),"",IF(B1362="","⚠ Falta fecha",IF(C1362="","⚠ Falta monto",IF(D1362="","⚠ Falta categoría",IF(ISNA(MATCH(D1362,catNom,0)),"⚠ Categoría no existe",IF(E1362="","⚠ Falta cuenta",IF(ISNA(MATCH(E1362,ctaNom,0)),"⚠ Cuenta no existe",IF(AND(OR(I1362="Transferencia",I1362="Pago tarjeta"),G1362=""),"⚠ Indica la cuenta «Hacia»",IF(AND(G1362&lt;&gt;"",G1362=E1362),"⚠ «Hacia» igual a la cuenta",IF(AND(G1362&lt;&gt;"",ISNA(MATCH(G1362,ctaNom,0))),"⚠ «Hacia» no existe",IF(AND(I1362="Pago tarjeta",IFERROR(INDEX(ctaTipo,MATCH(G1362,ctaNom,0)),"")&lt;&gt;"Tarjeta de crédito"),"⚠ «Hacia» debe ser la tarjeta",IF(AND(I1362="Trading",IFERROR(INDEX(ctaTipo,MATCH(E1362,ctaNom,0)),"")&lt;&gt;"Cuenta de trading"),"⚠ Usa la cuenta de trading","✓"))))))))))))</f>
        <v/>
      </c>
      <c r="I1362" s="19">
        <f>IF(OR(B1362="",C1362="",D1362=""),"",IFERROR(INDEX(catTipo,MATCH(D1362,catNom,0))&amp;"",""))</f>
        <v/>
      </c>
      <c r="J1362" s="19">
        <f>IF(I1362="","",IFERROR(INDEX(catGrupo,MATCH(D1362,catNom,0))&amp;"",""))</f>
        <v/>
      </c>
      <c r="K1362" s="19">
        <f>IF(I1362="Gasto",IF(IFERROR(INDEX(catClas,MATCH(D1362,catNom,0))&amp;"","")="","Variable",IFERROR(INDEX(catClas,MATCH(D1362,catNom,0))&amp;"","")),"")</f>
        <v/>
      </c>
      <c r="L1362" s="19">
        <f>IF(I1362="","",IFERROR(INDEX(catAlim,MATCH(D1362,catNom,0))&amp;"",""))</f>
        <v/>
      </c>
      <c r="M1362" s="19">
        <f>IF(I1362="","",IFERROR(INDEX(catComida,MATCH(D1362,catNom,0))&amp;"",""))</f>
        <v/>
      </c>
      <c r="N1362" s="19">
        <f>IF(I1362="","",IFERROR(INDEX(ctaMon,MATCH(E1362,ctaNom,0))&amp;"","DOP"))</f>
        <v/>
      </c>
      <c r="O1362" s="20">
        <f>IF(I1362="","",C1362*IF(N1362="USD",TasaUSD,1))</f>
        <v/>
      </c>
      <c r="P1362" s="20">
        <f>IF(I1362="","",IF(I1362="Gasto",O1362,0))</f>
        <v/>
      </c>
      <c r="Q1362" s="20">
        <f>IF(I1362="","",IF(I1362="Ingreso",O1362,0))</f>
        <v/>
      </c>
      <c r="R1362" s="20">
        <f>IF(I1362="","",IF(I1362="Trading",O1362,0))</f>
        <v/>
      </c>
      <c r="S1362" s="19">
        <f>IF(I1362="","",IF(AND(I1362="Gasto",K1362="Variable",J1362&lt;&gt;"Trading",O1362&gt;0,O1362&lt;=Umbral),1,0))</f>
        <v/>
      </c>
      <c r="T1362" s="20">
        <f>IF(OR(I1362="",E1362=""),"",IF(OR(I1362="Gasto",I1362="Transferencia",I1362="Pago tarjeta"),-1,1)*C1362)</f>
        <v/>
      </c>
      <c r="U1362" s="20">
        <f>IF(OR(G1362="",AND(I1362&lt;&gt;"Transferencia",I1362&lt;&gt;"Pago tarjeta")),"",IF(IFERROR(INDEX(ctaMon,MATCH(G1362,ctaNom,0))&amp;"","DOP")=N1362,C1362,IF(N1362="USD",C1362*TasaUSD,C1362/TasaUSD)))</f>
        <v/>
      </c>
      <c r="V1362" s="20">
        <f>IF(I1362="","",IF(IFERROR(INDEX(ctaLiq,MATCH(E1362,ctaNom,0))="Sí",FALSE),IF(OR(I1362="Gasto",I1362="Transferencia",I1362="Pago tarjeta"),-1,1)*O1362,0)+IF(AND(U1362&lt;&gt;"",IFERROR(INDEX(ctaLiq,MATCH(G1362,ctaNom,0))="Sí",FALSE)),O1362,0))</f>
        <v/>
      </c>
      <c r="W1362" s="19">
        <f>IF(OR(F1362="",I1362=""),"",IF(COUNTIFS(F$6:F1362,F1362,I$6:I1362,"?*")=1,MAX(W$5:W1361)+1,""))</f>
        <v/>
      </c>
    </row>
    <row r="1363">
      <c r="B1363" s="15" t="n"/>
      <c r="C1363" s="16" t="n"/>
      <c r="D1363" s="17" t="n"/>
      <c r="E1363" s="17" t="n"/>
      <c r="F1363" s="17" t="n"/>
      <c r="G1363" s="17" t="n"/>
      <c r="H1363" s="18">
        <f>IF(AND(B1363="",C1363="",D1363="",E1363=""),"",IF(B1363="","⚠ Falta fecha",IF(C1363="","⚠ Falta monto",IF(D1363="","⚠ Falta categoría",IF(ISNA(MATCH(D1363,catNom,0)),"⚠ Categoría no existe",IF(E1363="","⚠ Falta cuenta",IF(ISNA(MATCH(E1363,ctaNom,0)),"⚠ Cuenta no existe",IF(AND(OR(I1363="Transferencia",I1363="Pago tarjeta"),G1363=""),"⚠ Indica la cuenta «Hacia»",IF(AND(G1363&lt;&gt;"",G1363=E1363),"⚠ «Hacia» igual a la cuenta",IF(AND(G1363&lt;&gt;"",ISNA(MATCH(G1363,ctaNom,0))),"⚠ «Hacia» no existe",IF(AND(I1363="Pago tarjeta",IFERROR(INDEX(ctaTipo,MATCH(G1363,ctaNom,0)),"")&lt;&gt;"Tarjeta de crédito"),"⚠ «Hacia» debe ser la tarjeta",IF(AND(I1363="Trading",IFERROR(INDEX(ctaTipo,MATCH(E1363,ctaNom,0)),"")&lt;&gt;"Cuenta de trading"),"⚠ Usa la cuenta de trading","✓"))))))))))))</f>
        <v/>
      </c>
      <c r="I1363" s="19">
        <f>IF(OR(B1363="",C1363="",D1363=""),"",IFERROR(INDEX(catTipo,MATCH(D1363,catNom,0))&amp;"",""))</f>
        <v/>
      </c>
      <c r="J1363" s="19">
        <f>IF(I1363="","",IFERROR(INDEX(catGrupo,MATCH(D1363,catNom,0))&amp;"",""))</f>
        <v/>
      </c>
      <c r="K1363" s="19">
        <f>IF(I1363="Gasto",IF(IFERROR(INDEX(catClas,MATCH(D1363,catNom,0))&amp;"","")="","Variable",IFERROR(INDEX(catClas,MATCH(D1363,catNom,0))&amp;"","")),"")</f>
        <v/>
      </c>
      <c r="L1363" s="19">
        <f>IF(I1363="","",IFERROR(INDEX(catAlim,MATCH(D1363,catNom,0))&amp;"",""))</f>
        <v/>
      </c>
      <c r="M1363" s="19">
        <f>IF(I1363="","",IFERROR(INDEX(catComida,MATCH(D1363,catNom,0))&amp;"",""))</f>
        <v/>
      </c>
      <c r="N1363" s="19">
        <f>IF(I1363="","",IFERROR(INDEX(ctaMon,MATCH(E1363,ctaNom,0))&amp;"","DOP"))</f>
        <v/>
      </c>
      <c r="O1363" s="20">
        <f>IF(I1363="","",C1363*IF(N1363="USD",TasaUSD,1))</f>
        <v/>
      </c>
      <c r="P1363" s="20">
        <f>IF(I1363="","",IF(I1363="Gasto",O1363,0))</f>
        <v/>
      </c>
      <c r="Q1363" s="20">
        <f>IF(I1363="","",IF(I1363="Ingreso",O1363,0))</f>
        <v/>
      </c>
      <c r="R1363" s="20">
        <f>IF(I1363="","",IF(I1363="Trading",O1363,0))</f>
        <v/>
      </c>
      <c r="S1363" s="19">
        <f>IF(I1363="","",IF(AND(I1363="Gasto",K1363="Variable",J1363&lt;&gt;"Trading",O1363&gt;0,O1363&lt;=Umbral),1,0))</f>
        <v/>
      </c>
      <c r="T1363" s="20">
        <f>IF(OR(I1363="",E1363=""),"",IF(OR(I1363="Gasto",I1363="Transferencia",I1363="Pago tarjeta"),-1,1)*C1363)</f>
        <v/>
      </c>
      <c r="U1363" s="20">
        <f>IF(OR(G1363="",AND(I1363&lt;&gt;"Transferencia",I1363&lt;&gt;"Pago tarjeta")),"",IF(IFERROR(INDEX(ctaMon,MATCH(G1363,ctaNom,0))&amp;"","DOP")=N1363,C1363,IF(N1363="USD",C1363*TasaUSD,C1363/TasaUSD)))</f>
        <v/>
      </c>
      <c r="V1363" s="20">
        <f>IF(I1363="","",IF(IFERROR(INDEX(ctaLiq,MATCH(E1363,ctaNom,0))="Sí",FALSE),IF(OR(I1363="Gasto",I1363="Transferencia",I1363="Pago tarjeta"),-1,1)*O1363,0)+IF(AND(U1363&lt;&gt;"",IFERROR(INDEX(ctaLiq,MATCH(G1363,ctaNom,0))="Sí",FALSE)),O1363,0))</f>
        <v/>
      </c>
      <c r="W1363" s="19">
        <f>IF(OR(F1363="",I1363=""),"",IF(COUNTIFS(F$6:F1363,F1363,I$6:I1363,"?*")=1,MAX(W$5:W1362)+1,""))</f>
        <v/>
      </c>
    </row>
    <row r="1364">
      <c r="B1364" s="15" t="n"/>
      <c r="C1364" s="16" t="n"/>
      <c r="D1364" s="17" t="n"/>
      <c r="E1364" s="17" t="n"/>
      <c r="F1364" s="17" t="n"/>
      <c r="G1364" s="17" t="n"/>
      <c r="H1364" s="18">
        <f>IF(AND(B1364="",C1364="",D1364="",E1364=""),"",IF(B1364="","⚠ Falta fecha",IF(C1364="","⚠ Falta monto",IF(D1364="","⚠ Falta categoría",IF(ISNA(MATCH(D1364,catNom,0)),"⚠ Categoría no existe",IF(E1364="","⚠ Falta cuenta",IF(ISNA(MATCH(E1364,ctaNom,0)),"⚠ Cuenta no existe",IF(AND(OR(I1364="Transferencia",I1364="Pago tarjeta"),G1364=""),"⚠ Indica la cuenta «Hacia»",IF(AND(G1364&lt;&gt;"",G1364=E1364),"⚠ «Hacia» igual a la cuenta",IF(AND(G1364&lt;&gt;"",ISNA(MATCH(G1364,ctaNom,0))),"⚠ «Hacia» no existe",IF(AND(I1364="Pago tarjeta",IFERROR(INDEX(ctaTipo,MATCH(G1364,ctaNom,0)),"")&lt;&gt;"Tarjeta de crédito"),"⚠ «Hacia» debe ser la tarjeta",IF(AND(I1364="Trading",IFERROR(INDEX(ctaTipo,MATCH(E1364,ctaNom,0)),"")&lt;&gt;"Cuenta de trading"),"⚠ Usa la cuenta de trading","✓"))))))))))))</f>
        <v/>
      </c>
      <c r="I1364" s="19">
        <f>IF(OR(B1364="",C1364="",D1364=""),"",IFERROR(INDEX(catTipo,MATCH(D1364,catNom,0))&amp;"",""))</f>
        <v/>
      </c>
      <c r="J1364" s="19">
        <f>IF(I1364="","",IFERROR(INDEX(catGrupo,MATCH(D1364,catNom,0))&amp;"",""))</f>
        <v/>
      </c>
      <c r="K1364" s="19">
        <f>IF(I1364="Gasto",IF(IFERROR(INDEX(catClas,MATCH(D1364,catNom,0))&amp;"","")="","Variable",IFERROR(INDEX(catClas,MATCH(D1364,catNom,0))&amp;"","")),"")</f>
        <v/>
      </c>
      <c r="L1364" s="19">
        <f>IF(I1364="","",IFERROR(INDEX(catAlim,MATCH(D1364,catNom,0))&amp;"",""))</f>
        <v/>
      </c>
      <c r="M1364" s="19">
        <f>IF(I1364="","",IFERROR(INDEX(catComida,MATCH(D1364,catNom,0))&amp;"",""))</f>
        <v/>
      </c>
      <c r="N1364" s="19">
        <f>IF(I1364="","",IFERROR(INDEX(ctaMon,MATCH(E1364,ctaNom,0))&amp;"","DOP"))</f>
        <v/>
      </c>
      <c r="O1364" s="20">
        <f>IF(I1364="","",C1364*IF(N1364="USD",TasaUSD,1))</f>
        <v/>
      </c>
      <c r="P1364" s="20">
        <f>IF(I1364="","",IF(I1364="Gasto",O1364,0))</f>
        <v/>
      </c>
      <c r="Q1364" s="20">
        <f>IF(I1364="","",IF(I1364="Ingreso",O1364,0))</f>
        <v/>
      </c>
      <c r="R1364" s="20">
        <f>IF(I1364="","",IF(I1364="Trading",O1364,0))</f>
        <v/>
      </c>
      <c r="S1364" s="19">
        <f>IF(I1364="","",IF(AND(I1364="Gasto",K1364="Variable",J1364&lt;&gt;"Trading",O1364&gt;0,O1364&lt;=Umbral),1,0))</f>
        <v/>
      </c>
      <c r="T1364" s="20">
        <f>IF(OR(I1364="",E1364=""),"",IF(OR(I1364="Gasto",I1364="Transferencia",I1364="Pago tarjeta"),-1,1)*C1364)</f>
        <v/>
      </c>
      <c r="U1364" s="20">
        <f>IF(OR(G1364="",AND(I1364&lt;&gt;"Transferencia",I1364&lt;&gt;"Pago tarjeta")),"",IF(IFERROR(INDEX(ctaMon,MATCH(G1364,ctaNom,0))&amp;"","DOP")=N1364,C1364,IF(N1364="USD",C1364*TasaUSD,C1364/TasaUSD)))</f>
        <v/>
      </c>
      <c r="V1364" s="20">
        <f>IF(I1364="","",IF(IFERROR(INDEX(ctaLiq,MATCH(E1364,ctaNom,0))="Sí",FALSE),IF(OR(I1364="Gasto",I1364="Transferencia",I1364="Pago tarjeta"),-1,1)*O1364,0)+IF(AND(U1364&lt;&gt;"",IFERROR(INDEX(ctaLiq,MATCH(G1364,ctaNom,0))="Sí",FALSE)),O1364,0))</f>
        <v/>
      </c>
      <c r="W1364" s="19">
        <f>IF(OR(F1364="",I1364=""),"",IF(COUNTIFS(F$6:F1364,F1364,I$6:I1364,"?*")=1,MAX(W$5:W1363)+1,""))</f>
        <v/>
      </c>
    </row>
    <row r="1365">
      <c r="B1365" s="15" t="n"/>
      <c r="C1365" s="16" t="n"/>
      <c r="D1365" s="17" t="n"/>
      <c r="E1365" s="17" t="n"/>
      <c r="F1365" s="17" t="n"/>
      <c r="G1365" s="17" t="n"/>
      <c r="H1365" s="18">
        <f>IF(AND(B1365="",C1365="",D1365="",E1365=""),"",IF(B1365="","⚠ Falta fecha",IF(C1365="","⚠ Falta monto",IF(D1365="","⚠ Falta categoría",IF(ISNA(MATCH(D1365,catNom,0)),"⚠ Categoría no existe",IF(E1365="","⚠ Falta cuenta",IF(ISNA(MATCH(E1365,ctaNom,0)),"⚠ Cuenta no existe",IF(AND(OR(I1365="Transferencia",I1365="Pago tarjeta"),G1365=""),"⚠ Indica la cuenta «Hacia»",IF(AND(G1365&lt;&gt;"",G1365=E1365),"⚠ «Hacia» igual a la cuenta",IF(AND(G1365&lt;&gt;"",ISNA(MATCH(G1365,ctaNom,0))),"⚠ «Hacia» no existe",IF(AND(I1365="Pago tarjeta",IFERROR(INDEX(ctaTipo,MATCH(G1365,ctaNom,0)),"")&lt;&gt;"Tarjeta de crédito"),"⚠ «Hacia» debe ser la tarjeta",IF(AND(I1365="Trading",IFERROR(INDEX(ctaTipo,MATCH(E1365,ctaNom,0)),"")&lt;&gt;"Cuenta de trading"),"⚠ Usa la cuenta de trading","✓"))))))))))))</f>
        <v/>
      </c>
      <c r="I1365" s="19">
        <f>IF(OR(B1365="",C1365="",D1365=""),"",IFERROR(INDEX(catTipo,MATCH(D1365,catNom,0))&amp;"",""))</f>
        <v/>
      </c>
      <c r="J1365" s="19">
        <f>IF(I1365="","",IFERROR(INDEX(catGrupo,MATCH(D1365,catNom,0))&amp;"",""))</f>
        <v/>
      </c>
      <c r="K1365" s="19">
        <f>IF(I1365="Gasto",IF(IFERROR(INDEX(catClas,MATCH(D1365,catNom,0))&amp;"","")="","Variable",IFERROR(INDEX(catClas,MATCH(D1365,catNom,0))&amp;"","")),"")</f>
        <v/>
      </c>
      <c r="L1365" s="19">
        <f>IF(I1365="","",IFERROR(INDEX(catAlim,MATCH(D1365,catNom,0))&amp;"",""))</f>
        <v/>
      </c>
      <c r="M1365" s="19">
        <f>IF(I1365="","",IFERROR(INDEX(catComida,MATCH(D1365,catNom,0))&amp;"",""))</f>
        <v/>
      </c>
      <c r="N1365" s="19">
        <f>IF(I1365="","",IFERROR(INDEX(ctaMon,MATCH(E1365,ctaNom,0))&amp;"","DOP"))</f>
        <v/>
      </c>
      <c r="O1365" s="20">
        <f>IF(I1365="","",C1365*IF(N1365="USD",TasaUSD,1))</f>
        <v/>
      </c>
      <c r="P1365" s="20">
        <f>IF(I1365="","",IF(I1365="Gasto",O1365,0))</f>
        <v/>
      </c>
      <c r="Q1365" s="20">
        <f>IF(I1365="","",IF(I1365="Ingreso",O1365,0))</f>
        <v/>
      </c>
      <c r="R1365" s="20">
        <f>IF(I1365="","",IF(I1365="Trading",O1365,0))</f>
        <v/>
      </c>
      <c r="S1365" s="19">
        <f>IF(I1365="","",IF(AND(I1365="Gasto",K1365="Variable",J1365&lt;&gt;"Trading",O1365&gt;0,O1365&lt;=Umbral),1,0))</f>
        <v/>
      </c>
      <c r="T1365" s="20">
        <f>IF(OR(I1365="",E1365=""),"",IF(OR(I1365="Gasto",I1365="Transferencia",I1365="Pago tarjeta"),-1,1)*C1365)</f>
        <v/>
      </c>
      <c r="U1365" s="20">
        <f>IF(OR(G1365="",AND(I1365&lt;&gt;"Transferencia",I1365&lt;&gt;"Pago tarjeta")),"",IF(IFERROR(INDEX(ctaMon,MATCH(G1365,ctaNom,0))&amp;"","DOP")=N1365,C1365,IF(N1365="USD",C1365*TasaUSD,C1365/TasaUSD)))</f>
        <v/>
      </c>
      <c r="V1365" s="20">
        <f>IF(I1365="","",IF(IFERROR(INDEX(ctaLiq,MATCH(E1365,ctaNom,0))="Sí",FALSE),IF(OR(I1365="Gasto",I1365="Transferencia",I1365="Pago tarjeta"),-1,1)*O1365,0)+IF(AND(U1365&lt;&gt;"",IFERROR(INDEX(ctaLiq,MATCH(G1365,ctaNom,0))="Sí",FALSE)),O1365,0))</f>
        <v/>
      </c>
      <c r="W1365" s="19">
        <f>IF(OR(F1365="",I1365=""),"",IF(COUNTIFS(F$6:F1365,F1365,I$6:I1365,"?*")=1,MAX(W$5:W1364)+1,""))</f>
        <v/>
      </c>
    </row>
    <row r="1366">
      <c r="B1366" s="15" t="n"/>
      <c r="C1366" s="16" t="n"/>
      <c r="D1366" s="17" t="n"/>
      <c r="E1366" s="17" t="n"/>
      <c r="F1366" s="17" t="n"/>
      <c r="G1366" s="17" t="n"/>
      <c r="H1366" s="18">
        <f>IF(AND(B1366="",C1366="",D1366="",E1366=""),"",IF(B1366="","⚠ Falta fecha",IF(C1366="","⚠ Falta monto",IF(D1366="","⚠ Falta categoría",IF(ISNA(MATCH(D1366,catNom,0)),"⚠ Categoría no existe",IF(E1366="","⚠ Falta cuenta",IF(ISNA(MATCH(E1366,ctaNom,0)),"⚠ Cuenta no existe",IF(AND(OR(I1366="Transferencia",I1366="Pago tarjeta"),G1366=""),"⚠ Indica la cuenta «Hacia»",IF(AND(G1366&lt;&gt;"",G1366=E1366),"⚠ «Hacia» igual a la cuenta",IF(AND(G1366&lt;&gt;"",ISNA(MATCH(G1366,ctaNom,0))),"⚠ «Hacia» no existe",IF(AND(I1366="Pago tarjeta",IFERROR(INDEX(ctaTipo,MATCH(G1366,ctaNom,0)),"")&lt;&gt;"Tarjeta de crédito"),"⚠ «Hacia» debe ser la tarjeta",IF(AND(I1366="Trading",IFERROR(INDEX(ctaTipo,MATCH(E1366,ctaNom,0)),"")&lt;&gt;"Cuenta de trading"),"⚠ Usa la cuenta de trading","✓"))))))))))))</f>
        <v/>
      </c>
      <c r="I1366" s="19">
        <f>IF(OR(B1366="",C1366="",D1366=""),"",IFERROR(INDEX(catTipo,MATCH(D1366,catNom,0))&amp;"",""))</f>
        <v/>
      </c>
      <c r="J1366" s="19">
        <f>IF(I1366="","",IFERROR(INDEX(catGrupo,MATCH(D1366,catNom,0))&amp;"",""))</f>
        <v/>
      </c>
      <c r="K1366" s="19">
        <f>IF(I1366="Gasto",IF(IFERROR(INDEX(catClas,MATCH(D1366,catNom,0))&amp;"","")="","Variable",IFERROR(INDEX(catClas,MATCH(D1366,catNom,0))&amp;"","")),"")</f>
        <v/>
      </c>
      <c r="L1366" s="19">
        <f>IF(I1366="","",IFERROR(INDEX(catAlim,MATCH(D1366,catNom,0))&amp;"",""))</f>
        <v/>
      </c>
      <c r="M1366" s="19">
        <f>IF(I1366="","",IFERROR(INDEX(catComida,MATCH(D1366,catNom,0))&amp;"",""))</f>
        <v/>
      </c>
      <c r="N1366" s="19">
        <f>IF(I1366="","",IFERROR(INDEX(ctaMon,MATCH(E1366,ctaNom,0))&amp;"","DOP"))</f>
        <v/>
      </c>
      <c r="O1366" s="20">
        <f>IF(I1366="","",C1366*IF(N1366="USD",TasaUSD,1))</f>
        <v/>
      </c>
      <c r="P1366" s="20">
        <f>IF(I1366="","",IF(I1366="Gasto",O1366,0))</f>
        <v/>
      </c>
      <c r="Q1366" s="20">
        <f>IF(I1366="","",IF(I1366="Ingreso",O1366,0))</f>
        <v/>
      </c>
      <c r="R1366" s="20">
        <f>IF(I1366="","",IF(I1366="Trading",O1366,0))</f>
        <v/>
      </c>
      <c r="S1366" s="19">
        <f>IF(I1366="","",IF(AND(I1366="Gasto",K1366="Variable",J1366&lt;&gt;"Trading",O1366&gt;0,O1366&lt;=Umbral),1,0))</f>
        <v/>
      </c>
      <c r="T1366" s="20">
        <f>IF(OR(I1366="",E1366=""),"",IF(OR(I1366="Gasto",I1366="Transferencia",I1366="Pago tarjeta"),-1,1)*C1366)</f>
        <v/>
      </c>
      <c r="U1366" s="20">
        <f>IF(OR(G1366="",AND(I1366&lt;&gt;"Transferencia",I1366&lt;&gt;"Pago tarjeta")),"",IF(IFERROR(INDEX(ctaMon,MATCH(G1366,ctaNom,0))&amp;"","DOP")=N1366,C1366,IF(N1366="USD",C1366*TasaUSD,C1366/TasaUSD)))</f>
        <v/>
      </c>
      <c r="V1366" s="20">
        <f>IF(I1366="","",IF(IFERROR(INDEX(ctaLiq,MATCH(E1366,ctaNom,0))="Sí",FALSE),IF(OR(I1366="Gasto",I1366="Transferencia",I1366="Pago tarjeta"),-1,1)*O1366,0)+IF(AND(U1366&lt;&gt;"",IFERROR(INDEX(ctaLiq,MATCH(G1366,ctaNom,0))="Sí",FALSE)),O1366,0))</f>
        <v/>
      </c>
      <c r="W1366" s="19">
        <f>IF(OR(F1366="",I1366=""),"",IF(COUNTIFS(F$6:F1366,F1366,I$6:I1366,"?*")=1,MAX(W$5:W1365)+1,""))</f>
        <v/>
      </c>
    </row>
    <row r="1367">
      <c r="B1367" s="15" t="n"/>
      <c r="C1367" s="16" t="n"/>
      <c r="D1367" s="17" t="n"/>
      <c r="E1367" s="17" t="n"/>
      <c r="F1367" s="17" t="n"/>
      <c r="G1367" s="17" t="n"/>
      <c r="H1367" s="18">
        <f>IF(AND(B1367="",C1367="",D1367="",E1367=""),"",IF(B1367="","⚠ Falta fecha",IF(C1367="","⚠ Falta monto",IF(D1367="","⚠ Falta categoría",IF(ISNA(MATCH(D1367,catNom,0)),"⚠ Categoría no existe",IF(E1367="","⚠ Falta cuenta",IF(ISNA(MATCH(E1367,ctaNom,0)),"⚠ Cuenta no existe",IF(AND(OR(I1367="Transferencia",I1367="Pago tarjeta"),G1367=""),"⚠ Indica la cuenta «Hacia»",IF(AND(G1367&lt;&gt;"",G1367=E1367),"⚠ «Hacia» igual a la cuenta",IF(AND(G1367&lt;&gt;"",ISNA(MATCH(G1367,ctaNom,0))),"⚠ «Hacia» no existe",IF(AND(I1367="Pago tarjeta",IFERROR(INDEX(ctaTipo,MATCH(G1367,ctaNom,0)),"")&lt;&gt;"Tarjeta de crédito"),"⚠ «Hacia» debe ser la tarjeta",IF(AND(I1367="Trading",IFERROR(INDEX(ctaTipo,MATCH(E1367,ctaNom,0)),"")&lt;&gt;"Cuenta de trading"),"⚠ Usa la cuenta de trading","✓"))))))))))))</f>
        <v/>
      </c>
      <c r="I1367" s="19">
        <f>IF(OR(B1367="",C1367="",D1367=""),"",IFERROR(INDEX(catTipo,MATCH(D1367,catNom,0))&amp;"",""))</f>
        <v/>
      </c>
      <c r="J1367" s="19">
        <f>IF(I1367="","",IFERROR(INDEX(catGrupo,MATCH(D1367,catNom,0))&amp;"",""))</f>
        <v/>
      </c>
      <c r="K1367" s="19">
        <f>IF(I1367="Gasto",IF(IFERROR(INDEX(catClas,MATCH(D1367,catNom,0))&amp;"","")="","Variable",IFERROR(INDEX(catClas,MATCH(D1367,catNom,0))&amp;"","")),"")</f>
        <v/>
      </c>
      <c r="L1367" s="19">
        <f>IF(I1367="","",IFERROR(INDEX(catAlim,MATCH(D1367,catNom,0))&amp;"",""))</f>
        <v/>
      </c>
      <c r="M1367" s="19">
        <f>IF(I1367="","",IFERROR(INDEX(catComida,MATCH(D1367,catNom,0))&amp;"",""))</f>
        <v/>
      </c>
      <c r="N1367" s="19">
        <f>IF(I1367="","",IFERROR(INDEX(ctaMon,MATCH(E1367,ctaNom,0))&amp;"","DOP"))</f>
        <v/>
      </c>
      <c r="O1367" s="20">
        <f>IF(I1367="","",C1367*IF(N1367="USD",TasaUSD,1))</f>
        <v/>
      </c>
      <c r="P1367" s="20">
        <f>IF(I1367="","",IF(I1367="Gasto",O1367,0))</f>
        <v/>
      </c>
      <c r="Q1367" s="20">
        <f>IF(I1367="","",IF(I1367="Ingreso",O1367,0))</f>
        <v/>
      </c>
      <c r="R1367" s="20">
        <f>IF(I1367="","",IF(I1367="Trading",O1367,0))</f>
        <v/>
      </c>
      <c r="S1367" s="19">
        <f>IF(I1367="","",IF(AND(I1367="Gasto",K1367="Variable",J1367&lt;&gt;"Trading",O1367&gt;0,O1367&lt;=Umbral),1,0))</f>
        <v/>
      </c>
      <c r="T1367" s="20">
        <f>IF(OR(I1367="",E1367=""),"",IF(OR(I1367="Gasto",I1367="Transferencia",I1367="Pago tarjeta"),-1,1)*C1367)</f>
        <v/>
      </c>
      <c r="U1367" s="20">
        <f>IF(OR(G1367="",AND(I1367&lt;&gt;"Transferencia",I1367&lt;&gt;"Pago tarjeta")),"",IF(IFERROR(INDEX(ctaMon,MATCH(G1367,ctaNom,0))&amp;"","DOP")=N1367,C1367,IF(N1367="USD",C1367*TasaUSD,C1367/TasaUSD)))</f>
        <v/>
      </c>
      <c r="V1367" s="20">
        <f>IF(I1367="","",IF(IFERROR(INDEX(ctaLiq,MATCH(E1367,ctaNom,0))="Sí",FALSE),IF(OR(I1367="Gasto",I1367="Transferencia",I1367="Pago tarjeta"),-1,1)*O1367,0)+IF(AND(U1367&lt;&gt;"",IFERROR(INDEX(ctaLiq,MATCH(G1367,ctaNom,0))="Sí",FALSE)),O1367,0))</f>
        <v/>
      </c>
      <c r="W1367" s="19">
        <f>IF(OR(F1367="",I1367=""),"",IF(COUNTIFS(F$6:F1367,F1367,I$6:I1367,"?*")=1,MAX(W$5:W1366)+1,""))</f>
        <v/>
      </c>
    </row>
    <row r="1368">
      <c r="B1368" s="15" t="n"/>
      <c r="C1368" s="16" t="n"/>
      <c r="D1368" s="17" t="n"/>
      <c r="E1368" s="17" t="n"/>
      <c r="F1368" s="17" t="n"/>
      <c r="G1368" s="17" t="n"/>
      <c r="H1368" s="18">
        <f>IF(AND(B1368="",C1368="",D1368="",E1368=""),"",IF(B1368="","⚠ Falta fecha",IF(C1368="","⚠ Falta monto",IF(D1368="","⚠ Falta categoría",IF(ISNA(MATCH(D1368,catNom,0)),"⚠ Categoría no existe",IF(E1368="","⚠ Falta cuenta",IF(ISNA(MATCH(E1368,ctaNom,0)),"⚠ Cuenta no existe",IF(AND(OR(I1368="Transferencia",I1368="Pago tarjeta"),G1368=""),"⚠ Indica la cuenta «Hacia»",IF(AND(G1368&lt;&gt;"",G1368=E1368),"⚠ «Hacia» igual a la cuenta",IF(AND(G1368&lt;&gt;"",ISNA(MATCH(G1368,ctaNom,0))),"⚠ «Hacia» no existe",IF(AND(I1368="Pago tarjeta",IFERROR(INDEX(ctaTipo,MATCH(G1368,ctaNom,0)),"")&lt;&gt;"Tarjeta de crédito"),"⚠ «Hacia» debe ser la tarjeta",IF(AND(I1368="Trading",IFERROR(INDEX(ctaTipo,MATCH(E1368,ctaNom,0)),"")&lt;&gt;"Cuenta de trading"),"⚠ Usa la cuenta de trading","✓"))))))))))))</f>
        <v/>
      </c>
      <c r="I1368" s="19">
        <f>IF(OR(B1368="",C1368="",D1368=""),"",IFERROR(INDEX(catTipo,MATCH(D1368,catNom,0))&amp;"",""))</f>
        <v/>
      </c>
      <c r="J1368" s="19">
        <f>IF(I1368="","",IFERROR(INDEX(catGrupo,MATCH(D1368,catNom,0))&amp;"",""))</f>
        <v/>
      </c>
      <c r="K1368" s="19">
        <f>IF(I1368="Gasto",IF(IFERROR(INDEX(catClas,MATCH(D1368,catNom,0))&amp;"","")="","Variable",IFERROR(INDEX(catClas,MATCH(D1368,catNom,0))&amp;"","")),"")</f>
        <v/>
      </c>
      <c r="L1368" s="19">
        <f>IF(I1368="","",IFERROR(INDEX(catAlim,MATCH(D1368,catNom,0))&amp;"",""))</f>
        <v/>
      </c>
      <c r="M1368" s="19">
        <f>IF(I1368="","",IFERROR(INDEX(catComida,MATCH(D1368,catNom,0))&amp;"",""))</f>
        <v/>
      </c>
      <c r="N1368" s="19">
        <f>IF(I1368="","",IFERROR(INDEX(ctaMon,MATCH(E1368,ctaNom,0))&amp;"","DOP"))</f>
        <v/>
      </c>
      <c r="O1368" s="20">
        <f>IF(I1368="","",C1368*IF(N1368="USD",TasaUSD,1))</f>
        <v/>
      </c>
      <c r="P1368" s="20">
        <f>IF(I1368="","",IF(I1368="Gasto",O1368,0))</f>
        <v/>
      </c>
      <c r="Q1368" s="20">
        <f>IF(I1368="","",IF(I1368="Ingreso",O1368,0))</f>
        <v/>
      </c>
      <c r="R1368" s="20">
        <f>IF(I1368="","",IF(I1368="Trading",O1368,0))</f>
        <v/>
      </c>
      <c r="S1368" s="19">
        <f>IF(I1368="","",IF(AND(I1368="Gasto",K1368="Variable",J1368&lt;&gt;"Trading",O1368&gt;0,O1368&lt;=Umbral),1,0))</f>
        <v/>
      </c>
      <c r="T1368" s="20">
        <f>IF(OR(I1368="",E1368=""),"",IF(OR(I1368="Gasto",I1368="Transferencia",I1368="Pago tarjeta"),-1,1)*C1368)</f>
        <v/>
      </c>
      <c r="U1368" s="20">
        <f>IF(OR(G1368="",AND(I1368&lt;&gt;"Transferencia",I1368&lt;&gt;"Pago tarjeta")),"",IF(IFERROR(INDEX(ctaMon,MATCH(G1368,ctaNom,0))&amp;"","DOP")=N1368,C1368,IF(N1368="USD",C1368*TasaUSD,C1368/TasaUSD)))</f>
        <v/>
      </c>
      <c r="V1368" s="20">
        <f>IF(I1368="","",IF(IFERROR(INDEX(ctaLiq,MATCH(E1368,ctaNom,0))="Sí",FALSE),IF(OR(I1368="Gasto",I1368="Transferencia",I1368="Pago tarjeta"),-1,1)*O1368,0)+IF(AND(U1368&lt;&gt;"",IFERROR(INDEX(ctaLiq,MATCH(G1368,ctaNom,0))="Sí",FALSE)),O1368,0))</f>
        <v/>
      </c>
      <c r="W1368" s="19">
        <f>IF(OR(F1368="",I1368=""),"",IF(COUNTIFS(F$6:F1368,F1368,I$6:I1368,"?*")=1,MAX(W$5:W1367)+1,""))</f>
        <v/>
      </c>
    </row>
    <row r="1369">
      <c r="B1369" s="15" t="n"/>
      <c r="C1369" s="16" t="n"/>
      <c r="D1369" s="17" t="n"/>
      <c r="E1369" s="17" t="n"/>
      <c r="F1369" s="17" t="n"/>
      <c r="G1369" s="17" t="n"/>
      <c r="H1369" s="18">
        <f>IF(AND(B1369="",C1369="",D1369="",E1369=""),"",IF(B1369="","⚠ Falta fecha",IF(C1369="","⚠ Falta monto",IF(D1369="","⚠ Falta categoría",IF(ISNA(MATCH(D1369,catNom,0)),"⚠ Categoría no existe",IF(E1369="","⚠ Falta cuenta",IF(ISNA(MATCH(E1369,ctaNom,0)),"⚠ Cuenta no existe",IF(AND(OR(I1369="Transferencia",I1369="Pago tarjeta"),G1369=""),"⚠ Indica la cuenta «Hacia»",IF(AND(G1369&lt;&gt;"",G1369=E1369),"⚠ «Hacia» igual a la cuenta",IF(AND(G1369&lt;&gt;"",ISNA(MATCH(G1369,ctaNom,0))),"⚠ «Hacia» no existe",IF(AND(I1369="Pago tarjeta",IFERROR(INDEX(ctaTipo,MATCH(G1369,ctaNom,0)),"")&lt;&gt;"Tarjeta de crédito"),"⚠ «Hacia» debe ser la tarjeta",IF(AND(I1369="Trading",IFERROR(INDEX(ctaTipo,MATCH(E1369,ctaNom,0)),"")&lt;&gt;"Cuenta de trading"),"⚠ Usa la cuenta de trading","✓"))))))))))))</f>
        <v/>
      </c>
      <c r="I1369" s="19">
        <f>IF(OR(B1369="",C1369="",D1369=""),"",IFERROR(INDEX(catTipo,MATCH(D1369,catNom,0))&amp;"",""))</f>
        <v/>
      </c>
      <c r="J1369" s="19">
        <f>IF(I1369="","",IFERROR(INDEX(catGrupo,MATCH(D1369,catNom,0))&amp;"",""))</f>
        <v/>
      </c>
      <c r="K1369" s="19">
        <f>IF(I1369="Gasto",IF(IFERROR(INDEX(catClas,MATCH(D1369,catNom,0))&amp;"","")="","Variable",IFERROR(INDEX(catClas,MATCH(D1369,catNom,0))&amp;"","")),"")</f>
        <v/>
      </c>
      <c r="L1369" s="19">
        <f>IF(I1369="","",IFERROR(INDEX(catAlim,MATCH(D1369,catNom,0))&amp;"",""))</f>
        <v/>
      </c>
      <c r="M1369" s="19">
        <f>IF(I1369="","",IFERROR(INDEX(catComida,MATCH(D1369,catNom,0))&amp;"",""))</f>
        <v/>
      </c>
      <c r="N1369" s="19">
        <f>IF(I1369="","",IFERROR(INDEX(ctaMon,MATCH(E1369,ctaNom,0))&amp;"","DOP"))</f>
        <v/>
      </c>
      <c r="O1369" s="20">
        <f>IF(I1369="","",C1369*IF(N1369="USD",TasaUSD,1))</f>
        <v/>
      </c>
      <c r="P1369" s="20">
        <f>IF(I1369="","",IF(I1369="Gasto",O1369,0))</f>
        <v/>
      </c>
      <c r="Q1369" s="20">
        <f>IF(I1369="","",IF(I1369="Ingreso",O1369,0))</f>
        <v/>
      </c>
      <c r="R1369" s="20">
        <f>IF(I1369="","",IF(I1369="Trading",O1369,0))</f>
        <v/>
      </c>
      <c r="S1369" s="19">
        <f>IF(I1369="","",IF(AND(I1369="Gasto",K1369="Variable",J1369&lt;&gt;"Trading",O1369&gt;0,O1369&lt;=Umbral),1,0))</f>
        <v/>
      </c>
      <c r="T1369" s="20">
        <f>IF(OR(I1369="",E1369=""),"",IF(OR(I1369="Gasto",I1369="Transferencia",I1369="Pago tarjeta"),-1,1)*C1369)</f>
        <v/>
      </c>
      <c r="U1369" s="20">
        <f>IF(OR(G1369="",AND(I1369&lt;&gt;"Transferencia",I1369&lt;&gt;"Pago tarjeta")),"",IF(IFERROR(INDEX(ctaMon,MATCH(G1369,ctaNom,0))&amp;"","DOP")=N1369,C1369,IF(N1369="USD",C1369*TasaUSD,C1369/TasaUSD)))</f>
        <v/>
      </c>
      <c r="V1369" s="20">
        <f>IF(I1369="","",IF(IFERROR(INDEX(ctaLiq,MATCH(E1369,ctaNom,0))="Sí",FALSE),IF(OR(I1369="Gasto",I1369="Transferencia",I1369="Pago tarjeta"),-1,1)*O1369,0)+IF(AND(U1369&lt;&gt;"",IFERROR(INDEX(ctaLiq,MATCH(G1369,ctaNom,0))="Sí",FALSE)),O1369,0))</f>
        <v/>
      </c>
      <c r="W1369" s="19">
        <f>IF(OR(F1369="",I1369=""),"",IF(COUNTIFS(F$6:F1369,F1369,I$6:I1369,"?*")=1,MAX(W$5:W1368)+1,""))</f>
        <v/>
      </c>
    </row>
    <row r="1370">
      <c r="B1370" s="15" t="n"/>
      <c r="C1370" s="16" t="n"/>
      <c r="D1370" s="17" t="n"/>
      <c r="E1370" s="17" t="n"/>
      <c r="F1370" s="17" t="n"/>
      <c r="G1370" s="17" t="n"/>
      <c r="H1370" s="18">
        <f>IF(AND(B1370="",C1370="",D1370="",E1370=""),"",IF(B1370="","⚠ Falta fecha",IF(C1370="","⚠ Falta monto",IF(D1370="","⚠ Falta categoría",IF(ISNA(MATCH(D1370,catNom,0)),"⚠ Categoría no existe",IF(E1370="","⚠ Falta cuenta",IF(ISNA(MATCH(E1370,ctaNom,0)),"⚠ Cuenta no existe",IF(AND(OR(I1370="Transferencia",I1370="Pago tarjeta"),G1370=""),"⚠ Indica la cuenta «Hacia»",IF(AND(G1370&lt;&gt;"",G1370=E1370),"⚠ «Hacia» igual a la cuenta",IF(AND(G1370&lt;&gt;"",ISNA(MATCH(G1370,ctaNom,0))),"⚠ «Hacia» no existe",IF(AND(I1370="Pago tarjeta",IFERROR(INDEX(ctaTipo,MATCH(G1370,ctaNom,0)),"")&lt;&gt;"Tarjeta de crédito"),"⚠ «Hacia» debe ser la tarjeta",IF(AND(I1370="Trading",IFERROR(INDEX(ctaTipo,MATCH(E1370,ctaNom,0)),"")&lt;&gt;"Cuenta de trading"),"⚠ Usa la cuenta de trading","✓"))))))))))))</f>
        <v/>
      </c>
      <c r="I1370" s="19">
        <f>IF(OR(B1370="",C1370="",D1370=""),"",IFERROR(INDEX(catTipo,MATCH(D1370,catNom,0))&amp;"",""))</f>
        <v/>
      </c>
      <c r="J1370" s="19">
        <f>IF(I1370="","",IFERROR(INDEX(catGrupo,MATCH(D1370,catNom,0))&amp;"",""))</f>
        <v/>
      </c>
      <c r="K1370" s="19">
        <f>IF(I1370="Gasto",IF(IFERROR(INDEX(catClas,MATCH(D1370,catNom,0))&amp;"","")="","Variable",IFERROR(INDEX(catClas,MATCH(D1370,catNom,0))&amp;"","")),"")</f>
        <v/>
      </c>
      <c r="L1370" s="19">
        <f>IF(I1370="","",IFERROR(INDEX(catAlim,MATCH(D1370,catNom,0))&amp;"",""))</f>
        <v/>
      </c>
      <c r="M1370" s="19">
        <f>IF(I1370="","",IFERROR(INDEX(catComida,MATCH(D1370,catNom,0))&amp;"",""))</f>
        <v/>
      </c>
      <c r="N1370" s="19">
        <f>IF(I1370="","",IFERROR(INDEX(ctaMon,MATCH(E1370,ctaNom,0))&amp;"","DOP"))</f>
        <v/>
      </c>
      <c r="O1370" s="20">
        <f>IF(I1370="","",C1370*IF(N1370="USD",TasaUSD,1))</f>
        <v/>
      </c>
      <c r="P1370" s="20">
        <f>IF(I1370="","",IF(I1370="Gasto",O1370,0))</f>
        <v/>
      </c>
      <c r="Q1370" s="20">
        <f>IF(I1370="","",IF(I1370="Ingreso",O1370,0))</f>
        <v/>
      </c>
      <c r="R1370" s="20">
        <f>IF(I1370="","",IF(I1370="Trading",O1370,0))</f>
        <v/>
      </c>
      <c r="S1370" s="19">
        <f>IF(I1370="","",IF(AND(I1370="Gasto",K1370="Variable",J1370&lt;&gt;"Trading",O1370&gt;0,O1370&lt;=Umbral),1,0))</f>
        <v/>
      </c>
      <c r="T1370" s="20">
        <f>IF(OR(I1370="",E1370=""),"",IF(OR(I1370="Gasto",I1370="Transferencia",I1370="Pago tarjeta"),-1,1)*C1370)</f>
        <v/>
      </c>
      <c r="U1370" s="20">
        <f>IF(OR(G1370="",AND(I1370&lt;&gt;"Transferencia",I1370&lt;&gt;"Pago tarjeta")),"",IF(IFERROR(INDEX(ctaMon,MATCH(G1370,ctaNom,0))&amp;"","DOP")=N1370,C1370,IF(N1370="USD",C1370*TasaUSD,C1370/TasaUSD)))</f>
        <v/>
      </c>
      <c r="V1370" s="20">
        <f>IF(I1370="","",IF(IFERROR(INDEX(ctaLiq,MATCH(E1370,ctaNom,0))="Sí",FALSE),IF(OR(I1370="Gasto",I1370="Transferencia",I1370="Pago tarjeta"),-1,1)*O1370,0)+IF(AND(U1370&lt;&gt;"",IFERROR(INDEX(ctaLiq,MATCH(G1370,ctaNom,0))="Sí",FALSE)),O1370,0))</f>
        <v/>
      </c>
      <c r="W1370" s="19">
        <f>IF(OR(F1370="",I1370=""),"",IF(COUNTIFS(F$6:F1370,F1370,I$6:I1370,"?*")=1,MAX(W$5:W1369)+1,""))</f>
        <v/>
      </c>
    </row>
    <row r="1371">
      <c r="B1371" s="15" t="n"/>
      <c r="C1371" s="16" t="n"/>
      <c r="D1371" s="17" t="n"/>
      <c r="E1371" s="17" t="n"/>
      <c r="F1371" s="17" t="n"/>
      <c r="G1371" s="17" t="n"/>
      <c r="H1371" s="18">
        <f>IF(AND(B1371="",C1371="",D1371="",E1371=""),"",IF(B1371="","⚠ Falta fecha",IF(C1371="","⚠ Falta monto",IF(D1371="","⚠ Falta categoría",IF(ISNA(MATCH(D1371,catNom,0)),"⚠ Categoría no existe",IF(E1371="","⚠ Falta cuenta",IF(ISNA(MATCH(E1371,ctaNom,0)),"⚠ Cuenta no existe",IF(AND(OR(I1371="Transferencia",I1371="Pago tarjeta"),G1371=""),"⚠ Indica la cuenta «Hacia»",IF(AND(G1371&lt;&gt;"",G1371=E1371),"⚠ «Hacia» igual a la cuenta",IF(AND(G1371&lt;&gt;"",ISNA(MATCH(G1371,ctaNom,0))),"⚠ «Hacia» no existe",IF(AND(I1371="Pago tarjeta",IFERROR(INDEX(ctaTipo,MATCH(G1371,ctaNom,0)),"")&lt;&gt;"Tarjeta de crédito"),"⚠ «Hacia» debe ser la tarjeta",IF(AND(I1371="Trading",IFERROR(INDEX(ctaTipo,MATCH(E1371,ctaNom,0)),"")&lt;&gt;"Cuenta de trading"),"⚠ Usa la cuenta de trading","✓"))))))))))))</f>
        <v/>
      </c>
      <c r="I1371" s="19">
        <f>IF(OR(B1371="",C1371="",D1371=""),"",IFERROR(INDEX(catTipo,MATCH(D1371,catNom,0))&amp;"",""))</f>
        <v/>
      </c>
      <c r="J1371" s="19">
        <f>IF(I1371="","",IFERROR(INDEX(catGrupo,MATCH(D1371,catNom,0))&amp;"",""))</f>
        <v/>
      </c>
      <c r="K1371" s="19">
        <f>IF(I1371="Gasto",IF(IFERROR(INDEX(catClas,MATCH(D1371,catNom,0))&amp;"","")="","Variable",IFERROR(INDEX(catClas,MATCH(D1371,catNom,0))&amp;"","")),"")</f>
        <v/>
      </c>
      <c r="L1371" s="19">
        <f>IF(I1371="","",IFERROR(INDEX(catAlim,MATCH(D1371,catNom,0))&amp;"",""))</f>
        <v/>
      </c>
      <c r="M1371" s="19">
        <f>IF(I1371="","",IFERROR(INDEX(catComida,MATCH(D1371,catNom,0))&amp;"",""))</f>
        <v/>
      </c>
      <c r="N1371" s="19">
        <f>IF(I1371="","",IFERROR(INDEX(ctaMon,MATCH(E1371,ctaNom,0))&amp;"","DOP"))</f>
        <v/>
      </c>
      <c r="O1371" s="20">
        <f>IF(I1371="","",C1371*IF(N1371="USD",TasaUSD,1))</f>
        <v/>
      </c>
      <c r="P1371" s="20">
        <f>IF(I1371="","",IF(I1371="Gasto",O1371,0))</f>
        <v/>
      </c>
      <c r="Q1371" s="20">
        <f>IF(I1371="","",IF(I1371="Ingreso",O1371,0))</f>
        <v/>
      </c>
      <c r="R1371" s="20">
        <f>IF(I1371="","",IF(I1371="Trading",O1371,0))</f>
        <v/>
      </c>
      <c r="S1371" s="19">
        <f>IF(I1371="","",IF(AND(I1371="Gasto",K1371="Variable",J1371&lt;&gt;"Trading",O1371&gt;0,O1371&lt;=Umbral),1,0))</f>
        <v/>
      </c>
      <c r="T1371" s="20">
        <f>IF(OR(I1371="",E1371=""),"",IF(OR(I1371="Gasto",I1371="Transferencia",I1371="Pago tarjeta"),-1,1)*C1371)</f>
        <v/>
      </c>
      <c r="U1371" s="20">
        <f>IF(OR(G1371="",AND(I1371&lt;&gt;"Transferencia",I1371&lt;&gt;"Pago tarjeta")),"",IF(IFERROR(INDEX(ctaMon,MATCH(G1371,ctaNom,0))&amp;"","DOP")=N1371,C1371,IF(N1371="USD",C1371*TasaUSD,C1371/TasaUSD)))</f>
        <v/>
      </c>
      <c r="V1371" s="20">
        <f>IF(I1371="","",IF(IFERROR(INDEX(ctaLiq,MATCH(E1371,ctaNom,0))="Sí",FALSE),IF(OR(I1371="Gasto",I1371="Transferencia",I1371="Pago tarjeta"),-1,1)*O1371,0)+IF(AND(U1371&lt;&gt;"",IFERROR(INDEX(ctaLiq,MATCH(G1371,ctaNom,0))="Sí",FALSE)),O1371,0))</f>
        <v/>
      </c>
      <c r="W1371" s="19">
        <f>IF(OR(F1371="",I1371=""),"",IF(COUNTIFS(F$6:F1371,F1371,I$6:I1371,"?*")=1,MAX(W$5:W1370)+1,""))</f>
        <v/>
      </c>
    </row>
    <row r="1372">
      <c r="B1372" s="15" t="n"/>
      <c r="C1372" s="16" t="n"/>
      <c r="D1372" s="17" t="n"/>
      <c r="E1372" s="17" t="n"/>
      <c r="F1372" s="17" t="n"/>
      <c r="G1372" s="17" t="n"/>
      <c r="H1372" s="18">
        <f>IF(AND(B1372="",C1372="",D1372="",E1372=""),"",IF(B1372="","⚠ Falta fecha",IF(C1372="","⚠ Falta monto",IF(D1372="","⚠ Falta categoría",IF(ISNA(MATCH(D1372,catNom,0)),"⚠ Categoría no existe",IF(E1372="","⚠ Falta cuenta",IF(ISNA(MATCH(E1372,ctaNom,0)),"⚠ Cuenta no existe",IF(AND(OR(I1372="Transferencia",I1372="Pago tarjeta"),G1372=""),"⚠ Indica la cuenta «Hacia»",IF(AND(G1372&lt;&gt;"",G1372=E1372),"⚠ «Hacia» igual a la cuenta",IF(AND(G1372&lt;&gt;"",ISNA(MATCH(G1372,ctaNom,0))),"⚠ «Hacia» no existe",IF(AND(I1372="Pago tarjeta",IFERROR(INDEX(ctaTipo,MATCH(G1372,ctaNom,0)),"")&lt;&gt;"Tarjeta de crédito"),"⚠ «Hacia» debe ser la tarjeta",IF(AND(I1372="Trading",IFERROR(INDEX(ctaTipo,MATCH(E1372,ctaNom,0)),"")&lt;&gt;"Cuenta de trading"),"⚠ Usa la cuenta de trading","✓"))))))))))))</f>
        <v/>
      </c>
      <c r="I1372" s="19">
        <f>IF(OR(B1372="",C1372="",D1372=""),"",IFERROR(INDEX(catTipo,MATCH(D1372,catNom,0))&amp;"",""))</f>
        <v/>
      </c>
      <c r="J1372" s="19">
        <f>IF(I1372="","",IFERROR(INDEX(catGrupo,MATCH(D1372,catNom,0))&amp;"",""))</f>
        <v/>
      </c>
      <c r="K1372" s="19">
        <f>IF(I1372="Gasto",IF(IFERROR(INDEX(catClas,MATCH(D1372,catNom,0))&amp;"","")="","Variable",IFERROR(INDEX(catClas,MATCH(D1372,catNom,0))&amp;"","")),"")</f>
        <v/>
      </c>
      <c r="L1372" s="19">
        <f>IF(I1372="","",IFERROR(INDEX(catAlim,MATCH(D1372,catNom,0))&amp;"",""))</f>
        <v/>
      </c>
      <c r="M1372" s="19">
        <f>IF(I1372="","",IFERROR(INDEX(catComida,MATCH(D1372,catNom,0))&amp;"",""))</f>
        <v/>
      </c>
      <c r="N1372" s="19">
        <f>IF(I1372="","",IFERROR(INDEX(ctaMon,MATCH(E1372,ctaNom,0))&amp;"","DOP"))</f>
        <v/>
      </c>
      <c r="O1372" s="20">
        <f>IF(I1372="","",C1372*IF(N1372="USD",TasaUSD,1))</f>
        <v/>
      </c>
      <c r="P1372" s="20">
        <f>IF(I1372="","",IF(I1372="Gasto",O1372,0))</f>
        <v/>
      </c>
      <c r="Q1372" s="20">
        <f>IF(I1372="","",IF(I1372="Ingreso",O1372,0))</f>
        <v/>
      </c>
      <c r="R1372" s="20">
        <f>IF(I1372="","",IF(I1372="Trading",O1372,0))</f>
        <v/>
      </c>
      <c r="S1372" s="19">
        <f>IF(I1372="","",IF(AND(I1372="Gasto",K1372="Variable",J1372&lt;&gt;"Trading",O1372&gt;0,O1372&lt;=Umbral),1,0))</f>
        <v/>
      </c>
      <c r="T1372" s="20">
        <f>IF(OR(I1372="",E1372=""),"",IF(OR(I1372="Gasto",I1372="Transferencia",I1372="Pago tarjeta"),-1,1)*C1372)</f>
        <v/>
      </c>
      <c r="U1372" s="20">
        <f>IF(OR(G1372="",AND(I1372&lt;&gt;"Transferencia",I1372&lt;&gt;"Pago tarjeta")),"",IF(IFERROR(INDEX(ctaMon,MATCH(G1372,ctaNom,0))&amp;"","DOP")=N1372,C1372,IF(N1372="USD",C1372*TasaUSD,C1372/TasaUSD)))</f>
        <v/>
      </c>
      <c r="V1372" s="20">
        <f>IF(I1372="","",IF(IFERROR(INDEX(ctaLiq,MATCH(E1372,ctaNom,0))="Sí",FALSE),IF(OR(I1372="Gasto",I1372="Transferencia",I1372="Pago tarjeta"),-1,1)*O1372,0)+IF(AND(U1372&lt;&gt;"",IFERROR(INDEX(ctaLiq,MATCH(G1372,ctaNom,0))="Sí",FALSE)),O1372,0))</f>
        <v/>
      </c>
      <c r="W1372" s="19">
        <f>IF(OR(F1372="",I1372=""),"",IF(COUNTIFS(F$6:F1372,F1372,I$6:I1372,"?*")=1,MAX(W$5:W1371)+1,""))</f>
        <v/>
      </c>
    </row>
    <row r="1373">
      <c r="B1373" s="15" t="n"/>
      <c r="C1373" s="16" t="n"/>
      <c r="D1373" s="17" t="n"/>
      <c r="E1373" s="17" t="n"/>
      <c r="F1373" s="17" t="n"/>
      <c r="G1373" s="17" t="n"/>
      <c r="H1373" s="18">
        <f>IF(AND(B1373="",C1373="",D1373="",E1373=""),"",IF(B1373="","⚠ Falta fecha",IF(C1373="","⚠ Falta monto",IF(D1373="","⚠ Falta categoría",IF(ISNA(MATCH(D1373,catNom,0)),"⚠ Categoría no existe",IF(E1373="","⚠ Falta cuenta",IF(ISNA(MATCH(E1373,ctaNom,0)),"⚠ Cuenta no existe",IF(AND(OR(I1373="Transferencia",I1373="Pago tarjeta"),G1373=""),"⚠ Indica la cuenta «Hacia»",IF(AND(G1373&lt;&gt;"",G1373=E1373),"⚠ «Hacia» igual a la cuenta",IF(AND(G1373&lt;&gt;"",ISNA(MATCH(G1373,ctaNom,0))),"⚠ «Hacia» no existe",IF(AND(I1373="Pago tarjeta",IFERROR(INDEX(ctaTipo,MATCH(G1373,ctaNom,0)),"")&lt;&gt;"Tarjeta de crédito"),"⚠ «Hacia» debe ser la tarjeta",IF(AND(I1373="Trading",IFERROR(INDEX(ctaTipo,MATCH(E1373,ctaNom,0)),"")&lt;&gt;"Cuenta de trading"),"⚠ Usa la cuenta de trading","✓"))))))))))))</f>
        <v/>
      </c>
      <c r="I1373" s="19">
        <f>IF(OR(B1373="",C1373="",D1373=""),"",IFERROR(INDEX(catTipo,MATCH(D1373,catNom,0))&amp;"",""))</f>
        <v/>
      </c>
      <c r="J1373" s="19">
        <f>IF(I1373="","",IFERROR(INDEX(catGrupo,MATCH(D1373,catNom,0))&amp;"",""))</f>
        <v/>
      </c>
      <c r="K1373" s="19">
        <f>IF(I1373="Gasto",IF(IFERROR(INDEX(catClas,MATCH(D1373,catNom,0))&amp;"","")="","Variable",IFERROR(INDEX(catClas,MATCH(D1373,catNom,0))&amp;"","")),"")</f>
        <v/>
      </c>
      <c r="L1373" s="19">
        <f>IF(I1373="","",IFERROR(INDEX(catAlim,MATCH(D1373,catNom,0))&amp;"",""))</f>
        <v/>
      </c>
      <c r="M1373" s="19">
        <f>IF(I1373="","",IFERROR(INDEX(catComida,MATCH(D1373,catNom,0))&amp;"",""))</f>
        <v/>
      </c>
      <c r="N1373" s="19">
        <f>IF(I1373="","",IFERROR(INDEX(ctaMon,MATCH(E1373,ctaNom,0))&amp;"","DOP"))</f>
        <v/>
      </c>
      <c r="O1373" s="20">
        <f>IF(I1373="","",C1373*IF(N1373="USD",TasaUSD,1))</f>
        <v/>
      </c>
      <c r="P1373" s="20">
        <f>IF(I1373="","",IF(I1373="Gasto",O1373,0))</f>
        <v/>
      </c>
      <c r="Q1373" s="20">
        <f>IF(I1373="","",IF(I1373="Ingreso",O1373,0))</f>
        <v/>
      </c>
      <c r="R1373" s="20">
        <f>IF(I1373="","",IF(I1373="Trading",O1373,0))</f>
        <v/>
      </c>
      <c r="S1373" s="19">
        <f>IF(I1373="","",IF(AND(I1373="Gasto",K1373="Variable",J1373&lt;&gt;"Trading",O1373&gt;0,O1373&lt;=Umbral),1,0))</f>
        <v/>
      </c>
      <c r="T1373" s="20">
        <f>IF(OR(I1373="",E1373=""),"",IF(OR(I1373="Gasto",I1373="Transferencia",I1373="Pago tarjeta"),-1,1)*C1373)</f>
        <v/>
      </c>
      <c r="U1373" s="20">
        <f>IF(OR(G1373="",AND(I1373&lt;&gt;"Transferencia",I1373&lt;&gt;"Pago tarjeta")),"",IF(IFERROR(INDEX(ctaMon,MATCH(G1373,ctaNom,0))&amp;"","DOP")=N1373,C1373,IF(N1373="USD",C1373*TasaUSD,C1373/TasaUSD)))</f>
        <v/>
      </c>
      <c r="V1373" s="20">
        <f>IF(I1373="","",IF(IFERROR(INDEX(ctaLiq,MATCH(E1373,ctaNom,0))="Sí",FALSE),IF(OR(I1373="Gasto",I1373="Transferencia",I1373="Pago tarjeta"),-1,1)*O1373,0)+IF(AND(U1373&lt;&gt;"",IFERROR(INDEX(ctaLiq,MATCH(G1373,ctaNom,0))="Sí",FALSE)),O1373,0))</f>
        <v/>
      </c>
      <c r="W1373" s="19">
        <f>IF(OR(F1373="",I1373=""),"",IF(COUNTIFS(F$6:F1373,F1373,I$6:I1373,"?*")=1,MAX(W$5:W1372)+1,""))</f>
        <v/>
      </c>
    </row>
    <row r="1374">
      <c r="B1374" s="15" t="n"/>
      <c r="C1374" s="16" t="n"/>
      <c r="D1374" s="17" t="n"/>
      <c r="E1374" s="17" t="n"/>
      <c r="F1374" s="17" t="n"/>
      <c r="G1374" s="17" t="n"/>
      <c r="H1374" s="18">
        <f>IF(AND(B1374="",C1374="",D1374="",E1374=""),"",IF(B1374="","⚠ Falta fecha",IF(C1374="","⚠ Falta monto",IF(D1374="","⚠ Falta categoría",IF(ISNA(MATCH(D1374,catNom,0)),"⚠ Categoría no existe",IF(E1374="","⚠ Falta cuenta",IF(ISNA(MATCH(E1374,ctaNom,0)),"⚠ Cuenta no existe",IF(AND(OR(I1374="Transferencia",I1374="Pago tarjeta"),G1374=""),"⚠ Indica la cuenta «Hacia»",IF(AND(G1374&lt;&gt;"",G1374=E1374),"⚠ «Hacia» igual a la cuenta",IF(AND(G1374&lt;&gt;"",ISNA(MATCH(G1374,ctaNom,0))),"⚠ «Hacia» no existe",IF(AND(I1374="Pago tarjeta",IFERROR(INDEX(ctaTipo,MATCH(G1374,ctaNom,0)),"")&lt;&gt;"Tarjeta de crédito"),"⚠ «Hacia» debe ser la tarjeta",IF(AND(I1374="Trading",IFERROR(INDEX(ctaTipo,MATCH(E1374,ctaNom,0)),"")&lt;&gt;"Cuenta de trading"),"⚠ Usa la cuenta de trading","✓"))))))))))))</f>
        <v/>
      </c>
      <c r="I1374" s="19">
        <f>IF(OR(B1374="",C1374="",D1374=""),"",IFERROR(INDEX(catTipo,MATCH(D1374,catNom,0))&amp;"",""))</f>
        <v/>
      </c>
      <c r="J1374" s="19">
        <f>IF(I1374="","",IFERROR(INDEX(catGrupo,MATCH(D1374,catNom,0))&amp;"",""))</f>
        <v/>
      </c>
      <c r="K1374" s="19">
        <f>IF(I1374="Gasto",IF(IFERROR(INDEX(catClas,MATCH(D1374,catNom,0))&amp;"","")="","Variable",IFERROR(INDEX(catClas,MATCH(D1374,catNom,0))&amp;"","")),"")</f>
        <v/>
      </c>
      <c r="L1374" s="19">
        <f>IF(I1374="","",IFERROR(INDEX(catAlim,MATCH(D1374,catNom,0))&amp;"",""))</f>
        <v/>
      </c>
      <c r="M1374" s="19">
        <f>IF(I1374="","",IFERROR(INDEX(catComida,MATCH(D1374,catNom,0))&amp;"",""))</f>
        <v/>
      </c>
      <c r="N1374" s="19">
        <f>IF(I1374="","",IFERROR(INDEX(ctaMon,MATCH(E1374,ctaNom,0))&amp;"","DOP"))</f>
        <v/>
      </c>
      <c r="O1374" s="20">
        <f>IF(I1374="","",C1374*IF(N1374="USD",TasaUSD,1))</f>
        <v/>
      </c>
      <c r="P1374" s="20">
        <f>IF(I1374="","",IF(I1374="Gasto",O1374,0))</f>
        <v/>
      </c>
      <c r="Q1374" s="20">
        <f>IF(I1374="","",IF(I1374="Ingreso",O1374,0))</f>
        <v/>
      </c>
      <c r="R1374" s="20">
        <f>IF(I1374="","",IF(I1374="Trading",O1374,0))</f>
        <v/>
      </c>
      <c r="S1374" s="19">
        <f>IF(I1374="","",IF(AND(I1374="Gasto",K1374="Variable",J1374&lt;&gt;"Trading",O1374&gt;0,O1374&lt;=Umbral),1,0))</f>
        <v/>
      </c>
      <c r="T1374" s="20">
        <f>IF(OR(I1374="",E1374=""),"",IF(OR(I1374="Gasto",I1374="Transferencia",I1374="Pago tarjeta"),-1,1)*C1374)</f>
        <v/>
      </c>
      <c r="U1374" s="20">
        <f>IF(OR(G1374="",AND(I1374&lt;&gt;"Transferencia",I1374&lt;&gt;"Pago tarjeta")),"",IF(IFERROR(INDEX(ctaMon,MATCH(G1374,ctaNom,0))&amp;"","DOP")=N1374,C1374,IF(N1374="USD",C1374*TasaUSD,C1374/TasaUSD)))</f>
        <v/>
      </c>
      <c r="V1374" s="20">
        <f>IF(I1374="","",IF(IFERROR(INDEX(ctaLiq,MATCH(E1374,ctaNom,0))="Sí",FALSE),IF(OR(I1374="Gasto",I1374="Transferencia",I1374="Pago tarjeta"),-1,1)*O1374,0)+IF(AND(U1374&lt;&gt;"",IFERROR(INDEX(ctaLiq,MATCH(G1374,ctaNom,0))="Sí",FALSE)),O1374,0))</f>
        <v/>
      </c>
      <c r="W1374" s="19">
        <f>IF(OR(F1374="",I1374=""),"",IF(COUNTIFS(F$6:F1374,F1374,I$6:I1374,"?*")=1,MAX(W$5:W1373)+1,""))</f>
        <v/>
      </c>
    </row>
    <row r="1375">
      <c r="B1375" s="15" t="n"/>
      <c r="C1375" s="16" t="n"/>
      <c r="D1375" s="17" t="n"/>
      <c r="E1375" s="17" t="n"/>
      <c r="F1375" s="17" t="n"/>
      <c r="G1375" s="17" t="n"/>
      <c r="H1375" s="18">
        <f>IF(AND(B1375="",C1375="",D1375="",E1375=""),"",IF(B1375="","⚠ Falta fecha",IF(C1375="","⚠ Falta monto",IF(D1375="","⚠ Falta categoría",IF(ISNA(MATCH(D1375,catNom,0)),"⚠ Categoría no existe",IF(E1375="","⚠ Falta cuenta",IF(ISNA(MATCH(E1375,ctaNom,0)),"⚠ Cuenta no existe",IF(AND(OR(I1375="Transferencia",I1375="Pago tarjeta"),G1375=""),"⚠ Indica la cuenta «Hacia»",IF(AND(G1375&lt;&gt;"",G1375=E1375),"⚠ «Hacia» igual a la cuenta",IF(AND(G1375&lt;&gt;"",ISNA(MATCH(G1375,ctaNom,0))),"⚠ «Hacia» no existe",IF(AND(I1375="Pago tarjeta",IFERROR(INDEX(ctaTipo,MATCH(G1375,ctaNom,0)),"")&lt;&gt;"Tarjeta de crédito"),"⚠ «Hacia» debe ser la tarjeta",IF(AND(I1375="Trading",IFERROR(INDEX(ctaTipo,MATCH(E1375,ctaNom,0)),"")&lt;&gt;"Cuenta de trading"),"⚠ Usa la cuenta de trading","✓"))))))))))))</f>
        <v/>
      </c>
      <c r="I1375" s="19">
        <f>IF(OR(B1375="",C1375="",D1375=""),"",IFERROR(INDEX(catTipo,MATCH(D1375,catNom,0))&amp;"",""))</f>
        <v/>
      </c>
      <c r="J1375" s="19">
        <f>IF(I1375="","",IFERROR(INDEX(catGrupo,MATCH(D1375,catNom,0))&amp;"",""))</f>
        <v/>
      </c>
      <c r="K1375" s="19">
        <f>IF(I1375="Gasto",IF(IFERROR(INDEX(catClas,MATCH(D1375,catNom,0))&amp;"","")="","Variable",IFERROR(INDEX(catClas,MATCH(D1375,catNom,0))&amp;"","")),"")</f>
        <v/>
      </c>
      <c r="L1375" s="19">
        <f>IF(I1375="","",IFERROR(INDEX(catAlim,MATCH(D1375,catNom,0))&amp;"",""))</f>
        <v/>
      </c>
      <c r="M1375" s="19">
        <f>IF(I1375="","",IFERROR(INDEX(catComida,MATCH(D1375,catNom,0))&amp;"",""))</f>
        <v/>
      </c>
      <c r="N1375" s="19">
        <f>IF(I1375="","",IFERROR(INDEX(ctaMon,MATCH(E1375,ctaNom,0))&amp;"","DOP"))</f>
        <v/>
      </c>
      <c r="O1375" s="20">
        <f>IF(I1375="","",C1375*IF(N1375="USD",TasaUSD,1))</f>
        <v/>
      </c>
      <c r="P1375" s="20">
        <f>IF(I1375="","",IF(I1375="Gasto",O1375,0))</f>
        <v/>
      </c>
      <c r="Q1375" s="20">
        <f>IF(I1375="","",IF(I1375="Ingreso",O1375,0))</f>
        <v/>
      </c>
      <c r="R1375" s="20">
        <f>IF(I1375="","",IF(I1375="Trading",O1375,0))</f>
        <v/>
      </c>
      <c r="S1375" s="19">
        <f>IF(I1375="","",IF(AND(I1375="Gasto",K1375="Variable",J1375&lt;&gt;"Trading",O1375&gt;0,O1375&lt;=Umbral),1,0))</f>
        <v/>
      </c>
      <c r="T1375" s="20">
        <f>IF(OR(I1375="",E1375=""),"",IF(OR(I1375="Gasto",I1375="Transferencia",I1375="Pago tarjeta"),-1,1)*C1375)</f>
        <v/>
      </c>
      <c r="U1375" s="20">
        <f>IF(OR(G1375="",AND(I1375&lt;&gt;"Transferencia",I1375&lt;&gt;"Pago tarjeta")),"",IF(IFERROR(INDEX(ctaMon,MATCH(G1375,ctaNom,0))&amp;"","DOP")=N1375,C1375,IF(N1375="USD",C1375*TasaUSD,C1375/TasaUSD)))</f>
        <v/>
      </c>
      <c r="V1375" s="20">
        <f>IF(I1375="","",IF(IFERROR(INDEX(ctaLiq,MATCH(E1375,ctaNom,0))="Sí",FALSE),IF(OR(I1375="Gasto",I1375="Transferencia",I1375="Pago tarjeta"),-1,1)*O1375,0)+IF(AND(U1375&lt;&gt;"",IFERROR(INDEX(ctaLiq,MATCH(G1375,ctaNom,0))="Sí",FALSE)),O1375,0))</f>
        <v/>
      </c>
      <c r="W1375" s="19">
        <f>IF(OR(F1375="",I1375=""),"",IF(COUNTIFS(F$6:F1375,F1375,I$6:I1375,"?*")=1,MAX(W$5:W1374)+1,""))</f>
        <v/>
      </c>
    </row>
    <row r="1376">
      <c r="B1376" s="15" t="n"/>
      <c r="C1376" s="16" t="n"/>
      <c r="D1376" s="17" t="n"/>
      <c r="E1376" s="17" t="n"/>
      <c r="F1376" s="17" t="n"/>
      <c r="G1376" s="17" t="n"/>
      <c r="H1376" s="18">
        <f>IF(AND(B1376="",C1376="",D1376="",E1376=""),"",IF(B1376="","⚠ Falta fecha",IF(C1376="","⚠ Falta monto",IF(D1376="","⚠ Falta categoría",IF(ISNA(MATCH(D1376,catNom,0)),"⚠ Categoría no existe",IF(E1376="","⚠ Falta cuenta",IF(ISNA(MATCH(E1376,ctaNom,0)),"⚠ Cuenta no existe",IF(AND(OR(I1376="Transferencia",I1376="Pago tarjeta"),G1376=""),"⚠ Indica la cuenta «Hacia»",IF(AND(G1376&lt;&gt;"",G1376=E1376),"⚠ «Hacia» igual a la cuenta",IF(AND(G1376&lt;&gt;"",ISNA(MATCH(G1376,ctaNom,0))),"⚠ «Hacia» no existe",IF(AND(I1376="Pago tarjeta",IFERROR(INDEX(ctaTipo,MATCH(G1376,ctaNom,0)),"")&lt;&gt;"Tarjeta de crédito"),"⚠ «Hacia» debe ser la tarjeta",IF(AND(I1376="Trading",IFERROR(INDEX(ctaTipo,MATCH(E1376,ctaNom,0)),"")&lt;&gt;"Cuenta de trading"),"⚠ Usa la cuenta de trading","✓"))))))))))))</f>
        <v/>
      </c>
      <c r="I1376" s="19">
        <f>IF(OR(B1376="",C1376="",D1376=""),"",IFERROR(INDEX(catTipo,MATCH(D1376,catNom,0))&amp;"",""))</f>
        <v/>
      </c>
      <c r="J1376" s="19">
        <f>IF(I1376="","",IFERROR(INDEX(catGrupo,MATCH(D1376,catNom,0))&amp;"",""))</f>
        <v/>
      </c>
      <c r="K1376" s="19">
        <f>IF(I1376="Gasto",IF(IFERROR(INDEX(catClas,MATCH(D1376,catNom,0))&amp;"","")="","Variable",IFERROR(INDEX(catClas,MATCH(D1376,catNom,0))&amp;"","")),"")</f>
        <v/>
      </c>
      <c r="L1376" s="19">
        <f>IF(I1376="","",IFERROR(INDEX(catAlim,MATCH(D1376,catNom,0))&amp;"",""))</f>
        <v/>
      </c>
      <c r="M1376" s="19">
        <f>IF(I1376="","",IFERROR(INDEX(catComida,MATCH(D1376,catNom,0))&amp;"",""))</f>
        <v/>
      </c>
      <c r="N1376" s="19">
        <f>IF(I1376="","",IFERROR(INDEX(ctaMon,MATCH(E1376,ctaNom,0))&amp;"","DOP"))</f>
        <v/>
      </c>
      <c r="O1376" s="20">
        <f>IF(I1376="","",C1376*IF(N1376="USD",TasaUSD,1))</f>
        <v/>
      </c>
      <c r="P1376" s="20">
        <f>IF(I1376="","",IF(I1376="Gasto",O1376,0))</f>
        <v/>
      </c>
      <c r="Q1376" s="20">
        <f>IF(I1376="","",IF(I1376="Ingreso",O1376,0))</f>
        <v/>
      </c>
      <c r="R1376" s="20">
        <f>IF(I1376="","",IF(I1376="Trading",O1376,0))</f>
        <v/>
      </c>
      <c r="S1376" s="19">
        <f>IF(I1376="","",IF(AND(I1376="Gasto",K1376="Variable",J1376&lt;&gt;"Trading",O1376&gt;0,O1376&lt;=Umbral),1,0))</f>
        <v/>
      </c>
      <c r="T1376" s="20">
        <f>IF(OR(I1376="",E1376=""),"",IF(OR(I1376="Gasto",I1376="Transferencia",I1376="Pago tarjeta"),-1,1)*C1376)</f>
        <v/>
      </c>
      <c r="U1376" s="20">
        <f>IF(OR(G1376="",AND(I1376&lt;&gt;"Transferencia",I1376&lt;&gt;"Pago tarjeta")),"",IF(IFERROR(INDEX(ctaMon,MATCH(G1376,ctaNom,0))&amp;"","DOP")=N1376,C1376,IF(N1376="USD",C1376*TasaUSD,C1376/TasaUSD)))</f>
        <v/>
      </c>
      <c r="V1376" s="20">
        <f>IF(I1376="","",IF(IFERROR(INDEX(ctaLiq,MATCH(E1376,ctaNom,0))="Sí",FALSE),IF(OR(I1376="Gasto",I1376="Transferencia",I1376="Pago tarjeta"),-1,1)*O1376,0)+IF(AND(U1376&lt;&gt;"",IFERROR(INDEX(ctaLiq,MATCH(G1376,ctaNom,0))="Sí",FALSE)),O1376,0))</f>
        <v/>
      </c>
      <c r="W1376" s="19">
        <f>IF(OR(F1376="",I1376=""),"",IF(COUNTIFS(F$6:F1376,F1376,I$6:I1376,"?*")=1,MAX(W$5:W1375)+1,""))</f>
        <v/>
      </c>
    </row>
    <row r="1377">
      <c r="B1377" s="15" t="n"/>
      <c r="C1377" s="16" t="n"/>
      <c r="D1377" s="17" t="n"/>
      <c r="E1377" s="17" t="n"/>
      <c r="F1377" s="17" t="n"/>
      <c r="G1377" s="17" t="n"/>
      <c r="H1377" s="18">
        <f>IF(AND(B1377="",C1377="",D1377="",E1377=""),"",IF(B1377="","⚠ Falta fecha",IF(C1377="","⚠ Falta monto",IF(D1377="","⚠ Falta categoría",IF(ISNA(MATCH(D1377,catNom,0)),"⚠ Categoría no existe",IF(E1377="","⚠ Falta cuenta",IF(ISNA(MATCH(E1377,ctaNom,0)),"⚠ Cuenta no existe",IF(AND(OR(I1377="Transferencia",I1377="Pago tarjeta"),G1377=""),"⚠ Indica la cuenta «Hacia»",IF(AND(G1377&lt;&gt;"",G1377=E1377),"⚠ «Hacia» igual a la cuenta",IF(AND(G1377&lt;&gt;"",ISNA(MATCH(G1377,ctaNom,0))),"⚠ «Hacia» no existe",IF(AND(I1377="Pago tarjeta",IFERROR(INDEX(ctaTipo,MATCH(G1377,ctaNom,0)),"")&lt;&gt;"Tarjeta de crédito"),"⚠ «Hacia» debe ser la tarjeta",IF(AND(I1377="Trading",IFERROR(INDEX(ctaTipo,MATCH(E1377,ctaNom,0)),"")&lt;&gt;"Cuenta de trading"),"⚠ Usa la cuenta de trading","✓"))))))))))))</f>
        <v/>
      </c>
      <c r="I1377" s="19">
        <f>IF(OR(B1377="",C1377="",D1377=""),"",IFERROR(INDEX(catTipo,MATCH(D1377,catNom,0))&amp;"",""))</f>
        <v/>
      </c>
      <c r="J1377" s="19">
        <f>IF(I1377="","",IFERROR(INDEX(catGrupo,MATCH(D1377,catNom,0))&amp;"",""))</f>
        <v/>
      </c>
      <c r="K1377" s="19">
        <f>IF(I1377="Gasto",IF(IFERROR(INDEX(catClas,MATCH(D1377,catNom,0))&amp;"","")="","Variable",IFERROR(INDEX(catClas,MATCH(D1377,catNom,0))&amp;"","")),"")</f>
        <v/>
      </c>
      <c r="L1377" s="19">
        <f>IF(I1377="","",IFERROR(INDEX(catAlim,MATCH(D1377,catNom,0))&amp;"",""))</f>
        <v/>
      </c>
      <c r="M1377" s="19">
        <f>IF(I1377="","",IFERROR(INDEX(catComida,MATCH(D1377,catNom,0))&amp;"",""))</f>
        <v/>
      </c>
      <c r="N1377" s="19">
        <f>IF(I1377="","",IFERROR(INDEX(ctaMon,MATCH(E1377,ctaNom,0))&amp;"","DOP"))</f>
        <v/>
      </c>
      <c r="O1377" s="20">
        <f>IF(I1377="","",C1377*IF(N1377="USD",TasaUSD,1))</f>
        <v/>
      </c>
      <c r="P1377" s="20">
        <f>IF(I1377="","",IF(I1377="Gasto",O1377,0))</f>
        <v/>
      </c>
      <c r="Q1377" s="20">
        <f>IF(I1377="","",IF(I1377="Ingreso",O1377,0))</f>
        <v/>
      </c>
      <c r="R1377" s="20">
        <f>IF(I1377="","",IF(I1377="Trading",O1377,0))</f>
        <v/>
      </c>
      <c r="S1377" s="19">
        <f>IF(I1377="","",IF(AND(I1377="Gasto",K1377="Variable",J1377&lt;&gt;"Trading",O1377&gt;0,O1377&lt;=Umbral),1,0))</f>
        <v/>
      </c>
      <c r="T1377" s="20">
        <f>IF(OR(I1377="",E1377=""),"",IF(OR(I1377="Gasto",I1377="Transferencia",I1377="Pago tarjeta"),-1,1)*C1377)</f>
        <v/>
      </c>
      <c r="U1377" s="20">
        <f>IF(OR(G1377="",AND(I1377&lt;&gt;"Transferencia",I1377&lt;&gt;"Pago tarjeta")),"",IF(IFERROR(INDEX(ctaMon,MATCH(G1377,ctaNom,0))&amp;"","DOP")=N1377,C1377,IF(N1377="USD",C1377*TasaUSD,C1377/TasaUSD)))</f>
        <v/>
      </c>
      <c r="V1377" s="20">
        <f>IF(I1377="","",IF(IFERROR(INDEX(ctaLiq,MATCH(E1377,ctaNom,0))="Sí",FALSE),IF(OR(I1377="Gasto",I1377="Transferencia",I1377="Pago tarjeta"),-1,1)*O1377,0)+IF(AND(U1377&lt;&gt;"",IFERROR(INDEX(ctaLiq,MATCH(G1377,ctaNom,0))="Sí",FALSE)),O1377,0))</f>
        <v/>
      </c>
      <c r="W1377" s="19">
        <f>IF(OR(F1377="",I1377=""),"",IF(COUNTIFS(F$6:F1377,F1377,I$6:I1377,"?*")=1,MAX(W$5:W1376)+1,""))</f>
        <v/>
      </c>
    </row>
    <row r="1378">
      <c r="B1378" s="15" t="n"/>
      <c r="C1378" s="16" t="n"/>
      <c r="D1378" s="17" t="n"/>
      <c r="E1378" s="17" t="n"/>
      <c r="F1378" s="17" t="n"/>
      <c r="G1378" s="17" t="n"/>
      <c r="H1378" s="18">
        <f>IF(AND(B1378="",C1378="",D1378="",E1378=""),"",IF(B1378="","⚠ Falta fecha",IF(C1378="","⚠ Falta monto",IF(D1378="","⚠ Falta categoría",IF(ISNA(MATCH(D1378,catNom,0)),"⚠ Categoría no existe",IF(E1378="","⚠ Falta cuenta",IF(ISNA(MATCH(E1378,ctaNom,0)),"⚠ Cuenta no existe",IF(AND(OR(I1378="Transferencia",I1378="Pago tarjeta"),G1378=""),"⚠ Indica la cuenta «Hacia»",IF(AND(G1378&lt;&gt;"",G1378=E1378),"⚠ «Hacia» igual a la cuenta",IF(AND(G1378&lt;&gt;"",ISNA(MATCH(G1378,ctaNom,0))),"⚠ «Hacia» no existe",IF(AND(I1378="Pago tarjeta",IFERROR(INDEX(ctaTipo,MATCH(G1378,ctaNom,0)),"")&lt;&gt;"Tarjeta de crédito"),"⚠ «Hacia» debe ser la tarjeta",IF(AND(I1378="Trading",IFERROR(INDEX(ctaTipo,MATCH(E1378,ctaNom,0)),"")&lt;&gt;"Cuenta de trading"),"⚠ Usa la cuenta de trading","✓"))))))))))))</f>
        <v/>
      </c>
      <c r="I1378" s="19">
        <f>IF(OR(B1378="",C1378="",D1378=""),"",IFERROR(INDEX(catTipo,MATCH(D1378,catNom,0))&amp;"",""))</f>
        <v/>
      </c>
      <c r="J1378" s="19">
        <f>IF(I1378="","",IFERROR(INDEX(catGrupo,MATCH(D1378,catNom,0))&amp;"",""))</f>
        <v/>
      </c>
      <c r="K1378" s="19">
        <f>IF(I1378="Gasto",IF(IFERROR(INDEX(catClas,MATCH(D1378,catNom,0))&amp;"","")="","Variable",IFERROR(INDEX(catClas,MATCH(D1378,catNom,0))&amp;"","")),"")</f>
        <v/>
      </c>
      <c r="L1378" s="19">
        <f>IF(I1378="","",IFERROR(INDEX(catAlim,MATCH(D1378,catNom,0))&amp;"",""))</f>
        <v/>
      </c>
      <c r="M1378" s="19">
        <f>IF(I1378="","",IFERROR(INDEX(catComida,MATCH(D1378,catNom,0))&amp;"",""))</f>
        <v/>
      </c>
      <c r="N1378" s="19">
        <f>IF(I1378="","",IFERROR(INDEX(ctaMon,MATCH(E1378,ctaNom,0))&amp;"","DOP"))</f>
        <v/>
      </c>
      <c r="O1378" s="20">
        <f>IF(I1378="","",C1378*IF(N1378="USD",TasaUSD,1))</f>
        <v/>
      </c>
      <c r="P1378" s="20">
        <f>IF(I1378="","",IF(I1378="Gasto",O1378,0))</f>
        <v/>
      </c>
      <c r="Q1378" s="20">
        <f>IF(I1378="","",IF(I1378="Ingreso",O1378,0))</f>
        <v/>
      </c>
      <c r="R1378" s="20">
        <f>IF(I1378="","",IF(I1378="Trading",O1378,0))</f>
        <v/>
      </c>
      <c r="S1378" s="19">
        <f>IF(I1378="","",IF(AND(I1378="Gasto",K1378="Variable",J1378&lt;&gt;"Trading",O1378&gt;0,O1378&lt;=Umbral),1,0))</f>
        <v/>
      </c>
      <c r="T1378" s="20">
        <f>IF(OR(I1378="",E1378=""),"",IF(OR(I1378="Gasto",I1378="Transferencia",I1378="Pago tarjeta"),-1,1)*C1378)</f>
        <v/>
      </c>
      <c r="U1378" s="20">
        <f>IF(OR(G1378="",AND(I1378&lt;&gt;"Transferencia",I1378&lt;&gt;"Pago tarjeta")),"",IF(IFERROR(INDEX(ctaMon,MATCH(G1378,ctaNom,0))&amp;"","DOP")=N1378,C1378,IF(N1378="USD",C1378*TasaUSD,C1378/TasaUSD)))</f>
        <v/>
      </c>
      <c r="V1378" s="20">
        <f>IF(I1378="","",IF(IFERROR(INDEX(ctaLiq,MATCH(E1378,ctaNom,0))="Sí",FALSE),IF(OR(I1378="Gasto",I1378="Transferencia",I1378="Pago tarjeta"),-1,1)*O1378,0)+IF(AND(U1378&lt;&gt;"",IFERROR(INDEX(ctaLiq,MATCH(G1378,ctaNom,0))="Sí",FALSE)),O1378,0))</f>
        <v/>
      </c>
      <c r="W1378" s="19">
        <f>IF(OR(F1378="",I1378=""),"",IF(COUNTIFS(F$6:F1378,F1378,I$6:I1378,"?*")=1,MAX(W$5:W1377)+1,""))</f>
        <v/>
      </c>
    </row>
    <row r="1379">
      <c r="B1379" s="15" t="n"/>
      <c r="C1379" s="16" t="n"/>
      <c r="D1379" s="17" t="n"/>
      <c r="E1379" s="17" t="n"/>
      <c r="F1379" s="17" t="n"/>
      <c r="G1379" s="17" t="n"/>
      <c r="H1379" s="18">
        <f>IF(AND(B1379="",C1379="",D1379="",E1379=""),"",IF(B1379="","⚠ Falta fecha",IF(C1379="","⚠ Falta monto",IF(D1379="","⚠ Falta categoría",IF(ISNA(MATCH(D1379,catNom,0)),"⚠ Categoría no existe",IF(E1379="","⚠ Falta cuenta",IF(ISNA(MATCH(E1379,ctaNom,0)),"⚠ Cuenta no existe",IF(AND(OR(I1379="Transferencia",I1379="Pago tarjeta"),G1379=""),"⚠ Indica la cuenta «Hacia»",IF(AND(G1379&lt;&gt;"",G1379=E1379),"⚠ «Hacia» igual a la cuenta",IF(AND(G1379&lt;&gt;"",ISNA(MATCH(G1379,ctaNom,0))),"⚠ «Hacia» no existe",IF(AND(I1379="Pago tarjeta",IFERROR(INDEX(ctaTipo,MATCH(G1379,ctaNom,0)),"")&lt;&gt;"Tarjeta de crédito"),"⚠ «Hacia» debe ser la tarjeta",IF(AND(I1379="Trading",IFERROR(INDEX(ctaTipo,MATCH(E1379,ctaNom,0)),"")&lt;&gt;"Cuenta de trading"),"⚠ Usa la cuenta de trading","✓"))))))))))))</f>
        <v/>
      </c>
      <c r="I1379" s="19">
        <f>IF(OR(B1379="",C1379="",D1379=""),"",IFERROR(INDEX(catTipo,MATCH(D1379,catNom,0))&amp;"",""))</f>
        <v/>
      </c>
      <c r="J1379" s="19">
        <f>IF(I1379="","",IFERROR(INDEX(catGrupo,MATCH(D1379,catNom,0))&amp;"",""))</f>
        <v/>
      </c>
      <c r="K1379" s="19">
        <f>IF(I1379="Gasto",IF(IFERROR(INDEX(catClas,MATCH(D1379,catNom,0))&amp;"","")="","Variable",IFERROR(INDEX(catClas,MATCH(D1379,catNom,0))&amp;"","")),"")</f>
        <v/>
      </c>
      <c r="L1379" s="19">
        <f>IF(I1379="","",IFERROR(INDEX(catAlim,MATCH(D1379,catNom,0))&amp;"",""))</f>
        <v/>
      </c>
      <c r="M1379" s="19">
        <f>IF(I1379="","",IFERROR(INDEX(catComida,MATCH(D1379,catNom,0))&amp;"",""))</f>
        <v/>
      </c>
      <c r="N1379" s="19">
        <f>IF(I1379="","",IFERROR(INDEX(ctaMon,MATCH(E1379,ctaNom,0))&amp;"","DOP"))</f>
        <v/>
      </c>
      <c r="O1379" s="20">
        <f>IF(I1379="","",C1379*IF(N1379="USD",TasaUSD,1))</f>
        <v/>
      </c>
      <c r="P1379" s="20">
        <f>IF(I1379="","",IF(I1379="Gasto",O1379,0))</f>
        <v/>
      </c>
      <c r="Q1379" s="20">
        <f>IF(I1379="","",IF(I1379="Ingreso",O1379,0))</f>
        <v/>
      </c>
      <c r="R1379" s="20">
        <f>IF(I1379="","",IF(I1379="Trading",O1379,0))</f>
        <v/>
      </c>
      <c r="S1379" s="19">
        <f>IF(I1379="","",IF(AND(I1379="Gasto",K1379="Variable",J1379&lt;&gt;"Trading",O1379&gt;0,O1379&lt;=Umbral),1,0))</f>
        <v/>
      </c>
      <c r="T1379" s="20">
        <f>IF(OR(I1379="",E1379=""),"",IF(OR(I1379="Gasto",I1379="Transferencia",I1379="Pago tarjeta"),-1,1)*C1379)</f>
        <v/>
      </c>
      <c r="U1379" s="20">
        <f>IF(OR(G1379="",AND(I1379&lt;&gt;"Transferencia",I1379&lt;&gt;"Pago tarjeta")),"",IF(IFERROR(INDEX(ctaMon,MATCH(G1379,ctaNom,0))&amp;"","DOP")=N1379,C1379,IF(N1379="USD",C1379*TasaUSD,C1379/TasaUSD)))</f>
        <v/>
      </c>
      <c r="V1379" s="20">
        <f>IF(I1379="","",IF(IFERROR(INDEX(ctaLiq,MATCH(E1379,ctaNom,0))="Sí",FALSE),IF(OR(I1379="Gasto",I1379="Transferencia",I1379="Pago tarjeta"),-1,1)*O1379,0)+IF(AND(U1379&lt;&gt;"",IFERROR(INDEX(ctaLiq,MATCH(G1379,ctaNom,0))="Sí",FALSE)),O1379,0))</f>
        <v/>
      </c>
      <c r="W1379" s="19">
        <f>IF(OR(F1379="",I1379=""),"",IF(COUNTIFS(F$6:F1379,F1379,I$6:I1379,"?*")=1,MAX(W$5:W1378)+1,""))</f>
        <v/>
      </c>
    </row>
    <row r="1380">
      <c r="B1380" s="15" t="n"/>
      <c r="C1380" s="16" t="n"/>
      <c r="D1380" s="17" t="n"/>
      <c r="E1380" s="17" t="n"/>
      <c r="F1380" s="17" t="n"/>
      <c r="G1380" s="17" t="n"/>
      <c r="H1380" s="18">
        <f>IF(AND(B1380="",C1380="",D1380="",E1380=""),"",IF(B1380="","⚠ Falta fecha",IF(C1380="","⚠ Falta monto",IF(D1380="","⚠ Falta categoría",IF(ISNA(MATCH(D1380,catNom,0)),"⚠ Categoría no existe",IF(E1380="","⚠ Falta cuenta",IF(ISNA(MATCH(E1380,ctaNom,0)),"⚠ Cuenta no existe",IF(AND(OR(I1380="Transferencia",I1380="Pago tarjeta"),G1380=""),"⚠ Indica la cuenta «Hacia»",IF(AND(G1380&lt;&gt;"",G1380=E1380),"⚠ «Hacia» igual a la cuenta",IF(AND(G1380&lt;&gt;"",ISNA(MATCH(G1380,ctaNom,0))),"⚠ «Hacia» no existe",IF(AND(I1380="Pago tarjeta",IFERROR(INDEX(ctaTipo,MATCH(G1380,ctaNom,0)),"")&lt;&gt;"Tarjeta de crédito"),"⚠ «Hacia» debe ser la tarjeta",IF(AND(I1380="Trading",IFERROR(INDEX(ctaTipo,MATCH(E1380,ctaNom,0)),"")&lt;&gt;"Cuenta de trading"),"⚠ Usa la cuenta de trading","✓"))))))))))))</f>
        <v/>
      </c>
      <c r="I1380" s="19">
        <f>IF(OR(B1380="",C1380="",D1380=""),"",IFERROR(INDEX(catTipo,MATCH(D1380,catNom,0))&amp;"",""))</f>
        <v/>
      </c>
      <c r="J1380" s="19">
        <f>IF(I1380="","",IFERROR(INDEX(catGrupo,MATCH(D1380,catNom,0))&amp;"",""))</f>
        <v/>
      </c>
      <c r="K1380" s="19">
        <f>IF(I1380="Gasto",IF(IFERROR(INDEX(catClas,MATCH(D1380,catNom,0))&amp;"","")="","Variable",IFERROR(INDEX(catClas,MATCH(D1380,catNom,0))&amp;"","")),"")</f>
        <v/>
      </c>
      <c r="L1380" s="19">
        <f>IF(I1380="","",IFERROR(INDEX(catAlim,MATCH(D1380,catNom,0))&amp;"",""))</f>
        <v/>
      </c>
      <c r="M1380" s="19">
        <f>IF(I1380="","",IFERROR(INDEX(catComida,MATCH(D1380,catNom,0))&amp;"",""))</f>
        <v/>
      </c>
      <c r="N1380" s="19">
        <f>IF(I1380="","",IFERROR(INDEX(ctaMon,MATCH(E1380,ctaNom,0))&amp;"","DOP"))</f>
        <v/>
      </c>
      <c r="O1380" s="20">
        <f>IF(I1380="","",C1380*IF(N1380="USD",TasaUSD,1))</f>
        <v/>
      </c>
      <c r="P1380" s="20">
        <f>IF(I1380="","",IF(I1380="Gasto",O1380,0))</f>
        <v/>
      </c>
      <c r="Q1380" s="20">
        <f>IF(I1380="","",IF(I1380="Ingreso",O1380,0))</f>
        <v/>
      </c>
      <c r="R1380" s="20">
        <f>IF(I1380="","",IF(I1380="Trading",O1380,0))</f>
        <v/>
      </c>
      <c r="S1380" s="19">
        <f>IF(I1380="","",IF(AND(I1380="Gasto",K1380="Variable",J1380&lt;&gt;"Trading",O1380&gt;0,O1380&lt;=Umbral),1,0))</f>
        <v/>
      </c>
      <c r="T1380" s="20">
        <f>IF(OR(I1380="",E1380=""),"",IF(OR(I1380="Gasto",I1380="Transferencia",I1380="Pago tarjeta"),-1,1)*C1380)</f>
        <v/>
      </c>
      <c r="U1380" s="20">
        <f>IF(OR(G1380="",AND(I1380&lt;&gt;"Transferencia",I1380&lt;&gt;"Pago tarjeta")),"",IF(IFERROR(INDEX(ctaMon,MATCH(G1380,ctaNom,0))&amp;"","DOP")=N1380,C1380,IF(N1380="USD",C1380*TasaUSD,C1380/TasaUSD)))</f>
        <v/>
      </c>
      <c r="V1380" s="20">
        <f>IF(I1380="","",IF(IFERROR(INDEX(ctaLiq,MATCH(E1380,ctaNom,0))="Sí",FALSE),IF(OR(I1380="Gasto",I1380="Transferencia",I1380="Pago tarjeta"),-1,1)*O1380,0)+IF(AND(U1380&lt;&gt;"",IFERROR(INDEX(ctaLiq,MATCH(G1380,ctaNom,0))="Sí",FALSE)),O1380,0))</f>
        <v/>
      </c>
      <c r="W1380" s="19">
        <f>IF(OR(F1380="",I1380=""),"",IF(COUNTIFS(F$6:F1380,F1380,I$6:I1380,"?*")=1,MAX(W$5:W1379)+1,""))</f>
        <v/>
      </c>
    </row>
    <row r="1381">
      <c r="B1381" s="15" t="n"/>
      <c r="C1381" s="16" t="n"/>
      <c r="D1381" s="17" t="n"/>
      <c r="E1381" s="17" t="n"/>
      <c r="F1381" s="17" t="n"/>
      <c r="G1381" s="17" t="n"/>
      <c r="H1381" s="18">
        <f>IF(AND(B1381="",C1381="",D1381="",E1381=""),"",IF(B1381="","⚠ Falta fecha",IF(C1381="","⚠ Falta monto",IF(D1381="","⚠ Falta categoría",IF(ISNA(MATCH(D1381,catNom,0)),"⚠ Categoría no existe",IF(E1381="","⚠ Falta cuenta",IF(ISNA(MATCH(E1381,ctaNom,0)),"⚠ Cuenta no existe",IF(AND(OR(I1381="Transferencia",I1381="Pago tarjeta"),G1381=""),"⚠ Indica la cuenta «Hacia»",IF(AND(G1381&lt;&gt;"",G1381=E1381),"⚠ «Hacia» igual a la cuenta",IF(AND(G1381&lt;&gt;"",ISNA(MATCH(G1381,ctaNom,0))),"⚠ «Hacia» no existe",IF(AND(I1381="Pago tarjeta",IFERROR(INDEX(ctaTipo,MATCH(G1381,ctaNom,0)),"")&lt;&gt;"Tarjeta de crédito"),"⚠ «Hacia» debe ser la tarjeta",IF(AND(I1381="Trading",IFERROR(INDEX(ctaTipo,MATCH(E1381,ctaNom,0)),"")&lt;&gt;"Cuenta de trading"),"⚠ Usa la cuenta de trading","✓"))))))))))))</f>
        <v/>
      </c>
      <c r="I1381" s="19">
        <f>IF(OR(B1381="",C1381="",D1381=""),"",IFERROR(INDEX(catTipo,MATCH(D1381,catNom,0))&amp;"",""))</f>
        <v/>
      </c>
      <c r="J1381" s="19">
        <f>IF(I1381="","",IFERROR(INDEX(catGrupo,MATCH(D1381,catNom,0))&amp;"",""))</f>
        <v/>
      </c>
      <c r="K1381" s="19">
        <f>IF(I1381="Gasto",IF(IFERROR(INDEX(catClas,MATCH(D1381,catNom,0))&amp;"","")="","Variable",IFERROR(INDEX(catClas,MATCH(D1381,catNom,0))&amp;"","")),"")</f>
        <v/>
      </c>
      <c r="L1381" s="19">
        <f>IF(I1381="","",IFERROR(INDEX(catAlim,MATCH(D1381,catNom,0))&amp;"",""))</f>
        <v/>
      </c>
      <c r="M1381" s="19">
        <f>IF(I1381="","",IFERROR(INDEX(catComida,MATCH(D1381,catNom,0))&amp;"",""))</f>
        <v/>
      </c>
      <c r="N1381" s="19">
        <f>IF(I1381="","",IFERROR(INDEX(ctaMon,MATCH(E1381,ctaNom,0))&amp;"","DOP"))</f>
        <v/>
      </c>
      <c r="O1381" s="20">
        <f>IF(I1381="","",C1381*IF(N1381="USD",TasaUSD,1))</f>
        <v/>
      </c>
      <c r="P1381" s="20">
        <f>IF(I1381="","",IF(I1381="Gasto",O1381,0))</f>
        <v/>
      </c>
      <c r="Q1381" s="20">
        <f>IF(I1381="","",IF(I1381="Ingreso",O1381,0))</f>
        <v/>
      </c>
      <c r="R1381" s="20">
        <f>IF(I1381="","",IF(I1381="Trading",O1381,0))</f>
        <v/>
      </c>
      <c r="S1381" s="19">
        <f>IF(I1381="","",IF(AND(I1381="Gasto",K1381="Variable",J1381&lt;&gt;"Trading",O1381&gt;0,O1381&lt;=Umbral),1,0))</f>
        <v/>
      </c>
      <c r="T1381" s="20">
        <f>IF(OR(I1381="",E1381=""),"",IF(OR(I1381="Gasto",I1381="Transferencia",I1381="Pago tarjeta"),-1,1)*C1381)</f>
        <v/>
      </c>
      <c r="U1381" s="20">
        <f>IF(OR(G1381="",AND(I1381&lt;&gt;"Transferencia",I1381&lt;&gt;"Pago tarjeta")),"",IF(IFERROR(INDEX(ctaMon,MATCH(G1381,ctaNom,0))&amp;"","DOP")=N1381,C1381,IF(N1381="USD",C1381*TasaUSD,C1381/TasaUSD)))</f>
        <v/>
      </c>
      <c r="V1381" s="20">
        <f>IF(I1381="","",IF(IFERROR(INDEX(ctaLiq,MATCH(E1381,ctaNom,0))="Sí",FALSE),IF(OR(I1381="Gasto",I1381="Transferencia",I1381="Pago tarjeta"),-1,1)*O1381,0)+IF(AND(U1381&lt;&gt;"",IFERROR(INDEX(ctaLiq,MATCH(G1381,ctaNom,0))="Sí",FALSE)),O1381,0))</f>
        <v/>
      </c>
      <c r="W1381" s="19">
        <f>IF(OR(F1381="",I1381=""),"",IF(COUNTIFS(F$6:F1381,F1381,I$6:I1381,"?*")=1,MAX(W$5:W1380)+1,""))</f>
        <v/>
      </c>
    </row>
    <row r="1382">
      <c r="B1382" s="15" t="n"/>
      <c r="C1382" s="16" t="n"/>
      <c r="D1382" s="17" t="n"/>
      <c r="E1382" s="17" t="n"/>
      <c r="F1382" s="17" t="n"/>
      <c r="G1382" s="17" t="n"/>
      <c r="H1382" s="18">
        <f>IF(AND(B1382="",C1382="",D1382="",E1382=""),"",IF(B1382="","⚠ Falta fecha",IF(C1382="","⚠ Falta monto",IF(D1382="","⚠ Falta categoría",IF(ISNA(MATCH(D1382,catNom,0)),"⚠ Categoría no existe",IF(E1382="","⚠ Falta cuenta",IF(ISNA(MATCH(E1382,ctaNom,0)),"⚠ Cuenta no existe",IF(AND(OR(I1382="Transferencia",I1382="Pago tarjeta"),G1382=""),"⚠ Indica la cuenta «Hacia»",IF(AND(G1382&lt;&gt;"",G1382=E1382),"⚠ «Hacia» igual a la cuenta",IF(AND(G1382&lt;&gt;"",ISNA(MATCH(G1382,ctaNom,0))),"⚠ «Hacia» no existe",IF(AND(I1382="Pago tarjeta",IFERROR(INDEX(ctaTipo,MATCH(G1382,ctaNom,0)),"")&lt;&gt;"Tarjeta de crédito"),"⚠ «Hacia» debe ser la tarjeta",IF(AND(I1382="Trading",IFERROR(INDEX(ctaTipo,MATCH(E1382,ctaNom,0)),"")&lt;&gt;"Cuenta de trading"),"⚠ Usa la cuenta de trading","✓"))))))))))))</f>
        <v/>
      </c>
      <c r="I1382" s="19">
        <f>IF(OR(B1382="",C1382="",D1382=""),"",IFERROR(INDEX(catTipo,MATCH(D1382,catNom,0))&amp;"",""))</f>
        <v/>
      </c>
      <c r="J1382" s="19">
        <f>IF(I1382="","",IFERROR(INDEX(catGrupo,MATCH(D1382,catNom,0))&amp;"",""))</f>
        <v/>
      </c>
      <c r="K1382" s="19">
        <f>IF(I1382="Gasto",IF(IFERROR(INDEX(catClas,MATCH(D1382,catNom,0))&amp;"","")="","Variable",IFERROR(INDEX(catClas,MATCH(D1382,catNom,0))&amp;"","")),"")</f>
        <v/>
      </c>
      <c r="L1382" s="19">
        <f>IF(I1382="","",IFERROR(INDEX(catAlim,MATCH(D1382,catNom,0))&amp;"",""))</f>
        <v/>
      </c>
      <c r="M1382" s="19">
        <f>IF(I1382="","",IFERROR(INDEX(catComida,MATCH(D1382,catNom,0))&amp;"",""))</f>
        <v/>
      </c>
      <c r="N1382" s="19">
        <f>IF(I1382="","",IFERROR(INDEX(ctaMon,MATCH(E1382,ctaNom,0))&amp;"","DOP"))</f>
        <v/>
      </c>
      <c r="O1382" s="20">
        <f>IF(I1382="","",C1382*IF(N1382="USD",TasaUSD,1))</f>
        <v/>
      </c>
      <c r="P1382" s="20">
        <f>IF(I1382="","",IF(I1382="Gasto",O1382,0))</f>
        <v/>
      </c>
      <c r="Q1382" s="20">
        <f>IF(I1382="","",IF(I1382="Ingreso",O1382,0))</f>
        <v/>
      </c>
      <c r="R1382" s="20">
        <f>IF(I1382="","",IF(I1382="Trading",O1382,0))</f>
        <v/>
      </c>
      <c r="S1382" s="19">
        <f>IF(I1382="","",IF(AND(I1382="Gasto",K1382="Variable",J1382&lt;&gt;"Trading",O1382&gt;0,O1382&lt;=Umbral),1,0))</f>
        <v/>
      </c>
      <c r="T1382" s="20">
        <f>IF(OR(I1382="",E1382=""),"",IF(OR(I1382="Gasto",I1382="Transferencia",I1382="Pago tarjeta"),-1,1)*C1382)</f>
        <v/>
      </c>
      <c r="U1382" s="20">
        <f>IF(OR(G1382="",AND(I1382&lt;&gt;"Transferencia",I1382&lt;&gt;"Pago tarjeta")),"",IF(IFERROR(INDEX(ctaMon,MATCH(G1382,ctaNom,0))&amp;"","DOP")=N1382,C1382,IF(N1382="USD",C1382*TasaUSD,C1382/TasaUSD)))</f>
        <v/>
      </c>
      <c r="V1382" s="20">
        <f>IF(I1382="","",IF(IFERROR(INDEX(ctaLiq,MATCH(E1382,ctaNom,0))="Sí",FALSE),IF(OR(I1382="Gasto",I1382="Transferencia",I1382="Pago tarjeta"),-1,1)*O1382,0)+IF(AND(U1382&lt;&gt;"",IFERROR(INDEX(ctaLiq,MATCH(G1382,ctaNom,0))="Sí",FALSE)),O1382,0))</f>
        <v/>
      </c>
      <c r="W1382" s="19">
        <f>IF(OR(F1382="",I1382=""),"",IF(COUNTIFS(F$6:F1382,F1382,I$6:I1382,"?*")=1,MAX(W$5:W1381)+1,""))</f>
        <v/>
      </c>
    </row>
    <row r="1383">
      <c r="B1383" s="15" t="n"/>
      <c r="C1383" s="16" t="n"/>
      <c r="D1383" s="17" t="n"/>
      <c r="E1383" s="17" t="n"/>
      <c r="F1383" s="17" t="n"/>
      <c r="G1383" s="17" t="n"/>
      <c r="H1383" s="18">
        <f>IF(AND(B1383="",C1383="",D1383="",E1383=""),"",IF(B1383="","⚠ Falta fecha",IF(C1383="","⚠ Falta monto",IF(D1383="","⚠ Falta categoría",IF(ISNA(MATCH(D1383,catNom,0)),"⚠ Categoría no existe",IF(E1383="","⚠ Falta cuenta",IF(ISNA(MATCH(E1383,ctaNom,0)),"⚠ Cuenta no existe",IF(AND(OR(I1383="Transferencia",I1383="Pago tarjeta"),G1383=""),"⚠ Indica la cuenta «Hacia»",IF(AND(G1383&lt;&gt;"",G1383=E1383),"⚠ «Hacia» igual a la cuenta",IF(AND(G1383&lt;&gt;"",ISNA(MATCH(G1383,ctaNom,0))),"⚠ «Hacia» no existe",IF(AND(I1383="Pago tarjeta",IFERROR(INDEX(ctaTipo,MATCH(G1383,ctaNom,0)),"")&lt;&gt;"Tarjeta de crédito"),"⚠ «Hacia» debe ser la tarjeta",IF(AND(I1383="Trading",IFERROR(INDEX(ctaTipo,MATCH(E1383,ctaNom,0)),"")&lt;&gt;"Cuenta de trading"),"⚠ Usa la cuenta de trading","✓"))))))))))))</f>
        <v/>
      </c>
      <c r="I1383" s="19">
        <f>IF(OR(B1383="",C1383="",D1383=""),"",IFERROR(INDEX(catTipo,MATCH(D1383,catNom,0))&amp;"",""))</f>
        <v/>
      </c>
      <c r="J1383" s="19">
        <f>IF(I1383="","",IFERROR(INDEX(catGrupo,MATCH(D1383,catNom,0))&amp;"",""))</f>
        <v/>
      </c>
      <c r="K1383" s="19">
        <f>IF(I1383="Gasto",IF(IFERROR(INDEX(catClas,MATCH(D1383,catNom,0))&amp;"","")="","Variable",IFERROR(INDEX(catClas,MATCH(D1383,catNom,0))&amp;"","")),"")</f>
        <v/>
      </c>
      <c r="L1383" s="19">
        <f>IF(I1383="","",IFERROR(INDEX(catAlim,MATCH(D1383,catNom,0))&amp;"",""))</f>
        <v/>
      </c>
      <c r="M1383" s="19">
        <f>IF(I1383="","",IFERROR(INDEX(catComida,MATCH(D1383,catNom,0))&amp;"",""))</f>
        <v/>
      </c>
      <c r="N1383" s="19">
        <f>IF(I1383="","",IFERROR(INDEX(ctaMon,MATCH(E1383,ctaNom,0))&amp;"","DOP"))</f>
        <v/>
      </c>
      <c r="O1383" s="20">
        <f>IF(I1383="","",C1383*IF(N1383="USD",TasaUSD,1))</f>
        <v/>
      </c>
      <c r="P1383" s="20">
        <f>IF(I1383="","",IF(I1383="Gasto",O1383,0))</f>
        <v/>
      </c>
      <c r="Q1383" s="20">
        <f>IF(I1383="","",IF(I1383="Ingreso",O1383,0))</f>
        <v/>
      </c>
      <c r="R1383" s="20">
        <f>IF(I1383="","",IF(I1383="Trading",O1383,0))</f>
        <v/>
      </c>
      <c r="S1383" s="19">
        <f>IF(I1383="","",IF(AND(I1383="Gasto",K1383="Variable",J1383&lt;&gt;"Trading",O1383&gt;0,O1383&lt;=Umbral),1,0))</f>
        <v/>
      </c>
      <c r="T1383" s="20">
        <f>IF(OR(I1383="",E1383=""),"",IF(OR(I1383="Gasto",I1383="Transferencia",I1383="Pago tarjeta"),-1,1)*C1383)</f>
        <v/>
      </c>
      <c r="U1383" s="20">
        <f>IF(OR(G1383="",AND(I1383&lt;&gt;"Transferencia",I1383&lt;&gt;"Pago tarjeta")),"",IF(IFERROR(INDEX(ctaMon,MATCH(G1383,ctaNom,0))&amp;"","DOP")=N1383,C1383,IF(N1383="USD",C1383*TasaUSD,C1383/TasaUSD)))</f>
        <v/>
      </c>
      <c r="V1383" s="20">
        <f>IF(I1383="","",IF(IFERROR(INDEX(ctaLiq,MATCH(E1383,ctaNom,0))="Sí",FALSE),IF(OR(I1383="Gasto",I1383="Transferencia",I1383="Pago tarjeta"),-1,1)*O1383,0)+IF(AND(U1383&lt;&gt;"",IFERROR(INDEX(ctaLiq,MATCH(G1383,ctaNom,0))="Sí",FALSE)),O1383,0))</f>
        <v/>
      </c>
      <c r="W1383" s="19">
        <f>IF(OR(F1383="",I1383=""),"",IF(COUNTIFS(F$6:F1383,F1383,I$6:I1383,"?*")=1,MAX(W$5:W1382)+1,""))</f>
        <v/>
      </c>
    </row>
    <row r="1384">
      <c r="B1384" s="15" t="n"/>
      <c r="C1384" s="16" t="n"/>
      <c r="D1384" s="17" t="n"/>
      <c r="E1384" s="17" t="n"/>
      <c r="F1384" s="17" t="n"/>
      <c r="G1384" s="17" t="n"/>
      <c r="H1384" s="18">
        <f>IF(AND(B1384="",C1384="",D1384="",E1384=""),"",IF(B1384="","⚠ Falta fecha",IF(C1384="","⚠ Falta monto",IF(D1384="","⚠ Falta categoría",IF(ISNA(MATCH(D1384,catNom,0)),"⚠ Categoría no existe",IF(E1384="","⚠ Falta cuenta",IF(ISNA(MATCH(E1384,ctaNom,0)),"⚠ Cuenta no existe",IF(AND(OR(I1384="Transferencia",I1384="Pago tarjeta"),G1384=""),"⚠ Indica la cuenta «Hacia»",IF(AND(G1384&lt;&gt;"",G1384=E1384),"⚠ «Hacia» igual a la cuenta",IF(AND(G1384&lt;&gt;"",ISNA(MATCH(G1384,ctaNom,0))),"⚠ «Hacia» no existe",IF(AND(I1384="Pago tarjeta",IFERROR(INDEX(ctaTipo,MATCH(G1384,ctaNom,0)),"")&lt;&gt;"Tarjeta de crédito"),"⚠ «Hacia» debe ser la tarjeta",IF(AND(I1384="Trading",IFERROR(INDEX(ctaTipo,MATCH(E1384,ctaNom,0)),"")&lt;&gt;"Cuenta de trading"),"⚠ Usa la cuenta de trading","✓"))))))))))))</f>
        <v/>
      </c>
      <c r="I1384" s="19">
        <f>IF(OR(B1384="",C1384="",D1384=""),"",IFERROR(INDEX(catTipo,MATCH(D1384,catNom,0))&amp;"",""))</f>
        <v/>
      </c>
      <c r="J1384" s="19">
        <f>IF(I1384="","",IFERROR(INDEX(catGrupo,MATCH(D1384,catNom,0))&amp;"",""))</f>
        <v/>
      </c>
      <c r="K1384" s="19">
        <f>IF(I1384="Gasto",IF(IFERROR(INDEX(catClas,MATCH(D1384,catNom,0))&amp;"","")="","Variable",IFERROR(INDEX(catClas,MATCH(D1384,catNom,0))&amp;"","")),"")</f>
        <v/>
      </c>
      <c r="L1384" s="19">
        <f>IF(I1384="","",IFERROR(INDEX(catAlim,MATCH(D1384,catNom,0))&amp;"",""))</f>
        <v/>
      </c>
      <c r="M1384" s="19">
        <f>IF(I1384="","",IFERROR(INDEX(catComida,MATCH(D1384,catNom,0))&amp;"",""))</f>
        <v/>
      </c>
      <c r="N1384" s="19">
        <f>IF(I1384="","",IFERROR(INDEX(ctaMon,MATCH(E1384,ctaNom,0))&amp;"","DOP"))</f>
        <v/>
      </c>
      <c r="O1384" s="20">
        <f>IF(I1384="","",C1384*IF(N1384="USD",TasaUSD,1))</f>
        <v/>
      </c>
      <c r="P1384" s="20">
        <f>IF(I1384="","",IF(I1384="Gasto",O1384,0))</f>
        <v/>
      </c>
      <c r="Q1384" s="20">
        <f>IF(I1384="","",IF(I1384="Ingreso",O1384,0))</f>
        <v/>
      </c>
      <c r="R1384" s="20">
        <f>IF(I1384="","",IF(I1384="Trading",O1384,0))</f>
        <v/>
      </c>
      <c r="S1384" s="19">
        <f>IF(I1384="","",IF(AND(I1384="Gasto",K1384="Variable",J1384&lt;&gt;"Trading",O1384&gt;0,O1384&lt;=Umbral),1,0))</f>
        <v/>
      </c>
      <c r="T1384" s="20">
        <f>IF(OR(I1384="",E1384=""),"",IF(OR(I1384="Gasto",I1384="Transferencia",I1384="Pago tarjeta"),-1,1)*C1384)</f>
        <v/>
      </c>
      <c r="U1384" s="20">
        <f>IF(OR(G1384="",AND(I1384&lt;&gt;"Transferencia",I1384&lt;&gt;"Pago tarjeta")),"",IF(IFERROR(INDEX(ctaMon,MATCH(G1384,ctaNom,0))&amp;"","DOP")=N1384,C1384,IF(N1384="USD",C1384*TasaUSD,C1384/TasaUSD)))</f>
        <v/>
      </c>
      <c r="V1384" s="20">
        <f>IF(I1384="","",IF(IFERROR(INDEX(ctaLiq,MATCH(E1384,ctaNom,0))="Sí",FALSE),IF(OR(I1384="Gasto",I1384="Transferencia",I1384="Pago tarjeta"),-1,1)*O1384,0)+IF(AND(U1384&lt;&gt;"",IFERROR(INDEX(ctaLiq,MATCH(G1384,ctaNom,0))="Sí",FALSE)),O1384,0))</f>
        <v/>
      </c>
      <c r="W1384" s="19">
        <f>IF(OR(F1384="",I1384=""),"",IF(COUNTIFS(F$6:F1384,F1384,I$6:I1384,"?*")=1,MAX(W$5:W1383)+1,""))</f>
        <v/>
      </c>
    </row>
    <row r="1385">
      <c r="B1385" s="15" t="n"/>
      <c r="C1385" s="16" t="n"/>
      <c r="D1385" s="17" t="n"/>
      <c r="E1385" s="17" t="n"/>
      <c r="F1385" s="17" t="n"/>
      <c r="G1385" s="17" t="n"/>
      <c r="H1385" s="18">
        <f>IF(AND(B1385="",C1385="",D1385="",E1385=""),"",IF(B1385="","⚠ Falta fecha",IF(C1385="","⚠ Falta monto",IF(D1385="","⚠ Falta categoría",IF(ISNA(MATCH(D1385,catNom,0)),"⚠ Categoría no existe",IF(E1385="","⚠ Falta cuenta",IF(ISNA(MATCH(E1385,ctaNom,0)),"⚠ Cuenta no existe",IF(AND(OR(I1385="Transferencia",I1385="Pago tarjeta"),G1385=""),"⚠ Indica la cuenta «Hacia»",IF(AND(G1385&lt;&gt;"",G1385=E1385),"⚠ «Hacia» igual a la cuenta",IF(AND(G1385&lt;&gt;"",ISNA(MATCH(G1385,ctaNom,0))),"⚠ «Hacia» no existe",IF(AND(I1385="Pago tarjeta",IFERROR(INDEX(ctaTipo,MATCH(G1385,ctaNom,0)),"")&lt;&gt;"Tarjeta de crédito"),"⚠ «Hacia» debe ser la tarjeta",IF(AND(I1385="Trading",IFERROR(INDEX(ctaTipo,MATCH(E1385,ctaNom,0)),"")&lt;&gt;"Cuenta de trading"),"⚠ Usa la cuenta de trading","✓"))))))))))))</f>
        <v/>
      </c>
      <c r="I1385" s="19">
        <f>IF(OR(B1385="",C1385="",D1385=""),"",IFERROR(INDEX(catTipo,MATCH(D1385,catNom,0))&amp;"",""))</f>
        <v/>
      </c>
      <c r="J1385" s="19">
        <f>IF(I1385="","",IFERROR(INDEX(catGrupo,MATCH(D1385,catNom,0))&amp;"",""))</f>
        <v/>
      </c>
      <c r="K1385" s="19">
        <f>IF(I1385="Gasto",IF(IFERROR(INDEX(catClas,MATCH(D1385,catNom,0))&amp;"","")="","Variable",IFERROR(INDEX(catClas,MATCH(D1385,catNom,0))&amp;"","")),"")</f>
        <v/>
      </c>
      <c r="L1385" s="19">
        <f>IF(I1385="","",IFERROR(INDEX(catAlim,MATCH(D1385,catNom,0))&amp;"",""))</f>
        <v/>
      </c>
      <c r="M1385" s="19">
        <f>IF(I1385="","",IFERROR(INDEX(catComida,MATCH(D1385,catNom,0))&amp;"",""))</f>
        <v/>
      </c>
      <c r="N1385" s="19">
        <f>IF(I1385="","",IFERROR(INDEX(ctaMon,MATCH(E1385,ctaNom,0))&amp;"","DOP"))</f>
        <v/>
      </c>
      <c r="O1385" s="20">
        <f>IF(I1385="","",C1385*IF(N1385="USD",TasaUSD,1))</f>
        <v/>
      </c>
      <c r="P1385" s="20">
        <f>IF(I1385="","",IF(I1385="Gasto",O1385,0))</f>
        <v/>
      </c>
      <c r="Q1385" s="20">
        <f>IF(I1385="","",IF(I1385="Ingreso",O1385,0))</f>
        <v/>
      </c>
      <c r="R1385" s="20">
        <f>IF(I1385="","",IF(I1385="Trading",O1385,0))</f>
        <v/>
      </c>
      <c r="S1385" s="19">
        <f>IF(I1385="","",IF(AND(I1385="Gasto",K1385="Variable",J1385&lt;&gt;"Trading",O1385&gt;0,O1385&lt;=Umbral),1,0))</f>
        <v/>
      </c>
      <c r="T1385" s="20">
        <f>IF(OR(I1385="",E1385=""),"",IF(OR(I1385="Gasto",I1385="Transferencia",I1385="Pago tarjeta"),-1,1)*C1385)</f>
        <v/>
      </c>
      <c r="U1385" s="20">
        <f>IF(OR(G1385="",AND(I1385&lt;&gt;"Transferencia",I1385&lt;&gt;"Pago tarjeta")),"",IF(IFERROR(INDEX(ctaMon,MATCH(G1385,ctaNom,0))&amp;"","DOP")=N1385,C1385,IF(N1385="USD",C1385*TasaUSD,C1385/TasaUSD)))</f>
        <v/>
      </c>
      <c r="V1385" s="20">
        <f>IF(I1385="","",IF(IFERROR(INDEX(ctaLiq,MATCH(E1385,ctaNom,0))="Sí",FALSE),IF(OR(I1385="Gasto",I1385="Transferencia",I1385="Pago tarjeta"),-1,1)*O1385,0)+IF(AND(U1385&lt;&gt;"",IFERROR(INDEX(ctaLiq,MATCH(G1385,ctaNom,0))="Sí",FALSE)),O1385,0))</f>
        <v/>
      </c>
      <c r="W1385" s="19">
        <f>IF(OR(F1385="",I1385=""),"",IF(COUNTIFS(F$6:F1385,F1385,I$6:I1385,"?*")=1,MAX(W$5:W1384)+1,""))</f>
        <v/>
      </c>
    </row>
    <row r="1386">
      <c r="B1386" s="15" t="n"/>
      <c r="C1386" s="16" t="n"/>
      <c r="D1386" s="17" t="n"/>
      <c r="E1386" s="17" t="n"/>
      <c r="F1386" s="17" t="n"/>
      <c r="G1386" s="17" t="n"/>
      <c r="H1386" s="18">
        <f>IF(AND(B1386="",C1386="",D1386="",E1386=""),"",IF(B1386="","⚠ Falta fecha",IF(C1386="","⚠ Falta monto",IF(D1386="","⚠ Falta categoría",IF(ISNA(MATCH(D1386,catNom,0)),"⚠ Categoría no existe",IF(E1386="","⚠ Falta cuenta",IF(ISNA(MATCH(E1386,ctaNom,0)),"⚠ Cuenta no existe",IF(AND(OR(I1386="Transferencia",I1386="Pago tarjeta"),G1386=""),"⚠ Indica la cuenta «Hacia»",IF(AND(G1386&lt;&gt;"",G1386=E1386),"⚠ «Hacia» igual a la cuenta",IF(AND(G1386&lt;&gt;"",ISNA(MATCH(G1386,ctaNom,0))),"⚠ «Hacia» no existe",IF(AND(I1386="Pago tarjeta",IFERROR(INDEX(ctaTipo,MATCH(G1386,ctaNom,0)),"")&lt;&gt;"Tarjeta de crédito"),"⚠ «Hacia» debe ser la tarjeta",IF(AND(I1386="Trading",IFERROR(INDEX(ctaTipo,MATCH(E1386,ctaNom,0)),"")&lt;&gt;"Cuenta de trading"),"⚠ Usa la cuenta de trading","✓"))))))))))))</f>
        <v/>
      </c>
      <c r="I1386" s="19">
        <f>IF(OR(B1386="",C1386="",D1386=""),"",IFERROR(INDEX(catTipo,MATCH(D1386,catNom,0))&amp;"",""))</f>
        <v/>
      </c>
      <c r="J1386" s="19">
        <f>IF(I1386="","",IFERROR(INDEX(catGrupo,MATCH(D1386,catNom,0))&amp;"",""))</f>
        <v/>
      </c>
      <c r="K1386" s="19">
        <f>IF(I1386="Gasto",IF(IFERROR(INDEX(catClas,MATCH(D1386,catNom,0))&amp;"","")="","Variable",IFERROR(INDEX(catClas,MATCH(D1386,catNom,0))&amp;"","")),"")</f>
        <v/>
      </c>
      <c r="L1386" s="19">
        <f>IF(I1386="","",IFERROR(INDEX(catAlim,MATCH(D1386,catNom,0))&amp;"",""))</f>
        <v/>
      </c>
      <c r="M1386" s="19">
        <f>IF(I1386="","",IFERROR(INDEX(catComida,MATCH(D1386,catNom,0))&amp;"",""))</f>
        <v/>
      </c>
      <c r="N1386" s="19">
        <f>IF(I1386="","",IFERROR(INDEX(ctaMon,MATCH(E1386,ctaNom,0))&amp;"","DOP"))</f>
        <v/>
      </c>
      <c r="O1386" s="20">
        <f>IF(I1386="","",C1386*IF(N1386="USD",TasaUSD,1))</f>
        <v/>
      </c>
      <c r="P1386" s="20">
        <f>IF(I1386="","",IF(I1386="Gasto",O1386,0))</f>
        <v/>
      </c>
      <c r="Q1386" s="20">
        <f>IF(I1386="","",IF(I1386="Ingreso",O1386,0))</f>
        <v/>
      </c>
      <c r="R1386" s="20">
        <f>IF(I1386="","",IF(I1386="Trading",O1386,0))</f>
        <v/>
      </c>
      <c r="S1386" s="19">
        <f>IF(I1386="","",IF(AND(I1386="Gasto",K1386="Variable",J1386&lt;&gt;"Trading",O1386&gt;0,O1386&lt;=Umbral),1,0))</f>
        <v/>
      </c>
      <c r="T1386" s="20">
        <f>IF(OR(I1386="",E1386=""),"",IF(OR(I1386="Gasto",I1386="Transferencia",I1386="Pago tarjeta"),-1,1)*C1386)</f>
        <v/>
      </c>
      <c r="U1386" s="20">
        <f>IF(OR(G1386="",AND(I1386&lt;&gt;"Transferencia",I1386&lt;&gt;"Pago tarjeta")),"",IF(IFERROR(INDEX(ctaMon,MATCH(G1386,ctaNom,0))&amp;"","DOP")=N1386,C1386,IF(N1386="USD",C1386*TasaUSD,C1386/TasaUSD)))</f>
        <v/>
      </c>
      <c r="V1386" s="20">
        <f>IF(I1386="","",IF(IFERROR(INDEX(ctaLiq,MATCH(E1386,ctaNom,0))="Sí",FALSE),IF(OR(I1386="Gasto",I1386="Transferencia",I1386="Pago tarjeta"),-1,1)*O1386,0)+IF(AND(U1386&lt;&gt;"",IFERROR(INDEX(ctaLiq,MATCH(G1386,ctaNom,0))="Sí",FALSE)),O1386,0))</f>
        <v/>
      </c>
      <c r="W1386" s="19">
        <f>IF(OR(F1386="",I1386=""),"",IF(COUNTIFS(F$6:F1386,F1386,I$6:I1386,"?*")=1,MAX(W$5:W1385)+1,""))</f>
        <v/>
      </c>
    </row>
    <row r="1387">
      <c r="B1387" s="15" t="n"/>
      <c r="C1387" s="16" t="n"/>
      <c r="D1387" s="17" t="n"/>
      <c r="E1387" s="17" t="n"/>
      <c r="F1387" s="17" t="n"/>
      <c r="G1387" s="17" t="n"/>
      <c r="H1387" s="18">
        <f>IF(AND(B1387="",C1387="",D1387="",E1387=""),"",IF(B1387="","⚠ Falta fecha",IF(C1387="","⚠ Falta monto",IF(D1387="","⚠ Falta categoría",IF(ISNA(MATCH(D1387,catNom,0)),"⚠ Categoría no existe",IF(E1387="","⚠ Falta cuenta",IF(ISNA(MATCH(E1387,ctaNom,0)),"⚠ Cuenta no existe",IF(AND(OR(I1387="Transferencia",I1387="Pago tarjeta"),G1387=""),"⚠ Indica la cuenta «Hacia»",IF(AND(G1387&lt;&gt;"",G1387=E1387),"⚠ «Hacia» igual a la cuenta",IF(AND(G1387&lt;&gt;"",ISNA(MATCH(G1387,ctaNom,0))),"⚠ «Hacia» no existe",IF(AND(I1387="Pago tarjeta",IFERROR(INDEX(ctaTipo,MATCH(G1387,ctaNom,0)),"")&lt;&gt;"Tarjeta de crédito"),"⚠ «Hacia» debe ser la tarjeta",IF(AND(I1387="Trading",IFERROR(INDEX(ctaTipo,MATCH(E1387,ctaNom,0)),"")&lt;&gt;"Cuenta de trading"),"⚠ Usa la cuenta de trading","✓"))))))))))))</f>
        <v/>
      </c>
      <c r="I1387" s="19">
        <f>IF(OR(B1387="",C1387="",D1387=""),"",IFERROR(INDEX(catTipo,MATCH(D1387,catNom,0))&amp;"",""))</f>
        <v/>
      </c>
      <c r="J1387" s="19">
        <f>IF(I1387="","",IFERROR(INDEX(catGrupo,MATCH(D1387,catNom,0))&amp;"",""))</f>
        <v/>
      </c>
      <c r="K1387" s="19">
        <f>IF(I1387="Gasto",IF(IFERROR(INDEX(catClas,MATCH(D1387,catNom,0))&amp;"","")="","Variable",IFERROR(INDEX(catClas,MATCH(D1387,catNom,0))&amp;"","")),"")</f>
        <v/>
      </c>
      <c r="L1387" s="19">
        <f>IF(I1387="","",IFERROR(INDEX(catAlim,MATCH(D1387,catNom,0))&amp;"",""))</f>
        <v/>
      </c>
      <c r="M1387" s="19">
        <f>IF(I1387="","",IFERROR(INDEX(catComida,MATCH(D1387,catNom,0))&amp;"",""))</f>
        <v/>
      </c>
      <c r="N1387" s="19">
        <f>IF(I1387="","",IFERROR(INDEX(ctaMon,MATCH(E1387,ctaNom,0))&amp;"","DOP"))</f>
        <v/>
      </c>
      <c r="O1387" s="20">
        <f>IF(I1387="","",C1387*IF(N1387="USD",TasaUSD,1))</f>
        <v/>
      </c>
      <c r="P1387" s="20">
        <f>IF(I1387="","",IF(I1387="Gasto",O1387,0))</f>
        <v/>
      </c>
      <c r="Q1387" s="20">
        <f>IF(I1387="","",IF(I1387="Ingreso",O1387,0))</f>
        <v/>
      </c>
      <c r="R1387" s="20">
        <f>IF(I1387="","",IF(I1387="Trading",O1387,0))</f>
        <v/>
      </c>
      <c r="S1387" s="19">
        <f>IF(I1387="","",IF(AND(I1387="Gasto",K1387="Variable",J1387&lt;&gt;"Trading",O1387&gt;0,O1387&lt;=Umbral),1,0))</f>
        <v/>
      </c>
      <c r="T1387" s="20">
        <f>IF(OR(I1387="",E1387=""),"",IF(OR(I1387="Gasto",I1387="Transferencia",I1387="Pago tarjeta"),-1,1)*C1387)</f>
        <v/>
      </c>
      <c r="U1387" s="20">
        <f>IF(OR(G1387="",AND(I1387&lt;&gt;"Transferencia",I1387&lt;&gt;"Pago tarjeta")),"",IF(IFERROR(INDEX(ctaMon,MATCH(G1387,ctaNom,0))&amp;"","DOP")=N1387,C1387,IF(N1387="USD",C1387*TasaUSD,C1387/TasaUSD)))</f>
        <v/>
      </c>
      <c r="V1387" s="20">
        <f>IF(I1387="","",IF(IFERROR(INDEX(ctaLiq,MATCH(E1387,ctaNom,0))="Sí",FALSE),IF(OR(I1387="Gasto",I1387="Transferencia",I1387="Pago tarjeta"),-1,1)*O1387,0)+IF(AND(U1387&lt;&gt;"",IFERROR(INDEX(ctaLiq,MATCH(G1387,ctaNom,0))="Sí",FALSE)),O1387,0))</f>
        <v/>
      </c>
      <c r="W1387" s="19">
        <f>IF(OR(F1387="",I1387=""),"",IF(COUNTIFS(F$6:F1387,F1387,I$6:I1387,"?*")=1,MAX(W$5:W1386)+1,""))</f>
        <v/>
      </c>
    </row>
    <row r="1388">
      <c r="B1388" s="15" t="n"/>
      <c r="C1388" s="16" t="n"/>
      <c r="D1388" s="17" t="n"/>
      <c r="E1388" s="17" t="n"/>
      <c r="F1388" s="17" t="n"/>
      <c r="G1388" s="17" t="n"/>
      <c r="H1388" s="18">
        <f>IF(AND(B1388="",C1388="",D1388="",E1388=""),"",IF(B1388="","⚠ Falta fecha",IF(C1388="","⚠ Falta monto",IF(D1388="","⚠ Falta categoría",IF(ISNA(MATCH(D1388,catNom,0)),"⚠ Categoría no existe",IF(E1388="","⚠ Falta cuenta",IF(ISNA(MATCH(E1388,ctaNom,0)),"⚠ Cuenta no existe",IF(AND(OR(I1388="Transferencia",I1388="Pago tarjeta"),G1388=""),"⚠ Indica la cuenta «Hacia»",IF(AND(G1388&lt;&gt;"",G1388=E1388),"⚠ «Hacia» igual a la cuenta",IF(AND(G1388&lt;&gt;"",ISNA(MATCH(G1388,ctaNom,0))),"⚠ «Hacia» no existe",IF(AND(I1388="Pago tarjeta",IFERROR(INDEX(ctaTipo,MATCH(G1388,ctaNom,0)),"")&lt;&gt;"Tarjeta de crédito"),"⚠ «Hacia» debe ser la tarjeta",IF(AND(I1388="Trading",IFERROR(INDEX(ctaTipo,MATCH(E1388,ctaNom,0)),"")&lt;&gt;"Cuenta de trading"),"⚠ Usa la cuenta de trading","✓"))))))))))))</f>
        <v/>
      </c>
      <c r="I1388" s="19">
        <f>IF(OR(B1388="",C1388="",D1388=""),"",IFERROR(INDEX(catTipo,MATCH(D1388,catNom,0))&amp;"",""))</f>
        <v/>
      </c>
      <c r="J1388" s="19">
        <f>IF(I1388="","",IFERROR(INDEX(catGrupo,MATCH(D1388,catNom,0))&amp;"",""))</f>
        <v/>
      </c>
      <c r="K1388" s="19">
        <f>IF(I1388="Gasto",IF(IFERROR(INDEX(catClas,MATCH(D1388,catNom,0))&amp;"","")="","Variable",IFERROR(INDEX(catClas,MATCH(D1388,catNom,0))&amp;"","")),"")</f>
        <v/>
      </c>
      <c r="L1388" s="19">
        <f>IF(I1388="","",IFERROR(INDEX(catAlim,MATCH(D1388,catNom,0))&amp;"",""))</f>
        <v/>
      </c>
      <c r="M1388" s="19">
        <f>IF(I1388="","",IFERROR(INDEX(catComida,MATCH(D1388,catNom,0))&amp;"",""))</f>
        <v/>
      </c>
      <c r="N1388" s="19">
        <f>IF(I1388="","",IFERROR(INDEX(ctaMon,MATCH(E1388,ctaNom,0))&amp;"","DOP"))</f>
        <v/>
      </c>
      <c r="O1388" s="20">
        <f>IF(I1388="","",C1388*IF(N1388="USD",TasaUSD,1))</f>
        <v/>
      </c>
      <c r="P1388" s="20">
        <f>IF(I1388="","",IF(I1388="Gasto",O1388,0))</f>
        <v/>
      </c>
      <c r="Q1388" s="20">
        <f>IF(I1388="","",IF(I1388="Ingreso",O1388,0))</f>
        <v/>
      </c>
      <c r="R1388" s="20">
        <f>IF(I1388="","",IF(I1388="Trading",O1388,0))</f>
        <v/>
      </c>
      <c r="S1388" s="19">
        <f>IF(I1388="","",IF(AND(I1388="Gasto",K1388="Variable",J1388&lt;&gt;"Trading",O1388&gt;0,O1388&lt;=Umbral),1,0))</f>
        <v/>
      </c>
      <c r="T1388" s="20">
        <f>IF(OR(I1388="",E1388=""),"",IF(OR(I1388="Gasto",I1388="Transferencia",I1388="Pago tarjeta"),-1,1)*C1388)</f>
        <v/>
      </c>
      <c r="U1388" s="20">
        <f>IF(OR(G1388="",AND(I1388&lt;&gt;"Transferencia",I1388&lt;&gt;"Pago tarjeta")),"",IF(IFERROR(INDEX(ctaMon,MATCH(G1388,ctaNom,0))&amp;"","DOP")=N1388,C1388,IF(N1388="USD",C1388*TasaUSD,C1388/TasaUSD)))</f>
        <v/>
      </c>
      <c r="V1388" s="20">
        <f>IF(I1388="","",IF(IFERROR(INDEX(ctaLiq,MATCH(E1388,ctaNom,0))="Sí",FALSE),IF(OR(I1388="Gasto",I1388="Transferencia",I1388="Pago tarjeta"),-1,1)*O1388,0)+IF(AND(U1388&lt;&gt;"",IFERROR(INDEX(ctaLiq,MATCH(G1388,ctaNom,0))="Sí",FALSE)),O1388,0))</f>
        <v/>
      </c>
      <c r="W1388" s="19">
        <f>IF(OR(F1388="",I1388=""),"",IF(COUNTIFS(F$6:F1388,F1388,I$6:I1388,"?*")=1,MAX(W$5:W1387)+1,""))</f>
        <v/>
      </c>
    </row>
    <row r="1389">
      <c r="B1389" s="15" t="n"/>
      <c r="C1389" s="16" t="n"/>
      <c r="D1389" s="17" t="n"/>
      <c r="E1389" s="17" t="n"/>
      <c r="F1389" s="17" t="n"/>
      <c r="G1389" s="17" t="n"/>
      <c r="H1389" s="18">
        <f>IF(AND(B1389="",C1389="",D1389="",E1389=""),"",IF(B1389="","⚠ Falta fecha",IF(C1389="","⚠ Falta monto",IF(D1389="","⚠ Falta categoría",IF(ISNA(MATCH(D1389,catNom,0)),"⚠ Categoría no existe",IF(E1389="","⚠ Falta cuenta",IF(ISNA(MATCH(E1389,ctaNom,0)),"⚠ Cuenta no existe",IF(AND(OR(I1389="Transferencia",I1389="Pago tarjeta"),G1389=""),"⚠ Indica la cuenta «Hacia»",IF(AND(G1389&lt;&gt;"",G1389=E1389),"⚠ «Hacia» igual a la cuenta",IF(AND(G1389&lt;&gt;"",ISNA(MATCH(G1389,ctaNom,0))),"⚠ «Hacia» no existe",IF(AND(I1389="Pago tarjeta",IFERROR(INDEX(ctaTipo,MATCH(G1389,ctaNom,0)),"")&lt;&gt;"Tarjeta de crédito"),"⚠ «Hacia» debe ser la tarjeta",IF(AND(I1389="Trading",IFERROR(INDEX(ctaTipo,MATCH(E1389,ctaNom,0)),"")&lt;&gt;"Cuenta de trading"),"⚠ Usa la cuenta de trading","✓"))))))))))))</f>
        <v/>
      </c>
      <c r="I1389" s="19">
        <f>IF(OR(B1389="",C1389="",D1389=""),"",IFERROR(INDEX(catTipo,MATCH(D1389,catNom,0))&amp;"",""))</f>
        <v/>
      </c>
      <c r="J1389" s="19">
        <f>IF(I1389="","",IFERROR(INDEX(catGrupo,MATCH(D1389,catNom,0))&amp;"",""))</f>
        <v/>
      </c>
      <c r="K1389" s="19">
        <f>IF(I1389="Gasto",IF(IFERROR(INDEX(catClas,MATCH(D1389,catNom,0))&amp;"","")="","Variable",IFERROR(INDEX(catClas,MATCH(D1389,catNom,0))&amp;"","")),"")</f>
        <v/>
      </c>
      <c r="L1389" s="19">
        <f>IF(I1389="","",IFERROR(INDEX(catAlim,MATCH(D1389,catNom,0))&amp;"",""))</f>
        <v/>
      </c>
      <c r="M1389" s="19">
        <f>IF(I1389="","",IFERROR(INDEX(catComida,MATCH(D1389,catNom,0))&amp;"",""))</f>
        <v/>
      </c>
      <c r="N1389" s="19">
        <f>IF(I1389="","",IFERROR(INDEX(ctaMon,MATCH(E1389,ctaNom,0))&amp;"","DOP"))</f>
        <v/>
      </c>
      <c r="O1389" s="20">
        <f>IF(I1389="","",C1389*IF(N1389="USD",TasaUSD,1))</f>
        <v/>
      </c>
      <c r="P1389" s="20">
        <f>IF(I1389="","",IF(I1389="Gasto",O1389,0))</f>
        <v/>
      </c>
      <c r="Q1389" s="20">
        <f>IF(I1389="","",IF(I1389="Ingreso",O1389,0))</f>
        <v/>
      </c>
      <c r="R1389" s="20">
        <f>IF(I1389="","",IF(I1389="Trading",O1389,0))</f>
        <v/>
      </c>
      <c r="S1389" s="19">
        <f>IF(I1389="","",IF(AND(I1389="Gasto",K1389="Variable",J1389&lt;&gt;"Trading",O1389&gt;0,O1389&lt;=Umbral),1,0))</f>
        <v/>
      </c>
      <c r="T1389" s="20">
        <f>IF(OR(I1389="",E1389=""),"",IF(OR(I1389="Gasto",I1389="Transferencia",I1389="Pago tarjeta"),-1,1)*C1389)</f>
        <v/>
      </c>
      <c r="U1389" s="20">
        <f>IF(OR(G1389="",AND(I1389&lt;&gt;"Transferencia",I1389&lt;&gt;"Pago tarjeta")),"",IF(IFERROR(INDEX(ctaMon,MATCH(G1389,ctaNom,0))&amp;"","DOP")=N1389,C1389,IF(N1389="USD",C1389*TasaUSD,C1389/TasaUSD)))</f>
        <v/>
      </c>
      <c r="V1389" s="20">
        <f>IF(I1389="","",IF(IFERROR(INDEX(ctaLiq,MATCH(E1389,ctaNom,0))="Sí",FALSE),IF(OR(I1389="Gasto",I1389="Transferencia",I1389="Pago tarjeta"),-1,1)*O1389,0)+IF(AND(U1389&lt;&gt;"",IFERROR(INDEX(ctaLiq,MATCH(G1389,ctaNom,0))="Sí",FALSE)),O1389,0))</f>
        <v/>
      </c>
      <c r="W1389" s="19">
        <f>IF(OR(F1389="",I1389=""),"",IF(COUNTIFS(F$6:F1389,F1389,I$6:I1389,"?*")=1,MAX(W$5:W1388)+1,""))</f>
        <v/>
      </c>
    </row>
    <row r="1390">
      <c r="B1390" s="15" t="n"/>
      <c r="C1390" s="16" t="n"/>
      <c r="D1390" s="17" t="n"/>
      <c r="E1390" s="17" t="n"/>
      <c r="F1390" s="17" t="n"/>
      <c r="G1390" s="17" t="n"/>
      <c r="H1390" s="18">
        <f>IF(AND(B1390="",C1390="",D1390="",E1390=""),"",IF(B1390="","⚠ Falta fecha",IF(C1390="","⚠ Falta monto",IF(D1390="","⚠ Falta categoría",IF(ISNA(MATCH(D1390,catNom,0)),"⚠ Categoría no existe",IF(E1390="","⚠ Falta cuenta",IF(ISNA(MATCH(E1390,ctaNom,0)),"⚠ Cuenta no existe",IF(AND(OR(I1390="Transferencia",I1390="Pago tarjeta"),G1390=""),"⚠ Indica la cuenta «Hacia»",IF(AND(G1390&lt;&gt;"",G1390=E1390),"⚠ «Hacia» igual a la cuenta",IF(AND(G1390&lt;&gt;"",ISNA(MATCH(G1390,ctaNom,0))),"⚠ «Hacia» no existe",IF(AND(I1390="Pago tarjeta",IFERROR(INDEX(ctaTipo,MATCH(G1390,ctaNom,0)),"")&lt;&gt;"Tarjeta de crédito"),"⚠ «Hacia» debe ser la tarjeta",IF(AND(I1390="Trading",IFERROR(INDEX(ctaTipo,MATCH(E1390,ctaNom,0)),"")&lt;&gt;"Cuenta de trading"),"⚠ Usa la cuenta de trading","✓"))))))))))))</f>
        <v/>
      </c>
      <c r="I1390" s="19">
        <f>IF(OR(B1390="",C1390="",D1390=""),"",IFERROR(INDEX(catTipo,MATCH(D1390,catNom,0))&amp;"",""))</f>
        <v/>
      </c>
      <c r="J1390" s="19">
        <f>IF(I1390="","",IFERROR(INDEX(catGrupo,MATCH(D1390,catNom,0))&amp;"",""))</f>
        <v/>
      </c>
      <c r="K1390" s="19">
        <f>IF(I1390="Gasto",IF(IFERROR(INDEX(catClas,MATCH(D1390,catNom,0))&amp;"","")="","Variable",IFERROR(INDEX(catClas,MATCH(D1390,catNom,0))&amp;"","")),"")</f>
        <v/>
      </c>
      <c r="L1390" s="19">
        <f>IF(I1390="","",IFERROR(INDEX(catAlim,MATCH(D1390,catNom,0))&amp;"",""))</f>
        <v/>
      </c>
      <c r="M1390" s="19">
        <f>IF(I1390="","",IFERROR(INDEX(catComida,MATCH(D1390,catNom,0))&amp;"",""))</f>
        <v/>
      </c>
      <c r="N1390" s="19">
        <f>IF(I1390="","",IFERROR(INDEX(ctaMon,MATCH(E1390,ctaNom,0))&amp;"","DOP"))</f>
        <v/>
      </c>
      <c r="O1390" s="20">
        <f>IF(I1390="","",C1390*IF(N1390="USD",TasaUSD,1))</f>
        <v/>
      </c>
      <c r="P1390" s="20">
        <f>IF(I1390="","",IF(I1390="Gasto",O1390,0))</f>
        <v/>
      </c>
      <c r="Q1390" s="20">
        <f>IF(I1390="","",IF(I1390="Ingreso",O1390,0))</f>
        <v/>
      </c>
      <c r="R1390" s="20">
        <f>IF(I1390="","",IF(I1390="Trading",O1390,0))</f>
        <v/>
      </c>
      <c r="S1390" s="19">
        <f>IF(I1390="","",IF(AND(I1390="Gasto",K1390="Variable",J1390&lt;&gt;"Trading",O1390&gt;0,O1390&lt;=Umbral),1,0))</f>
        <v/>
      </c>
      <c r="T1390" s="20">
        <f>IF(OR(I1390="",E1390=""),"",IF(OR(I1390="Gasto",I1390="Transferencia",I1390="Pago tarjeta"),-1,1)*C1390)</f>
        <v/>
      </c>
      <c r="U1390" s="20">
        <f>IF(OR(G1390="",AND(I1390&lt;&gt;"Transferencia",I1390&lt;&gt;"Pago tarjeta")),"",IF(IFERROR(INDEX(ctaMon,MATCH(G1390,ctaNom,0))&amp;"","DOP")=N1390,C1390,IF(N1390="USD",C1390*TasaUSD,C1390/TasaUSD)))</f>
        <v/>
      </c>
      <c r="V1390" s="20">
        <f>IF(I1390="","",IF(IFERROR(INDEX(ctaLiq,MATCH(E1390,ctaNom,0))="Sí",FALSE),IF(OR(I1390="Gasto",I1390="Transferencia",I1390="Pago tarjeta"),-1,1)*O1390,0)+IF(AND(U1390&lt;&gt;"",IFERROR(INDEX(ctaLiq,MATCH(G1390,ctaNom,0))="Sí",FALSE)),O1390,0))</f>
        <v/>
      </c>
      <c r="W1390" s="19">
        <f>IF(OR(F1390="",I1390=""),"",IF(COUNTIFS(F$6:F1390,F1390,I$6:I1390,"?*")=1,MAX(W$5:W1389)+1,""))</f>
        <v/>
      </c>
    </row>
    <row r="1391">
      <c r="B1391" s="15" t="n"/>
      <c r="C1391" s="16" t="n"/>
      <c r="D1391" s="17" t="n"/>
      <c r="E1391" s="17" t="n"/>
      <c r="F1391" s="17" t="n"/>
      <c r="G1391" s="17" t="n"/>
      <c r="H1391" s="18">
        <f>IF(AND(B1391="",C1391="",D1391="",E1391=""),"",IF(B1391="","⚠ Falta fecha",IF(C1391="","⚠ Falta monto",IF(D1391="","⚠ Falta categoría",IF(ISNA(MATCH(D1391,catNom,0)),"⚠ Categoría no existe",IF(E1391="","⚠ Falta cuenta",IF(ISNA(MATCH(E1391,ctaNom,0)),"⚠ Cuenta no existe",IF(AND(OR(I1391="Transferencia",I1391="Pago tarjeta"),G1391=""),"⚠ Indica la cuenta «Hacia»",IF(AND(G1391&lt;&gt;"",G1391=E1391),"⚠ «Hacia» igual a la cuenta",IF(AND(G1391&lt;&gt;"",ISNA(MATCH(G1391,ctaNom,0))),"⚠ «Hacia» no existe",IF(AND(I1391="Pago tarjeta",IFERROR(INDEX(ctaTipo,MATCH(G1391,ctaNom,0)),"")&lt;&gt;"Tarjeta de crédito"),"⚠ «Hacia» debe ser la tarjeta",IF(AND(I1391="Trading",IFERROR(INDEX(ctaTipo,MATCH(E1391,ctaNom,0)),"")&lt;&gt;"Cuenta de trading"),"⚠ Usa la cuenta de trading","✓"))))))))))))</f>
        <v/>
      </c>
      <c r="I1391" s="19">
        <f>IF(OR(B1391="",C1391="",D1391=""),"",IFERROR(INDEX(catTipo,MATCH(D1391,catNom,0))&amp;"",""))</f>
        <v/>
      </c>
      <c r="J1391" s="19">
        <f>IF(I1391="","",IFERROR(INDEX(catGrupo,MATCH(D1391,catNom,0))&amp;"",""))</f>
        <v/>
      </c>
      <c r="K1391" s="19">
        <f>IF(I1391="Gasto",IF(IFERROR(INDEX(catClas,MATCH(D1391,catNom,0))&amp;"","")="","Variable",IFERROR(INDEX(catClas,MATCH(D1391,catNom,0))&amp;"","")),"")</f>
        <v/>
      </c>
      <c r="L1391" s="19">
        <f>IF(I1391="","",IFERROR(INDEX(catAlim,MATCH(D1391,catNom,0))&amp;"",""))</f>
        <v/>
      </c>
      <c r="M1391" s="19">
        <f>IF(I1391="","",IFERROR(INDEX(catComida,MATCH(D1391,catNom,0))&amp;"",""))</f>
        <v/>
      </c>
      <c r="N1391" s="19">
        <f>IF(I1391="","",IFERROR(INDEX(ctaMon,MATCH(E1391,ctaNom,0))&amp;"","DOP"))</f>
        <v/>
      </c>
      <c r="O1391" s="20">
        <f>IF(I1391="","",C1391*IF(N1391="USD",TasaUSD,1))</f>
        <v/>
      </c>
      <c r="P1391" s="20">
        <f>IF(I1391="","",IF(I1391="Gasto",O1391,0))</f>
        <v/>
      </c>
      <c r="Q1391" s="20">
        <f>IF(I1391="","",IF(I1391="Ingreso",O1391,0))</f>
        <v/>
      </c>
      <c r="R1391" s="20">
        <f>IF(I1391="","",IF(I1391="Trading",O1391,0))</f>
        <v/>
      </c>
      <c r="S1391" s="19">
        <f>IF(I1391="","",IF(AND(I1391="Gasto",K1391="Variable",J1391&lt;&gt;"Trading",O1391&gt;0,O1391&lt;=Umbral),1,0))</f>
        <v/>
      </c>
      <c r="T1391" s="20">
        <f>IF(OR(I1391="",E1391=""),"",IF(OR(I1391="Gasto",I1391="Transferencia",I1391="Pago tarjeta"),-1,1)*C1391)</f>
        <v/>
      </c>
      <c r="U1391" s="20">
        <f>IF(OR(G1391="",AND(I1391&lt;&gt;"Transferencia",I1391&lt;&gt;"Pago tarjeta")),"",IF(IFERROR(INDEX(ctaMon,MATCH(G1391,ctaNom,0))&amp;"","DOP")=N1391,C1391,IF(N1391="USD",C1391*TasaUSD,C1391/TasaUSD)))</f>
        <v/>
      </c>
      <c r="V1391" s="20">
        <f>IF(I1391="","",IF(IFERROR(INDEX(ctaLiq,MATCH(E1391,ctaNom,0))="Sí",FALSE),IF(OR(I1391="Gasto",I1391="Transferencia",I1391="Pago tarjeta"),-1,1)*O1391,0)+IF(AND(U1391&lt;&gt;"",IFERROR(INDEX(ctaLiq,MATCH(G1391,ctaNom,0))="Sí",FALSE)),O1391,0))</f>
        <v/>
      </c>
      <c r="W1391" s="19">
        <f>IF(OR(F1391="",I1391=""),"",IF(COUNTIFS(F$6:F1391,F1391,I$6:I1391,"?*")=1,MAX(W$5:W1390)+1,""))</f>
        <v/>
      </c>
    </row>
    <row r="1392">
      <c r="B1392" s="15" t="n"/>
      <c r="C1392" s="16" t="n"/>
      <c r="D1392" s="17" t="n"/>
      <c r="E1392" s="17" t="n"/>
      <c r="F1392" s="17" t="n"/>
      <c r="G1392" s="17" t="n"/>
      <c r="H1392" s="18">
        <f>IF(AND(B1392="",C1392="",D1392="",E1392=""),"",IF(B1392="","⚠ Falta fecha",IF(C1392="","⚠ Falta monto",IF(D1392="","⚠ Falta categoría",IF(ISNA(MATCH(D1392,catNom,0)),"⚠ Categoría no existe",IF(E1392="","⚠ Falta cuenta",IF(ISNA(MATCH(E1392,ctaNom,0)),"⚠ Cuenta no existe",IF(AND(OR(I1392="Transferencia",I1392="Pago tarjeta"),G1392=""),"⚠ Indica la cuenta «Hacia»",IF(AND(G1392&lt;&gt;"",G1392=E1392),"⚠ «Hacia» igual a la cuenta",IF(AND(G1392&lt;&gt;"",ISNA(MATCH(G1392,ctaNom,0))),"⚠ «Hacia» no existe",IF(AND(I1392="Pago tarjeta",IFERROR(INDEX(ctaTipo,MATCH(G1392,ctaNom,0)),"")&lt;&gt;"Tarjeta de crédito"),"⚠ «Hacia» debe ser la tarjeta",IF(AND(I1392="Trading",IFERROR(INDEX(ctaTipo,MATCH(E1392,ctaNom,0)),"")&lt;&gt;"Cuenta de trading"),"⚠ Usa la cuenta de trading","✓"))))))))))))</f>
        <v/>
      </c>
      <c r="I1392" s="19">
        <f>IF(OR(B1392="",C1392="",D1392=""),"",IFERROR(INDEX(catTipo,MATCH(D1392,catNom,0))&amp;"",""))</f>
        <v/>
      </c>
      <c r="J1392" s="19">
        <f>IF(I1392="","",IFERROR(INDEX(catGrupo,MATCH(D1392,catNom,0))&amp;"",""))</f>
        <v/>
      </c>
      <c r="K1392" s="19">
        <f>IF(I1392="Gasto",IF(IFERROR(INDEX(catClas,MATCH(D1392,catNom,0))&amp;"","")="","Variable",IFERROR(INDEX(catClas,MATCH(D1392,catNom,0))&amp;"","")),"")</f>
        <v/>
      </c>
      <c r="L1392" s="19">
        <f>IF(I1392="","",IFERROR(INDEX(catAlim,MATCH(D1392,catNom,0))&amp;"",""))</f>
        <v/>
      </c>
      <c r="M1392" s="19">
        <f>IF(I1392="","",IFERROR(INDEX(catComida,MATCH(D1392,catNom,0))&amp;"",""))</f>
        <v/>
      </c>
      <c r="N1392" s="19">
        <f>IF(I1392="","",IFERROR(INDEX(ctaMon,MATCH(E1392,ctaNom,0))&amp;"","DOP"))</f>
        <v/>
      </c>
      <c r="O1392" s="20">
        <f>IF(I1392="","",C1392*IF(N1392="USD",TasaUSD,1))</f>
        <v/>
      </c>
      <c r="P1392" s="20">
        <f>IF(I1392="","",IF(I1392="Gasto",O1392,0))</f>
        <v/>
      </c>
      <c r="Q1392" s="20">
        <f>IF(I1392="","",IF(I1392="Ingreso",O1392,0))</f>
        <v/>
      </c>
      <c r="R1392" s="20">
        <f>IF(I1392="","",IF(I1392="Trading",O1392,0))</f>
        <v/>
      </c>
      <c r="S1392" s="19">
        <f>IF(I1392="","",IF(AND(I1392="Gasto",K1392="Variable",J1392&lt;&gt;"Trading",O1392&gt;0,O1392&lt;=Umbral),1,0))</f>
        <v/>
      </c>
      <c r="T1392" s="20">
        <f>IF(OR(I1392="",E1392=""),"",IF(OR(I1392="Gasto",I1392="Transferencia",I1392="Pago tarjeta"),-1,1)*C1392)</f>
        <v/>
      </c>
      <c r="U1392" s="20">
        <f>IF(OR(G1392="",AND(I1392&lt;&gt;"Transferencia",I1392&lt;&gt;"Pago tarjeta")),"",IF(IFERROR(INDEX(ctaMon,MATCH(G1392,ctaNom,0))&amp;"","DOP")=N1392,C1392,IF(N1392="USD",C1392*TasaUSD,C1392/TasaUSD)))</f>
        <v/>
      </c>
      <c r="V1392" s="20">
        <f>IF(I1392="","",IF(IFERROR(INDEX(ctaLiq,MATCH(E1392,ctaNom,0))="Sí",FALSE),IF(OR(I1392="Gasto",I1392="Transferencia",I1392="Pago tarjeta"),-1,1)*O1392,0)+IF(AND(U1392&lt;&gt;"",IFERROR(INDEX(ctaLiq,MATCH(G1392,ctaNom,0))="Sí",FALSE)),O1392,0))</f>
        <v/>
      </c>
      <c r="W1392" s="19">
        <f>IF(OR(F1392="",I1392=""),"",IF(COUNTIFS(F$6:F1392,F1392,I$6:I1392,"?*")=1,MAX(W$5:W1391)+1,""))</f>
        <v/>
      </c>
    </row>
    <row r="1393">
      <c r="B1393" s="15" t="n"/>
      <c r="C1393" s="16" t="n"/>
      <c r="D1393" s="17" t="n"/>
      <c r="E1393" s="17" t="n"/>
      <c r="F1393" s="17" t="n"/>
      <c r="G1393" s="17" t="n"/>
      <c r="H1393" s="18">
        <f>IF(AND(B1393="",C1393="",D1393="",E1393=""),"",IF(B1393="","⚠ Falta fecha",IF(C1393="","⚠ Falta monto",IF(D1393="","⚠ Falta categoría",IF(ISNA(MATCH(D1393,catNom,0)),"⚠ Categoría no existe",IF(E1393="","⚠ Falta cuenta",IF(ISNA(MATCH(E1393,ctaNom,0)),"⚠ Cuenta no existe",IF(AND(OR(I1393="Transferencia",I1393="Pago tarjeta"),G1393=""),"⚠ Indica la cuenta «Hacia»",IF(AND(G1393&lt;&gt;"",G1393=E1393),"⚠ «Hacia» igual a la cuenta",IF(AND(G1393&lt;&gt;"",ISNA(MATCH(G1393,ctaNom,0))),"⚠ «Hacia» no existe",IF(AND(I1393="Pago tarjeta",IFERROR(INDEX(ctaTipo,MATCH(G1393,ctaNom,0)),"")&lt;&gt;"Tarjeta de crédito"),"⚠ «Hacia» debe ser la tarjeta",IF(AND(I1393="Trading",IFERROR(INDEX(ctaTipo,MATCH(E1393,ctaNom,0)),"")&lt;&gt;"Cuenta de trading"),"⚠ Usa la cuenta de trading","✓"))))))))))))</f>
        <v/>
      </c>
      <c r="I1393" s="19">
        <f>IF(OR(B1393="",C1393="",D1393=""),"",IFERROR(INDEX(catTipo,MATCH(D1393,catNom,0))&amp;"",""))</f>
        <v/>
      </c>
      <c r="J1393" s="19">
        <f>IF(I1393="","",IFERROR(INDEX(catGrupo,MATCH(D1393,catNom,0))&amp;"",""))</f>
        <v/>
      </c>
      <c r="K1393" s="19">
        <f>IF(I1393="Gasto",IF(IFERROR(INDEX(catClas,MATCH(D1393,catNom,0))&amp;"","")="","Variable",IFERROR(INDEX(catClas,MATCH(D1393,catNom,0))&amp;"","")),"")</f>
        <v/>
      </c>
      <c r="L1393" s="19">
        <f>IF(I1393="","",IFERROR(INDEX(catAlim,MATCH(D1393,catNom,0))&amp;"",""))</f>
        <v/>
      </c>
      <c r="M1393" s="19">
        <f>IF(I1393="","",IFERROR(INDEX(catComida,MATCH(D1393,catNom,0))&amp;"",""))</f>
        <v/>
      </c>
      <c r="N1393" s="19">
        <f>IF(I1393="","",IFERROR(INDEX(ctaMon,MATCH(E1393,ctaNom,0))&amp;"","DOP"))</f>
        <v/>
      </c>
      <c r="O1393" s="20">
        <f>IF(I1393="","",C1393*IF(N1393="USD",TasaUSD,1))</f>
        <v/>
      </c>
      <c r="P1393" s="20">
        <f>IF(I1393="","",IF(I1393="Gasto",O1393,0))</f>
        <v/>
      </c>
      <c r="Q1393" s="20">
        <f>IF(I1393="","",IF(I1393="Ingreso",O1393,0))</f>
        <v/>
      </c>
      <c r="R1393" s="20">
        <f>IF(I1393="","",IF(I1393="Trading",O1393,0))</f>
        <v/>
      </c>
      <c r="S1393" s="19">
        <f>IF(I1393="","",IF(AND(I1393="Gasto",K1393="Variable",J1393&lt;&gt;"Trading",O1393&gt;0,O1393&lt;=Umbral),1,0))</f>
        <v/>
      </c>
      <c r="T1393" s="20">
        <f>IF(OR(I1393="",E1393=""),"",IF(OR(I1393="Gasto",I1393="Transferencia",I1393="Pago tarjeta"),-1,1)*C1393)</f>
        <v/>
      </c>
      <c r="U1393" s="20">
        <f>IF(OR(G1393="",AND(I1393&lt;&gt;"Transferencia",I1393&lt;&gt;"Pago tarjeta")),"",IF(IFERROR(INDEX(ctaMon,MATCH(G1393,ctaNom,0))&amp;"","DOP")=N1393,C1393,IF(N1393="USD",C1393*TasaUSD,C1393/TasaUSD)))</f>
        <v/>
      </c>
      <c r="V1393" s="20">
        <f>IF(I1393="","",IF(IFERROR(INDEX(ctaLiq,MATCH(E1393,ctaNom,0))="Sí",FALSE),IF(OR(I1393="Gasto",I1393="Transferencia",I1393="Pago tarjeta"),-1,1)*O1393,0)+IF(AND(U1393&lt;&gt;"",IFERROR(INDEX(ctaLiq,MATCH(G1393,ctaNom,0))="Sí",FALSE)),O1393,0))</f>
        <v/>
      </c>
      <c r="W1393" s="19">
        <f>IF(OR(F1393="",I1393=""),"",IF(COUNTIFS(F$6:F1393,F1393,I$6:I1393,"?*")=1,MAX(W$5:W1392)+1,""))</f>
        <v/>
      </c>
    </row>
    <row r="1394">
      <c r="B1394" s="15" t="n"/>
      <c r="C1394" s="16" t="n"/>
      <c r="D1394" s="17" t="n"/>
      <c r="E1394" s="17" t="n"/>
      <c r="F1394" s="17" t="n"/>
      <c r="G1394" s="17" t="n"/>
      <c r="H1394" s="18">
        <f>IF(AND(B1394="",C1394="",D1394="",E1394=""),"",IF(B1394="","⚠ Falta fecha",IF(C1394="","⚠ Falta monto",IF(D1394="","⚠ Falta categoría",IF(ISNA(MATCH(D1394,catNom,0)),"⚠ Categoría no existe",IF(E1394="","⚠ Falta cuenta",IF(ISNA(MATCH(E1394,ctaNom,0)),"⚠ Cuenta no existe",IF(AND(OR(I1394="Transferencia",I1394="Pago tarjeta"),G1394=""),"⚠ Indica la cuenta «Hacia»",IF(AND(G1394&lt;&gt;"",G1394=E1394),"⚠ «Hacia» igual a la cuenta",IF(AND(G1394&lt;&gt;"",ISNA(MATCH(G1394,ctaNom,0))),"⚠ «Hacia» no existe",IF(AND(I1394="Pago tarjeta",IFERROR(INDEX(ctaTipo,MATCH(G1394,ctaNom,0)),"")&lt;&gt;"Tarjeta de crédito"),"⚠ «Hacia» debe ser la tarjeta",IF(AND(I1394="Trading",IFERROR(INDEX(ctaTipo,MATCH(E1394,ctaNom,0)),"")&lt;&gt;"Cuenta de trading"),"⚠ Usa la cuenta de trading","✓"))))))))))))</f>
        <v/>
      </c>
      <c r="I1394" s="19">
        <f>IF(OR(B1394="",C1394="",D1394=""),"",IFERROR(INDEX(catTipo,MATCH(D1394,catNom,0))&amp;"",""))</f>
        <v/>
      </c>
      <c r="J1394" s="19">
        <f>IF(I1394="","",IFERROR(INDEX(catGrupo,MATCH(D1394,catNom,0))&amp;"",""))</f>
        <v/>
      </c>
      <c r="K1394" s="19">
        <f>IF(I1394="Gasto",IF(IFERROR(INDEX(catClas,MATCH(D1394,catNom,0))&amp;"","")="","Variable",IFERROR(INDEX(catClas,MATCH(D1394,catNom,0))&amp;"","")),"")</f>
        <v/>
      </c>
      <c r="L1394" s="19">
        <f>IF(I1394="","",IFERROR(INDEX(catAlim,MATCH(D1394,catNom,0))&amp;"",""))</f>
        <v/>
      </c>
      <c r="M1394" s="19">
        <f>IF(I1394="","",IFERROR(INDEX(catComida,MATCH(D1394,catNom,0))&amp;"",""))</f>
        <v/>
      </c>
      <c r="N1394" s="19">
        <f>IF(I1394="","",IFERROR(INDEX(ctaMon,MATCH(E1394,ctaNom,0))&amp;"","DOP"))</f>
        <v/>
      </c>
      <c r="O1394" s="20">
        <f>IF(I1394="","",C1394*IF(N1394="USD",TasaUSD,1))</f>
        <v/>
      </c>
      <c r="P1394" s="20">
        <f>IF(I1394="","",IF(I1394="Gasto",O1394,0))</f>
        <v/>
      </c>
      <c r="Q1394" s="20">
        <f>IF(I1394="","",IF(I1394="Ingreso",O1394,0))</f>
        <v/>
      </c>
      <c r="R1394" s="20">
        <f>IF(I1394="","",IF(I1394="Trading",O1394,0))</f>
        <v/>
      </c>
      <c r="S1394" s="19">
        <f>IF(I1394="","",IF(AND(I1394="Gasto",K1394="Variable",J1394&lt;&gt;"Trading",O1394&gt;0,O1394&lt;=Umbral),1,0))</f>
        <v/>
      </c>
      <c r="T1394" s="20">
        <f>IF(OR(I1394="",E1394=""),"",IF(OR(I1394="Gasto",I1394="Transferencia",I1394="Pago tarjeta"),-1,1)*C1394)</f>
        <v/>
      </c>
      <c r="U1394" s="20">
        <f>IF(OR(G1394="",AND(I1394&lt;&gt;"Transferencia",I1394&lt;&gt;"Pago tarjeta")),"",IF(IFERROR(INDEX(ctaMon,MATCH(G1394,ctaNom,0))&amp;"","DOP")=N1394,C1394,IF(N1394="USD",C1394*TasaUSD,C1394/TasaUSD)))</f>
        <v/>
      </c>
      <c r="V1394" s="20">
        <f>IF(I1394="","",IF(IFERROR(INDEX(ctaLiq,MATCH(E1394,ctaNom,0))="Sí",FALSE),IF(OR(I1394="Gasto",I1394="Transferencia",I1394="Pago tarjeta"),-1,1)*O1394,0)+IF(AND(U1394&lt;&gt;"",IFERROR(INDEX(ctaLiq,MATCH(G1394,ctaNom,0))="Sí",FALSE)),O1394,0))</f>
        <v/>
      </c>
      <c r="W1394" s="19">
        <f>IF(OR(F1394="",I1394=""),"",IF(COUNTIFS(F$6:F1394,F1394,I$6:I1394,"?*")=1,MAX(W$5:W1393)+1,""))</f>
        <v/>
      </c>
    </row>
    <row r="1395">
      <c r="B1395" s="15" t="n"/>
      <c r="C1395" s="16" t="n"/>
      <c r="D1395" s="17" t="n"/>
      <c r="E1395" s="17" t="n"/>
      <c r="F1395" s="17" t="n"/>
      <c r="G1395" s="17" t="n"/>
      <c r="H1395" s="18">
        <f>IF(AND(B1395="",C1395="",D1395="",E1395=""),"",IF(B1395="","⚠ Falta fecha",IF(C1395="","⚠ Falta monto",IF(D1395="","⚠ Falta categoría",IF(ISNA(MATCH(D1395,catNom,0)),"⚠ Categoría no existe",IF(E1395="","⚠ Falta cuenta",IF(ISNA(MATCH(E1395,ctaNom,0)),"⚠ Cuenta no existe",IF(AND(OR(I1395="Transferencia",I1395="Pago tarjeta"),G1395=""),"⚠ Indica la cuenta «Hacia»",IF(AND(G1395&lt;&gt;"",G1395=E1395),"⚠ «Hacia» igual a la cuenta",IF(AND(G1395&lt;&gt;"",ISNA(MATCH(G1395,ctaNom,0))),"⚠ «Hacia» no existe",IF(AND(I1395="Pago tarjeta",IFERROR(INDEX(ctaTipo,MATCH(G1395,ctaNom,0)),"")&lt;&gt;"Tarjeta de crédito"),"⚠ «Hacia» debe ser la tarjeta",IF(AND(I1395="Trading",IFERROR(INDEX(ctaTipo,MATCH(E1395,ctaNom,0)),"")&lt;&gt;"Cuenta de trading"),"⚠ Usa la cuenta de trading","✓"))))))))))))</f>
        <v/>
      </c>
      <c r="I1395" s="19">
        <f>IF(OR(B1395="",C1395="",D1395=""),"",IFERROR(INDEX(catTipo,MATCH(D1395,catNom,0))&amp;"",""))</f>
        <v/>
      </c>
      <c r="J1395" s="19">
        <f>IF(I1395="","",IFERROR(INDEX(catGrupo,MATCH(D1395,catNom,0))&amp;"",""))</f>
        <v/>
      </c>
      <c r="K1395" s="19">
        <f>IF(I1395="Gasto",IF(IFERROR(INDEX(catClas,MATCH(D1395,catNom,0))&amp;"","")="","Variable",IFERROR(INDEX(catClas,MATCH(D1395,catNom,0))&amp;"","")),"")</f>
        <v/>
      </c>
      <c r="L1395" s="19">
        <f>IF(I1395="","",IFERROR(INDEX(catAlim,MATCH(D1395,catNom,0))&amp;"",""))</f>
        <v/>
      </c>
      <c r="M1395" s="19">
        <f>IF(I1395="","",IFERROR(INDEX(catComida,MATCH(D1395,catNom,0))&amp;"",""))</f>
        <v/>
      </c>
      <c r="N1395" s="19">
        <f>IF(I1395="","",IFERROR(INDEX(ctaMon,MATCH(E1395,ctaNom,0))&amp;"","DOP"))</f>
        <v/>
      </c>
      <c r="O1395" s="20">
        <f>IF(I1395="","",C1395*IF(N1395="USD",TasaUSD,1))</f>
        <v/>
      </c>
      <c r="P1395" s="20">
        <f>IF(I1395="","",IF(I1395="Gasto",O1395,0))</f>
        <v/>
      </c>
      <c r="Q1395" s="20">
        <f>IF(I1395="","",IF(I1395="Ingreso",O1395,0))</f>
        <v/>
      </c>
      <c r="R1395" s="20">
        <f>IF(I1395="","",IF(I1395="Trading",O1395,0))</f>
        <v/>
      </c>
      <c r="S1395" s="19">
        <f>IF(I1395="","",IF(AND(I1395="Gasto",K1395="Variable",J1395&lt;&gt;"Trading",O1395&gt;0,O1395&lt;=Umbral),1,0))</f>
        <v/>
      </c>
      <c r="T1395" s="20">
        <f>IF(OR(I1395="",E1395=""),"",IF(OR(I1395="Gasto",I1395="Transferencia",I1395="Pago tarjeta"),-1,1)*C1395)</f>
        <v/>
      </c>
      <c r="U1395" s="20">
        <f>IF(OR(G1395="",AND(I1395&lt;&gt;"Transferencia",I1395&lt;&gt;"Pago tarjeta")),"",IF(IFERROR(INDEX(ctaMon,MATCH(G1395,ctaNom,0))&amp;"","DOP")=N1395,C1395,IF(N1395="USD",C1395*TasaUSD,C1395/TasaUSD)))</f>
        <v/>
      </c>
      <c r="V1395" s="20">
        <f>IF(I1395="","",IF(IFERROR(INDEX(ctaLiq,MATCH(E1395,ctaNom,0))="Sí",FALSE),IF(OR(I1395="Gasto",I1395="Transferencia",I1395="Pago tarjeta"),-1,1)*O1395,0)+IF(AND(U1395&lt;&gt;"",IFERROR(INDEX(ctaLiq,MATCH(G1395,ctaNom,0))="Sí",FALSE)),O1395,0))</f>
        <v/>
      </c>
      <c r="W1395" s="19">
        <f>IF(OR(F1395="",I1395=""),"",IF(COUNTIFS(F$6:F1395,F1395,I$6:I1395,"?*")=1,MAX(W$5:W1394)+1,""))</f>
        <v/>
      </c>
    </row>
    <row r="1396">
      <c r="B1396" s="15" t="n"/>
      <c r="C1396" s="16" t="n"/>
      <c r="D1396" s="17" t="n"/>
      <c r="E1396" s="17" t="n"/>
      <c r="F1396" s="17" t="n"/>
      <c r="G1396" s="17" t="n"/>
      <c r="H1396" s="18">
        <f>IF(AND(B1396="",C1396="",D1396="",E1396=""),"",IF(B1396="","⚠ Falta fecha",IF(C1396="","⚠ Falta monto",IF(D1396="","⚠ Falta categoría",IF(ISNA(MATCH(D1396,catNom,0)),"⚠ Categoría no existe",IF(E1396="","⚠ Falta cuenta",IF(ISNA(MATCH(E1396,ctaNom,0)),"⚠ Cuenta no existe",IF(AND(OR(I1396="Transferencia",I1396="Pago tarjeta"),G1396=""),"⚠ Indica la cuenta «Hacia»",IF(AND(G1396&lt;&gt;"",G1396=E1396),"⚠ «Hacia» igual a la cuenta",IF(AND(G1396&lt;&gt;"",ISNA(MATCH(G1396,ctaNom,0))),"⚠ «Hacia» no existe",IF(AND(I1396="Pago tarjeta",IFERROR(INDEX(ctaTipo,MATCH(G1396,ctaNom,0)),"")&lt;&gt;"Tarjeta de crédito"),"⚠ «Hacia» debe ser la tarjeta",IF(AND(I1396="Trading",IFERROR(INDEX(ctaTipo,MATCH(E1396,ctaNom,0)),"")&lt;&gt;"Cuenta de trading"),"⚠ Usa la cuenta de trading","✓"))))))))))))</f>
        <v/>
      </c>
      <c r="I1396" s="19">
        <f>IF(OR(B1396="",C1396="",D1396=""),"",IFERROR(INDEX(catTipo,MATCH(D1396,catNom,0))&amp;"",""))</f>
        <v/>
      </c>
      <c r="J1396" s="19">
        <f>IF(I1396="","",IFERROR(INDEX(catGrupo,MATCH(D1396,catNom,0))&amp;"",""))</f>
        <v/>
      </c>
      <c r="K1396" s="19">
        <f>IF(I1396="Gasto",IF(IFERROR(INDEX(catClas,MATCH(D1396,catNom,0))&amp;"","")="","Variable",IFERROR(INDEX(catClas,MATCH(D1396,catNom,0))&amp;"","")),"")</f>
        <v/>
      </c>
      <c r="L1396" s="19">
        <f>IF(I1396="","",IFERROR(INDEX(catAlim,MATCH(D1396,catNom,0))&amp;"",""))</f>
        <v/>
      </c>
      <c r="M1396" s="19">
        <f>IF(I1396="","",IFERROR(INDEX(catComida,MATCH(D1396,catNom,0))&amp;"",""))</f>
        <v/>
      </c>
      <c r="N1396" s="19">
        <f>IF(I1396="","",IFERROR(INDEX(ctaMon,MATCH(E1396,ctaNom,0))&amp;"","DOP"))</f>
        <v/>
      </c>
      <c r="O1396" s="20">
        <f>IF(I1396="","",C1396*IF(N1396="USD",TasaUSD,1))</f>
        <v/>
      </c>
      <c r="P1396" s="20">
        <f>IF(I1396="","",IF(I1396="Gasto",O1396,0))</f>
        <v/>
      </c>
      <c r="Q1396" s="20">
        <f>IF(I1396="","",IF(I1396="Ingreso",O1396,0))</f>
        <v/>
      </c>
      <c r="R1396" s="20">
        <f>IF(I1396="","",IF(I1396="Trading",O1396,0))</f>
        <v/>
      </c>
      <c r="S1396" s="19">
        <f>IF(I1396="","",IF(AND(I1396="Gasto",K1396="Variable",J1396&lt;&gt;"Trading",O1396&gt;0,O1396&lt;=Umbral),1,0))</f>
        <v/>
      </c>
      <c r="T1396" s="20">
        <f>IF(OR(I1396="",E1396=""),"",IF(OR(I1396="Gasto",I1396="Transferencia",I1396="Pago tarjeta"),-1,1)*C1396)</f>
        <v/>
      </c>
      <c r="U1396" s="20">
        <f>IF(OR(G1396="",AND(I1396&lt;&gt;"Transferencia",I1396&lt;&gt;"Pago tarjeta")),"",IF(IFERROR(INDEX(ctaMon,MATCH(G1396,ctaNom,0))&amp;"","DOP")=N1396,C1396,IF(N1396="USD",C1396*TasaUSD,C1396/TasaUSD)))</f>
        <v/>
      </c>
      <c r="V1396" s="20">
        <f>IF(I1396="","",IF(IFERROR(INDEX(ctaLiq,MATCH(E1396,ctaNom,0))="Sí",FALSE),IF(OR(I1396="Gasto",I1396="Transferencia",I1396="Pago tarjeta"),-1,1)*O1396,0)+IF(AND(U1396&lt;&gt;"",IFERROR(INDEX(ctaLiq,MATCH(G1396,ctaNom,0))="Sí",FALSE)),O1396,0))</f>
        <v/>
      </c>
      <c r="W1396" s="19">
        <f>IF(OR(F1396="",I1396=""),"",IF(COUNTIFS(F$6:F1396,F1396,I$6:I1396,"?*")=1,MAX(W$5:W1395)+1,""))</f>
        <v/>
      </c>
    </row>
    <row r="1397">
      <c r="B1397" s="15" t="n"/>
      <c r="C1397" s="16" t="n"/>
      <c r="D1397" s="17" t="n"/>
      <c r="E1397" s="17" t="n"/>
      <c r="F1397" s="17" t="n"/>
      <c r="G1397" s="17" t="n"/>
      <c r="H1397" s="18">
        <f>IF(AND(B1397="",C1397="",D1397="",E1397=""),"",IF(B1397="","⚠ Falta fecha",IF(C1397="","⚠ Falta monto",IF(D1397="","⚠ Falta categoría",IF(ISNA(MATCH(D1397,catNom,0)),"⚠ Categoría no existe",IF(E1397="","⚠ Falta cuenta",IF(ISNA(MATCH(E1397,ctaNom,0)),"⚠ Cuenta no existe",IF(AND(OR(I1397="Transferencia",I1397="Pago tarjeta"),G1397=""),"⚠ Indica la cuenta «Hacia»",IF(AND(G1397&lt;&gt;"",G1397=E1397),"⚠ «Hacia» igual a la cuenta",IF(AND(G1397&lt;&gt;"",ISNA(MATCH(G1397,ctaNom,0))),"⚠ «Hacia» no existe",IF(AND(I1397="Pago tarjeta",IFERROR(INDEX(ctaTipo,MATCH(G1397,ctaNom,0)),"")&lt;&gt;"Tarjeta de crédito"),"⚠ «Hacia» debe ser la tarjeta",IF(AND(I1397="Trading",IFERROR(INDEX(ctaTipo,MATCH(E1397,ctaNom,0)),"")&lt;&gt;"Cuenta de trading"),"⚠ Usa la cuenta de trading","✓"))))))))))))</f>
        <v/>
      </c>
      <c r="I1397" s="19">
        <f>IF(OR(B1397="",C1397="",D1397=""),"",IFERROR(INDEX(catTipo,MATCH(D1397,catNom,0))&amp;"",""))</f>
        <v/>
      </c>
      <c r="J1397" s="19">
        <f>IF(I1397="","",IFERROR(INDEX(catGrupo,MATCH(D1397,catNom,0))&amp;"",""))</f>
        <v/>
      </c>
      <c r="K1397" s="19">
        <f>IF(I1397="Gasto",IF(IFERROR(INDEX(catClas,MATCH(D1397,catNom,0))&amp;"","")="","Variable",IFERROR(INDEX(catClas,MATCH(D1397,catNom,0))&amp;"","")),"")</f>
        <v/>
      </c>
      <c r="L1397" s="19">
        <f>IF(I1397="","",IFERROR(INDEX(catAlim,MATCH(D1397,catNom,0))&amp;"",""))</f>
        <v/>
      </c>
      <c r="M1397" s="19">
        <f>IF(I1397="","",IFERROR(INDEX(catComida,MATCH(D1397,catNom,0))&amp;"",""))</f>
        <v/>
      </c>
      <c r="N1397" s="19">
        <f>IF(I1397="","",IFERROR(INDEX(ctaMon,MATCH(E1397,ctaNom,0))&amp;"","DOP"))</f>
        <v/>
      </c>
      <c r="O1397" s="20">
        <f>IF(I1397="","",C1397*IF(N1397="USD",TasaUSD,1))</f>
        <v/>
      </c>
      <c r="P1397" s="20">
        <f>IF(I1397="","",IF(I1397="Gasto",O1397,0))</f>
        <v/>
      </c>
      <c r="Q1397" s="20">
        <f>IF(I1397="","",IF(I1397="Ingreso",O1397,0))</f>
        <v/>
      </c>
      <c r="R1397" s="20">
        <f>IF(I1397="","",IF(I1397="Trading",O1397,0))</f>
        <v/>
      </c>
      <c r="S1397" s="19">
        <f>IF(I1397="","",IF(AND(I1397="Gasto",K1397="Variable",J1397&lt;&gt;"Trading",O1397&gt;0,O1397&lt;=Umbral),1,0))</f>
        <v/>
      </c>
      <c r="T1397" s="20">
        <f>IF(OR(I1397="",E1397=""),"",IF(OR(I1397="Gasto",I1397="Transferencia",I1397="Pago tarjeta"),-1,1)*C1397)</f>
        <v/>
      </c>
      <c r="U1397" s="20">
        <f>IF(OR(G1397="",AND(I1397&lt;&gt;"Transferencia",I1397&lt;&gt;"Pago tarjeta")),"",IF(IFERROR(INDEX(ctaMon,MATCH(G1397,ctaNom,0))&amp;"","DOP")=N1397,C1397,IF(N1397="USD",C1397*TasaUSD,C1397/TasaUSD)))</f>
        <v/>
      </c>
      <c r="V1397" s="20">
        <f>IF(I1397="","",IF(IFERROR(INDEX(ctaLiq,MATCH(E1397,ctaNom,0))="Sí",FALSE),IF(OR(I1397="Gasto",I1397="Transferencia",I1397="Pago tarjeta"),-1,1)*O1397,0)+IF(AND(U1397&lt;&gt;"",IFERROR(INDEX(ctaLiq,MATCH(G1397,ctaNom,0))="Sí",FALSE)),O1397,0))</f>
        <v/>
      </c>
      <c r="W1397" s="19">
        <f>IF(OR(F1397="",I1397=""),"",IF(COUNTIFS(F$6:F1397,F1397,I$6:I1397,"?*")=1,MAX(W$5:W1396)+1,""))</f>
        <v/>
      </c>
    </row>
    <row r="1398">
      <c r="B1398" s="15" t="n"/>
      <c r="C1398" s="16" t="n"/>
      <c r="D1398" s="17" t="n"/>
      <c r="E1398" s="17" t="n"/>
      <c r="F1398" s="17" t="n"/>
      <c r="G1398" s="17" t="n"/>
      <c r="H1398" s="18">
        <f>IF(AND(B1398="",C1398="",D1398="",E1398=""),"",IF(B1398="","⚠ Falta fecha",IF(C1398="","⚠ Falta monto",IF(D1398="","⚠ Falta categoría",IF(ISNA(MATCH(D1398,catNom,0)),"⚠ Categoría no existe",IF(E1398="","⚠ Falta cuenta",IF(ISNA(MATCH(E1398,ctaNom,0)),"⚠ Cuenta no existe",IF(AND(OR(I1398="Transferencia",I1398="Pago tarjeta"),G1398=""),"⚠ Indica la cuenta «Hacia»",IF(AND(G1398&lt;&gt;"",G1398=E1398),"⚠ «Hacia» igual a la cuenta",IF(AND(G1398&lt;&gt;"",ISNA(MATCH(G1398,ctaNom,0))),"⚠ «Hacia» no existe",IF(AND(I1398="Pago tarjeta",IFERROR(INDEX(ctaTipo,MATCH(G1398,ctaNom,0)),"")&lt;&gt;"Tarjeta de crédito"),"⚠ «Hacia» debe ser la tarjeta",IF(AND(I1398="Trading",IFERROR(INDEX(ctaTipo,MATCH(E1398,ctaNom,0)),"")&lt;&gt;"Cuenta de trading"),"⚠ Usa la cuenta de trading","✓"))))))))))))</f>
        <v/>
      </c>
      <c r="I1398" s="19">
        <f>IF(OR(B1398="",C1398="",D1398=""),"",IFERROR(INDEX(catTipo,MATCH(D1398,catNom,0))&amp;"",""))</f>
        <v/>
      </c>
      <c r="J1398" s="19">
        <f>IF(I1398="","",IFERROR(INDEX(catGrupo,MATCH(D1398,catNom,0))&amp;"",""))</f>
        <v/>
      </c>
      <c r="K1398" s="19">
        <f>IF(I1398="Gasto",IF(IFERROR(INDEX(catClas,MATCH(D1398,catNom,0))&amp;"","")="","Variable",IFERROR(INDEX(catClas,MATCH(D1398,catNom,0))&amp;"","")),"")</f>
        <v/>
      </c>
      <c r="L1398" s="19">
        <f>IF(I1398="","",IFERROR(INDEX(catAlim,MATCH(D1398,catNom,0))&amp;"",""))</f>
        <v/>
      </c>
      <c r="M1398" s="19">
        <f>IF(I1398="","",IFERROR(INDEX(catComida,MATCH(D1398,catNom,0))&amp;"",""))</f>
        <v/>
      </c>
      <c r="N1398" s="19">
        <f>IF(I1398="","",IFERROR(INDEX(ctaMon,MATCH(E1398,ctaNom,0))&amp;"","DOP"))</f>
        <v/>
      </c>
      <c r="O1398" s="20">
        <f>IF(I1398="","",C1398*IF(N1398="USD",TasaUSD,1))</f>
        <v/>
      </c>
      <c r="P1398" s="20">
        <f>IF(I1398="","",IF(I1398="Gasto",O1398,0))</f>
        <v/>
      </c>
      <c r="Q1398" s="20">
        <f>IF(I1398="","",IF(I1398="Ingreso",O1398,0))</f>
        <v/>
      </c>
      <c r="R1398" s="20">
        <f>IF(I1398="","",IF(I1398="Trading",O1398,0))</f>
        <v/>
      </c>
      <c r="S1398" s="19">
        <f>IF(I1398="","",IF(AND(I1398="Gasto",K1398="Variable",J1398&lt;&gt;"Trading",O1398&gt;0,O1398&lt;=Umbral),1,0))</f>
        <v/>
      </c>
      <c r="T1398" s="20">
        <f>IF(OR(I1398="",E1398=""),"",IF(OR(I1398="Gasto",I1398="Transferencia",I1398="Pago tarjeta"),-1,1)*C1398)</f>
        <v/>
      </c>
      <c r="U1398" s="20">
        <f>IF(OR(G1398="",AND(I1398&lt;&gt;"Transferencia",I1398&lt;&gt;"Pago tarjeta")),"",IF(IFERROR(INDEX(ctaMon,MATCH(G1398,ctaNom,0))&amp;"","DOP")=N1398,C1398,IF(N1398="USD",C1398*TasaUSD,C1398/TasaUSD)))</f>
        <v/>
      </c>
      <c r="V1398" s="20">
        <f>IF(I1398="","",IF(IFERROR(INDEX(ctaLiq,MATCH(E1398,ctaNom,0))="Sí",FALSE),IF(OR(I1398="Gasto",I1398="Transferencia",I1398="Pago tarjeta"),-1,1)*O1398,0)+IF(AND(U1398&lt;&gt;"",IFERROR(INDEX(ctaLiq,MATCH(G1398,ctaNom,0))="Sí",FALSE)),O1398,0))</f>
        <v/>
      </c>
      <c r="W1398" s="19">
        <f>IF(OR(F1398="",I1398=""),"",IF(COUNTIFS(F$6:F1398,F1398,I$6:I1398,"?*")=1,MAX(W$5:W1397)+1,""))</f>
        <v/>
      </c>
    </row>
    <row r="1399">
      <c r="B1399" s="15" t="n"/>
      <c r="C1399" s="16" t="n"/>
      <c r="D1399" s="17" t="n"/>
      <c r="E1399" s="17" t="n"/>
      <c r="F1399" s="17" t="n"/>
      <c r="G1399" s="17" t="n"/>
      <c r="H1399" s="18">
        <f>IF(AND(B1399="",C1399="",D1399="",E1399=""),"",IF(B1399="","⚠ Falta fecha",IF(C1399="","⚠ Falta monto",IF(D1399="","⚠ Falta categoría",IF(ISNA(MATCH(D1399,catNom,0)),"⚠ Categoría no existe",IF(E1399="","⚠ Falta cuenta",IF(ISNA(MATCH(E1399,ctaNom,0)),"⚠ Cuenta no existe",IF(AND(OR(I1399="Transferencia",I1399="Pago tarjeta"),G1399=""),"⚠ Indica la cuenta «Hacia»",IF(AND(G1399&lt;&gt;"",G1399=E1399),"⚠ «Hacia» igual a la cuenta",IF(AND(G1399&lt;&gt;"",ISNA(MATCH(G1399,ctaNom,0))),"⚠ «Hacia» no existe",IF(AND(I1399="Pago tarjeta",IFERROR(INDEX(ctaTipo,MATCH(G1399,ctaNom,0)),"")&lt;&gt;"Tarjeta de crédito"),"⚠ «Hacia» debe ser la tarjeta",IF(AND(I1399="Trading",IFERROR(INDEX(ctaTipo,MATCH(E1399,ctaNom,0)),"")&lt;&gt;"Cuenta de trading"),"⚠ Usa la cuenta de trading","✓"))))))))))))</f>
        <v/>
      </c>
      <c r="I1399" s="19">
        <f>IF(OR(B1399="",C1399="",D1399=""),"",IFERROR(INDEX(catTipo,MATCH(D1399,catNom,0))&amp;"",""))</f>
        <v/>
      </c>
      <c r="J1399" s="19">
        <f>IF(I1399="","",IFERROR(INDEX(catGrupo,MATCH(D1399,catNom,0))&amp;"",""))</f>
        <v/>
      </c>
      <c r="K1399" s="19">
        <f>IF(I1399="Gasto",IF(IFERROR(INDEX(catClas,MATCH(D1399,catNom,0))&amp;"","")="","Variable",IFERROR(INDEX(catClas,MATCH(D1399,catNom,0))&amp;"","")),"")</f>
        <v/>
      </c>
      <c r="L1399" s="19">
        <f>IF(I1399="","",IFERROR(INDEX(catAlim,MATCH(D1399,catNom,0))&amp;"",""))</f>
        <v/>
      </c>
      <c r="M1399" s="19">
        <f>IF(I1399="","",IFERROR(INDEX(catComida,MATCH(D1399,catNom,0))&amp;"",""))</f>
        <v/>
      </c>
      <c r="N1399" s="19">
        <f>IF(I1399="","",IFERROR(INDEX(ctaMon,MATCH(E1399,ctaNom,0))&amp;"","DOP"))</f>
        <v/>
      </c>
      <c r="O1399" s="20">
        <f>IF(I1399="","",C1399*IF(N1399="USD",TasaUSD,1))</f>
        <v/>
      </c>
      <c r="P1399" s="20">
        <f>IF(I1399="","",IF(I1399="Gasto",O1399,0))</f>
        <v/>
      </c>
      <c r="Q1399" s="20">
        <f>IF(I1399="","",IF(I1399="Ingreso",O1399,0))</f>
        <v/>
      </c>
      <c r="R1399" s="20">
        <f>IF(I1399="","",IF(I1399="Trading",O1399,0))</f>
        <v/>
      </c>
      <c r="S1399" s="19">
        <f>IF(I1399="","",IF(AND(I1399="Gasto",K1399="Variable",J1399&lt;&gt;"Trading",O1399&gt;0,O1399&lt;=Umbral),1,0))</f>
        <v/>
      </c>
      <c r="T1399" s="20">
        <f>IF(OR(I1399="",E1399=""),"",IF(OR(I1399="Gasto",I1399="Transferencia",I1399="Pago tarjeta"),-1,1)*C1399)</f>
        <v/>
      </c>
      <c r="U1399" s="20">
        <f>IF(OR(G1399="",AND(I1399&lt;&gt;"Transferencia",I1399&lt;&gt;"Pago tarjeta")),"",IF(IFERROR(INDEX(ctaMon,MATCH(G1399,ctaNom,0))&amp;"","DOP")=N1399,C1399,IF(N1399="USD",C1399*TasaUSD,C1399/TasaUSD)))</f>
        <v/>
      </c>
      <c r="V1399" s="20">
        <f>IF(I1399="","",IF(IFERROR(INDEX(ctaLiq,MATCH(E1399,ctaNom,0))="Sí",FALSE),IF(OR(I1399="Gasto",I1399="Transferencia",I1399="Pago tarjeta"),-1,1)*O1399,0)+IF(AND(U1399&lt;&gt;"",IFERROR(INDEX(ctaLiq,MATCH(G1399,ctaNom,0))="Sí",FALSE)),O1399,0))</f>
        <v/>
      </c>
      <c r="W1399" s="19">
        <f>IF(OR(F1399="",I1399=""),"",IF(COUNTIFS(F$6:F1399,F1399,I$6:I1399,"?*")=1,MAX(W$5:W1398)+1,""))</f>
        <v/>
      </c>
    </row>
    <row r="1400">
      <c r="B1400" s="15" t="n"/>
      <c r="C1400" s="16" t="n"/>
      <c r="D1400" s="17" t="n"/>
      <c r="E1400" s="17" t="n"/>
      <c r="F1400" s="17" t="n"/>
      <c r="G1400" s="17" t="n"/>
      <c r="H1400" s="18">
        <f>IF(AND(B1400="",C1400="",D1400="",E1400=""),"",IF(B1400="","⚠ Falta fecha",IF(C1400="","⚠ Falta monto",IF(D1400="","⚠ Falta categoría",IF(ISNA(MATCH(D1400,catNom,0)),"⚠ Categoría no existe",IF(E1400="","⚠ Falta cuenta",IF(ISNA(MATCH(E1400,ctaNom,0)),"⚠ Cuenta no existe",IF(AND(OR(I1400="Transferencia",I1400="Pago tarjeta"),G1400=""),"⚠ Indica la cuenta «Hacia»",IF(AND(G1400&lt;&gt;"",G1400=E1400),"⚠ «Hacia» igual a la cuenta",IF(AND(G1400&lt;&gt;"",ISNA(MATCH(G1400,ctaNom,0))),"⚠ «Hacia» no existe",IF(AND(I1400="Pago tarjeta",IFERROR(INDEX(ctaTipo,MATCH(G1400,ctaNom,0)),"")&lt;&gt;"Tarjeta de crédito"),"⚠ «Hacia» debe ser la tarjeta",IF(AND(I1400="Trading",IFERROR(INDEX(ctaTipo,MATCH(E1400,ctaNom,0)),"")&lt;&gt;"Cuenta de trading"),"⚠ Usa la cuenta de trading","✓"))))))))))))</f>
        <v/>
      </c>
      <c r="I1400" s="19">
        <f>IF(OR(B1400="",C1400="",D1400=""),"",IFERROR(INDEX(catTipo,MATCH(D1400,catNom,0))&amp;"",""))</f>
        <v/>
      </c>
      <c r="J1400" s="19">
        <f>IF(I1400="","",IFERROR(INDEX(catGrupo,MATCH(D1400,catNom,0))&amp;"",""))</f>
        <v/>
      </c>
      <c r="K1400" s="19">
        <f>IF(I1400="Gasto",IF(IFERROR(INDEX(catClas,MATCH(D1400,catNom,0))&amp;"","")="","Variable",IFERROR(INDEX(catClas,MATCH(D1400,catNom,0))&amp;"","")),"")</f>
        <v/>
      </c>
      <c r="L1400" s="19">
        <f>IF(I1400="","",IFERROR(INDEX(catAlim,MATCH(D1400,catNom,0))&amp;"",""))</f>
        <v/>
      </c>
      <c r="M1400" s="19">
        <f>IF(I1400="","",IFERROR(INDEX(catComida,MATCH(D1400,catNom,0))&amp;"",""))</f>
        <v/>
      </c>
      <c r="N1400" s="19">
        <f>IF(I1400="","",IFERROR(INDEX(ctaMon,MATCH(E1400,ctaNom,0))&amp;"","DOP"))</f>
        <v/>
      </c>
      <c r="O1400" s="20">
        <f>IF(I1400="","",C1400*IF(N1400="USD",TasaUSD,1))</f>
        <v/>
      </c>
      <c r="P1400" s="20">
        <f>IF(I1400="","",IF(I1400="Gasto",O1400,0))</f>
        <v/>
      </c>
      <c r="Q1400" s="20">
        <f>IF(I1400="","",IF(I1400="Ingreso",O1400,0))</f>
        <v/>
      </c>
      <c r="R1400" s="20">
        <f>IF(I1400="","",IF(I1400="Trading",O1400,0))</f>
        <v/>
      </c>
      <c r="S1400" s="19">
        <f>IF(I1400="","",IF(AND(I1400="Gasto",K1400="Variable",J1400&lt;&gt;"Trading",O1400&gt;0,O1400&lt;=Umbral),1,0))</f>
        <v/>
      </c>
      <c r="T1400" s="20">
        <f>IF(OR(I1400="",E1400=""),"",IF(OR(I1400="Gasto",I1400="Transferencia",I1400="Pago tarjeta"),-1,1)*C1400)</f>
        <v/>
      </c>
      <c r="U1400" s="20">
        <f>IF(OR(G1400="",AND(I1400&lt;&gt;"Transferencia",I1400&lt;&gt;"Pago tarjeta")),"",IF(IFERROR(INDEX(ctaMon,MATCH(G1400,ctaNom,0))&amp;"","DOP")=N1400,C1400,IF(N1400="USD",C1400*TasaUSD,C1400/TasaUSD)))</f>
        <v/>
      </c>
      <c r="V1400" s="20">
        <f>IF(I1400="","",IF(IFERROR(INDEX(ctaLiq,MATCH(E1400,ctaNom,0))="Sí",FALSE),IF(OR(I1400="Gasto",I1400="Transferencia",I1400="Pago tarjeta"),-1,1)*O1400,0)+IF(AND(U1400&lt;&gt;"",IFERROR(INDEX(ctaLiq,MATCH(G1400,ctaNom,0))="Sí",FALSE)),O1400,0))</f>
        <v/>
      </c>
      <c r="W1400" s="19">
        <f>IF(OR(F1400="",I1400=""),"",IF(COUNTIFS(F$6:F1400,F1400,I$6:I1400,"?*")=1,MAX(W$5:W1399)+1,""))</f>
        <v/>
      </c>
    </row>
    <row r="1401">
      <c r="B1401" s="15" t="n"/>
      <c r="C1401" s="16" t="n"/>
      <c r="D1401" s="17" t="n"/>
      <c r="E1401" s="17" t="n"/>
      <c r="F1401" s="17" t="n"/>
      <c r="G1401" s="17" t="n"/>
      <c r="H1401" s="18">
        <f>IF(AND(B1401="",C1401="",D1401="",E1401=""),"",IF(B1401="","⚠ Falta fecha",IF(C1401="","⚠ Falta monto",IF(D1401="","⚠ Falta categoría",IF(ISNA(MATCH(D1401,catNom,0)),"⚠ Categoría no existe",IF(E1401="","⚠ Falta cuenta",IF(ISNA(MATCH(E1401,ctaNom,0)),"⚠ Cuenta no existe",IF(AND(OR(I1401="Transferencia",I1401="Pago tarjeta"),G1401=""),"⚠ Indica la cuenta «Hacia»",IF(AND(G1401&lt;&gt;"",G1401=E1401),"⚠ «Hacia» igual a la cuenta",IF(AND(G1401&lt;&gt;"",ISNA(MATCH(G1401,ctaNom,0))),"⚠ «Hacia» no existe",IF(AND(I1401="Pago tarjeta",IFERROR(INDEX(ctaTipo,MATCH(G1401,ctaNom,0)),"")&lt;&gt;"Tarjeta de crédito"),"⚠ «Hacia» debe ser la tarjeta",IF(AND(I1401="Trading",IFERROR(INDEX(ctaTipo,MATCH(E1401,ctaNom,0)),"")&lt;&gt;"Cuenta de trading"),"⚠ Usa la cuenta de trading","✓"))))))))))))</f>
        <v/>
      </c>
      <c r="I1401" s="19">
        <f>IF(OR(B1401="",C1401="",D1401=""),"",IFERROR(INDEX(catTipo,MATCH(D1401,catNom,0))&amp;"",""))</f>
        <v/>
      </c>
      <c r="J1401" s="19">
        <f>IF(I1401="","",IFERROR(INDEX(catGrupo,MATCH(D1401,catNom,0))&amp;"",""))</f>
        <v/>
      </c>
      <c r="K1401" s="19">
        <f>IF(I1401="Gasto",IF(IFERROR(INDEX(catClas,MATCH(D1401,catNom,0))&amp;"","")="","Variable",IFERROR(INDEX(catClas,MATCH(D1401,catNom,0))&amp;"","")),"")</f>
        <v/>
      </c>
      <c r="L1401" s="19">
        <f>IF(I1401="","",IFERROR(INDEX(catAlim,MATCH(D1401,catNom,0))&amp;"",""))</f>
        <v/>
      </c>
      <c r="M1401" s="19">
        <f>IF(I1401="","",IFERROR(INDEX(catComida,MATCH(D1401,catNom,0))&amp;"",""))</f>
        <v/>
      </c>
      <c r="N1401" s="19">
        <f>IF(I1401="","",IFERROR(INDEX(ctaMon,MATCH(E1401,ctaNom,0))&amp;"","DOP"))</f>
        <v/>
      </c>
      <c r="O1401" s="20">
        <f>IF(I1401="","",C1401*IF(N1401="USD",TasaUSD,1))</f>
        <v/>
      </c>
      <c r="P1401" s="20">
        <f>IF(I1401="","",IF(I1401="Gasto",O1401,0))</f>
        <v/>
      </c>
      <c r="Q1401" s="20">
        <f>IF(I1401="","",IF(I1401="Ingreso",O1401,0))</f>
        <v/>
      </c>
      <c r="R1401" s="20">
        <f>IF(I1401="","",IF(I1401="Trading",O1401,0))</f>
        <v/>
      </c>
      <c r="S1401" s="19">
        <f>IF(I1401="","",IF(AND(I1401="Gasto",K1401="Variable",J1401&lt;&gt;"Trading",O1401&gt;0,O1401&lt;=Umbral),1,0))</f>
        <v/>
      </c>
      <c r="T1401" s="20">
        <f>IF(OR(I1401="",E1401=""),"",IF(OR(I1401="Gasto",I1401="Transferencia",I1401="Pago tarjeta"),-1,1)*C1401)</f>
        <v/>
      </c>
      <c r="U1401" s="20">
        <f>IF(OR(G1401="",AND(I1401&lt;&gt;"Transferencia",I1401&lt;&gt;"Pago tarjeta")),"",IF(IFERROR(INDEX(ctaMon,MATCH(G1401,ctaNom,0))&amp;"","DOP")=N1401,C1401,IF(N1401="USD",C1401*TasaUSD,C1401/TasaUSD)))</f>
        <v/>
      </c>
      <c r="V1401" s="20">
        <f>IF(I1401="","",IF(IFERROR(INDEX(ctaLiq,MATCH(E1401,ctaNom,0))="Sí",FALSE),IF(OR(I1401="Gasto",I1401="Transferencia",I1401="Pago tarjeta"),-1,1)*O1401,0)+IF(AND(U1401&lt;&gt;"",IFERROR(INDEX(ctaLiq,MATCH(G1401,ctaNom,0))="Sí",FALSE)),O1401,0))</f>
        <v/>
      </c>
      <c r="W1401" s="19">
        <f>IF(OR(F1401="",I1401=""),"",IF(COUNTIFS(F$6:F1401,F1401,I$6:I1401,"?*")=1,MAX(W$5:W1400)+1,""))</f>
        <v/>
      </c>
    </row>
    <row r="1402">
      <c r="B1402" s="15" t="n"/>
      <c r="C1402" s="16" t="n"/>
      <c r="D1402" s="17" t="n"/>
      <c r="E1402" s="17" t="n"/>
      <c r="F1402" s="17" t="n"/>
      <c r="G1402" s="17" t="n"/>
      <c r="H1402" s="18">
        <f>IF(AND(B1402="",C1402="",D1402="",E1402=""),"",IF(B1402="","⚠ Falta fecha",IF(C1402="","⚠ Falta monto",IF(D1402="","⚠ Falta categoría",IF(ISNA(MATCH(D1402,catNom,0)),"⚠ Categoría no existe",IF(E1402="","⚠ Falta cuenta",IF(ISNA(MATCH(E1402,ctaNom,0)),"⚠ Cuenta no existe",IF(AND(OR(I1402="Transferencia",I1402="Pago tarjeta"),G1402=""),"⚠ Indica la cuenta «Hacia»",IF(AND(G1402&lt;&gt;"",G1402=E1402),"⚠ «Hacia» igual a la cuenta",IF(AND(G1402&lt;&gt;"",ISNA(MATCH(G1402,ctaNom,0))),"⚠ «Hacia» no existe",IF(AND(I1402="Pago tarjeta",IFERROR(INDEX(ctaTipo,MATCH(G1402,ctaNom,0)),"")&lt;&gt;"Tarjeta de crédito"),"⚠ «Hacia» debe ser la tarjeta",IF(AND(I1402="Trading",IFERROR(INDEX(ctaTipo,MATCH(E1402,ctaNom,0)),"")&lt;&gt;"Cuenta de trading"),"⚠ Usa la cuenta de trading","✓"))))))))))))</f>
        <v/>
      </c>
      <c r="I1402" s="19">
        <f>IF(OR(B1402="",C1402="",D1402=""),"",IFERROR(INDEX(catTipo,MATCH(D1402,catNom,0))&amp;"",""))</f>
        <v/>
      </c>
      <c r="J1402" s="19">
        <f>IF(I1402="","",IFERROR(INDEX(catGrupo,MATCH(D1402,catNom,0))&amp;"",""))</f>
        <v/>
      </c>
      <c r="K1402" s="19">
        <f>IF(I1402="Gasto",IF(IFERROR(INDEX(catClas,MATCH(D1402,catNom,0))&amp;"","")="","Variable",IFERROR(INDEX(catClas,MATCH(D1402,catNom,0))&amp;"","")),"")</f>
        <v/>
      </c>
      <c r="L1402" s="19">
        <f>IF(I1402="","",IFERROR(INDEX(catAlim,MATCH(D1402,catNom,0))&amp;"",""))</f>
        <v/>
      </c>
      <c r="M1402" s="19">
        <f>IF(I1402="","",IFERROR(INDEX(catComida,MATCH(D1402,catNom,0))&amp;"",""))</f>
        <v/>
      </c>
      <c r="N1402" s="19">
        <f>IF(I1402="","",IFERROR(INDEX(ctaMon,MATCH(E1402,ctaNom,0))&amp;"","DOP"))</f>
        <v/>
      </c>
      <c r="O1402" s="20">
        <f>IF(I1402="","",C1402*IF(N1402="USD",TasaUSD,1))</f>
        <v/>
      </c>
      <c r="P1402" s="20">
        <f>IF(I1402="","",IF(I1402="Gasto",O1402,0))</f>
        <v/>
      </c>
      <c r="Q1402" s="20">
        <f>IF(I1402="","",IF(I1402="Ingreso",O1402,0))</f>
        <v/>
      </c>
      <c r="R1402" s="20">
        <f>IF(I1402="","",IF(I1402="Trading",O1402,0))</f>
        <v/>
      </c>
      <c r="S1402" s="19">
        <f>IF(I1402="","",IF(AND(I1402="Gasto",K1402="Variable",J1402&lt;&gt;"Trading",O1402&gt;0,O1402&lt;=Umbral),1,0))</f>
        <v/>
      </c>
      <c r="T1402" s="20">
        <f>IF(OR(I1402="",E1402=""),"",IF(OR(I1402="Gasto",I1402="Transferencia",I1402="Pago tarjeta"),-1,1)*C1402)</f>
        <v/>
      </c>
      <c r="U1402" s="20">
        <f>IF(OR(G1402="",AND(I1402&lt;&gt;"Transferencia",I1402&lt;&gt;"Pago tarjeta")),"",IF(IFERROR(INDEX(ctaMon,MATCH(G1402,ctaNom,0))&amp;"","DOP")=N1402,C1402,IF(N1402="USD",C1402*TasaUSD,C1402/TasaUSD)))</f>
        <v/>
      </c>
      <c r="V1402" s="20">
        <f>IF(I1402="","",IF(IFERROR(INDEX(ctaLiq,MATCH(E1402,ctaNom,0))="Sí",FALSE),IF(OR(I1402="Gasto",I1402="Transferencia",I1402="Pago tarjeta"),-1,1)*O1402,0)+IF(AND(U1402&lt;&gt;"",IFERROR(INDEX(ctaLiq,MATCH(G1402,ctaNom,0))="Sí",FALSE)),O1402,0))</f>
        <v/>
      </c>
      <c r="W1402" s="19">
        <f>IF(OR(F1402="",I1402=""),"",IF(COUNTIFS(F$6:F1402,F1402,I$6:I1402,"?*")=1,MAX(W$5:W1401)+1,""))</f>
        <v/>
      </c>
    </row>
    <row r="1403">
      <c r="B1403" s="15" t="n"/>
      <c r="C1403" s="16" t="n"/>
      <c r="D1403" s="17" t="n"/>
      <c r="E1403" s="17" t="n"/>
      <c r="F1403" s="17" t="n"/>
      <c r="G1403" s="17" t="n"/>
      <c r="H1403" s="18">
        <f>IF(AND(B1403="",C1403="",D1403="",E1403=""),"",IF(B1403="","⚠ Falta fecha",IF(C1403="","⚠ Falta monto",IF(D1403="","⚠ Falta categoría",IF(ISNA(MATCH(D1403,catNom,0)),"⚠ Categoría no existe",IF(E1403="","⚠ Falta cuenta",IF(ISNA(MATCH(E1403,ctaNom,0)),"⚠ Cuenta no existe",IF(AND(OR(I1403="Transferencia",I1403="Pago tarjeta"),G1403=""),"⚠ Indica la cuenta «Hacia»",IF(AND(G1403&lt;&gt;"",G1403=E1403),"⚠ «Hacia» igual a la cuenta",IF(AND(G1403&lt;&gt;"",ISNA(MATCH(G1403,ctaNom,0))),"⚠ «Hacia» no existe",IF(AND(I1403="Pago tarjeta",IFERROR(INDEX(ctaTipo,MATCH(G1403,ctaNom,0)),"")&lt;&gt;"Tarjeta de crédito"),"⚠ «Hacia» debe ser la tarjeta",IF(AND(I1403="Trading",IFERROR(INDEX(ctaTipo,MATCH(E1403,ctaNom,0)),"")&lt;&gt;"Cuenta de trading"),"⚠ Usa la cuenta de trading","✓"))))))))))))</f>
        <v/>
      </c>
      <c r="I1403" s="19">
        <f>IF(OR(B1403="",C1403="",D1403=""),"",IFERROR(INDEX(catTipo,MATCH(D1403,catNom,0))&amp;"",""))</f>
        <v/>
      </c>
      <c r="J1403" s="19">
        <f>IF(I1403="","",IFERROR(INDEX(catGrupo,MATCH(D1403,catNom,0))&amp;"",""))</f>
        <v/>
      </c>
      <c r="K1403" s="19">
        <f>IF(I1403="Gasto",IF(IFERROR(INDEX(catClas,MATCH(D1403,catNom,0))&amp;"","")="","Variable",IFERROR(INDEX(catClas,MATCH(D1403,catNom,0))&amp;"","")),"")</f>
        <v/>
      </c>
      <c r="L1403" s="19">
        <f>IF(I1403="","",IFERROR(INDEX(catAlim,MATCH(D1403,catNom,0))&amp;"",""))</f>
        <v/>
      </c>
      <c r="M1403" s="19">
        <f>IF(I1403="","",IFERROR(INDEX(catComida,MATCH(D1403,catNom,0))&amp;"",""))</f>
        <v/>
      </c>
      <c r="N1403" s="19">
        <f>IF(I1403="","",IFERROR(INDEX(ctaMon,MATCH(E1403,ctaNom,0))&amp;"","DOP"))</f>
        <v/>
      </c>
      <c r="O1403" s="20">
        <f>IF(I1403="","",C1403*IF(N1403="USD",TasaUSD,1))</f>
        <v/>
      </c>
      <c r="P1403" s="20">
        <f>IF(I1403="","",IF(I1403="Gasto",O1403,0))</f>
        <v/>
      </c>
      <c r="Q1403" s="20">
        <f>IF(I1403="","",IF(I1403="Ingreso",O1403,0))</f>
        <v/>
      </c>
      <c r="R1403" s="20">
        <f>IF(I1403="","",IF(I1403="Trading",O1403,0))</f>
        <v/>
      </c>
      <c r="S1403" s="19">
        <f>IF(I1403="","",IF(AND(I1403="Gasto",K1403="Variable",J1403&lt;&gt;"Trading",O1403&gt;0,O1403&lt;=Umbral),1,0))</f>
        <v/>
      </c>
      <c r="T1403" s="20">
        <f>IF(OR(I1403="",E1403=""),"",IF(OR(I1403="Gasto",I1403="Transferencia",I1403="Pago tarjeta"),-1,1)*C1403)</f>
        <v/>
      </c>
      <c r="U1403" s="20">
        <f>IF(OR(G1403="",AND(I1403&lt;&gt;"Transferencia",I1403&lt;&gt;"Pago tarjeta")),"",IF(IFERROR(INDEX(ctaMon,MATCH(G1403,ctaNom,0))&amp;"","DOP")=N1403,C1403,IF(N1403="USD",C1403*TasaUSD,C1403/TasaUSD)))</f>
        <v/>
      </c>
      <c r="V1403" s="20">
        <f>IF(I1403="","",IF(IFERROR(INDEX(ctaLiq,MATCH(E1403,ctaNom,0))="Sí",FALSE),IF(OR(I1403="Gasto",I1403="Transferencia",I1403="Pago tarjeta"),-1,1)*O1403,0)+IF(AND(U1403&lt;&gt;"",IFERROR(INDEX(ctaLiq,MATCH(G1403,ctaNom,0))="Sí",FALSE)),O1403,0))</f>
        <v/>
      </c>
      <c r="W1403" s="19">
        <f>IF(OR(F1403="",I1403=""),"",IF(COUNTIFS(F$6:F1403,F1403,I$6:I1403,"?*")=1,MAX(W$5:W1402)+1,""))</f>
        <v/>
      </c>
    </row>
    <row r="1404">
      <c r="B1404" s="15" t="n"/>
      <c r="C1404" s="16" t="n"/>
      <c r="D1404" s="17" t="n"/>
      <c r="E1404" s="17" t="n"/>
      <c r="F1404" s="17" t="n"/>
      <c r="G1404" s="17" t="n"/>
      <c r="H1404" s="18">
        <f>IF(AND(B1404="",C1404="",D1404="",E1404=""),"",IF(B1404="","⚠ Falta fecha",IF(C1404="","⚠ Falta monto",IF(D1404="","⚠ Falta categoría",IF(ISNA(MATCH(D1404,catNom,0)),"⚠ Categoría no existe",IF(E1404="","⚠ Falta cuenta",IF(ISNA(MATCH(E1404,ctaNom,0)),"⚠ Cuenta no existe",IF(AND(OR(I1404="Transferencia",I1404="Pago tarjeta"),G1404=""),"⚠ Indica la cuenta «Hacia»",IF(AND(G1404&lt;&gt;"",G1404=E1404),"⚠ «Hacia» igual a la cuenta",IF(AND(G1404&lt;&gt;"",ISNA(MATCH(G1404,ctaNom,0))),"⚠ «Hacia» no existe",IF(AND(I1404="Pago tarjeta",IFERROR(INDEX(ctaTipo,MATCH(G1404,ctaNom,0)),"")&lt;&gt;"Tarjeta de crédito"),"⚠ «Hacia» debe ser la tarjeta",IF(AND(I1404="Trading",IFERROR(INDEX(ctaTipo,MATCH(E1404,ctaNom,0)),"")&lt;&gt;"Cuenta de trading"),"⚠ Usa la cuenta de trading","✓"))))))))))))</f>
        <v/>
      </c>
      <c r="I1404" s="19">
        <f>IF(OR(B1404="",C1404="",D1404=""),"",IFERROR(INDEX(catTipo,MATCH(D1404,catNom,0))&amp;"",""))</f>
        <v/>
      </c>
      <c r="J1404" s="19">
        <f>IF(I1404="","",IFERROR(INDEX(catGrupo,MATCH(D1404,catNom,0))&amp;"",""))</f>
        <v/>
      </c>
      <c r="K1404" s="19">
        <f>IF(I1404="Gasto",IF(IFERROR(INDEX(catClas,MATCH(D1404,catNom,0))&amp;"","")="","Variable",IFERROR(INDEX(catClas,MATCH(D1404,catNom,0))&amp;"","")),"")</f>
        <v/>
      </c>
      <c r="L1404" s="19">
        <f>IF(I1404="","",IFERROR(INDEX(catAlim,MATCH(D1404,catNom,0))&amp;"",""))</f>
        <v/>
      </c>
      <c r="M1404" s="19">
        <f>IF(I1404="","",IFERROR(INDEX(catComida,MATCH(D1404,catNom,0))&amp;"",""))</f>
        <v/>
      </c>
      <c r="N1404" s="19">
        <f>IF(I1404="","",IFERROR(INDEX(ctaMon,MATCH(E1404,ctaNom,0))&amp;"","DOP"))</f>
        <v/>
      </c>
      <c r="O1404" s="20">
        <f>IF(I1404="","",C1404*IF(N1404="USD",TasaUSD,1))</f>
        <v/>
      </c>
      <c r="P1404" s="20">
        <f>IF(I1404="","",IF(I1404="Gasto",O1404,0))</f>
        <v/>
      </c>
      <c r="Q1404" s="20">
        <f>IF(I1404="","",IF(I1404="Ingreso",O1404,0))</f>
        <v/>
      </c>
      <c r="R1404" s="20">
        <f>IF(I1404="","",IF(I1404="Trading",O1404,0))</f>
        <v/>
      </c>
      <c r="S1404" s="19">
        <f>IF(I1404="","",IF(AND(I1404="Gasto",K1404="Variable",J1404&lt;&gt;"Trading",O1404&gt;0,O1404&lt;=Umbral),1,0))</f>
        <v/>
      </c>
      <c r="T1404" s="20">
        <f>IF(OR(I1404="",E1404=""),"",IF(OR(I1404="Gasto",I1404="Transferencia",I1404="Pago tarjeta"),-1,1)*C1404)</f>
        <v/>
      </c>
      <c r="U1404" s="20">
        <f>IF(OR(G1404="",AND(I1404&lt;&gt;"Transferencia",I1404&lt;&gt;"Pago tarjeta")),"",IF(IFERROR(INDEX(ctaMon,MATCH(G1404,ctaNom,0))&amp;"","DOP")=N1404,C1404,IF(N1404="USD",C1404*TasaUSD,C1404/TasaUSD)))</f>
        <v/>
      </c>
      <c r="V1404" s="20">
        <f>IF(I1404="","",IF(IFERROR(INDEX(ctaLiq,MATCH(E1404,ctaNom,0))="Sí",FALSE),IF(OR(I1404="Gasto",I1404="Transferencia",I1404="Pago tarjeta"),-1,1)*O1404,0)+IF(AND(U1404&lt;&gt;"",IFERROR(INDEX(ctaLiq,MATCH(G1404,ctaNom,0))="Sí",FALSE)),O1404,0))</f>
        <v/>
      </c>
      <c r="W1404" s="19">
        <f>IF(OR(F1404="",I1404=""),"",IF(COUNTIFS(F$6:F1404,F1404,I$6:I1404,"?*")=1,MAX(W$5:W1403)+1,""))</f>
        <v/>
      </c>
    </row>
    <row r="1405">
      <c r="B1405" s="15" t="n"/>
      <c r="C1405" s="16" t="n"/>
      <c r="D1405" s="17" t="n"/>
      <c r="E1405" s="17" t="n"/>
      <c r="F1405" s="17" t="n"/>
      <c r="G1405" s="17" t="n"/>
      <c r="H1405" s="18">
        <f>IF(AND(B1405="",C1405="",D1405="",E1405=""),"",IF(B1405="","⚠ Falta fecha",IF(C1405="","⚠ Falta monto",IF(D1405="","⚠ Falta categoría",IF(ISNA(MATCH(D1405,catNom,0)),"⚠ Categoría no existe",IF(E1405="","⚠ Falta cuenta",IF(ISNA(MATCH(E1405,ctaNom,0)),"⚠ Cuenta no existe",IF(AND(OR(I1405="Transferencia",I1405="Pago tarjeta"),G1405=""),"⚠ Indica la cuenta «Hacia»",IF(AND(G1405&lt;&gt;"",G1405=E1405),"⚠ «Hacia» igual a la cuenta",IF(AND(G1405&lt;&gt;"",ISNA(MATCH(G1405,ctaNom,0))),"⚠ «Hacia» no existe",IF(AND(I1405="Pago tarjeta",IFERROR(INDEX(ctaTipo,MATCH(G1405,ctaNom,0)),"")&lt;&gt;"Tarjeta de crédito"),"⚠ «Hacia» debe ser la tarjeta",IF(AND(I1405="Trading",IFERROR(INDEX(ctaTipo,MATCH(E1405,ctaNom,0)),"")&lt;&gt;"Cuenta de trading"),"⚠ Usa la cuenta de trading","✓"))))))))))))</f>
        <v/>
      </c>
      <c r="I1405" s="19">
        <f>IF(OR(B1405="",C1405="",D1405=""),"",IFERROR(INDEX(catTipo,MATCH(D1405,catNom,0))&amp;"",""))</f>
        <v/>
      </c>
      <c r="J1405" s="19">
        <f>IF(I1405="","",IFERROR(INDEX(catGrupo,MATCH(D1405,catNom,0))&amp;"",""))</f>
        <v/>
      </c>
      <c r="K1405" s="19">
        <f>IF(I1405="Gasto",IF(IFERROR(INDEX(catClas,MATCH(D1405,catNom,0))&amp;"","")="","Variable",IFERROR(INDEX(catClas,MATCH(D1405,catNom,0))&amp;"","")),"")</f>
        <v/>
      </c>
      <c r="L1405" s="19">
        <f>IF(I1405="","",IFERROR(INDEX(catAlim,MATCH(D1405,catNom,0))&amp;"",""))</f>
        <v/>
      </c>
      <c r="M1405" s="19">
        <f>IF(I1405="","",IFERROR(INDEX(catComida,MATCH(D1405,catNom,0))&amp;"",""))</f>
        <v/>
      </c>
      <c r="N1405" s="19">
        <f>IF(I1405="","",IFERROR(INDEX(ctaMon,MATCH(E1405,ctaNom,0))&amp;"","DOP"))</f>
        <v/>
      </c>
      <c r="O1405" s="20">
        <f>IF(I1405="","",C1405*IF(N1405="USD",TasaUSD,1))</f>
        <v/>
      </c>
      <c r="P1405" s="20">
        <f>IF(I1405="","",IF(I1405="Gasto",O1405,0))</f>
        <v/>
      </c>
      <c r="Q1405" s="20">
        <f>IF(I1405="","",IF(I1405="Ingreso",O1405,0))</f>
        <v/>
      </c>
      <c r="R1405" s="20">
        <f>IF(I1405="","",IF(I1405="Trading",O1405,0))</f>
        <v/>
      </c>
      <c r="S1405" s="19">
        <f>IF(I1405="","",IF(AND(I1405="Gasto",K1405="Variable",J1405&lt;&gt;"Trading",O1405&gt;0,O1405&lt;=Umbral),1,0))</f>
        <v/>
      </c>
      <c r="T1405" s="20">
        <f>IF(OR(I1405="",E1405=""),"",IF(OR(I1405="Gasto",I1405="Transferencia",I1405="Pago tarjeta"),-1,1)*C1405)</f>
        <v/>
      </c>
      <c r="U1405" s="20">
        <f>IF(OR(G1405="",AND(I1405&lt;&gt;"Transferencia",I1405&lt;&gt;"Pago tarjeta")),"",IF(IFERROR(INDEX(ctaMon,MATCH(G1405,ctaNom,0))&amp;"","DOP")=N1405,C1405,IF(N1405="USD",C1405*TasaUSD,C1405/TasaUSD)))</f>
        <v/>
      </c>
      <c r="V1405" s="20">
        <f>IF(I1405="","",IF(IFERROR(INDEX(ctaLiq,MATCH(E1405,ctaNom,0))="Sí",FALSE),IF(OR(I1405="Gasto",I1405="Transferencia",I1405="Pago tarjeta"),-1,1)*O1405,0)+IF(AND(U1405&lt;&gt;"",IFERROR(INDEX(ctaLiq,MATCH(G1405,ctaNom,0))="Sí",FALSE)),O1405,0))</f>
        <v/>
      </c>
      <c r="W1405" s="19">
        <f>IF(OR(F1405="",I1405=""),"",IF(COUNTIFS(F$6:F1405,F1405,I$6:I1405,"?*")=1,MAX(W$5:W1404)+1,""))</f>
        <v/>
      </c>
    </row>
    <row r="1406">
      <c r="B1406" s="15" t="n"/>
      <c r="C1406" s="16" t="n"/>
      <c r="D1406" s="17" t="n"/>
      <c r="E1406" s="17" t="n"/>
      <c r="F1406" s="17" t="n"/>
      <c r="G1406" s="17" t="n"/>
      <c r="H1406" s="18">
        <f>IF(AND(B1406="",C1406="",D1406="",E1406=""),"",IF(B1406="","⚠ Falta fecha",IF(C1406="","⚠ Falta monto",IF(D1406="","⚠ Falta categoría",IF(ISNA(MATCH(D1406,catNom,0)),"⚠ Categoría no existe",IF(E1406="","⚠ Falta cuenta",IF(ISNA(MATCH(E1406,ctaNom,0)),"⚠ Cuenta no existe",IF(AND(OR(I1406="Transferencia",I1406="Pago tarjeta"),G1406=""),"⚠ Indica la cuenta «Hacia»",IF(AND(G1406&lt;&gt;"",G1406=E1406),"⚠ «Hacia» igual a la cuenta",IF(AND(G1406&lt;&gt;"",ISNA(MATCH(G1406,ctaNom,0))),"⚠ «Hacia» no existe",IF(AND(I1406="Pago tarjeta",IFERROR(INDEX(ctaTipo,MATCH(G1406,ctaNom,0)),"")&lt;&gt;"Tarjeta de crédito"),"⚠ «Hacia» debe ser la tarjeta",IF(AND(I1406="Trading",IFERROR(INDEX(ctaTipo,MATCH(E1406,ctaNom,0)),"")&lt;&gt;"Cuenta de trading"),"⚠ Usa la cuenta de trading","✓"))))))))))))</f>
        <v/>
      </c>
      <c r="I1406" s="19">
        <f>IF(OR(B1406="",C1406="",D1406=""),"",IFERROR(INDEX(catTipo,MATCH(D1406,catNom,0))&amp;"",""))</f>
        <v/>
      </c>
      <c r="J1406" s="19">
        <f>IF(I1406="","",IFERROR(INDEX(catGrupo,MATCH(D1406,catNom,0))&amp;"",""))</f>
        <v/>
      </c>
      <c r="K1406" s="19">
        <f>IF(I1406="Gasto",IF(IFERROR(INDEX(catClas,MATCH(D1406,catNom,0))&amp;"","")="","Variable",IFERROR(INDEX(catClas,MATCH(D1406,catNom,0))&amp;"","")),"")</f>
        <v/>
      </c>
      <c r="L1406" s="19">
        <f>IF(I1406="","",IFERROR(INDEX(catAlim,MATCH(D1406,catNom,0))&amp;"",""))</f>
        <v/>
      </c>
      <c r="M1406" s="19">
        <f>IF(I1406="","",IFERROR(INDEX(catComida,MATCH(D1406,catNom,0))&amp;"",""))</f>
        <v/>
      </c>
      <c r="N1406" s="19">
        <f>IF(I1406="","",IFERROR(INDEX(ctaMon,MATCH(E1406,ctaNom,0))&amp;"","DOP"))</f>
        <v/>
      </c>
      <c r="O1406" s="20">
        <f>IF(I1406="","",C1406*IF(N1406="USD",TasaUSD,1))</f>
        <v/>
      </c>
      <c r="P1406" s="20">
        <f>IF(I1406="","",IF(I1406="Gasto",O1406,0))</f>
        <v/>
      </c>
      <c r="Q1406" s="20">
        <f>IF(I1406="","",IF(I1406="Ingreso",O1406,0))</f>
        <v/>
      </c>
      <c r="R1406" s="20">
        <f>IF(I1406="","",IF(I1406="Trading",O1406,0))</f>
        <v/>
      </c>
      <c r="S1406" s="19">
        <f>IF(I1406="","",IF(AND(I1406="Gasto",K1406="Variable",J1406&lt;&gt;"Trading",O1406&gt;0,O1406&lt;=Umbral),1,0))</f>
        <v/>
      </c>
      <c r="T1406" s="20">
        <f>IF(OR(I1406="",E1406=""),"",IF(OR(I1406="Gasto",I1406="Transferencia",I1406="Pago tarjeta"),-1,1)*C1406)</f>
        <v/>
      </c>
      <c r="U1406" s="20">
        <f>IF(OR(G1406="",AND(I1406&lt;&gt;"Transferencia",I1406&lt;&gt;"Pago tarjeta")),"",IF(IFERROR(INDEX(ctaMon,MATCH(G1406,ctaNom,0))&amp;"","DOP")=N1406,C1406,IF(N1406="USD",C1406*TasaUSD,C1406/TasaUSD)))</f>
        <v/>
      </c>
      <c r="V1406" s="20">
        <f>IF(I1406="","",IF(IFERROR(INDEX(ctaLiq,MATCH(E1406,ctaNom,0))="Sí",FALSE),IF(OR(I1406="Gasto",I1406="Transferencia",I1406="Pago tarjeta"),-1,1)*O1406,0)+IF(AND(U1406&lt;&gt;"",IFERROR(INDEX(ctaLiq,MATCH(G1406,ctaNom,0))="Sí",FALSE)),O1406,0))</f>
        <v/>
      </c>
      <c r="W1406" s="19">
        <f>IF(OR(F1406="",I1406=""),"",IF(COUNTIFS(F$6:F1406,F1406,I$6:I1406,"?*")=1,MAX(W$5:W1405)+1,""))</f>
        <v/>
      </c>
    </row>
    <row r="1407">
      <c r="B1407" s="15" t="n"/>
      <c r="C1407" s="16" t="n"/>
      <c r="D1407" s="17" t="n"/>
      <c r="E1407" s="17" t="n"/>
      <c r="F1407" s="17" t="n"/>
      <c r="G1407" s="17" t="n"/>
      <c r="H1407" s="18">
        <f>IF(AND(B1407="",C1407="",D1407="",E1407=""),"",IF(B1407="","⚠ Falta fecha",IF(C1407="","⚠ Falta monto",IF(D1407="","⚠ Falta categoría",IF(ISNA(MATCH(D1407,catNom,0)),"⚠ Categoría no existe",IF(E1407="","⚠ Falta cuenta",IF(ISNA(MATCH(E1407,ctaNom,0)),"⚠ Cuenta no existe",IF(AND(OR(I1407="Transferencia",I1407="Pago tarjeta"),G1407=""),"⚠ Indica la cuenta «Hacia»",IF(AND(G1407&lt;&gt;"",G1407=E1407),"⚠ «Hacia» igual a la cuenta",IF(AND(G1407&lt;&gt;"",ISNA(MATCH(G1407,ctaNom,0))),"⚠ «Hacia» no existe",IF(AND(I1407="Pago tarjeta",IFERROR(INDEX(ctaTipo,MATCH(G1407,ctaNom,0)),"")&lt;&gt;"Tarjeta de crédito"),"⚠ «Hacia» debe ser la tarjeta",IF(AND(I1407="Trading",IFERROR(INDEX(ctaTipo,MATCH(E1407,ctaNom,0)),"")&lt;&gt;"Cuenta de trading"),"⚠ Usa la cuenta de trading","✓"))))))))))))</f>
        <v/>
      </c>
      <c r="I1407" s="19">
        <f>IF(OR(B1407="",C1407="",D1407=""),"",IFERROR(INDEX(catTipo,MATCH(D1407,catNom,0))&amp;"",""))</f>
        <v/>
      </c>
      <c r="J1407" s="19">
        <f>IF(I1407="","",IFERROR(INDEX(catGrupo,MATCH(D1407,catNom,0))&amp;"",""))</f>
        <v/>
      </c>
      <c r="K1407" s="19">
        <f>IF(I1407="Gasto",IF(IFERROR(INDEX(catClas,MATCH(D1407,catNom,0))&amp;"","")="","Variable",IFERROR(INDEX(catClas,MATCH(D1407,catNom,0))&amp;"","")),"")</f>
        <v/>
      </c>
      <c r="L1407" s="19">
        <f>IF(I1407="","",IFERROR(INDEX(catAlim,MATCH(D1407,catNom,0))&amp;"",""))</f>
        <v/>
      </c>
      <c r="M1407" s="19">
        <f>IF(I1407="","",IFERROR(INDEX(catComida,MATCH(D1407,catNom,0))&amp;"",""))</f>
        <v/>
      </c>
      <c r="N1407" s="19">
        <f>IF(I1407="","",IFERROR(INDEX(ctaMon,MATCH(E1407,ctaNom,0))&amp;"","DOP"))</f>
        <v/>
      </c>
      <c r="O1407" s="20">
        <f>IF(I1407="","",C1407*IF(N1407="USD",TasaUSD,1))</f>
        <v/>
      </c>
      <c r="P1407" s="20">
        <f>IF(I1407="","",IF(I1407="Gasto",O1407,0))</f>
        <v/>
      </c>
      <c r="Q1407" s="20">
        <f>IF(I1407="","",IF(I1407="Ingreso",O1407,0))</f>
        <v/>
      </c>
      <c r="R1407" s="20">
        <f>IF(I1407="","",IF(I1407="Trading",O1407,0))</f>
        <v/>
      </c>
      <c r="S1407" s="19">
        <f>IF(I1407="","",IF(AND(I1407="Gasto",K1407="Variable",J1407&lt;&gt;"Trading",O1407&gt;0,O1407&lt;=Umbral),1,0))</f>
        <v/>
      </c>
      <c r="T1407" s="20">
        <f>IF(OR(I1407="",E1407=""),"",IF(OR(I1407="Gasto",I1407="Transferencia",I1407="Pago tarjeta"),-1,1)*C1407)</f>
        <v/>
      </c>
      <c r="U1407" s="20">
        <f>IF(OR(G1407="",AND(I1407&lt;&gt;"Transferencia",I1407&lt;&gt;"Pago tarjeta")),"",IF(IFERROR(INDEX(ctaMon,MATCH(G1407,ctaNom,0))&amp;"","DOP")=N1407,C1407,IF(N1407="USD",C1407*TasaUSD,C1407/TasaUSD)))</f>
        <v/>
      </c>
      <c r="V1407" s="20">
        <f>IF(I1407="","",IF(IFERROR(INDEX(ctaLiq,MATCH(E1407,ctaNom,0))="Sí",FALSE),IF(OR(I1407="Gasto",I1407="Transferencia",I1407="Pago tarjeta"),-1,1)*O1407,0)+IF(AND(U1407&lt;&gt;"",IFERROR(INDEX(ctaLiq,MATCH(G1407,ctaNom,0))="Sí",FALSE)),O1407,0))</f>
        <v/>
      </c>
      <c r="W1407" s="19">
        <f>IF(OR(F1407="",I1407=""),"",IF(COUNTIFS(F$6:F1407,F1407,I$6:I1407,"?*")=1,MAX(W$5:W1406)+1,""))</f>
        <v/>
      </c>
    </row>
    <row r="1408">
      <c r="B1408" s="15" t="n"/>
      <c r="C1408" s="16" t="n"/>
      <c r="D1408" s="17" t="n"/>
      <c r="E1408" s="17" t="n"/>
      <c r="F1408" s="17" t="n"/>
      <c r="G1408" s="17" t="n"/>
      <c r="H1408" s="18">
        <f>IF(AND(B1408="",C1408="",D1408="",E1408=""),"",IF(B1408="","⚠ Falta fecha",IF(C1408="","⚠ Falta monto",IF(D1408="","⚠ Falta categoría",IF(ISNA(MATCH(D1408,catNom,0)),"⚠ Categoría no existe",IF(E1408="","⚠ Falta cuenta",IF(ISNA(MATCH(E1408,ctaNom,0)),"⚠ Cuenta no existe",IF(AND(OR(I1408="Transferencia",I1408="Pago tarjeta"),G1408=""),"⚠ Indica la cuenta «Hacia»",IF(AND(G1408&lt;&gt;"",G1408=E1408),"⚠ «Hacia» igual a la cuenta",IF(AND(G1408&lt;&gt;"",ISNA(MATCH(G1408,ctaNom,0))),"⚠ «Hacia» no existe",IF(AND(I1408="Pago tarjeta",IFERROR(INDEX(ctaTipo,MATCH(G1408,ctaNom,0)),"")&lt;&gt;"Tarjeta de crédito"),"⚠ «Hacia» debe ser la tarjeta",IF(AND(I1408="Trading",IFERROR(INDEX(ctaTipo,MATCH(E1408,ctaNom,0)),"")&lt;&gt;"Cuenta de trading"),"⚠ Usa la cuenta de trading","✓"))))))))))))</f>
        <v/>
      </c>
      <c r="I1408" s="19">
        <f>IF(OR(B1408="",C1408="",D1408=""),"",IFERROR(INDEX(catTipo,MATCH(D1408,catNom,0))&amp;"",""))</f>
        <v/>
      </c>
      <c r="J1408" s="19">
        <f>IF(I1408="","",IFERROR(INDEX(catGrupo,MATCH(D1408,catNom,0))&amp;"",""))</f>
        <v/>
      </c>
      <c r="K1408" s="19">
        <f>IF(I1408="Gasto",IF(IFERROR(INDEX(catClas,MATCH(D1408,catNom,0))&amp;"","")="","Variable",IFERROR(INDEX(catClas,MATCH(D1408,catNom,0))&amp;"","")),"")</f>
        <v/>
      </c>
      <c r="L1408" s="19">
        <f>IF(I1408="","",IFERROR(INDEX(catAlim,MATCH(D1408,catNom,0))&amp;"",""))</f>
        <v/>
      </c>
      <c r="M1408" s="19">
        <f>IF(I1408="","",IFERROR(INDEX(catComida,MATCH(D1408,catNom,0))&amp;"",""))</f>
        <v/>
      </c>
      <c r="N1408" s="19">
        <f>IF(I1408="","",IFERROR(INDEX(ctaMon,MATCH(E1408,ctaNom,0))&amp;"","DOP"))</f>
        <v/>
      </c>
      <c r="O1408" s="20">
        <f>IF(I1408="","",C1408*IF(N1408="USD",TasaUSD,1))</f>
        <v/>
      </c>
      <c r="P1408" s="20">
        <f>IF(I1408="","",IF(I1408="Gasto",O1408,0))</f>
        <v/>
      </c>
      <c r="Q1408" s="20">
        <f>IF(I1408="","",IF(I1408="Ingreso",O1408,0))</f>
        <v/>
      </c>
      <c r="R1408" s="20">
        <f>IF(I1408="","",IF(I1408="Trading",O1408,0))</f>
        <v/>
      </c>
      <c r="S1408" s="19">
        <f>IF(I1408="","",IF(AND(I1408="Gasto",K1408="Variable",J1408&lt;&gt;"Trading",O1408&gt;0,O1408&lt;=Umbral),1,0))</f>
        <v/>
      </c>
      <c r="T1408" s="20">
        <f>IF(OR(I1408="",E1408=""),"",IF(OR(I1408="Gasto",I1408="Transferencia",I1408="Pago tarjeta"),-1,1)*C1408)</f>
        <v/>
      </c>
      <c r="U1408" s="20">
        <f>IF(OR(G1408="",AND(I1408&lt;&gt;"Transferencia",I1408&lt;&gt;"Pago tarjeta")),"",IF(IFERROR(INDEX(ctaMon,MATCH(G1408,ctaNom,0))&amp;"","DOP")=N1408,C1408,IF(N1408="USD",C1408*TasaUSD,C1408/TasaUSD)))</f>
        <v/>
      </c>
      <c r="V1408" s="20">
        <f>IF(I1408="","",IF(IFERROR(INDEX(ctaLiq,MATCH(E1408,ctaNom,0))="Sí",FALSE),IF(OR(I1408="Gasto",I1408="Transferencia",I1408="Pago tarjeta"),-1,1)*O1408,0)+IF(AND(U1408&lt;&gt;"",IFERROR(INDEX(ctaLiq,MATCH(G1408,ctaNom,0))="Sí",FALSE)),O1408,0))</f>
        <v/>
      </c>
      <c r="W1408" s="19">
        <f>IF(OR(F1408="",I1408=""),"",IF(COUNTIFS(F$6:F1408,F1408,I$6:I1408,"?*")=1,MAX(W$5:W1407)+1,""))</f>
        <v/>
      </c>
    </row>
    <row r="1409">
      <c r="B1409" s="15" t="n"/>
      <c r="C1409" s="16" t="n"/>
      <c r="D1409" s="17" t="n"/>
      <c r="E1409" s="17" t="n"/>
      <c r="F1409" s="17" t="n"/>
      <c r="G1409" s="17" t="n"/>
      <c r="H1409" s="18">
        <f>IF(AND(B1409="",C1409="",D1409="",E1409=""),"",IF(B1409="","⚠ Falta fecha",IF(C1409="","⚠ Falta monto",IF(D1409="","⚠ Falta categoría",IF(ISNA(MATCH(D1409,catNom,0)),"⚠ Categoría no existe",IF(E1409="","⚠ Falta cuenta",IF(ISNA(MATCH(E1409,ctaNom,0)),"⚠ Cuenta no existe",IF(AND(OR(I1409="Transferencia",I1409="Pago tarjeta"),G1409=""),"⚠ Indica la cuenta «Hacia»",IF(AND(G1409&lt;&gt;"",G1409=E1409),"⚠ «Hacia» igual a la cuenta",IF(AND(G1409&lt;&gt;"",ISNA(MATCH(G1409,ctaNom,0))),"⚠ «Hacia» no existe",IF(AND(I1409="Pago tarjeta",IFERROR(INDEX(ctaTipo,MATCH(G1409,ctaNom,0)),"")&lt;&gt;"Tarjeta de crédito"),"⚠ «Hacia» debe ser la tarjeta",IF(AND(I1409="Trading",IFERROR(INDEX(ctaTipo,MATCH(E1409,ctaNom,0)),"")&lt;&gt;"Cuenta de trading"),"⚠ Usa la cuenta de trading","✓"))))))))))))</f>
        <v/>
      </c>
      <c r="I1409" s="19">
        <f>IF(OR(B1409="",C1409="",D1409=""),"",IFERROR(INDEX(catTipo,MATCH(D1409,catNom,0))&amp;"",""))</f>
        <v/>
      </c>
      <c r="J1409" s="19">
        <f>IF(I1409="","",IFERROR(INDEX(catGrupo,MATCH(D1409,catNom,0))&amp;"",""))</f>
        <v/>
      </c>
      <c r="K1409" s="19">
        <f>IF(I1409="Gasto",IF(IFERROR(INDEX(catClas,MATCH(D1409,catNom,0))&amp;"","")="","Variable",IFERROR(INDEX(catClas,MATCH(D1409,catNom,0))&amp;"","")),"")</f>
        <v/>
      </c>
      <c r="L1409" s="19">
        <f>IF(I1409="","",IFERROR(INDEX(catAlim,MATCH(D1409,catNom,0))&amp;"",""))</f>
        <v/>
      </c>
      <c r="M1409" s="19">
        <f>IF(I1409="","",IFERROR(INDEX(catComida,MATCH(D1409,catNom,0))&amp;"",""))</f>
        <v/>
      </c>
      <c r="N1409" s="19">
        <f>IF(I1409="","",IFERROR(INDEX(ctaMon,MATCH(E1409,ctaNom,0))&amp;"","DOP"))</f>
        <v/>
      </c>
      <c r="O1409" s="20">
        <f>IF(I1409="","",C1409*IF(N1409="USD",TasaUSD,1))</f>
        <v/>
      </c>
      <c r="P1409" s="20">
        <f>IF(I1409="","",IF(I1409="Gasto",O1409,0))</f>
        <v/>
      </c>
      <c r="Q1409" s="20">
        <f>IF(I1409="","",IF(I1409="Ingreso",O1409,0))</f>
        <v/>
      </c>
      <c r="R1409" s="20">
        <f>IF(I1409="","",IF(I1409="Trading",O1409,0))</f>
        <v/>
      </c>
      <c r="S1409" s="19">
        <f>IF(I1409="","",IF(AND(I1409="Gasto",K1409="Variable",J1409&lt;&gt;"Trading",O1409&gt;0,O1409&lt;=Umbral),1,0))</f>
        <v/>
      </c>
      <c r="T1409" s="20">
        <f>IF(OR(I1409="",E1409=""),"",IF(OR(I1409="Gasto",I1409="Transferencia",I1409="Pago tarjeta"),-1,1)*C1409)</f>
        <v/>
      </c>
      <c r="U1409" s="20">
        <f>IF(OR(G1409="",AND(I1409&lt;&gt;"Transferencia",I1409&lt;&gt;"Pago tarjeta")),"",IF(IFERROR(INDEX(ctaMon,MATCH(G1409,ctaNom,0))&amp;"","DOP")=N1409,C1409,IF(N1409="USD",C1409*TasaUSD,C1409/TasaUSD)))</f>
        <v/>
      </c>
      <c r="V1409" s="20">
        <f>IF(I1409="","",IF(IFERROR(INDEX(ctaLiq,MATCH(E1409,ctaNom,0))="Sí",FALSE),IF(OR(I1409="Gasto",I1409="Transferencia",I1409="Pago tarjeta"),-1,1)*O1409,0)+IF(AND(U1409&lt;&gt;"",IFERROR(INDEX(ctaLiq,MATCH(G1409,ctaNom,0))="Sí",FALSE)),O1409,0))</f>
        <v/>
      </c>
      <c r="W1409" s="19">
        <f>IF(OR(F1409="",I1409=""),"",IF(COUNTIFS(F$6:F1409,F1409,I$6:I1409,"?*")=1,MAX(W$5:W1408)+1,""))</f>
        <v/>
      </c>
    </row>
    <row r="1410">
      <c r="B1410" s="15" t="n"/>
      <c r="C1410" s="16" t="n"/>
      <c r="D1410" s="17" t="n"/>
      <c r="E1410" s="17" t="n"/>
      <c r="F1410" s="17" t="n"/>
      <c r="G1410" s="17" t="n"/>
      <c r="H1410" s="18">
        <f>IF(AND(B1410="",C1410="",D1410="",E1410=""),"",IF(B1410="","⚠ Falta fecha",IF(C1410="","⚠ Falta monto",IF(D1410="","⚠ Falta categoría",IF(ISNA(MATCH(D1410,catNom,0)),"⚠ Categoría no existe",IF(E1410="","⚠ Falta cuenta",IF(ISNA(MATCH(E1410,ctaNom,0)),"⚠ Cuenta no existe",IF(AND(OR(I1410="Transferencia",I1410="Pago tarjeta"),G1410=""),"⚠ Indica la cuenta «Hacia»",IF(AND(G1410&lt;&gt;"",G1410=E1410),"⚠ «Hacia» igual a la cuenta",IF(AND(G1410&lt;&gt;"",ISNA(MATCH(G1410,ctaNom,0))),"⚠ «Hacia» no existe",IF(AND(I1410="Pago tarjeta",IFERROR(INDEX(ctaTipo,MATCH(G1410,ctaNom,0)),"")&lt;&gt;"Tarjeta de crédito"),"⚠ «Hacia» debe ser la tarjeta",IF(AND(I1410="Trading",IFERROR(INDEX(ctaTipo,MATCH(E1410,ctaNom,0)),"")&lt;&gt;"Cuenta de trading"),"⚠ Usa la cuenta de trading","✓"))))))))))))</f>
        <v/>
      </c>
      <c r="I1410" s="19">
        <f>IF(OR(B1410="",C1410="",D1410=""),"",IFERROR(INDEX(catTipo,MATCH(D1410,catNom,0))&amp;"",""))</f>
        <v/>
      </c>
      <c r="J1410" s="19">
        <f>IF(I1410="","",IFERROR(INDEX(catGrupo,MATCH(D1410,catNom,0))&amp;"",""))</f>
        <v/>
      </c>
      <c r="K1410" s="19">
        <f>IF(I1410="Gasto",IF(IFERROR(INDEX(catClas,MATCH(D1410,catNom,0))&amp;"","")="","Variable",IFERROR(INDEX(catClas,MATCH(D1410,catNom,0))&amp;"","")),"")</f>
        <v/>
      </c>
      <c r="L1410" s="19">
        <f>IF(I1410="","",IFERROR(INDEX(catAlim,MATCH(D1410,catNom,0))&amp;"",""))</f>
        <v/>
      </c>
      <c r="M1410" s="19">
        <f>IF(I1410="","",IFERROR(INDEX(catComida,MATCH(D1410,catNom,0))&amp;"",""))</f>
        <v/>
      </c>
      <c r="N1410" s="19">
        <f>IF(I1410="","",IFERROR(INDEX(ctaMon,MATCH(E1410,ctaNom,0))&amp;"","DOP"))</f>
        <v/>
      </c>
      <c r="O1410" s="20">
        <f>IF(I1410="","",C1410*IF(N1410="USD",TasaUSD,1))</f>
        <v/>
      </c>
      <c r="P1410" s="20">
        <f>IF(I1410="","",IF(I1410="Gasto",O1410,0))</f>
        <v/>
      </c>
      <c r="Q1410" s="20">
        <f>IF(I1410="","",IF(I1410="Ingreso",O1410,0))</f>
        <v/>
      </c>
      <c r="R1410" s="20">
        <f>IF(I1410="","",IF(I1410="Trading",O1410,0))</f>
        <v/>
      </c>
      <c r="S1410" s="19">
        <f>IF(I1410="","",IF(AND(I1410="Gasto",K1410="Variable",J1410&lt;&gt;"Trading",O1410&gt;0,O1410&lt;=Umbral),1,0))</f>
        <v/>
      </c>
      <c r="T1410" s="20">
        <f>IF(OR(I1410="",E1410=""),"",IF(OR(I1410="Gasto",I1410="Transferencia",I1410="Pago tarjeta"),-1,1)*C1410)</f>
        <v/>
      </c>
      <c r="U1410" s="20">
        <f>IF(OR(G1410="",AND(I1410&lt;&gt;"Transferencia",I1410&lt;&gt;"Pago tarjeta")),"",IF(IFERROR(INDEX(ctaMon,MATCH(G1410,ctaNom,0))&amp;"","DOP")=N1410,C1410,IF(N1410="USD",C1410*TasaUSD,C1410/TasaUSD)))</f>
        <v/>
      </c>
      <c r="V1410" s="20">
        <f>IF(I1410="","",IF(IFERROR(INDEX(ctaLiq,MATCH(E1410,ctaNom,0))="Sí",FALSE),IF(OR(I1410="Gasto",I1410="Transferencia",I1410="Pago tarjeta"),-1,1)*O1410,0)+IF(AND(U1410&lt;&gt;"",IFERROR(INDEX(ctaLiq,MATCH(G1410,ctaNom,0))="Sí",FALSE)),O1410,0))</f>
        <v/>
      </c>
      <c r="W1410" s="19">
        <f>IF(OR(F1410="",I1410=""),"",IF(COUNTIFS(F$6:F1410,F1410,I$6:I1410,"?*")=1,MAX(W$5:W1409)+1,""))</f>
        <v/>
      </c>
    </row>
    <row r="1411">
      <c r="B1411" s="15" t="n"/>
      <c r="C1411" s="16" t="n"/>
      <c r="D1411" s="17" t="n"/>
      <c r="E1411" s="17" t="n"/>
      <c r="F1411" s="17" t="n"/>
      <c r="G1411" s="17" t="n"/>
      <c r="H1411" s="18">
        <f>IF(AND(B1411="",C1411="",D1411="",E1411=""),"",IF(B1411="","⚠ Falta fecha",IF(C1411="","⚠ Falta monto",IF(D1411="","⚠ Falta categoría",IF(ISNA(MATCH(D1411,catNom,0)),"⚠ Categoría no existe",IF(E1411="","⚠ Falta cuenta",IF(ISNA(MATCH(E1411,ctaNom,0)),"⚠ Cuenta no existe",IF(AND(OR(I1411="Transferencia",I1411="Pago tarjeta"),G1411=""),"⚠ Indica la cuenta «Hacia»",IF(AND(G1411&lt;&gt;"",G1411=E1411),"⚠ «Hacia» igual a la cuenta",IF(AND(G1411&lt;&gt;"",ISNA(MATCH(G1411,ctaNom,0))),"⚠ «Hacia» no existe",IF(AND(I1411="Pago tarjeta",IFERROR(INDEX(ctaTipo,MATCH(G1411,ctaNom,0)),"")&lt;&gt;"Tarjeta de crédito"),"⚠ «Hacia» debe ser la tarjeta",IF(AND(I1411="Trading",IFERROR(INDEX(ctaTipo,MATCH(E1411,ctaNom,0)),"")&lt;&gt;"Cuenta de trading"),"⚠ Usa la cuenta de trading","✓"))))))))))))</f>
        <v/>
      </c>
      <c r="I1411" s="19">
        <f>IF(OR(B1411="",C1411="",D1411=""),"",IFERROR(INDEX(catTipo,MATCH(D1411,catNom,0))&amp;"",""))</f>
        <v/>
      </c>
      <c r="J1411" s="19">
        <f>IF(I1411="","",IFERROR(INDEX(catGrupo,MATCH(D1411,catNom,0))&amp;"",""))</f>
        <v/>
      </c>
      <c r="K1411" s="19">
        <f>IF(I1411="Gasto",IF(IFERROR(INDEX(catClas,MATCH(D1411,catNom,0))&amp;"","")="","Variable",IFERROR(INDEX(catClas,MATCH(D1411,catNom,0))&amp;"","")),"")</f>
        <v/>
      </c>
      <c r="L1411" s="19">
        <f>IF(I1411="","",IFERROR(INDEX(catAlim,MATCH(D1411,catNom,0))&amp;"",""))</f>
        <v/>
      </c>
      <c r="M1411" s="19">
        <f>IF(I1411="","",IFERROR(INDEX(catComida,MATCH(D1411,catNom,0))&amp;"",""))</f>
        <v/>
      </c>
      <c r="N1411" s="19">
        <f>IF(I1411="","",IFERROR(INDEX(ctaMon,MATCH(E1411,ctaNom,0))&amp;"","DOP"))</f>
        <v/>
      </c>
      <c r="O1411" s="20">
        <f>IF(I1411="","",C1411*IF(N1411="USD",TasaUSD,1))</f>
        <v/>
      </c>
      <c r="P1411" s="20">
        <f>IF(I1411="","",IF(I1411="Gasto",O1411,0))</f>
        <v/>
      </c>
      <c r="Q1411" s="20">
        <f>IF(I1411="","",IF(I1411="Ingreso",O1411,0))</f>
        <v/>
      </c>
      <c r="R1411" s="20">
        <f>IF(I1411="","",IF(I1411="Trading",O1411,0))</f>
        <v/>
      </c>
      <c r="S1411" s="19">
        <f>IF(I1411="","",IF(AND(I1411="Gasto",K1411="Variable",J1411&lt;&gt;"Trading",O1411&gt;0,O1411&lt;=Umbral),1,0))</f>
        <v/>
      </c>
      <c r="T1411" s="20">
        <f>IF(OR(I1411="",E1411=""),"",IF(OR(I1411="Gasto",I1411="Transferencia",I1411="Pago tarjeta"),-1,1)*C1411)</f>
        <v/>
      </c>
      <c r="U1411" s="20">
        <f>IF(OR(G1411="",AND(I1411&lt;&gt;"Transferencia",I1411&lt;&gt;"Pago tarjeta")),"",IF(IFERROR(INDEX(ctaMon,MATCH(G1411,ctaNom,0))&amp;"","DOP")=N1411,C1411,IF(N1411="USD",C1411*TasaUSD,C1411/TasaUSD)))</f>
        <v/>
      </c>
      <c r="V1411" s="20">
        <f>IF(I1411="","",IF(IFERROR(INDEX(ctaLiq,MATCH(E1411,ctaNom,0))="Sí",FALSE),IF(OR(I1411="Gasto",I1411="Transferencia",I1411="Pago tarjeta"),-1,1)*O1411,0)+IF(AND(U1411&lt;&gt;"",IFERROR(INDEX(ctaLiq,MATCH(G1411,ctaNom,0))="Sí",FALSE)),O1411,0))</f>
        <v/>
      </c>
      <c r="W1411" s="19">
        <f>IF(OR(F1411="",I1411=""),"",IF(COUNTIFS(F$6:F1411,F1411,I$6:I1411,"?*")=1,MAX(W$5:W1410)+1,""))</f>
        <v/>
      </c>
    </row>
    <row r="1412">
      <c r="B1412" s="15" t="n"/>
      <c r="C1412" s="16" t="n"/>
      <c r="D1412" s="17" t="n"/>
      <c r="E1412" s="17" t="n"/>
      <c r="F1412" s="17" t="n"/>
      <c r="G1412" s="17" t="n"/>
      <c r="H1412" s="18">
        <f>IF(AND(B1412="",C1412="",D1412="",E1412=""),"",IF(B1412="","⚠ Falta fecha",IF(C1412="","⚠ Falta monto",IF(D1412="","⚠ Falta categoría",IF(ISNA(MATCH(D1412,catNom,0)),"⚠ Categoría no existe",IF(E1412="","⚠ Falta cuenta",IF(ISNA(MATCH(E1412,ctaNom,0)),"⚠ Cuenta no existe",IF(AND(OR(I1412="Transferencia",I1412="Pago tarjeta"),G1412=""),"⚠ Indica la cuenta «Hacia»",IF(AND(G1412&lt;&gt;"",G1412=E1412),"⚠ «Hacia» igual a la cuenta",IF(AND(G1412&lt;&gt;"",ISNA(MATCH(G1412,ctaNom,0))),"⚠ «Hacia» no existe",IF(AND(I1412="Pago tarjeta",IFERROR(INDEX(ctaTipo,MATCH(G1412,ctaNom,0)),"")&lt;&gt;"Tarjeta de crédito"),"⚠ «Hacia» debe ser la tarjeta",IF(AND(I1412="Trading",IFERROR(INDEX(ctaTipo,MATCH(E1412,ctaNom,0)),"")&lt;&gt;"Cuenta de trading"),"⚠ Usa la cuenta de trading","✓"))))))))))))</f>
        <v/>
      </c>
      <c r="I1412" s="19">
        <f>IF(OR(B1412="",C1412="",D1412=""),"",IFERROR(INDEX(catTipo,MATCH(D1412,catNom,0))&amp;"",""))</f>
        <v/>
      </c>
      <c r="J1412" s="19">
        <f>IF(I1412="","",IFERROR(INDEX(catGrupo,MATCH(D1412,catNom,0))&amp;"",""))</f>
        <v/>
      </c>
      <c r="K1412" s="19">
        <f>IF(I1412="Gasto",IF(IFERROR(INDEX(catClas,MATCH(D1412,catNom,0))&amp;"","")="","Variable",IFERROR(INDEX(catClas,MATCH(D1412,catNom,0))&amp;"","")),"")</f>
        <v/>
      </c>
      <c r="L1412" s="19">
        <f>IF(I1412="","",IFERROR(INDEX(catAlim,MATCH(D1412,catNom,0))&amp;"",""))</f>
        <v/>
      </c>
      <c r="M1412" s="19">
        <f>IF(I1412="","",IFERROR(INDEX(catComida,MATCH(D1412,catNom,0))&amp;"",""))</f>
        <v/>
      </c>
      <c r="N1412" s="19">
        <f>IF(I1412="","",IFERROR(INDEX(ctaMon,MATCH(E1412,ctaNom,0))&amp;"","DOP"))</f>
        <v/>
      </c>
      <c r="O1412" s="20">
        <f>IF(I1412="","",C1412*IF(N1412="USD",TasaUSD,1))</f>
        <v/>
      </c>
      <c r="P1412" s="20">
        <f>IF(I1412="","",IF(I1412="Gasto",O1412,0))</f>
        <v/>
      </c>
      <c r="Q1412" s="20">
        <f>IF(I1412="","",IF(I1412="Ingreso",O1412,0))</f>
        <v/>
      </c>
      <c r="R1412" s="20">
        <f>IF(I1412="","",IF(I1412="Trading",O1412,0))</f>
        <v/>
      </c>
      <c r="S1412" s="19">
        <f>IF(I1412="","",IF(AND(I1412="Gasto",K1412="Variable",J1412&lt;&gt;"Trading",O1412&gt;0,O1412&lt;=Umbral),1,0))</f>
        <v/>
      </c>
      <c r="T1412" s="20">
        <f>IF(OR(I1412="",E1412=""),"",IF(OR(I1412="Gasto",I1412="Transferencia",I1412="Pago tarjeta"),-1,1)*C1412)</f>
        <v/>
      </c>
      <c r="U1412" s="20">
        <f>IF(OR(G1412="",AND(I1412&lt;&gt;"Transferencia",I1412&lt;&gt;"Pago tarjeta")),"",IF(IFERROR(INDEX(ctaMon,MATCH(G1412,ctaNom,0))&amp;"","DOP")=N1412,C1412,IF(N1412="USD",C1412*TasaUSD,C1412/TasaUSD)))</f>
        <v/>
      </c>
      <c r="V1412" s="20">
        <f>IF(I1412="","",IF(IFERROR(INDEX(ctaLiq,MATCH(E1412,ctaNom,0))="Sí",FALSE),IF(OR(I1412="Gasto",I1412="Transferencia",I1412="Pago tarjeta"),-1,1)*O1412,0)+IF(AND(U1412&lt;&gt;"",IFERROR(INDEX(ctaLiq,MATCH(G1412,ctaNom,0))="Sí",FALSE)),O1412,0))</f>
        <v/>
      </c>
      <c r="W1412" s="19">
        <f>IF(OR(F1412="",I1412=""),"",IF(COUNTIFS(F$6:F1412,F1412,I$6:I1412,"?*")=1,MAX(W$5:W1411)+1,""))</f>
        <v/>
      </c>
    </row>
    <row r="1413">
      <c r="B1413" s="15" t="n"/>
      <c r="C1413" s="16" t="n"/>
      <c r="D1413" s="17" t="n"/>
      <c r="E1413" s="17" t="n"/>
      <c r="F1413" s="17" t="n"/>
      <c r="G1413" s="17" t="n"/>
      <c r="H1413" s="18">
        <f>IF(AND(B1413="",C1413="",D1413="",E1413=""),"",IF(B1413="","⚠ Falta fecha",IF(C1413="","⚠ Falta monto",IF(D1413="","⚠ Falta categoría",IF(ISNA(MATCH(D1413,catNom,0)),"⚠ Categoría no existe",IF(E1413="","⚠ Falta cuenta",IF(ISNA(MATCH(E1413,ctaNom,0)),"⚠ Cuenta no existe",IF(AND(OR(I1413="Transferencia",I1413="Pago tarjeta"),G1413=""),"⚠ Indica la cuenta «Hacia»",IF(AND(G1413&lt;&gt;"",G1413=E1413),"⚠ «Hacia» igual a la cuenta",IF(AND(G1413&lt;&gt;"",ISNA(MATCH(G1413,ctaNom,0))),"⚠ «Hacia» no existe",IF(AND(I1413="Pago tarjeta",IFERROR(INDEX(ctaTipo,MATCH(G1413,ctaNom,0)),"")&lt;&gt;"Tarjeta de crédito"),"⚠ «Hacia» debe ser la tarjeta",IF(AND(I1413="Trading",IFERROR(INDEX(ctaTipo,MATCH(E1413,ctaNom,0)),"")&lt;&gt;"Cuenta de trading"),"⚠ Usa la cuenta de trading","✓"))))))))))))</f>
        <v/>
      </c>
      <c r="I1413" s="19">
        <f>IF(OR(B1413="",C1413="",D1413=""),"",IFERROR(INDEX(catTipo,MATCH(D1413,catNom,0))&amp;"",""))</f>
        <v/>
      </c>
      <c r="J1413" s="19">
        <f>IF(I1413="","",IFERROR(INDEX(catGrupo,MATCH(D1413,catNom,0))&amp;"",""))</f>
        <v/>
      </c>
      <c r="K1413" s="19">
        <f>IF(I1413="Gasto",IF(IFERROR(INDEX(catClas,MATCH(D1413,catNom,0))&amp;"","")="","Variable",IFERROR(INDEX(catClas,MATCH(D1413,catNom,0))&amp;"","")),"")</f>
        <v/>
      </c>
      <c r="L1413" s="19">
        <f>IF(I1413="","",IFERROR(INDEX(catAlim,MATCH(D1413,catNom,0))&amp;"",""))</f>
        <v/>
      </c>
      <c r="M1413" s="19">
        <f>IF(I1413="","",IFERROR(INDEX(catComida,MATCH(D1413,catNom,0))&amp;"",""))</f>
        <v/>
      </c>
      <c r="N1413" s="19">
        <f>IF(I1413="","",IFERROR(INDEX(ctaMon,MATCH(E1413,ctaNom,0))&amp;"","DOP"))</f>
        <v/>
      </c>
      <c r="O1413" s="20">
        <f>IF(I1413="","",C1413*IF(N1413="USD",TasaUSD,1))</f>
        <v/>
      </c>
      <c r="P1413" s="20">
        <f>IF(I1413="","",IF(I1413="Gasto",O1413,0))</f>
        <v/>
      </c>
      <c r="Q1413" s="20">
        <f>IF(I1413="","",IF(I1413="Ingreso",O1413,0))</f>
        <v/>
      </c>
      <c r="R1413" s="20">
        <f>IF(I1413="","",IF(I1413="Trading",O1413,0))</f>
        <v/>
      </c>
      <c r="S1413" s="19">
        <f>IF(I1413="","",IF(AND(I1413="Gasto",K1413="Variable",J1413&lt;&gt;"Trading",O1413&gt;0,O1413&lt;=Umbral),1,0))</f>
        <v/>
      </c>
      <c r="T1413" s="20">
        <f>IF(OR(I1413="",E1413=""),"",IF(OR(I1413="Gasto",I1413="Transferencia",I1413="Pago tarjeta"),-1,1)*C1413)</f>
        <v/>
      </c>
      <c r="U1413" s="20">
        <f>IF(OR(G1413="",AND(I1413&lt;&gt;"Transferencia",I1413&lt;&gt;"Pago tarjeta")),"",IF(IFERROR(INDEX(ctaMon,MATCH(G1413,ctaNom,0))&amp;"","DOP")=N1413,C1413,IF(N1413="USD",C1413*TasaUSD,C1413/TasaUSD)))</f>
        <v/>
      </c>
      <c r="V1413" s="20">
        <f>IF(I1413="","",IF(IFERROR(INDEX(ctaLiq,MATCH(E1413,ctaNom,0))="Sí",FALSE),IF(OR(I1413="Gasto",I1413="Transferencia",I1413="Pago tarjeta"),-1,1)*O1413,0)+IF(AND(U1413&lt;&gt;"",IFERROR(INDEX(ctaLiq,MATCH(G1413,ctaNom,0))="Sí",FALSE)),O1413,0))</f>
        <v/>
      </c>
      <c r="W1413" s="19">
        <f>IF(OR(F1413="",I1413=""),"",IF(COUNTIFS(F$6:F1413,F1413,I$6:I1413,"?*")=1,MAX(W$5:W1412)+1,""))</f>
        <v/>
      </c>
    </row>
    <row r="1414">
      <c r="B1414" s="15" t="n"/>
      <c r="C1414" s="16" t="n"/>
      <c r="D1414" s="17" t="n"/>
      <c r="E1414" s="17" t="n"/>
      <c r="F1414" s="17" t="n"/>
      <c r="G1414" s="17" t="n"/>
      <c r="H1414" s="18">
        <f>IF(AND(B1414="",C1414="",D1414="",E1414=""),"",IF(B1414="","⚠ Falta fecha",IF(C1414="","⚠ Falta monto",IF(D1414="","⚠ Falta categoría",IF(ISNA(MATCH(D1414,catNom,0)),"⚠ Categoría no existe",IF(E1414="","⚠ Falta cuenta",IF(ISNA(MATCH(E1414,ctaNom,0)),"⚠ Cuenta no existe",IF(AND(OR(I1414="Transferencia",I1414="Pago tarjeta"),G1414=""),"⚠ Indica la cuenta «Hacia»",IF(AND(G1414&lt;&gt;"",G1414=E1414),"⚠ «Hacia» igual a la cuenta",IF(AND(G1414&lt;&gt;"",ISNA(MATCH(G1414,ctaNom,0))),"⚠ «Hacia» no existe",IF(AND(I1414="Pago tarjeta",IFERROR(INDEX(ctaTipo,MATCH(G1414,ctaNom,0)),"")&lt;&gt;"Tarjeta de crédito"),"⚠ «Hacia» debe ser la tarjeta",IF(AND(I1414="Trading",IFERROR(INDEX(ctaTipo,MATCH(E1414,ctaNom,0)),"")&lt;&gt;"Cuenta de trading"),"⚠ Usa la cuenta de trading","✓"))))))))))))</f>
        <v/>
      </c>
      <c r="I1414" s="19">
        <f>IF(OR(B1414="",C1414="",D1414=""),"",IFERROR(INDEX(catTipo,MATCH(D1414,catNom,0))&amp;"",""))</f>
        <v/>
      </c>
      <c r="J1414" s="19">
        <f>IF(I1414="","",IFERROR(INDEX(catGrupo,MATCH(D1414,catNom,0))&amp;"",""))</f>
        <v/>
      </c>
      <c r="K1414" s="19">
        <f>IF(I1414="Gasto",IF(IFERROR(INDEX(catClas,MATCH(D1414,catNom,0))&amp;"","")="","Variable",IFERROR(INDEX(catClas,MATCH(D1414,catNom,0))&amp;"","")),"")</f>
        <v/>
      </c>
      <c r="L1414" s="19">
        <f>IF(I1414="","",IFERROR(INDEX(catAlim,MATCH(D1414,catNom,0))&amp;"",""))</f>
        <v/>
      </c>
      <c r="M1414" s="19">
        <f>IF(I1414="","",IFERROR(INDEX(catComida,MATCH(D1414,catNom,0))&amp;"",""))</f>
        <v/>
      </c>
      <c r="N1414" s="19">
        <f>IF(I1414="","",IFERROR(INDEX(ctaMon,MATCH(E1414,ctaNom,0))&amp;"","DOP"))</f>
        <v/>
      </c>
      <c r="O1414" s="20">
        <f>IF(I1414="","",C1414*IF(N1414="USD",TasaUSD,1))</f>
        <v/>
      </c>
      <c r="P1414" s="20">
        <f>IF(I1414="","",IF(I1414="Gasto",O1414,0))</f>
        <v/>
      </c>
      <c r="Q1414" s="20">
        <f>IF(I1414="","",IF(I1414="Ingreso",O1414,0))</f>
        <v/>
      </c>
      <c r="R1414" s="20">
        <f>IF(I1414="","",IF(I1414="Trading",O1414,0))</f>
        <v/>
      </c>
      <c r="S1414" s="19">
        <f>IF(I1414="","",IF(AND(I1414="Gasto",K1414="Variable",J1414&lt;&gt;"Trading",O1414&gt;0,O1414&lt;=Umbral),1,0))</f>
        <v/>
      </c>
      <c r="T1414" s="20">
        <f>IF(OR(I1414="",E1414=""),"",IF(OR(I1414="Gasto",I1414="Transferencia",I1414="Pago tarjeta"),-1,1)*C1414)</f>
        <v/>
      </c>
      <c r="U1414" s="20">
        <f>IF(OR(G1414="",AND(I1414&lt;&gt;"Transferencia",I1414&lt;&gt;"Pago tarjeta")),"",IF(IFERROR(INDEX(ctaMon,MATCH(G1414,ctaNom,0))&amp;"","DOP")=N1414,C1414,IF(N1414="USD",C1414*TasaUSD,C1414/TasaUSD)))</f>
        <v/>
      </c>
      <c r="V1414" s="20">
        <f>IF(I1414="","",IF(IFERROR(INDEX(ctaLiq,MATCH(E1414,ctaNom,0))="Sí",FALSE),IF(OR(I1414="Gasto",I1414="Transferencia",I1414="Pago tarjeta"),-1,1)*O1414,0)+IF(AND(U1414&lt;&gt;"",IFERROR(INDEX(ctaLiq,MATCH(G1414,ctaNom,0))="Sí",FALSE)),O1414,0))</f>
        <v/>
      </c>
      <c r="W1414" s="19">
        <f>IF(OR(F1414="",I1414=""),"",IF(COUNTIFS(F$6:F1414,F1414,I$6:I1414,"?*")=1,MAX(W$5:W1413)+1,""))</f>
        <v/>
      </c>
    </row>
    <row r="1415">
      <c r="B1415" s="15" t="n"/>
      <c r="C1415" s="16" t="n"/>
      <c r="D1415" s="17" t="n"/>
      <c r="E1415" s="17" t="n"/>
      <c r="F1415" s="17" t="n"/>
      <c r="G1415" s="17" t="n"/>
      <c r="H1415" s="18">
        <f>IF(AND(B1415="",C1415="",D1415="",E1415=""),"",IF(B1415="","⚠ Falta fecha",IF(C1415="","⚠ Falta monto",IF(D1415="","⚠ Falta categoría",IF(ISNA(MATCH(D1415,catNom,0)),"⚠ Categoría no existe",IF(E1415="","⚠ Falta cuenta",IF(ISNA(MATCH(E1415,ctaNom,0)),"⚠ Cuenta no existe",IF(AND(OR(I1415="Transferencia",I1415="Pago tarjeta"),G1415=""),"⚠ Indica la cuenta «Hacia»",IF(AND(G1415&lt;&gt;"",G1415=E1415),"⚠ «Hacia» igual a la cuenta",IF(AND(G1415&lt;&gt;"",ISNA(MATCH(G1415,ctaNom,0))),"⚠ «Hacia» no existe",IF(AND(I1415="Pago tarjeta",IFERROR(INDEX(ctaTipo,MATCH(G1415,ctaNom,0)),"")&lt;&gt;"Tarjeta de crédito"),"⚠ «Hacia» debe ser la tarjeta",IF(AND(I1415="Trading",IFERROR(INDEX(ctaTipo,MATCH(E1415,ctaNom,0)),"")&lt;&gt;"Cuenta de trading"),"⚠ Usa la cuenta de trading","✓"))))))))))))</f>
        <v/>
      </c>
      <c r="I1415" s="19">
        <f>IF(OR(B1415="",C1415="",D1415=""),"",IFERROR(INDEX(catTipo,MATCH(D1415,catNom,0))&amp;"",""))</f>
        <v/>
      </c>
      <c r="J1415" s="19">
        <f>IF(I1415="","",IFERROR(INDEX(catGrupo,MATCH(D1415,catNom,0))&amp;"",""))</f>
        <v/>
      </c>
      <c r="K1415" s="19">
        <f>IF(I1415="Gasto",IF(IFERROR(INDEX(catClas,MATCH(D1415,catNom,0))&amp;"","")="","Variable",IFERROR(INDEX(catClas,MATCH(D1415,catNom,0))&amp;"","")),"")</f>
        <v/>
      </c>
      <c r="L1415" s="19">
        <f>IF(I1415="","",IFERROR(INDEX(catAlim,MATCH(D1415,catNom,0))&amp;"",""))</f>
        <v/>
      </c>
      <c r="M1415" s="19">
        <f>IF(I1415="","",IFERROR(INDEX(catComida,MATCH(D1415,catNom,0))&amp;"",""))</f>
        <v/>
      </c>
      <c r="N1415" s="19">
        <f>IF(I1415="","",IFERROR(INDEX(ctaMon,MATCH(E1415,ctaNom,0))&amp;"","DOP"))</f>
        <v/>
      </c>
      <c r="O1415" s="20">
        <f>IF(I1415="","",C1415*IF(N1415="USD",TasaUSD,1))</f>
        <v/>
      </c>
      <c r="P1415" s="20">
        <f>IF(I1415="","",IF(I1415="Gasto",O1415,0))</f>
        <v/>
      </c>
      <c r="Q1415" s="20">
        <f>IF(I1415="","",IF(I1415="Ingreso",O1415,0))</f>
        <v/>
      </c>
      <c r="R1415" s="20">
        <f>IF(I1415="","",IF(I1415="Trading",O1415,0))</f>
        <v/>
      </c>
      <c r="S1415" s="19">
        <f>IF(I1415="","",IF(AND(I1415="Gasto",K1415="Variable",J1415&lt;&gt;"Trading",O1415&gt;0,O1415&lt;=Umbral),1,0))</f>
        <v/>
      </c>
      <c r="T1415" s="20">
        <f>IF(OR(I1415="",E1415=""),"",IF(OR(I1415="Gasto",I1415="Transferencia",I1415="Pago tarjeta"),-1,1)*C1415)</f>
        <v/>
      </c>
      <c r="U1415" s="20">
        <f>IF(OR(G1415="",AND(I1415&lt;&gt;"Transferencia",I1415&lt;&gt;"Pago tarjeta")),"",IF(IFERROR(INDEX(ctaMon,MATCH(G1415,ctaNom,0))&amp;"","DOP")=N1415,C1415,IF(N1415="USD",C1415*TasaUSD,C1415/TasaUSD)))</f>
        <v/>
      </c>
      <c r="V1415" s="20">
        <f>IF(I1415="","",IF(IFERROR(INDEX(ctaLiq,MATCH(E1415,ctaNom,0))="Sí",FALSE),IF(OR(I1415="Gasto",I1415="Transferencia",I1415="Pago tarjeta"),-1,1)*O1415,0)+IF(AND(U1415&lt;&gt;"",IFERROR(INDEX(ctaLiq,MATCH(G1415,ctaNom,0))="Sí",FALSE)),O1415,0))</f>
        <v/>
      </c>
      <c r="W1415" s="19">
        <f>IF(OR(F1415="",I1415=""),"",IF(COUNTIFS(F$6:F1415,F1415,I$6:I1415,"?*")=1,MAX(W$5:W1414)+1,""))</f>
        <v/>
      </c>
    </row>
    <row r="1416">
      <c r="B1416" s="15" t="n"/>
      <c r="C1416" s="16" t="n"/>
      <c r="D1416" s="17" t="n"/>
      <c r="E1416" s="17" t="n"/>
      <c r="F1416" s="17" t="n"/>
      <c r="G1416" s="17" t="n"/>
      <c r="H1416" s="18">
        <f>IF(AND(B1416="",C1416="",D1416="",E1416=""),"",IF(B1416="","⚠ Falta fecha",IF(C1416="","⚠ Falta monto",IF(D1416="","⚠ Falta categoría",IF(ISNA(MATCH(D1416,catNom,0)),"⚠ Categoría no existe",IF(E1416="","⚠ Falta cuenta",IF(ISNA(MATCH(E1416,ctaNom,0)),"⚠ Cuenta no existe",IF(AND(OR(I1416="Transferencia",I1416="Pago tarjeta"),G1416=""),"⚠ Indica la cuenta «Hacia»",IF(AND(G1416&lt;&gt;"",G1416=E1416),"⚠ «Hacia» igual a la cuenta",IF(AND(G1416&lt;&gt;"",ISNA(MATCH(G1416,ctaNom,0))),"⚠ «Hacia» no existe",IF(AND(I1416="Pago tarjeta",IFERROR(INDEX(ctaTipo,MATCH(G1416,ctaNom,0)),"")&lt;&gt;"Tarjeta de crédito"),"⚠ «Hacia» debe ser la tarjeta",IF(AND(I1416="Trading",IFERROR(INDEX(ctaTipo,MATCH(E1416,ctaNom,0)),"")&lt;&gt;"Cuenta de trading"),"⚠ Usa la cuenta de trading","✓"))))))))))))</f>
        <v/>
      </c>
      <c r="I1416" s="19">
        <f>IF(OR(B1416="",C1416="",D1416=""),"",IFERROR(INDEX(catTipo,MATCH(D1416,catNom,0))&amp;"",""))</f>
        <v/>
      </c>
      <c r="J1416" s="19">
        <f>IF(I1416="","",IFERROR(INDEX(catGrupo,MATCH(D1416,catNom,0))&amp;"",""))</f>
        <v/>
      </c>
      <c r="K1416" s="19">
        <f>IF(I1416="Gasto",IF(IFERROR(INDEX(catClas,MATCH(D1416,catNom,0))&amp;"","")="","Variable",IFERROR(INDEX(catClas,MATCH(D1416,catNom,0))&amp;"","")),"")</f>
        <v/>
      </c>
      <c r="L1416" s="19">
        <f>IF(I1416="","",IFERROR(INDEX(catAlim,MATCH(D1416,catNom,0))&amp;"",""))</f>
        <v/>
      </c>
      <c r="M1416" s="19">
        <f>IF(I1416="","",IFERROR(INDEX(catComida,MATCH(D1416,catNom,0))&amp;"",""))</f>
        <v/>
      </c>
      <c r="N1416" s="19">
        <f>IF(I1416="","",IFERROR(INDEX(ctaMon,MATCH(E1416,ctaNom,0))&amp;"","DOP"))</f>
        <v/>
      </c>
      <c r="O1416" s="20">
        <f>IF(I1416="","",C1416*IF(N1416="USD",TasaUSD,1))</f>
        <v/>
      </c>
      <c r="P1416" s="20">
        <f>IF(I1416="","",IF(I1416="Gasto",O1416,0))</f>
        <v/>
      </c>
      <c r="Q1416" s="20">
        <f>IF(I1416="","",IF(I1416="Ingreso",O1416,0))</f>
        <v/>
      </c>
      <c r="R1416" s="20">
        <f>IF(I1416="","",IF(I1416="Trading",O1416,0))</f>
        <v/>
      </c>
      <c r="S1416" s="19">
        <f>IF(I1416="","",IF(AND(I1416="Gasto",K1416="Variable",J1416&lt;&gt;"Trading",O1416&gt;0,O1416&lt;=Umbral),1,0))</f>
        <v/>
      </c>
      <c r="T1416" s="20">
        <f>IF(OR(I1416="",E1416=""),"",IF(OR(I1416="Gasto",I1416="Transferencia",I1416="Pago tarjeta"),-1,1)*C1416)</f>
        <v/>
      </c>
      <c r="U1416" s="20">
        <f>IF(OR(G1416="",AND(I1416&lt;&gt;"Transferencia",I1416&lt;&gt;"Pago tarjeta")),"",IF(IFERROR(INDEX(ctaMon,MATCH(G1416,ctaNom,0))&amp;"","DOP")=N1416,C1416,IF(N1416="USD",C1416*TasaUSD,C1416/TasaUSD)))</f>
        <v/>
      </c>
      <c r="V1416" s="20">
        <f>IF(I1416="","",IF(IFERROR(INDEX(ctaLiq,MATCH(E1416,ctaNom,0))="Sí",FALSE),IF(OR(I1416="Gasto",I1416="Transferencia",I1416="Pago tarjeta"),-1,1)*O1416,0)+IF(AND(U1416&lt;&gt;"",IFERROR(INDEX(ctaLiq,MATCH(G1416,ctaNom,0))="Sí",FALSE)),O1416,0))</f>
        <v/>
      </c>
      <c r="W1416" s="19">
        <f>IF(OR(F1416="",I1416=""),"",IF(COUNTIFS(F$6:F1416,F1416,I$6:I1416,"?*")=1,MAX(W$5:W1415)+1,""))</f>
        <v/>
      </c>
    </row>
    <row r="1417">
      <c r="B1417" s="15" t="n"/>
      <c r="C1417" s="16" t="n"/>
      <c r="D1417" s="17" t="n"/>
      <c r="E1417" s="17" t="n"/>
      <c r="F1417" s="17" t="n"/>
      <c r="G1417" s="17" t="n"/>
      <c r="H1417" s="18">
        <f>IF(AND(B1417="",C1417="",D1417="",E1417=""),"",IF(B1417="","⚠ Falta fecha",IF(C1417="","⚠ Falta monto",IF(D1417="","⚠ Falta categoría",IF(ISNA(MATCH(D1417,catNom,0)),"⚠ Categoría no existe",IF(E1417="","⚠ Falta cuenta",IF(ISNA(MATCH(E1417,ctaNom,0)),"⚠ Cuenta no existe",IF(AND(OR(I1417="Transferencia",I1417="Pago tarjeta"),G1417=""),"⚠ Indica la cuenta «Hacia»",IF(AND(G1417&lt;&gt;"",G1417=E1417),"⚠ «Hacia» igual a la cuenta",IF(AND(G1417&lt;&gt;"",ISNA(MATCH(G1417,ctaNom,0))),"⚠ «Hacia» no existe",IF(AND(I1417="Pago tarjeta",IFERROR(INDEX(ctaTipo,MATCH(G1417,ctaNom,0)),"")&lt;&gt;"Tarjeta de crédito"),"⚠ «Hacia» debe ser la tarjeta",IF(AND(I1417="Trading",IFERROR(INDEX(ctaTipo,MATCH(E1417,ctaNom,0)),"")&lt;&gt;"Cuenta de trading"),"⚠ Usa la cuenta de trading","✓"))))))))))))</f>
        <v/>
      </c>
      <c r="I1417" s="19">
        <f>IF(OR(B1417="",C1417="",D1417=""),"",IFERROR(INDEX(catTipo,MATCH(D1417,catNom,0))&amp;"",""))</f>
        <v/>
      </c>
      <c r="J1417" s="19">
        <f>IF(I1417="","",IFERROR(INDEX(catGrupo,MATCH(D1417,catNom,0))&amp;"",""))</f>
        <v/>
      </c>
      <c r="K1417" s="19">
        <f>IF(I1417="Gasto",IF(IFERROR(INDEX(catClas,MATCH(D1417,catNom,0))&amp;"","")="","Variable",IFERROR(INDEX(catClas,MATCH(D1417,catNom,0))&amp;"","")),"")</f>
        <v/>
      </c>
      <c r="L1417" s="19">
        <f>IF(I1417="","",IFERROR(INDEX(catAlim,MATCH(D1417,catNom,0))&amp;"",""))</f>
        <v/>
      </c>
      <c r="M1417" s="19">
        <f>IF(I1417="","",IFERROR(INDEX(catComida,MATCH(D1417,catNom,0))&amp;"",""))</f>
        <v/>
      </c>
      <c r="N1417" s="19">
        <f>IF(I1417="","",IFERROR(INDEX(ctaMon,MATCH(E1417,ctaNom,0))&amp;"","DOP"))</f>
        <v/>
      </c>
      <c r="O1417" s="20">
        <f>IF(I1417="","",C1417*IF(N1417="USD",TasaUSD,1))</f>
        <v/>
      </c>
      <c r="P1417" s="20">
        <f>IF(I1417="","",IF(I1417="Gasto",O1417,0))</f>
        <v/>
      </c>
      <c r="Q1417" s="20">
        <f>IF(I1417="","",IF(I1417="Ingreso",O1417,0))</f>
        <v/>
      </c>
      <c r="R1417" s="20">
        <f>IF(I1417="","",IF(I1417="Trading",O1417,0))</f>
        <v/>
      </c>
      <c r="S1417" s="19">
        <f>IF(I1417="","",IF(AND(I1417="Gasto",K1417="Variable",J1417&lt;&gt;"Trading",O1417&gt;0,O1417&lt;=Umbral),1,0))</f>
        <v/>
      </c>
      <c r="T1417" s="20">
        <f>IF(OR(I1417="",E1417=""),"",IF(OR(I1417="Gasto",I1417="Transferencia",I1417="Pago tarjeta"),-1,1)*C1417)</f>
        <v/>
      </c>
      <c r="U1417" s="20">
        <f>IF(OR(G1417="",AND(I1417&lt;&gt;"Transferencia",I1417&lt;&gt;"Pago tarjeta")),"",IF(IFERROR(INDEX(ctaMon,MATCH(G1417,ctaNom,0))&amp;"","DOP")=N1417,C1417,IF(N1417="USD",C1417*TasaUSD,C1417/TasaUSD)))</f>
        <v/>
      </c>
      <c r="V1417" s="20">
        <f>IF(I1417="","",IF(IFERROR(INDEX(ctaLiq,MATCH(E1417,ctaNom,0))="Sí",FALSE),IF(OR(I1417="Gasto",I1417="Transferencia",I1417="Pago tarjeta"),-1,1)*O1417,0)+IF(AND(U1417&lt;&gt;"",IFERROR(INDEX(ctaLiq,MATCH(G1417,ctaNom,0))="Sí",FALSE)),O1417,0))</f>
        <v/>
      </c>
      <c r="W1417" s="19">
        <f>IF(OR(F1417="",I1417=""),"",IF(COUNTIFS(F$6:F1417,F1417,I$6:I1417,"?*")=1,MAX(W$5:W1416)+1,""))</f>
        <v/>
      </c>
    </row>
    <row r="1418">
      <c r="B1418" s="15" t="n"/>
      <c r="C1418" s="16" t="n"/>
      <c r="D1418" s="17" t="n"/>
      <c r="E1418" s="17" t="n"/>
      <c r="F1418" s="17" t="n"/>
      <c r="G1418" s="17" t="n"/>
      <c r="H1418" s="18">
        <f>IF(AND(B1418="",C1418="",D1418="",E1418=""),"",IF(B1418="","⚠ Falta fecha",IF(C1418="","⚠ Falta monto",IF(D1418="","⚠ Falta categoría",IF(ISNA(MATCH(D1418,catNom,0)),"⚠ Categoría no existe",IF(E1418="","⚠ Falta cuenta",IF(ISNA(MATCH(E1418,ctaNom,0)),"⚠ Cuenta no existe",IF(AND(OR(I1418="Transferencia",I1418="Pago tarjeta"),G1418=""),"⚠ Indica la cuenta «Hacia»",IF(AND(G1418&lt;&gt;"",G1418=E1418),"⚠ «Hacia» igual a la cuenta",IF(AND(G1418&lt;&gt;"",ISNA(MATCH(G1418,ctaNom,0))),"⚠ «Hacia» no existe",IF(AND(I1418="Pago tarjeta",IFERROR(INDEX(ctaTipo,MATCH(G1418,ctaNom,0)),"")&lt;&gt;"Tarjeta de crédito"),"⚠ «Hacia» debe ser la tarjeta",IF(AND(I1418="Trading",IFERROR(INDEX(ctaTipo,MATCH(E1418,ctaNom,0)),"")&lt;&gt;"Cuenta de trading"),"⚠ Usa la cuenta de trading","✓"))))))))))))</f>
        <v/>
      </c>
      <c r="I1418" s="19">
        <f>IF(OR(B1418="",C1418="",D1418=""),"",IFERROR(INDEX(catTipo,MATCH(D1418,catNom,0))&amp;"",""))</f>
        <v/>
      </c>
      <c r="J1418" s="19">
        <f>IF(I1418="","",IFERROR(INDEX(catGrupo,MATCH(D1418,catNom,0))&amp;"",""))</f>
        <v/>
      </c>
      <c r="K1418" s="19">
        <f>IF(I1418="Gasto",IF(IFERROR(INDEX(catClas,MATCH(D1418,catNom,0))&amp;"","")="","Variable",IFERROR(INDEX(catClas,MATCH(D1418,catNom,0))&amp;"","")),"")</f>
        <v/>
      </c>
      <c r="L1418" s="19">
        <f>IF(I1418="","",IFERROR(INDEX(catAlim,MATCH(D1418,catNom,0))&amp;"",""))</f>
        <v/>
      </c>
      <c r="M1418" s="19">
        <f>IF(I1418="","",IFERROR(INDEX(catComida,MATCH(D1418,catNom,0))&amp;"",""))</f>
        <v/>
      </c>
      <c r="N1418" s="19">
        <f>IF(I1418="","",IFERROR(INDEX(ctaMon,MATCH(E1418,ctaNom,0))&amp;"","DOP"))</f>
        <v/>
      </c>
      <c r="O1418" s="20">
        <f>IF(I1418="","",C1418*IF(N1418="USD",TasaUSD,1))</f>
        <v/>
      </c>
      <c r="P1418" s="20">
        <f>IF(I1418="","",IF(I1418="Gasto",O1418,0))</f>
        <v/>
      </c>
      <c r="Q1418" s="20">
        <f>IF(I1418="","",IF(I1418="Ingreso",O1418,0))</f>
        <v/>
      </c>
      <c r="R1418" s="20">
        <f>IF(I1418="","",IF(I1418="Trading",O1418,0))</f>
        <v/>
      </c>
      <c r="S1418" s="19">
        <f>IF(I1418="","",IF(AND(I1418="Gasto",K1418="Variable",J1418&lt;&gt;"Trading",O1418&gt;0,O1418&lt;=Umbral),1,0))</f>
        <v/>
      </c>
      <c r="T1418" s="20">
        <f>IF(OR(I1418="",E1418=""),"",IF(OR(I1418="Gasto",I1418="Transferencia",I1418="Pago tarjeta"),-1,1)*C1418)</f>
        <v/>
      </c>
      <c r="U1418" s="20">
        <f>IF(OR(G1418="",AND(I1418&lt;&gt;"Transferencia",I1418&lt;&gt;"Pago tarjeta")),"",IF(IFERROR(INDEX(ctaMon,MATCH(G1418,ctaNom,0))&amp;"","DOP")=N1418,C1418,IF(N1418="USD",C1418*TasaUSD,C1418/TasaUSD)))</f>
        <v/>
      </c>
      <c r="V1418" s="20">
        <f>IF(I1418="","",IF(IFERROR(INDEX(ctaLiq,MATCH(E1418,ctaNom,0))="Sí",FALSE),IF(OR(I1418="Gasto",I1418="Transferencia",I1418="Pago tarjeta"),-1,1)*O1418,0)+IF(AND(U1418&lt;&gt;"",IFERROR(INDEX(ctaLiq,MATCH(G1418,ctaNom,0))="Sí",FALSE)),O1418,0))</f>
        <v/>
      </c>
      <c r="W1418" s="19">
        <f>IF(OR(F1418="",I1418=""),"",IF(COUNTIFS(F$6:F1418,F1418,I$6:I1418,"?*")=1,MAX(W$5:W1417)+1,""))</f>
        <v/>
      </c>
    </row>
    <row r="1419">
      <c r="B1419" s="15" t="n"/>
      <c r="C1419" s="16" t="n"/>
      <c r="D1419" s="17" t="n"/>
      <c r="E1419" s="17" t="n"/>
      <c r="F1419" s="17" t="n"/>
      <c r="G1419" s="17" t="n"/>
      <c r="H1419" s="18">
        <f>IF(AND(B1419="",C1419="",D1419="",E1419=""),"",IF(B1419="","⚠ Falta fecha",IF(C1419="","⚠ Falta monto",IF(D1419="","⚠ Falta categoría",IF(ISNA(MATCH(D1419,catNom,0)),"⚠ Categoría no existe",IF(E1419="","⚠ Falta cuenta",IF(ISNA(MATCH(E1419,ctaNom,0)),"⚠ Cuenta no existe",IF(AND(OR(I1419="Transferencia",I1419="Pago tarjeta"),G1419=""),"⚠ Indica la cuenta «Hacia»",IF(AND(G1419&lt;&gt;"",G1419=E1419),"⚠ «Hacia» igual a la cuenta",IF(AND(G1419&lt;&gt;"",ISNA(MATCH(G1419,ctaNom,0))),"⚠ «Hacia» no existe",IF(AND(I1419="Pago tarjeta",IFERROR(INDEX(ctaTipo,MATCH(G1419,ctaNom,0)),"")&lt;&gt;"Tarjeta de crédito"),"⚠ «Hacia» debe ser la tarjeta",IF(AND(I1419="Trading",IFERROR(INDEX(ctaTipo,MATCH(E1419,ctaNom,0)),"")&lt;&gt;"Cuenta de trading"),"⚠ Usa la cuenta de trading","✓"))))))))))))</f>
        <v/>
      </c>
      <c r="I1419" s="19">
        <f>IF(OR(B1419="",C1419="",D1419=""),"",IFERROR(INDEX(catTipo,MATCH(D1419,catNom,0))&amp;"",""))</f>
        <v/>
      </c>
      <c r="J1419" s="19">
        <f>IF(I1419="","",IFERROR(INDEX(catGrupo,MATCH(D1419,catNom,0))&amp;"",""))</f>
        <v/>
      </c>
      <c r="K1419" s="19">
        <f>IF(I1419="Gasto",IF(IFERROR(INDEX(catClas,MATCH(D1419,catNom,0))&amp;"","")="","Variable",IFERROR(INDEX(catClas,MATCH(D1419,catNom,0))&amp;"","")),"")</f>
        <v/>
      </c>
      <c r="L1419" s="19">
        <f>IF(I1419="","",IFERROR(INDEX(catAlim,MATCH(D1419,catNom,0))&amp;"",""))</f>
        <v/>
      </c>
      <c r="M1419" s="19">
        <f>IF(I1419="","",IFERROR(INDEX(catComida,MATCH(D1419,catNom,0))&amp;"",""))</f>
        <v/>
      </c>
      <c r="N1419" s="19">
        <f>IF(I1419="","",IFERROR(INDEX(ctaMon,MATCH(E1419,ctaNom,0))&amp;"","DOP"))</f>
        <v/>
      </c>
      <c r="O1419" s="20">
        <f>IF(I1419="","",C1419*IF(N1419="USD",TasaUSD,1))</f>
        <v/>
      </c>
      <c r="P1419" s="20">
        <f>IF(I1419="","",IF(I1419="Gasto",O1419,0))</f>
        <v/>
      </c>
      <c r="Q1419" s="20">
        <f>IF(I1419="","",IF(I1419="Ingreso",O1419,0))</f>
        <v/>
      </c>
      <c r="R1419" s="20">
        <f>IF(I1419="","",IF(I1419="Trading",O1419,0))</f>
        <v/>
      </c>
      <c r="S1419" s="19">
        <f>IF(I1419="","",IF(AND(I1419="Gasto",K1419="Variable",J1419&lt;&gt;"Trading",O1419&gt;0,O1419&lt;=Umbral),1,0))</f>
        <v/>
      </c>
      <c r="T1419" s="20">
        <f>IF(OR(I1419="",E1419=""),"",IF(OR(I1419="Gasto",I1419="Transferencia",I1419="Pago tarjeta"),-1,1)*C1419)</f>
        <v/>
      </c>
      <c r="U1419" s="20">
        <f>IF(OR(G1419="",AND(I1419&lt;&gt;"Transferencia",I1419&lt;&gt;"Pago tarjeta")),"",IF(IFERROR(INDEX(ctaMon,MATCH(G1419,ctaNom,0))&amp;"","DOP")=N1419,C1419,IF(N1419="USD",C1419*TasaUSD,C1419/TasaUSD)))</f>
        <v/>
      </c>
      <c r="V1419" s="20">
        <f>IF(I1419="","",IF(IFERROR(INDEX(ctaLiq,MATCH(E1419,ctaNom,0))="Sí",FALSE),IF(OR(I1419="Gasto",I1419="Transferencia",I1419="Pago tarjeta"),-1,1)*O1419,0)+IF(AND(U1419&lt;&gt;"",IFERROR(INDEX(ctaLiq,MATCH(G1419,ctaNom,0))="Sí",FALSE)),O1419,0))</f>
        <v/>
      </c>
      <c r="W1419" s="19">
        <f>IF(OR(F1419="",I1419=""),"",IF(COUNTIFS(F$6:F1419,F1419,I$6:I1419,"?*")=1,MAX(W$5:W1418)+1,""))</f>
        <v/>
      </c>
    </row>
    <row r="1420">
      <c r="B1420" s="15" t="n"/>
      <c r="C1420" s="16" t="n"/>
      <c r="D1420" s="17" t="n"/>
      <c r="E1420" s="17" t="n"/>
      <c r="F1420" s="17" t="n"/>
      <c r="G1420" s="17" t="n"/>
      <c r="H1420" s="18">
        <f>IF(AND(B1420="",C1420="",D1420="",E1420=""),"",IF(B1420="","⚠ Falta fecha",IF(C1420="","⚠ Falta monto",IF(D1420="","⚠ Falta categoría",IF(ISNA(MATCH(D1420,catNom,0)),"⚠ Categoría no existe",IF(E1420="","⚠ Falta cuenta",IF(ISNA(MATCH(E1420,ctaNom,0)),"⚠ Cuenta no existe",IF(AND(OR(I1420="Transferencia",I1420="Pago tarjeta"),G1420=""),"⚠ Indica la cuenta «Hacia»",IF(AND(G1420&lt;&gt;"",G1420=E1420),"⚠ «Hacia» igual a la cuenta",IF(AND(G1420&lt;&gt;"",ISNA(MATCH(G1420,ctaNom,0))),"⚠ «Hacia» no existe",IF(AND(I1420="Pago tarjeta",IFERROR(INDEX(ctaTipo,MATCH(G1420,ctaNom,0)),"")&lt;&gt;"Tarjeta de crédito"),"⚠ «Hacia» debe ser la tarjeta",IF(AND(I1420="Trading",IFERROR(INDEX(ctaTipo,MATCH(E1420,ctaNom,0)),"")&lt;&gt;"Cuenta de trading"),"⚠ Usa la cuenta de trading","✓"))))))))))))</f>
        <v/>
      </c>
      <c r="I1420" s="19">
        <f>IF(OR(B1420="",C1420="",D1420=""),"",IFERROR(INDEX(catTipo,MATCH(D1420,catNom,0))&amp;"",""))</f>
        <v/>
      </c>
      <c r="J1420" s="19">
        <f>IF(I1420="","",IFERROR(INDEX(catGrupo,MATCH(D1420,catNom,0))&amp;"",""))</f>
        <v/>
      </c>
      <c r="K1420" s="19">
        <f>IF(I1420="Gasto",IF(IFERROR(INDEX(catClas,MATCH(D1420,catNom,0))&amp;"","")="","Variable",IFERROR(INDEX(catClas,MATCH(D1420,catNom,0))&amp;"","")),"")</f>
        <v/>
      </c>
      <c r="L1420" s="19">
        <f>IF(I1420="","",IFERROR(INDEX(catAlim,MATCH(D1420,catNom,0))&amp;"",""))</f>
        <v/>
      </c>
      <c r="M1420" s="19">
        <f>IF(I1420="","",IFERROR(INDEX(catComida,MATCH(D1420,catNom,0))&amp;"",""))</f>
        <v/>
      </c>
      <c r="N1420" s="19">
        <f>IF(I1420="","",IFERROR(INDEX(ctaMon,MATCH(E1420,ctaNom,0))&amp;"","DOP"))</f>
        <v/>
      </c>
      <c r="O1420" s="20">
        <f>IF(I1420="","",C1420*IF(N1420="USD",TasaUSD,1))</f>
        <v/>
      </c>
      <c r="P1420" s="20">
        <f>IF(I1420="","",IF(I1420="Gasto",O1420,0))</f>
        <v/>
      </c>
      <c r="Q1420" s="20">
        <f>IF(I1420="","",IF(I1420="Ingreso",O1420,0))</f>
        <v/>
      </c>
      <c r="R1420" s="20">
        <f>IF(I1420="","",IF(I1420="Trading",O1420,0))</f>
        <v/>
      </c>
      <c r="S1420" s="19">
        <f>IF(I1420="","",IF(AND(I1420="Gasto",K1420="Variable",J1420&lt;&gt;"Trading",O1420&gt;0,O1420&lt;=Umbral),1,0))</f>
        <v/>
      </c>
      <c r="T1420" s="20">
        <f>IF(OR(I1420="",E1420=""),"",IF(OR(I1420="Gasto",I1420="Transferencia",I1420="Pago tarjeta"),-1,1)*C1420)</f>
        <v/>
      </c>
      <c r="U1420" s="20">
        <f>IF(OR(G1420="",AND(I1420&lt;&gt;"Transferencia",I1420&lt;&gt;"Pago tarjeta")),"",IF(IFERROR(INDEX(ctaMon,MATCH(G1420,ctaNom,0))&amp;"","DOP")=N1420,C1420,IF(N1420="USD",C1420*TasaUSD,C1420/TasaUSD)))</f>
        <v/>
      </c>
      <c r="V1420" s="20">
        <f>IF(I1420="","",IF(IFERROR(INDEX(ctaLiq,MATCH(E1420,ctaNom,0))="Sí",FALSE),IF(OR(I1420="Gasto",I1420="Transferencia",I1420="Pago tarjeta"),-1,1)*O1420,0)+IF(AND(U1420&lt;&gt;"",IFERROR(INDEX(ctaLiq,MATCH(G1420,ctaNom,0))="Sí",FALSE)),O1420,0))</f>
        <v/>
      </c>
      <c r="W1420" s="19">
        <f>IF(OR(F1420="",I1420=""),"",IF(COUNTIFS(F$6:F1420,F1420,I$6:I1420,"?*")=1,MAX(W$5:W1419)+1,""))</f>
        <v/>
      </c>
    </row>
    <row r="1421">
      <c r="B1421" s="15" t="n"/>
      <c r="C1421" s="16" t="n"/>
      <c r="D1421" s="17" t="n"/>
      <c r="E1421" s="17" t="n"/>
      <c r="F1421" s="17" t="n"/>
      <c r="G1421" s="17" t="n"/>
      <c r="H1421" s="18">
        <f>IF(AND(B1421="",C1421="",D1421="",E1421=""),"",IF(B1421="","⚠ Falta fecha",IF(C1421="","⚠ Falta monto",IF(D1421="","⚠ Falta categoría",IF(ISNA(MATCH(D1421,catNom,0)),"⚠ Categoría no existe",IF(E1421="","⚠ Falta cuenta",IF(ISNA(MATCH(E1421,ctaNom,0)),"⚠ Cuenta no existe",IF(AND(OR(I1421="Transferencia",I1421="Pago tarjeta"),G1421=""),"⚠ Indica la cuenta «Hacia»",IF(AND(G1421&lt;&gt;"",G1421=E1421),"⚠ «Hacia» igual a la cuenta",IF(AND(G1421&lt;&gt;"",ISNA(MATCH(G1421,ctaNom,0))),"⚠ «Hacia» no existe",IF(AND(I1421="Pago tarjeta",IFERROR(INDEX(ctaTipo,MATCH(G1421,ctaNom,0)),"")&lt;&gt;"Tarjeta de crédito"),"⚠ «Hacia» debe ser la tarjeta",IF(AND(I1421="Trading",IFERROR(INDEX(ctaTipo,MATCH(E1421,ctaNom,0)),"")&lt;&gt;"Cuenta de trading"),"⚠ Usa la cuenta de trading","✓"))))))))))))</f>
        <v/>
      </c>
      <c r="I1421" s="19">
        <f>IF(OR(B1421="",C1421="",D1421=""),"",IFERROR(INDEX(catTipo,MATCH(D1421,catNom,0))&amp;"",""))</f>
        <v/>
      </c>
      <c r="J1421" s="19">
        <f>IF(I1421="","",IFERROR(INDEX(catGrupo,MATCH(D1421,catNom,0))&amp;"",""))</f>
        <v/>
      </c>
      <c r="K1421" s="19">
        <f>IF(I1421="Gasto",IF(IFERROR(INDEX(catClas,MATCH(D1421,catNom,0))&amp;"","")="","Variable",IFERROR(INDEX(catClas,MATCH(D1421,catNom,0))&amp;"","")),"")</f>
        <v/>
      </c>
      <c r="L1421" s="19">
        <f>IF(I1421="","",IFERROR(INDEX(catAlim,MATCH(D1421,catNom,0))&amp;"",""))</f>
        <v/>
      </c>
      <c r="M1421" s="19">
        <f>IF(I1421="","",IFERROR(INDEX(catComida,MATCH(D1421,catNom,0))&amp;"",""))</f>
        <v/>
      </c>
      <c r="N1421" s="19">
        <f>IF(I1421="","",IFERROR(INDEX(ctaMon,MATCH(E1421,ctaNom,0))&amp;"","DOP"))</f>
        <v/>
      </c>
      <c r="O1421" s="20">
        <f>IF(I1421="","",C1421*IF(N1421="USD",TasaUSD,1))</f>
        <v/>
      </c>
      <c r="P1421" s="20">
        <f>IF(I1421="","",IF(I1421="Gasto",O1421,0))</f>
        <v/>
      </c>
      <c r="Q1421" s="20">
        <f>IF(I1421="","",IF(I1421="Ingreso",O1421,0))</f>
        <v/>
      </c>
      <c r="R1421" s="20">
        <f>IF(I1421="","",IF(I1421="Trading",O1421,0))</f>
        <v/>
      </c>
      <c r="S1421" s="19">
        <f>IF(I1421="","",IF(AND(I1421="Gasto",K1421="Variable",J1421&lt;&gt;"Trading",O1421&gt;0,O1421&lt;=Umbral),1,0))</f>
        <v/>
      </c>
      <c r="T1421" s="20">
        <f>IF(OR(I1421="",E1421=""),"",IF(OR(I1421="Gasto",I1421="Transferencia",I1421="Pago tarjeta"),-1,1)*C1421)</f>
        <v/>
      </c>
      <c r="U1421" s="20">
        <f>IF(OR(G1421="",AND(I1421&lt;&gt;"Transferencia",I1421&lt;&gt;"Pago tarjeta")),"",IF(IFERROR(INDEX(ctaMon,MATCH(G1421,ctaNom,0))&amp;"","DOP")=N1421,C1421,IF(N1421="USD",C1421*TasaUSD,C1421/TasaUSD)))</f>
        <v/>
      </c>
      <c r="V1421" s="20">
        <f>IF(I1421="","",IF(IFERROR(INDEX(ctaLiq,MATCH(E1421,ctaNom,0))="Sí",FALSE),IF(OR(I1421="Gasto",I1421="Transferencia",I1421="Pago tarjeta"),-1,1)*O1421,0)+IF(AND(U1421&lt;&gt;"",IFERROR(INDEX(ctaLiq,MATCH(G1421,ctaNom,0))="Sí",FALSE)),O1421,0))</f>
        <v/>
      </c>
      <c r="W1421" s="19">
        <f>IF(OR(F1421="",I1421=""),"",IF(COUNTIFS(F$6:F1421,F1421,I$6:I1421,"?*")=1,MAX(W$5:W1420)+1,""))</f>
        <v/>
      </c>
    </row>
    <row r="1422">
      <c r="B1422" s="15" t="n"/>
      <c r="C1422" s="16" t="n"/>
      <c r="D1422" s="17" t="n"/>
      <c r="E1422" s="17" t="n"/>
      <c r="F1422" s="17" t="n"/>
      <c r="G1422" s="17" t="n"/>
      <c r="H1422" s="18">
        <f>IF(AND(B1422="",C1422="",D1422="",E1422=""),"",IF(B1422="","⚠ Falta fecha",IF(C1422="","⚠ Falta monto",IF(D1422="","⚠ Falta categoría",IF(ISNA(MATCH(D1422,catNom,0)),"⚠ Categoría no existe",IF(E1422="","⚠ Falta cuenta",IF(ISNA(MATCH(E1422,ctaNom,0)),"⚠ Cuenta no existe",IF(AND(OR(I1422="Transferencia",I1422="Pago tarjeta"),G1422=""),"⚠ Indica la cuenta «Hacia»",IF(AND(G1422&lt;&gt;"",G1422=E1422),"⚠ «Hacia» igual a la cuenta",IF(AND(G1422&lt;&gt;"",ISNA(MATCH(G1422,ctaNom,0))),"⚠ «Hacia» no existe",IF(AND(I1422="Pago tarjeta",IFERROR(INDEX(ctaTipo,MATCH(G1422,ctaNom,0)),"")&lt;&gt;"Tarjeta de crédito"),"⚠ «Hacia» debe ser la tarjeta",IF(AND(I1422="Trading",IFERROR(INDEX(ctaTipo,MATCH(E1422,ctaNom,0)),"")&lt;&gt;"Cuenta de trading"),"⚠ Usa la cuenta de trading","✓"))))))))))))</f>
        <v/>
      </c>
      <c r="I1422" s="19">
        <f>IF(OR(B1422="",C1422="",D1422=""),"",IFERROR(INDEX(catTipo,MATCH(D1422,catNom,0))&amp;"",""))</f>
        <v/>
      </c>
      <c r="J1422" s="19">
        <f>IF(I1422="","",IFERROR(INDEX(catGrupo,MATCH(D1422,catNom,0))&amp;"",""))</f>
        <v/>
      </c>
      <c r="K1422" s="19">
        <f>IF(I1422="Gasto",IF(IFERROR(INDEX(catClas,MATCH(D1422,catNom,0))&amp;"","")="","Variable",IFERROR(INDEX(catClas,MATCH(D1422,catNom,0))&amp;"","")),"")</f>
        <v/>
      </c>
      <c r="L1422" s="19">
        <f>IF(I1422="","",IFERROR(INDEX(catAlim,MATCH(D1422,catNom,0))&amp;"",""))</f>
        <v/>
      </c>
      <c r="M1422" s="19">
        <f>IF(I1422="","",IFERROR(INDEX(catComida,MATCH(D1422,catNom,0))&amp;"",""))</f>
        <v/>
      </c>
      <c r="N1422" s="19">
        <f>IF(I1422="","",IFERROR(INDEX(ctaMon,MATCH(E1422,ctaNom,0))&amp;"","DOP"))</f>
        <v/>
      </c>
      <c r="O1422" s="20">
        <f>IF(I1422="","",C1422*IF(N1422="USD",TasaUSD,1))</f>
        <v/>
      </c>
      <c r="P1422" s="20">
        <f>IF(I1422="","",IF(I1422="Gasto",O1422,0))</f>
        <v/>
      </c>
      <c r="Q1422" s="20">
        <f>IF(I1422="","",IF(I1422="Ingreso",O1422,0))</f>
        <v/>
      </c>
      <c r="R1422" s="20">
        <f>IF(I1422="","",IF(I1422="Trading",O1422,0))</f>
        <v/>
      </c>
      <c r="S1422" s="19">
        <f>IF(I1422="","",IF(AND(I1422="Gasto",K1422="Variable",J1422&lt;&gt;"Trading",O1422&gt;0,O1422&lt;=Umbral),1,0))</f>
        <v/>
      </c>
      <c r="T1422" s="20">
        <f>IF(OR(I1422="",E1422=""),"",IF(OR(I1422="Gasto",I1422="Transferencia",I1422="Pago tarjeta"),-1,1)*C1422)</f>
        <v/>
      </c>
      <c r="U1422" s="20">
        <f>IF(OR(G1422="",AND(I1422&lt;&gt;"Transferencia",I1422&lt;&gt;"Pago tarjeta")),"",IF(IFERROR(INDEX(ctaMon,MATCH(G1422,ctaNom,0))&amp;"","DOP")=N1422,C1422,IF(N1422="USD",C1422*TasaUSD,C1422/TasaUSD)))</f>
        <v/>
      </c>
      <c r="V1422" s="20">
        <f>IF(I1422="","",IF(IFERROR(INDEX(ctaLiq,MATCH(E1422,ctaNom,0))="Sí",FALSE),IF(OR(I1422="Gasto",I1422="Transferencia",I1422="Pago tarjeta"),-1,1)*O1422,0)+IF(AND(U1422&lt;&gt;"",IFERROR(INDEX(ctaLiq,MATCH(G1422,ctaNom,0))="Sí",FALSE)),O1422,0))</f>
        <v/>
      </c>
      <c r="W1422" s="19">
        <f>IF(OR(F1422="",I1422=""),"",IF(COUNTIFS(F$6:F1422,F1422,I$6:I1422,"?*")=1,MAX(W$5:W1421)+1,""))</f>
        <v/>
      </c>
    </row>
    <row r="1423">
      <c r="B1423" s="15" t="n"/>
      <c r="C1423" s="16" t="n"/>
      <c r="D1423" s="17" t="n"/>
      <c r="E1423" s="17" t="n"/>
      <c r="F1423" s="17" t="n"/>
      <c r="G1423" s="17" t="n"/>
      <c r="H1423" s="18">
        <f>IF(AND(B1423="",C1423="",D1423="",E1423=""),"",IF(B1423="","⚠ Falta fecha",IF(C1423="","⚠ Falta monto",IF(D1423="","⚠ Falta categoría",IF(ISNA(MATCH(D1423,catNom,0)),"⚠ Categoría no existe",IF(E1423="","⚠ Falta cuenta",IF(ISNA(MATCH(E1423,ctaNom,0)),"⚠ Cuenta no existe",IF(AND(OR(I1423="Transferencia",I1423="Pago tarjeta"),G1423=""),"⚠ Indica la cuenta «Hacia»",IF(AND(G1423&lt;&gt;"",G1423=E1423),"⚠ «Hacia» igual a la cuenta",IF(AND(G1423&lt;&gt;"",ISNA(MATCH(G1423,ctaNom,0))),"⚠ «Hacia» no existe",IF(AND(I1423="Pago tarjeta",IFERROR(INDEX(ctaTipo,MATCH(G1423,ctaNom,0)),"")&lt;&gt;"Tarjeta de crédito"),"⚠ «Hacia» debe ser la tarjeta",IF(AND(I1423="Trading",IFERROR(INDEX(ctaTipo,MATCH(E1423,ctaNom,0)),"")&lt;&gt;"Cuenta de trading"),"⚠ Usa la cuenta de trading","✓"))))))))))))</f>
        <v/>
      </c>
      <c r="I1423" s="19">
        <f>IF(OR(B1423="",C1423="",D1423=""),"",IFERROR(INDEX(catTipo,MATCH(D1423,catNom,0))&amp;"",""))</f>
        <v/>
      </c>
      <c r="J1423" s="19">
        <f>IF(I1423="","",IFERROR(INDEX(catGrupo,MATCH(D1423,catNom,0))&amp;"",""))</f>
        <v/>
      </c>
      <c r="K1423" s="19">
        <f>IF(I1423="Gasto",IF(IFERROR(INDEX(catClas,MATCH(D1423,catNom,0))&amp;"","")="","Variable",IFERROR(INDEX(catClas,MATCH(D1423,catNom,0))&amp;"","")),"")</f>
        <v/>
      </c>
      <c r="L1423" s="19">
        <f>IF(I1423="","",IFERROR(INDEX(catAlim,MATCH(D1423,catNom,0))&amp;"",""))</f>
        <v/>
      </c>
      <c r="M1423" s="19">
        <f>IF(I1423="","",IFERROR(INDEX(catComida,MATCH(D1423,catNom,0))&amp;"",""))</f>
        <v/>
      </c>
      <c r="N1423" s="19">
        <f>IF(I1423="","",IFERROR(INDEX(ctaMon,MATCH(E1423,ctaNom,0))&amp;"","DOP"))</f>
        <v/>
      </c>
      <c r="O1423" s="20">
        <f>IF(I1423="","",C1423*IF(N1423="USD",TasaUSD,1))</f>
        <v/>
      </c>
      <c r="P1423" s="20">
        <f>IF(I1423="","",IF(I1423="Gasto",O1423,0))</f>
        <v/>
      </c>
      <c r="Q1423" s="20">
        <f>IF(I1423="","",IF(I1423="Ingreso",O1423,0))</f>
        <v/>
      </c>
      <c r="R1423" s="20">
        <f>IF(I1423="","",IF(I1423="Trading",O1423,0))</f>
        <v/>
      </c>
      <c r="S1423" s="19">
        <f>IF(I1423="","",IF(AND(I1423="Gasto",K1423="Variable",J1423&lt;&gt;"Trading",O1423&gt;0,O1423&lt;=Umbral),1,0))</f>
        <v/>
      </c>
      <c r="T1423" s="20">
        <f>IF(OR(I1423="",E1423=""),"",IF(OR(I1423="Gasto",I1423="Transferencia",I1423="Pago tarjeta"),-1,1)*C1423)</f>
        <v/>
      </c>
      <c r="U1423" s="20">
        <f>IF(OR(G1423="",AND(I1423&lt;&gt;"Transferencia",I1423&lt;&gt;"Pago tarjeta")),"",IF(IFERROR(INDEX(ctaMon,MATCH(G1423,ctaNom,0))&amp;"","DOP")=N1423,C1423,IF(N1423="USD",C1423*TasaUSD,C1423/TasaUSD)))</f>
        <v/>
      </c>
      <c r="V1423" s="20">
        <f>IF(I1423="","",IF(IFERROR(INDEX(ctaLiq,MATCH(E1423,ctaNom,0))="Sí",FALSE),IF(OR(I1423="Gasto",I1423="Transferencia",I1423="Pago tarjeta"),-1,1)*O1423,0)+IF(AND(U1423&lt;&gt;"",IFERROR(INDEX(ctaLiq,MATCH(G1423,ctaNom,0))="Sí",FALSE)),O1423,0))</f>
        <v/>
      </c>
      <c r="W1423" s="19">
        <f>IF(OR(F1423="",I1423=""),"",IF(COUNTIFS(F$6:F1423,F1423,I$6:I1423,"?*")=1,MAX(W$5:W1422)+1,""))</f>
        <v/>
      </c>
    </row>
    <row r="1424">
      <c r="B1424" s="15" t="n"/>
      <c r="C1424" s="16" t="n"/>
      <c r="D1424" s="17" t="n"/>
      <c r="E1424" s="17" t="n"/>
      <c r="F1424" s="17" t="n"/>
      <c r="G1424" s="17" t="n"/>
      <c r="H1424" s="18">
        <f>IF(AND(B1424="",C1424="",D1424="",E1424=""),"",IF(B1424="","⚠ Falta fecha",IF(C1424="","⚠ Falta monto",IF(D1424="","⚠ Falta categoría",IF(ISNA(MATCH(D1424,catNom,0)),"⚠ Categoría no existe",IF(E1424="","⚠ Falta cuenta",IF(ISNA(MATCH(E1424,ctaNom,0)),"⚠ Cuenta no existe",IF(AND(OR(I1424="Transferencia",I1424="Pago tarjeta"),G1424=""),"⚠ Indica la cuenta «Hacia»",IF(AND(G1424&lt;&gt;"",G1424=E1424),"⚠ «Hacia» igual a la cuenta",IF(AND(G1424&lt;&gt;"",ISNA(MATCH(G1424,ctaNom,0))),"⚠ «Hacia» no existe",IF(AND(I1424="Pago tarjeta",IFERROR(INDEX(ctaTipo,MATCH(G1424,ctaNom,0)),"")&lt;&gt;"Tarjeta de crédito"),"⚠ «Hacia» debe ser la tarjeta",IF(AND(I1424="Trading",IFERROR(INDEX(ctaTipo,MATCH(E1424,ctaNom,0)),"")&lt;&gt;"Cuenta de trading"),"⚠ Usa la cuenta de trading","✓"))))))))))))</f>
        <v/>
      </c>
      <c r="I1424" s="19">
        <f>IF(OR(B1424="",C1424="",D1424=""),"",IFERROR(INDEX(catTipo,MATCH(D1424,catNom,0))&amp;"",""))</f>
        <v/>
      </c>
      <c r="J1424" s="19">
        <f>IF(I1424="","",IFERROR(INDEX(catGrupo,MATCH(D1424,catNom,0))&amp;"",""))</f>
        <v/>
      </c>
      <c r="K1424" s="19">
        <f>IF(I1424="Gasto",IF(IFERROR(INDEX(catClas,MATCH(D1424,catNom,0))&amp;"","")="","Variable",IFERROR(INDEX(catClas,MATCH(D1424,catNom,0))&amp;"","")),"")</f>
        <v/>
      </c>
      <c r="L1424" s="19">
        <f>IF(I1424="","",IFERROR(INDEX(catAlim,MATCH(D1424,catNom,0))&amp;"",""))</f>
        <v/>
      </c>
      <c r="M1424" s="19">
        <f>IF(I1424="","",IFERROR(INDEX(catComida,MATCH(D1424,catNom,0))&amp;"",""))</f>
        <v/>
      </c>
      <c r="N1424" s="19">
        <f>IF(I1424="","",IFERROR(INDEX(ctaMon,MATCH(E1424,ctaNom,0))&amp;"","DOP"))</f>
        <v/>
      </c>
      <c r="O1424" s="20">
        <f>IF(I1424="","",C1424*IF(N1424="USD",TasaUSD,1))</f>
        <v/>
      </c>
      <c r="P1424" s="20">
        <f>IF(I1424="","",IF(I1424="Gasto",O1424,0))</f>
        <v/>
      </c>
      <c r="Q1424" s="20">
        <f>IF(I1424="","",IF(I1424="Ingreso",O1424,0))</f>
        <v/>
      </c>
      <c r="R1424" s="20">
        <f>IF(I1424="","",IF(I1424="Trading",O1424,0))</f>
        <v/>
      </c>
      <c r="S1424" s="19">
        <f>IF(I1424="","",IF(AND(I1424="Gasto",K1424="Variable",J1424&lt;&gt;"Trading",O1424&gt;0,O1424&lt;=Umbral),1,0))</f>
        <v/>
      </c>
      <c r="T1424" s="20">
        <f>IF(OR(I1424="",E1424=""),"",IF(OR(I1424="Gasto",I1424="Transferencia",I1424="Pago tarjeta"),-1,1)*C1424)</f>
        <v/>
      </c>
      <c r="U1424" s="20">
        <f>IF(OR(G1424="",AND(I1424&lt;&gt;"Transferencia",I1424&lt;&gt;"Pago tarjeta")),"",IF(IFERROR(INDEX(ctaMon,MATCH(G1424,ctaNom,0))&amp;"","DOP")=N1424,C1424,IF(N1424="USD",C1424*TasaUSD,C1424/TasaUSD)))</f>
        <v/>
      </c>
      <c r="V1424" s="20">
        <f>IF(I1424="","",IF(IFERROR(INDEX(ctaLiq,MATCH(E1424,ctaNom,0))="Sí",FALSE),IF(OR(I1424="Gasto",I1424="Transferencia",I1424="Pago tarjeta"),-1,1)*O1424,0)+IF(AND(U1424&lt;&gt;"",IFERROR(INDEX(ctaLiq,MATCH(G1424,ctaNom,0))="Sí",FALSE)),O1424,0))</f>
        <v/>
      </c>
      <c r="W1424" s="19">
        <f>IF(OR(F1424="",I1424=""),"",IF(COUNTIFS(F$6:F1424,F1424,I$6:I1424,"?*")=1,MAX(W$5:W1423)+1,""))</f>
        <v/>
      </c>
    </row>
    <row r="1425">
      <c r="B1425" s="15" t="n"/>
      <c r="C1425" s="16" t="n"/>
      <c r="D1425" s="17" t="n"/>
      <c r="E1425" s="17" t="n"/>
      <c r="F1425" s="17" t="n"/>
      <c r="G1425" s="17" t="n"/>
      <c r="H1425" s="18">
        <f>IF(AND(B1425="",C1425="",D1425="",E1425=""),"",IF(B1425="","⚠ Falta fecha",IF(C1425="","⚠ Falta monto",IF(D1425="","⚠ Falta categoría",IF(ISNA(MATCH(D1425,catNom,0)),"⚠ Categoría no existe",IF(E1425="","⚠ Falta cuenta",IF(ISNA(MATCH(E1425,ctaNom,0)),"⚠ Cuenta no existe",IF(AND(OR(I1425="Transferencia",I1425="Pago tarjeta"),G1425=""),"⚠ Indica la cuenta «Hacia»",IF(AND(G1425&lt;&gt;"",G1425=E1425),"⚠ «Hacia» igual a la cuenta",IF(AND(G1425&lt;&gt;"",ISNA(MATCH(G1425,ctaNom,0))),"⚠ «Hacia» no existe",IF(AND(I1425="Pago tarjeta",IFERROR(INDEX(ctaTipo,MATCH(G1425,ctaNom,0)),"")&lt;&gt;"Tarjeta de crédito"),"⚠ «Hacia» debe ser la tarjeta",IF(AND(I1425="Trading",IFERROR(INDEX(ctaTipo,MATCH(E1425,ctaNom,0)),"")&lt;&gt;"Cuenta de trading"),"⚠ Usa la cuenta de trading","✓"))))))))))))</f>
        <v/>
      </c>
      <c r="I1425" s="19">
        <f>IF(OR(B1425="",C1425="",D1425=""),"",IFERROR(INDEX(catTipo,MATCH(D1425,catNom,0))&amp;"",""))</f>
        <v/>
      </c>
      <c r="J1425" s="19">
        <f>IF(I1425="","",IFERROR(INDEX(catGrupo,MATCH(D1425,catNom,0))&amp;"",""))</f>
        <v/>
      </c>
      <c r="K1425" s="19">
        <f>IF(I1425="Gasto",IF(IFERROR(INDEX(catClas,MATCH(D1425,catNom,0))&amp;"","")="","Variable",IFERROR(INDEX(catClas,MATCH(D1425,catNom,0))&amp;"","")),"")</f>
        <v/>
      </c>
      <c r="L1425" s="19">
        <f>IF(I1425="","",IFERROR(INDEX(catAlim,MATCH(D1425,catNom,0))&amp;"",""))</f>
        <v/>
      </c>
      <c r="M1425" s="19">
        <f>IF(I1425="","",IFERROR(INDEX(catComida,MATCH(D1425,catNom,0))&amp;"",""))</f>
        <v/>
      </c>
      <c r="N1425" s="19">
        <f>IF(I1425="","",IFERROR(INDEX(ctaMon,MATCH(E1425,ctaNom,0))&amp;"","DOP"))</f>
        <v/>
      </c>
      <c r="O1425" s="20">
        <f>IF(I1425="","",C1425*IF(N1425="USD",TasaUSD,1))</f>
        <v/>
      </c>
      <c r="P1425" s="20">
        <f>IF(I1425="","",IF(I1425="Gasto",O1425,0))</f>
        <v/>
      </c>
      <c r="Q1425" s="20">
        <f>IF(I1425="","",IF(I1425="Ingreso",O1425,0))</f>
        <v/>
      </c>
      <c r="R1425" s="20">
        <f>IF(I1425="","",IF(I1425="Trading",O1425,0))</f>
        <v/>
      </c>
      <c r="S1425" s="19">
        <f>IF(I1425="","",IF(AND(I1425="Gasto",K1425="Variable",J1425&lt;&gt;"Trading",O1425&gt;0,O1425&lt;=Umbral),1,0))</f>
        <v/>
      </c>
      <c r="T1425" s="20">
        <f>IF(OR(I1425="",E1425=""),"",IF(OR(I1425="Gasto",I1425="Transferencia",I1425="Pago tarjeta"),-1,1)*C1425)</f>
        <v/>
      </c>
      <c r="U1425" s="20">
        <f>IF(OR(G1425="",AND(I1425&lt;&gt;"Transferencia",I1425&lt;&gt;"Pago tarjeta")),"",IF(IFERROR(INDEX(ctaMon,MATCH(G1425,ctaNom,0))&amp;"","DOP")=N1425,C1425,IF(N1425="USD",C1425*TasaUSD,C1425/TasaUSD)))</f>
        <v/>
      </c>
      <c r="V1425" s="20">
        <f>IF(I1425="","",IF(IFERROR(INDEX(ctaLiq,MATCH(E1425,ctaNom,0))="Sí",FALSE),IF(OR(I1425="Gasto",I1425="Transferencia",I1425="Pago tarjeta"),-1,1)*O1425,0)+IF(AND(U1425&lt;&gt;"",IFERROR(INDEX(ctaLiq,MATCH(G1425,ctaNom,0))="Sí",FALSE)),O1425,0))</f>
        <v/>
      </c>
      <c r="W1425" s="19">
        <f>IF(OR(F1425="",I1425=""),"",IF(COUNTIFS(F$6:F1425,F1425,I$6:I1425,"?*")=1,MAX(W$5:W1424)+1,""))</f>
        <v/>
      </c>
    </row>
    <row r="1426">
      <c r="B1426" s="15" t="n"/>
      <c r="C1426" s="16" t="n"/>
      <c r="D1426" s="17" t="n"/>
      <c r="E1426" s="17" t="n"/>
      <c r="F1426" s="17" t="n"/>
      <c r="G1426" s="17" t="n"/>
      <c r="H1426" s="18">
        <f>IF(AND(B1426="",C1426="",D1426="",E1426=""),"",IF(B1426="","⚠ Falta fecha",IF(C1426="","⚠ Falta monto",IF(D1426="","⚠ Falta categoría",IF(ISNA(MATCH(D1426,catNom,0)),"⚠ Categoría no existe",IF(E1426="","⚠ Falta cuenta",IF(ISNA(MATCH(E1426,ctaNom,0)),"⚠ Cuenta no existe",IF(AND(OR(I1426="Transferencia",I1426="Pago tarjeta"),G1426=""),"⚠ Indica la cuenta «Hacia»",IF(AND(G1426&lt;&gt;"",G1426=E1426),"⚠ «Hacia» igual a la cuenta",IF(AND(G1426&lt;&gt;"",ISNA(MATCH(G1426,ctaNom,0))),"⚠ «Hacia» no existe",IF(AND(I1426="Pago tarjeta",IFERROR(INDEX(ctaTipo,MATCH(G1426,ctaNom,0)),"")&lt;&gt;"Tarjeta de crédito"),"⚠ «Hacia» debe ser la tarjeta",IF(AND(I1426="Trading",IFERROR(INDEX(ctaTipo,MATCH(E1426,ctaNom,0)),"")&lt;&gt;"Cuenta de trading"),"⚠ Usa la cuenta de trading","✓"))))))))))))</f>
        <v/>
      </c>
      <c r="I1426" s="19">
        <f>IF(OR(B1426="",C1426="",D1426=""),"",IFERROR(INDEX(catTipo,MATCH(D1426,catNom,0))&amp;"",""))</f>
        <v/>
      </c>
      <c r="J1426" s="19">
        <f>IF(I1426="","",IFERROR(INDEX(catGrupo,MATCH(D1426,catNom,0))&amp;"",""))</f>
        <v/>
      </c>
      <c r="K1426" s="19">
        <f>IF(I1426="Gasto",IF(IFERROR(INDEX(catClas,MATCH(D1426,catNom,0))&amp;"","")="","Variable",IFERROR(INDEX(catClas,MATCH(D1426,catNom,0))&amp;"","")),"")</f>
        <v/>
      </c>
      <c r="L1426" s="19">
        <f>IF(I1426="","",IFERROR(INDEX(catAlim,MATCH(D1426,catNom,0))&amp;"",""))</f>
        <v/>
      </c>
      <c r="M1426" s="19">
        <f>IF(I1426="","",IFERROR(INDEX(catComida,MATCH(D1426,catNom,0))&amp;"",""))</f>
        <v/>
      </c>
      <c r="N1426" s="19">
        <f>IF(I1426="","",IFERROR(INDEX(ctaMon,MATCH(E1426,ctaNom,0))&amp;"","DOP"))</f>
        <v/>
      </c>
      <c r="O1426" s="20">
        <f>IF(I1426="","",C1426*IF(N1426="USD",TasaUSD,1))</f>
        <v/>
      </c>
      <c r="P1426" s="20">
        <f>IF(I1426="","",IF(I1426="Gasto",O1426,0))</f>
        <v/>
      </c>
      <c r="Q1426" s="20">
        <f>IF(I1426="","",IF(I1426="Ingreso",O1426,0))</f>
        <v/>
      </c>
      <c r="R1426" s="20">
        <f>IF(I1426="","",IF(I1426="Trading",O1426,0))</f>
        <v/>
      </c>
      <c r="S1426" s="19">
        <f>IF(I1426="","",IF(AND(I1426="Gasto",K1426="Variable",J1426&lt;&gt;"Trading",O1426&gt;0,O1426&lt;=Umbral),1,0))</f>
        <v/>
      </c>
      <c r="T1426" s="20">
        <f>IF(OR(I1426="",E1426=""),"",IF(OR(I1426="Gasto",I1426="Transferencia",I1426="Pago tarjeta"),-1,1)*C1426)</f>
        <v/>
      </c>
      <c r="U1426" s="20">
        <f>IF(OR(G1426="",AND(I1426&lt;&gt;"Transferencia",I1426&lt;&gt;"Pago tarjeta")),"",IF(IFERROR(INDEX(ctaMon,MATCH(G1426,ctaNom,0))&amp;"","DOP")=N1426,C1426,IF(N1426="USD",C1426*TasaUSD,C1426/TasaUSD)))</f>
        <v/>
      </c>
      <c r="V1426" s="20">
        <f>IF(I1426="","",IF(IFERROR(INDEX(ctaLiq,MATCH(E1426,ctaNom,0))="Sí",FALSE),IF(OR(I1426="Gasto",I1426="Transferencia",I1426="Pago tarjeta"),-1,1)*O1426,0)+IF(AND(U1426&lt;&gt;"",IFERROR(INDEX(ctaLiq,MATCH(G1426,ctaNom,0))="Sí",FALSE)),O1426,0))</f>
        <v/>
      </c>
      <c r="W1426" s="19">
        <f>IF(OR(F1426="",I1426=""),"",IF(COUNTIFS(F$6:F1426,F1426,I$6:I1426,"?*")=1,MAX(W$5:W1425)+1,""))</f>
        <v/>
      </c>
    </row>
    <row r="1427">
      <c r="B1427" s="15" t="n"/>
      <c r="C1427" s="16" t="n"/>
      <c r="D1427" s="17" t="n"/>
      <c r="E1427" s="17" t="n"/>
      <c r="F1427" s="17" t="n"/>
      <c r="G1427" s="17" t="n"/>
      <c r="H1427" s="18">
        <f>IF(AND(B1427="",C1427="",D1427="",E1427=""),"",IF(B1427="","⚠ Falta fecha",IF(C1427="","⚠ Falta monto",IF(D1427="","⚠ Falta categoría",IF(ISNA(MATCH(D1427,catNom,0)),"⚠ Categoría no existe",IF(E1427="","⚠ Falta cuenta",IF(ISNA(MATCH(E1427,ctaNom,0)),"⚠ Cuenta no existe",IF(AND(OR(I1427="Transferencia",I1427="Pago tarjeta"),G1427=""),"⚠ Indica la cuenta «Hacia»",IF(AND(G1427&lt;&gt;"",G1427=E1427),"⚠ «Hacia» igual a la cuenta",IF(AND(G1427&lt;&gt;"",ISNA(MATCH(G1427,ctaNom,0))),"⚠ «Hacia» no existe",IF(AND(I1427="Pago tarjeta",IFERROR(INDEX(ctaTipo,MATCH(G1427,ctaNom,0)),"")&lt;&gt;"Tarjeta de crédito"),"⚠ «Hacia» debe ser la tarjeta",IF(AND(I1427="Trading",IFERROR(INDEX(ctaTipo,MATCH(E1427,ctaNom,0)),"")&lt;&gt;"Cuenta de trading"),"⚠ Usa la cuenta de trading","✓"))))))))))))</f>
        <v/>
      </c>
      <c r="I1427" s="19">
        <f>IF(OR(B1427="",C1427="",D1427=""),"",IFERROR(INDEX(catTipo,MATCH(D1427,catNom,0))&amp;"",""))</f>
        <v/>
      </c>
      <c r="J1427" s="19">
        <f>IF(I1427="","",IFERROR(INDEX(catGrupo,MATCH(D1427,catNom,0))&amp;"",""))</f>
        <v/>
      </c>
      <c r="K1427" s="19">
        <f>IF(I1427="Gasto",IF(IFERROR(INDEX(catClas,MATCH(D1427,catNom,0))&amp;"","")="","Variable",IFERROR(INDEX(catClas,MATCH(D1427,catNom,0))&amp;"","")),"")</f>
        <v/>
      </c>
      <c r="L1427" s="19">
        <f>IF(I1427="","",IFERROR(INDEX(catAlim,MATCH(D1427,catNom,0))&amp;"",""))</f>
        <v/>
      </c>
      <c r="M1427" s="19">
        <f>IF(I1427="","",IFERROR(INDEX(catComida,MATCH(D1427,catNom,0))&amp;"",""))</f>
        <v/>
      </c>
      <c r="N1427" s="19">
        <f>IF(I1427="","",IFERROR(INDEX(ctaMon,MATCH(E1427,ctaNom,0))&amp;"","DOP"))</f>
        <v/>
      </c>
      <c r="O1427" s="20">
        <f>IF(I1427="","",C1427*IF(N1427="USD",TasaUSD,1))</f>
        <v/>
      </c>
      <c r="P1427" s="20">
        <f>IF(I1427="","",IF(I1427="Gasto",O1427,0))</f>
        <v/>
      </c>
      <c r="Q1427" s="20">
        <f>IF(I1427="","",IF(I1427="Ingreso",O1427,0))</f>
        <v/>
      </c>
      <c r="R1427" s="20">
        <f>IF(I1427="","",IF(I1427="Trading",O1427,0))</f>
        <v/>
      </c>
      <c r="S1427" s="19">
        <f>IF(I1427="","",IF(AND(I1427="Gasto",K1427="Variable",J1427&lt;&gt;"Trading",O1427&gt;0,O1427&lt;=Umbral),1,0))</f>
        <v/>
      </c>
      <c r="T1427" s="20">
        <f>IF(OR(I1427="",E1427=""),"",IF(OR(I1427="Gasto",I1427="Transferencia",I1427="Pago tarjeta"),-1,1)*C1427)</f>
        <v/>
      </c>
      <c r="U1427" s="20">
        <f>IF(OR(G1427="",AND(I1427&lt;&gt;"Transferencia",I1427&lt;&gt;"Pago tarjeta")),"",IF(IFERROR(INDEX(ctaMon,MATCH(G1427,ctaNom,0))&amp;"","DOP")=N1427,C1427,IF(N1427="USD",C1427*TasaUSD,C1427/TasaUSD)))</f>
        <v/>
      </c>
      <c r="V1427" s="20">
        <f>IF(I1427="","",IF(IFERROR(INDEX(ctaLiq,MATCH(E1427,ctaNom,0))="Sí",FALSE),IF(OR(I1427="Gasto",I1427="Transferencia",I1427="Pago tarjeta"),-1,1)*O1427,0)+IF(AND(U1427&lt;&gt;"",IFERROR(INDEX(ctaLiq,MATCH(G1427,ctaNom,0))="Sí",FALSE)),O1427,0))</f>
        <v/>
      </c>
      <c r="W1427" s="19">
        <f>IF(OR(F1427="",I1427=""),"",IF(COUNTIFS(F$6:F1427,F1427,I$6:I1427,"?*")=1,MAX(W$5:W1426)+1,""))</f>
        <v/>
      </c>
    </row>
    <row r="1428">
      <c r="B1428" s="15" t="n"/>
      <c r="C1428" s="16" t="n"/>
      <c r="D1428" s="17" t="n"/>
      <c r="E1428" s="17" t="n"/>
      <c r="F1428" s="17" t="n"/>
      <c r="G1428" s="17" t="n"/>
      <c r="H1428" s="18">
        <f>IF(AND(B1428="",C1428="",D1428="",E1428=""),"",IF(B1428="","⚠ Falta fecha",IF(C1428="","⚠ Falta monto",IF(D1428="","⚠ Falta categoría",IF(ISNA(MATCH(D1428,catNom,0)),"⚠ Categoría no existe",IF(E1428="","⚠ Falta cuenta",IF(ISNA(MATCH(E1428,ctaNom,0)),"⚠ Cuenta no existe",IF(AND(OR(I1428="Transferencia",I1428="Pago tarjeta"),G1428=""),"⚠ Indica la cuenta «Hacia»",IF(AND(G1428&lt;&gt;"",G1428=E1428),"⚠ «Hacia» igual a la cuenta",IF(AND(G1428&lt;&gt;"",ISNA(MATCH(G1428,ctaNom,0))),"⚠ «Hacia» no existe",IF(AND(I1428="Pago tarjeta",IFERROR(INDEX(ctaTipo,MATCH(G1428,ctaNom,0)),"")&lt;&gt;"Tarjeta de crédito"),"⚠ «Hacia» debe ser la tarjeta",IF(AND(I1428="Trading",IFERROR(INDEX(ctaTipo,MATCH(E1428,ctaNom,0)),"")&lt;&gt;"Cuenta de trading"),"⚠ Usa la cuenta de trading","✓"))))))))))))</f>
        <v/>
      </c>
      <c r="I1428" s="19">
        <f>IF(OR(B1428="",C1428="",D1428=""),"",IFERROR(INDEX(catTipo,MATCH(D1428,catNom,0))&amp;"",""))</f>
        <v/>
      </c>
      <c r="J1428" s="19">
        <f>IF(I1428="","",IFERROR(INDEX(catGrupo,MATCH(D1428,catNom,0))&amp;"",""))</f>
        <v/>
      </c>
      <c r="K1428" s="19">
        <f>IF(I1428="Gasto",IF(IFERROR(INDEX(catClas,MATCH(D1428,catNom,0))&amp;"","")="","Variable",IFERROR(INDEX(catClas,MATCH(D1428,catNom,0))&amp;"","")),"")</f>
        <v/>
      </c>
      <c r="L1428" s="19">
        <f>IF(I1428="","",IFERROR(INDEX(catAlim,MATCH(D1428,catNom,0))&amp;"",""))</f>
        <v/>
      </c>
      <c r="M1428" s="19">
        <f>IF(I1428="","",IFERROR(INDEX(catComida,MATCH(D1428,catNom,0))&amp;"",""))</f>
        <v/>
      </c>
      <c r="N1428" s="19">
        <f>IF(I1428="","",IFERROR(INDEX(ctaMon,MATCH(E1428,ctaNom,0))&amp;"","DOP"))</f>
        <v/>
      </c>
      <c r="O1428" s="20">
        <f>IF(I1428="","",C1428*IF(N1428="USD",TasaUSD,1))</f>
        <v/>
      </c>
      <c r="P1428" s="20">
        <f>IF(I1428="","",IF(I1428="Gasto",O1428,0))</f>
        <v/>
      </c>
      <c r="Q1428" s="20">
        <f>IF(I1428="","",IF(I1428="Ingreso",O1428,0))</f>
        <v/>
      </c>
      <c r="R1428" s="20">
        <f>IF(I1428="","",IF(I1428="Trading",O1428,0))</f>
        <v/>
      </c>
      <c r="S1428" s="19">
        <f>IF(I1428="","",IF(AND(I1428="Gasto",K1428="Variable",J1428&lt;&gt;"Trading",O1428&gt;0,O1428&lt;=Umbral),1,0))</f>
        <v/>
      </c>
      <c r="T1428" s="20">
        <f>IF(OR(I1428="",E1428=""),"",IF(OR(I1428="Gasto",I1428="Transferencia",I1428="Pago tarjeta"),-1,1)*C1428)</f>
        <v/>
      </c>
      <c r="U1428" s="20">
        <f>IF(OR(G1428="",AND(I1428&lt;&gt;"Transferencia",I1428&lt;&gt;"Pago tarjeta")),"",IF(IFERROR(INDEX(ctaMon,MATCH(G1428,ctaNom,0))&amp;"","DOP")=N1428,C1428,IF(N1428="USD",C1428*TasaUSD,C1428/TasaUSD)))</f>
        <v/>
      </c>
      <c r="V1428" s="20">
        <f>IF(I1428="","",IF(IFERROR(INDEX(ctaLiq,MATCH(E1428,ctaNom,0))="Sí",FALSE),IF(OR(I1428="Gasto",I1428="Transferencia",I1428="Pago tarjeta"),-1,1)*O1428,0)+IF(AND(U1428&lt;&gt;"",IFERROR(INDEX(ctaLiq,MATCH(G1428,ctaNom,0))="Sí",FALSE)),O1428,0))</f>
        <v/>
      </c>
      <c r="W1428" s="19">
        <f>IF(OR(F1428="",I1428=""),"",IF(COUNTIFS(F$6:F1428,F1428,I$6:I1428,"?*")=1,MAX(W$5:W1427)+1,""))</f>
        <v/>
      </c>
    </row>
    <row r="1429">
      <c r="B1429" s="15" t="n"/>
      <c r="C1429" s="16" t="n"/>
      <c r="D1429" s="17" t="n"/>
      <c r="E1429" s="17" t="n"/>
      <c r="F1429" s="17" t="n"/>
      <c r="G1429" s="17" t="n"/>
      <c r="H1429" s="18">
        <f>IF(AND(B1429="",C1429="",D1429="",E1429=""),"",IF(B1429="","⚠ Falta fecha",IF(C1429="","⚠ Falta monto",IF(D1429="","⚠ Falta categoría",IF(ISNA(MATCH(D1429,catNom,0)),"⚠ Categoría no existe",IF(E1429="","⚠ Falta cuenta",IF(ISNA(MATCH(E1429,ctaNom,0)),"⚠ Cuenta no existe",IF(AND(OR(I1429="Transferencia",I1429="Pago tarjeta"),G1429=""),"⚠ Indica la cuenta «Hacia»",IF(AND(G1429&lt;&gt;"",G1429=E1429),"⚠ «Hacia» igual a la cuenta",IF(AND(G1429&lt;&gt;"",ISNA(MATCH(G1429,ctaNom,0))),"⚠ «Hacia» no existe",IF(AND(I1429="Pago tarjeta",IFERROR(INDEX(ctaTipo,MATCH(G1429,ctaNom,0)),"")&lt;&gt;"Tarjeta de crédito"),"⚠ «Hacia» debe ser la tarjeta",IF(AND(I1429="Trading",IFERROR(INDEX(ctaTipo,MATCH(E1429,ctaNom,0)),"")&lt;&gt;"Cuenta de trading"),"⚠ Usa la cuenta de trading","✓"))))))))))))</f>
        <v/>
      </c>
      <c r="I1429" s="19">
        <f>IF(OR(B1429="",C1429="",D1429=""),"",IFERROR(INDEX(catTipo,MATCH(D1429,catNom,0))&amp;"",""))</f>
        <v/>
      </c>
      <c r="J1429" s="19">
        <f>IF(I1429="","",IFERROR(INDEX(catGrupo,MATCH(D1429,catNom,0))&amp;"",""))</f>
        <v/>
      </c>
      <c r="K1429" s="19">
        <f>IF(I1429="Gasto",IF(IFERROR(INDEX(catClas,MATCH(D1429,catNom,0))&amp;"","")="","Variable",IFERROR(INDEX(catClas,MATCH(D1429,catNom,0))&amp;"","")),"")</f>
        <v/>
      </c>
      <c r="L1429" s="19">
        <f>IF(I1429="","",IFERROR(INDEX(catAlim,MATCH(D1429,catNom,0))&amp;"",""))</f>
        <v/>
      </c>
      <c r="M1429" s="19">
        <f>IF(I1429="","",IFERROR(INDEX(catComida,MATCH(D1429,catNom,0))&amp;"",""))</f>
        <v/>
      </c>
      <c r="N1429" s="19">
        <f>IF(I1429="","",IFERROR(INDEX(ctaMon,MATCH(E1429,ctaNom,0))&amp;"","DOP"))</f>
        <v/>
      </c>
      <c r="O1429" s="20">
        <f>IF(I1429="","",C1429*IF(N1429="USD",TasaUSD,1))</f>
        <v/>
      </c>
      <c r="P1429" s="20">
        <f>IF(I1429="","",IF(I1429="Gasto",O1429,0))</f>
        <v/>
      </c>
      <c r="Q1429" s="20">
        <f>IF(I1429="","",IF(I1429="Ingreso",O1429,0))</f>
        <v/>
      </c>
      <c r="R1429" s="20">
        <f>IF(I1429="","",IF(I1429="Trading",O1429,0))</f>
        <v/>
      </c>
      <c r="S1429" s="19">
        <f>IF(I1429="","",IF(AND(I1429="Gasto",K1429="Variable",J1429&lt;&gt;"Trading",O1429&gt;0,O1429&lt;=Umbral),1,0))</f>
        <v/>
      </c>
      <c r="T1429" s="20">
        <f>IF(OR(I1429="",E1429=""),"",IF(OR(I1429="Gasto",I1429="Transferencia",I1429="Pago tarjeta"),-1,1)*C1429)</f>
        <v/>
      </c>
      <c r="U1429" s="20">
        <f>IF(OR(G1429="",AND(I1429&lt;&gt;"Transferencia",I1429&lt;&gt;"Pago tarjeta")),"",IF(IFERROR(INDEX(ctaMon,MATCH(G1429,ctaNom,0))&amp;"","DOP")=N1429,C1429,IF(N1429="USD",C1429*TasaUSD,C1429/TasaUSD)))</f>
        <v/>
      </c>
      <c r="V1429" s="20">
        <f>IF(I1429="","",IF(IFERROR(INDEX(ctaLiq,MATCH(E1429,ctaNom,0))="Sí",FALSE),IF(OR(I1429="Gasto",I1429="Transferencia",I1429="Pago tarjeta"),-1,1)*O1429,0)+IF(AND(U1429&lt;&gt;"",IFERROR(INDEX(ctaLiq,MATCH(G1429,ctaNom,0))="Sí",FALSE)),O1429,0))</f>
        <v/>
      </c>
      <c r="W1429" s="19">
        <f>IF(OR(F1429="",I1429=""),"",IF(COUNTIFS(F$6:F1429,F1429,I$6:I1429,"?*")=1,MAX(W$5:W1428)+1,""))</f>
        <v/>
      </c>
    </row>
    <row r="1430">
      <c r="B1430" s="15" t="n"/>
      <c r="C1430" s="16" t="n"/>
      <c r="D1430" s="17" t="n"/>
      <c r="E1430" s="17" t="n"/>
      <c r="F1430" s="17" t="n"/>
      <c r="G1430" s="17" t="n"/>
      <c r="H1430" s="18">
        <f>IF(AND(B1430="",C1430="",D1430="",E1430=""),"",IF(B1430="","⚠ Falta fecha",IF(C1430="","⚠ Falta monto",IF(D1430="","⚠ Falta categoría",IF(ISNA(MATCH(D1430,catNom,0)),"⚠ Categoría no existe",IF(E1430="","⚠ Falta cuenta",IF(ISNA(MATCH(E1430,ctaNom,0)),"⚠ Cuenta no existe",IF(AND(OR(I1430="Transferencia",I1430="Pago tarjeta"),G1430=""),"⚠ Indica la cuenta «Hacia»",IF(AND(G1430&lt;&gt;"",G1430=E1430),"⚠ «Hacia» igual a la cuenta",IF(AND(G1430&lt;&gt;"",ISNA(MATCH(G1430,ctaNom,0))),"⚠ «Hacia» no existe",IF(AND(I1430="Pago tarjeta",IFERROR(INDEX(ctaTipo,MATCH(G1430,ctaNom,0)),"")&lt;&gt;"Tarjeta de crédito"),"⚠ «Hacia» debe ser la tarjeta",IF(AND(I1430="Trading",IFERROR(INDEX(ctaTipo,MATCH(E1430,ctaNom,0)),"")&lt;&gt;"Cuenta de trading"),"⚠ Usa la cuenta de trading","✓"))))))))))))</f>
        <v/>
      </c>
      <c r="I1430" s="19">
        <f>IF(OR(B1430="",C1430="",D1430=""),"",IFERROR(INDEX(catTipo,MATCH(D1430,catNom,0))&amp;"",""))</f>
        <v/>
      </c>
      <c r="J1430" s="19">
        <f>IF(I1430="","",IFERROR(INDEX(catGrupo,MATCH(D1430,catNom,0))&amp;"",""))</f>
        <v/>
      </c>
      <c r="K1430" s="19">
        <f>IF(I1430="Gasto",IF(IFERROR(INDEX(catClas,MATCH(D1430,catNom,0))&amp;"","")="","Variable",IFERROR(INDEX(catClas,MATCH(D1430,catNom,0))&amp;"","")),"")</f>
        <v/>
      </c>
      <c r="L1430" s="19">
        <f>IF(I1430="","",IFERROR(INDEX(catAlim,MATCH(D1430,catNom,0))&amp;"",""))</f>
        <v/>
      </c>
      <c r="M1430" s="19">
        <f>IF(I1430="","",IFERROR(INDEX(catComida,MATCH(D1430,catNom,0))&amp;"",""))</f>
        <v/>
      </c>
      <c r="N1430" s="19">
        <f>IF(I1430="","",IFERROR(INDEX(ctaMon,MATCH(E1430,ctaNom,0))&amp;"","DOP"))</f>
        <v/>
      </c>
      <c r="O1430" s="20">
        <f>IF(I1430="","",C1430*IF(N1430="USD",TasaUSD,1))</f>
        <v/>
      </c>
      <c r="P1430" s="20">
        <f>IF(I1430="","",IF(I1430="Gasto",O1430,0))</f>
        <v/>
      </c>
      <c r="Q1430" s="20">
        <f>IF(I1430="","",IF(I1430="Ingreso",O1430,0))</f>
        <v/>
      </c>
      <c r="R1430" s="20">
        <f>IF(I1430="","",IF(I1430="Trading",O1430,0))</f>
        <v/>
      </c>
      <c r="S1430" s="19">
        <f>IF(I1430="","",IF(AND(I1430="Gasto",K1430="Variable",J1430&lt;&gt;"Trading",O1430&gt;0,O1430&lt;=Umbral),1,0))</f>
        <v/>
      </c>
      <c r="T1430" s="20">
        <f>IF(OR(I1430="",E1430=""),"",IF(OR(I1430="Gasto",I1430="Transferencia",I1430="Pago tarjeta"),-1,1)*C1430)</f>
        <v/>
      </c>
      <c r="U1430" s="20">
        <f>IF(OR(G1430="",AND(I1430&lt;&gt;"Transferencia",I1430&lt;&gt;"Pago tarjeta")),"",IF(IFERROR(INDEX(ctaMon,MATCH(G1430,ctaNom,0))&amp;"","DOP")=N1430,C1430,IF(N1430="USD",C1430*TasaUSD,C1430/TasaUSD)))</f>
        <v/>
      </c>
      <c r="V1430" s="20">
        <f>IF(I1430="","",IF(IFERROR(INDEX(ctaLiq,MATCH(E1430,ctaNom,0))="Sí",FALSE),IF(OR(I1430="Gasto",I1430="Transferencia",I1430="Pago tarjeta"),-1,1)*O1430,0)+IF(AND(U1430&lt;&gt;"",IFERROR(INDEX(ctaLiq,MATCH(G1430,ctaNom,0))="Sí",FALSE)),O1430,0))</f>
        <v/>
      </c>
      <c r="W1430" s="19">
        <f>IF(OR(F1430="",I1430=""),"",IF(COUNTIFS(F$6:F1430,F1430,I$6:I1430,"?*")=1,MAX(W$5:W1429)+1,""))</f>
        <v/>
      </c>
    </row>
    <row r="1431">
      <c r="B1431" s="15" t="n"/>
      <c r="C1431" s="16" t="n"/>
      <c r="D1431" s="17" t="n"/>
      <c r="E1431" s="17" t="n"/>
      <c r="F1431" s="17" t="n"/>
      <c r="G1431" s="17" t="n"/>
      <c r="H1431" s="18">
        <f>IF(AND(B1431="",C1431="",D1431="",E1431=""),"",IF(B1431="","⚠ Falta fecha",IF(C1431="","⚠ Falta monto",IF(D1431="","⚠ Falta categoría",IF(ISNA(MATCH(D1431,catNom,0)),"⚠ Categoría no existe",IF(E1431="","⚠ Falta cuenta",IF(ISNA(MATCH(E1431,ctaNom,0)),"⚠ Cuenta no existe",IF(AND(OR(I1431="Transferencia",I1431="Pago tarjeta"),G1431=""),"⚠ Indica la cuenta «Hacia»",IF(AND(G1431&lt;&gt;"",G1431=E1431),"⚠ «Hacia» igual a la cuenta",IF(AND(G1431&lt;&gt;"",ISNA(MATCH(G1431,ctaNom,0))),"⚠ «Hacia» no existe",IF(AND(I1431="Pago tarjeta",IFERROR(INDEX(ctaTipo,MATCH(G1431,ctaNom,0)),"")&lt;&gt;"Tarjeta de crédito"),"⚠ «Hacia» debe ser la tarjeta",IF(AND(I1431="Trading",IFERROR(INDEX(ctaTipo,MATCH(E1431,ctaNom,0)),"")&lt;&gt;"Cuenta de trading"),"⚠ Usa la cuenta de trading","✓"))))))))))))</f>
        <v/>
      </c>
      <c r="I1431" s="19">
        <f>IF(OR(B1431="",C1431="",D1431=""),"",IFERROR(INDEX(catTipo,MATCH(D1431,catNom,0))&amp;"",""))</f>
        <v/>
      </c>
      <c r="J1431" s="19">
        <f>IF(I1431="","",IFERROR(INDEX(catGrupo,MATCH(D1431,catNom,0))&amp;"",""))</f>
        <v/>
      </c>
      <c r="K1431" s="19">
        <f>IF(I1431="Gasto",IF(IFERROR(INDEX(catClas,MATCH(D1431,catNom,0))&amp;"","")="","Variable",IFERROR(INDEX(catClas,MATCH(D1431,catNom,0))&amp;"","")),"")</f>
        <v/>
      </c>
      <c r="L1431" s="19">
        <f>IF(I1431="","",IFERROR(INDEX(catAlim,MATCH(D1431,catNom,0))&amp;"",""))</f>
        <v/>
      </c>
      <c r="M1431" s="19">
        <f>IF(I1431="","",IFERROR(INDEX(catComida,MATCH(D1431,catNom,0))&amp;"",""))</f>
        <v/>
      </c>
      <c r="N1431" s="19">
        <f>IF(I1431="","",IFERROR(INDEX(ctaMon,MATCH(E1431,ctaNom,0))&amp;"","DOP"))</f>
        <v/>
      </c>
      <c r="O1431" s="20">
        <f>IF(I1431="","",C1431*IF(N1431="USD",TasaUSD,1))</f>
        <v/>
      </c>
      <c r="P1431" s="20">
        <f>IF(I1431="","",IF(I1431="Gasto",O1431,0))</f>
        <v/>
      </c>
      <c r="Q1431" s="20">
        <f>IF(I1431="","",IF(I1431="Ingreso",O1431,0))</f>
        <v/>
      </c>
      <c r="R1431" s="20">
        <f>IF(I1431="","",IF(I1431="Trading",O1431,0))</f>
        <v/>
      </c>
      <c r="S1431" s="19">
        <f>IF(I1431="","",IF(AND(I1431="Gasto",K1431="Variable",J1431&lt;&gt;"Trading",O1431&gt;0,O1431&lt;=Umbral),1,0))</f>
        <v/>
      </c>
      <c r="T1431" s="20">
        <f>IF(OR(I1431="",E1431=""),"",IF(OR(I1431="Gasto",I1431="Transferencia",I1431="Pago tarjeta"),-1,1)*C1431)</f>
        <v/>
      </c>
      <c r="U1431" s="20">
        <f>IF(OR(G1431="",AND(I1431&lt;&gt;"Transferencia",I1431&lt;&gt;"Pago tarjeta")),"",IF(IFERROR(INDEX(ctaMon,MATCH(G1431,ctaNom,0))&amp;"","DOP")=N1431,C1431,IF(N1431="USD",C1431*TasaUSD,C1431/TasaUSD)))</f>
        <v/>
      </c>
      <c r="V1431" s="20">
        <f>IF(I1431="","",IF(IFERROR(INDEX(ctaLiq,MATCH(E1431,ctaNom,0))="Sí",FALSE),IF(OR(I1431="Gasto",I1431="Transferencia",I1431="Pago tarjeta"),-1,1)*O1431,0)+IF(AND(U1431&lt;&gt;"",IFERROR(INDEX(ctaLiq,MATCH(G1431,ctaNom,0))="Sí",FALSE)),O1431,0))</f>
        <v/>
      </c>
      <c r="W1431" s="19">
        <f>IF(OR(F1431="",I1431=""),"",IF(COUNTIFS(F$6:F1431,F1431,I$6:I1431,"?*")=1,MAX(W$5:W1430)+1,""))</f>
        <v/>
      </c>
    </row>
    <row r="1432">
      <c r="B1432" s="15" t="n"/>
      <c r="C1432" s="16" t="n"/>
      <c r="D1432" s="17" t="n"/>
      <c r="E1432" s="17" t="n"/>
      <c r="F1432" s="17" t="n"/>
      <c r="G1432" s="17" t="n"/>
      <c r="H1432" s="18">
        <f>IF(AND(B1432="",C1432="",D1432="",E1432=""),"",IF(B1432="","⚠ Falta fecha",IF(C1432="","⚠ Falta monto",IF(D1432="","⚠ Falta categoría",IF(ISNA(MATCH(D1432,catNom,0)),"⚠ Categoría no existe",IF(E1432="","⚠ Falta cuenta",IF(ISNA(MATCH(E1432,ctaNom,0)),"⚠ Cuenta no existe",IF(AND(OR(I1432="Transferencia",I1432="Pago tarjeta"),G1432=""),"⚠ Indica la cuenta «Hacia»",IF(AND(G1432&lt;&gt;"",G1432=E1432),"⚠ «Hacia» igual a la cuenta",IF(AND(G1432&lt;&gt;"",ISNA(MATCH(G1432,ctaNom,0))),"⚠ «Hacia» no existe",IF(AND(I1432="Pago tarjeta",IFERROR(INDEX(ctaTipo,MATCH(G1432,ctaNom,0)),"")&lt;&gt;"Tarjeta de crédito"),"⚠ «Hacia» debe ser la tarjeta",IF(AND(I1432="Trading",IFERROR(INDEX(ctaTipo,MATCH(E1432,ctaNom,0)),"")&lt;&gt;"Cuenta de trading"),"⚠ Usa la cuenta de trading","✓"))))))))))))</f>
        <v/>
      </c>
      <c r="I1432" s="19">
        <f>IF(OR(B1432="",C1432="",D1432=""),"",IFERROR(INDEX(catTipo,MATCH(D1432,catNom,0))&amp;"",""))</f>
        <v/>
      </c>
      <c r="J1432" s="19">
        <f>IF(I1432="","",IFERROR(INDEX(catGrupo,MATCH(D1432,catNom,0))&amp;"",""))</f>
        <v/>
      </c>
      <c r="K1432" s="19">
        <f>IF(I1432="Gasto",IF(IFERROR(INDEX(catClas,MATCH(D1432,catNom,0))&amp;"","")="","Variable",IFERROR(INDEX(catClas,MATCH(D1432,catNom,0))&amp;"","")),"")</f>
        <v/>
      </c>
      <c r="L1432" s="19">
        <f>IF(I1432="","",IFERROR(INDEX(catAlim,MATCH(D1432,catNom,0))&amp;"",""))</f>
        <v/>
      </c>
      <c r="M1432" s="19">
        <f>IF(I1432="","",IFERROR(INDEX(catComida,MATCH(D1432,catNom,0))&amp;"",""))</f>
        <v/>
      </c>
      <c r="N1432" s="19">
        <f>IF(I1432="","",IFERROR(INDEX(ctaMon,MATCH(E1432,ctaNom,0))&amp;"","DOP"))</f>
        <v/>
      </c>
      <c r="O1432" s="20">
        <f>IF(I1432="","",C1432*IF(N1432="USD",TasaUSD,1))</f>
        <v/>
      </c>
      <c r="P1432" s="20">
        <f>IF(I1432="","",IF(I1432="Gasto",O1432,0))</f>
        <v/>
      </c>
      <c r="Q1432" s="20">
        <f>IF(I1432="","",IF(I1432="Ingreso",O1432,0))</f>
        <v/>
      </c>
      <c r="R1432" s="20">
        <f>IF(I1432="","",IF(I1432="Trading",O1432,0))</f>
        <v/>
      </c>
      <c r="S1432" s="19">
        <f>IF(I1432="","",IF(AND(I1432="Gasto",K1432="Variable",J1432&lt;&gt;"Trading",O1432&gt;0,O1432&lt;=Umbral),1,0))</f>
        <v/>
      </c>
      <c r="T1432" s="20">
        <f>IF(OR(I1432="",E1432=""),"",IF(OR(I1432="Gasto",I1432="Transferencia",I1432="Pago tarjeta"),-1,1)*C1432)</f>
        <v/>
      </c>
      <c r="U1432" s="20">
        <f>IF(OR(G1432="",AND(I1432&lt;&gt;"Transferencia",I1432&lt;&gt;"Pago tarjeta")),"",IF(IFERROR(INDEX(ctaMon,MATCH(G1432,ctaNom,0))&amp;"","DOP")=N1432,C1432,IF(N1432="USD",C1432*TasaUSD,C1432/TasaUSD)))</f>
        <v/>
      </c>
      <c r="V1432" s="20">
        <f>IF(I1432="","",IF(IFERROR(INDEX(ctaLiq,MATCH(E1432,ctaNom,0))="Sí",FALSE),IF(OR(I1432="Gasto",I1432="Transferencia",I1432="Pago tarjeta"),-1,1)*O1432,0)+IF(AND(U1432&lt;&gt;"",IFERROR(INDEX(ctaLiq,MATCH(G1432,ctaNom,0))="Sí",FALSE)),O1432,0))</f>
        <v/>
      </c>
      <c r="W1432" s="19">
        <f>IF(OR(F1432="",I1432=""),"",IF(COUNTIFS(F$6:F1432,F1432,I$6:I1432,"?*")=1,MAX(W$5:W1431)+1,""))</f>
        <v/>
      </c>
    </row>
    <row r="1433">
      <c r="B1433" s="15" t="n"/>
      <c r="C1433" s="16" t="n"/>
      <c r="D1433" s="17" t="n"/>
      <c r="E1433" s="17" t="n"/>
      <c r="F1433" s="17" t="n"/>
      <c r="G1433" s="17" t="n"/>
      <c r="H1433" s="18">
        <f>IF(AND(B1433="",C1433="",D1433="",E1433=""),"",IF(B1433="","⚠ Falta fecha",IF(C1433="","⚠ Falta monto",IF(D1433="","⚠ Falta categoría",IF(ISNA(MATCH(D1433,catNom,0)),"⚠ Categoría no existe",IF(E1433="","⚠ Falta cuenta",IF(ISNA(MATCH(E1433,ctaNom,0)),"⚠ Cuenta no existe",IF(AND(OR(I1433="Transferencia",I1433="Pago tarjeta"),G1433=""),"⚠ Indica la cuenta «Hacia»",IF(AND(G1433&lt;&gt;"",G1433=E1433),"⚠ «Hacia» igual a la cuenta",IF(AND(G1433&lt;&gt;"",ISNA(MATCH(G1433,ctaNom,0))),"⚠ «Hacia» no existe",IF(AND(I1433="Pago tarjeta",IFERROR(INDEX(ctaTipo,MATCH(G1433,ctaNom,0)),"")&lt;&gt;"Tarjeta de crédito"),"⚠ «Hacia» debe ser la tarjeta",IF(AND(I1433="Trading",IFERROR(INDEX(ctaTipo,MATCH(E1433,ctaNom,0)),"")&lt;&gt;"Cuenta de trading"),"⚠ Usa la cuenta de trading","✓"))))))))))))</f>
        <v/>
      </c>
      <c r="I1433" s="19">
        <f>IF(OR(B1433="",C1433="",D1433=""),"",IFERROR(INDEX(catTipo,MATCH(D1433,catNom,0))&amp;"",""))</f>
        <v/>
      </c>
      <c r="J1433" s="19">
        <f>IF(I1433="","",IFERROR(INDEX(catGrupo,MATCH(D1433,catNom,0))&amp;"",""))</f>
        <v/>
      </c>
      <c r="K1433" s="19">
        <f>IF(I1433="Gasto",IF(IFERROR(INDEX(catClas,MATCH(D1433,catNom,0))&amp;"","")="","Variable",IFERROR(INDEX(catClas,MATCH(D1433,catNom,0))&amp;"","")),"")</f>
        <v/>
      </c>
      <c r="L1433" s="19">
        <f>IF(I1433="","",IFERROR(INDEX(catAlim,MATCH(D1433,catNom,0))&amp;"",""))</f>
        <v/>
      </c>
      <c r="M1433" s="19">
        <f>IF(I1433="","",IFERROR(INDEX(catComida,MATCH(D1433,catNom,0))&amp;"",""))</f>
        <v/>
      </c>
      <c r="N1433" s="19">
        <f>IF(I1433="","",IFERROR(INDEX(ctaMon,MATCH(E1433,ctaNom,0))&amp;"","DOP"))</f>
        <v/>
      </c>
      <c r="O1433" s="20">
        <f>IF(I1433="","",C1433*IF(N1433="USD",TasaUSD,1))</f>
        <v/>
      </c>
      <c r="P1433" s="20">
        <f>IF(I1433="","",IF(I1433="Gasto",O1433,0))</f>
        <v/>
      </c>
      <c r="Q1433" s="20">
        <f>IF(I1433="","",IF(I1433="Ingreso",O1433,0))</f>
        <v/>
      </c>
      <c r="R1433" s="20">
        <f>IF(I1433="","",IF(I1433="Trading",O1433,0))</f>
        <v/>
      </c>
      <c r="S1433" s="19">
        <f>IF(I1433="","",IF(AND(I1433="Gasto",K1433="Variable",J1433&lt;&gt;"Trading",O1433&gt;0,O1433&lt;=Umbral),1,0))</f>
        <v/>
      </c>
      <c r="T1433" s="20">
        <f>IF(OR(I1433="",E1433=""),"",IF(OR(I1433="Gasto",I1433="Transferencia",I1433="Pago tarjeta"),-1,1)*C1433)</f>
        <v/>
      </c>
      <c r="U1433" s="20">
        <f>IF(OR(G1433="",AND(I1433&lt;&gt;"Transferencia",I1433&lt;&gt;"Pago tarjeta")),"",IF(IFERROR(INDEX(ctaMon,MATCH(G1433,ctaNom,0))&amp;"","DOP")=N1433,C1433,IF(N1433="USD",C1433*TasaUSD,C1433/TasaUSD)))</f>
        <v/>
      </c>
      <c r="V1433" s="20">
        <f>IF(I1433="","",IF(IFERROR(INDEX(ctaLiq,MATCH(E1433,ctaNom,0))="Sí",FALSE),IF(OR(I1433="Gasto",I1433="Transferencia",I1433="Pago tarjeta"),-1,1)*O1433,0)+IF(AND(U1433&lt;&gt;"",IFERROR(INDEX(ctaLiq,MATCH(G1433,ctaNom,0))="Sí",FALSE)),O1433,0))</f>
        <v/>
      </c>
      <c r="W1433" s="19">
        <f>IF(OR(F1433="",I1433=""),"",IF(COUNTIFS(F$6:F1433,F1433,I$6:I1433,"?*")=1,MAX(W$5:W1432)+1,""))</f>
        <v/>
      </c>
    </row>
    <row r="1434">
      <c r="B1434" s="15" t="n"/>
      <c r="C1434" s="16" t="n"/>
      <c r="D1434" s="17" t="n"/>
      <c r="E1434" s="17" t="n"/>
      <c r="F1434" s="17" t="n"/>
      <c r="G1434" s="17" t="n"/>
      <c r="H1434" s="18">
        <f>IF(AND(B1434="",C1434="",D1434="",E1434=""),"",IF(B1434="","⚠ Falta fecha",IF(C1434="","⚠ Falta monto",IF(D1434="","⚠ Falta categoría",IF(ISNA(MATCH(D1434,catNom,0)),"⚠ Categoría no existe",IF(E1434="","⚠ Falta cuenta",IF(ISNA(MATCH(E1434,ctaNom,0)),"⚠ Cuenta no existe",IF(AND(OR(I1434="Transferencia",I1434="Pago tarjeta"),G1434=""),"⚠ Indica la cuenta «Hacia»",IF(AND(G1434&lt;&gt;"",G1434=E1434),"⚠ «Hacia» igual a la cuenta",IF(AND(G1434&lt;&gt;"",ISNA(MATCH(G1434,ctaNom,0))),"⚠ «Hacia» no existe",IF(AND(I1434="Pago tarjeta",IFERROR(INDEX(ctaTipo,MATCH(G1434,ctaNom,0)),"")&lt;&gt;"Tarjeta de crédito"),"⚠ «Hacia» debe ser la tarjeta",IF(AND(I1434="Trading",IFERROR(INDEX(ctaTipo,MATCH(E1434,ctaNom,0)),"")&lt;&gt;"Cuenta de trading"),"⚠ Usa la cuenta de trading","✓"))))))))))))</f>
        <v/>
      </c>
      <c r="I1434" s="19">
        <f>IF(OR(B1434="",C1434="",D1434=""),"",IFERROR(INDEX(catTipo,MATCH(D1434,catNom,0))&amp;"",""))</f>
        <v/>
      </c>
      <c r="J1434" s="19">
        <f>IF(I1434="","",IFERROR(INDEX(catGrupo,MATCH(D1434,catNom,0))&amp;"",""))</f>
        <v/>
      </c>
      <c r="K1434" s="19">
        <f>IF(I1434="Gasto",IF(IFERROR(INDEX(catClas,MATCH(D1434,catNom,0))&amp;"","")="","Variable",IFERROR(INDEX(catClas,MATCH(D1434,catNom,0))&amp;"","")),"")</f>
        <v/>
      </c>
      <c r="L1434" s="19">
        <f>IF(I1434="","",IFERROR(INDEX(catAlim,MATCH(D1434,catNom,0))&amp;"",""))</f>
        <v/>
      </c>
      <c r="M1434" s="19">
        <f>IF(I1434="","",IFERROR(INDEX(catComida,MATCH(D1434,catNom,0))&amp;"",""))</f>
        <v/>
      </c>
      <c r="N1434" s="19">
        <f>IF(I1434="","",IFERROR(INDEX(ctaMon,MATCH(E1434,ctaNom,0))&amp;"","DOP"))</f>
        <v/>
      </c>
      <c r="O1434" s="20">
        <f>IF(I1434="","",C1434*IF(N1434="USD",TasaUSD,1))</f>
        <v/>
      </c>
      <c r="P1434" s="20">
        <f>IF(I1434="","",IF(I1434="Gasto",O1434,0))</f>
        <v/>
      </c>
      <c r="Q1434" s="20">
        <f>IF(I1434="","",IF(I1434="Ingreso",O1434,0))</f>
        <v/>
      </c>
      <c r="R1434" s="20">
        <f>IF(I1434="","",IF(I1434="Trading",O1434,0))</f>
        <v/>
      </c>
      <c r="S1434" s="19">
        <f>IF(I1434="","",IF(AND(I1434="Gasto",K1434="Variable",J1434&lt;&gt;"Trading",O1434&gt;0,O1434&lt;=Umbral),1,0))</f>
        <v/>
      </c>
      <c r="T1434" s="20">
        <f>IF(OR(I1434="",E1434=""),"",IF(OR(I1434="Gasto",I1434="Transferencia",I1434="Pago tarjeta"),-1,1)*C1434)</f>
        <v/>
      </c>
      <c r="U1434" s="20">
        <f>IF(OR(G1434="",AND(I1434&lt;&gt;"Transferencia",I1434&lt;&gt;"Pago tarjeta")),"",IF(IFERROR(INDEX(ctaMon,MATCH(G1434,ctaNom,0))&amp;"","DOP")=N1434,C1434,IF(N1434="USD",C1434*TasaUSD,C1434/TasaUSD)))</f>
        <v/>
      </c>
      <c r="V1434" s="20">
        <f>IF(I1434="","",IF(IFERROR(INDEX(ctaLiq,MATCH(E1434,ctaNom,0))="Sí",FALSE),IF(OR(I1434="Gasto",I1434="Transferencia",I1434="Pago tarjeta"),-1,1)*O1434,0)+IF(AND(U1434&lt;&gt;"",IFERROR(INDEX(ctaLiq,MATCH(G1434,ctaNom,0))="Sí",FALSE)),O1434,0))</f>
        <v/>
      </c>
      <c r="W1434" s="19">
        <f>IF(OR(F1434="",I1434=""),"",IF(COUNTIFS(F$6:F1434,F1434,I$6:I1434,"?*")=1,MAX(W$5:W1433)+1,""))</f>
        <v/>
      </c>
    </row>
    <row r="1435">
      <c r="B1435" s="15" t="n"/>
      <c r="C1435" s="16" t="n"/>
      <c r="D1435" s="17" t="n"/>
      <c r="E1435" s="17" t="n"/>
      <c r="F1435" s="17" t="n"/>
      <c r="G1435" s="17" t="n"/>
      <c r="H1435" s="18">
        <f>IF(AND(B1435="",C1435="",D1435="",E1435=""),"",IF(B1435="","⚠ Falta fecha",IF(C1435="","⚠ Falta monto",IF(D1435="","⚠ Falta categoría",IF(ISNA(MATCH(D1435,catNom,0)),"⚠ Categoría no existe",IF(E1435="","⚠ Falta cuenta",IF(ISNA(MATCH(E1435,ctaNom,0)),"⚠ Cuenta no existe",IF(AND(OR(I1435="Transferencia",I1435="Pago tarjeta"),G1435=""),"⚠ Indica la cuenta «Hacia»",IF(AND(G1435&lt;&gt;"",G1435=E1435),"⚠ «Hacia» igual a la cuenta",IF(AND(G1435&lt;&gt;"",ISNA(MATCH(G1435,ctaNom,0))),"⚠ «Hacia» no existe",IF(AND(I1435="Pago tarjeta",IFERROR(INDEX(ctaTipo,MATCH(G1435,ctaNom,0)),"")&lt;&gt;"Tarjeta de crédito"),"⚠ «Hacia» debe ser la tarjeta",IF(AND(I1435="Trading",IFERROR(INDEX(ctaTipo,MATCH(E1435,ctaNom,0)),"")&lt;&gt;"Cuenta de trading"),"⚠ Usa la cuenta de trading","✓"))))))))))))</f>
        <v/>
      </c>
      <c r="I1435" s="19">
        <f>IF(OR(B1435="",C1435="",D1435=""),"",IFERROR(INDEX(catTipo,MATCH(D1435,catNom,0))&amp;"",""))</f>
        <v/>
      </c>
      <c r="J1435" s="19">
        <f>IF(I1435="","",IFERROR(INDEX(catGrupo,MATCH(D1435,catNom,0))&amp;"",""))</f>
        <v/>
      </c>
      <c r="K1435" s="19">
        <f>IF(I1435="Gasto",IF(IFERROR(INDEX(catClas,MATCH(D1435,catNom,0))&amp;"","")="","Variable",IFERROR(INDEX(catClas,MATCH(D1435,catNom,0))&amp;"","")),"")</f>
        <v/>
      </c>
      <c r="L1435" s="19">
        <f>IF(I1435="","",IFERROR(INDEX(catAlim,MATCH(D1435,catNom,0))&amp;"",""))</f>
        <v/>
      </c>
      <c r="M1435" s="19">
        <f>IF(I1435="","",IFERROR(INDEX(catComida,MATCH(D1435,catNom,0))&amp;"",""))</f>
        <v/>
      </c>
      <c r="N1435" s="19">
        <f>IF(I1435="","",IFERROR(INDEX(ctaMon,MATCH(E1435,ctaNom,0))&amp;"","DOP"))</f>
        <v/>
      </c>
      <c r="O1435" s="20">
        <f>IF(I1435="","",C1435*IF(N1435="USD",TasaUSD,1))</f>
        <v/>
      </c>
      <c r="P1435" s="20">
        <f>IF(I1435="","",IF(I1435="Gasto",O1435,0))</f>
        <v/>
      </c>
      <c r="Q1435" s="20">
        <f>IF(I1435="","",IF(I1435="Ingreso",O1435,0))</f>
        <v/>
      </c>
      <c r="R1435" s="20">
        <f>IF(I1435="","",IF(I1435="Trading",O1435,0))</f>
        <v/>
      </c>
      <c r="S1435" s="19">
        <f>IF(I1435="","",IF(AND(I1435="Gasto",K1435="Variable",J1435&lt;&gt;"Trading",O1435&gt;0,O1435&lt;=Umbral),1,0))</f>
        <v/>
      </c>
      <c r="T1435" s="20">
        <f>IF(OR(I1435="",E1435=""),"",IF(OR(I1435="Gasto",I1435="Transferencia",I1435="Pago tarjeta"),-1,1)*C1435)</f>
        <v/>
      </c>
      <c r="U1435" s="20">
        <f>IF(OR(G1435="",AND(I1435&lt;&gt;"Transferencia",I1435&lt;&gt;"Pago tarjeta")),"",IF(IFERROR(INDEX(ctaMon,MATCH(G1435,ctaNom,0))&amp;"","DOP")=N1435,C1435,IF(N1435="USD",C1435*TasaUSD,C1435/TasaUSD)))</f>
        <v/>
      </c>
      <c r="V1435" s="20">
        <f>IF(I1435="","",IF(IFERROR(INDEX(ctaLiq,MATCH(E1435,ctaNom,0))="Sí",FALSE),IF(OR(I1435="Gasto",I1435="Transferencia",I1435="Pago tarjeta"),-1,1)*O1435,0)+IF(AND(U1435&lt;&gt;"",IFERROR(INDEX(ctaLiq,MATCH(G1435,ctaNom,0))="Sí",FALSE)),O1435,0))</f>
        <v/>
      </c>
      <c r="W1435" s="19">
        <f>IF(OR(F1435="",I1435=""),"",IF(COUNTIFS(F$6:F1435,F1435,I$6:I1435,"?*")=1,MAX(W$5:W1434)+1,""))</f>
        <v/>
      </c>
    </row>
    <row r="1436">
      <c r="B1436" s="15" t="n"/>
      <c r="C1436" s="16" t="n"/>
      <c r="D1436" s="17" t="n"/>
      <c r="E1436" s="17" t="n"/>
      <c r="F1436" s="17" t="n"/>
      <c r="G1436" s="17" t="n"/>
      <c r="H1436" s="18">
        <f>IF(AND(B1436="",C1436="",D1436="",E1436=""),"",IF(B1436="","⚠ Falta fecha",IF(C1436="","⚠ Falta monto",IF(D1436="","⚠ Falta categoría",IF(ISNA(MATCH(D1436,catNom,0)),"⚠ Categoría no existe",IF(E1436="","⚠ Falta cuenta",IF(ISNA(MATCH(E1436,ctaNom,0)),"⚠ Cuenta no existe",IF(AND(OR(I1436="Transferencia",I1436="Pago tarjeta"),G1436=""),"⚠ Indica la cuenta «Hacia»",IF(AND(G1436&lt;&gt;"",G1436=E1436),"⚠ «Hacia» igual a la cuenta",IF(AND(G1436&lt;&gt;"",ISNA(MATCH(G1436,ctaNom,0))),"⚠ «Hacia» no existe",IF(AND(I1436="Pago tarjeta",IFERROR(INDEX(ctaTipo,MATCH(G1436,ctaNom,0)),"")&lt;&gt;"Tarjeta de crédito"),"⚠ «Hacia» debe ser la tarjeta",IF(AND(I1436="Trading",IFERROR(INDEX(ctaTipo,MATCH(E1436,ctaNom,0)),"")&lt;&gt;"Cuenta de trading"),"⚠ Usa la cuenta de trading","✓"))))))))))))</f>
        <v/>
      </c>
      <c r="I1436" s="19">
        <f>IF(OR(B1436="",C1436="",D1436=""),"",IFERROR(INDEX(catTipo,MATCH(D1436,catNom,0))&amp;"",""))</f>
        <v/>
      </c>
      <c r="J1436" s="19">
        <f>IF(I1436="","",IFERROR(INDEX(catGrupo,MATCH(D1436,catNom,0))&amp;"",""))</f>
        <v/>
      </c>
      <c r="K1436" s="19">
        <f>IF(I1436="Gasto",IF(IFERROR(INDEX(catClas,MATCH(D1436,catNom,0))&amp;"","")="","Variable",IFERROR(INDEX(catClas,MATCH(D1436,catNom,0))&amp;"","")),"")</f>
        <v/>
      </c>
      <c r="L1436" s="19">
        <f>IF(I1436="","",IFERROR(INDEX(catAlim,MATCH(D1436,catNom,0))&amp;"",""))</f>
        <v/>
      </c>
      <c r="M1436" s="19">
        <f>IF(I1436="","",IFERROR(INDEX(catComida,MATCH(D1436,catNom,0))&amp;"",""))</f>
        <v/>
      </c>
      <c r="N1436" s="19">
        <f>IF(I1436="","",IFERROR(INDEX(ctaMon,MATCH(E1436,ctaNom,0))&amp;"","DOP"))</f>
        <v/>
      </c>
      <c r="O1436" s="20">
        <f>IF(I1436="","",C1436*IF(N1436="USD",TasaUSD,1))</f>
        <v/>
      </c>
      <c r="P1436" s="20">
        <f>IF(I1436="","",IF(I1436="Gasto",O1436,0))</f>
        <v/>
      </c>
      <c r="Q1436" s="20">
        <f>IF(I1436="","",IF(I1436="Ingreso",O1436,0))</f>
        <v/>
      </c>
      <c r="R1436" s="20">
        <f>IF(I1436="","",IF(I1436="Trading",O1436,0))</f>
        <v/>
      </c>
      <c r="S1436" s="19">
        <f>IF(I1436="","",IF(AND(I1436="Gasto",K1436="Variable",J1436&lt;&gt;"Trading",O1436&gt;0,O1436&lt;=Umbral),1,0))</f>
        <v/>
      </c>
      <c r="T1436" s="20">
        <f>IF(OR(I1436="",E1436=""),"",IF(OR(I1436="Gasto",I1436="Transferencia",I1436="Pago tarjeta"),-1,1)*C1436)</f>
        <v/>
      </c>
      <c r="U1436" s="20">
        <f>IF(OR(G1436="",AND(I1436&lt;&gt;"Transferencia",I1436&lt;&gt;"Pago tarjeta")),"",IF(IFERROR(INDEX(ctaMon,MATCH(G1436,ctaNom,0))&amp;"","DOP")=N1436,C1436,IF(N1436="USD",C1436*TasaUSD,C1436/TasaUSD)))</f>
        <v/>
      </c>
      <c r="V1436" s="20">
        <f>IF(I1436="","",IF(IFERROR(INDEX(ctaLiq,MATCH(E1436,ctaNom,0))="Sí",FALSE),IF(OR(I1436="Gasto",I1436="Transferencia",I1436="Pago tarjeta"),-1,1)*O1436,0)+IF(AND(U1436&lt;&gt;"",IFERROR(INDEX(ctaLiq,MATCH(G1436,ctaNom,0))="Sí",FALSE)),O1436,0))</f>
        <v/>
      </c>
      <c r="W1436" s="19">
        <f>IF(OR(F1436="",I1436=""),"",IF(COUNTIFS(F$6:F1436,F1436,I$6:I1436,"?*")=1,MAX(W$5:W1435)+1,""))</f>
        <v/>
      </c>
    </row>
    <row r="1437">
      <c r="B1437" s="15" t="n"/>
      <c r="C1437" s="16" t="n"/>
      <c r="D1437" s="17" t="n"/>
      <c r="E1437" s="17" t="n"/>
      <c r="F1437" s="17" t="n"/>
      <c r="G1437" s="17" t="n"/>
      <c r="H1437" s="18">
        <f>IF(AND(B1437="",C1437="",D1437="",E1437=""),"",IF(B1437="","⚠ Falta fecha",IF(C1437="","⚠ Falta monto",IF(D1437="","⚠ Falta categoría",IF(ISNA(MATCH(D1437,catNom,0)),"⚠ Categoría no existe",IF(E1437="","⚠ Falta cuenta",IF(ISNA(MATCH(E1437,ctaNom,0)),"⚠ Cuenta no existe",IF(AND(OR(I1437="Transferencia",I1437="Pago tarjeta"),G1437=""),"⚠ Indica la cuenta «Hacia»",IF(AND(G1437&lt;&gt;"",G1437=E1437),"⚠ «Hacia» igual a la cuenta",IF(AND(G1437&lt;&gt;"",ISNA(MATCH(G1437,ctaNom,0))),"⚠ «Hacia» no existe",IF(AND(I1437="Pago tarjeta",IFERROR(INDEX(ctaTipo,MATCH(G1437,ctaNom,0)),"")&lt;&gt;"Tarjeta de crédito"),"⚠ «Hacia» debe ser la tarjeta",IF(AND(I1437="Trading",IFERROR(INDEX(ctaTipo,MATCH(E1437,ctaNom,0)),"")&lt;&gt;"Cuenta de trading"),"⚠ Usa la cuenta de trading","✓"))))))))))))</f>
        <v/>
      </c>
      <c r="I1437" s="19">
        <f>IF(OR(B1437="",C1437="",D1437=""),"",IFERROR(INDEX(catTipo,MATCH(D1437,catNom,0))&amp;"",""))</f>
        <v/>
      </c>
      <c r="J1437" s="19">
        <f>IF(I1437="","",IFERROR(INDEX(catGrupo,MATCH(D1437,catNom,0))&amp;"",""))</f>
        <v/>
      </c>
      <c r="K1437" s="19">
        <f>IF(I1437="Gasto",IF(IFERROR(INDEX(catClas,MATCH(D1437,catNom,0))&amp;"","")="","Variable",IFERROR(INDEX(catClas,MATCH(D1437,catNom,0))&amp;"","")),"")</f>
        <v/>
      </c>
      <c r="L1437" s="19">
        <f>IF(I1437="","",IFERROR(INDEX(catAlim,MATCH(D1437,catNom,0))&amp;"",""))</f>
        <v/>
      </c>
      <c r="M1437" s="19">
        <f>IF(I1437="","",IFERROR(INDEX(catComida,MATCH(D1437,catNom,0))&amp;"",""))</f>
        <v/>
      </c>
      <c r="N1437" s="19">
        <f>IF(I1437="","",IFERROR(INDEX(ctaMon,MATCH(E1437,ctaNom,0))&amp;"","DOP"))</f>
        <v/>
      </c>
      <c r="O1437" s="20">
        <f>IF(I1437="","",C1437*IF(N1437="USD",TasaUSD,1))</f>
        <v/>
      </c>
      <c r="P1437" s="20">
        <f>IF(I1437="","",IF(I1437="Gasto",O1437,0))</f>
        <v/>
      </c>
      <c r="Q1437" s="20">
        <f>IF(I1437="","",IF(I1437="Ingreso",O1437,0))</f>
        <v/>
      </c>
      <c r="R1437" s="20">
        <f>IF(I1437="","",IF(I1437="Trading",O1437,0))</f>
        <v/>
      </c>
      <c r="S1437" s="19">
        <f>IF(I1437="","",IF(AND(I1437="Gasto",K1437="Variable",J1437&lt;&gt;"Trading",O1437&gt;0,O1437&lt;=Umbral),1,0))</f>
        <v/>
      </c>
      <c r="T1437" s="20">
        <f>IF(OR(I1437="",E1437=""),"",IF(OR(I1437="Gasto",I1437="Transferencia",I1437="Pago tarjeta"),-1,1)*C1437)</f>
        <v/>
      </c>
      <c r="U1437" s="20">
        <f>IF(OR(G1437="",AND(I1437&lt;&gt;"Transferencia",I1437&lt;&gt;"Pago tarjeta")),"",IF(IFERROR(INDEX(ctaMon,MATCH(G1437,ctaNom,0))&amp;"","DOP")=N1437,C1437,IF(N1437="USD",C1437*TasaUSD,C1437/TasaUSD)))</f>
        <v/>
      </c>
      <c r="V1437" s="20">
        <f>IF(I1437="","",IF(IFERROR(INDEX(ctaLiq,MATCH(E1437,ctaNom,0))="Sí",FALSE),IF(OR(I1437="Gasto",I1437="Transferencia",I1437="Pago tarjeta"),-1,1)*O1437,0)+IF(AND(U1437&lt;&gt;"",IFERROR(INDEX(ctaLiq,MATCH(G1437,ctaNom,0))="Sí",FALSE)),O1437,0))</f>
        <v/>
      </c>
      <c r="W1437" s="19">
        <f>IF(OR(F1437="",I1437=""),"",IF(COUNTIFS(F$6:F1437,F1437,I$6:I1437,"?*")=1,MAX(W$5:W1436)+1,""))</f>
        <v/>
      </c>
    </row>
    <row r="1438">
      <c r="B1438" s="15" t="n"/>
      <c r="C1438" s="16" t="n"/>
      <c r="D1438" s="17" t="n"/>
      <c r="E1438" s="17" t="n"/>
      <c r="F1438" s="17" t="n"/>
      <c r="G1438" s="17" t="n"/>
      <c r="H1438" s="18">
        <f>IF(AND(B1438="",C1438="",D1438="",E1438=""),"",IF(B1438="","⚠ Falta fecha",IF(C1438="","⚠ Falta monto",IF(D1438="","⚠ Falta categoría",IF(ISNA(MATCH(D1438,catNom,0)),"⚠ Categoría no existe",IF(E1438="","⚠ Falta cuenta",IF(ISNA(MATCH(E1438,ctaNom,0)),"⚠ Cuenta no existe",IF(AND(OR(I1438="Transferencia",I1438="Pago tarjeta"),G1438=""),"⚠ Indica la cuenta «Hacia»",IF(AND(G1438&lt;&gt;"",G1438=E1438),"⚠ «Hacia» igual a la cuenta",IF(AND(G1438&lt;&gt;"",ISNA(MATCH(G1438,ctaNom,0))),"⚠ «Hacia» no existe",IF(AND(I1438="Pago tarjeta",IFERROR(INDEX(ctaTipo,MATCH(G1438,ctaNom,0)),"")&lt;&gt;"Tarjeta de crédito"),"⚠ «Hacia» debe ser la tarjeta",IF(AND(I1438="Trading",IFERROR(INDEX(ctaTipo,MATCH(E1438,ctaNom,0)),"")&lt;&gt;"Cuenta de trading"),"⚠ Usa la cuenta de trading","✓"))))))))))))</f>
        <v/>
      </c>
      <c r="I1438" s="19">
        <f>IF(OR(B1438="",C1438="",D1438=""),"",IFERROR(INDEX(catTipo,MATCH(D1438,catNom,0))&amp;"",""))</f>
        <v/>
      </c>
      <c r="J1438" s="19">
        <f>IF(I1438="","",IFERROR(INDEX(catGrupo,MATCH(D1438,catNom,0))&amp;"",""))</f>
        <v/>
      </c>
      <c r="K1438" s="19">
        <f>IF(I1438="Gasto",IF(IFERROR(INDEX(catClas,MATCH(D1438,catNom,0))&amp;"","")="","Variable",IFERROR(INDEX(catClas,MATCH(D1438,catNom,0))&amp;"","")),"")</f>
        <v/>
      </c>
      <c r="L1438" s="19">
        <f>IF(I1438="","",IFERROR(INDEX(catAlim,MATCH(D1438,catNom,0))&amp;"",""))</f>
        <v/>
      </c>
      <c r="M1438" s="19">
        <f>IF(I1438="","",IFERROR(INDEX(catComida,MATCH(D1438,catNom,0))&amp;"",""))</f>
        <v/>
      </c>
      <c r="N1438" s="19">
        <f>IF(I1438="","",IFERROR(INDEX(ctaMon,MATCH(E1438,ctaNom,0))&amp;"","DOP"))</f>
        <v/>
      </c>
      <c r="O1438" s="20">
        <f>IF(I1438="","",C1438*IF(N1438="USD",TasaUSD,1))</f>
        <v/>
      </c>
      <c r="P1438" s="20">
        <f>IF(I1438="","",IF(I1438="Gasto",O1438,0))</f>
        <v/>
      </c>
      <c r="Q1438" s="20">
        <f>IF(I1438="","",IF(I1438="Ingreso",O1438,0))</f>
        <v/>
      </c>
      <c r="R1438" s="20">
        <f>IF(I1438="","",IF(I1438="Trading",O1438,0))</f>
        <v/>
      </c>
      <c r="S1438" s="19">
        <f>IF(I1438="","",IF(AND(I1438="Gasto",K1438="Variable",J1438&lt;&gt;"Trading",O1438&gt;0,O1438&lt;=Umbral),1,0))</f>
        <v/>
      </c>
      <c r="T1438" s="20">
        <f>IF(OR(I1438="",E1438=""),"",IF(OR(I1438="Gasto",I1438="Transferencia",I1438="Pago tarjeta"),-1,1)*C1438)</f>
        <v/>
      </c>
      <c r="U1438" s="20">
        <f>IF(OR(G1438="",AND(I1438&lt;&gt;"Transferencia",I1438&lt;&gt;"Pago tarjeta")),"",IF(IFERROR(INDEX(ctaMon,MATCH(G1438,ctaNom,0))&amp;"","DOP")=N1438,C1438,IF(N1438="USD",C1438*TasaUSD,C1438/TasaUSD)))</f>
        <v/>
      </c>
      <c r="V1438" s="20">
        <f>IF(I1438="","",IF(IFERROR(INDEX(ctaLiq,MATCH(E1438,ctaNom,0))="Sí",FALSE),IF(OR(I1438="Gasto",I1438="Transferencia",I1438="Pago tarjeta"),-1,1)*O1438,0)+IF(AND(U1438&lt;&gt;"",IFERROR(INDEX(ctaLiq,MATCH(G1438,ctaNom,0))="Sí",FALSE)),O1438,0))</f>
        <v/>
      </c>
      <c r="W1438" s="19">
        <f>IF(OR(F1438="",I1438=""),"",IF(COUNTIFS(F$6:F1438,F1438,I$6:I1438,"?*")=1,MAX(W$5:W1437)+1,""))</f>
        <v/>
      </c>
    </row>
    <row r="1439">
      <c r="B1439" s="15" t="n"/>
      <c r="C1439" s="16" t="n"/>
      <c r="D1439" s="17" t="n"/>
      <c r="E1439" s="17" t="n"/>
      <c r="F1439" s="17" t="n"/>
      <c r="G1439" s="17" t="n"/>
      <c r="H1439" s="18">
        <f>IF(AND(B1439="",C1439="",D1439="",E1439=""),"",IF(B1439="","⚠ Falta fecha",IF(C1439="","⚠ Falta monto",IF(D1439="","⚠ Falta categoría",IF(ISNA(MATCH(D1439,catNom,0)),"⚠ Categoría no existe",IF(E1439="","⚠ Falta cuenta",IF(ISNA(MATCH(E1439,ctaNom,0)),"⚠ Cuenta no existe",IF(AND(OR(I1439="Transferencia",I1439="Pago tarjeta"),G1439=""),"⚠ Indica la cuenta «Hacia»",IF(AND(G1439&lt;&gt;"",G1439=E1439),"⚠ «Hacia» igual a la cuenta",IF(AND(G1439&lt;&gt;"",ISNA(MATCH(G1439,ctaNom,0))),"⚠ «Hacia» no existe",IF(AND(I1439="Pago tarjeta",IFERROR(INDEX(ctaTipo,MATCH(G1439,ctaNom,0)),"")&lt;&gt;"Tarjeta de crédito"),"⚠ «Hacia» debe ser la tarjeta",IF(AND(I1439="Trading",IFERROR(INDEX(ctaTipo,MATCH(E1439,ctaNom,0)),"")&lt;&gt;"Cuenta de trading"),"⚠ Usa la cuenta de trading","✓"))))))))))))</f>
        <v/>
      </c>
      <c r="I1439" s="19">
        <f>IF(OR(B1439="",C1439="",D1439=""),"",IFERROR(INDEX(catTipo,MATCH(D1439,catNom,0))&amp;"",""))</f>
        <v/>
      </c>
      <c r="J1439" s="19">
        <f>IF(I1439="","",IFERROR(INDEX(catGrupo,MATCH(D1439,catNom,0))&amp;"",""))</f>
        <v/>
      </c>
      <c r="K1439" s="19">
        <f>IF(I1439="Gasto",IF(IFERROR(INDEX(catClas,MATCH(D1439,catNom,0))&amp;"","")="","Variable",IFERROR(INDEX(catClas,MATCH(D1439,catNom,0))&amp;"","")),"")</f>
        <v/>
      </c>
      <c r="L1439" s="19">
        <f>IF(I1439="","",IFERROR(INDEX(catAlim,MATCH(D1439,catNom,0))&amp;"",""))</f>
        <v/>
      </c>
      <c r="M1439" s="19">
        <f>IF(I1439="","",IFERROR(INDEX(catComida,MATCH(D1439,catNom,0))&amp;"",""))</f>
        <v/>
      </c>
      <c r="N1439" s="19">
        <f>IF(I1439="","",IFERROR(INDEX(ctaMon,MATCH(E1439,ctaNom,0))&amp;"","DOP"))</f>
        <v/>
      </c>
      <c r="O1439" s="20">
        <f>IF(I1439="","",C1439*IF(N1439="USD",TasaUSD,1))</f>
        <v/>
      </c>
      <c r="P1439" s="20">
        <f>IF(I1439="","",IF(I1439="Gasto",O1439,0))</f>
        <v/>
      </c>
      <c r="Q1439" s="20">
        <f>IF(I1439="","",IF(I1439="Ingreso",O1439,0))</f>
        <v/>
      </c>
      <c r="R1439" s="20">
        <f>IF(I1439="","",IF(I1439="Trading",O1439,0))</f>
        <v/>
      </c>
      <c r="S1439" s="19">
        <f>IF(I1439="","",IF(AND(I1439="Gasto",K1439="Variable",J1439&lt;&gt;"Trading",O1439&gt;0,O1439&lt;=Umbral),1,0))</f>
        <v/>
      </c>
      <c r="T1439" s="20">
        <f>IF(OR(I1439="",E1439=""),"",IF(OR(I1439="Gasto",I1439="Transferencia",I1439="Pago tarjeta"),-1,1)*C1439)</f>
        <v/>
      </c>
      <c r="U1439" s="20">
        <f>IF(OR(G1439="",AND(I1439&lt;&gt;"Transferencia",I1439&lt;&gt;"Pago tarjeta")),"",IF(IFERROR(INDEX(ctaMon,MATCH(G1439,ctaNom,0))&amp;"","DOP")=N1439,C1439,IF(N1439="USD",C1439*TasaUSD,C1439/TasaUSD)))</f>
        <v/>
      </c>
      <c r="V1439" s="20">
        <f>IF(I1439="","",IF(IFERROR(INDEX(ctaLiq,MATCH(E1439,ctaNom,0))="Sí",FALSE),IF(OR(I1439="Gasto",I1439="Transferencia",I1439="Pago tarjeta"),-1,1)*O1439,0)+IF(AND(U1439&lt;&gt;"",IFERROR(INDEX(ctaLiq,MATCH(G1439,ctaNom,0))="Sí",FALSE)),O1439,0))</f>
        <v/>
      </c>
      <c r="W1439" s="19">
        <f>IF(OR(F1439="",I1439=""),"",IF(COUNTIFS(F$6:F1439,F1439,I$6:I1439,"?*")=1,MAX(W$5:W1438)+1,""))</f>
        <v/>
      </c>
    </row>
    <row r="1440">
      <c r="B1440" s="15" t="n"/>
      <c r="C1440" s="16" t="n"/>
      <c r="D1440" s="17" t="n"/>
      <c r="E1440" s="17" t="n"/>
      <c r="F1440" s="17" t="n"/>
      <c r="G1440" s="17" t="n"/>
      <c r="H1440" s="18">
        <f>IF(AND(B1440="",C1440="",D1440="",E1440=""),"",IF(B1440="","⚠ Falta fecha",IF(C1440="","⚠ Falta monto",IF(D1440="","⚠ Falta categoría",IF(ISNA(MATCH(D1440,catNom,0)),"⚠ Categoría no existe",IF(E1440="","⚠ Falta cuenta",IF(ISNA(MATCH(E1440,ctaNom,0)),"⚠ Cuenta no existe",IF(AND(OR(I1440="Transferencia",I1440="Pago tarjeta"),G1440=""),"⚠ Indica la cuenta «Hacia»",IF(AND(G1440&lt;&gt;"",G1440=E1440),"⚠ «Hacia» igual a la cuenta",IF(AND(G1440&lt;&gt;"",ISNA(MATCH(G1440,ctaNom,0))),"⚠ «Hacia» no existe",IF(AND(I1440="Pago tarjeta",IFERROR(INDEX(ctaTipo,MATCH(G1440,ctaNom,0)),"")&lt;&gt;"Tarjeta de crédito"),"⚠ «Hacia» debe ser la tarjeta",IF(AND(I1440="Trading",IFERROR(INDEX(ctaTipo,MATCH(E1440,ctaNom,0)),"")&lt;&gt;"Cuenta de trading"),"⚠ Usa la cuenta de trading","✓"))))))))))))</f>
        <v/>
      </c>
      <c r="I1440" s="19">
        <f>IF(OR(B1440="",C1440="",D1440=""),"",IFERROR(INDEX(catTipo,MATCH(D1440,catNom,0))&amp;"",""))</f>
        <v/>
      </c>
      <c r="J1440" s="19">
        <f>IF(I1440="","",IFERROR(INDEX(catGrupo,MATCH(D1440,catNom,0))&amp;"",""))</f>
        <v/>
      </c>
      <c r="K1440" s="19">
        <f>IF(I1440="Gasto",IF(IFERROR(INDEX(catClas,MATCH(D1440,catNom,0))&amp;"","")="","Variable",IFERROR(INDEX(catClas,MATCH(D1440,catNom,0))&amp;"","")),"")</f>
        <v/>
      </c>
      <c r="L1440" s="19">
        <f>IF(I1440="","",IFERROR(INDEX(catAlim,MATCH(D1440,catNom,0))&amp;"",""))</f>
        <v/>
      </c>
      <c r="M1440" s="19">
        <f>IF(I1440="","",IFERROR(INDEX(catComida,MATCH(D1440,catNom,0))&amp;"",""))</f>
        <v/>
      </c>
      <c r="N1440" s="19">
        <f>IF(I1440="","",IFERROR(INDEX(ctaMon,MATCH(E1440,ctaNom,0))&amp;"","DOP"))</f>
        <v/>
      </c>
      <c r="O1440" s="20">
        <f>IF(I1440="","",C1440*IF(N1440="USD",TasaUSD,1))</f>
        <v/>
      </c>
      <c r="P1440" s="20">
        <f>IF(I1440="","",IF(I1440="Gasto",O1440,0))</f>
        <v/>
      </c>
      <c r="Q1440" s="20">
        <f>IF(I1440="","",IF(I1440="Ingreso",O1440,0))</f>
        <v/>
      </c>
      <c r="R1440" s="20">
        <f>IF(I1440="","",IF(I1440="Trading",O1440,0))</f>
        <v/>
      </c>
      <c r="S1440" s="19">
        <f>IF(I1440="","",IF(AND(I1440="Gasto",K1440="Variable",J1440&lt;&gt;"Trading",O1440&gt;0,O1440&lt;=Umbral),1,0))</f>
        <v/>
      </c>
      <c r="T1440" s="20">
        <f>IF(OR(I1440="",E1440=""),"",IF(OR(I1440="Gasto",I1440="Transferencia",I1440="Pago tarjeta"),-1,1)*C1440)</f>
        <v/>
      </c>
      <c r="U1440" s="20">
        <f>IF(OR(G1440="",AND(I1440&lt;&gt;"Transferencia",I1440&lt;&gt;"Pago tarjeta")),"",IF(IFERROR(INDEX(ctaMon,MATCH(G1440,ctaNom,0))&amp;"","DOP")=N1440,C1440,IF(N1440="USD",C1440*TasaUSD,C1440/TasaUSD)))</f>
        <v/>
      </c>
      <c r="V1440" s="20">
        <f>IF(I1440="","",IF(IFERROR(INDEX(ctaLiq,MATCH(E1440,ctaNom,0))="Sí",FALSE),IF(OR(I1440="Gasto",I1440="Transferencia",I1440="Pago tarjeta"),-1,1)*O1440,0)+IF(AND(U1440&lt;&gt;"",IFERROR(INDEX(ctaLiq,MATCH(G1440,ctaNom,0))="Sí",FALSE)),O1440,0))</f>
        <v/>
      </c>
      <c r="W1440" s="19">
        <f>IF(OR(F1440="",I1440=""),"",IF(COUNTIFS(F$6:F1440,F1440,I$6:I1440,"?*")=1,MAX(W$5:W1439)+1,""))</f>
        <v/>
      </c>
    </row>
    <row r="1441">
      <c r="B1441" s="15" t="n"/>
      <c r="C1441" s="16" t="n"/>
      <c r="D1441" s="17" t="n"/>
      <c r="E1441" s="17" t="n"/>
      <c r="F1441" s="17" t="n"/>
      <c r="G1441" s="17" t="n"/>
      <c r="H1441" s="18">
        <f>IF(AND(B1441="",C1441="",D1441="",E1441=""),"",IF(B1441="","⚠ Falta fecha",IF(C1441="","⚠ Falta monto",IF(D1441="","⚠ Falta categoría",IF(ISNA(MATCH(D1441,catNom,0)),"⚠ Categoría no existe",IF(E1441="","⚠ Falta cuenta",IF(ISNA(MATCH(E1441,ctaNom,0)),"⚠ Cuenta no existe",IF(AND(OR(I1441="Transferencia",I1441="Pago tarjeta"),G1441=""),"⚠ Indica la cuenta «Hacia»",IF(AND(G1441&lt;&gt;"",G1441=E1441),"⚠ «Hacia» igual a la cuenta",IF(AND(G1441&lt;&gt;"",ISNA(MATCH(G1441,ctaNom,0))),"⚠ «Hacia» no existe",IF(AND(I1441="Pago tarjeta",IFERROR(INDEX(ctaTipo,MATCH(G1441,ctaNom,0)),"")&lt;&gt;"Tarjeta de crédito"),"⚠ «Hacia» debe ser la tarjeta",IF(AND(I1441="Trading",IFERROR(INDEX(ctaTipo,MATCH(E1441,ctaNom,0)),"")&lt;&gt;"Cuenta de trading"),"⚠ Usa la cuenta de trading","✓"))))))))))))</f>
        <v/>
      </c>
      <c r="I1441" s="19">
        <f>IF(OR(B1441="",C1441="",D1441=""),"",IFERROR(INDEX(catTipo,MATCH(D1441,catNom,0))&amp;"",""))</f>
        <v/>
      </c>
      <c r="J1441" s="19">
        <f>IF(I1441="","",IFERROR(INDEX(catGrupo,MATCH(D1441,catNom,0))&amp;"",""))</f>
        <v/>
      </c>
      <c r="K1441" s="19">
        <f>IF(I1441="Gasto",IF(IFERROR(INDEX(catClas,MATCH(D1441,catNom,0))&amp;"","")="","Variable",IFERROR(INDEX(catClas,MATCH(D1441,catNom,0))&amp;"","")),"")</f>
        <v/>
      </c>
      <c r="L1441" s="19">
        <f>IF(I1441="","",IFERROR(INDEX(catAlim,MATCH(D1441,catNom,0))&amp;"",""))</f>
        <v/>
      </c>
      <c r="M1441" s="19">
        <f>IF(I1441="","",IFERROR(INDEX(catComida,MATCH(D1441,catNom,0))&amp;"",""))</f>
        <v/>
      </c>
      <c r="N1441" s="19">
        <f>IF(I1441="","",IFERROR(INDEX(ctaMon,MATCH(E1441,ctaNom,0))&amp;"","DOP"))</f>
        <v/>
      </c>
      <c r="O1441" s="20">
        <f>IF(I1441="","",C1441*IF(N1441="USD",TasaUSD,1))</f>
        <v/>
      </c>
      <c r="P1441" s="20">
        <f>IF(I1441="","",IF(I1441="Gasto",O1441,0))</f>
        <v/>
      </c>
      <c r="Q1441" s="20">
        <f>IF(I1441="","",IF(I1441="Ingreso",O1441,0))</f>
        <v/>
      </c>
      <c r="R1441" s="20">
        <f>IF(I1441="","",IF(I1441="Trading",O1441,0))</f>
        <v/>
      </c>
      <c r="S1441" s="19">
        <f>IF(I1441="","",IF(AND(I1441="Gasto",K1441="Variable",J1441&lt;&gt;"Trading",O1441&gt;0,O1441&lt;=Umbral),1,0))</f>
        <v/>
      </c>
      <c r="T1441" s="20">
        <f>IF(OR(I1441="",E1441=""),"",IF(OR(I1441="Gasto",I1441="Transferencia",I1441="Pago tarjeta"),-1,1)*C1441)</f>
        <v/>
      </c>
      <c r="U1441" s="20">
        <f>IF(OR(G1441="",AND(I1441&lt;&gt;"Transferencia",I1441&lt;&gt;"Pago tarjeta")),"",IF(IFERROR(INDEX(ctaMon,MATCH(G1441,ctaNom,0))&amp;"","DOP")=N1441,C1441,IF(N1441="USD",C1441*TasaUSD,C1441/TasaUSD)))</f>
        <v/>
      </c>
      <c r="V1441" s="20">
        <f>IF(I1441="","",IF(IFERROR(INDEX(ctaLiq,MATCH(E1441,ctaNom,0))="Sí",FALSE),IF(OR(I1441="Gasto",I1441="Transferencia",I1441="Pago tarjeta"),-1,1)*O1441,0)+IF(AND(U1441&lt;&gt;"",IFERROR(INDEX(ctaLiq,MATCH(G1441,ctaNom,0))="Sí",FALSE)),O1441,0))</f>
        <v/>
      </c>
      <c r="W1441" s="19">
        <f>IF(OR(F1441="",I1441=""),"",IF(COUNTIFS(F$6:F1441,F1441,I$6:I1441,"?*")=1,MAX(W$5:W1440)+1,""))</f>
        <v/>
      </c>
    </row>
    <row r="1442">
      <c r="B1442" s="15" t="n"/>
      <c r="C1442" s="16" t="n"/>
      <c r="D1442" s="17" t="n"/>
      <c r="E1442" s="17" t="n"/>
      <c r="F1442" s="17" t="n"/>
      <c r="G1442" s="17" t="n"/>
      <c r="H1442" s="18">
        <f>IF(AND(B1442="",C1442="",D1442="",E1442=""),"",IF(B1442="","⚠ Falta fecha",IF(C1442="","⚠ Falta monto",IF(D1442="","⚠ Falta categoría",IF(ISNA(MATCH(D1442,catNom,0)),"⚠ Categoría no existe",IF(E1442="","⚠ Falta cuenta",IF(ISNA(MATCH(E1442,ctaNom,0)),"⚠ Cuenta no existe",IF(AND(OR(I1442="Transferencia",I1442="Pago tarjeta"),G1442=""),"⚠ Indica la cuenta «Hacia»",IF(AND(G1442&lt;&gt;"",G1442=E1442),"⚠ «Hacia» igual a la cuenta",IF(AND(G1442&lt;&gt;"",ISNA(MATCH(G1442,ctaNom,0))),"⚠ «Hacia» no existe",IF(AND(I1442="Pago tarjeta",IFERROR(INDEX(ctaTipo,MATCH(G1442,ctaNom,0)),"")&lt;&gt;"Tarjeta de crédito"),"⚠ «Hacia» debe ser la tarjeta",IF(AND(I1442="Trading",IFERROR(INDEX(ctaTipo,MATCH(E1442,ctaNom,0)),"")&lt;&gt;"Cuenta de trading"),"⚠ Usa la cuenta de trading","✓"))))))))))))</f>
        <v/>
      </c>
      <c r="I1442" s="19">
        <f>IF(OR(B1442="",C1442="",D1442=""),"",IFERROR(INDEX(catTipo,MATCH(D1442,catNom,0))&amp;"",""))</f>
        <v/>
      </c>
      <c r="J1442" s="19">
        <f>IF(I1442="","",IFERROR(INDEX(catGrupo,MATCH(D1442,catNom,0))&amp;"",""))</f>
        <v/>
      </c>
      <c r="K1442" s="19">
        <f>IF(I1442="Gasto",IF(IFERROR(INDEX(catClas,MATCH(D1442,catNom,0))&amp;"","")="","Variable",IFERROR(INDEX(catClas,MATCH(D1442,catNom,0))&amp;"","")),"")</f>
        <v/>
      </c>
      <c r="L1442" s="19">
        <f>IF(I1442="","",IFERROR(INDEX(catAlim,MATCH(D1442,catNom,0))&amp;"",""))</f>
        <v/>
      </c>
      <c r="M1442" s="19">
        <f>IF(I1442="","",IFERROR(INDEX(catComida,MATCH(D1442,catNom,0))&amp;"",""))</f>
        <v/>
      </c>
      <c r="N1442" s="19">
        <f>IF(I1442="","",IFERROR(INDEX(ctaMon,MATCH(E1442,ctaNom,0))&amp;"","DOP"))</f>
        <v/>
      </c>
      <c r="O1442" s="20">
        <f>IF(I1442="","",C1442*IF(N1442="USD",TasaUSD,1))</f>
        <v/>
      </c>
      <c r="P1442" s="20">
        <f>IF(I1442="","",IF(I1442="Gasto",O1442,0))</f>
        <v/>
      </c>
      <c r="Q1442" s="20">
        <f>IF(I1442="","",IF(I1442="Ingreso",O1442,0))</f>
        <v/>
      </c>
      <c r="R1442" s="20">
        <f>IF(I1442="","",IF(I1442="Trading",O1442,0))</f>
        <v/>
      </c>
      <c r="S1442" s="19">
        <f>IF(I1442="","",IF(AND(I1442="Gasto",K1442="Variable",J1442&lt;&gt;"Trading",O1442&gt;0,O1442&lt;=Umbral),1,0))</f>
        <v/>
      </c>
      <c r="T1442" s="20">
        <f>IF(OR(I1442="",E1442=""),"",IF(OR(I1442="Gasto",I1442="Transferencia",I1442="Pago tarjeta"),-1,1)*C1442)</f>
        <v/>
      </c>
      <c r="U1442" s="20">
        <f>IF(OR(G1442="",AND(I1442&lt;&gt;"Transferencia",I1442&lt;&gt;"Pago tarjeta")),"",IF(IFERROR(INDEX(ctaMon,MATCH(G1442,ctaNom,0))&amp;"","DOP")=N1442,C1442,IF(N1442="USD",C1442*TasaUSD,C1442/TasaUSD)))</f>
        <v/>
      </c>
      <c r="V1442" s="20">
        <f>IF(I1442="","",IF(IFERROR(INDEX(ctaLiq,MATCH(E1442,ctaNom,0))="Sí",FALSE),IF(OR(I1442="Gasto",I1442="Transferencia",I1442="Pago tarjeta"),-1,1)*O1442,0)+IF(AND(U1442&lt;&gt;"",IFERROR(INDEX(ctaLiq,MATCH(G1442,ctaNom,0))="Sí",FALSE)),O1442,0))</f>
        <v/>
      </c>
      <c r="W1442" s="19">
        <f>IF(OR(F1442="",I1442=""),"",IF(COUNTIFS(F$6:F1442,F1442,I$6:I1442,"?*")=1,MAX(W$5:W1441)+1,""))</f>
        <v/>
      </c>
    </row>
    <row r="1443">
      <c r="B1443" s="15" t="n"/>
      <c r="C1443" s="16" t="n"/>
      <c r="D1443" s="17" t="n"/>
      <c r="E1443" s="17" t="n"/>
      <c r="F1443" s="17" t="n"/>
      <c r="G1443" s="17" t="n"/>
      <c r="H1443" s="18">
        <f>IF(AND(B1443="",C1443="",D1443="",E1443=""),"",IF(B1443="","⚠ Falta fecha",IF(C1443="","⚠ Falta monto",IF(D1443="","⚠ Falta categoría",IF(ISNA(MATCH(D1443,catNom,0)),"⚠ Categoría no existe",IF(E1443="","⚠ Falta cuenta",IF(ISNA(MATCH(E1443,ctaNom,0)),"⚠ Cuenta no existe",IF(AND(OR(I1443="Transferencia",I1443="Pago tarjeta"),G1443=""),"⚠ Indica la cuenta «Hacia»",IF(AND(G1443&lt;&gt;"",G1443=E1443),"⚠ «Hacia» igual a la cuenta",IF(AND(G1443&lt;&gt;"",ISNA(MATCH(G1443,ctaNom,0))),"⚠ «Hacia» no existe",IF(AND(I1443="Pago tarjeta",IFERROR(INDEX(ctaTipo,MATCH(G1443,ctaNom,0)),"")&lt;&gt;"Tarjeta de crédito"),"⚠ «Hacia» debe ser la tarjeta",IF(AND(I1443="Trading",IFERROR(INDEX(ctaTipo,MATCH(E1443,ctaNom,0)),"")&lt;&gt;"Cuenta de trading"),"⚠ Usa la cuenta de trading","✓"))))))))))))</f>
        <v/>
      </c>
      <c r="I1443" s="19">
        <f>IF(OR(B1443="",C1443="",D1443=""),"",IFERROR(INDEX(catTipo,MATCH(D1443,catNom,0))&amp;"",""))</f>
        <v/>
      </c>
      <c r="J1443" s="19">
        <f>IF(I1443="","",IFERROR(INDEX(catGrupo,MATCH(D1443,catNom,0))&amp;"",""))</f>
        <v/>
      </c>
      <c r="K1443" s="19">
        <f>IF(I1443="Gasto",IF(IFERROR(INDEX(catClas,MATCH(D1443,catNom,0))&amp;"","")="","Variable",IFERROR(INDEX(catClas,MATCH(D1443,catNom,0))&amp;"","")),"")</f>
        <v/>
      </c>
      <c r="L1443" s="19">
        <f>IF(I1443="","",IFERROR(INDEX(catAlim,MATCH(D1443,catNom,0))&amp;"",""))</f>
        <v/>
      </c>
      <c r="M1443" s="19">
        <f>IF(I1443="","",IFERROR(INDEX(catComida,MATCH(D1443,catNom,0))&amp;"",""))</f>
        <v/>
      </c>
      <c r="N1443" s="19">
        <f>IF(I1443="","",IFERROR(INDEX(ctaMon,MATCH(E1443,ctaNom,0))&amp;"","DOP"))</f>
        <v/>
      </c>
      <c r="O1443" s="20">
        <f>IF(I1443="","",C1443*IF(N1443="USD",TasaUSD,1))</f>
        <v/>
      </c>
      <c r="P1443" s="20">
        <f>IF(I1443="","",IF(I1443="Gasto",O1443,0))</f>
        <v/>
      </c>
      <c r="Q1443" s="20">
        <f>IF(I1443="","",IF(I1443="Ingreso",O1443,0))</f>
        <v/>
      </c>
      <c r="R1443" s="20">
        <f>IF(I1443="","",IF(I1443="Trading",O1443,0))</f>
        <v/>
      </c>
      <c r="S1443" s="19">
        <f>IF(I1443="","",IF(AND(I1443="Gasto",K1443="Variable",J1443&lt;&gt;"Trading",O1443&gt;0,O1443&lt;=Umbral),1,0))</f>
        <v/>
      </c>
      <c r="T1443" s="20">
        <f>IF(OR(I1443="",E1443=""),"",IF(OR(I1443="Gasto",I1443="Transferencia",I1443="Pago tarjeta"),-1,1)*C1443)</f>
        <v/>
      </c>
      <c r="U1443" s="20">
        <f>IF(OR(G1443="",AND(I1443&lt;&gt;"Transferencia",I1443&lt;&gt;"Pago tarjeta")),"",IF(IFERROR(INDEX(ctaMon,MATCH(G1443,ctaNom,0))&amp;"","DOP")=N1443,C1443,IF(N1443="USD",C1443*TasaUSD,C1443/TasaUSD)))</f>
        <v/>
      </c>
      <c r="V1443" s="20">
        <f>IF(I1443="","",IF(IFERROR(INDEX(ctaLiq,MATCH(E1443,ctaNom,0))="Sí",FALSE),IF(OR(I1443="Gasto",I1443="Transferencia",I1443="Pago tarjeta"),-1,1)*O1443,0)+IF(AND(U1443&lt;&gt;"",IFERROR(INDEX(ctaLiq,MATCH(G1443,ctaNom,0))="Sí",FALSE)),O1443,0))</f>
        <v/>
      </c>
      <c r="W1443" s="19">
        <f>IF(OR(F1443="",I1443=""),"",IF(COUNTIFS(F$6:F1443,F1443,I$6:I1443,"?*")=1,MAX(W$5:W1442)+1,""))</f>
        <v/>
      </c>
    </row>
    <row r="1444">
      <c r="B1444" s="15" t="n"/>
      <c r="C1444" s="16" t="n"/>
      <c r="D1444" s="17" t="n"/>
      <c r="E1444" s="17" t="n"/>
      <c r="F1444" s="17" t="n"/>
      <c r="G1444" s="17" t="n"/>
      <c r="H1444" s="18">
        <f>IF(AND(B1444="",C1444="",D1444="",E1444=""),"",IF(B1444="","⚠ Falta fecha",IF(C1444="","⚠ Falta monto",IF(D1444="","⚠ Falta categoría",IF(ISNA(MATCH(D1444,catNom,0)),"⚠ Categoría no existe",IF(E1444="","⚠ Falta cuenta",IF(ISNA(MATCH(E1444,ctaNom,0)),"⚠ Cuenta no existe",IF(AND(OR(I1444="Transferencia",I1444="Pago tarjeta"),G1444=""),"⚠ Indica la cuenta «Hacia»",IF(AND(G1444&lt;&gt;"",G1444=E1444),"⚠ «Hacia» igual a la cuenta",IF(AND(G1444&lt;&gt;"",ISNA(MATCH(G1444,ctaNom,0))),"⚠ «Hacia» no existe",IF(AND(I1444="Pago tarjeta",IFERROR(INDEX(ctaTipo,MATCH(G1444,ctaNom,0)),"")&lt;&gt;"Tarjeta de crédito"),"⚠ «Hacia» debe ser la tarjeta",IF(AND(I1444="Trading",IFERROR(INDEX(ctaTipo,MATCH(E1444,ctaNom,0)),"")&lt;&gt;"Cuenta de trading"),"⚠ Usa la cuenta de trading","✓"))))))))))))</f>
        <v/>
      </c>
      <c r="I1444" s="19">
        <f>IF(OR(B1444="",C1444="",D1444=""),"",IFERROR(INDEX(catTipo,MATCH(D1444,catNom,0))&amp;"",""))</f>
        <v/>
      </c>
      <c r="J1444" s="19">
        <f>IF(I1444="","",IFERROR(INDEX(catGrupo,MATCH(D1444,catNom,0))&amp;"",""))</f>
        <v/>
      </c>
      <c r="K1444" s="19">
        <f>IF(I1444="Gasto",IF(IFERROR(INDEX(catClas,MATCH(D1444,catNom,0))&amp;"","")="","Variable",IFERROR(INDEX(catClas,MATCH(D1444,catNom,0))&amp;"","")),"")</f>
        <v/>
      </c>
      <c r="L1444" s="19">
        <f>IF(I1444="","",IFERROR(INDEX(catAlim,MATCH(D1444,catNom,0))&amp;"",""))</f>
        <v/>
      </c>
      <c r="M1444" s="19">
        <f>IF(I1444="","",IFERROR(INDEX(catComida,MATCH(D1444,catNom,0))&amp;"",""))</f>
        <v/>
      </c>
      <c r="N1444" s="19">
        <f>IF(I1444="","",IFERROR(INDEX(ctaMon,MATCH(E1444,ctaNom,0))&amp;"","DOP"))</f>
        <v/>
      </c>
      <c r="O1444" s="20">
        <f>IF(I1444="","",C1444*IF(N1444="USD",TasaUSD,1))</f>
        <v/>
      </c>
      <c r="P1444" s="20">
        <f>IF(I1444="","",IF(I1444="Gasto",O1444,0))</f>
        <v/>
      </c>
      <c r="Q1444" s="20">
        <f>IF(I1444="","",IF(I1444="Ingreso",O1444,0))</f>
        <v/>
      </c>
      <c r="R1444" s="20">
        <f>IF(I1444="","",IF(I1444="Trading",O1444,0))</f>
        <v/>
      </c>
      <c r="S1444" s="19">
        <f>IF(I1444="","",IF(AND(I1444="Gasto",K1444="Variable",J1444&lt;&gt;"Trading",O1444&gt;0,O1444&lt;=Umbral),1,0))</f>
        <v/>
      </c>
      <c r="T1444" s="20">
        <f>IF(OR(I1444="",E1444=""),"",IF(OR(I1444="Gasto",I1444="Transferencia",I1444="Pago tarjeta"),-1,1)*C1444)</f>
        <v/>
      </c>
      <c r="U1444" s="20">
        <f>IF(OR(G1444="",AND(I1444&lt;&gt;"Transferencia",I1444&lt;&gt;"Pago tarjeta")),"",IF(IFERROR(INDEX(ctaMon,MATCH(G1444,ctaNom,0))&amp;"","DOP")=N1444,C1444,IF(N1444="USD",C1444*TasaUSD,C1444/TasaUSD)))</f>
        <v/>
      </c>
      <c r="V1444" s="20">
        <f>IF(I1444="","",IF(IFERROR(INDEX(ctaLiq,MATCH(E1444,ctaNom,0))="Sí",FALSE),IF(OR(I1444="Gasto",I1444="Transferencia",I1444="Pago tarjeta"),-1,1)*O1444,0)+IF(AND(U1444&lt;&gt;"",IFERROR(INDEX(ctaLiq,MATCH(G1444,ctaNom,0))="Sí",FALSE)),O1444,0))</f>
        <v/>
      </c>
      <c r="W1444" s="19">
        <f>IF(OR(F1444="",I1444=""),"",IF(COUNTIFS(F$6:F1444,F1444,I$6:I1444,"?*")=1,MAX(W$5:W1443)+1,""))</f>
        <v/>
      </c>
    </row>
    <row r="1445">
      <c r="B1445" s="15" t="n"/>
      <c r="C1445" s="16" t="n"/>
      <c r="D1445" s="17" t="n"/>
      <c r="E1445" s="17" t="n"/>
      <c r="F1445" s="17" t="n"/>
      <c r="G1445" s="17" t="n"/>
      <c r="H1445" s="18">
        <f>IF(AND(B1445="",C1445="",D1445="",E1445=""),"",IF(B1445="","⚠ Falta fecha",IF(C1445="","⚠ Falta monto",IF(D1445="","⚠ Falta categoría",IF(ISNA(MATCH(D1445,catNom,0)),"⚠ Categoría no existe",IF(E1445="","⚠ Falta cuenta",IF(ISNA(MATCH(E1445,ctaNom,0)),"⚠ Cuenta no existe",IF(AND(OR(I1445="Transferencia",I1445="Pago tarjeta"),G1445=""),"⚠ Indica la cuenta «Hacia»",IF(AND(G1445&lt;&gt;"",G1445=E1445),"⚠ «Hacia» igual a la cuenta",IF(AND(G1445&lt;&gt;"",ISNA(MATCH(G1445,ctaNom,0))),"⚠ «Hacia» no existe",IF(AND(I1445="Pago tarjeta",IFERROR(INDEX(ctaTipo,MATCH(G1445,ctaNom,0)),"")&lt;&gt;"Tarjeta de crédito"),"⚠ «Hacia» debe ser la tarjeta",IF(AND(I1445="Trading",IFERROR(INDEX(ctaTipo,MATCH(E1445,ctaNom,0)),"")&lt;&gt;"Cuenta de trading"),"⚠ Usa la cuenta de trading","✓"))))))))))))</f>
        <v/>
      </c>
      <c r="I1445" s="19">
        <f>IF(OR(B1445="",C1445="",D1445=""),"",IFERROR(INDEX(catTipo,MATCH(D1445,catNom,0))&amp;"",""))</f>
        <v/>
      </c>
      <c r="J1445" s="19">
        <f>IF(I1445="","",IFERROR(INDEX(catGrupo,MATCH(D1445,catNom,0))&amp;"",""))</f>
        <v/>
      </c>
      <c r="K1445" s="19">
        <f>IF(I1445="Gasto",IF(IFERROR(INDEX(catClas,MATCH(D1445,catNom,0))&amp;"","")="","Variable",IFERROR(INDEX(catClas,MATCH(D1445,catNom,0))&amp;"","")),"")</f>
        <v/>
      </c>
      <c r="L1445" s="19">
        <f>IF(I1445="","",IFERROR(INDEX(catAlim,MATCH(D1445,catNom,0))&amp;"",""))</f>
        <v/>
      </c>
      <c r="M1445" s="19">
        <f>IF(I1445="","",IFERROR(INDEX(catComida,MATCH(D1445,catNom,0))&amp;"",""))</f>
        <v/>
      </c>
      <c r="N1445" s="19">
        <f>IF(I1445="","",IFERROR(INDEX(ctaMon,MATCH(E1445,ctaNom,0))&amp;"","DOP"))</f>
        <v/>
      </c>
      <c r="O1445" s="20">
        <f>IF(I1445="","",C1445*IF(N1445="USD",TasaUSD,1))</f>
        <v/>
      </c>
      <c r="P1445" s="20">
        <f>IF(I1445="","",IF(I1445="Gasto",O1445,0))</f>
        <v/>
      </c>
      <c r="Q1445" s="20">
        <f>IF(I1445="","",IF(I1445="Ingreso",O1445,0))</f>
        <v/>
      </c>
      <c r="R1445" s="20">
        <f>IF(I1445="","",IF(I1445="Trading",O1445,0))</f>
        <v/>
      </c>
      <c r="S1445" s="19">
        <f>IF(I1445="","",IF(AND(I1445="Gasto",K1445="Variable",J1445&lt;&gt;"Trading",O1445&gt;0,O1445&lt;=Umbral),1,0))</f>
        <v/>
      </c>
      <c r="T1445" s="20">
        <f>IF(OR(I1445="",E1445=""),"",IF(OR(I1445="Gasto",I1445="Transferencia",I1445="Pago tarjeta"),-1,1)*C1445)</f>
        <v/>
      </c>
      <c r="U1445" s="20">
        <f>IF(OR(G1445="",AND(I1445&lt;&gt;"Transferencia",I1445&lt;&gt;"Pago tarjeta")),"",IF(IFERROR(INDEX(ctaMon,MATCH(G1445,ctaNom,0))&amp;"","DOP")=N1445,C1445,IF(N1445="USD",C1445*TasaUSD,C1445/TasaUSD)))</f>
        <v/>
      </c>
      <c r="V1445" s="20">
        <f>IF(I1445="","",IF(IFERROR(INDEX(ctaLiq,MATCH(E1445,ctaNom,0))="Sí",FALSE),IF(OR(I1445="Gasto",I1445="Transferencia",I1445="Pago tarjeta"),-1,1)*O1445,0)+IF(AND(U1445&lt;&gt;"",IFERROR(INDEX(ctaLiq,MATCH(G1445,ctaNom,0))="Sí",FALSE)),O1445,0))</f>
        <v/>
      </c>
      <c r="W1445" s="19">
        <f>IF(OR(F1445="",I1445=""),"",IF(COUNTIFS(F$6:F1445,F1445,I$6:I1445,"?*")=1,MAX(W$5:W1444)+1,""))</f>
        <v/>
      </c>
    </row>
    <row r="1446">
      <c r="B1446" s="15" t="n"/>
      <c r="C1446" s="16" t="n"/>
      <c r="D1446" s="17" t="n"/>
      <c r="E1446" s="17" t="n"/>
      <c r="F1446" s="17" t="n"/>
      <c r="G1446" s="17" t="n"/>
      <c r="H1446" s="18">
        <f>IF(AND(B1446="",C1446="",D1446="",E1446=""),"",IF(B1446="","⚠ Falta fecha",IF(C1446="","⚠ Falta monto",IF(D1446="","⚠ Falta categoría",IF(ISNA(MATCH(D1446,catNom,0)),"⚠ Categoría no existe",IF(E1446="","⚠ Falta cuenta",IF(ISNA(MATCH(E1446,ctaNom,0)),"⚠ Cuenta no existe",IF(AND(OR(I1446="Transferencia",I1446="Pago tarjeta"),G1446=""),"⚠ Indica la cuenta «Hacia»",IF(AND(G1446&lt;&gt;"",G1446=E1446),"⚠ «Hacia» igual a la cuenta",IF(AND(G1446&lt;&gt;"",ISNA(MATCH(G1446,ctaNom,0))),"⚠ «Hacia» no existe",IF(AND(I1446="Pago tarjeta",IFERROR(INDEX(ctaTipo,MATCH(G1446,ctaNom,0)),"")&lt;&gt;"Tarjeta de crédito"),"⚠ «Hacia» debe ser la tarjeta",IF(AND(I1446="Trading",IFERROR(INDEX(ctaTipo,MATCH(E1446,ctaNom,0)),"")&lt;&gt;"Cuenta de trading"),"⚠ Usa la cuenta de trading","✓"))))))))))))</f>
        <v/>
      </c>
      <c r="I1446" s="19">
        <f>IF(OR(B1446="",C1446="",D1446=""),"",IFERROR(INDEX(catTipo,MATCH(D1446,catNom,0))&amp;"",""))</f>
        <v/>
      </c>
      <c r="J1446" s="19">
        <f>IF(I1446="","",IFERROR(INDEX(catGrupo,MATCH(D1446,catNom,0))&amp;"",""))</f>
        <v/>
      </c>
      <c r="K1446" s="19">
        <f>IF(I1446="Gasto",IF(IFERROR(INDEX(catClas,MATCH(D1446,catNom,0))&amp;"","")="","Variable",IFERROR(INDEX(catClas,MATCH(D1446,catNom,0))&amp;"","")),"")</f>
        <v/>
      </c>
      <c r="L1446" s="19">
        <f>IF(I1446="","",IFERROR(INDEX(catAlim,MATCH(D1446,catNom,0))&amp;"",""))</f>
        <v/>
      </c>
      <c r="M1446" s="19">
        <f>IF(I1446="","",IFERROR(INDEX(catComida,MATCH(D1446,catNom,0))&amp;"",""))</f>
        <v/>
      </c>
      <c r="N1446" s="19">
        <f>IF(I1446="","",IFERROR(INDEX(ctaMon,MATCH(E1446,ctaNom,0))&amp;"","DOP"))</f>
        <v/>
      </c>
      <c r="O1446" s="20">
        <f>IF(I1446="","",C1446*IF(N1446="USD",TasaUSD,1))</f>
        <v/>
      </c>
      <c r="P1446" s="20">
        <f>IF(I1446="","",IF(I1446="Gasto",O1446,0))</f>
        <v/>
      </c>
      <c r="Q1446" s="20">
        <f>IF(I1446="","",IF(I1446="Ingreso",O1446,0))</f>
        <v/>
      </c>
      <c r="R1446" s="20">
        <f>IF(I1446="","",IF(I1446="Trading",O1446,0))</f>
        <v/>
      </c>
      <c r="S1446" s="19">
        <f>IF(I1446="","",IF(AND(I1446="Gasto",K1446="Variable",J1446&lt;&gt;"Trading",O1446&gt;0,O1446&lt;=Umbral),1,0))</f>
        <v/>
      </c>
      <c r="T1446" s="20">
        <f>IF(OR(I1446="",E1446=""),"",IF(OR(I1446="Gasto",I1446="Transferencia",I1446="Pago tarjeta"),-1,1)*C1446)</f>
        <v/>
      </c>
      <c r="U1446" s="20">
        <f>IF(OR(G1446="",AND(I1446&lt;&gt;"Transferencia",I1446&lt;&gt;"Pago tarjeta")),"",IF(IFERROR(INDEX(ctaMon,MATCH(G1446,ctaNom,0))&amp;"","DOP")=N1446,C1446,IF(N1446="USD",C1446*TasaUSD,C1446/TasaUSD)))</f>
        <v/>
      </c>
      <c r="V1446" s="20">
        <f>IF(I1446="","",IF(IFERROR(INDEX(ctaLiq,MATCH(E1446,ctaNom,0))="Sí",FALSE),IF(OR(I1446="Gasto",I1446="Transferencia",I1446="Pago tarjeta"),-1,1)*O1446,0)+IF(AND(U1446&lt;&gt;"",IFERROR(INDEX(ctaLiq,MATCH(G1446,ctaNom,0))="Sí",FALSE)),O1446,0))</f>
        <v/>
      </c>
      <c r="W1446" s="19">
        <f>IF(OR(F1446="",I1446=""),"",IF(COUNTIFS(F$6:F1446,F1446,I$6:I1446,"?*")=1,MAX(W$5:W1445)+1,""))</f>
        <v/>
      </c>
    </row>
    <row r="1447">
      <c r="B1447" s="15" t="n"/>
      <c r="C1447" s="16" t="n"/>
      <c r="D1447" s="17" t="n"/>
      <c r="E1447" s="17" t="n"/>
      <c r="F1447" s="17" t="n"/>
      <c r="G1447" s="17" t="n"/>
      <c r="H1447" s="18">
        <f>IF(AND(B1447="",C1447="",D1447="",E1447=""),"",IF(B1447="","⚠ Falta fecha",IF(C1447="","⚠ Falta monto",IF(D1447="","⚠ Falta categoría",IF(ISNA(MATCH(D1447,catNom,0)),"⚠ Categoría no existe",IF(E1447="","⚠ Falta cuenta",IF(ISNA(MATCH(E1447,ctaNom,0)),"⚠ Cuenta no existe",IF(AND(OR(I1447="Transferencia",I1447="Pago tarjeta"),G1447=""),"⚠ Indica la cuenta «Hacia»",IF(AND(G1447&lt;&gt;"",G1447=E1447),"⚠ «Hacia» igual a la cuenta",IF(AND(G1447&lt;&gt;"",ISNA(MATCH(G1447,ctaNom,0))),"⚠ «Hacia» no existe",IF(AND(I1447="Pago tarjeta",IFERROR(INDEX(ctaTipo,MATCH(G1447,ctaNom,0)),"")&lt;&gt;"Tarjeta de crédito"),"⚠ «Hacia» debe ser la tarjeta",IF(AND(I1447="Trading",IFERROR(INDEX(ctaTipo,MATCH(E1447,ctaNom,0)),"")&lt;&gt;"Cuenta de trading"),"⚠ Usa la cuenta de trading","✓"))))))))))))</f>
        <v/>
      </c>
      <c r="I1447" s="19">
        <f>IF(OR(B1447="",C1447="",D1447=""),"",IFERROR(INDEX(catTipo,MATCH(D1447,catNom,0))&amp;"",""))</f>
        <v/>
      </c>
      <c r="J1447" s="19">
        <f>IF(I1447="","",IFERROR(INDEX(catGrupo,MATCH(D1447,catNom,0))&amp;"",""))</f>
        <v/>
      </c>
      <c r="K1447" s="19">
        <f>IF(I1447="Gasto",IF(IFERROR(INDEX(catClas,MATCH(D1447,catNom,0))&amp;"","")="","Variable",IFERROR(INDEX(catClas,MATCH(D1447,catNom,0))&amp;"","")),"")</f>
        <v/>
      </c>
      <c r="L1447" s="19">
        <f>IF(I1447="","",IFERROR(INDEX(catAlim,MATCH(D1447,catNom,0))&amp;"",""))</f>
        <v/>
      </c>
      <c r="M1447" s="19">
        <f>IF(I1447="","",IFERROR(INDEX(catComida,MATCH(D1447,catNom,0))&amp;"",""))</f>
        <v/>
      </c>
      <c r="N1447" s="19">
        <f>IF(I1447="","",IFERROR(INDEX(ctaMon,MATCH(E1447,ctaNom,0))&amp;"","DOP"))</f>
        <v/>
      </c>
      <c r="O1447" s="20">
        <f>IF(I1447="","",C1447*IF(N1447="USD",TasaUSD,1))</f>
        <v/>
      </c>
      <c r="P1447" s="20">
        <f>IF(I1447="","",IF(I1447="Gasto",O1447,0))</f>
        <v/>
      </c>
      <c r="Q1447" s="20">
        <f>IF(I1447="","",IF(I1447="Ingreso",O1447,0))</f>
        <v/>
      </c>
      <c r="R1447" s="20">
        <f>IF(I1447="","",IF(I1447="Trading",O1447,0))</f>
        <v/>
      </c>
      <c r="S1447" s="19">
        <f>IF(I1447="","",IF(AND(I1447="Gasto",K1447="Variable",J1447&lt;&gt;"Trading",O1447&gt;0,O1447&lt;=Umbral),1,0))</f>
        <v/>
      </c>
      <c r="T1447" s="20">
        <f>IF(OR(I1447="",E1447=""),"",IF(OR(I1447="Gasto",I1447="Transferencia",I1447="Pago tarjeta"),-1,1)*C1447)</f>
        <v/>
      </c>
      <c r="U1447" s="20">
        <f>IF(OR(G1447="",AND(I1447&lt;&gt;"Transferencia",I1447&lt;&gt;"Pago tarjeta")),"",IF(IFERROR(INDEX(ctaMon,MATCH(G1447,ctaNom,0))&amp;"","DOP")=N1447,C1447,IF(N1447="USD",C1447*TasaUSD,C1447/TasaUSD)))</f>
        <v/>
      </c>
      <c r="V1447" s="20">
        <f>IF(I1447="","",IF(IFERROR(INDEX(ctaLiq,MATCH(E1447,ctaNom,0))="Sí",FALSE),IF(OR(I1447="Gasto",I1447="Transferencia",I1447="Pago tarjeta"),-1,1)*O1447,0)+IF(AND(U1447&lt;&gt;"",IFERROR(INDEX(ctaLiq,MATCH(G1447,ctaNom,0))="Sí",FALSE)),O1447,0))</f>
        <v/>
      </c>
      <c r="W1447" s="19">
        <f>IF(OR(F1447="",I1447=""),"",IF(COUNTIFS(F$6:F1447,F1447,I$6:I1447,"?*")=1,MAX(W$5:W1446)+1,""))</f>
        <v/>
      </c>
    </row>
    <row r="1448">
      <c r="B1448" s="15" t="n"/>
      <c r="C1448" s="16" t="n"/>
      <c r="D1448" s="17" t="n"/>
      <c r="E1448" s="17" t="n"/>
      <c r="F1448" s="17" t="n"/>
      <c r="G1448" s="17" t="n"/>
      <c r="H1448" s="18">
        <f>IF(AND(B1448="",C1448="",D1448="",E1448=""),"",IF(B1448="","⚠ Falta fecha",IF(C1448="","⚠ Falta monto",IF(D1448="","⚠ Falta categoría",IF(ISNA(MATCH(D1448,catNom,0)),"⚠ Categoría no existe",IF(E1448="","⚠ Falta cuenta",IF(ISNA(MATCH(E1448,ctaNom,0)),"⚠ Cuenta no existe",IF(AND(OR(I1448="Transferencia",I1448="Pago tarjeta"),G1448=""),"⚠ Indica la cuenta «Hacia»",IF(AND(G1448&lt;&gt;"",G1448=E1448),"⚠ «Hacia» igual a la cuenta",IF(AND(G1448&lt;&gt;"",ISNA(MATCH(G1448,ctaNom,0))),"⚠ «Hacia» no existe",IF(AND(I1448="Pago tarjeta",IFERROR(INDEX(ctaTipo,MATCH(G1448,ctaNom,0)),"")&lt;&gt;"Tarjeta de crédito"),"⚠ «Hacia» debe ser la tarjeta",IF(AND(I1448="Trading",IFERROR(INDEX(ctaTipo,MATCH(E1448,ctaNom,0)),"")&lt;&gt;"Cuenta de trading"),"⚠ Usa la cuenta de trading","✓"))))))))))))</f>
        <v/>
      </c>
      <c r="I1448" s="19">
        <f>IF(OR(B1448="",C1448="",D1448=""),"",IFERROR(INDEX(catTipo,MATCH(D1448,catNom,0))&amp;"",""))</f>
        <v/>
      </c>
      <c r="J1448" s="19">
        <f>IF(I1448="","",IFERROR(INDEX(catGrupo,MATCH(D1448,catNom,0))&amp;"",""))</f>
        <v/>
      </c>
      <c r="K1448" s="19">
        <f>IF(I1448="Gasto",IF(IFERROR(INDEX(catClas,MATCH(D1448,catNom,0))&amp;"","")="","Variable",IFERROR(INDEX(catClas,MATCH(D1448,catNom,0))&amp;"","")),"")</f>
        <v/>
      </c>
      <c r="L1448" s="19">
        <f>IF(I1448="","",IFERROR(INDEX(catAlim,MATCH(D1448,catNom,0))&amp;"",""))</f>
        <v/>
      </c>
      <c r="M1448" s="19">
        <f>IF(I1448="","",IFERROR(INDEX(catComida,MATCH(D1448,catNom,0))&amp;"",""))</f>
        <v/>
      </c>
      <c r="N1448" s="19">
        <f>IF(I1448="","",IFERROR(INDEX(ctaMon,MATCH(E1448,ctaNom,0))&amp;"","DOP"))</f>
        <v/>
      </c>
      <c r="O1448" s="20">
        <f>IF(I1448="","",C1448*IF(N1448="USD",TasaUSD,1))</f>
        <v/>
      </c>
      <c r="P1448" s="20">
        <f>IF(I1448="","",IF(I1448="Gasto",O1448,0))</f>
        <v/>
      </c>
      <c r="Q1448" s="20">
        <f>IF(I1448="","",IF(I1448="Ingreso",O1448,0))</f>
        <v/>
      </c>
      <c r="R1448" s="20">
        <f>IF(I1448="","",IF(I1448="Trading",O1448,0))</f>
        <v/>
      </c>
      <c r="S1448" s="19">
        <f>IF(I1448="","",IF(AND(I1448="Gasto",K1448="Variable",J1448&lt;&gt;"Trading",O1448&gt;0,O1448&lt;=Umbral),1,0))</f>
        <v/>
      </c>
      <c r="T1448" s="20">
        <f>IF(OR(I1448="",E1448=""),"",IF(OR(I1448="Gasto",I1448="Transferencia",I1448="Pago tarjeta"),-1,1)*C1448)</f>
        <v/>
      </c>
      <c r="U1448" s="20">
        <f>IF(OR(G1448="",AND(I1448&lt;&gt;"Transferencia",I1448&lt;&gt;"Pago tarjeta")),"",IF(IFERROR(INDEX(ctaMon,MATCH(G1448,ctaNom,0))&amp;"","DOP")=N1448,C1448,IF(N1448="USD",C1448*TasaUSD,C1448/TasaUSD)))</f>
        <v/>
      </c>
      <c r="V1448" s="20">
        <f>IF(I1448="","",IF(IFERROR(INDEX(ctaLiq,MATCH(E1448,ctaNom,0))="Sí",FALSE),IF(OR(I1448="Gasto",I1448="Transferencia",I1448="Pago tarjeta"),-1,1)*O1448,0)+IF(AND(U1448&lt;&gt;"",IFERROR(INDEX(ctaLiq,MATCH(G1448,ctaNom,0))="Sí",FALSE)),O1448,0))</f>
        <v/>
      </c>
      <c r="W1448" s="19">
        <f>IF(OR(F1448="",I1448=""),"",IF(COUNTIFS(F$6:F1448,F1448,I$6:I1448,"?*")=1,MAX(W$5:W1447)+1,""))</f>
        <v/>
      </c>
    </row>
    <row r="1449">
      <c r="B1449" s="15" t="n"/>
      <c r="C1449" s="16" t="n"/>
      <c r="D1449" s="17" t="n"/>
      <c r="E1449" s="17" t="n"/>
      <c r="F1449" s="17" t="n"/>
      <c r="G1449" s="17" t="n"/>
      <c r="H1449" s="18">
        <f>IF(AND(B1449="",C1449="",D1449="",E1449=""),"",IF(B1449="","⚠ Falta fecha",IF(C1449="","⚠ Falta monto",IF(D1449="","⚠ Falta categoría",IF(ISNA(MATCH(D1449,catNom,0)),"⚠ Categoría no existe",IF(E1449="","⚠ Falta cuenta",IF(ISNA(MATCH(E1449,ctaNom,0)),"⚠ Cuenta no existe",IF(AND(OR(I1449="Transferencia",I1449="Pago tarjeta"),G1449=""),"⚠ Indica la cuenta «Hacia»",IF(AND(G1449&lt;&gt;"",G1449=E1449),"⚠ «Hacia» igual a la cuenta",IF(AND(G1449&lt;&gt;"",ISNA(MATCH(G1449,ctaNom,0))),"⚠ «Hacia» no existe",IF(AND(I1449="Pago tarjeta",IFERROR(INDEX(ctaTipo,MATCH(G1449,ctaNom,0)),"")&lt;&gt;"Tarjeta de crédito"),"⚠ «Hacia» debe ser la tarjeta",IF(AND(I1449="Trading",IFERROR(INDEX(ctaTipo,MATCH(E1449,ctaNom,0)),"")&lt;&gt;"Cuenta de trading"),"⚠ Usa la cuenta de trading","✓"))))))))))))</f>
        <v/>
      </c>
      <c r="I1449" s="19">
        <f>IF(OR(B1449="",C1449="",D1449=""),"",IFERROR(INDEX(catTipo,MATCH(D1449,catNom,0))&amp;"",""))</f>
        <v/>
      </c>
      <c r="J1449" s="19">
        <f>IF(I1449="","",IFERROR(INDEX(catGrupo,MATCH(D1449,catNom,0))&amp;"",""))</f>
        <v/>
      </c>
      <c r="K1449" s="19">
        <f>IF(I1449="Gasto",IF(IFERROR(INDEX(catClas,MATCH(D1449,catNom,0))&amp;"","")="","Variable",IFERROR(INDEX(catClas,MATCH(D1449,catNom,0))&amp;"","")),"")</f>
        <v/>
      </c>
      <c r="L1449" s="19">
        <f>IF(I1449="","",IFERROR(INDEX(catAlim,MATCH(D1449,catNom,0))&amp;"",""))</f>
        <v/>
      </c>
      <c r="M1449" s="19">
        <f>IF(I1449="","",IFERROR(INDEX(catComida,MATCH(D1449,catNom,0))&amp;"",""))</f>
        <v/>
      </c>
      <c r="N1449" s="19">
        <f>IF(I1449="","",IFERROR(INDEX(ctaMon,MATCH(E1449,ctaNom,0))&amp;"","DOP"))</f>
        <v/>
      </c>
      <c r="O1449" s="20">
        <f>IF(I1449="","",C1449*IF(N1449="USD",TasaUSD,1))</f>
        <v/>
      </c>
      <c r="P1449" s="20">
        <f>IF(I1449="","",IF(I1449="Gasto",O1449,0))</f>
        <v/>
      </c>
      <c r="Q1449" s="20">
        <f>IF(I1449="","",IF(I1449="Ingreso",O1449,0))</f>
        <v/>
      </c>
      <c r="R1449" s="20">
        <f>IF(I1449="","",IF(I1449="Trading",O1449,0))</f>
        <v/>
      </c>
      <c r="S1449" s="19">
        <f>IF(I1449="","",IF(AND(I1449="Gasto",K1449="Variable",J1449&lt;&gt;"Trading",O1449&gt;0,O1449&lt;=Umbral),1,0))</f>
        <v/>
      </c>
      <c r="T1449" s="20">
        <f>IF(OR(I1449="",E1449=""),"",IF(OR(I1449="Gasto",I1449="Transferencia",I1449="Pago tarjeta"),-1,1)*C1449)</f>
        <v/>
      </c>
      <c r="U1449" s="20">
        <f>IF(OR(G1449="",AND(I1449&lt;&gt;"Transferencia",I1449&lt;&gt;"Pago tarjeta")),"",IF(IFERROR(INDEX(ctaMon,MATCH(G1449,ctaNom,0))&amp;"","DOP")=N1449,C1449,IF(N1449="USD",C1449*TasaUSD,C1449/TasaUSD)))</f>
        <v/>
      </c>
      <c r="V1449" s="20">
        <f>IF(I1449="","",IF(IFERROR(INDEX(ctaLiq,MATCH(E1449,ctaNom,0))="Sí",FALSE),IF(OR(I1449="Gasto",I1449="Transferencia",I1449="Pago tarjeta"),-1,1)*O1449,0)+IF(AND(U1449&lt;&gt;"",IFERROR(INDEX(ctaLiq,MATCH(G1449,ctaNom,0))="Sí",FALSE)),O1449,0))</f>
        <v/>
      </c>
      <c r="W1449" s="19">
        <f>IF(OR(F1449="",I1449=""),"",IF(COUNTIFS(F$6:F1449,F1449,I$6:I1449,"?*")=1,MAX(W$5:W1448)+1,""))</f>
        <v/>
      </c>
    </row>
    <row r="1450">
      <c r="B1450" s="15" t="n"/>
      <c r="C1450" s="16" t="n"/>
      <c r="D1450" s="17" t="n"/>
      <c r="E1450" s="17" t="n"/>
      <c r="F1450" s="17" t="n"/>
      <c r="G1450" s="17" t="n"/>
      <c r="H1450" s="18">
        <f>IF(AND(B1450="",C1450="",D1450="",E1450=""),"",IF(B1450="","⚠ Falta fecha",IF(C1450="","⚠ Falta monto",IF(D1450="","⚠ Falta categoría",IF(ISNA(MATCH(D1450,catNom,0)),"⚠ Categoría no existe",IF(E1450="","⚠ Falta cuenta",IF(ISNA(MATCH(E1450,ctaNom,0)),"⚠ Cuenta no existe",IF(AND(OR(I1450="Transferencia",I1450="Pago tarjeta"),G1450=""),"⚠ Indica la cuenta «Hacia»",IF(AND(G1450&lt;&gt;"",G1450=E1450),"⚠ «Hacia» igual a la cuenta",IF(AND(G1450&lt;&gt;"",ISNA(MATCH(G1450,ctaNom,0))),"⚠ «Hacia» no existe",IF(AND(I1450="Pago tarjeta",IFERROR(INDEX(ctaTipo,MATCH(G1450,ctaNom,0)),"")&lt;&gt;"Tarjeta de crédito"),"⚠ «Hacia» debe ser la tarjeta",IF(AND(I1450="Trading",IFERROR(INDEX(ctaTipo,MATCH(E1450,ctaNom,0)),"")&lt;&gt;"Cuenta de trading"),"⚠ Usa la cuenta de trading","✓"))))))))))))</f>
        <v/>
      </c>
      <c r="I1450" s="19">
        <f>IF(OR(B1450="",C1450="",D1450=""),"",IFERROR(INDEX(catTipo,MATCH(D1450,catNom,0))&amp;"",""))</f>
        <v/>
      </c>
      <c r="J1450" s="19">
        <f>IF(I1450="","",IFERROR(INDEX(catGrupo,MATCH(D1450,catNom,0))&amp;"",""))</f>
        <v/>
      </c>
      <c r="K1450" s="19">
        <f>IF(I1450="Gasto",IF(IFERROR(INDEX(catClas,MATCH(D1450,catNom,0))&amp;"","")="","Variable",IFERROR(INDEX(catClas,MATCH(D1450,catNom,0))&amp;"","")),"")</f>
        <v/>
      </c>
      <c r="L1450" s="19">
        <f>IF(I1450="","",IFERROR(INDEX(catAlim,MATCH(D1450,catNom,0))&amp;"",""))</f>
        <v/>
      </c>
      <c r="M1450" s="19">
        <f>IF(I1450="","",IFERROR(INDEX(catComida,MATCH(D1450,catNom,0))&amp;"",""))</f>
        <v/>
      </c>
      <c r="N1450" s="19">
        <f>IF(I1450="","",IFERROR(INDEX(ctaMon,MATCH(E1450,ctaNom,0))&amp;"","DOP"))</f>
        <v/>
      </c>
      <c r="O1450" s="20">
        <f>IF(I1450="","",C1450*IF(N1450="USD",TasaUSD,1))</f>
        <v/>
      </c>
      <c r="P1450" s="20">
        <f>IF(I1450="","",IF(I1450="Gasto",O1450,0))</f>
        <v/>
      </c>
      <c r="Q1450" s="20">
        <f>IF(I1450="","",IF(I1450="Ingreso",O1450,0))</f>
        <v/>
      </c>
      <c r="R1450" s="20">
        <f>IF(I1450="","",IF(I1450="Trading",O1450,0))</f>
        <v/>
      </c>
      <c r="S1450" s="19">
        <f>IF(I1450="","",IF(AND(I1450="Gasto",K1450="Variable",J1450&lt;&gt;"Trading",O1450&gt;0,O1450&lt;=Umbral),1,0))</f>
        <v/>
      </c>
      <c r="T1450" s="20">
        <f>IF(OR(I1450="",E1450=""),"",IF(OR(I1450="Gasto",I1450="Transferencia",I1450="Pago tarjeta"),-1,1)*C1450)</f>
        <v/>
      </c>
      <c r="U1450" s="20">
        <f>IF(OR(G1450="",AND(I1450&lt;&gt;"Transferencia",I1450&lt;&gt;"Pago tarjeta")),"",IF(IFERROR(INDEX(ctaMon,MATCH(G1450,ctaNom,0))&amp;"","DOP")=N1450,C1450,IF(N1450="USD",C1450*TasaUSD,C1450/TasaUSD)))</f>
        <v/>
      </c>
      <c r="V1450" s="20">
        <f>IF(I1450="","",IF(IFERROR(INDEX(ctaLiq,MATCH(E1450,ctaNom,0))="Sí",FALSE),IF(OR(I1450="Gasto",I1450="Transferencia",I1450="Pago tarjeta"),-1,1)*O1450,0)+IF(AND(U1450&lt;&gt;"",IFERROR(INDEX(ctaLiq,MATCH(G1450,ctaNom,0))="Sí",FALSE)),O1450,0))</f>
        <v/>
      </c>
      <c r="W1450" s="19">
        <f>IF(OR(F1450="",I1450=""),"",IF(COUNTIFS(F$6:F1450,F1450,I$6:I1450,"?*")=1,MAX(W$5:W1449)+1,""))</f>
        <v/>
      </c>
    </row>
    <row r="1451">
      <c r="B1451" s="15" t="n"/>
      <c r="C1451" s="16" t="n"/>
      <c r="D1451" s="17" t="n"/>
      <c r="E1451" s="17" t="n"/>
      <c r="F1451" s="17" t="n"/>
      <c r="G1451" s="17" t="n"/>
      <c r="H1451" s="18">
        <f>IF(AND(B1451="",C1451="",D1451="",E1451=""),"",IF(B1451="","⚠ Falta fecha",IF(C1451="","⚠ Falta monto",IF(D1451="","⚠ Falta categoría",IF(ISNA(MATCH(D1451,catNom,0)),"⚠ Categoría no existe",IF(E1451="","⚠ Falta cuenta",IF(ISNA(MATCH(E1451,ctaNom,0)),"⚠ Cuenta no existe",IF(AND(OR(I1451="Transferencia",I1451="Pago tarjeta"),G1451=""),"⚠ Indica la cuenta «Hacia»",IF(AND(G1451&lt;&gt;"",G1451=E1451),"⚠ «Hacia» igual a la cuenta",IF(AND(G1451&lt;&gt;"",ISNA(MATCH(G1451,ctaNom,0))),"⚠ «Hacia» no existe",IF(AND(I1451="Pago tarjeta",IFERROR(INDEX(ctaTipo,MATCH(G1451,ctaNom,0)),"")&lt;&gt;"Tarjeta de crédito"),"⚠ «Hacia» debe ser la tarjeta",IF(AND(I1451="Trading",IFERROR(INDEX(ctaTipo,MATCH(E1451,ctaNom,0)),"")&lt;&gt;"Cuenta de trading"),"⚠ Usa la cuenta de trading","✓"))))))))))))</f>
        <v/>
      </c>
      <c r="I1451" s="19">
        <f>IF(OR(B1451="",C1451="",D1451=""),"",IFERROR(INDEX(catTipo,MATCH(D1451,catNom,0))&amp;"",""))</f>
        <v/>
      </c>
      <c r="J1451" s="19">
        <f>IF(I1451="","",IFERROR(INDEX(catGrupo,MATCH(D1451,catNom,0))&amp;"",""))</f>
        <v/>
      </c>
      <c r="K1451" s="19">
        <f>IF(I1451="Gasto",IF(IFERROR(INDEX(catClas,MATCH(D1451,catNom,0))&amp;"","")="","Variable",IFERROR(INDEX(catClas,MATCH(D1451,catNom,0))&amp;"","")),"")</f>
        <v/>
      </c>
      <c r="L1451" s="19">
        <f>IF(I1451="","",IFERROR(INDEX(catAlim,MATCH(D1451,catNom,0))&amp;"",""))</f>
        <v/>
      </c>
      <c r="M1451" s="19">
        <f>IF(I1451="","",IFERROR(INDEX(catComida,MATCH(D1451,catNom,0))&amp;"",""))</f>
        <v/>
      </c>
      <c r="N1451" s="19">
        <f>IF(I1451="","",IFERROR(INDEX(ctaMon,MATCH(E1451,ctaNom,0))&amp;"","DOP"))</f>
        <v/>
      </c>
      <c r="O1451" s="20">
        <f>IF(I1451="","",C1451*IF(N1451="USD",TasaUSD,1))</f>
        <v/>
      </c>
      <c r="P1451" s="20">
        <f>IF(I1451="","",IF(I1451="Gasto",O1451,0))</f>
        <v/>
      </c>
      <c r="Q1451" s="20">
        <f>IF(I1451="","",IF(I1451="Ingreso",O1451,0))</f>
        <v/>
      </c>
      <c r="R1451" s="20">
        <f>IF(I1451="","",IF(I1451="Trading",O1451,0))</f>
        <v/>
      </c>
      <c r="S1451" s="19">
        <f>IF(I1451="","",IF(AND(I1451="Gasto",K1451="Variable",J1451&lt;&gt;"Trading",O1451&gt;0,O1451&lt;=Umbral),1,0))</f>
        <v/>
      </c>
      <c r="T1451" s="20">
        <f>IF(OR(I1451="",E1451=""),"",IF(OR(I1451="Gasto",I1451="Transferencia",I1451="Pago tarjeta"),-1,1)*C1451)</f>
        <v/>
      </c>
      <c r="U1451" s="20">
        <f>IF(OR(G1451="",AND(I1451&lt;&gt;"Transferencia",I1451&lt;&gt;"Pago tarjeta")),"",IF(IFERROR(INDEX(ctaMon,MATCH(G1451,ctaNom,0))&amp;"","DOP")=N1451,C1451,IF(N1451="USD",C1451*TasaUSD,C1451/TasaUSD)))</f>
        <v/>
      </c>
      <c r="V1451" s="20">
        <f>IF(I1451="","",IF(IFERROR(INDEX(ctaLiq,MATCH(E1451,ctaNom,0))="Sí",FALSE),IF(OR(I1451="Gasto",I1451="Transferencia",I1451="Pago tarjeta"),-1,1)*O1451,0)+IF(AND(U1451&lt;&gt;"",IFERROR(INDEX(ctaLiq,MATCH(G1451,ctaNom,0))="Sí",FALSE)),O1451,0))</f>
        <v/>
      </c>
      <c r="W1451" s="19">
        <f>IF(OR(F1451="",I1451=""),"",IF(COUNTIFS(F$6:F1451,F1451,I$6:I1451,"?*")=1,MAX(W$5:W1450)+1,""))</f>
        <v/>
      </c>
    </row>
    <row r="1452">
      <c r="B1452" s="15" t="n"/>
      <c r="C1452" s="16" t="n"/>
      <c r="D1452" s="17" t="n"/>
      <c r="E1452" s="17" t="n"/>
      <c r="F1452" s="17" t="n"/>
      <c r="G1452" s="17" t="n"/>
      <c r="H1452" s="18">
        <f>IF(AND(B1452="",C1452="",D1452="",E1452=""),"",IF(B1452="","⚠ Falta fecha",IF(C1452="","⚠ Falta monto",IF(D1452="","⚠ Falta categoría",IF(ISNA(MATCH(D1452,catNom,0)),"⚠ Categoría no existe",IF(E1452="","⚠ Falta cuenta",IF(ISNA(MATCH(E1452,ctaNom,0)),"⚠ Cuenta no existe",IF(AND(OR(I1452="Transferencia",I1452="Pago tarjeta"),G1452=""),"⚠ Indica la cuenta «Hacia»",IF(AND(G1452&lt;&gt;"",G1452=E1452),"⚠ «Hacia» igual a la cuenta",IF(AND(G1452&lt;&gt;"",ISNA(MATCH(G1452,ctaNom,0))),"⚠ «Hacia» no existe",IF(AND(I1452="Pago tarjeta",IFERROR(INDEX(ctaTipo,MATCH(G1452,ctaNom,0)),"")&lt;&gt;"Tarjeta de crédito"),"⚠ «Hacia» debe ser la tarjeta",IF(AND(I1452="Trading",IFERROR(INDEX(ctaTipo,MATCH(E1452,ctaNom,0)),"")&lt;&gt;"Cuenta de trading"),"⚠ Usa la cuenta de trading","✓"))))))))))))</f>
        <v/>
      </c>
      <c r="I1452" s="19">
        <f>IF(OR(B1452="",C1452="",D1452=""),"",IFERROR(INDEX(catTipo,MATCH(D1452,catNom,0))&amp;"",""))</f>
        <v/>
      </c>
      <c r="J1452" s="19">
        <f>IF(I1452="","",IFERROR(INDEX(catGrupo,MATCH(D1452,catNom,0))&amp;"",""))</f>
        <v/>
      </c>
      <c r="K1452" s="19">
        <f>IF(I1452="Gasto",IF(IFERROR(INDEX(catClas,MATCH(D1452,catNom,0))&amp;"","")="","Variable",IFERROR(INDEX(catClas,MATCH(D1452,catNom,0))&amp;"","")),"")</f>
        <v/>
      </c>
      <c r="L1452" s="19">
        <f>IF(I1452="","",IFERROR(INDEX(catAlim,MATCH(D1452,catNom,0))&amp;"",""))</f>
        <v/>
      </c>
      <c r="M1452" s="19">
        <f>IF(I1452="","",IFERROR(INDEX(catComida,MATCH(D1452,catNom,0))&amp;"",""))</f>
        <v/>
      </c>
      <c r="N1452" s="19">
        <f>IF(I1452="","",IFERROR(INDEX(ctaMon,MATCH(E1452,ctaNom,0))&amp;"","DOP"))</f>
        <v/>
      </c>
      <c r="O1452" s="20">
        <f>IF(I1452="","",C1452*IF(N1452="USD",TasaUSD,1))</f>
        <v/>
      </c>
      <c r="P1452" s="20">
        <f>IF(I1452="","",IF(I1452="Gasto",O1452,0))</f>
        <v/>
      </c>
      <c r="Q1452" s="20">
        <f>IF(I1452="","",IF(I1452="Ingreso",O1452,0))</f>
        <v/>
      </c>
      <c r="R1452" s="20">
        <f>IF(I1452="","",IF(I1452="Trading",O1452,0))</f>
        <v/>
      </c>
      <c r="S1452" s="19">
        <f>IF(I1452="","",IF(AND(I1452="Gasto",K1452="Variable",J1452&lt;&gt;"Trading",O1452&gt;0,O1452&lt;=Umbral),1,0))</f>
        <v/>
      </c>
      <c r="T1452" s="20">
        <f>IF(OR(I1452="",E1452=""),"",IF(OR(I1452="Gasto",I1452="Transferencia",I1452="Pago tarjeta"),-1,1)*C1452)</f>
        <v/>
      </c>
      <c r="U1452" s="20">
        <f>IF(OR(G1452="",AND(I1452&lt;&gt;"Transferencia",I1452&lt;&gt;"Pago tarjeta")),"",IF(IFERROR(INDEX(ctaMon,MATCH(G1452,ctaNom,0))&amp;"","DOP")=N1452,C1452,IF(N1452="USD",C1452*TasaUSD,C1452/TasaUSD)))</f>
        <v/>
      </c>
      <c r="V1452" s="20">
        <f>IF(I1452="","",IF(IFERROR(INDEX(ctaLiq,MATCH(E1452,ctaNom,0))="Sí",FALSE),IF(OR(I1452="Gasto",I1452="Transferencia",I1452="Pago tarjeta"),-1,1)*O1452,0)+IF(AND(U1452&lt;&gt;"",IFERROR(INDEX(ctaLiq,MATCH(G1452,ctaNom,0))="Sí",FALSE)),O1452,0))</f>
        <v/>
      </c>
      <c r="W1452" s="19">
        <f>IF(OR(F1452="",I1452=""),"",IF(COUNTIFS(F$6:F1452,F1452,I$6:I1452,"?*")=1,MAX(W$5:W1451)+1,""))</f>
        <v/>
      </c>
    </row>
    <row r="1453">
      <c r="B1453" s="15" t="n"/>
      <c r="C1453" s="16" t="n"/>
      <c r="D1453" s="17" t="n"/>
      <c r="E1453" s="17" t="n"/>
      <c r="F1453" s="17" t="n"/>
      <c r="G1453" s="17" t="n"/>
      <c r="H1453" s="18">
        <f>IF(AND(B1453="",C1453="",D1453="",E1453=""),"",IF(B1453="","⚠ Falta fecha",IF(C1453="","⚠ Falta monto",IF(D1453="","⚠ Falta categoría",IF(ISNA(MATCH(D1453,catNom,0)),"⚠ Categoría no existe",IF(E1453="","⚠ Falta cuenta",IF(ISNA(MATCH(E1453,ctaNom,0)),"⚠ Cuenta no existe",IF(AND(OR(I1453="Transferencia",I1453="Pago tarjeta"),G1453=""),"⚠ Indica la cuenta «Hacia»",IF(AND(G1453&lt;&gt;"",G1453=E1453),"⚠ «Hacia» igual a la cuenta",IF(AND(G1453&lt;&gt;"",ISNA(MATCH(G1453,ctaNom,0))),"⚠ «Hacia» no existe",IF(AND(I1453="Pago tarjeta",IFERROR(INDEX(ctaTipo,MATCH(G1453,ctaNom,0)),"")&lt;&gt;"Tarjeta de crédito"),"⚠ «Hacia» debe ser la tarjeta",IF(AND(I1453="Trading",IFERROR(INDEX(ctaTipo,MATCH(E1453,ctaNom,0)),"")&lt;&gt;"Cuenta de trading"),"⚠ Usa la cuenta de trading","✓"))))))))))))</f>
        <v/>
      </c>
      <c r="I1453" s="19">
        <f>IF(OR(B1453="",C1453="",D1453=""),"",IFERROR(INDEX(catTipo,MATCH(D1453,catNom,0))&amp;"",""))</f>
        <v/>
      </c>
      <c r="J1453" s="19">
        <f>IF(I1453="","",IFERROR(INDEX(catGrupo,MATCH(D1453,catNom,0))&amp;"",""))</f>
        <v/>
      </c>
      <c r="K1453" s="19">
        <f>IF(I1453="Gasto",IF(IFERROR(INDEX(catClas,MATCH(D1453,catNom,0))&amp;"","")="","Variable",IFERROR(INDEX(catClas,MATCH(D1453,catNom,0))&amp;"","")),"")</f>
        <v/>
      </c>
      <c r="L1453" s="19">
        <f>IF(I1453="","",IFERROR(INDEX(catAlim,MATCH(D1453,catNom,0))&amp;"",""))</f>
        <v/>
      </c>
      <c r="M1453" s="19">
        <f>IF(I1453="","",IFERROR(INDEX(catComida,MATCH(D1453,catNom,0))&amp;"",""))</f>
        <v/>
      </c>
      <c r="N1453" s="19">
        <f>IF(I1453="","",IFERROR(INDEX(ctaMon,MATCH(E1453,ctaNom,0))&amp;"","DOP"))</f>
        <v/>
      </c>
      <c r="O1453" s="20">
        <f>IF(I1453="","",C1453*IF(N1453="USD",TasaUSD,1))</f>
        <v/>
      </c>
      <c r="P1453" s="20">
        <f>IF(I1453="","",IF(I1453="Gasto",O1453,0))</f>
        <v/>
      </c>
      <c r="Q1453" s="20">
        <f>IF(I1453="","",IF(I1453="Ingreso",O1453,0))</f>
        <v/>
      </c>
      <c r="R1453" s="20">
        <f>IF(I1453="","",IF(I1453="Trading",O1453,0))</f>
        <v/>
      </c>
      <c r="S1453" s="19">
        <f>IF(I1453="","",IF(AND(I1453="Gasto",K1453="Variable",J1453&lt;&gt;"Trading",O1453&gt;0,O1453&lt;=Umbral),1,0))</f>
        <v/>
      </c>
      <c r="T1453" s="20">
        <f>IF(OR(I1453="",E1453=""),"",IF(OR(I1453="Gasto",I1453="Transferencia",I1453="Pago tarjeta"),-1,1)*C1453)</f>
        <v/>
      </c>
      <c r="U1453" s="20">
        <f>IF(OR(G1453="",AND(I1453&lt;&gt;"Transferencia",I1453&lt;&gt;"Pago tarjeta")),"",IF(IFERROR(INDEX(ctaMon,MATCH(G1453,ctaNom,0))&amp;"","DOP")=N1453,C1453,IF(N1453="USD",C1453*TasaUSD,C1453/TasaUSD)))</f>
        <v/>
      </c>
      <c r="V1453" s="20">
        <f>IF(I1453="","",IF(IFERROR(INDEX(ctaLiq,MATCH(E1453,ctaNom,0))="Sí",FALSE),IF(OR(I1453="Gasto",I1453="Transferencia",I1453="Pago tarjeta"),-1,1)*O1453,0)+IF(AND(U1453&lt;&gt;"",IFERROR(INDEX(ctaLiq,MATCH(G1453,ctaNom,0))="Sí",FALSE)),O1453,0))</f>
        <v/>
      </c>
      <c r="W1453" s="19">
        <f>IF(OR(F1453="",I1453=""),"",IF(COUNTIFS(F$6:F1453,F1453,I$6:I1453,"?*")=1,MAX(W$5:W1452)+1,""))</f>
        <v/>
      </c>
    </row>
    <row r="1454">
      <c r="B1454" s="15" t="n"/>
      <c r="C1454" s="16" t="n"/>
      <c r="D1454" s="17" t="n"/>
      <c r="E1454" s="17" t="n"/>
      <c r="F1454" s="17" t="n"/>
      <c r="G1454" s="17" t="n"/>
      <c r="H1454" s="18">
        <f>IF(AND(B1454="",C1454="",D1454="",E1454=""),"",IF(B1454="","⚠ Falta fecha",IF(C1454="","⚠ Falta monto",IF(D1454="","⚠ Falta categoría",IF(ISNA(MATCH(D1454,catNom,0)),"⚠ Categoría no existe",IF(E1454="","⚠ Falta cuenta",IF(ISNA(MATCH(E1454,ctaNom,0)),"⚠ Cuenta no existe",IF(AND(OR(I1454="Transferencia",I1454="Pago tarjeta"),G1454=""),"⚠ Indica la cuenta «Hacia»",IF(AND(G1454&lt;&gt;"",G1454=E1454),"⚠ «Hacia» igual a la cuenta",IF(AND(G1454&lt;&gt;"",ISNA(MATCH(G1454,ctaNom,0))),"⚠ «Hacia» no existe",IF(AND(I1454="Pago tarjeta",IFERROR(INDEX(ctaTipo,MATCH(G1454,ctaNom,0)),"")&lt;&gt;"Tarjeta de crédito"),"⚠ «Hacia» debe ser la tarjeta",IF(AND(I1454="Trading",IFERROR(INDEX(ctaTipo,MATCH(E1454,ctaNom,0)),"")&lt;&gt;"Cuenta de trading"),"⚠ Usa la cuenta de trading","✓"))))))))))))</f>
        <v/>
      </c>
      <c r="I1454" s="19">
        <f>IF(OR(B1454="",C1454="",D1454=""),"",IFERROR(INDEX(catTipo,MATCH(D1454,catNom,0))&amp;"",""))</f>
        <v/>
      </c>
      <c r="J1454" s="19">
        <f>IF(I1454="","",IFERROR(INDEX(catGrupo,MATCH(D1454,catNom,0))&amp;"",""))</f>
        <v/>
      </c>
      <c r="K1454" s="19">
        <f>IF(I1454="Gasto",IF(IFERROR(INDEX(catClas,MATCH(D1454,catNom,0))&amp;"","")="","Variable",IFERROR(INDEX(catClas,MATCH(D1454,catNom,0))&amp;"","")),"")</f>
        <v/>
      </c>
      <c r="L1454" s="19">
        <f>IF(I1454="","",IFERROR(INDEX(catAlim,MATCH(D1454,catNom,0))&amp;"",""))</f>
        <v/>
      </c>
      <c r="M1454" s="19">
        <f>IF(I1454="","",IFERROR(INDEX(catComida,MATCH(D1454,catNom,0))&amp;"",""))</f>
        <v/>
      </c>
      <c r="N1454" s="19">
        <f>IF(I1454="","",IFERROR(INDEX(ctaMon,MATCH(E1454,ctaNom,0))&amp;"","DOP"))</f>
        <v/>
      </c>
      <c r="O1454" s="20">
        <f>IF(I1454="","",C1454*IF(N1454="USD",TasaUSD,1))</f>
        <v/>
      </c>
      <c r="P1454" s="20">
        <f>IF(I1454="","",IF(I1454="Gasto",O1454,0))</f>
        <v/>
      </c>
      <c r="Q1454" s="20">
        <f>IF(I1454="","",IF(I1454="Ingreso",O1454,0))</f>
        <v/>
      </c>
      <c r="R1454" s="20">
        <f>IF(I1454="","",IF(I1454="Trading",O1454,0))</f>
        <v/>
      </c>
      <c r="S1454" s="19">
        <f>IF(I1454="","",IF(AND(I1454="Gasto",K1454="Variable",J1454&lt;&gt;"Trading",O1454&gt;0,O1454&lt;=Umbral),1,0))</f>
        <v/>
      </c>
      <c r="T1454" s="20">
        <f>IF(OR(I1454="",E1454=""),"",IF(OR(I1454="Gasto",I1454="Transferencia",I1454="Pago tarjeta"),-1,1)*C1454)</f>
        <v/>
      </c>
      <c r="U1454" s="20">
        <f>IF(OR(G1454="",AND(I1454&lt;&gt;"Transferencia",I1454&lt;&gt;"Pago tarjeta")),"",IF(IFERROR(INDEX(ctaMon,MATCH(G1454,ctaNom,0))&amp;"","DOP")=N1454,C1454,IF(N1454="USD",C1454*TasaUSD,C1454/TasaUSD)))</f>
        <v/>
      </c>
      <c r="V1454" s="20">
        <f>IF(I1454="","",IF(IFERROR(INDEX(ctaLiq,MATCH(E1454,ctaNom,0))="Sí",FALSE),IF(OR(I1454="Gasto",I1454="Transferencia",I1454="Pago tarjeta"),-1,1)*O1454,0)+IF(AND(U1454&lt;&gt;"",IFERROR(INDEX(ctaLiq,MATCH(G1454,ctaNom,0))="Sí",FALSE)),O1454,0))</f>
        <v/>
      </c>
      <c r="W1454" s="19">
        <f>IF(OR(F1454="",I1454=""),"",IF(COUNTIFS(F$6:F1454,F1454,I$6:I1454,"?*")=1,MAX(W$5:W1453)+1,""))</f>
        <v/>
      </c>
    </row>
    <row r="1455">
      <c r="B1455" s="15" t="n"/>
      <c r="C1455" s="16" t="n"/>
      <c r="D1455" s="17" t="n"/>
      <c r="E1455" s="17" t="n"/>
      <c r="F1455" s="17" t="n"/>
      <c r="G1455" s="17" t="n"/>
      <c r="H1455" s="18">
        <f>IF(AND(B1455="",C1455="",D1455="",E1455=""),"",IF(B1455="","⚠ Falta fecha",IF(C1455="","⚠ Falta monto",IF(D1455="","⚠ Falta categoría",IF(ISNA(MATCH(D1455,catNom,0)),"⚠ Categoría no existe",IF(E1455="","⚠ Falta cuenta",IF(ISNA(MATCH(E1455,ctaNom,0)),"⚠ Cuenta no existe",IF(AND(OR(I1455="Transferencia",I1455="Pago tarjeta"),G1455=""),"⚠ Indica la cuenta «Hacia»",IF(AND(G1455&lt;&gt;"",G1455=E1455),"⚠ «Hacia» igual a la cuenta",IF(AND(G1455&lt;&gt;"",ISNA(MATCH(G1455,ctaNom,0))),"⚠ «Hacia» no existe",IF(AND(I1455="Pago tarjeta",IFERROR(INDEX(ctaTipo,MATCH(G1455,ctaNom,0)),"")&lt;&gt;"Tarjeta de crédito"),"⚠ «Hacia» debe ser la tarjeta",IF(AND(I1455="Trading",IFERROR(INDEX(ctaTipo,MATCH(E1455,ctaNom,0)),"")&lt;&gt;"Cuenta de trading"),"⚠ Usa la cuenta de trading","✓"))))))))))))</f>
        <v/>
      </c>
      <c r="I1455" s="19">
        <f>IF(OR(B1455="",C1455="",D1455=""),"",IFERROR(INDEX(catTipo,MATCH(D1455,catNom,0))&amp;"",""))</f>
        <v/>
      </c>
      <c r="J1455" s="19">
        <f>IF(I1455="","",IFERROR(INDEX(catGrupo,MATCH(D1455,catNom,0))&amp;"",""))</f>
        <v/>
      </c>
      <c r="K1455" s="19">
        <f>IF(I1455="Gasto",IF(IFERROR(INDEX(catClas,MATCH(D1455,catNom,0))&amp;"","")="","Variable",IFERROR(INDEX(catClas,MATCH(D1455,catNom,0))&amp;"","")),"")</f>
        <v/>
      </c>
      <c r="L1455" s="19">
        <f>IF(I1455="","",IFERROR(INDEX(catAlim,MATCH(D1455,catNom,0))&amp;"",""))</f>
        <v/>
      </c>
      <c r="M1455" s="19">
        <f>IF(I1455="","",IFERROR(INDEX(catComida,MATCH(D1455,catNom,0))&amp;"",""))</f>
        <v/>
      </c>
      <c r="N1455" s="19">
        <f>IF(I1455="","",IFERROR(INDEX(ctaMon,MATCH(E1455,ctaNom,0))&amp;"","DOP"))</f>
        <v/>
      </c>
      <c r="O1455" s="20">
        <f>IF(I1455="","",C1455*IF(N1455="USD",TasaUSD,1))</f>
        <v/>
      </c>
      <c r="P1455" s="20">
        <f>IF(I1455="","",IF(I1455="Gasto",O1455,0))</f>
        <v/>
      </c>
      <c r="Q1455" s="20">
        <f>IF(I1455="","",IF(I1455="Ingreso",O1455,0))</f>
        <v/>
      </c>
      <c r="R1455" s="20">
        <f>IF(I1455="","",IF(I1455="Trading",O1455,0))</f>
        <v/>
      </c>
      <c r="S1455" s="19">
        <f>IF(I1455="","",IF(AND(I1455="Gasto",K1455="Variable",J1455&lt;&gt;"Trading",O1455&gt;0,O1455&lt;=Umbral),1,0))</f>
        <v/>
      </c>
      <c r="T1455" s="20">
        <f>IF(OR(I1455="",E1455=""),"",IF(OR(I1455="Gasto",I1455="Transferencia",I1455="Pago tarjeta"),-1,1)*C1455)</f>
        <v/>
      </c>
      <c r="U1455" s="20">
        <f>IF(OR(G1455="",AND(I1455&lt;&gt;"Transferencia",I1455&lt;&gt;"Pago tarjeta")),"",IF(IFERROR(INDEX(ctaMon,MATCH(G1455,ctaNom,0))&amp;"","DOP")=N1455,C1455,IF(N1455="USD",C1455*TasaUSD,C1455/TasaUSD)))</f>
        <v/>
      </c>
      <c r="V1455" s="20">
        <f>IF(I1455="","",IF(IFERROR(INDEX(ctaLiq,MATCH(E1455,ctaNom,0))="Sí",FALSE),IF(OR(I1455="Gasto",I1455="Transferencia",I1455="Pago tarjeta"),-1,1)*O1455,0)+IF(AND(U1455&lt;&gt;"",IFERROR(INDEX(ctaLiq,MATCH(G1455,ctaNom,0))="Sí",FALSE)),O1455,0))</f>
        <v/>
      </c>
      <c r="W1455" s="19">
        <f>IF(OR(F1455="",I1455=""),"",IF(COUNTIFS(F$6:F1455,F1455,I$6:I1455,"?*")=1,MAX(W$5:W1454)+1,""))</f>
        <v/>
      </c>
    </row>
    <row r="1456">
      <c r="B1456" s="15" t="n"/>
      <c r="C1456" s="16" t="n"/>
      <c r="D1456" s="17" t="n"/>
      <c r="E1456" s="17" t="n"/>
      <c r="F1456" s="17" t="n"/>
      <c r="G1456" s="17" t="n"/>
      <c r="H1456" s="18">
        <f>IF(AND(B1456="",C1456="",D1456="",E1456=""),"",IF(B1456="","⚠ Falta fecha",IF(C1456="","⚠ Falta monto",IF(D1456="","⚠ Falta categoría",IF(ISNA(MATCH(D1456,catNom,0)),"⚠ Categoría no existe",IF(E1456="","⚠ Falta cuenta",IF(ISNA(MATCH(E1456,ctaNom,0)),"⚠ Cuenta no existe",IF(AND(OR(I1456="Transferencia",I1456="Pago tarjeta"),G1456=""),"⚠ Indica la cuenta «Hacia»",IF(AND(G1456&lt;&gt;"",G1456=E1456),"⚠ «Hacia» igual a la cuenta",IF(AND(G1456&lt;&gt;"",ISNA(MATCH(G1456,ctaNom,0))),"⚠ «Hacia» no existe",IF(AND(I1456="Pago tarjeta",IFERROR(INDEX(ctaTipo,MATCH(G1456,ctaNom,0)),"")&lt;&gt;"Tarjeta de crédito"),"⚠ «Hacia» debe ser la tarjeta",IF(AND(I1456="Trading",IFERROR(INDEX(ctaTipo,MATCH(E1456,ctaNom,0)),"")&lt;&gt;"Cuenta de trading"),"⚠ Usa la cuenta de trading","✓"))))))))))))</f>
        <v/>
      </c>
      <c r="I1456" s="19">
        <f>IF(OR(B1456="",C1456="",D1456=""),"",IFERROR(INDEX(catTipo,MATCH(D1456,catNom,0))&amp;"",""))</f>
        <v/>
      </c>
      <c r="J1456" s="19">
        <f>IF(I1456="","",IFERROR(INDEX(catGrupo,MATCH(D1456,catNom,0))&amp;"",""))</f>
        <v/>
      </c>
      <c r="K1456" s="19">
        <f>IF(I1456="Gasto",IF(IFERROR(INDEX(catClas,MATCH(D1456,catNom,0))&amp;"","")="","Variable",IFERROR(INDEX(catClas,MATCH(D1456,catNom,0))&amp;"","")),"")</f>
        <v/>
      </c>
      <c r="L1456" s="19">
        <f>IF(I1456="","",IFERROR(INDEX(catAlim,MATCH(D1456,catNom,0))&amp;"",""))</f>
        <v/>
      </c>
      <c r="M1456" s="19">
        <f>IF(I1456="","",IFERROR(INDEX(catComida,MATCH(D1456,catNom,0))&amp;"",""))</f>
        <v/>
      </c>
      <c r="N1456" s="19">
        <f>IF(I1456="","",IFERROR(INDEX(ctaMon,MATCH(E1456,ctaNom,0))&amp;"","DOP"))</f>
        <v/>
      </c>
      <c r="O1456" s="20">
        <f>IF(I1456="","",C1456*IF(N1456="USD",TasaUSD,1))</f>
        <v/>
      </c>
      <c r="P1456" s="20">
        <f>IF(I1456="","",IF(I1456="Gasto",O1456,0))</f>
        <v/>
      </c>
      <c r="Q1456" s="20">
        <f>IF(I1456="","",IF(I1456="Ingreso",O1456,0))</f>
        <v/>
      </c>
      <c r="R1456" s="20">
        <f>IF(I1456="","",IF(I1456="Trading",O1456,0))</f>
        <v/>
      </c>
      <c r="S1456" s="19">
        <f>IF(I1456="","",IF(AND(I1456="Gasto",K1456="Variable",J1456&lt;&gt;"Trading",O1456&gt;0,O1456&lt;=Umbral),1,0))</f>
        <v/>
      </c>
      <c r="T1456" s="20">
        <f>IF(OR(I1456="",E1456=""),"",IF(OR(I1456="Gasto",I1456="Transferencia",I1456="Pago tarjeta"),-1,1)*C1456)</f>
        <v/>
      </c>
      <c r="U1456" s="20">
        <f>IF(OR(G1456="",AND(I1456&lt;&gt;"Transferencia",I1456&lt;&gt;"Pago tarjeta")),"",IF(IFERROR(INDEX(ctaMon,MATCH(G1456,ctaNom,0))&amp;"","DOP")=N1456,C1456,IF(N1456="USD",C1456*TasaUSD,C1456/TasaUSD)))</f>
        <v/>
      </c>
      <c r="V1456" s="20">
        <f>IF(I1456="","",IF(IFERROR(INDEX(ctaLiq,MATCH(E1456,ctaNom,0))="Sí",FALSE),IF(OR(I1456="Gasto",I1456="Transferencia",I1456="Pago tarjeta"),-1,1)*O1456,0)+IF(AND(U1456&lt;&gt;"",IFERROR(INDEX(ctaLiq,MATCH(G1456,ctaNom,0))="Sí",FALSE)),O1456,0))</f>
        <v/>
      </c>
      <c r="W1456" s="19">
        <f>IF(OR(F1456="",I1456=""),"",IF(COUNTIFS(F$6:F1456,F1456,I$6:I1456,"?*")=1,MAX(W$5:W1455)+1,""))</f>
        <v/>
      </c>
    </row>
    <row r="1457">
      <c r="B1457" s="15" t="n"/>
      <c r="C1457" s="16" t="n"/>
      <c r="D1457" s="17" t="n"/>
      <c r="E1457" s="17" t="n"/>
      <c r="F1457" s="17" t="n"/>
      <c r="G1457" s="17" t="n"/>
      <c r="H1457" s="18">
        <f>IF(AND(B1457="",C1457="",D1457="",E1457=""),"",IF(B1457="","⚠ Falta fecha",IF(C1457="","⚠ Falta monto",IF(D1457="","⚠ Falta categoría",IF(ISNA(MATCH(D1457,catNom,0)),"⚠ Categoría no existe",IF(E1457="","⚠ Falta cuenta",IF(ISNA(MATCH(E1457,ctaNom,0)),"⚠ Cuenta no existe",IF(AND(OR(I1457="Transferencia",I1457="Pago tarjeta"),G1457=""),"⚠ Indica la cuenta «Hacia»",IF(AND(G1457&lt;&gt;"",G1457=E1457),"⚠ «Hacia» igual a la cuenta",IF(AND(G1457&lt;&gt;"",ISNA(MATCH(G1457,ctaNom,0))),"⚠ «Hacia» no existe",IF(AND(I1457="Pago tarjeta",IFERROR(INDEX(ctaTipo,MATCH(G1457,ctaNom,0)),"")&lt;&gt;"Tarjeta de crédito"),"⚠ «Hacia» debe ser la tarjeta",IF(AND(I1457="Trading",IFERROR(INDEX(ctaTipo,MATCH(E1457,ctaNom,0)),"")&lt;&gt;"Cuenta de trading"),"⚠ Usa la cuenta de trading","✓"))))))))))))</f>
        <v/>
      </c>
      <c r="I1457" s="19">
        <f>IF(OR(B1457="",C1457="",D1457=""),"",IFERROR(INDEX(catTipo,MATCH(D1457,catNom,0))&amp;"",""))</f>
        <v/>
      </c>
      <c r="J1457" s="19">
        <f>IF(I1457="","",IFERROR(INDEX(catGrupo,MATCH(D1457,catNom,0))&amp;"",""))</f>
        <v/>
      </c>
      <c r="K1457" s="19">
        <f>IF(I1457="Gasto",IF(IFERROR(INDEX(catClas,MATCH(D1457,catNom,0))&amp;"","")="","Variable",IFERROR(INDEX(catClas,MATCH(D1457,catNom,0))&amp;"","")),"")</f>
        <v/>
      </c>
      <c r="L1457" s="19">
        <f>IF(I1457="","",IFERROR(INDEX(catAlim,MATCH(D1457,catNom,0))&amp;"",""))</f>
        <v/>
      </c>
      <c r="M1457" s="19">
        <f>IF(I1457="","",IFERROR(INDEX(catComida,MATCH(D1457,catNom,0))&amp;"",""))</f>
        <v/>
      </c>
      <c r="N1457" s="19">
        <f>IF(I1457="","",IFERROR(INDEX(ctaMon,MATCH(E1457,ctaNom,0))&amp;"","DOP"))</f>
        <v/>
      </c>
      <c r="O1457" s="20">
        <f>IF(I1457="","",C1457*IF(N1457="USD",TasaUSD,1))</f>
        <v/>
      </c>
      <c r="P1457" s="20">
        <f>IF(I1457="","",IF(I1457="Gasto",O1457,0))</f>
        <v/>
      </c>
      <c r="Q1457" s="20">
        <f>IF(I1457="","",IF(I1457="Ingreso",O1457,0))</f>
        <v/>
      </c>
      <c r="R1457" s="20">
        <f>IF(I1457="","",IF(I1457="Trading",O1457,0))</f>
        <v/>
      </c>
      <c r="S1457" s="19">
        <f>IF(I1457="","",IF(AND(I1457="Gasto",K1457="Variable",J1457&lt;&gt;"Trading",O1457&gt;0,O1457&lt;=Umbral),1,0))</f>
        <v/>
      </c>
      <c r="T1457" s="20">
        <f>IF(OR(I1457="",E1457=""),"",IF(OR(I1457="Gasto",I1457="Transferencia",I1457="Pago tarjeta"),-1,1)*C1457)</f>
        <v/>
      </c>
      <c r="U1457" s="20">
        <f>IF(OR(G1457="",AND(I1457&lt;&gt;"Transferencia",I1457&lt;&gt;"Pago tarjeta")),"",IF(IFERROR(INDEX(ctaMon,MATCH(G1457,ctaNom,0))&amp;"","DOP")=N1457,C1457,IF(N1457="USD",C1457*TasaUSD,C1457/TasaUSD)))</f>
        <v/>
      </c>
      <c r="V1457" s="20">
        <f>IF(I1457="","",IF(IFERROR(INDEX(ctaLiq,MATCH(E1457,ctaNom,0))="Sí",FALSE),IF(OR(I1457="Gasto",I1457="Transferencia",I1457="Pago tarjeta"),-1,1)*O1457,0)+IF(AND(U1457&lt;&gt;"",IFERROR(INDEX(ctaLiq,MATCH(G1457,ctaNom,0))="Sí",FALSE)),O1457,0))</f>
        <v/>
      </c>
      <c r="W1457" s="19">
        <f>IF(OR(F1457="",I1457=""),"",IF(COUNTIFS(F$6:F1457,F1457,I$6:I1457,"?*")=1,MAX(W$5:W1456)+1,""))</f>
        <v/>
      </c>
    </row>
    <row r="1458">
      <c r="B1458" s="15" t="n"/>
      <c r="C1458" s="16" t="n"/>
      <c r="D1458" s="17" t="n"/>
      <c r="E1458" s="17" t="n"/>
      <c r="F1458" s="17" t="n"/>
      <c r="G1458" s="17" t="n"/>
      <c r="H1458" s="18">
        <f>IF(AND(B1458="",C1458="",D1458="",E1458=""),"",IF(B1458="","⚠ Falta fecha",IF(C1458="","⚠ Falta monto",IF(D1458="","⚠ Falta categoría",IF(ISNA(MATCH(D1458,catNom,0)),"⚠ Categoría no existe",IF(E1458="","⚠ Falta cuenta",IF(ISNA(MATCH(E1458,ctaNom,0)),"⚠ Cuenta no existe",IF(AND(OR(I1458="Transferencia",I1458="Pago tarjeta"),G1458=""),"⚠ Indica la cuenta «Hacia»",IF(AND(G1458&lt;&gt;"",G1458=E1458),"⚠ «Hacia» igual a la cuenta",IF(AND(G1458&lt;&gt;"",ISNA(MATCH(G1458,ctaNom,0))),"⚠ «Hacia» no existe",IF(AND(I1458="Pago tarjeta",IFERROR(INDEX(ctaTipo,MATCH(G1458,ctaNom,0)),"")&lt;&gt;"Tarjeta de crédito"),"⚠ «Hacia» debe ser la tarjeta",IF(AND(I1458="Trading",IFERROR(INDEX(ctaTipo,MATCH(E1458,ctaNom,0)),"")&lt;&gt;"Cuenta de trading"),"⚠ Usa la cuenta de trading","✓"))))))))))))</f>
        <v/>
      </c>
      <c r="I1458" s="19">
        <f>IF(OR(B1458="",C1458="",D1458=""),"",IFERROR(INDEX(catTipo,MATCH(D1458,catNom,0))&amp;"",""))</f>
        <v/>
      </c>
      <c r="J1458" s="19">
        <f>IF(I1458="","",IFERROR(INDEX(catGrupo,MATCH(D1458,catNom,0))&amp;"",""))</f>
        <v/>
      </c>
      <c r="K1458" s="19">
        <f>IF(I1458="Gasto",IF(IFERROR(INDEX(catClas,MATCH(D1458,catNom,0))&amp;"","")="","Variable",IFERROR(INDEX(catClas,MATCH(D1458,catNom,0))&amp;"","")),"")</f>
        <v/>
      </c>
      <c r="L1458" s="19">
        <f>IF(I1458="","",IFERROR(INDEX(catAlim,MATCH(D1458,catNom,0))&amp;"",""))</f>
        <v/>
      </c>
      <c r="M1458" s="19">
        <f>IF(I1458="","",IFERROR(INDEX(catComida,MATCH(D1458,catNom,0))&amp;"",""))</f>
        <v/>
      </c>
      <c r="N1458" s="19">
        <f>IF(I1458="","",IFERROR(INDEX(ctaMon,MATCH(E1458,ctaNom,0))&amp;"","DOP"))</f>
        <v/>
      </c>
      <c r="O1458" s="20">
        <f>IF(I1458="","",C1458*IF(N1458="USD",TasaUSD,1))</f>
        <v/>
      </c>
      <c r="P1458" s="20">
        <f>IF(I1458="","",IF(I1458="Gasto",O1458,0))</f>
        <v/>
      </c>
      <c r="Q1458" s="20">
        <f>IF(I1458="","",IF(I1458="Ingreso",O1458,0))</f>
        <v/>
      </c>
      <c r="R1458" s="20">
        <f>IF(I1458="","",IF(I1458="Trading",O1458,0))</f>
        <v/>
      </c>
      <c r="S1458" s="19">
        <f>IF(I1458="","",IF(AND(I1458="Gasto",K1458="Variable",J1458&lt;&gt;"Trading",O1458&gt;0,O1458&lt;=Umbral),1,0))</f>
        <v/>
      </c>
      <c r="T1458" s="20">
        <f>IF(OR(I1458="",E1458=""),"",IF(OR(I1458="Gasto",I1458="Transferencia",I1458="Pago tarjeta"),-1,1)*C1458)</f>
        <v/>
      </c>
      <c r="U1458" s="20">
        <f>IF(OR(G1458="",AND(I1458&lt;&gt;"Transferencia",I1458&lt;&gt;"Pago tarjeta")),"",IF(IFERROR(INDEX(ctaMon,MATCH(G1458,ctaNom,0))&amp;"","DOP")=N1458,C1458,IF(N1458="USD",C1458*TasaUSD,C1458/TasaUSD)))</f>
        <v/>
      </c>
      <c r="V1458" s="20">
        <f>IF(I1458="","",IF(IFERROR(INDEX(ctaLiq,MATCH(E1458,ctaNom,0))="Sí",FALSE),IF(OR(I1458="Gasto",I1458="Transferencia",I1458="Pago tarjeta"),-1,1)*O1458,0)+IF(AND(U1458&lt;&gt;"",IFERROR(INDEX(ctaLiq,MATCH(G1458,ctaNom,0))="Sí",FALSE)),O1458,0))</f>
        <v/>
      </c>
      <c r="W1458" s="19">
        <f>IF(OR(F1458="",I1458=""),"",IF(COUNTIFS(F$6:F1458,F1458,I$6:I1458,"?*")=1,MAX(W$5:W1457)+1,""))</f>
        <v/>
      </c>
    </row>
    <row r="1459">
      <c r="B1459" s="15" t="n"/>
      <c r="C1459" s="16" t="n"/>
      <c r="D1459" s="17" t="n"/>
      <c r="E1459" s="17" t="n"/>
      <c r="F1459" s="17" t="n"/>
      <c r="G1459" s="17" t="n"/>
      <c r="H1459" s="18">
        <f>IF(AND(B1459="",C1459="",D1459="",E1459=""),"",IF(B1459="","⚠ Falta fecha",IF(C1459="","⚠ Falta monto",IF(D1459="","⚠ Falta categoría",IF(ISNA(MATCH(D1459,catNom,0)),"⚠ Categoría no existe",IF(E1459="","⚠ Falta cuenta",IF(ISNA(MATCH(E1459,ctaNom,0)),"⚠ Cuenta no existe",IF(AND(OR(I1459="Transferencia",I1459="Pago tarjeta"),G1459=""),"⚠ Indica la cuenta «Hacia»",IF(AND(G1459&lt;&gt;"",G1459=E1459),"⚠ «Hacia» igual a la cuenta",IF(AND(G1459&lt;&gt;"",ISNA(MATCH(G1459,ctaNom,0))),"⚠ «Hacia» no existe",IF(AND(I1459="Pago tarjeta",IFERROR(INDEX(ctaTipo,MATCH(G1459,ctaNom,0)),"")&lt;&gt;"Tarjeta de crédito"),"⚠ «Hacia» debe ser la tarjeta",IF(AND(I1459="Trading",IFERROR(INDEX(ctaTipo,MATCH(E1459,ctaNom,0)),"")&lt;&gt;"Cuenta de trading"),"⚠ Usa la cuenta de trading","✓"))))))))))))</f>
        <v/>
      </c>
      <c r="I1459" s="19">
        <f>IF(OR(B1459="",C1459="",D1459=""),"",IFERROR(INDEX(catTipo,MATCH(D1459,catNom,0))&amp;"",""))</f>
        <v/>
      </c>
      <c r="J1459" s="19">
        <f>IF(I1459="","",IFERROR(INDEX(catGrupo,MATCH(D1459,catNom,0))&amp;"",""))</f>
        <v/>
      </c>
      <c r="K1459" s="19">
        <f>IF(I1459="Gasto",IF(IFERROR(INDEX(catClas,MATCH(D1459,catNom,0))&amp;"","")="","Variable",IFERROR(INDEX(catClas,MATCH(D1459,catNom,0))&amp;"","")),"")</f>
        <v/>
      </c>
      <c r="L1459" s="19">
        <f>IF(I1459="","",IFERROR(INDEX(catAlim,MATCH(D1459,catNom,0))&amp;"",""))</f>
        <v/>
      </c>
      <c r="M1459" s="19">
        <f>IF(I1459="","",IFERROR(INDEX(catComida,MATCH(D1459,catNom,0))&amp;"",""))</f>
        <v/>
      </c>
      <c r="N1459" s="19">
        <f>IF(I1459="","",IFERROR(INDEX(ctaMon,MATCH(E1459,ctaNom,0))&amp;"","DOP"))</f>
        <v/>
      </c>
      <c r="O1459" s="20">
        <f>IF(I1459="","",C1459*IF(N1459="USD",TasaUSD,1))</f>
        <v/>
      </c>
      <c r="P1459" s="20">
        <f>IF(I1459="","",IF(I1459="Gasto",O1459,0))</f>
        <v/>
      </c>
      <c r="Q1459" s="20">
        <f>IF(I1459="","",IF(I1459="Ingreso",O1459,0))</f>
        <v/>
      </c>
      <c r="R1459" s="20">
        <f>IF(I1459="","",IF(I1459="Trading",O1459,0))</f>
        <v/>
      </c>
      <c r="S1459" s="19">
        <f>IF(I1459="","",IF(AND(I1459="Gasto",K1459="Variable",J1459&lt;&gt;"Trading",O1459&gt;0,O1459&lt;=Umbral),1,0))</f>
        <v/>
      </c>
      <c r="T1459" s="20">
        <f>IF(OR(I1459="",E1459=""),"",IF(OR(I1459="Gasto",I1459="Transferencia",I1459="Pago tarjeta"),-1,1)*C1459)</f>
        <v/>
      </c>
      <c r="U1459" s="20">
        <f>IF(OR(G1459="",AND(I1459&lt;&gt;"Transferencia",I1459&lt;&gt;"Pago tarjeta")),"",IF(IFERROR(INDEX(ctaMon,MATCH(G1459,ctaNom,0))&amp;"","DOP")=N1459,C1459,IF(N1459="USD",C1459*TasaUSD,C1459/TasaUSD)))</f>
        <v/>
      </c>
      <c r="V1459" s="20">
        <f>IF(I1459="","",IF(IFERROR(INDEX(ctaLiq,MATCH(E1459,ctaNom,0))="Sí",FALSE),IF(OR(I1459="Gasto",I1459="Transferencia",I1459="Pago tarjeta"),-1,1)*O1459,0)+IF(AND(U1459&lt;&gt;"",IFERROR(INDEX(ctaLiq,MATCH(G1459,ctaNom,0))="Sí",FALSE)),O1459,0))</f>
        <v/>
      </c>
      <c r="W1459" s="19">
        <f>IF(OR(F1459="",I1459=""),"",IF(COUNTIFS(F$6:F1459,F1459,I$6:I1459,"?*")=1,MAX(W$5:W1458)+1,""))</f>
        <v/>
      </c>
    </row>
    <row r="1460">
      <c r="B1460" s="15" t="n"/>
      <c r="C1460" s="16" t="n"/>
      <c r="D1460" s="17" t="n"/>
      <c r="E1460" s="17" t="n"/>
      <c r="F1460" s="17" t="n"/>
      <c r="G1460" s="17" t="n"/>
      <c r="H1460" s="18">
        <f>IF(AND(B1460="",C1460="",D1460="",E1460=""),"",IF(B1460="","⚠ Falta fecha",IF(C1460="","⚠ Falta monto",IF(D1460="","⚠ Falta categoría",IF(ISNA(MATCH(D1460,catNom,0)),"⚠ Categoría no existe",IF(E1460="","⚠ Falta cuenta",IF(ISNA(MATCH(E1460,ctaNom,0)),"⚠ Cuenta no existe",IF(AND(OR(I1460="Transferencia",I1460="Pago tarjeta"),G1460=""),"⚠ Indica la cuenta «Hacia»",IF(AND(G1460&lt;&gt;"",G1460=E1460),"⚠ «Hacia» igual a la cuenta",IF(AND(G1460&lt;&gt;"",ISNA(MATCH(G1460,ctaNom,0))),"⚠ «Hacia» no existe",IF(AND(I1460="Pago tarjeta",IFERROR(INDEX(ctaTipo,MATCH(G1460,ctaNom,0)),"")&lt;&gt;"Tarjeta de crédito"),"⚠ «Hacia» debe ser la tarjeta",IF(AND(I1460="Trading",IFERROR(INDEX(ctaTipo,MATCH(E1460,ctaNom,0)),"")&lt;&gt;"Cuenta de trading"),"⚠ Usa la cuenta de trading","✓"))))))))))))</f>
        <v/>
      </c>
      <c r="I1460" s="19">
        <f>IF(OR(B1460="",C1460="",D1460=""),"",IFERROR(INDEX(catTipo,MATCH(D1460,catNom,0))&amp;"",""))</f>
        <v/>
      </c>
      <c r="J1460" s="19">
        <f>IF(I1460="","",IFERROR(INDEX(catGrupo,MATCH(D1460,catNom,0))&amp;"",""))</f>
        <v/>
      </c>
      <c r="K1460" s="19">
        <f>IF(I1460="Gasto",IF(IFERROR(INDEX(catClas,MATCH(D1460,catNom,0))&amp;"","")="","Variable",IFERROR(INDEX(catClas,MATCH(D1460,catNom,0))&amp;"","")),"")</f>
        <v/>
      </c>
      <c r="L1460" s="19">
        <f>IF(I1460="","",IFERROR(INDEX(catAlim,MATCH(D1460,catNom,0))&amp;"",""))</f>
        <v/>
      </c>
      <c r="M1460" s="19">
        <f>IF(I1460="","",IFERROR(INDEX(catComida,MATCH(D1460,catNom,0))&amp;"",""))</f>
        <v/>
      </c>
      <c r="N1460" s="19">
        <f>IF(I1460="","",IFERROR(INDEX(ctaMon,MATCH(E1460,ctaNom,0))&amp;"","DOP"))</f>
        <v/>
      </c>
      <c r="O1460" s="20">
        <f>IF(I1460="","",C1460*IF(N1460="USD",TasaUSD,1))</f>
        <v/>
      </c>
      <c r="P1460" s="20">
        <f>IF(I1460="","",IF(I1460="Gasto",O1460,0))</f>
        <v/>
      </c>
      <c r="Q1460" s="20">
        <f>IF(I1460="","",IF(I1460="Ingreso",O1460,0))</f>
        <v/>
      </c>
      <c r="R1460" s="20">
        <f>IF(I1460="","",IF(I1460="Trading",O1460,0))</f>
        <v/>
      </c>
      <c r="S1460" s="19">
        <f>IF(I1460="","",IF(AND(I1460="Gasto",K1460="Variable",J1460&lt;&gt;"Trading",O1460&gt;0,O1460&lt;=Umbral),1,0))</f>
        <v/>
      </c>
      <c r="T1460" s="20">
        <f>IF(OR(I1460="",E1460=""),"",IF(OR(I1460="Gasto",I1460="Transferencia",I1460="Pago tarjeta"),-1,1)*C1460)</f>
        <v/>
      </c>
      <c r="U1460" s="20">
        <f>IF(OR(G1460="",AND(I1460&lt;&gt;"Transferencia",I1460&lt;&gt;"Pago tarjeta")),"",IF(IFERROR(INDEX(ctaMon,MATCH(G1460,ctaNom,0))&amp;"","DOP")=N1460,C1460,IF(N1460="USD",C1460*TasaUSD,C1460/TasaUSD)))</f>
        <v/>
      </c>
      <c r="V1460" s="20">
        <f>IF(I1460="","",IF(IFERROR(INDEX(ctaLiq,MATCH(E1460,ctaNom,0))="Sí",FALSE),IF(OR(I1460="Gasto",I1460="Transferencia",I1460="Pago tarjeta"),-1,1)*O1460,0)+IF(AND(U1460&lt;&gt;"",IFERROR(INDEX(ctaLiq,MATCH(G1460,ctaNom,0))="Sí",FALSE)),O1460,0))</f>
        <v/>
      </c>
      <c r="W1460" s="19">
        <f>IF(OR(F1460="",I1460=""),"",IF(COUNTIFS(F$6:F1460,F1460,I$6:I1460,"?*")=1,MAX(W$5:W1459)+1,""))</f>
        <v/>
      </c>
    </row>
    <row r="1461">
      <c r="B1461" s="15" t="n"/>
      <c r="C1461" s="16" t="n"/>
      <c r="D1461" s="17" t="n"/>
      <c r="E1461" s="17" t="n"/>
      <c r="F1461" s="17" t="n"/>
      <c r="G1461" s="17" t="n"/>
      <c r="H1461" s="18">
        <f>IF(AND(B1461="",C1461="",D1461="",E1461=""),"",IF(B1461="","⚠ Falta fecha",IF(C1461="","⚠ Falta monto",IF(D1461="","⚠ Falta categoría",IF(ISNA(MATCH(D1461,catNom,0)),"⚠ Categoría no existe",IF(E1461="","⚠ Falta cuenta",IF(ISNA(MATCH(E1461,ctaNom,0)),"⚠ Cuenta no existe",IF(AND(OR(I1461="Transferencia",I1461="Pago tarjeta"),G1461=""),"⚠ Indica la cuenta «Hacia»",IF(AND(G1461&lt;&gt;"",G1461=E1461),"⚠ «Hacia» igual a la cuenta",IF(AND(G1461&lt;&gt;"",ISNA(MATCH(G1461,ctaNom,0))),"⚠ «Hacia» no existe",IF(AND(I1461="Pago tarjeta",IFERROR(INDEX(ctaTipo,MATCH(G1461,ctaNom,0)),"")&lt;&gt;"Tarjeta de crédito"),"⚠ «Hacia» debe ser la tarjeta",IF(AND(I1461="Trading",IFERROR(INDEX(ctaTipo,MATCH(E1461,ctaNom,0)),"")&lt;&gt;"Cuenta de trading"),"⚠ Usa la cuenta de trading","✓"))))))))))))</f>
        <v/>
      </c>
      <c r="I1461" s="19">
        <f>IF(OR(B1461="",C1461="",D1461=""),"",IFERROR(INDEX(catTipo,MATCH(D1461,catNom,0))&amp;"",""))</f>
        <v/>
      </c>
      <c r="J1461" s="19">
        <f>IF(I1461="","",IFERROR(INDEX(catGrupo,MATCH(D1461,catNom,0))&amp;"",""))</f>
        <v/>
      </c>
      <c r="K1461" s="19">
        <f>IF(I1461="Gasto",IF(IFERROR(INDEX(catClas,MATCH(D1461,catNom,0))&amp;"","")="","Variable",IFERROR(INDEX(catClas,MATCH(D1461,catNom,0))&amp;"","")),"")</f>
        <v/>
      </c>
      <c r="L1461" s="19">
        <f>IF(I1461="","",IFERROR(INDEX(catAlim,MATCH(D1461,catNom,0))&amp;"",""))</f>
        <v/>
      </c>
      <c r="M1461" s="19">
        <f>IF(I1461="","",IFERROR(INDEX(catComida,MATCH(D1461,catNom,0))&amp;"",""))</f>
        <v/>
      </c>
      <c r="N1461" s="19">
        <f>IF(I1461="","",IFERROR(INDEX(ctaMon,MATCH(E1461,ctaNom,0))&amp;"","DOP"))</f>
        <v/>
      </c>
      <c r="O1461" s="20">
        <f>IF(I1461="","",C1461*IF(N1461="USD",TasaUSD,1))</f>
        <v/>
      </c>
      <c r="P1461" s="20">
        <f>IF(I1461="","",IF(I1461="Gasto",O1461,0))</f>
        <v/>
      </c>
      <c r="Q1461" s="20">
        <f>IF(I1461="","",IF(I1461="Ingreso",O1461,0))</f>
        <v/>
      </c>
      <c r="R1461" s="20">
        <f>IF(I1461="","",IF(I1461="Trading",O1461,0))</f>
        <v/>
      </c>
      <c r="S1461" s="19">
        <f>IF(I1461="","",IF(AND(I1461="Gasto",K1461="Variable",J1461&lt;&gt;"Trading",O1461&gt;0,O1461&lt;=Umbral),1,0))</f>
        <v/>
      </c>
      <c r="T1461" s="20">
        <f>IF(OR(I1461="",E1461=""),"",IF(OR(I1461="Gasto",I1461="Transferencia",I1461="Pago tarjeta"),-1,1)*C1461)</f>
        <v/>
      </c>
      <c r="U1461" s="20">
        <f>IF(OR(G1461="",AND(I1461&lt;&gt;"Transferencia",I1461&lt;&gt;"Pago tarjeta")),"",IF(IFERROR(INDEX(ctaMon,MATCH(G1461,ctaNom,0))&amp;"","DOP")=N1461,C1461,IF(N1461="USD",C1461*TasaUSD,C1461/TasaUSD)))</f>
        <v/>
      </c>
      <c r="V1461" s="20">
        <f>IF(I1461="","",IF(IFERROR(INDEX(ctaLiq,MATCH(E1461,ctaNom,0))="Sí",FALSE),IF(OR(I1461="Gasto",I1461="Transferencia",I1461="Pago tarjeta"),-1,1)*O1461,0)+IF(AND(U1461&lt;&gt;"",IFERROR(INDEX(ctaLiq,MATCH(G1461,ctaNom,0))="Sí",FALSE)),O1461,0))</f>
        <v/>
      </c>
      <c r="W1461" s="19">
        <f>IF(OR(F1461="",I1461=""),"",IF(COUNTIFS(F$6:F1461,F1461,I$6:I1461,"?*")=1,MAX(W$5:W1460)+1,""))</f>
        <v/>
      </c>
    </row>
    <row r="1462">
      <c r="B1462" s="15" t="n"/>
      <c r="C1462" s="16" t="n"/>
      <c r="D1462" s="17" t="n"/>
      <c r="E1462" s="17" t="n"/>
      <c r="F1462" s="17" t="n"/>
      <c r="G1462" s="17" t="n"/>
      <c r="H1462" s="18">
        <f>IF(AND(B1462="",C1462="",D1462="",E1462=""),"",IF(B1462="","⚠ Falta fecha",IF(C1462="","⚠ Falta monto",IF(D1462="","⚠ Falta categoría",IF(ISNA(MATCH(D1462,catNom,0)),"⚠ Categoría no existe",IF(E1462="","⚠ Falta cuenta",IF(ISNA(MATCH(E1462,ctaNom,0)),"⚠ Cuenta no existe",IF(AND(OR(I1462="Transferencia",I1462="Pago tarjeta"),G1462=""),"⚠ Indica la cuenta «Hacia»",IF(AND(G1462&lt;&gt;"",G1462=E1462),"⚠ «Hacia» igual a la cuenta",IF(AND(G1462&lt;&gt;"",ISNA(MATCH(G1462,ctaNom,0))),"⚠ «Hacia» no existe",IF(AND(I1462="Pago tarjeta",IFERROR(INDEX(ctaTipo,MATCH(G1462,ctaNom,0)),"")&lt;&gt;"Tarjeta de crédito"),"⚠ «Hacia» debe ser la tarjeta",IF(AND(I1462="Trading",IFERROR(INDEX(ctaTipo,MATCH(E1462,ctaNom,0)),"")&lt;&gt;"Cuenta de trading"),"⚠ Usa la cuenta de trading","✓"))))))))))))</f>
        <v/>
      </c>
      <c r="I1462" s="19">
        <f>IF(OR(B1462="",C1462="",D1462=""),"",IFERROR(INDEX(catTipo,MATCH(D1462,catNom,0))&amp;"",""))</f>
        <v/>
      </c>
      <c r="J1462" s="19">
        <f>IF(I1462="","",IFERROR(INDEX(catGrupo,MATCH(D1462,catNom,0))&amp;"",""))</f>
        <v/>
      </c>
      <c r="K1462" s="19">
        <f>IF(I1462="Gasto",IF(IFERROR(INDEX(catClas,MATCH(D1462,catNom,0))&amp;"","")="","Variable",IFERROR(INDEX(catClas,MATCH(D1462,catNom,0))&amp;"","")),"")</f>
        <v/>
      </c>
      <c r="L1462" s="19">
        <f>IF(I1462="","",IFERROR(INDEX(catAlim,MATCH(D1462,catNom,0))&amp;"",""))</f>
        <v/>
      </c>
      <c r="M1462" s="19">
        <f>IF(I1462="","",IFERROR(INDEX(catComida,MATCH(D1462,catNom,0))&amp;"",""))</f>
        <v/>
      </c>
      <c r="N1462" s="19">
        <f>IF(I1462="","",IFERROR(INDEX(ctaMon,MATCH(E1462,ctaNom,0))&amp;"","DOP"))</f>
        <v/>
      </c>
      <c r="O1462" s="20">
        <f>IF(I1462="","",C1462*IF(N1462="USD",TasaUSD,1))</f>
        <v/>
      </c>
      <c r="P1462" s="20">
        <f>IF(I1462="","",IF(I1462="Gasto",O1462,0))</f>
        <v/>
      </c>
      <c r="Q1462" s="20">
        <f>IF(I1462="","",IF(I1462="Ingreso",O1462,0))</f>
        <v/>
      </c>
      <c r="R1462" s="20">
        <f>IF(I1462="","",IF(I1462="Trading",O1462,0))</f>
        <v/>
      </c>
      <c r="S1462" s="19">
        <f>IF(I1462="","",IF(AND(I1462="Gasto",K1462="Variable",J1462&lt;&gt;"Trading",O1462&gt;0,O1462&lt;=Umbral),1,0))</f>
        <v/>
      </c>
      <c r="T1462" s="20">
        <f>IF(OR(I1462="",E1462=""),"",IF(OR(I1462="Gasto",I1462="Transferencia",I1462="Pago tarjeta"),-1,1)*C1462)</f>
        <v/>
      </c>
      <c r="U1462" s="20">
        <f>IF(OR(G1462="",AND(I1462&lt;&gt;"Transferencia",I1462&lt;&gt;"Pago tarjeta")),"",IF(IFERROR(INDEX(ctaMon,MATCH(G1462,ctaNom,0))&amp;"","DOP")=N1462,C1462,IF(N1462="USD",C1462*TasaUSD,C1462/TasaUSD)))</f>
        <v/>
      </c>
      <c r="V1462" s="20">
        <f>IF(I1462="","",IF(IFERROR(INDEX(ctaLiq,MATCH(E1462,ctaNom,0))="Sí",FALSE),IF(OR(I1462="Gasto",I1462="Transferencia",I1462="Pago tarjeta"),-1,1)*O1462,0)+IF(AND(U1462&lt;&gt;"",IFERROR(INDEX(ctaLiq,MATCH(G1462,ctaNom,0))="Sí",FALSE)),O1462,0))</f>
        <v/>
      </c>
      <c r="W1462" s="19">
        <f>IF(OR(F1462="",I1462=""),"",IF(COUNTIFS(F$6:F1462,F1462,I$6:I1462,"?*")=1,MAX(W$5:W1461)+1,""))</f>
        <v/>
      </c>
    </row>
    <row r="1463">
      <c r="B1463" s="15" t="n"/>
      <c r="C1463" s="16" t="n"/>
      <c r="D1463" s="17" t="n"/>
      <c r="E1463" s="17" t="n"/>
      <c r="F1463" s="17" t="n"/>
      <c r="G1463" s="17" t="n"/>
      <c r="H1463" s="18">
        <f>IF(AND(B1463="",C1463="",D1463="",E1463=""),"",IF(B1463="","⚠ Falta fecha",IF(C1463="","⚠ Falta monto",IF(D1463="","⚠ Falta categoría",IF(ISNA(MATCH(D1463,catNom,0)),"⚠ Categoría no existe",IF(E1463="","⚠ Falta cuenta",IF(ISNA(MATCH(E1463,ctaNom,0)),"⚠ Cuenta no existe",IF(AND(OR(I1463="Transferencia",I1463="Pago tarjeta"),G1463=""),"⚠ Indica la cuenta «Hacia»",IF(AND(G1463&lt;&gt;"",G1463=E1463),"⚠ «Hacia» igual a la cuenta",IF(AND(G1463&lt;&gt;"",ISNA(MATCH(G1463,ctaNom,0))),"⚠ «Hacia» no existe",IF(AND(I1463="Pago tarjeta",IFERROR(INDEX(ctaTipo,MATCH(G1463,ctaNom,0)),"")&lt;&gt;"Tarjeta de crédito"),"⚠ «Hacia» debe ser la tarjeta",IF(AND(I1463="Trading",IFERROR(INDEX(ctaTipo,MATCH(E1463,ctaNom,0)),"")&lt;&gt;"Cuenta de trading"),"⚠ Usa la cuenta de trading","✓"))))))))))))</f>
        <v/>
      </c>
      <c r="I1463" s="19">
        <f>IF(OR(B1463="",C1463="",D1463=""),"",IFERROR(INDEX(catTipo,MATCH(D1463,catNom,0))&amp;"",""))</f>
        <v/>
      </c>
      <c r="J1463" s="19">
        <f>IF(I1463="","",IFERROR(INDEX(catGrupo,MATCH(D1463,catNom,0))&amp;"",""))</f>
        <v/>
      </c>
      <c r="K1463" s="19">
        <f>IF(I1463="Gasto",IF(IFERROR(INDEX(catClas,MATCH(D1463,catNom,0))&amp;"","")="","Variable",IFERROR(INDEX(catClas,MATCH(D1463,catNom,0))&amp;"","")),"")</f>
        <v/>
      </c>
      <c r="L1463" s="19">
        <f>IF(I1463="","",IFERROR(INDEX(catAlim,MATCH(D1463,catNom,0))&amp;"",""))</f>
        <v/>
      </c>
      <c r="M1463" s="19">
        <f>IF(I1463="","",IFERROR(INDEX(catComida,MATCH(D1463,catNom,0))&amp;"",""))</f>
        <v/>
      </c>
      <c r="N1463" s="19">
        <f>IF(I1463="","",IFERROR(INDEX(ctaMon,MATCH(E1463,ctaNom,0))&amp;"","DOP"))</f>
        <v/>
      </c>
      <c r="O1463" s="20">
        <f>IF(I1463="","",C1463*IF(N1463="USD",TasaUSD,1))</f>
        <v/>
      </c>
      <c r="P1463" s="20">
        <f>IF(I1463="","",IF(I1463="Gasto",O1463,0))</f>
        <v/>
      </c>
      <c r="Q1463" s="20">
        <f>IF(I1463="","",IF(I1463="Ingreso",O1463,0))</f>
        <v/>
      </c>
      <c r="R1463" s="20">
        <f>IF(I1463="","",IF(I1463="Trading",O1463,0))</f>
        <v/>
      </c>
      <c r="S1463" s="19">
        <f>IF(I1463="","",IF(AND(I1463="Gasto",K1463="Variable",J1463&lt;&gt;"Trading",O1463&gt;0,O1463&lt;=Umbral),1,0))</f>
        <v/>
      </c>
      <c r="T1463" s="20">
        <f>IF(OR(I1463="",E1463=""),"",IF(OR(I1463="Gasto",I1463="Transferencia",I1463="Pago tarjeta"),-1,1)*C1463)</f>
        <v/>
      </c>
      <c r="U1463" s="20">
        <f>IF(OR(G1463="",AND(I1463&lt;&gt;"Transferencia",I1463&lt;&gt;"Pago tarjeta")),"",IF(IFERROR(INDEX(ctaMon,MATCH(G1463,ctaNom,0))&amp;"","DOP")=N1463,C1463,IF(N1463="USD",C1463*TasaUSD,C1463/TasaUSD)))</f>
        <v/>
      </c>
      <c r="V1463" s="20">
        <f>IF(I1463="","",IF(IFERROR(INDEX(ctaLiq,MATCH(E1463,ctaNom,0))="Sí",FALSE),IF(OR(I1463="Gasto",I1463="Transferencia",I1463="Pago tarjeta"),-1,1)*O1463,0)+IF(AND(U1463&lt;&gt;"",IFERROR(INDEX(ctaLiq,MATCH(G1463,ctaNom,0))="Sí",FALSE)),O1463,0))</f>
        <v/>
      </c>
      <c r="W1463" s="19">
        <f>IF(OR(F1463="",I1463=""),"",IF(COUNTIFS(F$6:F1463,F1463,I$6:I1463,"?*")=1,MAX(W$5:W1462)+1,""))</f>
        <v/>
      </c>
    </row>
    <row r="1464">
      <c r="B1464" s="15" t="n"/>
      <c r="C1464" s="16" t="n"/>
      <c r="D1464" s="17" t="n"/>
      <c r="E1464" s="17" t="n"/>
      <c r="F1464" s="17" t="n"/>
      <c r="G1464" s="17" t="n"/>
      <c r="H1464" s="18">
        <f>IF(AND(B1464="",C1464="",D1464="",E1464=""),"",IF(B1464="","⚠ Falta fecha",IF(C1464="","⚠ Falta monto",IF(D1464="","⚠ Falta categoría",IF(ISNA(MATCH(D1464,catNom,0)),"⚠ Categoría no existe",IF(E1464="","⚠ Falta cuenta",IF(ISNA(MATCH(E1464,ctaNom,0)),"⚠ Cuenta no existe",IF(AND(OR(I1464="Transferencia",I1464="Pago tarjeta"),G1464=""),"⚠ Indica la cuenta «Hacia»",IF(AND(G1464&lt;&gt;"",G1464=E1464),"⚠ «Hacia» igual a la cuenta",IF(AND(G1464&lt;&gt;"",ISNA(MATCH(G1464,ctaNom,0))),"⚠ «Hacia» no existe",IF(AND(I1464="Pago tarjeta",IFERROR(INDEX(ctaTipo,MATCH(G1464,ctaNom,0)),"")&lt;&gt;"Tarjeta de crédito"),"⚠ «Hacia» debe ser la tarjeta",IF(AND(I1464="Trading",IFERROR(INDEX(ctaTipo,MATCH(E1464,ctaNom,0)),"")&lt;&gt;"Cuenta de trading"),"⚠ Usa la cuenta de trading","✓"))))))))))))</f>
        <v/>
      </c>
      <c r="I1464" s="19">
        <f>IF(OR(B1464="",C1464="",D1464=""),"",IFERROR(INDEX(catTipo,MATCH(D1464,catNom,0))&amp;"",""))</f>
        <v/>
      </c>
      <c r="J1464" s="19">
        <f>IF(I1464="","",IFERROR(INDEX(catGrupo,MATCH(D1464,catNom,0))&amp;"",""))</f>
        <v/>
      </c>
      <c r="K1464" s="19">
        <f>IF(I1464="Gasto",IF(IFERROR(INDEX(catClas,MATCH(D1464,catNom,0))&amp;"","")="","Variable",IFERROR(INDEX(catClas,MATCH(D1464,catNom,0))&amp;"","")),"")</f>
        <v/>
      </c>
      <c r="L1464" s="19">
        <f>IF(I1464="","",IFERROR(INDEX(catAlim,MATCH(D1464,catNom,0))&amp;"",""))</f>
        <v/>
      </c>
      <c r="M1464" s="19">
        <f>IF(I1464="","",IFERROR(INDEX(catComida,MATCH(D1464,catNom,0))&amp;"",""))</f>
        <v/>
      </c>
      <c r="N1464" s="19">
        <f>IF(I1464="","",IFERROR(INDEX(ctaMon,MATCH(E1464,ctaNom,0))&amp;"","DOP"))</f>
        <v/>
      </c>
      <c r="O1464" s="20">
        <f>IF(I1464="","",C1464*IF(N1464="USD",TasaUSD,1))</f>
        <v/>
      </c>
      <c r="P1464" s="20">
        <f>IF(I1464="","",IF(I1464="Gasto",O1464,0))</f>
        <v/>
      </c>
      <c r="Q1464" s="20">
        <f>IF(I1464="","",IF(I1464="Ingreso",O1464,0))</f>
        <v/>
      </c>
      <c r="R1464" s="20">
        <f>IF(I1464="","",IF(I1464="Trading",O1464,0))</f>
        <v/>
      </c>
      <c r="S1464" s="19">
        <f>IF(I1464="","",IF(AND(I1464="Gasto",K1464="Variable",J1464&lt;&gt;"Trading",O1464&gt;0,O1464&lt;=Umbral),1,0))</f>
        <v/>
      </c>
      <c r="T1464" s="20">
        <f>IF(OR(I1464="",E1464=""),"",IF(OR(I1464="Gasto",I1464="Transferencia",I1464="Pago tarjeta"),-1,1)*C1464)</f>
        <v/>
      </c>
      <c r="U1464" s="20">
        <f>IF(OR(G1464="",AND(I1464&lt;&gt;"Transferencia",I1464&lt;&gt;"Pago tarjeta")),"",IF(IFERROR(INDEX(ctaMon,MATCH(G1464,ctaNom,0))&amp;"","DOP")=N1464,C1464,IF(N1464="USD",C1464*TasaUSD,C1464/TasaUSD)))</f>
        <v/>
      </c>
      <c r="V1464" s="20">
        <f>IF(I1464="","",IF(IFERROR(INDEX(ctaLiq,MATCH(E1464,ctaNom,0))="Sí",FALSE),IF(OR(I1464="Gasto",I1464="Transferencia",I1464="Pago tarjeta"),-1,1)*O1464,0)+IF(AND(U1464&lt;&gt;"",IFERROR(INDEX(ctaLiq,MATCH(G1464,ctaNom,0))="Sí",FALSE)),O1464,0))</f>
        <v/>
      </c>
      <c r="W1464" s="19">
        <f>IF(OR(F1464="",I1464=""),"",IF(COUNTIFS(F$6:F1464,F1464,I$6:I1464,"?*")=1,MAX(W$5:W1463)+1,""))</f>
        <v/>
      </c>
    </row>
    <row r="1465">
      <c r="B1465" s="15" t="n"/>
      <c r="C1465" s="16" t="n"/>
      <c r="D1465" s="17" t="n"/>
      <c r="E1465" s="17" t="n"/>
      <c r="F1465" s="17" t="n"/>
      <c r="G1465" s="17" t="n"/>
      <c r="H1465" s="18">
        <f>IF(AND(B1465="",C1465="",D1465="",E1465=""),"",IF(B1465="","⚠ Falta fecha",IF(C1465="","⚠ Falta monto",IF(D1465="","⚠ Falta categoría",IF(ISNA(MATCH(D1465,catNom,0)),"⚠ Categoría no existe",IF(E1465="","⚠ Falta cuenta",IF(ISNA(MATCH(E1465,ctaNom,0)),"⚠ Cuenta no existe",IF(AND(OR(I1465="Transferencia",I1465="Pago tarjeta"),G1465=""),"⚠ Indica la cuenta «Hacia»",IF(AND(G1465&lt;&gt;"",G1465=E1465),"⚠ «Hacia» igual a la cuenta",IF(AND(G1465&lt;&gt;"",ISNA(MATCH(G1465,ctaNom,0))),"⚠ «Hacia» no existe",IF(AND(I1465="Pago tarjeta",IFERROR(INDEX(ctaTipo,MATCH(G1465,ctaNom,0)),"")&lt;&gt;"Tarjeta de crédito"),"⚠ «Hacia» debe ser la tarjeta",IF(AND(I1465="Trading",IFERROR(INDEX(ctaTipo,MATCH(E1465,ctaNom,0)),"")&lt;&gt;"Cuenta de trading"),"⚠ Usa la cuenta de trading","✓"))))))))))))</f>
        <v/>
      </c>
      <c r="I1465" s="19">
        <f>IF(OR(B1465="",C1465="",D1465=""),"",IFERROR(INDEX(catTipo,MATCH(D1465,catNom,0))&amp;"",""))</f>
        <v/>
      </c>
      <c r="J1465" s="19">
        <f>IF(I1465="","",IFERROR(INDEX(catGrupo,MATCH(D1465,catNom,0))&amp;"",""))</f>
        <v/>
      </c>
      <c r="K1465" s="19">
        <f>IF(I1465="Gasto",IF(IFERROR(INDEX(catClas,MATCH(D1465,catNom,0))&amp;"","")="","Variable",IFERROR(INDEX(catClas,MATCH(D1465,catNom,0))&amp;"","")),"")</f>
        <v/>
      </c>
      <c r="L1465" s="19">
        <f>IF(I1465="","",IFERROR(INDEX(catAlim,MATCH(D1465,catNom,0))&amp;"",""))</f>
        <v/>
      </c>
      <c r="M1465" s="19">
        <f>IF(I1465="","",IFERROR(INDEX(catComida,MATCH(D1465,catNom,0))&amp;"",""))</f>
        <v/>
      </c>
      <c r="N1465" s="19">
        <f>IF(I1465="","",IFERROR(INDEX(ctaMon,MATCH(E1465,ctaNom,0))&amp;"","DOP"))</f>
        <v/>
      </c>
      <c r="O1465" s="20">
        <f>IF(I1465="","",C1465*IF(N1465="USD",TasaUSD,1))</f>
        <v/>
      </c>
      <c r="P1465" s="20">
        <f>IF(I1465="","",IF(I1465="Gasto",O1465,0))</f>
        <v/>
      </c>
      <c r="Q1465" s="20">
        <f>IF(I1465="","",IF(I1465="Ingreso",O1465,0))</f>
        <v/>
      </c>
      <c r="R1465" s="20">
        <f>IF(I1465="","",IF(I1465="Trading",O1465,0))</f>
        <v/>
      </c>
      <c r="S1465" s="19">
        <f>IF(I1465="","",IF(AND(I1465="Gasto",K1465="Variable",J1465&lt;&gt;"Trading",O1465&gt;0,O1465&lt;=Umbral),1,0))</f>
        <v/>
      </c>
      <c r="T1465" s="20">
        <f>IF(OR(I1465="",E1465=""),"",IF(OR(I1465="Gasto",I1465="Transferencia",I1465="Pago tarjeta"),-1,1)*C1465)</f>
        <v/>
      </c>
      <c r="U1465" s="20">
        <f>IF(OR(G1465="",AND(I1465&lt;&gt;"Transferencia",I1465&lt;&gt;"Pago tarjeta")),"",IF(IFERROR(INDEX(ctaMon,MATCH(G1465,ctaNom,0))&amp;"","DOP")=N1465,C1465,IF(N1465="USD",C1465*TasaUSD,C1465/TasaUSD)))</f>
        <v/>
      </c>
      <c r="V1465" s="20">
        <f>IF(I1465="","",IF(IFERROR(INDEX(ctaLiq,MATCH(E1465,ctaNom,0))="Sí",FALSE),IF(OR(I1465="Gasto",I1465="Transferencia",I1465="Pago tarjeta"),-1,1)*O1465,0)+IF(AND(U1465&lt;&gt;"",IFERROR(INDEX(ctaLiq,MATCH(G1465,ctaNom,0))="Sí",FALSE)),O1465,0))</f>
        <v/>
      </c>
      <c r="W1465" s="19">
        <f>IF(OR(F1465="",I1465=""),"",IF(COUNTIFS(F$6:F1465,F1465,I$6:I1465,"?*")=1,MAX(W$5:W1464)+1,""))</f>
        <v/>
      </c>
    </row>
    <row r="1466">
      <c r="B1466" s="15" t="n"/>
      <c r="C1466" s="16" t="n"/>
      <c r="D1466" s="17" t="n"/>
      <c r="E1466" s="17" t="n"/>
      <c r="F1466" s="17" t="n"/>
      <c r="G1466" s="17" t="n"/>
      <c r="H1466" s="18">
        <f>IF(AND(B1466="",C1466="",D1466="",E1466=""),"",IF(B1466="","⚠ Falta fecha",IF(C1466="","⚠ Falta monto",IF(D1466="","⚠ Falta categoría",IF(ISNA(MATCH(D1466,catNom,0)),"⚠ Categoría no existe",IF(E1466="","⚠ Falta cuenta",IF(ISNA(MATCH(E1466,ctaNom,0)),"⚠ Cuenta no existe",IF(AND(OR(I1466="Transferencia",I1466="Pago tarjeta"),G1466=""),"⚠ Indica la cuenta «Hacia»",IF(AND(G1466&lt;&gt;"",G1466=E1466),"⚠ «Hacia» igual a la cuenta",IF(AND(G1466&lt;&gt;"",ISNA(MATCH(G1466,ctaNom,0))),"⚠ «Hacia» no existe",IF(AND(I1466="Pago tarjeta",IFERROR(INDEX(ctaTipo,MATCH(G1466,ctaNom,0)),"")&lt;&gt;"Tarjeta de crédito"),"⚠ «Hacia» debe ser la tarjeta",IF(AND(I1466="Trading",IFERROR(INDEX(ctaTipo,MATCH(E1466,ctaNom,0)),"")&lt;&gt;"Cuenta de trading"),"⚠ Usa la cuenta de trading","✓"))))))))))))</f>
        <v/>
      </c>
      <c r="I1466" s="19">
        <f>IF(OR(B1466="",C1466="",D1466=""),"",IFERROR(INDEX(catTipo,MATCH(D1466,catNom,0))&amp;"",""))</f>
        <v/>
      </c>
      <c r="J1466" s="19">
        <f>IF(I1466="","",IFERROR(INDEX(catGrupo,MATCH(D1466,catNom,0))&amp;"",""))</f>
        <v/>
      </c>
      <c r="K1466" s="19">
        <f>IF(I1466="Gasto",IF(IFERROR(INDEX(catClas,MATCH(D1466,catNom,0))&amp;"","")="","Variable",IFERROR(INDEX(catClas,MATCH(D1466,catNom,0))&amp;"","")),"")</f>
        <v/>
      </c>
      <c r="L1466" s="19">
        <f>IF(I1466="","",IFERROR(INDEX(catAlim,MATCH(D1466,catNom,0))&amp;"",""))</f>
        <v/>
      </c>
      <c r="M1466" s="19">
        <f>IF(I1466="","",IFERROR(INDEX(catComida,MATCH(D1466,catNom,0))&amp;"",""))</f>
        <v/>
      </c>
      <c r="N1466" s="19">
        <f>IF(I1466="","",IFERROR(INDEX(ctaMon,MATCH(E1466,ctaNom,0))&amp;"","DOP"))</f>
        <v/>
      </c>
      <c r="O1466" s="20">
        <f>IF(I1466="","",C1466*IF(N1466="USD",TasaUSD,1))</f>
        <v/>
      </c>
      <c r="P1466" s="20">
        <f>IF(I1466="","",IF(I1466="Gasto",O1466,0))</f>
        <v/>
      </c>
      <c r="Q1466" s="20">
        <f>IF(I1466="","",IF(I1466="Ingreso",O1466,0))</f>
        <v/>
      </c>
      <c r="R1466" s="20">
        <f>IF(I1466="","",IF(I1466="Trading",O1466,0))</f>
        <v/>
      </c>
      <c r="S1466" s="19">
        <f>IF(I1466="","",IF(AND(I1466="Gasto",K1466="Variable",J1466&lt;&gt;"Trading",O1466&gt;0,O1466&lt;=Umbral),1,0))</f>
        <v/>
      </c>
      <c r="T1466" s="20">
        <f>IF(OR(I1466="",E1466=""),"",IF(OR(I1466="Gasto",I1466="Transferencia",I1466="Pago tarjeta"),-1,1)*C1466)</f>
        <v/>
      </c>
      <c r="U1466" s="20">
        <f>IF(OR(G1466="",AND(I1466&lt;&gt;"Transferencia",I1466&lt;&gt;"Pago tarjeta")),"",IF(IFERROR(INDEX(ctaMon,MATCH(G1466,ctaNom,0))&amp;"","DOP")=N1466,C1466,IF(N1466="USD",C1466*TasaUSD,C1466/TasaUSD)))</f>
        <v/>
      </c>
      <c r="V1466" s="20">
        <f>IF(I1466="","",IF(IFERROR(INDEX(ctaLiq,MATCH(E1466,ctaNom,0))="Sí",FALSE),IF(OR(I1466="Gasto",I1466="Transferencia",I1466="Pago tarjeta"),-1,1)*O1466,0)+IF(AND(U1466&lt;&gt;"",IFERROR(INDEX(ctaLiq,MATCH(G1466,ctaNom,0))="Sí",FALSE)),O1466,0))</f>
        <v/>
      </c>
      <c r="W1466" s="19">
        <f>IF(OR(F1466="",I1466=""),"",IF(COUNTIFS(F$6:F1466,F1466,I$6:I1466,"?*")=1,MAX(W$5:W1465)+1,""))</f>
        <v/>
      </c>
    </row>
    <row r="1467">
      <c r="B1467" s="15" t="n"/>
      <c r="C1467" s="16" t="n"/>
      <c r="D1467" s="17" t="n"/>
      <c r="E1467" s="17" t="n"/>
      <c r="F1467" s="17" t="n"/>
      <c r="G1467" s="17" t="n"/>
      <c r="H1467" s="18">
        <f>IF(AND(B1467="",C1467="",D1467="",E1467=""),"",IF(B1467="","⚠ Falta fecha",IF(C1467="","⚠ Falta monto",IF(D1467="","⚠ Falta categoría",IF(ISNA(MATCH(D1467,catNom,0)),"⚠ Categoría no existe",IF(E1467="","⚠ Falta cuenta",IF(ISNA(MATCH(E1467,ctaNom,0)),"⚠ Cuenta no existe",IF(AND(OR(I1467="Transferencia",I1467="Pago tarjeta"),G1467=""),"⚠ Indica la cuenta «Hacia»",IF(AND(G1467&lt;&gt;"",G1467=E1467),"⚠ «Hacia» igual a la cuenta",IF(AND(G1467&lt;&gt;"",ISNA(MATCH(G1467,ctaNom,0))),"⚠ «Hacia» no existe",IF(AND(I1467="Pago tarjeta",IFERROR(INDEX(ctaTipo,MATCH(G1467,ctaNom,0)),"")&lt;&gt;"Tarjeta de crédito"),"⚠ «Hacia» debe ser la tarjeta",IF(AND(I1467="Trading",IFERROR(INDEX(ctaTipo,MATCH(E1467,ctaNom,0)),"")&lt;&gt;"Cuenta de trading"),"⚠ Usa la cuenta de trading","✓"))))))))))))</f>
        <v/>
      </c>
      <c r="I1467" s="19">
        <f>IF(OR(B1467="",C1467="",D1467=""),"",IFERROR(INDEX(catTipo,MATCH(D1467,catNom,0))&amp;"",""))</f>
        <v/>
      </c>
      <c r="J1467" s="19">
        <f>IF(I1467="","",IFERROR(INDEX(catGrupo,MATCH(D1467,catNom,0))&amp;"",""))</f>
        <v/>
      </c>
      <c r="K1467" s="19">
        <f>IF(I1467="Gasto",IF(IFERROR(INDEX(catClas,MATCH(D1467,catNom,0))&amp;"","")="","Variable",IFERROR(INDEX(catClas,MATCH(D1467,catNom,0))&amp;"","")),"")</f>
        <v/>
      </c>
      <c r="L1467" s="19">
        <f>IF(I1467="","",IFERROR(INDEX(catAlim,MATCH(D1467,catNom,0))&amp;"",""))</f>
        <v/>
      </c>
      <c r="M1467" s="19">
        <f>IF(I1467="","",IFERROR(INDEX(catComida,MATCH(D1467,catNom,0))&amp;"",""))</f>
        <v/>
      </c>
      <c r="N1467" s="19">
        <f>IF(I1467="","",IFERROR(INDEX(ctaMon,MATCH(E1467,ctaNom,0))&amp;"","DOP"))</f>
        <v/>
      </c>
      <c r="O1467" s="20">
        <f>IF(I1467="","",C1467*IF(N1467="USD",TasaUSD,1))</f>
        <v/>
      </c>
      <c r="P1467" s="20">
        <f>IF(I1467="","",IF(I1467="Gasto",O1467,0))</f>
        <v/>
      </c>
      <c r="Q1467" s="20">
        <f>IF(I1467="","",IF(I1467="Ingreso",O1467,0))</f>
        <v/>
      </c>
      <c r="R1467" s="20">
        <f>IF(I1467="","",IF(I1467="Trading",O1467,0))</f>
        <v/>
      </c>
      <c r="S1467" s="19">
        <f>IF(I1467="","",IF(AND(I1467="Gasto",K1467="Variable",J1467&lt;&gt;"Trading",O1467&gt;0,O1467&lt;=Umbral),1,0))</f>
        <v/>
      </c>
      <c r="T1467" s="20">
        <f>IF(OR(I1467="",E1467=""),"",IF(OR(I1467="Gasto",I1467="Transferencia",I1467="Pago tarjeta"),-1,1)*C1467)</f>
        <v/>
      </c>
      <c r="U1467" s="20">
        <f>IF(OR(G1467="",AND(I1467&lt;&gt;"Transferencia",I1467&lt;&gt;"Pago tarjeta")),"",IF(IFERROR(INDEX(ctaMon,MATCH(G1467,ctaNom,0))&amp;"","DOP")=N1467,C1467,IF(N1467="USD",C1467*TasaUSD,C1467/TasaUSD)))</f>
        <v/>
      </c>
      <c r="V1467" s="20">
        <f>IF(I1467="","",IF(IFERROR(INDEX(ctaLiq,MATCH(E1467,ctaNom,0))="Sí",FALSE),IF(OR(I1467="Gasto",I1467="Transferencia",I1467="Pago tarjeta"),-1,1)*O1467,0)+IF(AND(U1467&lt;&gt;"",IFERROR(INDEX(ctaLiq,MATCH(G1467,ctaNom,0))="Sí",FALSE)),O1467,0))</f>
        <v/>
      </c>
      <c r="W1467" s="19">
        <f>IF(OR(F1467="",I1467=""),"",IF(COUNTIFS(F$6:F1467,F1467,I$6:I1467,"?*")=1,MAX(W$5:W1466)+1,""))</f>
        <v/>
      </c>
    </row>
    <row r="1468">
      <c r="B1468" s="15" t="n"/>
      <c r="C1468" s="16" t="n"/>
      <c r="D1468" s="17" t="n"/>
      <c r="E1468" s="17" t="n"/>
      <c r="F1468" s="17" t="n"/>
      <c r="G1468" s="17" t="n"/>
      <c r="H1468" s="18">
        <f>IF(AND(B1468="",C1468="",D1468="",E1468=""),"",IF(B1468="","⚠ Falta fecha",IF(C1468="","⚠ Falta monto",IF(D1468="","⚠ Falta categoría",IF(ISNA(MATCH(D1468,catNom,0)),"⚠ Categoría no existe",IF(E1468="","⚠ Falta cuenta",IF(ISNA(MATCH(E1468,ctaNom,0)),"⚠ Cuenta no existe",IF(AND(OR(I1468="Transferencia",I1468="Pago tarjeta"),G1468=""),"⚠ Indica la cuenta «Hacia»",IF(AND(G1468&lt;&gt;"",G1468=E1468),"⚠ «Hacia» igual a la cuenta",IF(AND(G1468&lt;&gt;"",ISNA(MATCH(G1468,ctaNom,0))),"⚠ «Hacia» no existe",IF(AND(I1468="Pago tarjeta",IFERROR(INDEX(ctaTipo,MATCH(G1468,ctaNom,0)),"")&lt;&gt;"Tarjeta de crédito"),"⚠ «Hacia» debe ser la tarjeta",IF(AND(I1468="Trading",IFERROR(INDEX(ctaTipo,MATCH(E1468,ctaNom,0)),"")&lt;&gt;"Cuenta de trading"),"⚠ Usa la cuenta de trading","✓"))))))))))))</f>
        <v/>
      </c>
      <c r="I1468" s="19">
        <f>IF(OR(B1468="",C1468="",D1468=""),"",IFERROR(INDEX(catTipo,MATCH(D1468,catNom,0))&amp;"",""))</f>
        <v/>
      </c>
      <c r="J1468" s="19">
        <f>IF(I1468="","",IFERROR(INDEX(catGrupo,MATCH(D1468,catNom,0))&amp;"",""))</f>
        <v/>
      </c>
      <c r="K1468" s="19">
        <f>IF(I1468="Gasto",IF(IFERROR(INDEX(catClas,MATCH(D1468,catNom,0))&amp;"","")="","Variable",IFERROR(INDEX(catClas,MATCH(D1468,catNom,0))&amp;"","")),"")</f>
        <v/>
      </c>
      <c r="L1468" s="19">
        <f>IF(I1468="","",IFERROR(INDEX(catAlim,MATCH(D1468,catNom,0))&amp;"",""))</f>
        <v/>
      </c>
      <c r="M1468" s="19">
        <f>IF(I1468="","",IFERROR(INDEX(catComida,MATCH(D1468,catNom,0))&amp;"",""))</f>
        <v/>
      </c>
      <c r="N1468" s="19">
        <f>IF(I1468="","",IFERROR(INDEX(ctaMon,MATCH(E1468,ctaNom,0))&amp;"","DOP"))</f>
        <v/>
      </c>
      <c r="O1468" s="20">
        <f>IF(I1468="","",C1468*IF(N1468="USD",TasaUSD,1))</f>
        <v/>
      </c>
      <c r="P1468" s="20">
        <f>IF(I1468="","",IF(I1468="Gasto",O1468,0))</f>
        <v/>
      </c>
      <c r="Q1468" s="20">
        <f>IF(I1468="","",IF(I1468="Ingreso",O1468,0))</f>
        <v/>
      </c>
      <c r="R1468" s="20">
        <f>IF(I1468="","",IF(I1468="Trading",O1468,0))</f>
        <v/>
      </c>
      <c r="S1468" s="19">
        <f>IF(I1468="","",IF(AND(I1468="Gasto",K1468="Variable",J1468&lt;&gt;"Trading",O1468&gt;0,O1468&lt;=Umbral),1,0))</f>
        <v/>
      </c>
      <c r="T1468" s="20">
        <f>IF(OR(I1468="",E1468=""),"",IF(OR(I1468="Gasto",I1468="Transferencia",I1468="Pago tarjeta"),-1,1)*C1468)</f>
        <v/>
      </c>
      <c r="U1468" s="20">
        <f>IF(OR(G1468="",AND(I1468&lt;&gt;"Transferencia",I1468&lt;&gt;"Pago tarjeta")),"",IF(IFERROR(INDEX(ctaMon,MATCH(G1468,ctaNom,0))&amp;"","DOP")=N1468,C1468,IF(N1468="USD",C1468*TasaUSD,C1468/TasaUSD)))</f>
        <v/>
      </c>
      <c r="V1468" s="20">
        <f>IF(I1468="","",IF(IFERROR(INDEX(ctaLiq,MATCH(E1468,ctaNom,0))="Sí",FALSE),IF(OR(I1468="Gasto",I1468="Transferencia",I1468="Pago tarjeta"),-1,1)*O1468,0)+IF(AND(U1468&lt;&gt;"",IFERROR(INDEX(ctaLiq,MATCH(G1468,ctaNom,0))="Sí",FALSE)),O1468,0))</f>
        <v/>
      </c>
      <c r="W1468" s="19">
        <f>IF(OR(F1468="",I1468=""),"",IF(COUNTIFS(F$6:F1468,F1468,I$6:I1468,"?*")=1,MAX(W$5:W1467)+1,""))</f>
        <v/>
      </c>
    </row>
    <row r="1469">
      <c r="B1469" s="15" t="n"/>
      <c r="C1469" s="16" t="n"/>
      <c r="D1469" s="17" t="n"/>
      <c r="E1469" s="17" t="n"/>
      <c r="F1469" s="17" t="n"/>
      <c r="G1469" s="17" t="n"/>
      <c r="H1469" s="18">
        <f>IF(AND(B1469="",C1469="",D1469="",E1469=""),"",IF(B1469="","⚠ Falta fecha",IF(C1469="","⚠ Falta monto",IF(D1469="","⚠ Falta categoría",IF(ISNA(MATCH(D1469,catNom,0)),"⚠ Categoría no existe",IF(E1469="","⚠ Falta cuenta",IF(ISNA(MATCH(E1469,ctaNom,0)),"⚠ Cuenta no existe",IF(AND(OR(I1469="Transferencia",I1469="Pago tarjeta"),G1469=""),"⚠ Indica la cuenta «Hacia»",IF(AND(G1469&lt;&gt;"",G1469=E1469),"⚠ «Hacia» igual a la cuenta",IF(AND(G1469&lt;&gt;"",ISNA(MATCH(G1469,ctaNom,0))),"⚠ «Hacia» no existe",IF(AND(I1469="Pago tarjeta",IFERROR(INDEX(ctaTipo,MATCH(G1469,ctaNom,0)),"")&lt;&gt;"Tarjeta de crédito"),"⚠ «Hacia» debe ser la tarjeta",IF(AND(I1469="Trading",IFERROR(INDEX(ctaTipo,MATCH(E1469,ctaNom,0)),"")&lt;&gt;"Cuenta de trading"),"⚠ Usa la cuenta de trading","✓"))))))))))))</f>
        <v/>
      </c>
      <c r="I1469" s="19">
        <f>IF(OR(B1469="",C1469="",D1469=""),"",IFERROR(INDEX(catTipo,MATCH(D1469,catNom,0))&amp;"",""))</f>
        <v/>
      </c>
      <c r="J1469" s="19">
        <f>IF(I1469="","",IFERROR(INDEX(catGrupo,MATCH(D1469,catNom,0))&amp;"",""))</f>
        <v/>
      </c>
      <c r="K1469" s="19">
        <f>IF(I1469="Gasto",IF(IFERROR(INDEX(catClas,MATCH(D1469,catNom,0))&amp;"","")="","Variable",IFERROR(INDEX(catClas,MATCH(D1469,catNom,0))&amp;"","")),"")</f>
        <v/>
      </c>
      <c r="L1469" s="19">
        <f>IF(I1469="","",IFERROR(INDEX(catAlim,MATCH(D1469,catNom,0))&amp;"",""))</f>
        <v/>
      </c>
      <c r="M1469" s="19">
        <f>IF(I1469="","",IFERROR(INDEX(catComida,MATCH(D1469,catNom,0))&amp;"",""))</f>
        <v/>
      </c>
      <c r="N1469" s="19">
        <f>IF(I1469="","",IFERROR(INDEX(ctaMon,MATCH(E1469,ctaNom,0))&amp;"","DOP"))</f>
        <v/>
      </c>
      <c r="O1469" s="20">
        <f>IF(I1469="","",C1469*IF(N1469="USD",TasaUSD,1))</f>
        <v/>
      </c>
      <c r="P1469" s="20">
        <f>IF(I1469="","",IF(I1469="Gasto",O1469,0))</f>
        <v/>
      </c>
      <c r="Q1469" s="20">
        <f>IF(I1469="","",IF(I1469="Ingreso",O1469,0))</f>
        <v/>
      </c>
      <c r="R1469" s="20">
        <f>IF(I1469="","",IF(I1469="Trading",O1469,0))</f>
        <v/>
      </c>
      <c r="S1469" s="19">
        <f>IF(I1469="","",IF(AND(I1469="Gasto",K1469="Variable",J1469&lt;&gt;"Trading",O1469&gt;0,O1469&lt;=Umbral),1,0))</f>
        <v/>
      </c>
      <c r="T1469" s="20">
        <f>IF(OR(I1469="",E1469=""),"",IF(OR(I1469="Gasto",I1469="Transferencia",I1469="Pago tarjeta"),-1,1)*C1469)</f>
        <v/>
      </c>
      <c r="U1469" s="20">
        <f>IF(OR(G1469="",AND(I1469&lt;&gt;"Transferencia",I1469&lt;&gt;"Pago tarjeta")),"",IF(IFERROR(INDEX(ctaMon,MATCH(G1469,ctaNom,0))&amp;"","DOP")=N1469,C1469,IF(N1469="USD",C1469*TasaUSD,C1469/TasaUSD)))</f>
        <v/>
      </c>
      <c r="V1469" s="20">
        <f>IF(I1469="","",IF(IFERROR(INDEX(ctaLiq,MATCH(E1469,ctaNom,0))="Sí",FALSE),IF(OR(I1469="Gasto",I1469="Transferencia",I1469="Pago tarjeta"),-1,1)*O1469,0)+IF(AND(U1469&lt;&gt;"",IFERROR(INDEX(ctaLiq,MATCH(G1469,ctaNom,0))="Sí",FALSE)),O1469,0))</f>
        <v/>
      </c>
      <c r="W1469" s="19">
        <f>IF(OR(F1469="",I1469=""),"",IF(COUNTIFS(F$6:F1469,F1469,I$6:I1469,"?*")=1,MAX(W$5:W1468)+1,""))</f>
        <v/>
      </c>
    </row>
    <row r="1470">
      <c r="B1470" s="15" t="n"/>
      <c r="C1470" s="16" t="n"/>
      <c r="D1470" s="17" t="n"/>
      <c r="E1470" s="17" t="n"/>
      <c r="F1470" s="17" t="n"/>
      <c r="G1470" s="17" t="n"/>
      <c r="H1470" s="18">
        <f>IF(AND(B1470="",C1470="",D1470="",E1470=""),"",IF(B1470="","⚠ Falta fecha",IF(C1470="","⚠ Falta monto",IF(D1470="","⚠ Falta categoría",IF(ISNA(MATCH(D1470,catNom,0)),"⚠ Categoría no existe",IF(E1470="","⚠ Falta cuenta",IF(ISNA(MATCH(E1470,ctaNom,0)),"⚠ Cuenta no existe",IF(AND(OR(I1470="Transferencia",I1470="Pago tarjeta"),G1470=""),"⚠ Indica la cuenta «Hacia»",IF(AND(G1470&lt;&gt;"",G1470=E1470),"⚠ «Hacia» igual a la cuenta",IF(AND(G1470&lt;&gt;"",ISNA(MATCH(G1470,ctaNom,0))),"⚠ «Hacia» no existe",IF(AND(I1470="Pago tarjeta",IFERROR(INDEX(ctaTipo,MATCH(G1470,ctaNom,0)),"")&lt;&gt;"Tarjeta de crédito"),"⚠ «Hacia» debe ser la tarjeta",IF(AND(I1470="Trading",IFERROR(INDEX(ctaTipo,MATCH(E1470,ctaNom,0)),"")&lt;&gt;"Cuenta de trading"),"⚠ Usa la cuenta de trading","✓"))))))))))))</f>
        <v/>
      </c>
      <c r="I1470" s="19">
        <f>IF(OR(B1470="",C1470="",D1470=""),"",IFERROR(INDEX(catTipo,MATCH(D1470,catNom,0))&amp;"",""))</f>
        <v/>
      </c>
      <c r="J1470" s="19">
        <f>IF(I1470="","",IFERROR(INDEX(catGrupo,MATCH(D1470,catNom,0))&amp;"",""))</f>
        <v/>
      </c>
      <c r="K1470" s="19">
        <f>IF(I1470="Gasto",IF(IFERROR(INDEX(catClas,MATCH(D1470,catNom,0))&amp;"","")="","Variable",IFERROR(INDEX(catClas,MATCH(D1470,catNom,0))&amp;"","")),"")</f>
        <v/>
      </c>
      <c r="L1470" s="19">
        <f>IF(I1470="","",IFERROR(INDEX(catAlim,MATCH(D1470,catNom,0))&amp;"",""))</f>
        <v/>
      </c>
      <c r="M1470" s="19">
        <f>IF(I1470="","",IFERROR(INDEX(catComida,MATCH(D1470,catNom,0))&amp;"",""))</f>
        <v/>
      </c>
      <c r="N1470" s="19">
        <f>IF(I1470="","",IFERROR(INDEX(ctaMon,MATCH(E1470,ctaNom,0))&amp;"","DOP"))</f>
        <v/>
      </c>
      <c r="O1470" s="20">
        <f>IF(I1470="","",C1470*IF(N1470="USD",TasaUSD,1))</f>
        <v/>
      </c>
      <c r="P1470" s="20">
        <f>IF(I1470="","",IF(I1470="Gasto",O1470,0))</f>
        <v/>
      </c>
      <c r="Q1470" s="20">
        <f>IF(I1470="","",IF(I1470="Ingreso",O1470,0))</f>
        <v/>
      </c>
      <c r="R1470" s="20">
        <f>IF(I1470="","",IF(I1470="Trading",O1470,0))</f>
        <v/>
      </c>
      <c r="S1470" s="19">
        <f>IF(I1470="","",IF(AND(I1470="Gasto",K1470="Variable",J1470&lt;&gt;"Trading",O1470&gt;0,O1470&lt;=Umbral),1,0))</f>
        <v/>
      </c>
      <c r="T1470" s="20">
        <f>IF(OR(I1470="",E1470=""),"",IF(OR(I1470="Gasto",I1470="Transferencia",I1470="Pago tarjeta"),-1,1)*C1470)</f>
        <v/>
      </c>
      <c r="U1470" s="20">
        <f>IF(OR(G1470="",AND(I1470&lt;&gt;"Transferencia",I1470&lt;&gt;"Pago tarjeta")),"",IF(IFERROR(INDEX(ctaMon,MATCH(G1470,ctaNom,0))&amp;"","DOP")=N1470,C1470,IF(N1470="USD",C1470*TasaUSD,C1470/TasaUSD)))</f>
        <v/>
      </c>
      <c r="V1470" s="20">
        <f>IF(I1470="","",IF(IFERROR(INDEX(ctaLiq,MATCH(E1470,ctaNom,0))="Sí",FALSE),IF(OR(I1470="Gasto",I1470="Transferencia",I1470="Pago tarjeta"),-1,1)*O1470,0)+IF(AND(U1470&lt;&gt;"",IFERROR(INDEX(ctaLiq,MATCH(G1470,ctaNom,0))="Sí",FALSE)),O1470,0))</f>
        <v/>
      </c>
      <c r="W1470" s="19">
        <f>IF(OR(F1470="",I1470=""),"",IF(COUNTIFS(F$6:F1470,F1470,I$6:I1470,"?*")=1,MAX(W$5:W1469)+1,""))</f>
        <v/>
      </c>
    </row>
    <row r="1471">
      <c r="B1471" s="15" t="n"/>
      <c r="C1471" s="16" t="n"/>
      <c r="D1471" s="17" t="n"/>
      <c r="E1471" s="17" t="n"/>
      <c r="F1471" s="17" t="n"/>
      <c r="G1471" s="17" t="n"/>
      <c r="H1471" s="18">
        <f>IF(AND(B1471="",C1471="",D1471="",E1471=""),"",IF(B1471="","⚠ Falta fecha",IF(C1471="","⚠ Falta monto",IF(D1471="","⚠ Falta categoría",IF(ISNA(MATCH(D1471,catNom,0)),"⚠ Categoría no existe",IF(E1471="","⚠ Falta cuenta",IF(ISNA(MATCH(E1471,ctaNom,0)),"⚠ Cuenta no existe",IF(AND(OR(I1471="Transferencia",I1471="Pago tarjeta"),G1471=""),"⚠ Indica la cuenta «Hacia»",IF(AND(G1471&lt;&gt;"",G1471=E1471),"⚠ «Hacia» igual a la cuenta",IF(AND(G1471&lt;&gt;"",ISNA(MATCH(G1471,ctaNom,0))),"⚠ «Hacia» no existe",IF(AND(I1471="Pago tarjeta",IFERROR(INDEX(ctaTipo,MATCH(G1471,ctaNom,0)),"")&lt;&gt;"Tarjeta de crédito"),"⚠ «Hacia» debe ser la tarjeta",IF(AND(I1471="Trading",IFERROR(INDEX(ctaTipo,MATCH(E1471,ctaNom,0)),"")&lt;&gt;"Cuenta de trading"),"⚠ Usa la cuenta de trading","✓"))))))))))))</f>
        <v/>
      </c>
      <c r="I1471" s="19">
        <f>IF(OR(B1471="",C1471="",D1471=""),"",IFERROR(INDEX(catTipo,MATCH(D1471,catNom,0))&amp;"",""))</f>
        <v/>
      </c>
      <c r="J1471" s="19">
        <f>IF(I1471="","",IFERROR(INDEX(catGrupo,MATCH(D1471,catNom,0))&amp;"",""))</f>
        <v/>
      </c>
      <c r="K1471" s="19">
        <f>IF(I1471="Gasto",IF(IFERROR(INDEX(catClas,MATCH(D1471,catNom,0))&amp;"","")="","Variable",IFERROR(INDEX(catClas,MATCH(D1471,catNom,0))&amp;"","")),"")</f>
        <v/>
      </c>
      <c r="L1471" s="19">
        <f>IF(I1471="","",IFERROR(INDEX(catAlim,MATCH(D1471,catNom,0))&amp;"",""))</f>
        <v/>
      </c>
      <c r="M1471" s="19">
        <f>IF(I1471="","",IFERROR(INDEX(catComida,MATCH(D1471,catNom,0))&amp;"",""))</f>
        <v/>
      </c>
      <c r="N1471" s="19">
        <f>IF(I1471="","",IFERROR(INDEX(ctaMon,MATCH(E1471,ctaNom,0))&amp;"","DOP"))</f>
        <v/>
      </c>
      <c r="O1471" s="20">
        <f>IF(I1471="","",C1471*IF(N1471="USD",TasaUSD,1))</f>
        <v/>
      </c>
      <c r="P1471" s="20">
        <f>IF(I1471="","",IF(I1471="Gasto",O1471,0))</f>
        <v/>
      </c>
      <c r="Q1471" s="20">
        <f>IF(I1471="","",IF(I1471="Ingreso",O1471,0))</f>
        <v/>
      </c>
      <c r="R1471" s="20">
        <f>IF(I1471="","",IF(I1471="Trading",O1471,0))</f>
        <v/>
      </c>
      <c r="S1471" s="19">
        <f>IF(I1471="","",IF(AND(I1471="Gasto",K1471="Variable",J1471&lt;&gt;"Trading",O1471&gt;0,O1471&lt;=Umbral),1,0))</f>
        <v/>
      </c>
      <c r="T1471" s="20">
        <f>IF(OR(I1471="",E1471=""),"",IF(OR(I1471="Gasto",I1471="Transferencia",I1471="Pago tarjeta"),-1,1)*C1471)</f>
        <v/>
      </c>
      <c r="U1471" s="20">
        <f>IF(OR(G1471="",AND(I1471&lt;&gt;"Transferencia",I1471&lt;&gt;"Pago tarjeta")),"",IF(IFERROR(INDEX(ctaMon,MATCH(G1471,ctaNom,0))&amp;"","DOP")=N1471,C1471,IF(N1471="USD",C1471*TasaUSD,C1471/TasaUSD)))</f>
        <v/>
      </c>
      <c r="V1471" s="20">
        <f>IF(I1471="","",IF(IFERROR(INDEX(ctaLiq,MATCH(E1471,ctaNom,0))="Sí",FALSE),IF(OR(I1471="Gasto",I1471="Transferencia",I1471="Pago tarjeta"),-1,1)*O1471,0)+IF(AND(U1471&lt;&gt;"",IFERROR(INDEX(ctaLiq,MATCH(G1471,ctaNom,0))="Sí",FALSE)),O1471,0))</f>
        <v/>
      </c>
      <c r="W1471" s="19">
        <f>IF(OR(F1471="",I1471=""),"",IF(COUNTIFS(F$6:F1471,F1471,I$6:I1471,"?*")=1,MAX(W$5:W1470)+1,""))</f>
        <v/>
      </c>
    </row>
    <row r="1472">
      <c r="B1472" s="15" t="n"/>
      <c r="C1472" s="16" t="n"/>
      <c r="D1472" s="17" t="n"/>
      <c r="E1472" s="17" t="n"/>
      <c r="F1472" s="17" t="n"/>
      <c r="G1472" s="17" t="n"/>
      <c r="H1472" s="18">
        <f>IF(AND(B1472="",C1472="",D1472="",E1472=""),"",IF(B1472="","⚠ Falta fecha",IF(C1472="","⚠ Falta monto",IF(D1472="","⚠ Falta categoría",IF(ISNA(MATCH(D1472,catNom,0)),"⚠ Categoría no existe",IF(E1472="","⚠ Falta cuenta",IF(ISNA(MATCH(E1472,ctaNom,0)),"⚠ Cuenta no existe",IF(AND(OR(I1472="Transferencia",I1472="Pago tarjeta"),G1472=""),"⚠ Indica la cuenta «Hacia»",IF(AND(G1472&lt;&gt;"",G1472=E1472),"⚠ «Hacia» igual a la cuenta",IF(AND(G1472&lt;&gt;"",ISNA(MATCH(G1472,ctaNom,0))),"⚠ «Hacia» no existe",IF(AND(I1472="Pago tarjeta",IFERROR(INDEX(ctaTipo,MATCH(G1472,ctaNom,0)),"")&lt;&gt;"Tarjeta de crédito"),"⚠ «Hacia» debe ser la tarjeta",IF(AND(I1472="Trading",IFERROR(INDEX(ctaTipo,MATCH(E1472,ctaNom,0)),"")&lt;&gt;"Cuenta de trading"),"⚠ Usa la cuenta de trading","✓"))))))))))))</f>
        <v/>
      </c>
      <c r="I1472" s="19">
        <f>IF(OR(B1472="",C1472="",D1472=""),"",IFERROR(INDEX(catTipo,MATCH(D1472,catNom,0))&amp;"",""))</f>
        <v/>
      </c>
      <c r="J1472" s="19">
        <f>IF(I1472="","",IFERROR(INDEX(catGrupo,MATCH(D1472,catNom,0))&amp;"",""))</f>
        <v/>
      </c>
      <c r="K1472" s="19">
        <f>IF(I1472="Gasto",IF(IFERROR(INDEX(catClas,MATCH(D1472,catNom,0))&amp;"","")="","Variable",IFERROR(INDEX(catClas,MATCH(D1472,catNom,0))&amp;"","")),"")</f>
        <v/>
      </c>
      <c r="L1472" s="19">
        <f>IF(I1472="","",IFERROR(INDEX(catAlim,MATCH(D1472,catNom,0))&amp;"",""))</f>
        <v/>
      </c>
      <c r="M1472" s="19">
        <f>IF(I1472="","",IFERROR(INDEX(catComida,MATCH(D1472,catNom,0))&amp;"",""))</f>
        <v/>
      </c>
      <c r="N1472" s="19">
        <f>IF(I1472="","",IFERROR(INDEX(ctaMon,MATCH(E1472,ctaNom,0))&amp;"","DOP"))</f>
        <v/>
      </c>
      <c r="O1472" s="20">
        <f>IF(I1472="","",C1472*IF(N1472="USD",TasaUSD,1))</f>
        <v/>
      </c>
      <c r="P1472" s="20">
        <f>IF(I1472="","",IF(I1472="Gasto",O1472,0))</f>
        <v/>
      </c>
      <c r="Q1472" s="20">
        <f>IF(I1472="","",IF(I1472="Ingreso",O1472,0))</f>
        <v/>
      </c>
      <c r="R1472" s="20">
        <f>IF(I1472="","",IF(I1472="Trading",O1472,0))</f>
        <v/>
      </c>
      <c r="S1472" s="19">
        <f>IF(I1472="","",IF(AND(I1472="Gasto",K1472="Variable",J1472&lt;&gt;"Trading",O1472&gt;0,O1472&lt;=Umbral),1,0))</f>
        <v/>
      </c>
      <c r="T1472" s="20">
        <f>IF(OR(I1472="",E1472=""),"",IF(OR(I1472="Gasto",I1472="Transferencia",I1472="Pago tarjeta"),-1,1)*C1472)</f>
        <v/>
      </c>
      <c r="U1472" s="20">
        <f>IF(OR(G1472="",AND(I1472&lt;&gt;"Transferencia",I1472&lt;&gt;"Pago tarjeta")),"",IF(IFERROR(INDEX(ctaMon,MATCH(G1472,ctaNom,0))&amp;"","DOP")=N1472,C1472,IF(N1472="USD",C1472*TasaUSD,C1472/TasaUSD)))</f>
        <v/>
      </c>
      <c r="V1472" s="20">
        <f>IF(I1472="","",IF(IFERROR(INDEX(ctaLiq,MATCH(E1472,ctaNom,0))="Sí",FALSE),IF(OR(I1472="Gasto",I1472="Transferencia",I1472="Pago tarjeta"),-1,1)*O1472,0)+IF(AND(U1472&lt;&gt;"",IFERROR(INDEX(ctaLiq,MATCH(G1472,ctaNom,0))="Sí",FALSE)),O1472,0))</f>
        <v/>
      </c>
      <c r="W1472" s="19">
        <f>IF(OR(F1472="",I1472=""),"",IF(COUNTIFS(F$6:F1472,F1472,I$6:I1472,"?*")=1,MAX(W$5:W1471)+1,""))</f>
        <v/>
      </c>
    </row>
    <row r="1473">
      <c r="B1473" s="15" t="n"/>
      <c r="C1473" s="16" t="n"/>
      <c r="D1473" s="17" t="n"/>
      <c r="E1473" s="17" t="n"/>
      <c r="F1473" s="17" t="n"/>
      <c r="G1473" s="17" t="n"/>
      <c r="H1473" s="18">
        <f>IF(AND(B1473="",C1473="",D1473="",E1473=""),"",IF(B1473="","⚠ Falta fecha",IF(C1473="","⚠ Falta monto",IF(D1473="","⚠ Falta categoría",IF(ISNA(MATCH(D1473,catNom,0)),"⚠ Categoría no existe",IF(E1473="","⚠ Falta cuenta",IF(ISNA(MATCH(E1473,ctaNom,0)),"⚠ Cuenta no existe",IF(AND(OR(I1473="Transferencia",I1473="Pago tarjeta"),G1473=""),"⚠ Indica la cuenta «Hacia»",IF(AND(G1473&lt;&gt;"",G1473=E1473),"⚠ «Hacia» igual a la cuenta",IF(AND(G1473&lt;&gt;"",ISNA(MATCH(G1473,ctaNom,0))),"⚠ «Hacia» no existe",IF(AND(I1473="Pago tarjeta",IFERROR(INDEX(ctaTipo,MATCH(G1473,ctaNom,0)),"")&lt;&gt;"Tarjeta de crédito"),"⚠ «Hacia» debe ser la tarjeta",IF(AND(I1473="Trading",IFERROR(INDEX(ctaTipo,MATCH(E1473,ctaNom,0)),"")&lt;&gt;"Cuenta de trading"),"⚠ Usa la cuenta de trading","✓"))))))))))))</f>
        <v/>
      </c>
      <c r="I1473" s="19">
        <f>IF(OR(B1473="",C1473="",D1473=""),"",IFERROR(INDEX(catTipo,MATCH(D1473,catNom,0))&amp;"",""))</f>
        <v/>
      </c>
      <c r="J1473" s="19">
        <f>IF(I1473="","",IFERROR(INDEX(catGrupo,MATCH(D1473,catNom,0))&amp;"",""))</f>
        <v/>
      </c>
      <c r="K1473" s="19">
        <f>IF(I1473="Gasto",IF(IFERROR(INDEX(catClas,MATCH(D1473,catNom,0))&amp;"","")="","Variable",IFERROR(INDEX(catClas,MATCH(D1473,catNom,0))&amp;"","")),"")</f>
        <v/>
      </c>
      <c r="L1473" s="19">
        <f>IF(I1473="","",IFERROR(INDEX(catAlim,MATCH(D1473,catNom,0))&amp;"",""))</f>
        <v/>
      </c>
      <c r="M1473" s="19">
        <f>IF(I1473="","",IFERROR(INDEX(catComida,MATCH(D1473,catNom,0))&amp;"",""))</f>
        <v/>
      </c>
      <c r="N1473" s="19">
        <f>IF(I1473="","",IFERROR(INDEX(ctaMon,MATCH(E1473,ctaNom,0))&amp;"","DOP"))</f>
        <v/>
      </c>
      <c r="O1473" s="20">
        <f>IF(I1473="","",C1473*IF(N1473="USD",TasaUSD,1))</f>
        <v/>
      </c>
      <c r="P1473" s="20">
        <f>IF(I1473="","",IF(I1473="Gasto",O1473,0))</f>
        <v/>
      </c>
      <c r="Q1473" s="20">
        <f>IF(I1473="","",IF(I1473="Ingreso",O1473,0))</f>
        <v/>
      </c>
      <c r="R1473" s="20">
        <f>IF(I1473="","",IF(I1473="Trading",O1473,0))</f>
        <v/>
      </c>
      <c r="S1473" s="19">
        <f>IF(I1473="","",IF(AND(I1473="Gasto",K1473="Variable",J1473&lt;&gt;"Trading",O1473&gt;0,O1473&lt;=Umbral),1,0))</f>
        <v/>
      </c>
      <c r="T1473" s="20">
        <f>IF(OR(I1473="",E1473=""),"",IF(OR(I1473="Gasto",I1473="Transferencia",I1473="Pago tarjeta"),-1,1)*C1473)</f>
        <v/>
      </c>
      <c r="U1473" s="20">
        <f>IF(OR(G1473="",AND(I1473&lt;&gt;"Transferencia",I1473&lt;&gt;"Pago tarjeta")),"",IF(IFERROR(INDEX(ctaMon,MATCH(G1473,ctaNom,0))&amp;"","DOP")=N1473,C1473,IF(N1473="USD",C1473*TasaUSD,C1473/TasaUSD)))</f>
        <v/>
      </c>
      <c r="V1473" s="20">
        <f>IF(I1473="","",IF(IFERROR(INDEX(ctaLiq,MATCH(E1473,ctaNom,0))="Sí",FALSE),IF(OR(I1473="Gasto",I1473="Transferencia",I1473="Pago tarjeta"),-1,1)*O1473,0)+IF(AND(U1473&lt;&gt;"",IFERROR(INDEX(ctaLiq,MATCH(G1473,ctaNom,0))="Sí",FALSE)),O1473,0))</f>
        <v/>
      </c>
      <c r="W1473" s="19">
        <f>IF(OR(F1473="",I1473=""),"",IF(COUNTIFS(F$6:F1473,F1473,I$6:I1473,"?*")=1,MAX(W$5:W1472)+1,""))</f>
        <v/>
      </c>
    </row>
    <row r="1474">
      <c r="B1474" s="15" t="n"/>
      <c r="C1474" s="16" t="n"/>
      <c r="D1474" s="17" t="n"/>
      <c r="E1474" s="17" t="n"/>
      <c r="F1474" s="17" t="n"/>
      <c r="G1474" s="17" t="n"/>
      <c r="H1474" s="18">
        <f>IF(AND(B1474="",C1474="",D1474="",E1474=""),"",IF(B1474="","⚠ Falta fecha",IF(C1474="","⚠ Falta monto",IF(D1474="","⚠ Falta categoría",IF(ISNA(MATCH(D1474,catNom,0)),"⚠ Categoría no existe",IF(E1474="","⚠ Falta cuenta",IF(ISNA(MATCH(E1474,ctaNom,0)),"⚠ Cuenta no existe",IF(AND(OR(I1474="Transferencia",I1474="Pago tarjeta"),G1474=""),"⚠ Indica la cuenta «Hacia»",IF(AND(G1474&lt;&gt;"",G1474=E1474),"⚠ «Hacia» igual a la cuenta",IF(AND(G1474&lt;&gt;"",ISNA(MATCH(G1474,ctaNom,0))),"⚠ «Hacia» no existe",IF(AND(I1474="Pago tarjeta",IFERROR(INDEX(ctaTipo,MATCH(G1474,ctaNom,0)),"")&lt;&gt;"Tarjeta de crédito"),"⚠ «Hacia» debe ser la tarjeta",IF(AND(I1474="Trading",IFERROR(INDEX(ctaTipo,MATCH(E1474,ctaNom,0)),"")&lt;&gt;"Cuenta de trading"),"⚠ Usa la cuenta de trading","✓"))))))))))))</f>
        <v/>
      </c>
      <c r="I1474" s="19">
        <f>IF(OR(B1474="",C1474="",D1474=""),"",IFERROR(INDEX(catTipo,MATCH(D1474,catNom,0))&amp;"",""))</f>
        <v/>
      </c>
      <c r="J1474" s="19">
        <f>IF(I1474="","",IFERROR(INDEX(catGrupo,MATCH(D1474,catNom,0))&amp;"",""))</f>
        <v/>
      </c>
      <c r="K1474" s="19">
        <f>IF(I1474="Gasto",IF(IFERROR(INDEX(catClas,MATCH(D1474,catNom,0))&amp;"","")="","Variable",IFERROR(INDEX(catClas,MATCH(D1474,catNom,0))&amp;"","")),"")</f>
        <v/>
      </c>
      <c r="L1474" s="19">
        <f>IF(I1474="","",IFERROR(INDEX(catAlim,MATCH(D1474,catNom,0))&amp;"",""))</f>
        <v/>
      </c>
      <c r="M1474" s="19">
        <f>IF(I1474="","",IFERROR(INDEX(catComida,MATCH(D1474,catNom,0))&amp;"",""))</f>
        <v/>
      </c>
      <c r="N1474" s="19">
        <f>IF(I1474="","",IFERROR(INDEX(ctaMon,MATCH(E1474,ctaNom,0))&amp;"","DOP"))</f>
        <v/>
      </c>
      <c r="O1474" s="20">
        <f>IF(I1474="","",C1474*IF(N1474="USD",TasaUSD,1))</f>
        <v/>
      </c>
      <c r="P1474" s="20">
        <f>IF(I1474="","",IF(I1474="Gasto",O1474,0))</f>
        <v/>
      </c>
      <c r="Q1474" s="20">
        <f>IF(I1474="","",IF(I1474="Ingreso",O1474,0))</f>
        <v/>
      </c>
      <c r="R1474" s="20">
        <f>IF(I1474="","",IF(I1474="Trading",O1474,0))</f>
        <v/>
      </c>
      <c r="S1474" s="19">
        <f>IF(I1474="","",IF(AND(I1474="Gasto",K1474="Variable",J1474&lt;&gt;"Trading",O1474&gt;0,O1474&lt;=Umbral),1,0))</f>
        <v/>
      </c>
      <c r="T1474" s="20">
        <f>IF(OR(I1474="",E1474=""),"",IF(OR(I1474="Gasto",I1474="Transferencia",I1474="Pago tarjeta"),-1,1)*C1474)</f>
        <v/>
      </c>
      <c r="U1474" s="20">
        <f>IF(OR(G1474="",AND(I1474&lt;&gt;"Transferencia",I1474&lt;&gt;"Pago tarjeta")),"",IF(IFERROR(INDEX(ctaMon,MATCH(G1474,ctaNom,0))&amp;"","DOP")=N1474,C1474,IF(N1474="USD",C1474*TasaUSD,C1474/TasaUSD)))</f>
        <v/>
      </c>
      <c r="V1474" s="20">
        <f>IF(I1474="","",IF(IFERROR(INDEX(ctaLiq,MATCH(E1474,ctaNom,0))="Sí",FALSE),IF(OR(I1474="Gasto",I1474="Transferencia",I1474="Pago tarjeta"),-1,1)*O1474,0)+IF(AND(U1474&lt;&gt;"",IFERROR(INDEX(ctaLiq,MATCH(G1474,ctaNom,0))="Sí",FALSE)),O1474,0))</f>
        <v/>
      </c>
      <c r="W1474" s="19">
        <f>IF(OR(F1474="",I1474=""),"",IF(COUNTIFS(F$6:F1474,F1474,I$6:I1474,"?*")=1,MAX(W$5:W1473)+1,""))</f>
        <v/>
      </c>
    </row>
    <row r="1475">
      <c r="B1475" s="15" t="n"/>
      <c r="C1475" s="16" t="n"/>
      <c r="D1475" s="17" t="n"/>
      <c r="E1475" s="17" t="n"/>
      <c r="F1475" s="17" t="n"/>
      <c r="G1475" s="17" t="n"/>
      <c r="H1475" s="18">
        <f>IF(AND(B1475="",C1475="",D1475="",E1475=""),"",IF(B1475="","⚠ Falta fecha",IF(C1475="","⚠ Falta monto",IF(D1475="","⚠ Falta categoría",IF(ISNA(MATCH(D1475,catNom,0)),"⚠ Categoría no existe",IF(E1475="","⚠ Falta cuenta",IF(ISNA(MATCH(E1475,ctaNom,0)),"⚠ Cuenta no existe",IF(AND(OR(I1475="Transferencia",I1475="Pago tarjeta"),G1475=""),"⚠ Indica la cuenta «Hacia»",IF(AND(G1475&lt;&gt;"",G1475=E1475),"⚠ «Hacia» igual a la cuenta",IF(AND(G1475&lt;&gt;"",ISNA(MATCH(G1475,ctaNom,0))),"⚠ «Hacia» no existe",IF(AND(I1475="Pago tarjeta",IFERROR(INDEX(ctaTipo,MATCH(G1475,ctaNom,0)),"")&lt;&gt;"Tarjeta de crédito"),"⚠ «Hacia» debe ser la tarjeta",IF(AND(I1475="Trading",IFERROR(INDEX(ctaTipo,MATCH(E1475,ctaNom,0)),"")&lt;&gt;"Cuenta de trading"),"⚠ Usa la cuenta de trading","✓"))))))))))))</f>
        <v/>
      </c>
      <c r="I1475" s="19">
        <f>IF(OR(B1475="",C1475="",D1475=""),"",IFERROR(INDEX(catTipo,MATCH(D1475,catNom,0))&amp;"",""))</f>
        <v/>
      </c>
      <c r="J1475" s="19">
        <f>IF(I1475="","",IFERROR(INDEX(catGrupo,MATCH(D1475,catNom,0))&amp;"",""))</f>
        <v/>
      </c>
      <c r="K1475" s="19">
        <f>IF(I1475="Gasto",IF(IFERROR(INDEX(catClas,MATCH(D1475,catNom,0))&amp;"","")="","Variable",IFERROR(INDEX(catClas,MATCH(D1475,catNom,0))&amp;"","")),"")</f>
        <v/>
      </c>
      <c r="L1475" s="19">
        <f>IF(I1475="","",IFERROR(INDEX(catAlim,MATCH(D1475,catNom,0))&amp;"",""))</f>
        <v/>
      </c>
      <c r="M1475" s="19">
        <f>IF(I1475="","",IFERROR(INDEX(catComida,MATCH(D1475,catNom,0))&amp;"",""))</f>
        <v/>
      </c>
      <c r="N1475" s="19">
        <f>IF(I1475="","",IFERROR(INDEX(ctaMon,MATCH(E1475,ctaNom,0))&amp;"","DOP"))</f>
        <v/>
      </c>
      <c r="O1475" s="20">
        <f>IF(I1475="","",C1475*IF(N1475="USD",TasaUSD,1))</f>
        <v/>
      </c>
      <c r="P1475" s="20">
        <f>IF(I1475="","",IF(I1475="Gasto",O1475,0))</f>
        <v/>
      </c>
      <c r="Q1475" s="20">
        <f>IF(I1475="","",IF(I1475="Ingreso",O1475,0))</f>
        <v/>
      </c>
      <c r="R1475" s="20">
        <f>IF(I1475="","",IF(I1475="Trading",O1475,0))</f>
        <v/>
      </c>
      <c r="S1475" s="19">
        <f>IF(I1475="","",IF(AND(I1475="Gasto",K1475="Variable",J1475&lt;&gt;"Trading",O1475&gt;0,O1475&lt;=Umbral),1,0))</f>
        <v/>
      </c>
      <c r="T1475" s="20">
        <f>IF(OR(I1475="",E1475=""),"",IF(OR(I1475="Gasto",I1475="Transferencia",I1475="Pago tarjeta"),-1,1)*C1475)</f>
        <v/>
      </c>
      <c r="U1475" s="20">
        <f>IF(OR(G1475="",AND(I1475&lt;&gt;"Transferencia",I1475&lt;&gt;"Pago tarjeta")),"",IF(IFERROR(INDEX(ctaMon,MATCH(G1475,ctaNom,0))&amp;"","DOP")=N1475,C1475,IF(N1475="USD",C1475*TasaUSD,C1475/TasaUSD)))</f>
        <v/>
      </c>
      <c r="V1475" s="20">
        <f>IF(I1475="","",IF(IFERROR(INDEX(ctaLiq,MATCH(E1475,ctaNom,0))="Sí",FALSE),IF(OR(I1475="Gasto",I1475="Transferencia",I1475="Pago tarjeta"),-1,1)*O1475,0)+IF(AND(U1475&lt;&gt;"",IFERROR(INDEX(ctaLiq,MATCH(G1475,ctaNom,0))="Sí",FALSE)),O1475,0))</f>
        <v/>
      </c>
      <c r="W1475" s="19">
        <f>IF(OR(F1475="",I1475=""),"",IF(COUNTIFS(F$6:F1475,F1475,I$6:I1475,"?*")=1,MAX(W$5:W1474)+1,""))</f>
        <v/>
      </c>
    </row>
    <row r="1476">
      <c r="B1476" s="15" t="n"/>
      <c r="C1476" s="16" t="n"/>
      <c r="D1476" s="17" t="n"/>
      <c r="E1476" s="17" t="n"/>
      <c r="F1476" s="17" t="n"/>
      <c r="G1476" s="17" t="n"/>
      <c r="H1476" s="18">
        <f>IF(AND(B1476="",C1476="",D1476="",E1476=""),"",IF(B1476="","⚠ Falta fecha",IF(C1476="","⚠ Falta monto",IF(D1476="","⚠ Falta categoría",IF(ISNA(MATCH(D1476,catNom,0)),"⚠ Categoría no existe",IF(E1476="","⚠ Falta cuenta",IF(ISNA(MATCH(E1476,ctaNom,0)),"⚠ Cuenta no existe",IF(AND(OR(I1476="Transferencia",I1476="Pago tarjeta"),G1476=""),"⚠ Indica la cuenta «Hacia»",IF(AND(G1476&lt;&gt;"",G1476=E1476),"⚠ «Hacia» igual a la cuenta",IF(AND(G1476&lt;&gt;"",ISNA(MATCH(G1476,ctaNom,0))),"⚠ «Hacia» no existe",IF(AND(I1476="Pago tarjeta",IFERROR(INDEX(ctaTipo,MATCH(G1476,ctaNom,0)),"")&lt;&gt;"Tarjeta de crédito"),"⚠ «Hacia» debe ser la tarjeta",IF(AND(I1476="Trading",IFERROR(INDEX(ctaTipo,MATCH(E1476,ctaNom,0)),"")&lt;&gt;"Cuenta de trading"),"⚠ Usa la cuenta de trading","✓"))))))))))))</f>
        <v/>
      </c>
      <c r="I1476" s="19">
        <f>IF(OR(B1476="",C1476="",D1476=""),"",IFERROR(INDEX(catTipo,MATCH(D1476,catNom,0))&amp;"",""))</f>
        <v/>
      </c>
      <c r="J1476" s="19">
        <f>IF(I1476="","",IFERROR(INDEX(catGrupo,MATCH(D1476,catNom,0))&amp;"",""))</f>
        <v/>
      </c>
      <c r="K1476" s="19">
        <f>IF(I1476="Gasto",IF(IFERROR(INDEX(catClas,MATCH(D1476,catNom,0))&amp;"","")="","Variable",IFERROR(INDEX(catClas,MATCH(D1476,catNom,0))&amp;"","")),"")</f>
        <v/>
      </c>
      <c r="L1476" s="19">
        <f>IF(I1476="","",IFERROR(INDEX(catAlim,MATCH(D1476,catNom,0))&amp;"",""))</f>
        <v/>
      </c>
      <c r="M1476" s="19">
        <f>IF(I1476="","",IFERROR(INDEX(catComida,MATCH(D1476,catNom,0))&amp;"",""))</f>
        <v/>
      </c>
      <c r="N1476" s="19">
        <f>IF(I1476="","",IFERROR(INDEX(ctaMon,MATCH(E1476,ctaNom,0))&amp;"","DOP"))</f>
        <v/>
      </c>
      <c r="O1476" s="20">
        <f>IF(I1476="","",C1476*IF(N1476="USD",TasaUSD,1))</f>
        <v/>
      </c>
      <c r="P1476" s="20">
        <f>IF(I1476="","",IF(I1476="Gasto",O1476,0))</f>
        <v/>
      </c>
      <c r="Q1476" s="20">
        <f>IF(I1476="","",IF(I1476="Ingreso",O1476,0))</f>
        <v/>
      </c>
      <c r="R1476" s="20">
        <f>IF(I1476="","",IF(I1476="Trading",O1476,0))</f>
        <v/>
      </c>
      <c r="S1476" s="19">
        <f>IF(I1476="","",IF(AND(I1476="Gasto",K1476="Variable",J1476&lt;&gt;"Trading",O1476&gt;0,O1476&lt;=Umbral),1,0))</f>
        <v/>
      </c>
      <c r="T1476" s="20">
        <f>IF(OR(I1476="",E1476=""),"",IF(OR(I1476="Gasto",I1476="Transferencia",I1476="Pago tarjeta"),-1,1)*C1476)</f>
        <v/>
      </c>
      <c r="U1476" s="20">
        <f>IF(OR(G1476="",AND(I1476&lt;&gt;"Transferencia",I1476&lt;&gt;"Pago tarjeta")),"",IF(IFERROR(INDEX(ctaMon,MATCH(G1476,ctaNom,0))&amp;"","DOP")=N1476,C1476,IF(N1476="USD",C1476*TasaUSD,C1476/TasaUSD)))</f>
        <v/>
      </c>
      <c r="V1476" s="20">
        <f>IF(I1476="","",IF(IFERROR(INDEX(ctaLiq,MATCH(E1476,ctaNom,0))="Sí",FALSE),IF(OR(I1476="Gasto",I1476="Transferencia",I1476="Pago tarjeta"),-1,1)*O1476,0)+IF(AND(U1476&lt;&gt;"",IFERROR(INDEX(ctaLiq,MATCH(G1476,ctaNom,0))="Sí",FALSE)),O1476,0))</f>
        <v/>
      </c>
      <c r="W1476" s="19">
        <f>IF(OR(F1476="",I1476=""),"",IF(COUNTIFS(F$6:F1476,F1476,I$6:I1476,"?*")=1,MAX(W$5:W1475)+1,""))</f>
        <v/>
      </c>
    </row>
    <row r="1477">
      <c r="B1477" s="15" t="n"/>
      <c r="C1477" s="16" t="n"/>
      <c r="D1477" s="17" t="n"/>
      <c r="E1477" s="17" t="n"/>
      <c r="F1477" s="17" t="n"/>
      <c r="G1477" s="17" t="n"/>
      <c r="H1477" s="18">
        <f>IF(AND(B1477="",C1477="",D1477="",E1477=""),"",IF(B1477="","⚠ Falta fecha",IF(C1477="","⚠ Falta monto",IF(D1477="","⚠ Falta categoría",IF(ISNA(MATCH(D1477,catNom,0)),"⚠ Categoría no existe",IF(E1477="","⚠ Falta cuenta",IF(ISNA(MATCH(E1477,ctaNom,0)),"⚠ Cuenta no existe",IF(AND(OR(I1477="Transferencia",I1477="Pago tarjeta"),G1477=""),"⚠ Indica la cuenta «Hacia»",IF(AND(G1477&lt;&gt;"",G1477=E1477),"⚠ «Hacia» igual a la cuenta",IF(AND(G1477&lt;&gt;"",ISNA(MATCH(G1477,ctaNom,0))),"⚠ «Hacia» no existe",IF(AND(I1477="Pago tarjeta",IFERROR(INDEX(ctaTipo,MATCH(G1477,ctaNom,0)),"")&lt;&gt;"Tarjeta de crédito"),"⚠ «Hacia» debe ser la tarjeta",IF(AND(I1477="Trading",IFERROR(INDEX(ctaTipo,MATCH(E1477,ctaNom,0)),"")&lt;&gt;"Cuenta de trading"),"⚠ Usa la cuenta de trading","✓"))))))))))))</f>
        <v/>
      </c>
      <c r="I1477" s="19">
        <f>IF(OR(B1477="",C1477="",D1477=""),"",IFERROR(INDEX(catTipo,MATCH(D1477,catNom,0))&amp;"",""))</f>
        <v/>
      </c>
      <c r="J1477" s="19">
        <f>IF(I1477="","",IFERROR(INDEX(catGrupo,MATCH(D1477,catNom,0))&amp;"",""))</f>
        <v/>
      </c>
      <c r="K1477" s="19">
        <f>IF(I1477="Gasto",IF(IFERROR(INDEX(catClas,MATCH(D1477,catNom,0))&amp;"","")="","Variable",IFERROR(INDEX(catClas,MATCH(D1477,catNom,0))&amp;"","")),"")</f>
        <v/>
      </c>
      <c r="L1477" s="19">
        <f>IF(I1477="","",IFERROR(INDEX(catAlim,MATCH(D1477,catNom,0))&amp;"",""))</f>
        <v/>
      </c>
      <c r="M1477" s="19">
        <f>IF(I1477="","",IFERROR(INDEX(catComida,MATCH(D1477,catNom,0))&amp;"",""))</f>
        <v/>
      </c>
      <c r="N1477" s="19">
        <f>IF(I1477="","",IFERROR(INDEX(ctaMon,MATCH(E1477,ctaNom,0))&amp;"","DOP"))</f>
        <v/>
      </c>
      <c r="O1477" s="20">
        <f>IF(I1477="","",C1477*IF(N1477="USD",TasaUSD,1))</f>
        <v/>
      </c>
      <c r="P1477" s="20">
        <f>IF(I1477="","",IF(I1477="Gasto",O1477,0))</f>
        <v/>
      </c>
      <c r="Q1477" s="20">
        <f>IF(I1477="","",IF(I1477="Ingreso",O1477,0))</f>
        <v/>
      </c>
      <c r="R1477" s="20">
        <f>IF(I1477="","",IF(I1477="Trading",O1477,0))</f>
        <v/>
      </c>
      <c r="S1477" s="19">
        <f>IF(I1477="","",IF(AND(I1477="Gasto",K1477="Variable",J1477&lt;&gt;"Trading",O1477&gt;0,O1477&lt;=Umbral),1,0))</f>
        <v/>
      </c>
      <c r="T1477" s="20">
        <f>IF(OR(I1477="",E1477=""),"",IF(OR(I1477="Gasto",I1477="Transferencia",I1477="Pago tarjeta"),-1,1)*C1477)</f>
        <v/>
      </c>
      <c r="U1477" s="20">
        <f>IF(OR(G1477="",AND(I1477&lt;&gt;"Transferencia",I1477&lt;&gt;"Pago tarjeta")),"",IF(IFERROR(INDEX(ctaMon,MATCH(G1477,ctaNom,0))&amp;"","DOP")=N1477,C1477,IF(N1477="USD",C1477*TasaUSD,C1477/TasaUSD)))</f>
        <v/>
      </c>
      <c r="V1477" s="20">
        <f>IF(I1477="","",IF(IFERROR(INDEX(ctaLiq,MATCH(E1477,ctaNom,0))="Sí",FALSE),IF(OR(I1477="Gasto",I1477="Transferencia",I1477="Pago tarjeta"),-1,1)*O1477,0)+IF(AND(U1477&lt;&gt;"",IFERROR(INDEX(ctaLiq,MATCH(G1477,ctaNom,0))="Sí",FALSE)),O1477,0))</f>
        <v/>
      </c>
      <c r="W1477" s="19">
        <f>IF(OR(F1477="",I1477=""),"",IF(COUNTIFS(F$6:F1477,F1477,I$6:I1477,"?*")=1,MAX(W$5:W1476)+1,""))</f>
        <v/>
      </c>
    </row>
    <row r="1478">
      <c r="B1478" s="15" t="n"/>
      <c r="C1478" s="16" t="n"/>
      <c r="D1478" s="17" t="n"/>
      <c r="E1478" s="17" t="n"/>
      <c r="F1478" s="17" t="n"/>
      <c r="G1478" s="17" t="n"/>
      <c r="H1478" s="18">
        <f>IF(AND(B1478="",C1478="",D1478="",E1478=""),"",IF(B1478="","⚠ Falta fecha",IF(C1478="","⚠ Falta monto",IF(D1478="","⚠ Falta categoría",IF(ISNA(MATCH(D1478,catNom,0)),"⚠ Categoría no existe",IF(E1478="","⚠ Falta cuenta",IF(ISNA(MATCH(E1478,ctaNom,0)),"⚠ Cuenta no existe",IF(AND(OR(I1478="Transferencia",I1478="Pago tarjeta"),G1478=""),"⚠ Indica la cuenta «Hacia»",IF(AND(G1478&lt;&gt;"",G1478=E1478),"⚠ «Hacia» igual a la cuenta",IF(AND(G1478&lt;&gt;"",ISNA(MATCH(G1478,ctaNom,0))),"⚠ «Hacia» no existe",IF(AND(I1478="Pago tarjeta",IFERROR(INDEX(ctaTipo,MATCH(G1478,ctaNom,0)),"")&lt;&gt;"Tarjeta de crédito"),"⚠ «Hacia» debe ser la tarjeta",IF(AND(I1478="Trading",IFERROR(INDEX(ctaTipo,MATCH(E1478,ctaNom,0)),"")&lt;&gt;"Cuenta de trading"),"⚠ Usa la cuenta de trading","✓"))))))))))))</f>
        <v/>
      </c>
      <c r="I1478" s="19">
        <f>IF(OR(B1478="",C1478="",D1478=""),"",IFERROR(INDEX(catTipo,MATCH(D1478,catNom,0))&amp;"",""))</f>
        <v/>
      </c>
      <c r="J1478" s="19">
        <f>IF(I1478="","",IFERROR(INDEX(catGrupo,MATCH(D1478,catNom,0))&amp;"",""))</f>
        <v/>
      </c>
      <c r="K1478" s="19">
        <f>IF(I1478="Gasto",IF(IFERROR(INDEX(catClas,MATCH(D1478,catNom,0))&amp;"","")="","Variable",IFERROR(INDEX(catClas,MATCH(D1478,catNom,0))&amp;"","")),"")</f>
        <v/>
      </c>
      <c r="L1478" s="19">
        <f>IF(I1478="","",IFERROR(INDEX(catAlim,MATCH(D1478,catNom,0))&amp;"",""))</f>
        <v/>
      </c>
      <c r="M1478" s="19">
        <f>IF(I1478="","",IFERROR(INDEX(catComida,MATCH(D1478,catNom,0))&amp;"",""))</f>
        <v/>
      </c>
      <c r="N1478" s="19">
        <f>IF(I1478="","",IFERROR(INDEX(ctaMon,MATCH(E1478,ctaNom,0))&amp;"","DOP"))</f>
        <v/>
      </c>
      <c r="O1478" s="20">
        <f>IF(I1478="","",C1478*IF(N1478="USD",TasaUSD,1))</f>
        <v/>
      </c>
      <c r="P1478" s="20">
        <f>IF(I1478="","",IF(I1478="Gasto",O1478,0))</f>
        <v/>
      </c>
      <c r="Q1478" s="20">
        <f>IF(I1478="","",IF(I1478="Ingreso",O1478,0))</f>
        <v/>
      </c>
      <c r="R1478" s="20">
        <f>IF(I1478="","",IF(I1478="Trading",O1478,0))</f>
        <v/>
      </c>
      <c r="S1478" s="19">
        <f>IF(I1478="","",IF(AND(I1478="Gasto",K1478="Variable",J1478&lt;&gt;"Trading",O1478&gt;0,O1478&lt;=Umbral),1,0))</f>
        <v/>
      </c>
      <c r="T1478" s="20">
        <f>IF(OR(I1478="",E1478=""),"",IF(OR(I1478="Gasto",I1478="Transferencia",I1478="Pago tarjeta"),-1,1)*C1478)</f>
        <v/>
      </c>
      <c r="U1478" s="20">
        <f>IF(OR(G1478="",AND(I1478&lt;&gt;"Transferencia",I1478&lt;&gt;"Pago tarjeta")),"",IF(IFERROR(INDEX(ctaMon,MATCH(G1478,ctaNom,0))&amp;"","DOP")=N1478,C1478,IF(N1478="USD",C1478*TasaUSD,C1478/TasaUSD)))</f>
        <v/>
      </c>
      <c r="V1478" s="20">
        <f>IF(I1478="","",IF(IFERROR(INDEX(ctaLiq,MATCH(E1478,ctaNom,0))="Sí",FALSE),IF(OR(I1478="Gasto",I1478="Transferencia",I1478="Pago tarjeta"),-1,1)*O1478,0)+IF(AND(U1478&lt;&gt;"",IFERROR(INDEX(ctaLiq,MATCH(G1478,ctaNom,0))="Sí",FALSE)),O1478,0))</f>
        <v/>
      </c>
      <c r="W1478" s="19">
        <f>IF(OR(F1478="",I1478=""),"",IF(COUNTIFS(F$6:F1478,F1478,I$6:I1478,"?*")=1,MAX(W$5:W1477)+1,""))</f>
        <v/>
      </c>
    </row>
    <row r="1479">
      <c r="B1479" s="15" t="n"/>
      <c r="C1479" s="16" t="n"/>
      <c r="D1479" s="17" t="n"/>
      <c r="E1479" s="17" t="n"/>
      <c r="F1479" s="17" t="n"/>
      <c r="G1479" s="17" t="n"/>
      <c r="H1479" s="18">
        <f>IF(AND(B1479="",C1479="",D1479="",E1479=""),"",IF(B1479="","⚠ Falta fecha",IF(C1479="","⚠ Falta monto",IF(D1479="","⚠ Falta categoría",IF(ISNA(MATCH(D1479,catNom,0)),"⚠ Categoría no existe",IF(E1479="","⚠ Falta cuenta",IF(ISNA(MATCH(E1479,ctaNom,0)),"⚠ Cuenta no existe",IF(AND(OR(I1479="Transferencia",I1479="Pago tarjeta"),G1479=""),"⚠ Indica la cuenta «Hacia»",IF(AND(G1479&lt;&gt;"",G1479=E1479),"⚠ «Hacia» igual a la cuenta",IF(AND(G1479&lt;&gt;"",ISNA(MATCH(G1479,ctaNom,0))),"⚠ «Hacia» no existe",IF(AND(I1479="Pago tarjeta",IFERROR(INDEX(ctaTipo,MATCH(G1479,ctaNom,0)),"")&lt;&gt;"Tarjeta de crédito"),"⚠ «Hacia» debe ser la tarjeta",IF(AND(I1479="Trading",IFERROR(INDEX(ctaTipo,MATCH(E1479,ctaNom,0)),"")&lt;&gt;"Cuenta de trading"),"⚠ Usa la cuenta de trading","✓"))))))))))))</f>
        <v/>
      </c>
      <c r="I1479" s="19">
        <f>IF(OR(B1479="",C1479="",D1479=""),"",IFERROR(INDEX(catTipo,MATCH(D1479,catNom,0))&amp;"",""))</f>
        <v/>
      </c>
      <c r="J1479" s="19">
        <f>IF(I1479="","",IFERROR(INDEX(catGrupo,MATCH(D1479,catNom,0))&amp;"",""))</f>
        <v/>
      </c>
      <c r="K1479" s="19">
        <f>IF(I1479="Gasto",IF(IFERROR(INDEX(catClas,MATCH(D1479,catNom,0))&amp;"","")="","Variable",IFERROR(INDEX(catClas,MATCH(D1479,catNom,0))&amp;"","")),"")</f>
        <v/>
      </c>
      <c r="L1479" s="19">
        <f>IF(I1479="","",IFERROR(INDEX(catAlim,MATCH(D1479,catNom,0))&amp;"",""))</f>
        <v/>
      </c>
      <c r="M1479" s="19">
        <f>IF(I1479="","",IFERROR(INDEX(catComida,MATCH(D1479,catNom,0))&amp;"",""))</f>
        <v/>
      </c>
      <c r="N1479" s="19">
        <f>IF(I1479="","",IFERROR(INDEX(ctaMon,MATCH(E1479,ctaNom,0))&amp;"","DOP"))</f>
        <v/>
      </c>
      <c r="O1479" s="20">
        <f>IF(I1479="","",C1479*IF(N1479="USD",TasaUSD,1))</f>
        <v/>
      </c>
      <c r="P1479" s="20">
        <f>IF(I1479="","",IF(I1479="Gasto",O1479,0))</f>
        <v/>
      </c>
      <c r="Q1479" s="20">
        <f>IF(I1479="","",IF(I1479="Ingreso",O1479,0))</f>
        <v/>
      </c>
      <c r="R1479" s="20">
        <f>IF(I1479="","",IF(I1479="Trading",O1479,0))</f>
        <v/>
      </c>
      <c r="S1479" s="19">
        <f>IF(I1479="","",IF(AND(I1479="Gasto",K1479="Variable",J1479&lt;&gt;"Trading",O1479&gt;0,O1479&lt;=Umbral),1,0))</f>
        <v/>
      </c>
      <c r="T1479" s="20">
        <f>IF(OR(I1479="",E1479=""),"",IF(OR(I1479="Gasto",I1479="Transferencia",I1479="Pago tarjeta"),-1,1)*C1479)</f>
        <v/>
      </c>
      <c r="U1479" s="20">
        <f>IF(OR(G1479="",AND(I1479&lt;&gt;"Transferencia",I1479&lt;&gt;"Pago tarjeta")),"",IF(IFERROR(INDEX(ctaMon,MATCH(G1479,ctaNom,0))&amp;"","DOP")=N1479,C1479,IF(N1479="USD",C1479*TasaUSD,C1479/TasaUSD)))</f>
        <v/>
      </c>
      <c r="V1479" s="20">
        <f>IF(I1479="","",IF(IFERROR(INDEX(ctaLiq,MATCH(E1479,ctaNom,0))="Sí",FALSE),IF(OR(I1479="Gasto",I1479="Transferencia",I1479="Pago tarjeta"),-1,1)*O1479,0)+IF(AND(U1479&lt;&gt;"",IFERROR(INDEX(ctaLiq,MATCH(G1479,ctaNom,0))="Sí",FALSE)),O1479,0))</f>
        <v/>
      </c>
      <c r="W1479" s="19">
        <f>IF(OR(F1479="",I1479=""),"",IF(COUNTIFS(F$6:F1479,F1479,I$6:I1479,"?*")=1,MAX(W$5:W1478)+1,""))</f>
        <v/>
      </c>
    </row>
    <row r="1480">
      <c r="B1480" s="15" t="n"/>
      <c r="C1480" s="16" t="n"/>
      <c r="D1480" s="17" t="n"/>
      <c r="E1480" s="17" t="n"/>
      <c r="F1480" s="17" t="n"/>
      <c r="G1480" s="17" t="n"/>
      <c r="H1480" s="18">
        <f>IF(AND(B1480="",C1480="",D1480="",E1480=""),"",IF(B1480="","⚠ Falta fecha",IF(C1480="","⚠ Falta monto",IF(D1480="","⚠ Falta categoría",IF(ISNA(MATCH(D1480,catNom,0)),"⚠ Categoría no existe",IF(E1480="","⚠ Falta cuenta",IF(ISNA(MATCH(E1480,ctaNom,0)),"⚠ Cuenta no existe",IF(AND(OR(I1480="Transferencia",I1480="Pago tarjeta"),G1480=""),"⚠ Indica la cuenta «Hacia»",IF(AND(G1480&lt;&gt;"",G1480=E1480),"⚠ «Hacia» igual a la cuenta",IF(AND(G1480&lt;&gt;"",ISNA(MATCH(G1480,ctaNom,0))),"⚠ «Hacia» no existe",IF(AND(I1480="Pago tarjeta",IFERROR(INDEX(ctaTipo,MATCH(G1480,ctaNom,0)),"")&lt;&gt;"Tarjeta de crédito"),"⚠ «Hacia» debe ser la tarjeta",IF(AND(I1480="Trading",IFERROR(INDEX(ctaTipo,MATCH(E1480,ctaNom,0)),"")&lt;&gt;"Cuenta de trading"),"⚠ Usa la cuenta de trading","✓"))))))))))))</f>
        <v/>
      </c>
      <c r="I1480" s="19">
        <f>IF(OR(B1480="",C1480="",D1480=""),"",IFERROR(INDEX(catTipo,MATCH(D1480,catNom,0))&amp;"",""))</f>
        <v/>
      </c>
      <c r="J1480" s="19">
        <f>IF(I1480="","",IFERROR(INDEX(catGrupo,MATCH(D1480,catNom,0))&amp;"",""))</f>
        <v/>
      </c>
      <c r="K1480" s="19">
        <f>IF(I1480="Gasto",IF(IFERROR(INDEX(catClas,MATCH(D1480,catNom,0))&amp;"","")="","Variable",IFERROR(INDEX(catClas,MATCH(D1480,catNom,0))&amp;"","")),"")</f>
        <v/>
      </c>
      <c r="L1480" s="19">
        <f>IF(I1480="","",IFERROR(INDEX(catAlim,MATCH(D1480,catNom,0))&amp;"",""))</f>
        <v/>
      </c>
      <c r="M1480" s="19">
        <f>IF(I1480="","",IFERROR(INDEX(catComida,MATCH(D1480,catNom,0))&amp;"",""))</f>
        <v/>
      </c>
      <c r="N1480" s="19">
        <f>IF(I1480="","",IFERROR(INDEX(ctaMon,MATCH(E1480,ctaNom,0))&amp;"","DOP"))</f>
        <v/>
      </c>
      <c r="O1480" s="20">
        <f>IF(I1480="","",C1480*IF(N1480="USD",TasaUSD,1))</f>
        <v/>
      </c>
      <c r="P1480" s="20">
        <f>IF(I1480="","",IF(I1480="Gasto",O1480,0))</f>
        <v/>
      </c>
      <c r="Q1480" s="20">
        <f>IF(I1480="","",IF(I1480="Ingreso",O1480,0))</f>
        <v/>
      </c>
      <c r="R1480" s="20">
        <f>IF(I1480="","",IF(I1480="Trading",O1480,0))</f>
        <v/>
      </c>
      <c r="S1480" s="19">
        <f>IF(I1480="","",IF(AND(I1480="Gasto",K1480="Variable",J1480&lt;&gt;"Trading",O1480&gt;0,O1480&lt;=Umbral),1,0))</f>
        <v/>
      </c>
      <c r="T1480" s="20">
        <f>IF(OR(I1480="",E1480=""),"",IF(OR(I1480="Gasto",I1480="Transferencia",I1480="Pago tarjeta"),-1,1)*C1480)</f>
        <v/>
      </c>
      <c r="U1480" s="20">
        <f>IF(OR(G1480="",AND(I1480&lt;&gt;"Transferencia",I1480&lt;&gt;"Pago tarjeta")),"",IF(IFERROR(INDEX(ctaMon,MATCH(G1480,ctaNom,0))&amp;"","DOP")=N1480,C1480,IF(N1480="USD",C1480*TasaUSD,C1480/TasaUSD)))</f>
        <v/>
      </c>
      <c r="V1480" s="20">
        <f>IF(I1480="","",IF(IFERROR(INDEX(ctaLiq,MATCH(E1480,ctaNom,0))="Sí",FALSE),IF(OR(I1480="Gasto",I1480="Transferencia",I1480="Pago tarjeta"),-1,1)*O1480,0)+IF(AND(U1480&lt;&gt;"",IFERROR(INDEX(ctaLiq,MATCH(G1480,ctaNom,0))="Sí",FALSE)),O1480,0))</f>
        <v/>
      </c>
      <c r="W1480" s="19">
        <f>IF(OR(F1480="",I1480=""),"",IF(COUNTIFS(F$6:F1480,F1480,I$6:I1480,"?*")=1,MAX(W$5:W1479)+1,""))</f>
        <v/>
      </c>
    </row>
    <row r="1481">
      <c r="B1481" s="15" t="n"/>
      <c r="C1481" s="16" t="n"/>
      <c r="D1481" s="17" t="n"/>
      <c r="E1481" s="17" t="n"/>
      <c r="F1481" s="17" t="n"/>
      <c r="G1481" s="17" t="n"/>
      <c r="H1481" s="18">
        <f>IF(AND(B1481="",C1481="",D1481="",E1481=""),"",IF(B1481="","⚠ Falta fecha",IF(C1481="","⚠ Falta monto",IF(D1481="","⚠ Falta categoría",IF(ISNA(MATCH(D1481,catNom,0)),"⚠ Categoría no existe",IF(E1481="","⚠ Falta cuenta",IF(ISNA(MATCH(E1481,ctaNom,0)),"⚠ Cuenta no existe",IF(AND(OR(I1481="Transferencia",I1481="Pago tarjeta"),G1481=""),"⚠ Indica la cuenta «Hacia»",IF(AND(G1481&lt;&gt;"",G1481=E1481),"⚠ «Hacia» igual a la cuenta",IF(AND(G1481&lt;&gt;"",ISNA(MATCH(G1481,ctaNom,0))),"⚠ «Hacia» no existe",IF(AND(I1481="Pago tarjeta",IFERROR(INDEX(ctaTipo,MATCH(G1481,ctaNom,0)),"")&lt;&gt;"Tarjeta de crédito"),"⚠ «Hacia» debe ser la tarjeta",IF(AND(I1481="Trading",IFERROR(INDEX(ctaTipo,MATCH(E1481,ctaNom,0)),"")&lt;&gt;"Cuenta de trading"),"⚠ Usa la cuenta de trading","✓"))))))))))))</f>
        <v/>
      </c>
      <c r="I1481" s="19">
        <f>IF(OR(B1481="",C1481="",D1481=""),"",IFERROR(INDEX(catTipo,MATCH(D1481,catNom,0))&amp;"",""))</f>
        <v/>
      </c>
      <c r="J1481" s="19">
        <f>IF(I1481="","",IFERROR(INDEX(catGrupo,MATCH(D1481,catNom,0))&amp;"",""))</f>
        <v/>
      </c>
      <c r="K1481" s="19">
        <f>IF(I1481="Gasto",IF(IFERROR(INDEX(catClas,MATCH(D1481,catNom,0))&amp;"","")="","Variable",IFERROR(INDEX(catClas,MATCH(D1481,catNom,0))&amp;"","")),"")</f>
        <v/>
      </c>
      <c r="L1481" s="19">
        <f>IF(I1481="","",IFERROR(INDEX(catAlim,MATCH(D1481,catNom,0))&amp;"",""))</f>
        <v/>
      </c>
      <c r="M1481" s="19">
        <f>IF(I1481="","",IFERROR(INDEX(catComida,MATCH(D1481,catNom,0))&amp;"",""))</f>
        <v/>
      </c>
      <c r="N1481" s="19">
        <f>IF(I1481="","",IFERROR(INDEX(ctaMon,MATCH(E1481,ctaNom,0))&amp;"","DOP"))</f>
        <v/>
      </c>
      <c r="O1481" s="20">
        <f>IF(I1481="","",C1481*IF(N1481="USD",TasaUSD,1))</f>
        <v/>
      </c>
      <c r="P1481" s="20">
        <f>IF(I1481="","",IF(I1481="Gasto",O1481,0))</f>
        <v/>
      </c>
      <c r="Q1481" s="20">
        <f>IF(I1481="","",IF(I1481="Ingreso",O1481,0))</f>
        <v/>
      </c>
      <c r="R1481" s="20">
        <f>IF(I1481="","",IF(I1481="Trading",O1481,0))</f>
        <v/>
      </c>
      <c r="S1481" s="19">
        <f>IF(I1481="","",IF(AND(I1481="Gasto",K1481="Variable",J1481&lt;&gt;"Trading",O1481&gt;0,O1481&lt;=Umbral),1,0))</f>
        <v/>
      </c>
      <c r="T1481" s="20">
        <f>IF(OR(I1481="",E1481=""),"",IF(OR(I1481="Gasto",I1481="Transferencia",I1481="Pago tarjeta"),-1,1)*C1481)</f>
        <v/>
      </c>
      <c r="U1481" s="20">
        <f>IF(OR(G1481="",AND(I1481&lt;&gt;"Transferencia",I1481&lt;&gt;"Pago tarjeta")),"",IF(IFERROR(INDEX(ctaMon,MATCH(G1481,ctaNom,0))&amp;"","DOP")=N1481,C1481,IF(N1481="USD",C1481*TasaUSD,C1481/TasaUSD)))</f>
        <v/>
      </c>
      <c r="V1481" s="20">
        <f>IF(I1481="","",IF(IFERROR(INDEX(ctaLiq,MATCH(E1481,ctaNom,0))="Sí",FALSE),IF(OR(I1481="Gasto",I1481="Transferencia",I1481="Pago tarjeta"),-1,1)*O1481,0)+IF(AND(U1481&lt;&gt;"",IFERROR(INDEX(ctaLiq,MATCH(G1481,ctaNom,0))="Sí",FALSE)),O1481,0))</f>
        <v/>
      </c>
      <c r="W1481" s="19">
        <f>IF(OR(F1481="",I1481=""),"",IF(COUNTIFS(F$6:F1481,F1481,I$6:I1481,"?*")=1,MAX(W$5:W1480)+1,""))</f>
        <v/>
      </c>
    </row>
    <row r="1482">
      <c r="B1482" s="15" t="n"/>
      <c r="C1482" s="16" t="n"/>
      <c r="D1482" s="17" t="n"/>
      <c r="E1482" s="17" t="n"/>
      <c r="F1482" s="17" t="n"/>
      <c r="G1482" s="17" t="n"/>
      <c r="H1482" s="18">
        <f>IF(AND(B1482="",C1482="",D1482="",E1482=""),"",IF(B1482="","⚠ Falta fecha",IF(C1482="","⚠ Falta monto",IF(D1482="","⚠ Falta categoría",IF(ISNA(MATCH(D1482,catNom,0)),"⚠ Categoría no existe",IF(E1482="","⚠ Falta cuenta",IF(ISNA(MATCH(E1482,ctaNom,0)),"⚠ Cuenta no existe",IF(AND(OR(I1482="Transferencia",I1482="Pago tarjeta"),G1482=""),"⚠ Indica la cuenta «Hacia»",IF(AND(G1482&lt;&gt;"",G1482=E1482),"⚠ «Hacia» igual a la cuenta",IF(AND(G1482&lt;&gt;"",ISNA(MATCH(G1482,ctaNom,0))),"⚠ «Hacia» no existe",IF(AND(I1482="Pago tarjeta",IFERROR(INDEX(ctaTipo,MATCH(G1482,ctaNom,0)),"")&lt;&gt;"Tarjeta de crédito"),"⚠ «Hacia» debe ser la tarjeta",IF(AND(I1482="Trading",IFERROR(INDEX(ctaTipo,MATCH(E1482,ctaNom,0)),"")&lt;&gt;"Cuenta de trading"),"⚠ Usa la cuenta de trading","✓"))))))))))))</f>
        <v/>
      </c>
      <c r="I1482" s="19">
        <f>IF(OR(B1482="",C1482="",D1482=""),"",IFERROR(INDEX(catTipo,MATCH(D1482,catNom,0))&amp;"",""))</f>
        <v/>
      </c>
      <c r="J1482" s="19">
        <f>IF(I1482="","",IFERROR(INDEX(catGrupo,MATCH(D1482,catNom,0))&amp;"",""))</f>
        <v/>
      </c>
      <c r="K1482" s="19">
        <f>IF(I1482="Gasto",IF(IFERROR(INDEX(catClas,MATCH(D1482,catNom,0))&amp;"","")="","Variable",IFERROR(INDEX(catClas,MATCH(D1482,catNom,0))&amp;"","")),"")</f>
        <v/>
      </c>
      <c r="L1482" s="19">
        <f>IF(I1482="","",IFERROR(INDEX(catAlim,MATCH(D1482,catNom,0))&amp;"",""))</f>
        <v/>
      </c>
      <c r="M1482" s="19">
        <f>IF(I1482="","",IFERROR(INDEX(catComida,MATCH(D1482,catNom,0))&amp;"",""))</f>
        <v/>
      </c>
      <c r="N1482" s="19">
        <f>IF(I1482="","",IFERROR(INDEX(ctaMon,MATCH(E1482,ctaNom,0))&amp;"","DOP"))</f>
        <v/>
      </c>
      <c r="O1482" s="20">
        <f>IF(I1482="","",C1482*IF(N1482="USD",TasaUSD,1))</f>
        <v/>
      </c>
      <c r="P1482" s="20">
        <f>IF(I1482="","",IF(I1482="Gasto",O1482,0))</f>
        <v/>
      </c>
      <c r="Q1482" s="20">
        <f>IF(I1482="","",IF(I1482="Ingreso",O1482,0))</f>
        <v/>
      </c>
      <c r="R1482" s="20">
        <f>IF(I1482="","",IF(I1482="Trading",O1482,0))</f>
        <v/>
      </c>
      <c r="S1482" s="19">
        <f>IF(I1482="","",IF(AND(I1482="Gasto",K1482="Variable",J1482&lt;&gt;"Trading",O1482&gt;0,O1482&lt;=Umbral),1,0))</f>
        <v/>
      </c>
      <c r="T1482" s="20">
        <f>IF(OR(I1482="",E1482=""),"",IF(OR(I1482="Gasto",I1482="Transferencia",I1482="Pago tarjeta"),-1,1)*C1482)</f>
        <v/>
      </c>
      <c r="U1482" s="20">
        <f>IF(OR(G1482="",AND(I1482&lt;&gt;"Transferencia",I1482&lt;&gt;"Pago tarjeta")),"",IF(IFERROR(INDEX(ctaMon,MATCH(G1482,ctaNom,0))&amp;"","DOP")=N1482,C1482,IF(N1482="USD",C1482*TasaUSD,C1482/TasaUSD)))</f>
        <v/>
      </c>
      <c r="V1482" s="20">
        <f>IF(I1482="","",IF(IFERROR(INDEX(ctaLiq,MATCH(E1482,ctaNom,0))="Sí",FALSE),IF(OR(I1482="Gasto",I1482="Transferencia",I1482="Pago tarjeta"),-1,1)*O1482,0)+IF(AND(U1482&lt;&gt;"",IFERROR(INDEX(ctaLiq,MATCH(G1482,ctaNom,0))="Sí",FALSE)),O1482,0))</f>
        <v/>
      </c>
      <c r="W1482" s="19">
        <f>IF(OR(F1482="",I1482=""),"",IF(COUNTIFS(F$6:F1482,F1482,I$6:I1482,"?*")=1,MAX(W$5:W1481)+1,""))</f>
        <v/>
      </c>
    </row>
    <row r="1483">
      <c r="B1483" s="15" t="n"/>
      <c r="C1483" s="16" t="n"/>
      <c r="D1483" s="17" t="n"/>
      <c r="E1483" s="17" t="n"/>
      <c r="F1483" s="17" t="n"/>
      <c r="G1483" s="17" t="n"/>
      <c r="H1483" s="18">
        <f>IF(AND(B1483="",C1483="",D1483="",E1483=""),"",IF(B1483="","⚠ Falta fecha",IF(C1483="","⚠ Falta monto",IF(D1483="","⚠ Falta categoría",IF(ISNA(MATCH(D1483,catNom,0)),"⚠ Categoría no existe",IF(E1483="","⚠ Falta cuenta",IF(ISNA(MATCH(E1483,ctaNom,0)),"⚠ Cuenta no existe",IF(AND(OR(I1483="Transferencia",I1483="Pago tarjeta"),G1483=""),"⚠ Indica la cuenta «Hacia»",IF(AND(G1483&lt;&gt;"",G1483=E1483),"⚠ «Hacia» igual a la cuenta",IF(AND(G1483&lt;&gt;"",ISNA(MATCH(G1483,ctaNom,0))),"⚠ «Hacia» no existe",IF(AND(I1483="Pago tarjeta",IFERROR(INDEX(ctaTipo,MATCH(G1483,ctaNom,0)),"")&lt;&gt;"Tarjeta de crédito"),"⚠ «Hacia» debe ser la tarjeta",IF(AND(I1483="Trading",IFERROR(INDEX(ctaTipo,MATCH(E1483,ctaNom,0)),"")&lt;&gt;"Cuenta de trading"),"⚠ Usa la cuenta de trading","✓"))))))))))))</f>
        <v/>
      </c>
      <c r="I1483" s="19">
        <f>IF(OR(B1483="",C1483="",D1483=""),"",IFERROR(INDEX(catTipo,MATCH(D1483,catNom,0))&amp;"",""))</f>
        <v/>
      </c>
      <c r="J1483" s="19">
        <f>IF(I1483="","",IFERROR(INDEX(catGrupo,MATCH(D1483,catNom,0))&amp;"",""))</f>
        <v/>
      </c>
      <c r="K1483" s="19">
        <f>IF(I1483="Gasto",IF(IFERROR(INDEX(catClas,MATCH(D1483,catNom,0))&amp;"","")="","Variable",IFERROR(INDEX(catClas,MATCH(D1483,catNom,0))&amp;"","")),"")</f>
        <v/>
      </c>
      <c r="L1483" s="19">
        <f>IF(I1483="","",IFERROR(INDEX(catAlim,MATCH(D1483,catNom,0))&amp;"",""))</f>
        <v/>
      </c>
      <c r="M1483" s="19">
        <f>IF(I1483="","",IFERROR(INDEX(catComida,MATCH(D1483,catNom,0))&amp;"",""))</f>
        <v/>
      </c>
      <c r="N1483" s="19">
        <f>IF(I1483="","",IFERROR(INDEX(ctaMon,MATCH(E1483,ctaNom,0))&amp;"","DOP"))</f>
        <v/>
      </c>
      <c r="O1483" s="20">
        <f>IF(I1483="","",C1483*IF(N1483="USD",TasaUSD,1))</f>
        <v/>
      </c>
      <c r="P1483" s="20">
        <f>IF(I1483="","",IF(I1483="Gasto",O1483,0))</f>
        <v/>
      </c>
      <c r="Q1483" s="20">
        <f>IF(I1483="","",IF(I1483="Ingreso",O1483,0))</f>
        <v/>
      </c>
      <c r="R1483" s="20">
        <f>IF(I1483="","",IF(I1483="Trading",O1483,0))</f>
        <v/>
      </c>
      <c r="S1483" s="19">
        <f>IF(I1483="","",IF(AND(I1483="Gasto",K1483="Variable",J1483&lt;&gt;"Trading",O1483&gt;0,O1483&lt;=Umbral),1,0))</f>
        <v/>
      </c>
      <c r="T1483" s="20">
        <f>IF(OR(I1483="",E1483=""),"",IF(OR(I1483="Gasto",I1483="Transferencia",I1483="Pago tarjeta"),-1,1)*C1483)</f>
        <v/>
      </c>
      <c r="U1483" s="20">
        <f>IF(OR(G1483="",AND(I1483&lt;&gt;"Transferencia",I1483&lt;&gt;"Pago tarjeta")),"",IF(IFERROR(INDEX(ctaMon,MATCH(G1483,ctaNom,0))&amp;"","DOP")=N1483,C1483,IF(N1483="USD",C1483*TasaUSD,C1483/TasaUSD)))</f>
        <v/>
      </c>
      <c r="V1483" s="20">
        <f>IF(I1483="","",IF(IFERROR(INDEX(ctaLiq,MATCH(E1483,ctaNom,0))="Sí",FALSE),IF(OR(I1483="Gasto",I1483="Transferencia",I1483="Pago tarjeta"),-1,1)*O1483,0)+IF(AND(U1483&lt;&gt;"",IFERROR(INDEX(ctaLiq,MATCH(G1483,ctaNom,0))="Sí",FALSE)),O1483,0))</f>
        <v/>
      </c>
      <c r="W1483" s="19">
        <f>IF(OR(F1483="",I1483=""),"",IF(COUNTIFS(F$6:F1483,F1483,I$6:I1483,"?*")=1,MAX(W$5:W1482)+1,""))</f>
        <v/>
      </c>
    </row>
    <row r="1484">
      <c r="B1484" s="15" t="n"/>
      <c r="C1484" s="16" t="n"/>
      <c r="D1484" s="17" t="n"/>
      <c r="E1484" s="17" t="n"/>
      <c r="F1484" s="17" t="n"/>
      <c r="G1484" s="17" t="n"/>
      <c r="H1484" s="18">
        <f>IF(AND(B1484="",C1484="",D1484="",E1484=""),"",IF(B1484="","⚠ Falta fecha",IF(C1484="","⚠ Falta monto",IF(D1484="","⚠ Falta categoría",IF(ISNA(MATCH(D1484,catNom,0)),"⚠ Categoría no existe",IF(E1484="","⚠ Falta cuenta",IF(ISNA(MATCH(E1484,ctaNom,0)),"⚠ Cuenta no existe",IF(AND(OR(I1484="Transferencia",I1484="Pago tarjeta"),G1484=""),"⚠ Indica la cuenta «Hacia»",IF(AND(G1484&lt;&gt;"",G1484=E1484),"⚠ «Hacia» igual a la cuenta",IF(AND(G1484&lt;&gt;"",ISNA(MATCH(G1484,ctaNom,0))),"⚠ «Hacia» no existe",IF(AND(I1484="Pago tarjeta",IFERROR(INDEX(ctaTipo,MATCH(G1484,ctaNom,0)),"")&lt;&gt;"Tarjeta de crédito"),"⚠ «Hacia» debe ser la tarjeta",IF(AND(I1484="Trading",IFERROR(INDEX(ctaTipo,MATCH(E1484,ctaNom,0)),"")&lt;&gt;"Cuenta de trading"),"⚠ Usa la cuenta de trading","✓"))))))))))))</f>
        <v/>
      </c>
      <c r="I1484" s="19">
        <f>IF(OR(B1484="",C1484="",D1484=""),"",IFERROR(INDEX(catTipo,MATCH(D1484,catNom,0))&amp;"",""))</f>
        <v/>
      </c>
      <c r="J1484" s="19">
        <f>IF(I1484="","",IFERROR(INDEX(catGrupo,MATCH(D1484,catNom,0))&amp;"",""))</f>
        <v/>
      </c>
      <c r="K1484" s="19">
        <f>IF(I1484="Gasto",IF(IFERROR(INDEX(catClas,MATCH(D1484,catNom,0))&amp;"","")="","Variable",IFERROR(INDEX(catClas,MATCH(D1484,catNom,0))&amp;"","")),"")</f>
        <v/>
      </c>
      <c r="L1484" s="19">
        <f>IF(I1484="","",IFERROR(INDEX(catAlim,MATCH(D1484,catNom,0))&amp;"",""))</f>
        <v/>
      </c>
      <c r="M1484" s="19">
        <f>IF(I1484="","",IFERROR(INDEX(catComida,MATCH(D1484,catNom,0))&amp;"",""))</f>
        <v/>
      </c>
      <c r="N1484" s="19">
        <f>IF(I1484="","",IFERROR(INDEX(ctaMon,MATCH(E1484,ctaNom,0))&amp;"","DOP"))</f>
        <v/>
      </c>
      <c r="O1484" s="20">
        <f>IF(I1484="","",C1484*IF(N1484="USD",TasaUSD,1))</f>
        <v/>
      </c>
      <c r="P1484" s="20">
        <f>IF(I1484="","",IF(I1484="Gasto",O1484,0))</f>
        <v/>
      </c>
      <c r="Q1484" s="20">
        <f>IF(I1484="","",IF(I1484="Ingreso",O1484,0))</f>
        <v/>
      </c>
      <c r="R1484" s="20">
        <f>IF(I1484="","",IF(I1484="Trading",O1484,0))</f>
        <v/>
      </c>
      <c r="S1484" s="19">
        <f>IF(I1484="","",IF(AND(I1484="Gasto",K1484="Variable",J1484&lt;&gt;"Trading",O1484&gt;0,O1484&lt;=Umbral),1,0))</f>
        <v/>
      </c>
      <c r="T1484" s="20">
        <f>IF(OR(I1484="",E1484=""),"",IF(OR(I1484="Gasto",I1484="Transferencia",I1484="Pago tarjeta"),-1,1)*C1484)</f>
        <v/>
      </c>
      <c r="U1484" s="20">
        <f>IF(OR(G1484="",AND(I1484&lt;&gt;"Transferencia",I1484&lt;&gt;"Pago tarjeta")),"",IF(IFERROR(INDEX(ctaMon,MATCH(G1484,ctaNom,0))&amp;"","DOP")=N1484,C1484,IF(N1484="USD",C1484*TasaUSD,C1484/TasaUSD)))</f>
        <v/>
      </c>
      <c r="V1484" s="20">
        <f>IF(I1484="","",IF(IFERROR(INDEX(ctaLiq,MATCH(E1484,ctaNom,0))="Sí",FALSE),IF(OR(I1484="Gasto",I1484="Transferencia",I1484="Pago tarjeta"),-1,1)*O1484,0)+IF(AND(U1484&lt;&gt;"",IFERROR(INDEX(ctaLiq,MATCH(G1484,ctaNom,0))="Sí",FALSE)),O1484,0))</f>
        <v/>
      </c>
      <c r="W1484" s="19">
        <f>IF(OR(F1484="",I1484=""),"",IF(COUNTIFS(F$6:F1484,F1484,I$6:I1484,"?*")=1,MAX(W$5:W1483)+1,""))</f>
        <v/>
      </c>
    </row>
    <row r="1485">
      <c r="B1485" s="15" t="n"/>
      <c r="C1485" s="16" t="n"/>
      <c r="D1485" s="17" t="n"/>
      <c r="E1485" s="17" t="n"/>
      <c r="F1485" s="17" t="n"/>
      <c r="G1485" s="17" t="n"/>
      <c r="H1485" s="18">
        <f>IF(AND(B1485="",C1485="",D1485="",E1485=""),"",IF(B1485="","⚠ Falta fecha",IF(C1485="","⚠ Falta monto",IF(D1485="","⚠ Falta categoría",IF(ISNA(MATCH(D1485,catNom,0)),"⚠ Categoría no existe",IF(E1485="","⚠ Falta cuenta",IF(ISNA(MATCH(E1485,ctaNom,0)),"⚠ Cuenta no existe",IF(AND(OR(I1485="Transferencia",I1485="Pago tarjeta"),G1485=""),"⚠ Indica la cuenta «Hacia»",IF(AND(G1485&lt;&gt;"",G1485=E1485),"⚠ «Hacia» igual a la cuenta",IF(AND(G1485&lt;&gt;"",ISNA(MATCH(G1485,ctaNom,0))),"⚠ «Hacia» no existe",IF(AND(I1485="Pago tarjeta",IFERROR(INDEX(ctaTipo,MATCH(G1485,ctaNom,0)),"")&lt;&gt;"Tarjeta de crédito"),"⚠ «Hacia» debe ser la tarjeta",IF(AND(I1485="Trading",IFERROR(INDEX(ctaTipo,MATCH(E1485,ctaNom,0)),"")&lt;&gt;"Cuenta de trading"),"⚠ Usa la cuenta de trading","✓"))))))))))))</f>
        <v/>
      </c>
      <c r="I1485" s="19">
        <f>IF(OR(B1485="",C1485="",D1485=""),"",IFERROR(INDEX(catTipo,MATCH(D1485,catNom,0))&amp;"",""))</f>
        <v/>
      </c>
      <c r="J1485" s="19">
        <f>IF(I1485="","",IFERROR(INDEX(catGrupo,MATCH(D1485,catNom,0))&amp;"",""))</f>
        <v/>
      </c>
      <c r="K1485" s="19">
        <f>IF(I1485="Gasto",IF(IFERROR(INDEX(catClas,MATCH(D1485,catNom,0))&amp;"","")="","Variable",IFERROR(INDEX(catClas,MATCH(D1485,catNom,0))&amp;"","")),"")</f>
        <v/>
      </c>
      <c r="L1485" s="19">
        <f>IF(I1485="","",IFERROR(INDEX(catAlim,MATCH(D1485,catNom,0))&amp;"",""))</f>
        <v/>
      </c>
      <c r="M1485" s="19">
        <f>IF(I1485="","",IFERROR(INDEX(catComida,MATCH(D1485,catNom,0))&amp;"",""))</f>
        <v/>
      </c>
      <c r="N1485" s="19">
        <f>IF(I1485="","",IFERROR(INDEX(ctaMon,MATCH(E1485,ctaNom,0))&amp;"","DOP"))</f>
        <v/>
      </c>
      <c r="O1485" s="20">
        <f>IF(I1485="","",C1485*IF(N1485="USD",TasaUSD,1))</f>
        <v/>
      </c>
      <c r="P1485" s="20">
        <f>IF(I1485="","",IF(I1485="Gasto",O1485,0))</f>
        <v/>
      </c>
      <c r="Q1485" s="20">
        <f>IF(I1485="","",IF(I1485="Ingreso",O1485,0))</f>
        <v/>
      </c>
      <c r="R1485" s="20">
        <f>IF(I1485="","",IF(I1485="Trading",O1485,0))</f>
        <v/>
      </c>
      <c r="S1485" s="19">
        <f>IF(I1485="","",IF(AND(I1485="Gasto",K1485="Variable",J1485&lt;&gt;"Trading",O1485&gt;0,O1485&lt;=Umbral),1,0))</f>
        <v/>
      </c>
      <c r="T1485" s="20">
        <f>IF(OR(I1485="",E1485=""),"",IF(OR(I1485="Gasto",I1485="Transferencia",I1485="Pago tarjeta"),-1,1)*C1485)</f>
        <v/>
      </c>
      <c r="U1485" s="20">
        <f>IF(OR(G1485="",AND(I1485&lt;&gt;"Transferencia",I1485&lt;&gt;"Pago tarjeta")),"",IF(IFERROR(INDEX(ctaMon,MATCH(G1485,ctaNom,0))&amp;"","DOP")=N1485,C1485,IF(N1485="USD",C1485*TasaUSD,C1485/TasaUSD)))</f>
        <v/>
      </c>
      <c r="V1485" s="20">
        <f>IF(I1485="","",IF(IFERROR(INDEX(ctaLiq,MATCH(E1485,ctaNom,0))="Sí",FALSE),IF(OR(I1485="Gasto",I1485="Transferencia",I1485="Pago tarjeta"),-1,1)*O1485,0)+IF(AND(U1485&lt;&gt;"",IFERROR(INDEX(ctaLiq,MATCH(G1485,ctaNom,0))="Sí",FALSE)),O1485,0))</f>
        <v/>
      </c>
      <c r="W1485" s="19">
        <f>IF(OR(F1485="",I1485=""),"",IF(COUNTIFS(F$6:F1485,F1485,I$6:I1485,"?*")=1,MAX(W$5:W1484)+1,""))</f>
        <v/>
      </c>
    </row>
    <row r="1486">
      <c r="B1486" s="15" t="n"/>
      <c r="C1486" s="16" t="n"/>
      <c r="D1486" s="17" t="n"/>
      <c r="E1486" s="17" t="n"/>
      <c r="F1486" s="17" t="n"/>
      <c r="G1486" s="17" t="n"/>
      <c r="H1486" s="18">
        <f>IF(AND(B1486="",C1486="",D1486="",E1486=""),"",IF(B1486="","⚠ Falta fecha",IF(C1486="","⚠ Falta monto",IF(D1486="","⚠ Falta categoría",IF(ISNA(MATCH(D1486,catNom,0)),"⚠ Categoría no existe",IF(E1486="","⚠ Falta cuenta",IF(ISNA(MATCH(E1486,ctaNom,0)),"⚠ Cuenta no existe",IF(AND(OR(I1486="Transferencia",I1486="Pago tarjeta"),G1486=""),"⚠ Indica la cuenta «Hacia»",IF(AND(G1486&lt;&gt;"",G1486=E1486),"⚠ «Hacia» igual a la cuenta",IF(AND(G1486&lt;&gt;"",ISNA(MATCH(G1486,ctaNom,0))),"⚠ «Hacia» no existe",IF(AND(I1486="Pago tarjeta",IFERROR(INDEX(ctaTipo,MATCH(G1486,ctaNom,0)),"")&lt;&gt;"Tarjeta de crédito"),"⚠ «Hacia» debe ser la tarjeta",IF(AND(I1486="Trading",IFERROR(INDEX(ctaTipo,MATCH(E1486,ctaNom,0)),"")&lt;&gt;"Cuenta de trading"),"⚠ Usa la cuenta de trading","✓"))))))))))))</f>
        <v/>
      </c>
      <c r="I1486" s="19">
        <f>IF(OR(B1486="",C1486="",D1486=""),"",IFERROR(INDEX(catTipo,MATCH(D1486,catNom,0))&amp;"",""))</f>
        <v/>
      </c>
      <c r="J1486" s="19">
        <f>IF(I1486="","",IFERROR(INDEX(catGrupo,MATCH(D1486,catNom,0))&amp;"",""))</f>
        <v/>
      </c>
      <c r="K1486" s="19">
        <f>IF(I1486="Gasto",IF(IFERROR(INDEX(catClas,MATCH(D1486,catNom,0))&amp;"","")="","Variable",IFERROR(INDEX(catClas,MATCH(D1486,catNom,0))&amp;"","")),"")</f>
        <v/>
      </c>
      <c r="L1486" s="19">
        <f>IF(I1486="","",IFERROR(INDEX(catAlim,MATCH(D1486,catNom,0))&amp;"",""))</f>
        <v/>
      </c>
      <c r="M1486" s="19">
        <f>IF(I1486="","",IFERROR(INDEX(catComida,MATCH(D1486,catNom,0))&amp;"",""))</f>
        <v/>
      </c>
      <c r="N1486" s="19">
        <f>IF(I1486="","",IFERROR(INDEX(ctaMon,MATCH(E1486,ctaNom,0))&amp;"","DOP"))</f>
        <v/>
      </c>
      <c r="O1486" s="20">
        <f>IF(I1486="","",C1486*IF(N1486="USD",TasaUSD,1))</f>
        <v/>
      </c>
      <c r="P1486" s="20">
        <f>IF(I1486="","",IF(I1486="Gasto",O1486,0))</f>
        <v/>
      </c>
      <c r="Q1486" s="20">
        <f>IF(I1486="","",IF(I1486="Ingreso",O1486,0))</f>
        <v/>
      </c>
      <c r="R1486" s="20">
        <f>IF(I1486="","",IF(I1486="Trading",O1486,0))</f>
        <v/>
      </c>
      <c r="S1486" s="19">
        <f>IF(I1486="","",IF(AND(I1486="Gasto",K1486="Variable",J1486&lt;&gt;"Trading",O1486&gt;0,O1486&lt;=Umbral),1,0))</f>
        <v/>
      </c>
      <c r="T1486" s="20">
        <f>IF(OR(I1486="",E1486=""),"",IF(OR(I1486="Gasto",I1486="Transferencia",I1486="Pago tarjeta"),-1,1)*C1486)</f>
        <v/>
      </c>
      <c r="U1486" s="20">
        <f>IF(OR(G1486="",AND(I1486&lt;&gt;"Transferencia",I1486&lt;&gt;"Pago tarjeta")),"",IF(IFERROR(INDEX(ctaMon,MATCH(G1486,ctaNom,0))&amp;"","DOP")=N1486,C1486,IF(N1486="USD",C1486*TasaUSD,C1486/TasaUSD)))</f>
        <v/>
      </c>
      <c r="V1486" s="20">
        <f>IF(I1486="","",IF(IFERROR(INDEX(ctaLiq,MATCH(E1486,ctaNom,0))="Sí",FALSE),IF(OR(I1486="Gasto",I1486="Transferencia",I1486="Pago tarjeta"),-1,1)*O1486,0)+IF(AND(U1486&lt;&gt;"",IFERROR(INDEX(ctaLiq,MATCH(G1486,ctaNom,0))="Sí",FALSE)),O1486,0))</f>
        <v/>
      </c>
      <c r="W1486" s="19">
        <f>IF(OR(F1486="",I1486=""),"",IF(COUNTIFS(F$6:F1486,F1486,I$6:I1486,"?*")=1,MAX(W$5:W1485)+1,""))</f>
        <v/>
      </c>
    </row>
    <row r="1487">
      <c r="B1487" s="15" t="n"/>
      <c r="C1487" s="16" t="n"/>
      <c r="D1487" s="17" t="n"/>
      <c r="E1487" s="17" t="n"/>
      <c r="F1487" s="17" t="n"/>
      <c r="G1487" s="17" t="n"/>
      <c r="H1487" s="18">
        <f>IF(AND(B1487="",C1487="",D1487="",E1487=""),"",IF(B1487="","⚠ Falta fecha",IF(C1487="","⚠ Falta monto",IF(D1487="","⚠ Falta categoría",IF(ISNA(MATCH(D1487,catNom,0)),"⚠ Categoría no existe",IF(E1487="","⚠ Falta cuenta",IF(ISNA(MATCH(E1487,ctaNom,0)),"⚠ Cuenta no existe",IF(AND(OR(I1487="Transferencia",I1487="Pago tarjeta"),G1487=""),"⚠ Indica la cuenta «Hacia»",IF(AND(G1487&lt;&gt;"",G1487=E1487),"⚠ «Hacia» igual a la cuenta",IF(AND(G1487&lt;&gt;"",ISNA(MATCH(G1487,ctaNom,0))),"⚠ «Hacia» no existe",IF(AND(I1487="Pago tarjeta",IFERROR(INDEX(ctaTipo,MATCH(G1487,ctaNom,0)),"")&lt;&gt;"Tarjeta de crédito"),"⚠ «Hacia» debe ser la tarjeta",IF(AND(I1487="Trading",IFERROR(INDEX(ctaTipo,MATCH(E1487,ctaNom,0)),"")&lt;&gt;"Cuenta de trading"),"⚠ Usa la cuenta de trading","✓"))))))))))))</f>
        <v/>
      </c>
      <c r="I1487" s="19">
        <f>IF(OR(B1487="",C1487="",D1487=""),"",IFERROR(INDEX(catTipo,MATCH(D1487,catNom,0))&amp;"",""))</f>
        <v/>
      </c>
      <c r="J1487" s="19">
        <f>IF(I1487="","",IFERROR(INDEX(catGrupo,MATCH(D1487,catNom,0))&amp;"",""))</f>
        <v/>
      </c>
      <c r="K1487" s="19">
        <f>IF(I1487="Gasto",IF(IFERROR(INDEX(catClas,MATCH(D1487,catNom,0))&amp;"","")="","Variable",IFERROR(INDEX(catClas,MATCH(D1487,catNom,0))&amp;"","")),"")</f>
        <v/>
      </c>
      <c r="L1487" s="19">
        <f>IF(I1487="","",IFERROR(INDEX(catAlim,MATCH(D1487,catNom,0))&amp;"",""))</f>
        <v/>
      </c>
      <c r="M1487" s="19">
        <f>IF(I1487="","",IFERROR(INDEX(catComida,MATCH(D1487,catNom,0))&amp;"",""))</f>
        <v/>
      </c>
      <c r="N1487" s="19">
        <f>IF(I1487="","",IFERROR(INDEX(ctaMon,MATCH(E1487,ctaNom,0))&amp;"","DOP"))</f>
        <v/>
      </c>
      <c r="O1487" s="20">
        <f>IF(I1487="","",C1487*IF(N1487="USD",TasaUSD,1))</f>
        <v/>
      </c>
      <c r="P1487" s="20">
        <f>IF(I1487="","",IF(I1487="Gasto",O1487,0))</f>
        <v/>
      </c>
      <c r="Q1487" s="20">
        <f>IF(I1487="","",IF(I1487="Ingreso",O1487,0))</f>
        <v/>
      </c>
      <c r="R1487" s="20">
        <f>IF(I1487="","",IF(I1487="Trading",O1487,0))</f>
        <v/>
      </c>
      <c r="S1487" s="19">
        <f>IF(I1487="","",IF(AND(I1487="Gasto",K1487="Variable",J1487&lt;&gt;"Trading",O1487&gt;0,O1487&lt;=Umbral),1,0))</f>
        <v/>
      </c>
      <c r="T1487" s="20">
        <f>IF(OR(I1487="",E1487=""),"",IF(OR(I1487="Gasto",I1487="Transferencia",I1487="Pago tarjeta"),-1,1)*C1487)</f>
        <v/>
      </c>
      <c r="U1487" s="20">
        <f>IF(OR(G1487="",AND(I1487&lt;&gt;"Transferencia",I1487&lt;&gt;"Pago tarjeta")),"",IF(IFERROR(INDEX(ctaMon,MATCH(G1487,ctaNom,0))&amp;"","DOP")=N1487,C1487,IF(N1487="USD",C1487*TasaUSD,C1487/TasaUSD)))</f>
        <v/>
      </c>
      <c r="V1487" s="20">
        <f>IF(I1487="","",IF(IFERROR(INDEX(ctaLiq,MATCH(E1487,ctaNom,0))="Sí",FALSE),IF(OR(I1487="Gasto",I1487="Transferencia",I1487="Pago tarjeta"),-1,1)*O1487,0)+IF(AND(U1487&lt;&gt;"",IFERROR(INDEX(ctaLiq,MATCH(G1487,ctaNom,0))="Sí",FALSE)),O1487,0))</f>
        <v/>
      </c>
      <c r="W1487" s="19">
        <f>IF(OR(F1487="",I1487=""),"",IF(COUNTIFS(F$6:F1487,F1487,I$6:I1487,"?*")=1,MAX(W$5:W1486)+1,""))</f>
        <v/>
      </c>
    </row>
    <row r="1488">
      <c r="B1488" s="15" t="n"/>
      <c r="C1488" s="16" t="n"/>
      <c r="D1488" s="17" t="n"/>
      <c r="E1488" s="17" t="n"/>
      <c r="F1488" s="17" t="n"/>
      <c r="G1488" s="17" t="n"/>
      <c r="H1488" s="18">
        <f>IF(AND(B1488="",C1488="",D1488="",E1488=""),"",IF(B1488="","⚠ Falta fecha",IF(C1488="","⚠ Falta monto",IF(D1488="","⚠ Falta categoría",IF(ISNA(MATCH(D1488,catNom,0)),"⚠ Categoría no existe",IF(E1488="","⚠ Falta cuenta",IF(ISNA(MATCH(E1488,ctaNom,0)),"⚠ Cuenta no existe",IF(AND(OR(I1488="Transferencia",I1488="Pago tarjeta"),G1488=""),"⚠ Indica la cuenta «Hacia»",IF(AND(G1488&lt;&gt;"",G1488=E1488),"⚠ «Hacia» igual a la cuenta",IF(AND(G1488&lt;&gt;"",ISNA(MATCH(G1488,ctaNom,0))),"⚠ «Hacia» no existe",IF(AND(I1488="Pago tarjeta",IFERROR(INDEX(ctaTipo,MATCH(G1488,ctaNom,0)),"")&lt;&gt;"Tarjeta de crédito"),"⚠ «Hacia» debe ser la tarjeta",IF(AND(I1488="Trading",IFERROR(INDEX(ctaTipo,MATCH(E1488,ctaNom,0)),"")&lt;&gt;"Cuenta de trading"),"⚠ Usa la cuenta de trading","✓"))))))))))))</f>
        <v/>
      </c>
      <c r="I1488" s="19">
        <f>IF(OR(B1488="",C1488="",D1488=""),"",IFERROR(INDEX(catTipo,MATCH(D1488,catNom,0))&amp;"",""))</f>
        <v/>
      </c>
      <c r="J1488" s="19">
        <f>IF(I1488="","",IFERROR(INDEX(catGrupo,MATCH(D1488,catNom,0))&amp;"",""))</f>
        <v/>
      </c>
      <c r="K1488" s="19">
        <f>IF(I1488="Gasto",IF(IFERROR(INDEX(catClas,MATCH(D1488,catNom,0))&amp;"","")="","Variable",IFERROR(INDEX(catClas,MATCH(D1488,catNom,0))&amp;"","")),"")</f>
        <v/>
      </c>
      <c r="L1488" s="19">
        <f>IF(I1488="","",IFERROR(INDEX(catAlim,MATCH(D1488,catNom,0))&amp;"",""))</f>
        <v/>
      </c>
      <c r="M1488" s="19">
        <f>IF(I1488="","",IFERROR(INDEX(catComida,MATCH(D1488,catNom,0))&amp;"",""))</f>
        <v/>
      </c>
      <c r="N1488" s="19">
        <f>IF(I1488="","",IFERROR(INDEX(ctaMon,MATCH(E1488,ctaNom,0))&amp;"","DOP"))</f>
        <v/>
      </c>
      <c r="O1488" s="20">
        <f>IF(I1488="","",C1488*IF(N1488="USD",TasaUSD,1))</f>
        <v/>
      </c>
      <c r="P1488" s="20">
        <f>IF(I1488="","",IF(I1488="Gasto",O1488,0))</f>
        <v/>
      </c>
      <c r="Q1488" s="20">
        <f>IF(I1488="","",IF(I1488="Ingreso",O1488,0))</f>
        <v/>
      </c>
      <c r="R1488" s="20">
        <f>IF(I1488="","",IF(I1488="Trading",O1488,0))</f>
        <v/>
      </c>
      <c r="S1488" s="19">
        <f>IF(I1488="","",IF(AND(I1488="Gasto",K1488="Variable",J1488&lt;&gt;"Trading",O1488&gt;0,O1488&lt;=Umbral),1,0))</f>
        <v/>
      </c>
      <c r="T1488" s="20">
        <f>IF(OR(I1488="",E1488=""),"",IF(OR(I1488="Gasto",I1488="Transferencia",I1488="Pago tarjeta"),-1,1)*C1488)</f>
        <v/>
      </c>
      <c r="U1488" s="20">
        <f>IF(OR(G1488="",AND(I1488&lt;&gt;"Transferencia",I1488&lt;&gt;"Pago tarjeta")),"",IF(IFERROR(INDEX(ctaMon,MATCH(G1488,ctaNom,0))&amp;"","DOP")=N1488,C1488,IF(N1488="USD",C1488*TasaUSD,C1488/TasaUSD)))</f>
        <v/>
      </c>
      <c r="V1488" s="20">
        <f>IF(I1488="","",IF(IFERROR(INDEX(ctaLiq,MATCH(E1488,ctaNom,0))="Sí",FALSE),IF(OR(I1488="Gasto",I1488="Transferencia",I1488="Pago tarjeta"),-1,1)*O1488,0)+IF(AND(U1488&lt;&gt;"",IFERROR(INDEX(ctaLiq,MATCH(G1488,ctaNom,0))="Sí",FALSE)),O1488,0))</f>
        <v/>
      </c>
      <c r="W1488" s="19">
        <f>IF(OR(F1488="",I1488=""),"",IF(COUNTIFS(F$6:F1488,F1488,I$6:I1488,"?*")=1,MAX(W$5:W1487)+1,""))</f>
        <v/>
      </c>
    </row>
    <row r="1489">
      <c r="B1489" s="15" t="n"/>
      <c r="C1489" s="16" t="n"/>
      <c r="D1489" s="17" t="n"/>
      <c r="E1489" s="17" t="n"/>
      <c r="F1489" s="17" t="n"/>
      <c r="G1489" s="17" t="n"/>
      <c r="H1489" s="18">
        <f>IF(AND(B1489="",C1489="",D1489="",E1489=""),"",IF(B1489="","⚠ Falta fecha",IF(C1489="","⚠ Falta monto",IF(D1489="","⚠ Falta categoría",IF(ISNA(MATCH(D1489,catNom,0)),"⚠ Categoría no existe",IF(E1489="","⚠ Falta cuenta",IF(ISNA(MATCH(E1489,ctaNom,0)),"⚠ Cuenta no existe",IF(AND(OR(I1489="Transferencia",I1489="Pago tarjeta"),G1489=""),"⚠ Indica la cuenta «Hacia»",IF(AND(G1489&lt;&gt;"",G1489=E1489),"⚠ «Hacia» igual a la cuenta",IF(AND(G1489&lt;&gt;"",ISNA(MATCH(G1489,ctaNom,0))),"⚠ «Hacia» no existe",IF(AND(I1489="Pago tarjeta",IFERROR(INDEX(ctaTipo,MATCH(G1489,ctaNom,0)),"")&lt;&gt;"Tarjeta de crédito"),"⚠ «Hacia» debe ser la tarjeta",IF(AND(I1489="Trading",IFERROR(INDEX(ctaTipo,MATCH(E1489,ctaNom,0)),"")&lt;&gt;"Cuenta de trading"),"⚠ Usa la cuenta de trading","✓"))))))))))))</f>
        <v/>
      </c>
      <c r="I1489" s="19">
        <f>IF(OR(B1489="",C1489="",D1489=""),"",IFERROR(INDEX(catTipo,MATCH(D1489,catNom,0))&amp;"",""))</f>
        <v/>
      </c>
      <c r="J1489" s="19">
        <f>IF(I1489="","",IFERROR(INDEX(catGrupo,MATCH(D1489,catNom,0))&amp;"",""))</f>
        <v/>
      </c>
      <c r="K1489" s="19">
        <f>IF(I1489="Gasto",IF(IFERROR(INDEX(catClas,MATCH(D1489,catNom,0))&amp;"","")="","Variable",IFERROR(INDEX(catClas,MATCH(D1489,catNom,0))&amp;"","")),"")</f>
        <v/>
      </c>
      <c r="L1489" s="19">
        <f>IF(I1489="","",IFERROR(INDEX(catAlim,MATCH(D1489,catNom,0))&amp;"",""))</f>
        <v/>
      </c>
      <c r="M1489" s="19">
        <f>IF(I1489="","",IFERROR(INDEX(catComida,MATCH(D1489,catNom,0))&amp;"",""))</f>
        <v/>
      </c>
      <c r="N1489" s="19">
        <f>IF(I1489="","",IFERROR(INDEX(ctaMon,MATCH(E1489,ctaNom,0))&amp;"","DOP"))</f>
        <v/>
      </c>
      <c r="O1489" s="20">
        <f>IF(I1489="","",C1489*IF(N1489="USD",TasaUSD,1))</f>
        <v/>
      </c>
      <c r="P1489" s="20">
        <f>IF(I1489="","",IF(I1489="Gasto",O1489,0))</f>
        <v/>
      </c>
      <c r="Q1489" s="20">
        <f>IF(I1489="","",IF(I1489="Ingreso",O1489,0))</f>
        <v/>
      </c>
      <c r="R1489" s="20">
        <f>IF(I1489="","",IF(I1489="Trading",O1489,0))</f>
        <v/>
      </c>
      <c r="S1489" s="19">
        <f>IF(I1489="","",IF(AND(I1489="Gasto",K1489="Variable",J1489&lt;&gt;"Trading",O1489&gt;0,O1489&lt;=Umbral),1,0))</f>
        <v/>
      </c>
      <c r="T1489" s="20">
        <f>IF(OR(I1489="",E1489=""),"",IF(OR(I1489="Gasto",I1489="Transferencia",I1489="Pago tarjeta"),-1,1)*C1489)</f>
        <v/>
      </c>
      <c r="U1489" s="20">
        <f>IF(OR(G1489="",AND(I1489&lt;&gt;"Transferencia",I1489&lt;&gt;"Pago tarjeta")),"",IF(IFERROR(INDEX(ctaMon,MATCH(G1489,ctaNom,0))&amp;"","DOP")=N1489,C1489,IF(N1489="USD",C1489*TasaUSD,C1489/TasaUSD)))</f>
        <v/>
      </c>
      <c r="V1489" s="20">
        <f>IF(I1489="","",IF(IFERROR(INDEX(ctaLiq,MATCH(E1489,ctaNom,0))="Sí",FALSE),IF(OR(I1489="Gasto",I1489="Transferencia",I1489="Pago tarjeta"),-1,1)*O1489,0)+IF(AND(U1489&lt;&gt;"",IFERROR(INDEX(ctaLiq,MATCH(G1489,ctaNom,0))="Sí",FALSE)),O1489,0))</f>
        <v/>
      </c>
      <c r="W1489" s="19">
        <f>IF(OR(F1489="",I1489=""),"",IF(COUNTIFS(F$6:F1489,F1489,I$6:I1489,"?*")=1,MAX(W$5:W1488)+1,""))</f>
        <v/>
      </c>
    </row>
    <row r="1490">
      <c r="B1490" s="15" t="n"/>
      <c r="C1490" s="16" t="n"/>
      <c r="D1490" s="17" t="n"/>
      <c r="E1490" s="17" t="n"/>
      <c r="F1490" s="17" t="n"/>
      <c r="G1490" s="17" t="n"/>
      <c r="H1490" s="18">
        <f>IF(AND(B1490="",C1490="",D1490="",E1490=""),"",IF(B1490="","⚠ Falta fecha",IF(C1490="","⚠ Falta monto",IF(D1490="","⚠ Falta categoría",IF(ISNA(MATCH(D1490,catNom,0)),"⚠ Categoría no existe",IF(E1490="","⚠ Falta cuenta",IF(ISNA(MATCH(E1490,ctaNom,0)),"⚠ Cuenta no existe",IF(AND(OR(I1490="Transferencia",I1490="Pago tarjeta"),G1490=""),"⚠ Indica la cuenta «Hacia»",IF(AND(G1490&lt;&gt;"",G1490=E1490),"⚠ «Hacia» igual a la cuenta",IF(AND(G1490&lt;&gt;"",ISNA(MATCH(G1490,ctaNom,0))),"⚠ «Hacia» no existe",IF(AND(I1490="Pago tarjeta",IFERROR(INDEX(ctaTipo,MATCH(G1490,ctaNom,0)),"")&lt;&gt;"Tarjeta de crédito"),"⚠ «Hacia» debe ser la tarjeta",IF(AND(I1490="Trading",IFERROR(INDEX(ctaTipo,MATCH(E1490,ctaNom,0)),"")&lt;&gt;"Cuenta de trading"),"⚠ Usa la cuenta de trading","✓"))))))))))))</f>
        <v/>
      </c>
      <c r="I1490" s="19">
        <f>IF(OR(B1490="",C1490="",D1490=""),"",IFERROR(INDEX(catTipo,MATCH(D1490,catNom,0))&amp;"",""))</f>
        <v/>
      </c>
      <c r="J1490" s="19">
        <f>IF(I1490="","",IFERROR(INDEX(catGrupo,MATCH(D1490,catNom,0))&amp;"",""))</f>
        <v/>
      </c>
      <c r="K1490" s="19">
        <f>IF(I1490="Gasto",IF(IFERROR(INDEX(catClas,MATCH(D1490,catNom,0))&amp;"","")="","Variable",IFERROR(INDEX(catClas,MATCH(D1490,catNom,0))&amp;"","")),"")</f>
        <v/>
      </c>
      <c r="L1490" s="19">
        <f>IF(I1490="","",IFERROR(INDEX(catAlim,MATCH(D1490,catNom,0))&amp;"",""))</f>
        <v/>
      </c>
      <c r="M1490" s="19">
        <f>IF(I1490="","",IFERROR(INDEX(catComida,MATCH(D1490,catNom,0))&amp;"",""))</f>
        <v/>
      </c>
      <c r="N1490" s="19">
        <f>IF(I1490="","",IFERROR(INDEX(ctaMon,MATCH(E1490,ctaNom,0))&amp;"","DOP"))</f>
        <v/>
      </c>
      <c r="O1490" s="20">
        <f>IF(I1490="","",C1490*IF(N1490="USD",TasaUSD,1))</f>
        <v/>
      </c>
      <c r="P1490" s="20">
        <f>IF(I1490="","",IF(I1490="Gasto",O1490,0))</f>
        <v/>
      </c>
      <c r="Q1490" s="20">
        <f>IF(I1490="","",IF(I1490="Ingreso",O1490,0))</f>
        <v/>
      </c>
      <c r="R1490" s="20">
        <f>IF(I1490="","",IF(I1490="Trading",O1490,0))</f>
        <v/>
      </c>
      <c r="S1490" s="19">
        <f>IF(I1490="","",IF(AND(I1490="Gasto",K1490="Variable",J1490&lt;&gt;"Trading",O1490&gt;0,O1490&lt;=Umbral),1,0))</f>
        <v/>
      </c>
      <c r="T1490" s="20">
        <f>IF(OR(I1490="",E1490=""),"",IF(OR(I1490="Gasto",I1490="Transferencia",I1490="Pago tarjeta"),-1,1)*C1490)</f>
        <v/>
      </c>
      <c r="U1490" s="20">
        <f>IF(OR(G1490="",AND(I1490&lt;&gt;"Transferencia",I1490&lt;&gt;"Pago tarjeta")),"",IF(IFERROR(INDEX(ctaMon,MATCH(G1490,ctaNom,0))&amp;"","DOP")=N1490,C1490,IF(N1490="USD",C1490*TasaUSD,C1490/TasaUSD)))</f>
        <v/>
      </c>
      <c r="V1490" s="20">
        <f>IF(I1490="","",IF(IFERROR(INDEX(ctaLiq,MATCH(E1490,ctaNom,0))="Sí",FALSE),IF(OR(I1490="Gasto",I1490="Transferencia",I1490="Pago tarjeta"),-1,1)*O1490,0)+IF(AND(U1490&lt;&gt;"",IFERROR(INDEX(ctaLiq,MATCH(G1490,ctaNom,0))="Sí",FALSE)),O1490,0))</f>
        <v/>
      </c>
      <c r="W1490" s="19">
        <f>IF(OR(F1490="",I1490=""),"",IF(COUNTIFS(F$6:F1490,F1490,I$6:I1490,"?*")=1,MAX(W$5:W1489)+1,""))</f>
        <v/>
      </c>
    </row>
    <row r="1491">
      <c r="B1491" s="15" t="n"/>
      <c r="C1491" s="16" t="n"/>
      <c r="D1491" s="17" t="n"/>
      <c r="E1491" s="17" t="n"/>
      <c r="F1491" s="17" t="n"/>
      <c r="G1491" s="17" t="n"/>
      <c r="H1491" s="18">
        <f>IF(AND(B1491="",C1491="",D1491="",E1491=""),"",IF(B1491="","⚠ Falta fecha",IF(C1491="","⚠ Falta monto",IF(D1491="","⚠ Falta categoría",IF(ISNA(MATCH(D1491,catNom,0)),"⚠ Categoría no existe",IF(E1491="","⚠ Falta cuenta",IF(ISNA(MATCH(E1491,ctaNom,0)),"⚠ Cuenta no existe",IF(AND(OR(I1491="Transferencia",I1491="Pago tarjeta"),G1491=""),"⚠ Indica la cuenta «Hacia»",IF(AND(G1491&lt;&gt;"",G1491=E1491),"⚠ «Hacia» igual a la cuenta",IF(AND(G1491&lt;&gt;"",ISNA(MATCH(G1491,ctaNom,0))),"⚠ «Hacia» no existe",IF(AND(I1491="Pago tarjeta",IFERROR(INDEX(ctaTipo,MATCH(G1491,ctaNom,0)),"")&lt;&gt;"Tarjeta de crédito"),"⚠ «Hacia» debe ser la tarjeta",IF(AND(I1491="Trading",IFERROR(INDEX(ctaTipo,MATCH(E1491,ctaNom,0)),"")&lt;&gt;"Cuenta de trading"),"⚠ Usa la cuenta de trading","✓"))))))))))))</f>
        <v/>
      </c>
      <c r="I1491" s="19">
        <f>IF(OR(B1491="",C1491="",D1491=""),"",IFERROR(INDEX(catTipo,MATCH(D1491,catNom,0))&amp;"",""))</f>
        <v/>
      </c>
      <c r="J1491" s="19">
        <f>IF(I1491="","",IFERROR(INDEX(catGrupo,MATCH(D1491,catNom,0))&amp;"",""))</f>
        <v/>
      </c>
      <c r="K1491" s="19">
        <f>IF(I1491="Gasto",IF(IFERROR(INDEX(catClas,MATCH(D1491,catNom,0))&amp;"","")="","Variable",IFERROR(INDEX(catClas,MATCH(D1491,catNom,0))&amp;"","")),"")</f>
        <v/>
      </c>
      <c r="L1491" s="19">
        <f>IF(I1491="","",IFERROR(INDEX(catAlim,MATCH(D1491,catNom,0))&amp;"",""))</f>
        <v/>
      </c>
      <c r="M1491" s="19">
        <f>IF(I1491="","",IFERROR(INDEX(catComida,MATCH(D1491,catNom,0))&amp;"",""))</f>
        <v/>
      </c>
      <c r="N1491" s="19">
        <f>IF(I1491="","",IFERROR(INDEX(ctaMon,MATCH(E1491,ctaNom,0))&amp;"","DOP"))</f>
        <v/>
      </c>
      <c r="O1491" s="20">
        <f>IF(I1491="","",C1491*IF(N1491="USD",TasaUSD,1))</f>
        <v/>
      </c>
      <c r="P1491" s="20">
        <f>IF(I1491="","",IF(I1491="Gasto",O1491,0))</f>
        <v/>
      </c>
      <c r="Q1491" s="20">
        <f>IF(I1491="","",IF(I1491="Ingreso",O1491,0))</f>
        <v/>
      </c>
      <c r="R1491" s="20">
        <f>IF(I1491="","",IF(I1491="Trading",O1491,0))</f>
        <v/>
      </c>
      <c r="S1491" s="19">
        <f>IF(I1491="","",IF(AND(I1491="Gasto",K1491="Variable",J1491&lt;&gt;"Trading",O1491&gt;0,O1491&lt;=Umbral),1,0))</f>
        <v/>
      </c>
      <c r="T1491" s="20">
        <f>IF(OR(I1491="",E1491=""),"",IF(OR(I1491="Gasto",I1491="Transferencia",I1491="Pago tarjeta"),-1,1)*C1491)</f>
        <v/>
      </c>
      <c r="U1491" s="20">
        <f>IF(OR(G1491="",AND(I1491&lt;&gt;"Transferencia",I1491&lt;&gt;"Pago tarjeta")),"",IF(IFERROR(INDEX(ctaMon,MATCH(G1491,ctaNom,0))&amp;"","DOP")=N1491,C1491,IF(N1491="USD",C1491*TasaUSD,C1491/TasaUSD)))</f>
        <v/>
      </c>
      <c r="V1491" s="20">
        <f>IF(I1491="","",IF(IFERROR(INDEX(ctaLiq,MATCH(E1491,ctaNom,0))="Sí",FALSE),IF(OR(I1491="Gasto",I1491="Transferencia",I1491="Pago tarjeta"),-1,1)*O1491,0)+IF(AND(U1491&lt;&gt;"",IFERROR(INDEX(ctaLiq,MATCH(G1491,ctaNom,0))="Sí",FALSE)),O1491,0))</f>
        <v/>
      </c>
      <c r="W1491" s="19">
        <f>IF(OR(F1491="",I1491=""),"",IF(COUNTIFS(F$6:F1491,F1491,I$6:I1491,"?*")=1,MAX(W$5:W1490)+1,""))</f>
        <v/>
      </c>
    </row>
    <row r="1492">
      <c r="B1492" s="15" t="n"/>
      <c r="C1492" s="16" t="n"/>
      <c r="D1492" s="17" t="n"/>
      <c r="E1492" s="17" t="n"/>
      <c r="F1492" s="17" t="n"/>
      <c r="G1492" s="17" t="n"/>
      <c r="H1492" s="18">
        <f>IF(AND(B1492="",C1492="",D1492="",E1492=""),"",IF(B1492="","⚠ Falta fecha",IF(C1492="","⚠ Falta monto",IF(D1492="","⚠ Falta categoría",IF(ISNA(MATCH(D1492,catNom,0)),"⚠ Categoría no existe",IF(E1492="","⚠ Falta cuenta",IF(ISNA(MATCH(E1492,ctaNom,0)),"⚠ Cuenta no existe",IF(AND(OR(I1492="Transferencia",I1492="Pago tarjeta"),G1492=""),"⚠ Indica la cuenta «Hacia»",IF(AND(G1492&lt;&gt;"",G1492=E1492),"⚠ «Hacia» igual a la cuenta",IF(AND(G1492&lt;&gt;"",ISNA(MATCH(G1492,ctaNom,0))),"⚠ «Hacia» no existe",IF(AND(I1492="Pago tarjeta",IFERROR(INDEX(ctaTipo,MATCH(G1492,ctaNom,0)),"")&lt;&gt;"Tarjeta de crédito"),"⚠ «Hacia» debe ser la tarjeta",IF(AND(I1492="Trading",IFERROR(INDEX(ctaTipo,MATCH(E1492,ctaNom,0)),"")&lt;&gt;"Cuenta de trading"),"⚠ Usa la cuenta de trading","✓"))))))))))))</f>
        <v/>
      </c>
      <c r="I1492" s="19">
        <f>IF(OR(B1492="",C1492="",D1492=""),"",IFERROR(INDEX(catTipo,MATCH(D1492,catNom,0))&amp;"",""))</f>
        <v/>
      </c>
      <c r="J1492" s="19">
        <f>IF(I1492="","",IFERROR(INDEX(catGrupo,MATCH(D1492,catNom,0))&amp;"",""))</f>
        <v/>
      </c>
      <c r="K1492" s="19">
        <f>IF(I1492="Gasto",IF(IFERROR(INDEX(catClas,MATCH(D1492,catNom,0))&amp;"","")="","Variable",IFERROR(INDEX(catClas,MATCH(D1492,catNom,0))&amp;"","")),"")</f>
        <v/>
      </c>
      <c r="L1492" s="19">
        <f>IF(I1492="","",IFERROR(INDEX(catAlim,MATCH(D1492,catNom,0))&amp;"",""))</f>
        <v/>
      </c>
      <c r="M1492" s="19">
        <f>IF(I1492="","",IFERROR(INDEX(catComida,MATCH(D1492,catNom,0))&amp;"",""))</f>
        <v/>
      </c>
      <c r="N1492" s="19">
        <f>IF(I1492="","",IFERROR(INDEX(ctaMon,MATCH(E1492,ctaNom,0))&amp;"","DOP"))</f>
        <v/>
      </c>
      <c r="O1492" s="20">
        <f>IF(I1492="","",C1492*IF(N1492="USD",TasaUSD,1))</f>
        <v/>
      </c>
      <c r="P1492" s="20">
        <f>IF(I1492="","",IF(I1492="Gasto",O1492,0))</f>
        <v/>
      </c>
      <c r="Q1492" s="20">
        <f>IF(I1492="","",IF(I1492="Ingreso",O1492,0))</f>
        <v/>
      </c>
      <c r="R1492" s="20">
        <f>IF(I1492="","",IF(I1492="Trading",O1492,0))</f>
        <v/>
      </c>
      <c r="S1492" s="19">
        <f>IF(I1492="","",IF(AND(I1492="Gasto",K1492="Variable",J1492&lt;&gt;"Trading",O1492&gt;0,O1492&lt;=Umbral),1,0))</f>
        <v/>
      </c>
      <c r="T1492" s="20">
        <f>IF(OR(I1492="",E1492=""),"",IF(OR(I1492="Gasto",I1492="Transferencia",I1492="Pago tarjeta"),-1,1)*C1492)</f>
        <v/>
      </c>
      <c r="U1492" s="20">
        <f>IF(OR(G1492="",AND(I1492&lt;&gt;"Transferencia",I1492&lt;&gt;"Pago tarjeta")),"",IF(IFERROR(INDEX(ctaMon,MATCH(G1492,ctaNom,0))&amp;"","DOP")=N1492,C1492,IF(N1492="USD",C1492*TasaUSD,C1492/TasaUSD)))</f>
        <v/>
      </c>
      <c r="V1492" s="20">
        <f>IF(I1492="","",IF(IFERROR(INDEX(ctaLiq,MATCH(E1492,ctaNom,0))="Sí",FALSE),IF(OR(I1492="Gasto",I1492="Transferencia",I1492="Pago tarjeta"),-1,1)*O1492,0)+IF(AND(U1492&lt;&gt;"",IFERROR(INDEX(ctaLiq,MATCH(G1492,ctaNom,0))="Sí",FALSE)),O1492,0))</f>
        <v/>
      </c>
      <c r="W1492" s="19">
        <f>IF(OR(F1492="",I1492=""),"",IF(COUNTIFS(F$6:F1492,F1492,I$6:I1492,"?*")=1,MAX(W$5:W1491)+1,""))</f>
        <v/>
      </c>
    </row>
    <row r="1493">
      <c r="B1493" s="15" t="n"/>
      <c r="C1493" s="16" t="n"/>
      <c r="D1493" s="17" t="n"/>
      <c r="E1493" s="17" t="n"/>
      <c r="F1493" s="17" t="n"/>
      <c r="G1493" s="17" t="n"/>
      <c r="H1493" s="18">
        <f>IF(AND(B1493="",C1493="",D1493="",E1493=""),"",IF(B1493="","⚠ Falta fecha",IF(C1493="","⚠ Falta monto",IF(D1493="","⚠ Falta categoría",IF(ISNA(MATCH(D1493,catNom,0)),"⚠ Categoría no existe",IF(E1493="","⚠ Falta cuenta",IF(ISNA(MATCH(E1493,ctaNom,0)),"⚠ Cuenta no existe",IF(AND(OR(I1493="Transferencia",I1493="Pago tarjeta"),G1493=""),"⚠ Indica la cuenta «Hacia»",IF(AND(G1493&lt;&gt;"",G1493=E1493),"⚠ «Hacia» igual a la cuenta",IF(AND(G1493&lt;&gt;"",ISNA(MATCH(G1493,ctaNom,0))),"⚠ «Hacia» no existe",IF(AND(I1493="Pago tarjeta",IFERROR(INDEX(ctaTipo,MATCH(G1493,ctaNom,0)),"")&lt;&gt;"Tarjeta de crédito"),"⚠ «Hacia» debe ser la tarjeta",IF(AND(I1493="Trading",IFERROR(INDEX(ctaTipo,MATCH(E1493,ctaNom,0)),"")&lt;&gt;"Cuenta de trading"),"⚠ Usa la cuenta de trading","✓"))))))))))))</f>
        <v/>
      </c>
      <c r="I1493" s="19">
        <f>IF(OR(B1493="",C1493="",D1493=""),"",IFERROR(INDEX(catTipo,MATCH(D1493,catNom,0))&amp;"",""))</f>
        <v/>
      </c>
      <c r="J1493" s="19">
        <f>IF(I1493="","",IFERROR(INDEX(catGrupo,MATCH(D1493,catNom,0))&amp;"",""))</f>
        <v/>
      </c>
      <c r="K1493" s="19">
        <f>IF(I1493="Gasto",IF(IFERROR(INDEX(catClas,MATCH(D1493,catNom,0))&amp;"","")="","Variable",IFERROR(INDEX(catClas,MATCH(D1493,catNom,0))&amp;"","")),"")</f>
        <v/>
      </c>
      <c r="L1493" s="19">
        <f>IF(I1493="","",IFERROR(INDEX(catAlim,MATCH(D1493,catNom,0))&amp;"",""))</f>
        <v/>
      </c>
      <c r="M1493" s="19">
        <f>IF(I1493="","",IFERROR(INDEX(catComida,MATCH(D1493,catNom,0))&amp;"",""))</f>
        <v/>
      </c>
      <c r="N1493" s="19">
        <f>IF(I1493="","",IFERROR(INDEX(ctaMon,MATCH(E1493,ctaNom,0))&amp;"","DOP"))</f>
        <v/>
      </c>
      <c r="O1493" s="20">
        <f>IF(I1493="","",C1493*IF(N1493="USD",TasaUSD,1))</f>
        <v/>
      </c>
      <c r="P1493" s="20">
        <f>IF(I1493="","",IF(I1493="Gasto",O1493,0))</f>
        <v/>
      </c>
      <c r="Q1493" s="20">
        <f>IF(I1493="","",IF(I1493="Ingreso",O1493,0))</f>
        <v/>
      </c>
      <c r="R1493" s="20">
        <f>IF(I1493="","",IF(I1493="Trading",O1493,0))</f>
        <v/>
      </c>
      <c r="S1493" s="19">
        <f>IF(I1493="","",IF(AND(I1493="Gasto",K1493="Variable",J1493&lt;&gt;"Trading",O1493&gt;0,O1493&lt;=Umbral),1,0))</f>
        <v/>
      </c>
      <c r="T1493" s="20">
        <f>IF(OR(I1493="",E1493=""),"",IF(OR(I1493="Gasto",I1493="Transferencia",I1493="Pago tarjeta"),-1,1)*C1493)</f>
        <v/>
      </c>
      <c r="U1493" s="20">
        <f>IF(OR(G1493="",AND(I1493&lt;&gt;"Transferencia",I1493&lt;&gt;"Pago tarjeta")),"",IF(IFERROR(INDEX(ctaMon,MATCH(G1493,ctaNom,0))&amp;"","DOP")=N1493,C1493,IF(N1493="USD",C1493*TasaUSD,C1493/TasaUSD)))</f>
        <v/>
      </c>
      <c r="V1493" s="20">
        <f>IF(I1493="","",IF(IFERROR(INDEX(ctaLiq,MATCH(E1493,ctaNom,0))="Sí",FALSE),IF(OR(I1493="Gasto",I1493="Transferencia",I1493="Pago tarjeta"),-1,1)*O1493,0)+IF(AND(U1493&lt;&gt;"",IFERROR(INDEX(ctaLiq,MATCH(G1493,ctaNom,0))="Sí",FALSE)),O1493,0))</f>
        <v/>
      </c>
      <c r="W1493" s="19">
        <f>IF(OR(F1493="",I1493=""),"",IF(COUNTIFS(F$6:F1493,F1493,I$6:I1493,"?*")=1,MAX(W$5:W1492)+1,""))</f>
        <v/>
      </c>
    </row>
    <row r="1494">
      <c r="B1494" s="15" t="n"/>
      <c r="C1494" s="16" t="n"/>
      <c r="D1494" s="17" t="n"/>
      <c r="E1494" s="17" t="n"/>
      <c r="F1494" s="17" t="n"/>
      <c r="G1494" s="17" t="n"/>
      <c r="H1494" s="18">
        <f>IF(AND(B1494="",C1494="",D1494="",E1494=""),"",IF(B1494="","⚠ Falta fecha",IF(C1494="","⚠ Falta monto",IF(D1494="","⚠ Falta categoría",IF(ISNA(MATCH(D1494,catNom,0)),"⚠ Categoría no existe",IF(E1494="","⚠ Falta cuenta",IF(ISNA(MATCH(E1494,ctaNom,0)),"⚠ Cuenta no existe",IF(AND(OR(I1494="Transferencia",I1494="Pago tarjeta"),G1494=""),"⚠ Indica la cuenta «Hacia»",IF(AND(G1494&lt;&gt;"",G1494=E1494),"⚠ «Hacia» igual a la cuenta",IF(AND(G1494&lt;&gt;"",ISNA(MATCH(G1494,ctaNom,0))),"⚠ «Hacia» no existe",IF(AND(I1494="Pago tarjeta",IFERROR(INDEX(ctaTipo,MATCH(G1494,ctaNom,0)),"")&lt;&gt;"Tarjeta de crédito"),"⚠ «Hacia» debe ser la tarjeta",IF(AND(I1494="Trading",IFERROR(INDEX(ctaTipo,MATCH(E1494,ctaNom,0)),"")&lt;&gt;"Cuenta de trading"),"⚠ Usa la cuenta de trading","✓"))))))))))))</f>
        <v/>
      </c>
      <c r="I1494" s="19">
        <f>IF(OR(B1494="",C1494="",D1494=""),"",IFERROR(INDEX(catTipo,MATCH(D1494,catNom,0))&amp;"",""))</f>
        <v/>
      </c>
      <c r="J1494" s="19">
        <f>IF(I1494="","",IFERROR(INDEX(catGrupo,MATCH(D1494,catNom,0))&amp;"",""))</f>
        <v/>
      </c>
      <c r="K1494" s="19">
        <f>IF(I1494="Gasto",IF(IFERROR(INDEX(catClas,MATCH(D1494,catNom,0))&amp;"","")="","Variable",IFERROR(INDEX(catClas,MATCH(D1494,catNom,0))&amp;"","")),"")</f>
        <v/>
      </c>
      <c r="L1494" s="19">
        <f>IF(I1494="","",IFERROR(INDEX(catAlim,MATCH(D1494,catNom,0))&amp;"",""))</f>
        <v/>
      </c>
      <c r="M1494" s="19">
        <f>IF(I1494="","",IFERROR(INDEX(catComida,MATCH(D1494,catNom,0))&amp;"",""))</f>
        <v/>
      </c>
      <c r="N1494" s="19">
        <f>IF(I1494="","",IFERROR(INDEX(ctaMon,MATCH(E1494,ctaNom,0))&amp;"","DOP"))</f>
        <v/>
      </c>
      <c r="O1494" s="20">
        <f>IF(I1494="","",C1494*IF(N1494="USD",TasaUSD,1))</f>
        <v/>
      </c>
      <c r="P1494" s="20">
        <f>IF(I1494="","",IF(I1494="Gasto",O1494,0))</f>
        <v/>
      </c>
      <c r="Q1494" s="20">
        <f>IF(I1494="","",IF(I1494="Ingreso",O1494,0))</f>
        <v/>
      </c>
      <c r="R1494" s="20">
        <f>IF(I1494="","",IF(I1494="Trading",O1494,0))</f>
        <v/>
      </c>
      <c r="S1494" s="19">
        <f>IF(I1494="","",IF(AND(I1494="Gasto",K1494="Variable",J1494&lt;&gt;"Trading",O1494&gt;0,O1494&lt;=Umbral),1,0))</f>
        <v/>
      </c>
      <c r="T1494" s="20">
        <f>IF(OR(I1494="",E1494=""),"",IF(OR(I1494="Gasto",I1494="Transferencia",I1494="Pago tarjeta"),-1,1)*C1494)</f>
        <v/>
      </c>
      <c r="U1494" s="20">
        <f>IF(OR(G1494="",AND(I1494&lt;&gt;"Transferencia",I1494&lt;&gt;"Pago tarjeta")),"",IF(IFERROR(INDEX(ctaMon,MATCH(G1494,ctaNom,0))&amp;"","DOP")=N1494,C1494,IF(N1494="USD",C1494*TasaUSD,C1494/TasaUSD)))</f>
        <v/>
      </c>
      <c r="V1494" s="20">
        <f>IF(I1494="","",IF(IFERROR(INDEX(ctaLiq,MATCH(E1494,ctaNom,0))="Sí",FALSE),IF(OR(I1494="Gasto",I1494="Transferencia",I1494="Pago tarjeta"),-1,1)*O1494,0)+IF(AND(U1494&lt;&gt;"",IFERROR(INDEX(ctaLiq,MATCH(G1494,ctaNom,0))="Sí",FALSE)),O1494,0))</f>
        <v/>
      </c>
      <c r="W1494" s="19">
        <f>IF(OR(F1494="",I1494=""),"",IF(COUNTIFS(F$6:F1494,F1494,I$6:I1494,"?*")=1,MAX(W$5:W1493)+1,""))</f>
        <v/>
      </c>
    </row>
    <row r="1495">
      <c r="B1495" s="15" t="n"/>
      <c r="C1495" s="16" t="n"/>
      <c r="D1495" s="17" t="n"/>
      <c r="E1495" s="17" t="n"/>
      <c r="F1495" s="17" t="n"/>
      <c r="G1495" s="17" t="n"/>
      <c r="H1495" s="18">
        <f>IF(AND(B1495="",C1495="",D1495="",E1495=""),"",IF(B1495="","⚠ Falta fecha",IF(C1495="","⚠ Falta monto",IF(D1495="","⚠ Falta categoría",IF(ISNA(MATCH(D1495,catNom,0)),"⚠ Categoría no existe",IF(E1495="","⚠ Falta cuenta",IF(ISNA(MATCH(E1495,ctaNom,0)),"⚠ Cuenta no existe",IF(AND(OR(I1495="Transferencia",I1495="Pago tarjeta"),G1495=""),"⚠ Indica la cuenta «Hacia»",IF(AND(G1495&lt;&gt;"",G1495=E1495),"⚠ «Hacia» igual a la cuenta",IF(AND(G1495&lt;&gt;"",ISNA(MATCH(G1495,ctaNom,0))),"⚠ «Hacia» no existe",IF(AND(I1495="Pago tarjeta",IFERROR(INDEX(ctaTipo,MATCH(G1495,ctaNom,0)),"")&lt;&gt;"Tarjeta de crédito"),"⚠ «Hacia» debe ser la tarjeta",IF(AND(I1495="Trading",IFERROR(INDEX(ctaTipo,MATCH(E1495,ctaNom,0)),"")&lt;&gt;"Cuenta de trading"),"⚠ Usa la cuenta de trading","✓"))))))))))))</f>
        <v/>
      </c>
      <c r="I1495" s="19">
        <f>IF(OR(B1495="",C1495="",D1495=""),"",IFERROR(INDEX(catTipo,MATCH(D1495,catNom,0))&amp;"",""))</f>
        <v/>
      </c>
      <c r="J1495" s="19">
        <f>IF(I1495="","",IFERROR(INDEX(catGrupo,MATCH(D1495,catNom,0))&amp;"",""))</f>
        <v/>
      </c>
      <c r="K1495" s="19">
        <f>IF(I1495="Gasto",IF(IFERROR(INDEX(catClas,MATCH(D1495,catNom,0))&amp;"","")="","Variable",IFERROR(INDEX(catClas,MATCH(D1495,catNom,0))&amp;"","")),"")</f>
        <v/>
      </c>
      <c r="L1495" s="19">
        <f>IF(I1495="","",IFERROR(INDEX(catAlim,MATCH(D1495,catNom,0))&amp;"",""))</f>
        <v/>
      </c>
      <c r="M1495" s="19">
        <f>IF(I1495="","",IFERROR(INDEX(catComida,MATCH(D1495,catNom,0))&amp;"",""))</f>
        <v/>
      </c>
      <c r="N1495" s="19">
        <f>IF(I1495="","",IFERROR(INDEX(ctaMon,MATCH(E1495,ctaNom,0))&amp;"","DOP"))</f>
        <v/>
      </c>
      <c r="O1495" s="20">
        <f>IF(I1495="","",C1495*IF(N1495="USD",TasaUSD,1))</f>
        <v/>
      </c>
      <c r="P1495" s="20">
        <f>IF(I1495="","",IF(I1495="Gasto",O1495,0))</f>
        <v/>
      </c>
      <c r="Q1495" s="20">
        <f>IF(I1495="","",IF(I1495="Ingreso",O1495,0))</f>
        <v/>
      </c>
      <c r="R1495" s="20">
        <f>IF(I1495="","",IF(I1495="Trading",O1495,0))</f>
        <v/>
      </c>
      <c r="S1495" s="19">
        <f>IF(I1495="","",IF(AND(I1495="Gasto",K1495="Variable",J1495&lt;&gt;"Trading",O1495&gt;0,O1495&lt;=Umbral),1,0))</f>
        <v/>
      </c>
      <c r="T1495" s="20">
        <f>IF(OR(I1495="",E1495=""),"",IF(OR(I1495="Gasto",I1495="Transferencia",I1495="Pago tarjeta"),-1,1)*C1495)</f>
        <v/>
      </c>
      <c r="U1495" s="20">
        <f>IF(OR(G1495="",AND(I1495&lt;&gt;"Transferencia",I1495&lt;&gt;"Pago tarjeta")),"",IF(IFERROR(INDEX(ctaMon,MATCH(G1495,ctaNom,0))&amp;"","DOP")=N1495,C1495,IF(N1495="USD",C1495*TasaUSD,C1495/TasaUSD)))</f>
        <v/>
      </c>
      <c r="V1495" s="20">
        <f>IF(I1495="","",IF(IFERROR(INDEX(ctaLiq,MATCH(E1495,ctaNom,0))="Sí",FALSE),IF(OR(I1495="Gasto",I1495="Transferencia",I1495="Pago tarjeta"),-1,1)*O1495,0)+IF(AND(U1495&lt;&gt;"",IFERROR(INDEX(ctaLiq,MATCH(G1495,ctaNom,0))="Sí",FALSE)),O1495,0))</f>
        <v/>
      </c>
      <c r="W1495" s="19">
        <f>IF(OR(F1495="",I1495=""),"",IF(COUNTIFS(F$6:F1495,F1495,I$6:I1495,"?*")=1,MAX(W$5:W1494)+1,""))</f>
        <v/>
      </c>
    </row>
    <row r="1496">
      <c r="B1496" s="15" t="n"/>
      <c r="C1496" s="16" t="n"/>
      <c r="D1496" s="17" t="n"/>
      <c r="E1496" s="17" t="n"/>
      <c r="F1496" s="17" t="n"/>
      <c r="G1496" s="17" t="n"/>
      <c r="H1496" s="18">
        <f>IF(AND(B1496="",C1496="",D1496="",E1496=""),"",IF(B1496="","⚠ Falta fecha",IF(C1496="","⚠ Falta monto",IF(D1496="","⚠ Falta categoría",IF(ISNA(MATCH(D1496,catNom,0)),"⚠ Categoría no existe",IF(E1496="","⚠ Falta cuenta",IF(ISNA(MATCH(E1496,ctaNom,0)),"⚠ Cuenta no existe",IF(AND(OR(I1496="Transferencia",I1496="Pago tarjeta"),G1496=""),"⚠ Indica la cuenta «Hacia»",IF(AND(G1496&lt;&gt;"",G1496=E1496),"⚠ «Hacia» igual a la cuenta",IF(AND(G1496&lt;&gt;"",ISNA(MATCH(G1496,ctaNom,0))),"⚠ «Hacia» no existe",IF(AND(I1496="Pago tarjeta",IFERROR(INDEX(ctaTipo,MATCH(G1496,ctaNom,0)),"")&lt;&gt;"Tarjeta de crédito"),"⚠ «Hacia» debe ser la tarjeta",IF(AND(I1496="Trading",IFERROR(INDEX(ctaTipo,MATCH(E1496,ctaNom,0)),"")&lt;&gt;"Cuenta de trading"),"⚠ Usa la cuenta de trading","✓"))))))))))))</f>
        <v/>
      </c>
      <c r="I1496" s="19">
        <f>IF(OR(B1496="",C1496="",D1496=""),"",IFERROR(INDEX(catTipo,MATCH(D1496,catNom,0))&amp;"",""))</f>
        <v/>
      </c>
      <c r="J1496" s="19">
        <f>IF(I1496="","",IFERROR(INDEX(catGrupo,MATCH(D1496,catNom,0))&amp;"",""))</f>
        <v/>
      </c>
      <c r="K1496" s="19">
        <f>IF(I1496="Gasto",IF(IFERROR(INDEX(catClas,MATCH(D1496,catNom,0))&amp;"","")="","Variable",IFERROR(INDEX(catClas,MATCH(D1496,catNom,0))&amp;"","")),"")</f>
        <v/>
      </c>
      <c r="L1496" s="19">
        <f>IF(I1496="","",IFERROR(INDEX(catAlim,MATCH(D1496,catNom,0))&amp;"",""))</f>
        <v/>
      </c>
      <c r="M1496" s="19">
        <f>IF(I1496="","",IFERROR(INDEX(catComida,MATCH(D1496,catNom,0))&amp;"",""))</f>
        <v/>
      </c>
      <c r="N1496" s="19">
        <f>IF(I1496="","",IFERROR(INDEX(ctaMon,MATCH(E1496,ctaNom,0))&amp;"","DOP"))</f>
        <v/>
      </c>
      <c r="O1496" s="20">
        <f>IF(I1496="","",C1496*IF(N1496="USD",TasaUSD,1))</f>
        <v/>
      </c>
      <c r="P1496" s="20">
        <f>IF(I1496="","",IF(I1496="Gasto",O1496,0))</f>
        <v/>
      </c>
      <c r="Q1496" s="20">
        <f>IF(I1496="","",IF(I1496="Ingreso",O1496,0))</f>
        <v/>
      </c>
      <c r="R1496" s="20">
        <f>IF(I1496="","",IF(I1496="Trading",O1496,0))</f>
        <v/>
      </c>
      <c r="S1496" s="19">
        <f>IF(I1496="","",IF(AND(I1496="Gasto",K1496="Variable",J1496&lt;&gt;"Trading",O1496&gt;0,O1496&lt;=Umbral),1,0))</f>
        <v/>
      </c>
      <c r="T1496" s="20">
        <f>IF(OR(I1496="",E1496=""),"",IF(OR(I1496="Gasto",I1496="Transferencia",I1496="Pago tarjeta"),-1,1)*C1496)</f>
        <v/>
      </c>
      <c r="U1496" s="20">
        <f>IF(OR(G1496="",AND(I1496&lt;&gt;"Transferencia",I1496&lt;&gt;"Pago tarjeta")),"",IF(IFERROR(INDEX(ctaMon,MATCH(G1496,ctaNom,0))&amp;"","DOP")=N1496,C1496,IF(N1496="USD",C1496*TasaUSD,C1496/TasaUSD)))</f>
        <v/>
      </c>
      <c r="V1496" s="20">
        <f>IF(I1496="","",IF(IFERROR(INDEX(ctaLiq,MATCH(E1496,ctaNom,0))="Sí",FALSE),IF(OR(I1496="Gasto",I1496="Transferencia",I1496="Pago tarjeta"),-1,1)*O1496,0)+IF(AND(U1496&lt;&gt;"",IFERROR(INDEX(ctaLiq,MATCH(G1496,ctaNom,0))="Sí",FALSE)),O1496,0))</f>
        <v/>
      </c>
      <c r="W1496" s="19">
        <f>IF(OR(F1496="",I1496=""),"",IF(COUNTIFS(F$6:F1496,F1496,I$6:I1496,"?*")=1,MAX(W$5:W1495)+1,""))</f>
        <v/>
      </c>
    </row>
    <row r="1497">
      <c r="B1497" s="15" t="n"/>
      <c r="C1497" s="16" t="n"/>
      <c r="D1497" s="17" t="n"/>
      <c r="E1497" s="17" t="n"/>
      <c r="F1497" s="17" t="n"/>
      <c r="G1497" s="17" t="n"/>
      <c r="H1497" s="18">
        <f>IF(AND(B1497="",C1497="",D1497="",E1497=""),"",IF(B1497="","⚠ Falta fecha",IF(C1497="","⚠ Falta monto",IF(D1497="","⚠ Falta categoría",IF(ISNA(MATCH(D1497,catNom,0)),"⚠ Categoría no existe",IF(E1497="","⚠ Falta cuenta",IF(ISNA(MATCH(E1497,ctaNom,0)),"⚠ Cuenta no existe",IF(AND(OR(I1497="Transferencia",I1497="Pago tarjeta"),G1497=""),"⚠ Indica la cuenta «Hacia»",IF(AND(G1497&lt;&gt;"",G1497=E1497),"⚠ «Hacia» igual a la cuenta",IF(AND(G1497&lt;&gt;"",ISNA(MATCH(G1497,ctaNom,0))),"⚠ «Hacia» no existe",IF(AND(I1497="Pago tarjeta",IFERROR(INDEX(ctaTipo,MATCH(G1497,ctaNom,0)),"")&lt;&gt;"Tarjeta de crédito"),"⚠ «Hacia» debe ser la tarjeta",IF(AND(I1497="Trading",IFERROR(INDEX(ctaTipo,MATCH(E1497,ctaNom,0)),"")&lt;&gt;"Cuenta de trading"),"⚠ Usa la cuenta de trading","✓"))))))))))))</f>
        <v/>
      </c>
      <c r="I1497" s="19">
        <f>IF(OR(B1497="",C1497="",D1497=""),"",IFERROR(INDEX(catTipo,MATCH(D1497,catNom,0))&amp;"",""))</f>
        <v/>
      </c>
      <c r="J1497" s="19">
        <f>IF(I1497="","",IFERROR(INDEX(catGrupo,MATCH(D1497,catNom,0))&amp;"",""))</f>
        <v/>
      </c>
      <c r="K1497" s="19">
        <f>IF(I1497="Gasto",IF(IFERROR(INDEX(catClas,MATCH(D1497,catNom,0))&amp;"","")="","Variable",IFERROR(INDEX(catClas,MATCH(D1497,catNom,0))&amp;"","")),"")</f>
        <v/>
      </c>
      <c r="L1497" s="19">
        <f>IF(I1497="","",IFERROR(INDEX(catAlim,MATCH(D1497,catNom,0))&amp;"",""))</f>
        <v/>
      </c>
      <c r="M1497" s="19">
        <f>IF(I1497="","",IFERROR(INDEX(catComida,MATCH(D1497,catNom,0))&amp;"",""))</f>
        <v/>
      </c>
      <c r="N1497" s="19">
        <f>IF(I1497="","",IFERROR(INDEX(ctaMon,MATCH(E1497,ctaNom,0))&amp;"","DOP"))</f>
        <v/>
      </c>
      <c r="O1497" s="20">
        <f>IF(I1497="","",C1497*IF(N1497="USD",TasaUSD,1))</f>
        <v/>
      </c>
      <c r="P1497" s="20">
        <f>IF(I1497="","",IF(I1497="Gasto",O1497,0))</f>
        <v/>
      </c>
      <c r="Q1497" s="20">
        <f>IF(I1497="","",IF(I1497="Ingreso",O1497,0))</f>
        <v/>
      </c>
      <c r="R1497" s="20">
        <f>IF(I1497="","",IF(I1497="Trading",O1497,0))</f>
        <v/>
      </c>
      <c r="S1497" s="19">
        <f>IF(I1497="","",IF(AND(I1497="Gasto",K1497="Variable",J1497&lt;&gt;"Trading",O1497&gt;0,O1497&lt;=Umbral),1,0))</f>
        <v/>
      </c>
      <c r="T1497" s="20">
        <f>IF(OR(I1497="",E1497=""),"",IF(OR(I1497="Gasto",I1497="Transferencia",I1497="Pago tarjeta"),-1,1)*C1497)</f>
        <v/>
      </c>
      <c r="U1497" s="20">
        <f>IF(OR(G1497="",AND(I1497&lt;&gt;"Transferencia",I1497&lt;&gt;"Pago tarjeta")),"",IF(IFERROR(INDEX(ctaMon,MATCH(G1497,ctaNom,0))&amp;"","DOP")=N1497,C1497,IF(N1497="USD",C1497*TasaUSD,C1497/TasaUSD)))</f>
        <v/>
      </c>
      <c r="V1497" s="20">
        <f>IF(I1497="","",IF(IFERROR(INDEX(ctaLiq,MATCH(E1497,ctaNom,0))="Sí",FALSE),IF(OR(I1497="Gasto",I1497="Transferencia",I1497="Pago tarjeta"),-1,1)*O1497,0)+IF(AND(U1497&lt;&gt;"",IFERROR(INDEX(ctaLiq,MATCH(G1497,ctaNom,0))="Sí",FALSE)),O1497,0))</f>
        <v/>
      </c>
      <c r="W1497" s="19">
        <f>IF(OR(F1497="",I1497=""),"",IF(COUNTIFS(F$6:F1497,F1497,I$6:I1497,"?*")=1,MAX(W$5:W1496)+1,""))</f>
        <v/>
      </c>
    </row>
    <row r="1498">
      <c r="B1498" s="15" t="n"/>
      <c r="C1498" s="16" t="n"/>
      <c r="D1498" s="17" t="n"/>
      <c r="E1498" s="17" t="n"/>
      <c r="F1498" s="17" t="n"/>
      <c r="G1498" s="17" t="n"/>
      <c r="H1498" s="18">
        <f>IF(AND(B1498="",C1498="",D1498="",E1498=""),"",IF(B1498="","⚠ Falta fecha",IF(C1498="","⚠ Falta monto",IF(D1498="","⚠ Falta categoría",IF(ISNA(MATCH(D1498,catNom,0)),"⚠ Categoría no existe",IF(E1498="","⚠ Falta cuenta",IF(ISNA(MATCH(E1498,ctaNom,0)),"⚠ Cuenta no existe",IF(AND(OR(I1498="Transferencia",I1498="Pago tarjeta"),G1498=""),"⚠ Indica la cuenta «Hacia»",IF(AND(G1498&lt;&gt;"",G1498=E1498),"⚠ «Hacia» igual a la cuenta",IF(AND(G1498&lt;&gt;"",ISNA(MATCH(G1498,ctaNom,0))),"⚠ «Hacia» no existe",IF(AND(I1498="Pago tarjeta",IFERROR(INDEX(ctaTipo,MATCH(G1498,ctaNom,0)),"")&lt;&gt;"Tarjeta de crédito"),"⚠ «Hacia» debe ser la tarjeta",IF(AND(I1498="Trading",IFERROR(INDEX(ctaTipo,MATCH(E1498,ctaNom,0)),"")&lt;&gt;"Cuenta de trading"),"⚠ Usa la cuenta de trading","✓"))))))))))))</f>
        <v/>
      </c>
      <c r="I1498" s="19">
        <f>IF(OR(B1498="",C1498="",D1498=""),"",IFERROR(INDEX(catTipo,MATCH(D1498,catNom,0))&amp;"",""))</f>
        <v/>
      </c>
      <c r="J1498" s="19">
        <f>IF(I1498="","",IFERROR(INDEX(catGrupo,MATCH(D1498,catNom,0))&amp;"",""))</f>
        <v/>
      </c>
      <c r="K1498" s="19">
        <f>IF(I1498="Gasto",IF(IFERROR(INDEX(catClas,MATCH(D1498,catNom,0))&amp;"","")="","Variable",IFERROR(INDEX(catClas,MATCH(D1498,catNom,0))&amp;"","")),"")</f>
        <v/>
      </c>
      <c r="L1498" s="19">
        <f>IF(I1498="","",IFERROR(INDEX(catAlim,MATCH(D1498,catNom,0))&amp;"",""))</f>
        <v/>
      </c>
      <c r="M1498" s="19">
        <f>IF(I1498="","",IFERROR(INDEX(catComida,MATCH(D1498,catNom,0))&amp;"",""))</f>
        <v/>
      </c>
      <c r="N1498" s="19">
        <f>IF(I1498="","",IFERROR(INDEX(ctaMon,MATCH(E1498,ctaNom,0))&amp;"","DOP"))</f>
        <v/>
      </c>
      <c r="O1498" s="20">
        <f>IF(I1498="","",C1498*IF(N1498="USD",TasaUSD,1))</f>
        <v/>
      </c>
      <c r="P1498" s="20">
        <f>IF(I1498="","",IF(I1498="Gasto",O1498,0))</f>
        <v/>
      </c>
      <c r="Q1498" s="20">
        <f>IF(I1498="","",IF(I1498="Ingreso",O1498,0))</f>
        <v/>
      </c>
      <c r="R1498" s="20">
        <f>IF(I1498="","",IF(I1498="Trading",O1498,0))</f>
        <v/>
      </c>
      <c r="S1498" s="19">
        <f>IF(I1498="","",IF(AND(I1498="Gasto",K1498="Variable",J1498&lt;&gt;"Trading",O1498&gt;0,O1498&lt;=Umbral),1,0))</f>
        <v/>
      </c>
      <c r="T1498" s="20">
        <f>IF(OR(I1498="",E1498=""),"",IF(OR(I1498="Gasto",I1498="Transferencia",I1498="Pago tarjeta"),-1,1)*C1498)</f>
        <v/>
      </c>
      <c r="U1498" s="20">
        <f>IF(OR(G1498="",AND(I1498&lt;&gt;"Transferencia",I1498&lt;&gt;"Pago tarjeta")),"",IF(IFERROR(INDEX(ctaMon,MATCH(G1498,ctaNom,0))&amp;"","DOP")=N1498,C1498,IF(N1498="USD",C1498*TasaUSD,C1498/TasaUSD)))</f>
        <v/>
      </c>
      <c r="V1498" s="20">
        <f>IF(I1498="","",IF(IFERROR(INDEX(ctaLiq,MATCH(E1498,ctaNom,0))="Sí",FALSE),IF(OR(I1498="Gasto",I1498="Transferencia",I1498="Pago tarjeta"),-1,1)*O1498,0)+IF(AND(U1498&lt;&gt;"",IFERROR(INDEX(ctaLiq,MATCH(G1498,ctaNom,0))="Sí",FALSE)),O1498,0))</f>
        <v/>
      </c>
      <c r="W1498" s="19">
        <f>IF(OR(F1498="",I1498=""),"",IF(COUNTIFS(F$6:F1498,F1498,I$6:I1498,"?*")=1,MAX(W$5:W1497)+1,""))</f>
        <v/>
      </c>
    </row>
    <row r="1499">
      <c r="B1499" s="15" t="n"/>
      <c r="C1499" s="16" t="n"/>
      <c r="D1499" s="17" t="n"/>
      <c r="E1499" s="17" t="n"/>
      <c r="F1499" s="17" t="n"/>
      <c r="G1499" s="17" t="n"/>
      <c r="H1499" s="18">
        <f>IF(AND(B1499="",C1499="",D1499="",E1499=""),"",IF(B1499="","⚠ Falta fecha",IF(C1499="","⚠ Falta monto",IF(D1499="","⚠ Falta categoría",IF(ISNA(MATCH(D1499,catNom,0)),"⚠ Categoría no existe",IF(E1499="","⚠ Falta cuenta",IF(ISNA(MATCH(E1499,ctaNom,0)),"⚠ Cuenta no existe",IF(AND(OR(I1499="Transferencia",I1499="Pago tarjeta"),G1499=""),"⚠ Indica la cuenta «Hacia»",IF(AND(G1499&lt;&gt;"",G1499=E1499),"⚠ «Hacia» igual a la cuenta",IF(AND(G1499&lt;&gt;"",ISNA(MATCH(G1499,ctaNom,0))),"⚠ «Hacia» no existe",IF(AND(I1499="Pago tarjeta",IFERROR(INDEX(ctaTipo,MATCH(G1499,ctaNom,0)),"")&lt;&gt;"Tarjeta de crédito"),"⚠ «Hacia» debe ser la tarjeta",IF(AND(I1499="Trading",IFERROR(INDEX(ctaTipo,MATCH(E1499,ctaNom,0)),"")&lt;&gt;"Cuenta de trading"),"⚠ Usa la cuenta de trading","✓"))))))))))))</f>
        <v/>
      </c>
      <c r="I1499" s="19">
        <f>IF(OR(B1499="",C1499="",D1499=""),"",IFERROR(INDEX(catTipo,MATCH(D1499,catNom,0))&amp;"",""))</f>
        <v/>
      </c>
      <c r="J1499" s="19">
        <f>IF(I1499="","",IFERROR(INDEX(catGrupo,MATCH(D1499,catNom,0))&amp;"",""))</f>
        <v/>
      </c>
      <c r="K1499" s="19">
        <f>IF(I1499="Gasto",IF(IFERROR(INDEX(catClas,MATCH(D1499,catNom,0))&amp;"","")="","Variable",IFERROR(INDEX(catClas,MATCH(D1499,catNom,0))&amp;"","")),"")</f>
        <v/>
      </c>
      <c r="L1499" s="19">
        <f>IF(I1499="","",IFERROR(INDEX(catAlim,MATCH(D1499,catNom,0))&amp;"",""))</f>
        <v/>
      </c>
      <c r="M1499" s="19">
        <f>IF(I1499="","",IFERROR(INDEX(catComida,MATCH(D1499,catNom,0))&amp;"",""))</f>
        <v/>
      </c>
      <c r="N1499" s="19">
        <f>IF(I1499="","",IFERROR(INDEX(ctaMon,MATCH(E1499,ctaNom,0))&amp;"","DOP"))</f>
        <v/>
      </c>
      <c r="O1499" s="20">
        <f>IF(I1499="","",C1499*IF(N1499="USD",TasaUSD,1))</f>
        <v/>
      </c>
      <c r="P1499" s="20">
        <f>IF(I1499="","",IF(I1499="Gasto",O1499,0))</f>
        <v/>
      </c>
      <c r="Q1499" s="20">
        <f>IF(I1499="","",IF(I1499="Ingreso",O1499,0))</f>
        <v/>
      </c>
      <c r="R1499" s="20">
        <f>IF(I1499="","",IF(I1499="Trading",O1499,0))</f>
        <v/>
      </c>
      <c r="S1499" s="19">
        <f>IF(I1499="","",IF(AND(I1499="Gasto",K1499="Variable",J1499&lt;&gt;"Trading",O1499&gt;0,O1499&lt;=Umbral),1,0))</f>
        <v/>
      </c>
      <c r="T1499" s="20">
        <f>IF(OR(I1499="",E1499=""),"",IF(OR(I1499="Gasto",I1499="Transferencia",I1499="Pago tarjeta"),-1,1)*C1499)</f>
        <v/>
      </c>
      <c r="U1499" s="20">
        <f>IF(OR(G1499="",AND(I1499&lt;&gt;"Transferencia",I1499&lt;&gt;"Pago tarjeta")),"",IF(IFERROR(INDEX(ctaMon,MATCH(G1499,ctaNom,0))&amp;"","DOP")=N1499,C1499,IF(N1499="USD",C1499*TasaUSD,C1499/TasaUSD)))</f>
        <v/>
      </c>
      <c r="V1499" s="20">
        <f>IF(I1499="","",IF(IFERROR(INDEX(ctaLiq,MATCH(E1499,ctaNom,0))="Sí",FALSE),IF(OR(I1499="Gasto",I1499="Transferencia",I1499="Pago tarjeta"),-1,1)*O1499,0)+IF(AND(U1499&lt;&gt;"",IFERROR(INDEX(ctaLiq,MATCH(G1499,ctaNom,0))="Sí",FALSE)),O1499,0))</f>
        <v/>
      </c>
      <c r="W1499" s="19">
        <f>IF(OR(F1499="",I1499=""),"",IF(COUNTIFS(F$6:F1499,F1499,I$6:I1499,"?*")=1,MAX(W$5:W1498)+1,""))</f>
        <v/>
      </c>
    </row>
    <row r="1500">
      <c r="B1500" s="15" t="n"/>
      <c r="C1500" s="16" t="n"/>
      <c r="D1500" s="17" t="n"/>
      <c r="E1500" s="17" t="n"/>
      <c r="F1500" s="17" t="n"/>
      <c r="G1500" s="17" t="n"/>
      <c r="H1500" s="18">
        <f>IF(AND(B1500="",C1500="",D1500="",E1500=""),"",IF(B1500="","⚠ Falta fecha",IF(C1500="","⚠ Falta monto",IF(D1500="","⚠ Falta categoría",IF(ISNA(MATCH(D1500,catNom,0)),"⚠ Categoría no existe",IF(E1500="","⚠ Falta cuenta",IF(ISNA(MATCH(E1500,ctaNom,0)),"⚠ Cuenta no existe",IF(AND(OR(I1500="Transferencia",I1500="Pago tarjeta"),G1500=""),"⚠ Indica la cuenta «Hacia»",IF(AND(G1500&lt;&gt;"",G1500=E1500),"⚠ «Hacia» igual a la cuenta",IF(AND(G1500&lt;&gt;"",ISNA(MATCH(G1500,ctaNom,0))),"⚠ «Hacia» no existe",IF(AND(I1500="Pago tarjeta",IFERROR(INDEX(ctaTipo,MATCH(G1500,ctaNom,0)),"")&lt;&gt;"Tarjeta de crédito"),"⚠ «Hacia» debe ser la tarjeta",IF(AND(I1500="Trading",IFERROR(INDEX(ctaTipo,MATCH(E1500,ctaNom,0)),"")&lt;&gt;"Cuenta de trading"),"⚠ Usa la cuenta de trading","✓"))))))))))))</f>
        <v/>
      </c>
      <c r="I1500" s="19">
        <f>IF(OR(B1500="",C1500="",D1500=""),"",IFERROR(INDEX(catTipo,MATCH(D1500,catNom,0))&amp;"",""))</f>
        <v/>
      </c>
      <c r="J1500" s="19">
        <f>IF(I1500="","",IFERROR(INDEX(catGrupo,MATCH(D1500,catNom,0))&amp;"",""))</f>
        <v/>
      </c>
      <c r="K1500" s="19">
        <f>IF(I1500="Gasto",IF(IFERROR(INDEX(catClas,MATCH(D1500,catNom,0))&amp;"","")="","Variable",IFERROR(INDEX(catClas,MATCH(D1500,catNom,0))&amp;"","")),"")</f>
        <v/>
      </c>
      <c r="L1500" s="19">
        <f>IF(I1500="","",IFERROR(INDEX(catAlim,MATCH(D1500,catNom,0))&amp;"",""))</f>
        <v/>
      </c>
      <c r="M1500" s="19">
        <f>IF(I1500="","",IFERROR(INDEX(catComida,MATCH(D1500,catNom,0))&amp;"",""))</f>
        <v/>
      </c>
      <c r="N1500" s="19">
        <f>IF(I1500="","",IFERROR(INDEX(ctaMon,MATCH(E1500,ctaNom,0))&amp;"","DOP"))</f>
        <v/>
      </c>
      <c r="O1500" s="20">
        <f>IF(I1500="","",C1500*IF(N1500="USD",TasaUSD,1))</f>
        <v/>
      </c>
      <c r="P1500" s="20">
        <f>IF(I1500="","",IF(I1500="Gasto",O1500,0))</f>
        <v/>
      </c>
      <c r="Q1500" s="20">
        <f>IF(I1500="","",IF(I1500="Ingreso",O1500,0))</f>
        <v/>
      </c>
      <c r="R1500" s="20">
        <f>IF(I1500="","",IF(I1500="Trading",O1500,0))</f>
        <v/>
      </c>
      <c r="S1500" s="19">
        <f>IF(I1500="","",IF(AND(I1500="Gasto",K1500="Variable",J1500&lt;&gt;"Trading",O1500&gt;0,O1500&lt;=Umbral),1,0))</f>
        <v/>
      </c>
      <c r="T1500" s="20">
        <f>IF(OR(I1500="",E1500=""),"",IF(OR(I1500="Gasto",I1500="Transferencia",I1500="Pago tarjeta"),-1,1)*C1500)</f>
        <v/>
      </c>
      <c r="U1500" s="20">
        <f>IF(OR(G1500="",AND(I1500&lt;&gt;"Transferencia",I1500&lt;&gt;"Pago tarjeta")),"",IF(IFERROR(INDEX(ctaMon,MATCH(G1500,ctaNom,0))&amp;"","DOP")=N1500,C1500,IF(N1500="USD",C1500*TasaUSD,C1500/TasaUSD)))</f>
        <v/>
      </c>
      <c r="V1500" s="20">
        <f>IF(I1500="","",IF(IFERROR(INDEX(ctaLiq,MATCH(E1500,ctaNom,0))="Sí",FALSE),IF(OR(I1500="Gasto",I1500="Transferencia",I1500="Pago tarjeta"),-1,1)*O1500,0)+IF(AND(U1500&lt;&gt;"",IFERROR(INDEX(ctaLiq,MATCH(G1500,ctaNom,0))="Sí",FALSE)),O1500,0))</f>
        <v/>
      </c>
      <c r="W1500" s="19">
        <f>IF(OR(F1500="",I1500=""),"",IF(COUNTIFS(F$6:F1500,F1500,I$6:I1500,"?*")=1,MAX(W$5:W1499)+1,""))</f>
        <v/>
      </c>
    </row>
    <row r="1501">
      <c r="B1501" s="15" t="n"/>
      <c r="C1501" s="16" t="n"/>
      <c r="D1501" s="17" t="n"/>
      <c r="E1501" s="17" t="n"/>
      <c r="F1501" s="17" t="n"/>
      <c r="G1501" s="17" t="n"/>
      <c r="H1501" s="18">
        <f>IF(AND(B1501="",C1501="",D1501="",E1501=""),"",IF(B1501="","⚠ Falta fecha",IF(C1501="","⚠ Falta monto",IF(D1501="","⚠ Falta categoría",IF(ISNA(MATCH(D1501,catNom,0)),"⚠ Categoría no existe",IF(E1501="","⚠ Falta cuenta",IF(ISNA(MATCH(E1501,ctaNom,0)),"⚠ Cuenta no existe",IF(AND(OR(I1501="Transferencia",I1501="Pago tarjeta"),G1501=""),"⚠ Indica la cuenta «Hacia»",IF(AND(G1501&lt;&gt;"",G1501=E1501),"⚠ «Hacia» igual a la cuenta",IF(AND(G1501&lt;&gt;"",ISNA(MATCH(G1501,ctaNom,0))),"⚠ «Hacia» no existe",IF(AND(I1501="Pago tarjeta",IFERROR(INDEX(ctaTipo,MATCH(G1501,ctaNom,0)),"")&lt;&gt;"Tarjeta de crédito"),"⚠ «Hacia» debe ser la tarjeta",IF(AND(I1501="Trading",IFERROR(INDEX(ctaTipo,MATCH(E1501,ctaNom,0)),"")&lt;&gt;"Cuenta de trading"),"⚠ Usa la cuenta de trading","✓"))))))))))))</f>
        <v/>
      </c>
      <c r="I1501" s="19">
        <f>IF(OR(B1501="",C1501="",D1501=""),"",IFERROR(INDEX(catTipo,MATCH(D1501,catNom,0))&amp;"",""))</f>
        <v/>
      </c>
      <c r="J1501" s="19">
        <f>IF(I1501="","",IFERROR(INDEX(catGrupo,MATCH(D1501,catNom,0))&amp;"",""))</f>
        <v/>
      </c>
      <c r="K1501" s="19">
        <f>IF(I1501="Gasto",IF(IFERROR(INDEX(catClas,MATCH(D1501,catNom,0))&amp;"","")="","Variable",IFERROR(INDEX(catClas,MATCH(D1501,catNom,0))&amp;"","")),"")</f>
        <v/>
      </c>
      <c r="L1501" s="19">
        <f>IF(I1501="","",IFERROR(INDEX(catAlim,MATCH(D1501,catNom,0))&amp;"",""))</f>
        <v/>
      </c>
      <c r="M1501" s="19">
        <f>IF(I1501="","",IFERROR(INDEX(catComida,MATCH(D1501,catNom,0))&amp;"",""))</f>
        <v/>
      </c>
      <c r="N1501" s="19">
        <f>IF(I1501="","",IFERROR(INDEX(ctaMon,MATCH(E1501,ctaNom,0))&amp;"","DOP"))</f>
        <v/>
      </c>
      <c r="O1501" s="20">
        <f>IF(I1501="","",C1501*IF(N1501="USD",TasaUSD,1))</f>
        <v/>
      </c>
      <c r="P1501" s="20">
        <f>IF(I1501="","",IF(I1501="Gasto",O1501,0))</f>
        <v/>
      </c>
      <c r="Q1501" s="20">
        <f>IF(I1501="","",IF(I1501="Ingreso",O1501,0))</f>
        <v/>
      </c>
      <c r="R1501" s="20">
        <f>IF(I1501="","",IF(I1501="Trading",O1501,0))</f>
        <v/>
      </c>
      <c r="S1501" s="19">
        <f>IF(I1501="","",IF(AND(I1501="Gasto",K1501="Variable",J1501&lt;&gt;"Trading",O1501&gt;0,O1501&lt;=Umbral),1,0))</f>
        <v/>
      </c>
      <c r="T1501" s="20">
        <f>IF(OR(I1501="",E1501=""),"",IF(OR(I1501="Gasto",I1501="Transferencia",I1501="Pago tarjeta"),-1,1)*C1501)</f>
        <v/>
      </c>
      <c r="U1501" s="20">
        <f>IF(OR(G1501="",AND(I1501&lt;&gt;"Transferencia",I1501&lt;&gt;"Pago tarjeta")),"",IF(IFERROR(INDEX(ctaMon,MATCH(G1501,ctaNom,0))&amp;"","DOP")=N1501,C1501,IF(N1501="USD",C1501*TasaUSD,C1501/TasaUSD)))</f>
        <v/>
      </c>
      <c r="V1501" s="20">
        <f>IF(I1501="","",IF(IFERROR(INDEX(ctaLiq,MATCH(E1501,ctaNom,0))="Sí",FALSE),IF(OR(I1501="Gasto",I1501="Transferencia",I1501="Pago tarjeta"),-1,1)*O1501,0)+IF(AND(U1501&lt;&gt;"",IFERROR(INDEX(ctaLiq,MATCH(G1501,ctaNom,0))="Sí",FALSE)),O1501,0))</f>
        <v/>
      </c>
      <c r="W1501" s="19">
        <f>IF(OR(F1501="",I1501=""),"",IF(COUNTIFS(F$6:F1501,F1501,I$6:I1501,"?*")=1,MAX(W$5:W1500)+1,""))</f>
        <v/>
      </c>
    </row>
    <row r="1502">
      <c r="B1502" s="15" t="n"/>
      <c r="C1502" s="16" t="n"/>
      <c r="D1502" s="17" t="n"/>
      <c r="E1502" s="17" t="n"/>
      <c r="F1502" s="17" t="n"/>
      <c r="G1502" s="17" t="n"/>
      <c r="H1502" s="18">
        <f>IF(AND(B1502="",C1502="",D1502="",E1502=""),"",IF(B1502="","⚠ Falta fecha",IF(C1502="","⚠ Falta monto",IF(D1502="","⚠ Falta categoría",IF(ISNA(MATCH(D1502,catNom,0)),"⚠ Categoría no existe",IF(E1502="","⚠ Falta cuenta",IF(ISNA(MATCH(E1502,ctaNom,0)),"⚠ Cuenta no existe",IF(AND(OR(I1502="Transferencia",I1502="Pago tarjeta"),G1502=""),"⚠ Indica la cuenta «Hacia»",IF(AND(G1502&lt;&gt;"",G1502=E1502),"⚠ «Hacia» igual a la cuenta",IF(AND(G1502&lt;&gt;"",ISNA(MATCH(G1502,ctaNom,0))),"⚠ «Hacia» no existe",IF(AND(I1502="Pago tarjeta",IFERROR(INDEX(ctaTipo,MATCH(G1502,ctaNom,0)),"")&lt;&gt;"Tarjeta de crédito"),"⚠ «Hacia» debe ser la tarjeta",IF(AND(I1502="Trading",IFERROR(INDEX(ctaTipo,MATCH(E1502,ctaNom,0)),"")&lt;&gt;"Cuenta de trading"),"⚠ Usa la cuenta de trading","✓"))))))))))))</f>
        <v/>
      </c>
      <c r="I1502" s="19">
        <f>IF(OR(B1502="",C1502="",D1502=""),"",IFERROR(INDEX(catTipo,MATCH(D1502,catNom,0))&amp;"",""))</f>
        <v/>
      </c>
      <c r="J1502" s="19">
        <f>IF(I1502="","",IFERROR(INDEX(catGrupo,MATCH(D1502,catNom,0))&amp;"",""))</f>
        <v/>
      </c>
      <c r="K1502" s="19">
        <f>IF(I1502="Gasto",IF(IFERROR(INDEX(catClas,MATCH(D1502,catNom,0))&amp;"","")="","Variable",IFERROR(INDEX(catClas,MATCH(D1502,catNom,0))&amp;"","")),"")</f>
        <v/>
      </c>
      <c r="L1502" s="19">
        <f>IF(I1502="","",IFERROR(INDEX(catAlim,MATCH(D1502,catNom,0))&amp;"",""))</f>
        <v/>
      </c>
      <c r="M1502" s="19">
        <f>IF(I1502="","",IFERROR(INDEX(catComida,MATCH(D1502,catNom,0))&amp;"",""))</f>
        <v/>
      </c>
      <c r="N1502" s="19">
        <f>IF(I1502="","",IFERROR(INDEX(ctaMon,MATCH(E1502,ctaNom,0))&amp;"","DOP"))</f>
        <v/>
      </c>
      <c r="O1502" s="20">
        <f>IF(I1502="","",C1502*IF(N1502="USD",TasaUSD,1))</f>
        <v/>
      </c>
      <c r="P1502" s="20">
        <f>IF(I1502="","",IF(I1502="Gasto",O1502,0))</f>
        <v/>
      </c>
      <c r="Q1502" s="20">
        <f>IF(I1502="","",IF(I1502="Ingreso",O1502,0))</f>
        <v/>
      </c>
      <c r="R1502" s="20">
        <f>IF(I1502="","",IF(I1502="Trading",O1502,0))</f>
        <v/>
      </c>
      <c r="S1502" s="19">
        <f>IF(I1502="","",IF(AND(I1502="Gasto",K1502="Variable",J1502&lt;&gt;"Trading",O1502&gt;0,O1502&lt;=Umbral),1,0))</f>
        <v/>
      </c>
      <c r="T1502" s="20">
        <f>IF(OR(I1502="",E1502=""),"",IF(OR(I1502="Gasto",I1502="Transferencia",I1502="Pago tarjeta"),-1,1)*C1502)</f>
        <v/>
      </c>
      <c r="U1502" s="20">
        <f>IF(OR(G1502="",AND(I1502&lt;&gt;"Transferencia",I1502&lt;&gt;"Pago tarjeta")),"",IF(IFERROR(INDEX(ctaMon,MATCH(G1502,ctaNom,0))&amp;"","DOP")=N1502,C1502,IF(N1502="USD",C1502*TasaUSD,C1502/TasaUSD)))</f>
        <v/>
      </c>
      <c r="V1502" s="20">
        <f>IF(I1502="","",IF(IFERROR(INDEX(ctaLiq,MATCH(E1502,ctaNom,0))="Sí",FALSE),IF(OR(I1502="Gasto",I1502="Transferencia",I1502="Pago tarjeta"),-1,1)*O1502,0)+IF(AND(U1502&lt;&gt;"",IFERROR(INDEX(ctaLiq,MATCH(G1502,ctaNom,0))="Sí",FALSE)),O1502,0))</f>
        <v/>
      </c>
      <c r="W1502" s="19">
        <f>IF(OR(F1502="",I1502=""),"",IF(COUNTIFS(F$6:F1502,F1502,I$6:I1502,"?*")=1,MAX(W$5:W1501)+1,""))</f>
        <v/>
      </c>
    </row>
    <row r="1503">
      <c r="B1503" s="15" t="n"/>
      <c r="C1503" s="16" t="n"/>
      <c r="D1503" s="17" t="n"/>
      <c r="E1503" s="17" t="n"/>
      <c r="F1503" s="17" t="n"/>
      <c r="G1503" s="17" t="n"/>
      <c r="H1503" s="18">
        <f>IF(AND(B1503="",C1503="",D1503="",E1503=""),"",IF(B1503="","⚠ Falta fecha",IF(C1503="","⚠ Falta monto",IF(D1503="","⚠ Falta categoría",IF(ISNA(MATCH(D1503,catNom,0)),"⚠ Categoría no existe",IF(E1503="","⚠ Falta cuenta",IF(ISNA(MATCH(E1503,ctaNom,0)),"⚠ Cuenta no existe",IF(AND(OR(I1503="Transferencia",I1503="Pago tarjeta"),G1503=""),"⚠ Indica la cuenta «Hacia»",IF(AND(G1503&lt;&gt;"",G1503=E1503),"⚠ «Hacia» igual a la cuenta",IF(AND(G1503&lt;&gt;"",ISNA(MATCH(G1503,ctaNom,0))),"⚠ «Hacia» no existe",IF(AND(I1503="Pago tarjeta",IFERROR(INDEX(ctaTipo,MATCH(G1503,ctaNom,0)),"")&lt;&gt;"Tarjeta de crédito"),"⚠ «Hacia» debe ser la tarjeta",IF(AND(I1503="Trading",IFERROR(INDEX(ctaTipo,MATCH(E1503,ctaNom,0)),"")&lt;&gt;"Cuenta de trading"),"⚠ Usa la cuenta de trading","✓"))))))))))))</f>
        <v/>
      </c>
      <c r="I1503" s="19">
        <f>IF(OR(B1503="",C1503="",D1503=""),"",IFERROR(INDEX(catTipo,MATCH(D1503,catNom,0))&amp;"",""))</f>
        <v/>
      </c>
      <c r="J1503" s="19">
        <f>IF(I1503="","",IFERROR(INDEX(catGrupo,MATCH(D1503,catNom,0))&amp;"",""))</f>
        <v/>
      </c>
      <c r="K1503" s="19">
        <f>IF(I1503="Gasto",IF(IFERROR(INDEX(catClas,MATCH(D1503,catNom,0))&amp;"","")="","Variable",IFERROR(INDEX(catClas,MATCH(D1503,catNom,0))&amp;"","")),"")</f>
        <v/>
      </c>
      <c r="L1503" s="19">
        <f>IF(I1503="","",IFERROR(INDEX(catAlim,MATCH(D1503,catNom,0))&amp;"",""))</f>
        <v/>
      </c>
      <c r="M1503" s="19">
        <f>IF(I1503="","",IFERROR(INDEX(catComida,MATCH(D1503,catNom,0))&amp;"",""))</f>
        <v/>
      </c>
      <c r="N1503" s="19">
        <f>IF(I1503="","",IFERROR(INDEX(ctaMon,MATCH(E1503,ctaNom,0))&amp;"","DOP"))</f>
        <v/>
      </c>
      <c r="O1503" s="20">
        <f>IF(I1503="","",C1503*IF(N1503="USD",TasaUSD,1))</f>
        <v/>
      </c>
      <c r="P1503" s="20">
        <f>IF(I1503="","",IF(I1503="Gasto",O1503,0))</f>
        <v/>
      </c>
      <c r="Q1503" s="20">
        <f>IF(I1503="","",IF(I1503="Ingreso",O1503,0))</f>
        <v/>
      </c>
      <c r="R1503" s="20">
        <f>IF(I1503="","",IF(I1503="Trading",O1503,0))</f>
        <v/>
      </c>
      <c r="S1503" s="19">
        <f>IF(I1503="","",IF(AND(I1503="Gasto",K1503="Variable",J1503&lt;&gt;"Trading",O1503&gt;0,O1503&lt;=Umbral),1,0))</f>
        <v/>
      </c>
      <c r="T1503" s="20">
        <f>IF(OR(I1503="",E1503=""),"",IF(OR(I1503="Gasto",I1503="Transferencia",I1503="Pago tarjeta"),-1,1)*C1503)</f>
        <v/>
      </c>
      <c r="U1503" s="20">
        <f>IF(OR(G1503="",AND(I1503&lt;&gt;"Transferencia",I1503&lt;&gt;"Pago tarjeta")),"",IF(IFERROR(INDEX(ctaMon,MATCH(G1503,ctaNom,0))&amp;"","DOP")=N1503,C1503,IF(N1503="USD",C1503*TasaUSD,C1503/TasaUSD)))</f>
        <v/>
      </c>
      <c r="V1503" s="20">
        <f>IF(I1503="","",IF(IFERROR(INDEX(ctaLiq,MATCH(E1503,ctaNom,0))="Sí",FALSE),IF(OR(I1503="Gasto",I1503="Transferencia",I1503="Pago tarjeta"),-1,1)*O1503,0)+IF(AND(U1503&lt;&gt;"",IFERROR(INDEX(ctaLiq,MATCH(G1503,ctaNom,0))="Sí",FALSE)),O1503,0))</f>
        <v/>
      </c>
      <c r="W1503" s="19">
        <f>IF(OR(F1503="",I1503=""),"",IF(COUNTIFS(F$6:F1503,F1503,I$6:I1503,"?*")=1,MAX(W$5:W1502)+1,""))</f>
        <v/>
      </c>
    </row>
    <row r="1504">
      <c r="B1504" s="15" t="n"/>
      <c r="C1504" s="16" t="n"/>
      <c r="D1504" s="17" t="n"/>
      <c r="E1504" s="17" t="n"/>
      <c r="F1504" s="17" t="n"/>
      <c r="G1504" s="17" t="n"/>
      <c r="H1504" s="18">
        <f>IF(AND(B1504="",C1504="",D1504="",E1504=""),"",IF(B1504="","⚠ Falta fecha",IF(C1504="","⚠ Falta monto",IF(D1504="","⚠ Falta categoría",IF(ISNA(MATCH(D1504,catNom,0)),"⚠ Categoría no existe",IF(E1504="","⚠ Falta cuenta",IF(ISNA(MATCH(E1504,ctaNom,0)),"⚠ Cuenta no existe",IF(AND(OR(I1504="Transferencia",I1504="Pago tarjeta"),G1504=""),"⚠ Indica la cuenta «Hacia»",IF(AND(G1504&lt;&gt;"",G1504=E1504),"⚠ «Hacia» igual a la cuenta",IF(AND(G1504&lt;&gt;"",ISNA(MATCH(G1504,ctaNom,0))),"⚠ «Hacia» no existe",IF(AND(I1504="Pago tarjeta",IFERROR(INDEX(ctaTipo,MATCH(G1504,ctaNom,0)),"")&lt;&gt;"Tarjeta de crédito"),"⚠ «Hacia» debe ser la tarjeta",IF(AND(I1504="Trading",IFERROR(INDEX(ctaTipo,MATCH(E1504,ctaNom,0)),"")&lt;&gt;"Cuenta de trading"),"⚠ Usa la cuenta de trading","✓"))))))))))))</f>
        <v/>
      </c>
      <c r="I1504" s="19">
        <f>IF(OR(B1504="",C1504="",D1504=""),"",IFERROR(INDEX(catTipo,MATCH(D1504,catNom,0))&amp;"",""))</f>
        <v/>
      </c>
      <c r="J1504" s="19">
        <f>IF(I1504="","",IFERROR(INDEX(catGrupo,MATCH(D1504,catNom,0))&amp;"",""))</f>
        <v/>
      </c>
      <c r="K1504" s="19">
        <f>IF(I1504="Gasto",IF(IFERROR(INDEX(catClas,MATCH(D1504,catNom,0))&amp;"","")="","Variable",IFERROR(INDEX(catClas,MATCH(D1504,catNom,0))&amp;"","")),"")</f>
        <v/>
      </c>
      <c r="L1504" s="19">
        <f>IF(I1504="","",IFERROR(INDEX(catAlim,MATCH(D1504,catNom,0))&amp;"",""))</f>
        <v/>
      </c>
      <c r="M1504" s="19">
        <f>IF(I1504="","",IFERROR(INDEX(catComida,MATCH(D1504,catNom,0))&amp;"",""))</f>
        <v/>
      </c>
      <c r="N1504" s="19">
        <f>IF(I1504="","",IFERROR(INDEX(ctaMon,MATCH(E1504,ctaNom,0))&amp;"","DOP"))</f>
        <v/>
      </c>
      <c r="O1504" s="20">
        <f>IF(I1504="","",C1504*IF(N1504="USD",TasaUSD,1))</f>
        <v/>
      </c>
      <c r="P1504" s="20">
        <f>IF(I1504="","",IF(I1504="Gasto",O1504,0))</f>
        <v/>
      </c>
      <c r="Q1504" s="20">
        <f>IF(I1504="","",IF(I1504="Ingreso",O1504,0))</f>
        <v/>
      </c>
      <c r="R1504" s="20">
        <f>IF(I1504="","",IF(I1504="Trading",O1504,0))</f>
        <v/>
      </c>
      <c r="S1504" s="19">
        <f>IF(I1504="","",IF(AND(I1504="Gasto",K1504="Variable",J1504&lt;&gt;"Trading",O1504&gt;0,O1504&lt;=Umbral),1,0))</f>
        <v/>
      </c>
      <c r="T1504" s="20">
        <f>IF(OR(I1504="",E1504=""),"",IF(OR(I1504="Gasto",I1504="Transferencia",I1504="Pago tarjeta"),-1,1)*C1504)</f>
        <v/>
      </c>
      <c r="U1504" s="20">
        <f>IF(OR(G1504="",AND(I1504&lt;&gt;"Transferencia",I1504&lt;&gt;"Pago tarjeta")),"",IF(IFERROR(INDEX(ctaMon,MATCH(G1504,ctaNom,0))&amp;"","DOP")=N1504,C1504,IF(N1504="USD",C1504*TasaUSD,C1504/TasaUSD)))</f>
        <v/>
      </c>
      <c r="V1504" s="20">
        <f>IF(I1504="","",IF(IFERROR(INDEX(ctaLiq,MATCH(E1504,ctaNom,0))="Sí",FALSE),IF(OR(I1504="Gasto",I1504="Transferencia",I1504="Pago tarjeta"),-1,1)*O1504,0)+IF(AND(U1504&lt;&gt;"",IFERROR(INDEX(ctaLiq,MATCH(G1504,ctaNom,0))="Sí",FALSE)),O1504,0))</f>
        <v/>
      </c>
      <c r="W1504" s="19">
        <f>IF(OR(F1504="",I1504=""),"",IF(COUNTIFS(F$6:F1504,F1504,I$6:I1504,"?*")=1,MAX(W$5:W1503)+1,""))</f>
        <v/>
      </c>
    </row>
    <row r="1505">
      <c r="B1505" s="15" t="n"/>
      <c r="C1505" s="16" t="n"/>
      <c r="D1505" s="17" t="n"/>
      <c r="E1505" s="17" t="n"/>
      <c r="F1505" s="17" t="n"/>
      <c r="G1505" s="17" t="n"/>
      <c r="H1505" s="18">
        <f>IF(AND(B1505="",C1505="",D1505="",E1505=""),"",IF(B1505="","⚠ Falta fecha",IF(C1505="","⚠ Falta monto",IF(D1505="","⚠ Falta categoría",IF(ISNA(MATCH(D1505,catNom,0)),"⚠ Categoría no existe",IF(E1505="","⚠ Falta cuenta",IF(ISNA(MATCH(E1505,ctaNom,0)),"⚠ Cuenta no existe",IF(AND(OR(I1505="Transferencia",I1505="Pago tarjeta"),G1505=""),"⚠ Indica la cuenta «Hacia»",IF(AND(G1505&lt;&gt;"",G1505=E1505),"⚠ «Hacia» igual a la cuenta",IF(AND(G1505&lt;&gt;"",ISNA(MATCH(G1505,ctaNom,0))),"⚠ «Hacia» no existe",IF(AND(I1505="Pago tarjeta",IFERROR(INDEX(ctaTipo,MATCH(G1505,ctaNom,0)),"")&lt;&gt;"Tarjeta de crédito"),"⚠ «Hacia» debe ser la tarjeta",IF(AND(I1505="Trading",IFERROR(INDEX(ctaTipo,MATCH(E1505,ctaNom,0)),"")&lt;&gt;"Cuenta de trading"),"⚠ Usa la cuenta de trading","✓"))))))))))))</f>
        <v/>
      </c>
      <c r="I1505" s="19">
        <f>IF(OR(B1505="",C1505="",D1505=""),"",IFERROR(INDEX(catTipo,MATCH(D1505,catNom,0))&amp;"",""))</f>
        <v/>
      </c>
      <c r="J1505" s="19">
        <f>IF(I1505="","",IFERROR(INDEX(catGrupo,MATCH(D1505,catNom,0))&amp;"",""))</f>
        <v/>
      </c>
      <c r="K1505" s="19">
        <f>IF(I1505="Gasto",IF(IFERROR(INDEX(catClas,MATCH(D1505,catNom,0))&amp;"","")="","Variable",IFERROR(INDEX(catClas,MATCH(D1505,catNom,0))&amp;"","")),"")</f>
        <v/>
      </c>
      <c r="L1505" s="19">
        <f>IF(I1505="","",IFERROR(INDEX(catAlim,MATCH(D1505,catNom,0))&amp;"",""))</f>
        <v/>
      </c>
      <c r="M1505" s="19">
        <f>IF(I1505="","",IFERROR(INDEX(catComida,MATCH(D1505,catNom,0))&amp;"",""))</f>
        <v/>
      </c>
      <c r="N1505" s="19">
        <f>IF(I1505="","",IFERROR(INDEX(ctaMon,MATCH(E1505,ctaNom,0))&amp;"","DOP"))</f>
        <v/>
      </c>
      <c r="O1505" s="20">
        <f>IF(I1505="","",C1505*IF(N1505="USD",TasaUSD,1))</f>
        <v/>
      </c>
      <c r="P1505" s="20">
        <f>IF(I1505="","",IF(I1505="Gasto",O1505,0))</f>
        <v/>
      </c>
      <c r="Q1505" s="20">
        <f>IF(I1505="","",IF(I1505="Ingreso",O1505,0))</f>
        <v/>
      </c>
      <c r="R1505" s="20">
        <f>IF(I1505="","",IF(I1505="Trading",O1505,0))</f>
        <v/>
      </c>
      <c r="S1505" s="19">
        <f>IF(I1505="","",IF(AND(I1505="Gasto",K1505="Variable",J1505&lt;&gt;"Trading",O1505&gt;0,O1505&lt;=Umbral),1,0))</f>
        <v/>
      </c>
      <c r="T1505" s="20">
        <f>IF(OR(I1505="",E1505=""),"",IF(OR(I1505="Gasto",I1505="Transferencia",I1505="Pago tarjeta"),-1,1)*C1505)</f>
        <v/>
      </c>
      <c r="U1505" s="20">
        <f>IF(OR(G1505="",AND(I1505&lt;&gt;"Transferencia",I1505&lt;&gt;"Pago tarjeta")),"",IF(IFERROR(INDEX(ctaMon,MATCH(G1505,ctaNom,0))&amp;"","DOP")=N1505,C1505,IF(N1505="USD",C1505*TasaUSD,C1505/TasaUSD)))</f>
        <v/>
      </c>
      <c r="V1505" s="20">
        <f>IF(I1505="","",IF(IFERROR(INDEX(ctaLiq,MATCH(E1505,ctaNom,0))="Sí",FALSE),IF(OR(I1505="Gasto",I1505="Transferencia",I1505="Pago tarjeta"),-1,1)*O1505,0)+IF(AND(U1505&lt;&gt;"",IFERROR(INDEX(ctaLiq,MATCH(G1505,ctaNom,0))="Sí",FALSE)),O1505,0))</f>
        <v/>
      </c>
      <c r="W1505" s="19">
        <f>IF(OR(F1505="",I1505=""),"",IF(COUNTIFS(F$6:F1505,F1505,I$6:I1505,"?*")=1,MAX(W$5:W1504)+1,""))</f>
        <v/>
      </c>
    </row>
    <row r="1506">
      <c r="B1506" s="15" t="n"/>
      <c r="C1506" s="16" t="n"/>
      <c r="D1506" s="17" t="n"/>
      <c r="E1506" s="17" t="n"/>
      <c r="F1506" s="17" t="n"/>
      <c r="G1506" s="17" t="n"/>
      <c r="H1506" s="18">
        <f>IF(AND(B1506="",C1506="",D1506="",E1506=""),"",IF(B1506="","⚠ Falta fecha",IF(C1506="","⚠ Falta monto",IF(D1506="","⚠ Falta categoría",IF(ISNA(MATCH(D1506,catNom,0)),"⚠ Categoría no existe",IF(E1506="","⚠ Falta cuenta",IF(ISNA(MATCH(E1506,ctaNom,0)),"⚠ Cuenta no existe",IF(AND(OR(I1506="Transferencia",I1506="Pago tarjeta"),G1506=""),"⚠ Indica la cuenta «Hacia»",IF(AND(G1506&lt;&gt;"",G1506=E1506),"⚠ «Hacia» igual a la cuenta",IF(AND(G1506&lt;&gt;"",ISNA(MATCH(G1506,ctaNom,0))),"⚠ «Hacia» no existe",IF(AND(I1506="Pago tarjeta",IFERROR(INDEX(ctaTipo,MATCH(G1506,ctaNom,0)),"")&lt;&gt;"Tarjeta de crédito"),"⚠ «Hacia» debe ser la tarjeta",IF(AND(I1506="Trading",IFERROR(INDEX(ctaTipo,MATCH(E1506,ctaNom,0)),"")&lt;&gt;"Cuenta de trading"),"⚠ Usa la cuenta de trading","✓"))))))))))))</f>
        <v/>
      </c>
      <c r="I1506" s="19">
        <f>IF(OR(B1506="",C1506="",D1506=""),"",IFERROR(INDEX(catTipo,MATCH(D1506,catNom,0))&amp;"",""))</f>
        <v/>
      </c>
      <c r="J1506" s="19">
        <f>IF(I1506="","",IFERROR(INDEX(catGrupo,MATCH(D1506,catNom,0))&amp;"",""))</f>
        <v/>
      </c>
      <c r="K1506" s="19">
        <f>IF(I1506="Gasto",IF(IFERROR(INDEX(catClas,MATCH(D1506,catNom,0))&amp;"","")="","Variable",IFERROR(INDEX(catClas,MATCH(D1506,catNom,0))&amp;"","")),"")</f>
        <v/>
      </c>
      <c r="L1506" s="19">
        <f>IF(I1506="","",IFERROR(INDEX(catAlim,MATCH(D1506,catNom,0))&amp;"",""))</f>
        <v/>
      </c>
      <c r="M1506" s="19">
        <f>IF(I1506="","",IFERROR(INDEX(catComida,MATCH(D1506,catNom,0))&amp;"",""))</f>
        <v/>
      </c>
      <c r="N1506" s="19">
        <f>IF(I1506="","",IFERROR(INDEX(ctaMon,MATCH(E1506,ctaNom,0))&amp;"","DOP"))</f>
        <v/>
      </c>
      <c r="O1506" s="20">
        <f>IF(I1506="","",C1506*IF(N1506="USD",TasaUSD,1))</f>
        <v/>
      </c>
      <c r="P1506" s="20">
        <f>IF(I1506="","",IF(I1506="Gasto",O1506,0))</f>
        <v/>
      </c>
      <c r="Q1506" s="20">
        <f>IF(I1506="","",IF(I1506="Ingreso",O1506,0))</f>
        <v/>
      </c>
      <c r="R1506" s="20">
        <f>IF(I1506="","",IF(I1506="Trading",O1506,0))</f>
        <v/>
      </c>
      <c r="S1506" s="19">
        <f>IF(I1506="","",IF(AND(I1506="Gasto",K1506="Variable",J1506&lt;&gt;"Trading",O1506&gt;0,O1506&lt;=Umbral),1,0))</f>
        <v/>
      </c>
      <c r="T1506" s="20">
        <f>IF(OR(I1506="",E1506=""),"",IF(OR(I1506="Gasto",I1506="Transferencia",I1506="Pago tarjeta"),-1,1)*C1506)</f>
        <v/>
      </c>
      <c r="U1506" s="20">
        <f>IF(OR(G1506="",AND(I1506&lt;&gt;"Transferencia",I1506&lt;&gt;"Pago tarjeta")),"",IF(IFERROR(INDEX(ctaMon,MATCH(G1506,ctaNom,0))&amp;"","DOP")=N1506,C1506,IF(N1506="USD",C1506*TasaUSD,C1506/TasaUSD)))</f>
        <v/>
      </c>
      <c r="V1506" s="20">
        <f>IF(I1506="","",IF(IFERROR(INDEX(ctaLiq,MATCH(E1506,ctaNom,0))="Sí",FALSE),IF(OR(I1506="Gasto",I1506="Transferencia",I1506="Pago tarjeta"),-1,1)*O1506,0)+IF(AND(U1506&lt;&gt;"",IFERROR(INDEX(ctaLiq,MATCH(G1506,ctaNom,0))="Sí",FALSE)),O1506,0))</f>
        <v/>
      </c>
      <c r="W1506" s="19">
        <f>IF(OR(F1506="",I1506=""),"",IF(COUNTIFS(F$6:F1506,F1506,I$6:I1506,"?*")=1,MAX(W$5:W1505)+1,""))</f>
        <v/>
      </c>
    </row>
    <row r="1507">
      <c r="B1507" s="15" t="n"/>
      <c r="C1507" s="16" t="n"/>
      <c r="D1507" s="17" t="n"/>
      <c r="E1507" s="17" t="n"/>
      <c r="F1507" s="17" t="n"/>
      <c r="G1507" s="17" t="n"/>
      <c r="H1507" s="18">
        <f>IF(AND(B1507="",C1507="",D1507="",E1507=""),"",IF(B1507="","⚠ Falta fecha",IF(C1507="","⚠ Falta monto",IF(D1507="","⚠ Falta categoría",IF(ISNA(MATCH(D1507,catNom,0)),"⚠ Categoría no existe",IF(E1507="","⚠ Falta cuenta",IF(ISNA(MATCH(E1507,ctaNom,0)),"⚠ Cuenta no existe",IF(AND(OR(I1507="Transferencia",I1507="Pago tarjeta"),G1507=""),"⚠ Indica la cuenta «Hacia»",IF(AND(G1507&lt;&gt;"",G1507=E1507),"⚠ «Hacia» igual a la cuenta",IF(AND(G1507&lt;&gt;"",ISNA(MATCH(G1507,ctaNom,0))),"⚠ «Hacia» no existe",IF(AND(I1507="Pago tarjeta",IFERROR(INDEX(ctaTipo,MATCH(G1507,ctaNom,0)),"")&lt;&gt;"Tarjeta de crédito"),"⚠ «Hacia» debe ser la tarjeta",IF(AND(I1507="Trading",IFERROR(INDEX(ctaTipo,MATCH(E1507,ctaNom,0)),"")&lt;&gt;"Cuenta de trading"),"⚠ Usa la cuenta de trading","✓"))))))))))))</f>
        <v/>
      </c>
      <c r="I1507" s="19">
        <f>IF(OR(B1507="",C1507="",D1507=""),"",IFERROR(INDEX(catTipo,MATCH(D1507,catNom,0))&amp;"",""))</f>
        <v/>
      </c>
      <c r="J1507" s="19">
        <f>IF(I1507="","",IFERROR(INDEX(catGrupo,MATCH(D1507,catNom,0))&amp;"",""))</f>
        <v/>
      </c>
      <c r="K1507" s="19">
        <f>IF(I1507="Gasto",IF(IFERROR(INDEX(catClas,MATCH(D1507,catNom,0))&amp;"","")="","Variable",IFERROR(INDEX(catClas,MATCH(D1507,catNom,0))&amp;"","")),"")</f>
        <v/>
      </c>
      <c r="L1507" s="19">
        <f>IF(I1507="","",IFERROR(INDEX(catAlim,MATCH(D1507,catNom,0))&amp;"",""))</f>
        <v/>
      </c>
      <c r="M1507" s="19">
        <f>IF(I1507="","",IFERROR(INDEX(catComida,MATCH(D1507,catNom,0))&amp;"",""))</f>
        <v/>
      </c>
      <c r="N1507" s="19">
        <f>IF(I1507="","",IFERROR(INDEX(ctaMon,MATCH(E1507,ctaNom,0))&amp;"","DOP"))</f>
        <v/>
      </c>
      <c r="O1507" s="20">
        <f>IF(I1507="","",C1507*IF(N1507="USD",TasaUSD,1))</f>
        <v/>
      </c>
      <c r="P1507" s="20">
        <f>IF(I1507="","",IF(I1507="Gasto",O1507,0))</f>
        <v/>
      </c>
      <c r="Q1507" s="20">
        <f>IF(I1507="","",IF(I1507="Ingreso",O1507,0))</f>
        <v/>
      </c>
      <c r="R1507" s="20">
        <f>IF(I1507="","",IF(I1507="Trading",O1507,0))</f>
        <v/>
      </c>
      <c r="S1507" s="19">
        <f>IF(I1507="","",IF(AND(I1507="Gasto",K1507="Variable",J1507&lt;&gt;"Trading",O1507&gt;0,O1507&lt;=Umbral),1,0))</f>
        <v/>
      </c>
      <c r="T1507" s="20">
        <f>IF(OR(I1507="",E1507=""),"",IF(OR(I1507="Gasto",I1507="Transferencia",I1507="Pago tarjeta"),-1,1)*C1507)</f>
        <v/>
      </c>
      <c r="U1507" s="20">
        <f>IF(OR(G1507="",AND(I1507&lt;&gt;"Transferencia",I1507&lt;&gt;"Pago tarjeta")),"",IF(IFERROR(INDEX(ctaMon,MATCH(G1507,ctaNom,0))&amp;"","DOP")=N1507,C1507,IF(N1507="USD",C1507*TasaUSD,C1507/TasaUSD)))</f>
        <v/>
      </c>
      <c r="V1507" s="20">
        <f>IF(I1507="","",IF(IFERROR(INDEX(ctaLiq,MATCH(E1507,ctaNom,0))="Sí",FALSE),IF(OR(I1507="Gasto",I1507="Transferencia",I1507="Pago tarjeta"),-1,1)*O1507,0)+IF(AND(U1507&lt;&gt;"",IFERROR(INDEX(ctaLiq,MATCH(G1507,ctaNom,0))="Sí",FALSE)),O1507,0))</f>
        <v/>
      </c>
      <c r="W1507" s="19">
        <f>IF(OR(F1507="",I1507=""),"",IF(COUNTIFS(F$6:F1507,F1507,I$6:I1507,"?*")=1,MAX(W$5:W1506)+1,""))</f>
        <v/>
      </c>
    </row>
    <row r="1508">
      <c r="B1508" s="15" t="n"/>
      <c r="C1508" s="16" t="n"/>
      <c r="D1508" s="17" t="n"/>
      <c r="E1508" s="17" t="n"/>
      <c r="F1508" s="17" t="n"/>
      <c r="G1508" s="17" t="n"/>
      <c r="H1508" s="18">
        <f>IF(AND(B1508="",C1508="",D1508="",E1508=""),"",IF(B1508="","⚠ Falta fecha",IF(C1508="","⚠ Falta monto",IF(D1508="","⚠ Falta categoría",IF(ISNA(MATCH(D1508,catNom,0)),"⚠ Categoría no existe",IF(E1508="","⚠ Falta cuenta",IF(ISNA(MATCH(E1508,ctaNom,0)),"⚠ Cuenta no existe",IF(AND(OR(I1508="Transferencia",I1508="Pago tarjeta"),G1508=""),"⚠ Indica la cuenta «Hacia»",IF(AND(G1508&lt;&gt;"",G1508=E1508),"⚠ «Hacia» igual a la cuenta",IF(AND(G1508&lt;&gt;"",ISNA(MATCH(G1508,ctaNom,0))),"⚠ «Hacia» no existe",IF(AND(I1508="Pago tarjeta",IFERROR(INDEX(ctaTipo,MATCH(G1508,ctaNom,0)),"")&lt;&gt;"Tarjeta de crédito"),"⚠ «Hacia» debe ser la tarjeta",IF(AND(I1508="Trading",IFERROR(INDEX(ctaTipo,MATCH(E1508,ctaNom,0)),"")&lt;&gt;"Cuenta de trading"),"⚠ Usa la cuenta de trading","✓"))))))))))))</f>
        <v/>
      </c>
      <c r="I1508" s="19">
        <f>IF(OR(B1508="",C1508="",D1508=""),"",IFERROR(INDEX(catTipo,MATCH(D1508,catNom,0))&amp;"",""))</f>
        <v/>
      </c>
      <c r="J1508" s="19">
        <f>IF(I1508="","",IFERROR(INDEX(catGrupo,MATCH(D1508,catNom,0))&amp;"",""))</f>
        <v/>
      </c>
      <c r="K1508" s="19">
        <f>IF(I1508="Gasto",IF(IFERROR(INDEX(catClas,MATCH(D1508,catNom,0))&amp;"","")="","Variable",IFERROR(INDEX(catClas,MATCH(D1508,catNom,0))&amp;"","")),"")</f>
        <v/>
      </c>
      <c r="L1508" s="19">
        <f>IF(I1508="","",IFERROR(INDEX(catAlim,MATCH(D1508,catNom,0))&amp;"",""))</f>
        <v/>
      </c>
      <c r="M1508" s="19">
        <f>IF(I1508="","",IFERROR(INDEX(catComida,MATCH(D1508,catNom,0))&amp;"",""))</f>
        <v/>
      </c>
      <c r="N1508" s="19">
        <f>IF(I1508="","",IFERROR(INDEX(ctaMon,MATCH(E1508,ctaNom,0))&amp;"","DOP"))</f>
        <v/>
      </c>
      <c r="O1508" s="20">
        <f>IF(I1508="","",C1508*IF(N1508="USD",TasaUSD,1))</f>
        <v/>
      </c>
      <c r="P1508" s="20">
        <f>IF(I1508="","",IF(I1508="Gasto",O1508,0))</f>
        <v/>
      </c>
      <c r="Q1508" s="20">
        <f>IF(I1508="","",IF(I1508="Ingreso",O1508,0))</f>
        <v/>
      </c>
      <c r="R1508" s="20">
        <f>IF(I1508="","",IF(I1508="Trading",O1508,0))</f>
        <v/>
      </c>
      <c r="S1508" s="19">
        <f>IF(I1508="","",IF(AND(I1508="Gasto",K1508="Variable",J1508&lt;&gt;"Trading",O1508&gt;0,O1508&lt;=Umbral),1,0))</f>
        <v/>
      </c>
      <c r="T1508" s="20">
        <f>IF(OR(I1508="",E1508=""),"",IF(OR(I1508="Gasto",I1508="Transferencia",I1508="Pago tarjeta"),-1,1)*C1508)</f>
        <v/>
      </c>
      <c r="U1508" s="20">
        <f>IF(OR(G1508="",AND(I1508&lt;&gt;"Transferencia",I1508&lt;&gt;"Pago tarjeta")),"",IF(IFERROR(INDEX(ctaMon,MATCH(G1508,ctaNom,0))&amp;"","DOP")=N1508,C1508,IF(N1508="USD",C1508*TasaUSD,C1508/TasaUSD)))</f>
        <v/>
      </c>
      <c r="V1508" s="20">
        <f>IF(I1508="","",IF(IFERROR(INDEX(ctaLiq,MATCH(E1508,ctaNom,0))="Sí",FALSE),IF(OR(I1508="Gasto",I1508="Transferencia",I1508="Pago tarjeta"),-1,1)*O1508,0)+IF(AND(U1508&lt;&gt;"",IFERROR(INDEX(ctaLiq,MATCH(G1508,ctaNom,0))="Sí",FALSE)),O1508,0))</f>
        <v/>
      </c>
      <c r="W1508" s="19">
        <f>IF(OR(F1508="",I1508=""),"",IF(COUNTIFS(F$6:F1508,F1508,I$6:I1508,"?*")=1,MAX(W$5:W1507)+1,""))</f>
        <v/>
      </c>
    </row>
    <row r="1509">
      <c r="B1509" s="15" t="n"/>
      <c r="C1509" s="16" t="n"/>
      <c r="D1509" s="17" t="n"/>
      <c r="E1509" s="17" t="n"/>
      <c r="F1509" s="17" t="n"/>
      <c r="G1509" s="17" t="n"/>
      <c r="H1509" s="18">
        <f>IF(AND(B1509="",C1509="",D1509="",E1509=""),"",IF(B1509="","⚠ Falta fecha",IF(C1509="","⚠ Falta monto",IF(D1509="","⚠ Falta categoría",IF(ISNA(MATCH(D1509,catNom,0)),"⚠ Categoría no existe",IF(E1509="","⚠ Falta cuenta",IF(ISNA(MATCH(E1509,ctaNom,0)),"⚠ Cuenta no existe",IF(AND(OR(I1509="Transferencia",I1509="Pago tarjeta"),G1509=""),"⚠ Indica la cuenta «Hacia»",IF(AND(G1509&lt;&gt;"",G1509=E1509),"⚠ «Hacia» igual a la cuenta",IF(AND(G1509&lt;&gt;"",ISNA(MATCH(G1509,ctaNom,0))),"⚠ «Hacia» no existe",IF(AND(I1509="Pago tarjeta",IFERROR(INDEX(ctaTipo,MATCH(G1509,ctaNom,0)),"")&lt;&gt;"Tarjeta de crédito"),"⚠ «Hacia» debe ser la tarjeta",IF(AND(I1509="Trading",IFERROR(INDEX(ctaTipo,MATCH(E1509,ctaNom,0)),"")&lt;&gt;"Cuenta de trading"),"⚠ Usa la cuenta de trading","✓"))))))))))))</f>
        <v/>
      </c>
      <c r="I1509" s="19">
        <f>IF(OR(B1509="",C1509="",D1509=""),"",IFERROR(INDEX(catTipo,MATCH(D1509,catNom,0))&amp;"",""))</f>
        <v/>
      </c>
      <c r="J1509" s="19">
        <f>IF(I1509="","",IFERROR(INDEX(catGrupo,MATCH(D1509,catNom,0))&amp;"",""))</f>
        <v/>
      </c>
      <c r="K1509" s="19">
        <f>IF(I1509="Gasto",IF(IFERROR(INDEX(catClas,MATCH(D1509,catNom,0))&amp;"","")="","Variable",IFERROR(INDEX(catClas,MATCH(D1509,catNom,0))&amp;"","")),"")</f>
        <v/>
      </c>
      <c r="L1509" s="19">
        <f>IF(I1509="","",IFERROR(INDEX(catAlim,MATCH(D1509,catNom,0))&amp;"",""))</f>
        <v/>
      </c>
      <c r="M1509" s="19">
        <f>IF(I1509="","",IFERROR(INDEX(catComida,MATCH(D1509,catNom,0))&amp;"",""))</f>
        <v/>
      </c>
      <c r="N1509" s="19">
        <f>IF(I1509="","",IFERROR(INDEX(ctaMon,MATCH(E1509,ctaNom,0))&amp;"","DOP"))</f>
        <v/>
      </c>
      <c r="O1509" s="20">
        <f>IF(I1509="","",C1509*IF(N1509="USD",TasaUSD,1))</f>
        <v/>
      </c>
      <c r="P1509" s="20">
        <f>IF(I1509="","",IF(I1509="Gasto",O1509,0))</f>
        <v/>
      </c>
      <c r="Q1509" s="20">
        <f>IF(I1509="","",IF(I1509="Ingreso",O1509,0))</f>
        <v/>
      </c>
      <c r="R1509" s="20">
        <f>IF(I1509="","",IF(I1509="Trading",O1509,0))</f>
        <v/>
      </c>
      <c r="S1509" s="19">
        <f>IF(I1509="","",IF(AND(I1509="Gasto",K1509="Variable",J1509&lt;&gt;"Trading",O1509&gt;0,O1509&lt;=Umbral),1,0))</f>
        <v/>
      </c>
      <c r="T1509" s="20">
        <f>IF(OR(I1509="",E1509=""),"",IF(OR(I1509="Gasto",I1509="Transferencia",I1509="Pago tarjeta"),-1,1)*C1509)</f>
        <v/>
      </c>
      <c r="U1509" s="20">
        <f>IF(OR(G1509="",AND(I1509&lt;&gt;"Transferencia",I1509&lt;&gt;"Pago tarjeta")),"",IF(IFERROR(INDEX(ctaMon,MATCH(G1509,ctaNom,0))&amp;"","DOP")=N1509,C1509,IF(N1509="USD",C1509*TasaUSD,C1509/TasaUSD)))</f>
        <v/>
      </c>
      <c r="V1509" s="20">
        <f>IF(I1509="","",IF(IFERROR(INDEX(ctaLiq,MATCH(E1509,ctaNom,0))="Sí",FALSE),IF(OR(I1509="Gasto",I1509="Transferencia",I1509="Pago tarjeta"),-1,1)*O1509,0)+IF(AND(U1509&lt;&gt;"",IFERROR(INDEX(ctaLiq,MATCH(G1509,ctaNom,0))="Sí",FALSE)),O1509,0))</f>
        <v/>
      </c>
      <c r="W1509" s="19">
        <f>IF(OR(F1509="",I1509=""),"",IF(COUNTIFS(F$6:F1509,F1509,I$6:I1509,"?*")=1,MAX(W$5:W1508)+1,""))</f>
        <v/>
      </c>
    </row>
    <row r="1510">
      <c r="B1510" s="15" t="n"/>
      <c r="C1510" s="16" t="n"/>
      <c r="D1510" s="17" t="n"/>
      <c r="E1510" s="17" t="n"/>
      <c r="F1510" s="17" t="n"/>
      <c r="G1510" s="17" t="n"/>
      <c r="H1510" s="18">
        <f>IF(AND(B1510="",C1510="",D1510="",E1510=""),"",IF(B1510="","⚠ Falta fecha",IF(C1510="","⚠ Falta monto",IF(D1510="","⚠ Falta categoría",IF(ISNA(MATCH(D1510,catNom,0)),"⚠ Categoría no existe",IF(E1510="","⚠ Falta cuenta",IF(ISNA(MATCH(E1510,ctaNom,0)),"⚠ Cuenta no existe",IF(AND(OR(I1510="Transferencia",I1510="Pago tarjeta"),G1510=""),"⚠ Indica la cuenta «Hacia»",IF(AND(G1510&lt;&gt;"",G1510=E1510),"⚠ «Hacia» igual a la cuenta",IF(AND(G1510&lt;&gt;"",ISNA(MATCH(G1510,ctaNom,0))),"⚠ «Hacia» no existe",IF(AND(I1510="Pago tarjeta",IFERROR(INDEX(ctaTipo,MATCH(G1510,ctaNom,0)),"")&lt;&gt;"Tarjeta de crédito"),"⚠ «Hacia» debe ser la tarjeta",IF(AND(I1510="Trading",IFERROR(INDEX(ctaTipo,MATCH(E1510,ctaNom,0)),"")&lt;&gt;"Cuenta de trading"),"⚠ Usa la cuenta de trading","✓"))))))))))))</f>
        <v/>
      </c>
      <c r="I1510" s="19">
        <f>IF(OR(B1510="",C1510="",D1510=""),"",IFERROR(INDEX(catTipo,MATCH(D1510,catNom,0))&amp;"",""))</f>
        <v/>
      </c>
      <c r="J1510" s="19">
        <f>IF(I1510="","",IFERROR(INDEX(catGrupo,MATCH(D1510,catNom,0))&amp;"",""))</f>
        <v/>
      </c>
      <c r="K1510" s="19">
        <f>IF(I1510="Gasto",IF(IFERROR(INDEX(catClas,MATCH(D1510,catNom,0))&amp;"","")="","Variable",IFERROR(INDEX(catClas,MATCH(D1510,catNom,0))&amp;"","")),"")</f>
        <v/>
      </c>
      <c r="L1510" s="19">
        <f>IF(I1510="","",IFERROR(INDEX(catAlim,MATCH(D1510,catNom,0))&amp;"",""))</f>
        <v/>
      </c>
      <c r="M1510" s="19">
        <f>IF(I1510="","",IFERROR(INDEX(catComida,MATCH(D1510,catNom,0))&amp;"",""))</f>
        <v/>
      </c>
      <c r="N1510" s="19">
        <f>IF(I1510="","",IFERROR(INDEX(ctaMon,MATCH(E1510,ctaNom,0))&amp;"","DOP"))</f>
        <v/>
      </c>
      <c r="O1510" s="20">
        <f>IF(I1510="","",C1510*IF(N1510="USD",TasaUSD,1))</f>
        <v/>
      </c>
      <c r="P1510" s="20">
        <f>IF(I1510="","",IF(I1510="Gasto",O1510,0))</f>
        <v/>
      </c>
      <c r="Q1510" s="20">
        <f>IF(I1510="","",IF(I1510="Ingreso",O1510,0))</f>
        <v/>
      </c>
      <c r="R1510" s="20">
        <f>IF(I1510="","",IF(I1510="Trading",O1510,0))</f>
        <v/>
      </c>
      <c r="S1510" s="19">
        <f>IF(I1510="","",IF(AND(I1510="Gasto",K1510="Variable",J1510&lt;&gt;"Trading",O1510&gt;0,O1510&lt;=Umbral),1,0))</f>
        <v/>
      </c>
      <c r="T1510" s="20">
        <f>IF(OR(I1510="",E1510=""),"",IF(OR(I1510="Gasto",I1510="Transferencia",I1510="Pago tarjeta"),-1,1)*C1510)</f>
        <v/>
      </c>
      <c r="U1510" s="20">
        <f>IF(OR(G1510="",AND(I1510&lt;&gt;"Transferencia",I1510&lt;&gt;"Pago tarjeta")),"",IF(IFERROR(INDEX(ctaMon,MATCH(G1510,ctaNom,0))&amp;"","DOP")=N1510,C1510,IF(N1510="USD",C1510*TasaUSD,C1510/TasaUSD)))</f>
        <v/>
      </c>
      <c r="V1510" s="20">
        <f>IF(I1510="","",IF(IFERROR(INDEX(ctaLiq,MATCH(E1510,ctaNom,0))="Sí",FALSE),IF(OR(I1510="Gasto",I1510="Transferencia",I1510="Pago tarjeta"),-1,1)*O1510,0)+IF(AND(U1510&lt;&gt;"",IFERROR(INDEX(ctaLiq,MATCH(G1510,ctaNom,0))="Sí",FALSE)),O1510,0))</f>
        <v/>
      </c>
      <c r="W1510" s="19">
        <f>IF(OR(F1510="",I1510=""),"",IF(COUNTIFS(F$6:F1510,F1510,I$6:I1510,"?*")=1,MAX(W$5:W1509)+1,""))</f>
        <v/>
      </c>
    </row>
    <row r="1511">
      <c r="B1511" s="15" t="n"/>
      <c r="C1511" s="16" t="n"/>
      <c r="D1511" s="17" t="n"/>
      <c r="E1511" s="17" t="n"/>
      <c r="F1511" s="17" t="n"/>
      <c r="G1511" s="17" t="n"/>
      <c r="H1511" s="18">
        <f>IF(AND(B1511="",C1511="",D1511="",E1511=""),"",IF(B1511="","⚠ Falta fecha",IF(C1511="","⚠ Falta monto",IF(D1511="","⚠ Falta categoría",IF(ISNA(MATCH(D1511,catNom,0)),"⚠ Categoría no existe",IF(E1511="","⚠ Falta cuenta",IF(ISNA(MATCH(E1511,ctaNom,0)),"⚠ Cuenta no existe",IF(AND(OR(I1511="Transferencia",I1511="Pago tarjeta"),G1511=""),"⚠ Indica la cuenta «Hacia»",IF(AND(G1511&lt;&gt;"",G1511=E1511),"⚠ «Hacia» igual a la cuenta",IF(AND(G1511&lt;&gt;"",ISNA(MATCH(G1511,ctaNom,0))),"⚠ «Hacia» no existe",IF(AND(I1511="Pago tarjeta",IFERROR(INDEX(ctaTipo,MATCH(G1511,ctaNom,0)),"")&lt;&gt;"Tarjeta de crédito"),"⚠ «Hacia» debe ser la tarjeta",IF(AND(I1511="Trading",IFERROR(INDEX(ctaTipo,MATCH(E1511,ctaNom,0)),"")&lt;&gt;"Cuenta de trading"),"⚠ Usa la cuenta de trading","✓"))))))))))))</f>
        <v/>
      </c>
      <c r="I1511" s="19">
        <f>IF(OR(B1511="",C1511="",D1511=""),"",IFERROR(INDEX(catTipo,MATCH(D1511,catNom,0))&amp;"",""))</f>
        <v/>
      </c>
      <c r="J1511" s="19">
        <f>IF(I1511="","",IFERROR(INDEX(catGrupo,MATCH(D1511,catNom,0))&amp;"",""))</f>
        <v/>
      </c>
      <c r="K1511" s="19">
        <f>IF(I1511="Gasto",IF(IFERROR(INDEX(catClas,MATCH(D1511,catNom,0))&amp;"","")="","Variable",IFERROR(INDEX(catClas,MATCH(D1511,catNom,0))&amp;"","")),"")</f>
        <v/>
      </c>
      <c r="L1511" s="19">
        <f>IF(I1511="","",IFERROR(INDEX(catAlim,MATCH(D1511,catNom,0))&amp;"",""))</f>
        <v/>
      </c>
      <c r="M1511" s="19">
        <f>IF(I1511="","",IFERROR(INDEX(catComida,MATCH(D1511,catNom,0))&amp;"",""))</f>
        <v/>
      </c>
      <c r="N1511" s="19">
        <f>IF(I1511="","",IFERROR(INDEX(ctaMon,MATCH(E1511,ctaNom,0))&amp;"","DOP"))</f>
        <v/>
      </c>
      <c r="O1511" s="20">
        <f>IF(I1511="","",C1511*IF(N1511="USD",TasaUSD,1))</f>
        <v/>
      </c>
      <c r="P1511" s="20">
        <f>IF(I1511="","",IF(I1511="Gasto",O1511,0))</f>
        <v/>
      </c>
      <c r="Q1511" s="20">
        <f>IF(I1511="","",IF(I1511="Ingreso",O1511,0))</f>
        <v/>
      </c>
      <c r="R1511" s="20">
        <f>IF(I1511="","",IF(I1511="Trading",O1511,0))</f>
        <v/>
      </c>
      <c r="S1511" s="19">
        <f>IF(I1511="","",IF(AND(I1511="Gasto",K1511="Variable",J1511&lt;&gt;"Trading",O1511&gt;0,O1511&lt;=Umbral),1,0))</f>
        <v/>
      </c>
      <c r="T1511" s="20">
        <f>IF(OR(I1511="",E1511=""),"",IF(OR(I1511="Gasto",I1511="Transferencia",I1511="Pago tarjeta"),-1,1)*C1511)</f>
        <v/>
      </c>
      <c r="U1511" s="20">
        <f>IF(OR(G1511="",AND(I1511&lt;&gt;"Transferencia",I1511&lt;&gt;"Pago tarjeta")),"",IF(IFERROR(INDEX(ctaMon,MATCH(G1511,ctaNom,0))&amp;"","DOP")=N1511,C1511,IF(N1511="USD",C1511*TasaUSD,C1511/TasaUSD)))</f>
        <v/>
      </c>
      <c r="V1511" s="20">
        <f>IF(I1511="","",IF(IFERROR(INDEX(ctaLiq,MATCH(E1511,ctaNom,0))="Sí",FALSE),IF(OR(I1511="Gasto",I1511="Transferencia",I1511="Pago tarjeta"),-1,1)*O1511,0)+IF(AND(U1511&lt;&gt;"",IFERROR(INDEX(ctaLiq,MATCH(G1511,ctaNom,0))="Sí",FALSE)),O1511,0))</f>
        <v/>
      </c>
      <c r="W1511" s="19">
        <f>IF(OR(F1511="",I1511=""),"",IF(COUNTIFS(F$6:F1511,F1511,I$6:I1511,"?*")=1,MAX(W$5:W1510)+1,""))</f>
        <v/>
      </c>
    </row>
    <row r="1512">
      <c r="B1512" s="15" t="n"/>
      <c r="C1512" s="16" t="n"/>
      <c r="D1512" s="17" t="n"/>
      <c r="E1512" s="17" t="n"/>
      <c r="F1512" s="17" t="n"/>
      <c r="G1512" s="17" t="n"/>
      <c r="H1512" s="18">
        <f>IF(AND(B1512="",C1512="",D1512="",E1512=""),"",IF(B1512="","⚠ Falta fecha",IF(C1512="","⚠ Falta monto",IF(D1512="","⚠ Falta categoría",IF(ISNA(MATCH(D1512,catNom,0)),"⚠ Categoría no existe",IF(E1512="","⚠ Falta cuenta",IF(ISNA(MATCH(E1512,ctaNom,0)),"⚠ Cuenta no existe",IF(AND(OR(I1512="Transferencia",I1512="Pago tarjeta"),G1512=""),"⚠ Indica la cuenta «Hacia»",IF(AND(G1512&lt;&gt;"",G1512=E1512),"⚠ «Hacia» igual a la cuenta",IF(AND(G1512&lt;&gt;"",ISNA(MATCH(G1512,ctaNom,0))),"⚠ «Hacia» no existe",IF(AND(I1512="Pago tarjeta",IFERROR(INDEX(ctaTipo,MATCH(G1512,ctaNom,0)),"")&lt;&gt;"Tarjeta de crédito"),"⚠ «Hacia» debe ser la tarjeta",IF(AND(I1512="Trading",IFERROR(INDEX(ctaTipo,MATCH(E1512,ctaNom,0)),"")&lt;&gt;"Cuenta de trading"),"⚠ Usa la cuenta de trading","✓"))))))))))))</f>
        <v/>
      </c>
      <c r="I1512" s="19">
        <f>IF(OR(B1512="",C1512="",D1512=""),"",IFERROR(INDEX(catTipo,MATCH(D1512,catNom,0))&amp;"",""))</f>
        <v/>
      </c>
      <c r="J1512" s="19">
        <f>IF(I1512="","",IFERROR(INDEX(catGrupo,MATCH(D1512,catNom,0))&amp;"",""))</f>
        <v/>
      </c>
      <c r="K1512" s="19">
        <f>IF(I1512="Gasto",IF(IFERROR(INDEX(catClas,MATCH(D1512,catNom,0))&amp;"","")="","Variable",IFERROR(INDEX(catClas,MATCH(D1512,catNom,0))&amp;"","")),"")</f>
        <v/>
      </c>
      <c r="L1512" s="19">
        <f>IF(I1512="","",IFERROR(INDEX(catAlim,MATCH(D1512,catNom,0))&amp;"",""))</f>
        <v/>
      </c>
      <c r="M1512" s="19">
        <f>IF(I1512="","",IFERROR(INDEX(catComida,MATCH(D1512,catNom,0))&amp;"",""))</f>
        <v/>
      </c>
      <c r="N1512" s="19">
        <f>IF(I1512="","",IFERROR(INDEX(ctaMon,MATCH(E1512,ctaNom,0))&amp;"","DOP"))</f>
        <v/>
      </c>
      <c r="O1512" s="20">
        <f>IF(I1512="","",C1512*IF(N1512="USD",TasaUSD,1))</f>
        <v/>
      </c>
      <c r="P1512" s="20">
        <f>IF(I1512="","",IF(I1512="Gasto",O1512,0))</f>
        <v/>
      </c>
      <c r="Q1512" s="20">
        <f>IF(I1512="","",IF(I1512="Ingreso",O1512,0))</f>
        <v/>
      </c>
      <c r="R1512" s="20">
        <f>IF(I1512="","",IF(I1512="Trading",O1512,0))</f>
        <v/>
      </c>
      <c r="S1512" s="19">
        <f>IF(I1512="","",IF(AND(I1512="Gasto",K1512="Variable",J1512&lt;&gt;"Trading",O1512&gt;0,O1512&lt;=Umbral),1,0))</f>
        <v/>
      </c>
      <c r="T1512" s="20">
        <f>IF(OR(I1512="",E1512=""),"",IF(OR(I1512="Gasto",I1512="Transferencia",I1512="Pago tarjeta"),-1,1)*C1512)</f>
        <v/>
      </c>
      <c r="U1512" s="20">
        <f>IF(OR(G1512="",AND(I1512&lt;&gt;"Transferencia",I1512&lt;&gt;"Pago tarjeta")),"",IF(IFERROR(INDEX(ctaMon,MATCH(G1512,ctaNom,0))&amp;"","DOP")=N1512,C1512,IF(N1512="USD",C1512*TasaUSD,C1512/TasaUSD)))</f>
        <v/>
      </c>
      <c r="V1512" s="20">
        <f>IF(I1512="","",IF(IFERROR(INDEX(ctaLiq,MATCH(E1512,ctaNom,0))="Sí",FALSE),IF(OR(I1512="Gasto",I1512="Transferencia",I1512="Pago tarjeta"),-1,1)*O1512,0)+IF(AND(U1512&lt;&gt;"",IFERROR(INDEX(ctaLiq,MATCH(G1512,ctaNom,0))="Sí",FALSE)),O1512,0))</f>
        <v/>
      </c>
      <c r="W1512" s="19">
        <f>IF(OR(F1512="",I1512=""),"",IF(COUNTIFS(F$6:F1512,F1512,I$6:I1512,"?*")=1,MAX(W$5:W1511)+1,""))</f>
        <v/>
      </c>
    </row>
    <row r="1513">
      <c r="B1513" s="15" t="n"/>
      <c r="C1513" s="16" t="n"/>
      <c r="D1513" s="17" t="n"/>
      <c r="E1513" s="17" t="n"/>
      <c r="F1513" s="17" t="n"/>
      <c r="G1513" s="17" t="n"/>
      <c r="H1513" s="18">
        <f>IF(AND(B1513="",C1513="",D1513="",E1513=""),"",IF(B1513="","⚠ Falta fecha",IF(C1513="","⚠ Falta monto",IF(D1513="","⚠ Falta categoría",IF(ISNA(MATCH(D1513,catNom,0)),"⚠ Categoría no existe",IF(E1513="","⚠ Falta cuenta",IF(ISNA(MATCH(E1513,ctaNom,0)),"⚠ Cuenta no existe",IF(AND(OR(I1513="Transferencia",I1513="Pago tarjeta"),G1513=""),"⚠ Indica la cuenta «Hacia»",IF(AND(G1513&lt;&gt;"",G1513=E1513),"⚠ «Hacia» igual a la cuenta",IF(AND(G1513&lt;&gt;"",ISNA(MATCH(G1513,ctaNom,0))),"⚠ «Hacia» no existe",IF(AND(I1513="Pago tarjeta",IFERROR(INDEX(ctaTipo,MATCH(G1513,ctaNom,0)),"")&lt;&gt;"Tarjeta de crédito"),"⚠ «Hacia» debe ser la tarjeta",IF(AND(I1513="Trading",IFERROR(INDEX(ctaTipo,MATCH(E1513,ctaNom,0)),"")&lt;&gt;"Cuenta de trading"),"⚠ Usa la cuenta de trading","✓"))))))))))))</f>
        <v/>
      </c>
      <c r="I1513" s="19">
        <f>IF(OR(B1513="",C1513="",D1513=""),"",IFERROR(INDEX(catTipo,MATCH(D1513,catNom,0))&amp;"",""))</f>
        <v/>
      </c>
      <c r="J1513" s="19">
        <f>IF(I1513="","",IFERROR(INDEX(catGrupo,MATCH(D1513,catNom,0))&amp;"",""))</f>
        <v/>
      </c>
      <c r="K1513" s="19">
        <f>IF(I1513="Gasto",IF(IFERROR(INDEX(catClas,MATCH(D1513,catNom,0))&amp;"","")="","Variable",IFERROR(INDEX(catClas,MATCH(D1513,catNom,0))&amp;"","")),"")</f>
        <v/>
      </c>
      <c r="L1513" s="19">
        <f>IF(I1513="","",IFERROR(INDEX(catAlim,MATCH(D1513,catNom,0))&amp;"",""))</f>
        <v/>
      </c>
      <c r="M1513" s="19">
        <f>IF(I1513="","",IFERROR(INDEX(catComida,MATCH(D1513,catNom,0))&amp;"",""))</f>
        <v/>
      </c>
      <c r="N1513" s="19">
        <f>IF(I1513="","",IFERROR(INDEX(ctaMon,MATCH(E1513,ctaNom,0))&amp;"","DOP"))</f>
        <v/>
      </c>
      <c r="O1513" s="20">
        <f>IF(I1513="","",C1513*IF(N1513="USD",TasaUSD,1))</f>
        <v/>
      </c>
      <c r="P1513" s="20">
        <f>IF(I1513="","",IF(I1513="Gasto",O1513,0))</f>
        <v/>
      </c>
      <c r="Q1513" s="20">
        <f>IF(I1513="","",IF(I1513="Ingreso",O1513,0))</f>
        <v/>
      </c>
      <c r="R1513" s="20">
        <f>IF(I1513="","",IF(I1513="Trading",O1513,0))</f>
        <v/>
      </c>
      <c r="S1513" s="19">
        <f>IF(I1513="","",IF(AND(I1513="Gasto",K1513="Variable",J1513&lt;&gt;"Trading",O1513&gt;0,O1513&lt;=Umbral),1,0))</f>
        <v/>
      </c>
      <c r="T1513" s="20">
        <f>IF(OR(I1513="",E1513=""),"",IF(OR(I1513="Gasto",I1513="Transferencia",I1513="Pago tarjeta"),-1,1)*C1513)</f>
        <v/>
      </c>
      <c r="U1513" s="20">
        <f>IF(OR(G1513="",AND(I1513&lt;&gt;"Transferencia",I1513&lt;&gt;"Pago tarjeta")),"",IF(IFERROR(INDEX(ctaMon,MATCH(G1513,ctaNom,0))&amp;"","DOP")=N1513,C1513,IF(N1513="USD",C1513*TasaUSD,C1513/TasaUSD)))</f>
        <v/>
      </c>
      <c r="V1513" s="20">
        <f>IF(I1513="","",IF(IFERROR(INDEX(ctaLiq,MATCH(E1513,ctaNom,0))="Sí",FALSE),IF(OR(I1513="Gasto",I1513="Transferencia",I1513="Pago tarjeta"),-1,1)*O1513,0)+IF(AND(U1513&lt;&gt;"",IFERROR(INDEX(ctaLiq,MATCH(G1513,ctaNom,0))="Sí",FALSE)),O1513,0))</f>
        <v/>
      </c>
      <c r="W1513" s="19">
        <f>IF(OR(F1513="",I1513=""),"",IF(COUNTIFS(F$6:F1513,F1513,I$6:I1513,"?*")=1,MAX(W$5:W1512)+1,""))</f>
        <v/>
      </c>
    </row>
    <row r="1514">
      <c r="B1514" s="15" t="n"/>
      <c r="C1514" s="16" t="n"/>
      <c r="D1514" s="17" t="n"/>
      <c r="E1514" s="17" t="n"/>
      <c r="F1514" s="17" t="n"/>
      <c r="G1514" s="17" t="n"/>
      <c r="H1514" s="18">
        <f>IF(AND(B1514="",C1514="",D1514="",E1514=""),"",IF(B1514="","⚠ Falta fecha",IF(C1514="","⚠ Falta monto",IF(D1514="","⚠ Falta categoría",IF(ISNA(MATCH(D1514,catNom,0)),"⚠ Categoría no existe",IF(E1514="","⚠ Falta cuenta",IF(ISNA(MATCH(E1514,ctaNom,0)),"⚠ Cuenta no existe",IF(AND(OR(I1514="Transferencia",I1514="Pago tarjeta"),G1514=""),"⚠ Indica la cuenta «Hacia»",IF(AND(G1514&lt;&gt;"",G1514=E1514),"⚠ «Hacia» igual a la cuenta",IF(AND(G1514&lt;&gt;"",ISNA(MATCH(G1514,ctaNom,0))),"⚠ «Hacia» no existe",IF(AND(I1514="Pago tarjeta",IFERROR(INDEX(ctaTipo,MATCH(G1514,ctaNom,0)),"")&lt;&gt;"Tarjeta de crédito"),"⚠ «Hacia» debe ser la tarjeta",IF(AND(I1514="Trading",IFERROR(INDEX(ctaTipo,MATCH(E1514,ctaNom,0)),"")&lt;&gt;"Cuenta de trading"),"⚠ Usa la cuenta de trading","✓"))))))))))))</f>
        <v/>
      </c>
      <c r="I1514" s="19">
        <f>IF(OR(B1514="",C1514="",D1514=""),"",IFERROR(INDEX(catTipo,MATCH(D1514,catNom,0))&amp;"",""))</f>
        <v/>
      </c>
      <c r="J1514" s="19">
        <f>IF(I1514="","",IFERROR(INDEX(catGrupo,MATCH(D1514,catNom,0))&amp;"",""))</f>
        <v/>
      </c>
      <c r="K1514" s="19">
        <f>IF(I1514="Gasto",IF(IFERROR(INDEX(catClas,MATCH(D1514,catNom,0))&amp;"","")="","Variable",IFERROR(INDEX(catClas,MATCH(D1514,catNom,0))&amp;"","")),"")</f>
        <v/>
      </c>
      <c r="L1514" s="19">
        <f>IF(I1514="","",IFERROR(INDEX(catAlim,MATCH(D1514,catNom,0))&amp;"",""))</f>
        <v/>
      </c>
      <c r="M1514" s="19">
        <f>IF(I1514="","",IFERROR(INDEX(catComida,MATCH(D1514,catNom,0))&amp;"",""))</f>
        <v/>
      </c>
      <c r="N1514" s="19">
        <f>IF(I1514="","",IFERROR(INDEX(ctaMon,MATCH(E1514,ctaNom,0))&amp;"","DOP"))</f>
        <v/>
      </c>
      <c r="O1514" s="20">
        <f>IF(I1514="","",C1514*IF(N1514="USD",TasaUSD,1))</f>
        <v/>
      </c>
      <c r="P1514" s="20">
        <f>IF(I1514="","",IF(I1514="Gasto",O1514,0))</f>
        <v/>
      </c>
      <c r="Q1514" s="20">
        <f>IF(I1514="","",IF(I1514="Ingreso",O1514,0))</f>
        <v/>
      </c>
      <c r="R1514" s="20">
        <f>IF(I1514="","",IF(I1514="Trading",O1514,0))</f>
        <v/>
      </c>
      <c r="S1514" s="19">
        <f>IF(I1514="","",IF(AND(I1514="Gasto",K1514="Variable",J1514&lt;&gt;"Trading",O1514&gt;0,O1514&lt;=Umbral),1,0))</f>
        <v/>
      </c>
      <c r="T1514" s="20">
        <f>IF(OR(I1514="",E1514=""),"",IF(OR(I1514="Gasto",I1514="Transferencia",I1514="Pago tarjeta"),-1,1)*C1514)</f>
        <v/>
      </c>
      <c r="U1514" s="20">
        <f>IF(OR(G1514="",AND(I1514&lt;&gt;"Transferencia",I1514&lt;&gt;"Pago tarjeta")),"",IF(IFERROR(INDEX(ctaMon,MATCH(G1514,ctaNom,0))&amp;"","DOP")=N1514,C1514,IF(N1514="USD",C1514*TasaUSD,C1514/TasaUSD)))</f>
        <v/>
      </c>
      <c r="V1514" s="20">
        <f>IF(I1514="","",IF(IFERROR(INDEX(ctaLiq,MATCH(E1514,ctaNom,0))="Sí",FALSE),IF(OR(I1514="Gasto",I1514="Transferencia",I1514="Pago tarjeta"),-1,1)*O1514,0)+IF(AND(U1514&lt;&gt;"",IFERROR(INDEX(ctaLiq,MATCH(G1514,ctaNom,0))="Sí",FALSE)),O1514,0))</f>
        <v/>
      </c>
      <c r="W1514" s="19">
        <f>IF(OR(F1514="",I1514=""),"",IF(COUNTIFS(F$6:F1514,F1514,I$6:I1514,"?*")=1,MAX(W$5:W1513)+1,""))</f>
        <v/>
      </c>
    </row>
    <row r="1515">
      <c r="B1515" s="15" t="n"/>
      <c r="C1515" s="16" t="n"/>
      <c r="D1515" s="17" t="n"/>
      <c r="E1515" s="17" t="n"/>
      <c r="F1515" s="17" t="n"/>
      <c r="G1515" s="17" t="n"/>
      <c r="H1515" s="18">
        <f>IF(AND(B1515="",C1515="",D1515="",E1515=""),"",IF(B1515="","⚠ Falta fecha",IF(C1515="","⚠ Falta monto",IF(D1515="","⚠ Falta categoría",IF(ISNA(MATCH(D1515,catNom,0)),"⚠ Categoría no existe",IF(E1515="","⚠ Falta cuenta",IF(ISNA(MATCH(E1515,ctaNom,0)),"⚠ Cuenta no existe",IF(AND(OR(I1515="Transferencia",I1515="Pago tarjeta"),G1515=""),"⚠ Indica la cuenta «Hacia»",IF(AND(G1515&lt;&gt;"",G1515=E1515),"⚠ «Hacia» igual a la cuenta",IF(AND(G1515&lt;&gt;"",ISNA(MATCH(G1515,ctaNom,0))),"⚠ «Hacia» no existe",IF(AND(I1515="Pago tarjeta",IFERROR(INDEX(ctaTipo,MATCH(G1515,ctaNom,0)),"")&lt;&gt;"Tarjeta de crédito"),"⚠ «Hacia» debe ser la tarjeta",IF(AND(I1515="Trading",IFERROR(INDEX(ctaTipo,MATCH(E1515,ctaNom,0)),"")&lt;&gt;"Cuenta de trading"),"⚠ Usa la cuenta de trading","✓"))))))))))))</f>
        <v/>
      </c>
      <c r="I1515" s="19">
        <f>IF(OR(B1515="",C1515="",D1515=""),"",IFERROR(INDEX(catTipo,MATCH(D1515,catNom,0))&amp;"",""))</f>
        <v/>
      </c>
      <c r="J1515" s="19">
        <f>IF(I1515="","",IFERROR(INDEX(catGrupo,MATCH(D1515,catNom,0))&amp;"",""))</f>
        <v/>
      </c>
      <c r="K1515" s="19">
        <f>IF(I1515="Gasto",IF(IFERROR(INDEX(catClas,MATCH(D1515,catNom,0))&amp;"","")="","Variable",IFERROR(INDEX(catClas,MATCH(D1515,catNom,0))&amp;"","")),"")</f>
        <v/>
      </c>
      <c r="L1515" s="19">
        <f>IF(I1515="","",IFERROR(INDEX(catAlim,MATCH(D1515,catNom,0))&amp;"",""))</f>
        <v/>
      </c>
      <c r="M1515" s="19">
        <f>IF(I1515="","",IFERROR(INDEX(catComida,MATCH(D1515,catNom,0))&amp;"",""))</f>
        <v/>
      </c>
      <c r="N1515" s="19">
        <f>IF(I1515="","",IFERROR(INDEX(ctaMon,MATCH(E1515,ctaNom,0))&amp;"","DOP"))</f>
        <v/>
      </c>
      <c r="O1515" s="20">
        <f>IF(I1515="","",C1515*IF(N1515="USD",TasaUSD,1))</f>
        <v/>
      </c>
      <c r="P1515" s="20">
        <f>IF(I1515="","",IF(I1515="Gasto",O1515,0))</f>
        <v/>
      </c>
      <c r="Q1515" s="20">
        <f>IF(I1515="","",IF(I1515="Ingreso",O1515,0))</f>
        <v/>
      </c>
      <c r="R1515" s="20">
        <f>IF(I1515="","",IF(I1515="Trading",O1515,0))</f>
        <v/>
      </c>
      <c r="S1515" s="19">
        <f>IF(I1515="","",IF(AND(I1515="Gasto",K1515="Variable",J1515&lt;&gt;"Trading",O1515&gt;0,O1515&lt;=Umbral),1,0))</f>
        <v/>
      </c>
      <c r="T1515" s="20">
        <f>IF(OR(I1515="",E1515=""),"",IF(OR(I1515="Gasto",I1515="Transferencia",I1515="Pago tarjeta"),-1,1)*C1515)</f>
        <v/>
      </c>
      <c r="U1515" s="20">
        <f>IF(OR(G1515="",AND(I1515&lt;&gt;"Transferencia",I1515&lt;&gt;"Pago tarjeta")),"",IF(IFERROR(INDEX(ctaMon,MATCH(G1515,ctaNom,0))&amp;"","DOP")=N1515,C1515,IF(N1515="USD",C1515*TasaUSD,C1515/TasaUSD)))</f>
        <v/>
      </c>
      <c r="V1515" s="20">
        <f>IF(I1515="","",IF(IFERROR(INDEX(ctaLiq,MATCH(E1515,ctaNom,0))="Sí",FALSE),IF(OR(I1515="Gasto",I1515="Transferencia",I1515="Pago tarjeta"),-1,1)*O1515,0)+IF(AND(U1515&lt;&gt;"",IFERROR(INDEX(ctaLiq,MATCH(G1515,ctaNom,0))="Sí",FALSE)),O1515,0))</f>
        <v/>
      </c>
      <c r="W1515" s="19">
        <f>IF(OR(F1515="",I1515=""),"",IF(COUNTIFS(F$6:F1515,F1515,I$6:I1515,"?*")=1,MAX(W$5:W1514)+1,""))</f>
        <v/>
      </c>
    </row>
    <row r="1516">
      <c r="B1516" s="15" t="n"/>
      <c r="C1516" s="16" t="n"/>
      <c r="D1516" s="17" t="n"/>
      <c r="E1516" s="17" t="n"/>
      <c r="F1516" s="17" t="n"/>
      <c r="G1516" s="17" t="n"/>
      <c r="H1516" s="18">
        <f>IF(AND(B1516="",C1516="",D1516="",E1516=""),"",IF(B1516="","⚠ Falta fecha",IF(C1516="","⚠ Falta monto",IF(D1516="","⚠ Falta categoría",IF(ISNA(MATCH(D1516,catNom,0)),"⚠ Categoría no existe",IF(E1516="","⚠ Falta cuenta",IF(ISNA(MATCH(E1516,ctaNom,0)),"⚠ Cuenta no existe",IF(AND(OR(I1516="Transferencia",I1516="Pago tarjeta"),G1516=""),"⚠ Indica la cuenta «Hacia»",IF(AND(G1516&lt;&gt;"",G1516=E1516),"⚠ «Hacia» igual a la cuenta",IF(AND(G1516&lt;&gt;"",ISNA(MATCH(G1516,ctaNom,0))),"⚠ «Hacia» no existe",IF(AND(I1516="Pago tarjeta",IFERROR(INDEX(ctaTipo,MATCH(G1516,ctaNom,0)),"")&lt;&gt;"Tarjeta de crédito"),"⚠ «Hacia» debe ser la tarjeta",IF(AND(I1516="Trading",IFERROR(INDEX(ctaTipo,MATCH(E1516,ctaNom,0)),"")&lt;&gt;"Cuenta de trading"),"⚠ Usa la cuenta de trading","✓"))))))))))))</f>
        <v/>
      </c>
      <c r="I1516" s="19">
        <f>IF(OR(B1516="",C1516="",D1516=""),"",IFERROR(INDEX(catTipo,MATCH(D1516,catNom,0))&amp;"",""))</f>
        <v/>
      </c>
      <c r="J1516" s="19">
        <f>IF(I1516="","",IFERROR(INDEX(catGrupo,MATCH(D1516,catNom,0))&amp;"",""))</f>
        <v/>
      </c>
      <c r="K1516" s="19">
        <f>IF(I1516="Gasto",IF(IFERROR(INDEX(catClas,MATCH(D1516,catNom,0))&amp;"","")="","Variable",IFERROR(INDEX(catClas,MATCH(D1516,catNom,0))&amp;"","")),"")</f>
        <v/>
      </c>
      <c r="L1516" s="19">
        <f>IF(I1516="","",IFERROR(INDEX(catAlim,MATCH(D1516,catNom,0))&amp;"",""))</f>
        <v/>
      </c>
      <c r="M1516" s="19">
        <f>IF(I1516="","",IFERROR(INDEX(catComida,MATCH(D1516,catNom,0))&amp;"",""))</f>
        <v/>
      </c>
      <c r="N1516" s="19">
        <f>IF(I1516="","",IFERROR(INDEX(ctaMon,MATCH(E1516,ctaNom,0))&amp;"","DOP"))</f>
        <v/>
      </c>
      <c r="O1516" s="20">
        <f>IF(I1516="","",C1516*IF(N1516="USD",TasaUSD,1))</f>
        <v/>
      </c>
      <c r="P1516" s="20">
        <f>IF(I1516="","",IF(I1516="Gasto",O1516,0))</f>
        <v/>
      </c>
      <c r="Q1516" s="20">
        <f>IF(I1516="","",IF(I1516="Ingreso",O1516,0))</f>
        <v/>
      </c>
      <c r="R1516" s="20">
        <f>IF(I1516="","",IF(I1516="Trading",O1516,0))</f>
        <v/>
      </c>
      <c r="S1516" s="19">
        <f>IF(I1516="","",IF(AND(I1516="Gasto",K1516="Variable",J1516&lt;&gt;"Trading",O1516&gt;0,O1516&lt;=Umbral),1,0))</f>
        <v/>
      </c>
      <c r="T1516" s="20">
        <f>IF(OR(I1516="",E1516=""),"",IF(OR(I1516="Gasto",I1516="Transferencia",I1516="Pago tarjeta"),-1,1)*C1516)</f>
        <v/>
      </c>
      <c r="U1516" s="20">
        <f>IF(OR(G1516="",AND(I1516&lt;&gt;"Transferencia",I1516&lt;&gt;"Pago tarjeta")),"",IF(IFERROR(INDEX(ctaMon,MATCH(G1516,ctaNom,0))&amp;"","DOP")=N1516,C1516,IF(N1516="USD",C1516*TasaUSD,C1516/TasaUSD)))</f>
        <v/>
      </c>
      <c r="V1516" s="20">
        <f>IF(I1516="","",IF(IFERROR(INDEX(ctaLiq,MATCH(E1516,ctaNom,0))="Sí",FALSE),IF(OR(I1516="Gasto",I1516="Transferencia",I1516="Pago tarjeta"),-1,1)*O1516,0)+IF(AND(U1516&lt;&gt;"",IFERROR(INDEX(ctaLiq,MATCH(G1516,ctaNom,0))="Sí",FALSE)),O1516,0))</f>
        <v/>
      </c>
      <c r="W1516" s="19">
        <f>IF(OR(F1516="",I1516=""),"",IF(COUNTIFS(F$6:F1516,F1516,I$6:I1516,"?*")=1,MAX(W$5:W1515)+1,""))</f>
        <v/>
      </c>
    </row>
    <row r="1517">
      <c r="B1517" s="15" t="n"/>
      <c r="C1517" s="16" t="n"/>
      <c r="D1517" s="17" t="n"/>
      <c r="E1517" s="17" t="n"/>
      <c r="F1517" s="17" t="n"/>
      <c r="G1517" s="17" t="n"/>
      <c r="H1517" s="18">
        <f>IF(AND(B1517="",C1517="",D1517="",E1517=""),"",IF(B1517="","⚠ Falta fecha",IF(C1517="","⚠ Falta monto",IF(D1517="","⚠ Falta categoría",IF(ISNA(MATCH(D1517,catNom,0)),"⚠ Categoría no existe",IF(E1517="","⚠ Falta cuenta",IF(ISNA(MATCH(E1517,ctaNom,0)),"⚠ Cuenta no existe",IF(AND(OR(I1517="Transferencia",I1517="Pago tarjeta"),G1517=""),"⚠ Indica la cuenta «Hacia»",IF(AND(G1517&lt;&gt;"",G1517=E1517),"⚠ «Hacia» igual a la cuenta",IF(AND(G1517&lt;&gt;"",ISNA(MATCH(G1517,ctaNom,0))),"⚠ «Hacia» no existe",IF(AND(I1517="Pago tarjeta",IFERROR(INDEX(ctaTipo,MATCH(G1517,ctaNom,0)),"")&lt;&gt;"Tarjeta de crédito"),"⚠ «Hacia» debe ser la tarjeta",IF(AND(I1517="Trading",IFERROR(INDEX(ctaTipo,MATCH(E1517,ctaNom,0)),"")&lt;&gt;"Cuenta de trading"),"⚠ Usa la cuenta de trading","✓"))))))))))))</f>
        <v/>
      </c>
      <c r="I1517" s="19">
        <f>IF(OR(B1517="",C1517="",D1517=""),"",IFERROR(INDEX(catTipo,MATCH(D1517,catNom,0))&amp;"",""))</f>
        <v/>
      </c>
      <c r="J1517" s="19">
        <f>IF(I1517="","",IFERROR(INDEX(catGrupo,MATCH(D1517,catNom,0))&amp;"",""))</f>
        <v/>
      </c>
      <c r="K1517" s="19">
        <f>IF(I1517="Gasto",IF(IFERROR(INDEX(catClas,MATCH(D1517,catNom,0))&amp;"","")="","Variable",IFERROR(INDEX(catClas,MATCH(D1517,catNom,0))&amp;"","")),"")</f>
        <v/>
      </c>
      <c r="L1517" s="19">
        <f>IF(I1517="","",IFERROR(INDEX(catAlim,MATCH(D1517,catNom,0))&amp;"",""))</f>
        <v/>
      </c>
      <c r="M1517" s="19">
        <f>IF(I1517="","",IFERROR(INDEX(catComida,MATCH(D1517,catNom,0))&amp;"",""))</f>
        <v/>
      </c>
      <c r="N1517" s="19">
        <f>IF(I1517="","",IFERROR(INDEX(ctaMon,MATCH(E1517,ctaNom,0))&amp;"","DOP"))</f>
        <v/>
      </c>
      <c r="O1517" s="20">
        <f>IF(I1517="","",C1517*IF(N1517="USD",TasaUSD,1))</f>
        <v/>
      </c>
      <c r="P1517" s="20">
        <f>IF(I1517="","",IF(I1517="Gasto",O1517,0))</f>
        <v/>
      </c>
      <c r="Q1517" s="20">
        <f>IF(I1517="","",IF(I1517="Ingreso",O1517,0))</f>
        <v/>
      </c>
      <c r="R1517" s="20">
        <f>IF(I1517="","",IF(I1517="Trading",O1517,0))</f>
        <v/>
      </c>
      <c r="S1517" s="19">
        <f>IF(I1517="","",IF(AND(I1517="Gasto",K1517="Variable",J1517&lt;&gt;"Trading",O1517&gt;0,O1517&lt;=Umbral),1,0))</f>
        <v/>
      </c>
      <c r="T1517" s="20">
        <f>IF(OR(I1517="",E1517=""),"",IF(OR(I1517="Gasto",I1517="Transferencia",I1517="Pago tarjeta"),-1,1)*C1517)</f>
        <v/>
      </c>
      <c r="U1517" s="20">
        <f>IF(OR(G1517="",AND(I1517&lt;&gt;"Transferencia",I1517&lt;&gt;"Pago tarjeta")),"",IF(IFERROR(INDEX(ctaMon,MATCH(G1517,ctaNom,0))&amp;"","DOP")=N1517,C1517,IF(N1517="USD",C1517*TasaUSD,C1517/TasaUSD)))</f>
        <v/>
      </c>
      <c r="V1517" s="20">
        <f>IF(I1517="","",IF(IFERROR(INDEX(ctaLiq,MATCH(E1517,ctaNom,0))="Sí",FALSE),IF(OR(I1517="Gasto",I1517="Transferencia",I1517="Pago tarjeta"),-1,1)*O1517,0)+IF(AND(U1517&lt;&gt;"",IFERROR(INDEX(ctaLiq,MATCH(G1517,ctaNom,0))="Sí",FALSE)),O1517,0))</f>
        <v/>
      </c>
      <c r="W1517" s="19">
        <f>IF(OR(F1517="",I1517=""),"",IF(COUNTIFS(F$6:F1517,F1517,I$6:I1517,"?*")=1,MAX(W$5:W1516)+1,""))</f>
        <v/>
      </c>
    </row>
    <row r="1518">
      <c r="B1518" s="15" t="n"/>
      <c r="C1518" s="16" t="n"/>
      <c r="D1518" s="17" t="n"/>
      <c r="E1518" s="17" t="n"/>
      <c r="F1518" s="17" t="n"/>
      <c r="G1518" s="17" t="n"/>
      <c r="H1518" s="18">
        <f>IF(AND(B1518="",C1518="",D1518="",E1518=""),"",IF(B1518="","⚠ Falta fecha",IF(C1518="","⚠ Falta monto",IF(D1518="","⚠ Falta categoría",IF(ISNA(MATCH(D1518,catNom,0)),"⚠ Categoría no existe",IF(E1518="","⚠ Falta cuenta",IF(ISNA(MATCH(E1518,ctaNom,0)),"⚠ Cuenta no existe",IF(AND(OR(I1518="Transferencia",I1518="Pago tarjeta"),G1518=""),"⚠ Indica la cuenta «Hacia»",IF(AND(G1518&lt;&gt;"",G1518=E1518),"⚠ «Hacia» igual a la cuenta",IF(AND(G1518&lt;&gt;"",ISNA(MATCH(G1518,ctaNom,0))),"⚠ «Hacia» no existe",IF(AND(I1518="Pago tarjeta",IFERROR(INDEX(ctaTipo,MATCH(G1518,ctaNom,0)),"")&lt;&gt;"Tarjeta de crédito"),"⚠ «Hacia» debe ser la tarjeta",IF(AND(I1518="Trading",IFERROR(INDEX(ctaTipo,MATCH(E1518,ctaNom,0)),"")&lt;&gt;"Cuenta de trading"),"⚠ Usa la cuenta de trading","✓"))))))))))))</f>
        <v/>
      </c>
      <c r="I1518" s="19">
        <f>IF(OR(B1518="",C1518="",D1518=""),"",IFERROR(INDEX(catTipo,MATCH(D1518,catNom,0))&amp;"",""))</f>
        <v/>
      </c>
      <c r="J1518" s="19">
        <f>IF(I1518="","",IFERROR(INDEX(catGrupo,MATCH(D1518,catNom,0))&amp;"",""))</f>
        <v/>
      </c>
      <c r="K1518" s="19">
        <f>IF(I1518="Gasto",IF(IFERROR(INDEX(catClas,MATCH(D1518,catNom,0))&amp;"","")="","Variable",IFERROR(INDEX(catClas,MATCH(D1518,catNom,0))&amp;"","")),"")</f>
        <v/>
      </c>
      <c r="L1518" s="19">
        <f>IF(I1518="","",IFERROR(INDEX(catAlim,MATCH(D1518,catNom,0))&amp;"",""))</f>
        <v/>
      </c>
      <c r="M1518" s="19">
        <f>IF(I1518="","",IFERROR(INDEX(catComida,MATCH(D1518,catNom,0))&amp;"",""))</f>
        <v/>
      </c>
      <c r="N1518" s="19">
        <f>IF(I1518="","",IFERROR(INDEX(ctaMon,MATCH(E1518,ctaNom,0))&amp;"","DOP"))</f>
        <v/>
      </c>
      <c r="O1518" s="20">
        <f>IF(I1518="","",C1518*IF(N1518="USD",TasaUSD,1))</f>
        <v/>
      </c>
      <c r="P1518" s="20">
        <f>IF(I1518="","",IF(I1518="Gasto",O1518,0))</f>
        <v/>
      </c>
      <c r="Q1518" s="20">
        <f>IF(I1518="","",IF(I1518="Ingreso",O1518,0))</f>
        <v/>
      </c>
      <c r="R1518" s="20">
        <f>IF(I1518="","",IF(I1518="Trading",O1518,0))</f>
        <v/>
      </c>
      <c r="S1518" s="19">
        <f>IF(I1518="","",IF(AND(I1518="Gasto",K1518="Variable",J1518&lt;&gt;"Trading",O1518&gt;0,O1518&lt;=Umbral),1,0))</f>
        <v/>
      </c>
      <c r="T1518" s="20">
        <f>IF(OR(I1518="",E1518=""),"",IF(OR(I1518="Gasto",I1518="Transferencia",I1518="Pago tarjeta"),-1,1)*C1518)</f>
        <v/>
      </c>
      <c r="U1518" s="20">
        <f>IF(OR(G1518="",AND(I1518&lt;&gt;"Transferencia",I1518&lt;&gt;"Pago tarjeta")),"",IF(IFERROR(INDEX(ctaMon,MATCH(G1518,ctaNom,0))&amp;"","DOP")=N1518,C1518,IF(N1518="USD",C1518*TasaUSD,C1518/TasaUSD)))</f>
        <v/>
      </c>
      <c r="V1518" s="20">
        <f>IF(I1518="","",IF(IFERROR(INDEX(ctaLiq,MATCH(E1518,ctaNom,0))="Sí",FALSE),IF(OR(I1518="Gasto",I1518="Transferencia",I1518="Pago tarjeta"),-1,1)*O1518,0)+IF(AND(U1518&lt;&gt;"",IFERROR(INDEX(ctaLiq,MATCH(G1518,ctaNom,0))="Sí",FALSE)),O1518,0))</f>
        <v/>
      </c>
      <c r="W1518" s="19">
        <f>IF(OR(F1518="",I1518=""),"",IF(COUNTIFS(F$6:F1518,F1518,I$6:I1518,"?*")=1,MAX(W$5:W1517)+1,""))</f>
        <v/>
      </c>
    </row>
    <row r="1519">
      <c r="B1519" s="15" t="n"/>
      <c r="C1519" s="16" t="n"/>
      <c r="D1519" s="17" t="n"/>
      <c r="E1519" s="17" t="n"/>
      <c r="F1519" s="17" t="n"/>
      <c r="G1519" s="17" t="n"/>
      <c r="H1519" s="18">
        <f>IF(AND(B1519="",C1519="",D1519="",E1519=""),"",IF(B1519="","⚠ Falta fecha",IF(C1519="","⚠ Falta monto",IF(D1519="","⚠ Falta categoría",IF(ISNA(MATCH(D1519,catNom,0)),"⚠ Categoría no existe",IF(E1519="","⚠ Falta cuenta",IF(ISNA(MATCH(E1519,ctaNom,0)),"⚠ Cuenta no existe",IF(AND(OR(I1519="Transferencia",I1519="Pago tarjeta"),G1519=""),"⚠ Indica la cuenta «Hacia»",IF(AND(G1519&lt;&gt;"",G1519=E1519),"⚠ «Hacia» igual a la cuenta",IF(AND(G1519&lt;&gt;"",ISNA(MATCH(G1519,ctaNom,0))),"⚠ «Hacia» no existe",IF(AND(I1519="Pago tarjeta",IFERROR(INDEX(ctaTipo,MATCH(G1519,ctaNom,0)),"")&lt;&gt;"Tarjeta de crédito"),"⚠ «Hacia» debe ser la tarjeta",IF(AND(I1519="Trading",IFERROR(INDEX(ctaTipo,MATCH(E1519,ctaNom,0)),"")&lt;&gt;"Cuenta de trading"),"⚠ Usa la cuenta de trading","✓"))))))))))))</f>
        <v/>
      </c>
      <c r="I1519" s="19">
        <f>IF(OR(B1519="",C1519="",D1519=""),"",IFERROR(INDEX(catTipo,MATCH(D1519,catNom,0))&amp;"",""))</f>
        <v/>
      </c>
      <c r="J1519" s="19">
        <f>IF(I1519="","",IFERROR(INDEX(catGrupo,MATCH(D1519,catNom,0))&amp;"",""))</f>
        <v/>
      </c>
      <c r="K1519" s="19">
        <f>IF(I1519="Gasto",IF(IFERROR(INDEX(catClas,MATCH(D1519,catNom,0))&amp;"","")="","Variable",IFERROR(INDEX(catClas,MATCH(D1519,catNom,0))&amp;"","")),"")</f>
        <v/>
      </c>
      <c r="L1519" s="19">
        <f>IF(I1519="","",IFERROR(INDEX(catAlim,MATCH(D1519,catNom,0))&amp;"",""))</f>
        <v/>
      </c>
      <c r="M1519" s="19">
        <f>IF(I1519="","",IFERROR(INDEX(catComida,MATCH(D1519,catNom,0))&amp;"",""))</f>
        <v/>
      </c>
      <c r="N1519" s="19">
        <f>IF(I1519="","",IFERROR(INDEX(ctaMon,MATCH(E1519,ctaNom,0))&amp;"","DOP"))</f>
        <v/>
      </c>
      <c r="O1519" s="20">
        <f>IF(I1519="","",C1519*IF(N1519="USD",TasaUSD,1))</f>
        <v/>
      </c>
      <c r="P1519" s="20">
        <f>IF(I1519="","",IF(I1519="Gasto",O1519,0))</f>
        <v/>
      </c>
      <c r="Q1519" s="20">
        <f>IF(I1519="","",IF(I1519="Ingreso",O1519,0))</f>
        <v/>
      </c>
      <c r="R1519" s="20">
        <f>IF(I1519="","",IF(I1519="Trading",O1519,0))</f>
        <v/>
      </c>
      <c r="S1519" s="19">
        <f>IF(I1519="","",IF(AND(I1519="Gasto",K1519="Variable",J1519&lt;&gt;"Trading",O1519&gt;0,O1519&lt;=Umbral),1,0))</f>
        <v/>
      </c>
      <c r="T1519" s="20">
        <f>IF(OR(I1519="",E1519=""),"",IF(OR(I1519="Gasto",I1519="Transferencia",I1519="Pago tarjeta"),-1,1)*C1519)</f>
        <v/>
      </c>
      <c r="U1519" s="20">
        <f>IF(OR(G1519="",AND(I1519&lt;&gt;"Transferencia",I1519&lt;&gt;"Pago tarjeta")),"",IF(IFERROR(INDEX(ctaMon,MATCH(G1519,ctaNom,0))&amp;"","DOP")=N1519,C1519,IF(N1519="USD",C1519*TasaUSD,C1519/TasaUSD)))</f>
        <v/>
      </c>
      <c r="V1519" s="20">
        <f>IF(I1519="","",IF(IFERROR(INDEX(ctaLiq,MATCH(E1519,ctaNom,0))="Sí",FALSE),IF(OR(I1519="Gasto",I1519="Transferencia",I1519="Pago tarjeta"),-1,1)*O1519,0)+IF(AND(U1519&lt;&gt;"",IFERROR(INDEX(ctaLiq,MATCH(G1519,ctaNom,0))="Sí",FALSE)),O1519,0))</f>
        <v/>
      </c>
      <c r="W1519" s="19">
        <f>IF(OR(F1519="",I1519=""),"",IF(COUNTIFS(F$6:F1519,F1519,I$6:I1519,"?*")=1,MAX(W$5:W1518)+1,""))</f>
        <v/>
      </c>
    </row>
    <row r="1520">
      <c r="B1520" s="15" t="n"/>
      <c r="C1520" s="16" t="n"/>
      <c r="D1520" s="17" t="n"/>
      <c r="E1520" s="17" t="n"/>
      <c r="F1520" s="17" t="n"/>
      <c r="G1520" s="17" t="n"/>
      <c r="H1520" s="18">
        <f>IF(AND(B1520="",C1520="",D1520="",E1520=""),"",IF(B1520="","⚠ Falta fecha",IF(C1520="","⚠ Falta monto",IF(D1520="","⚠ Falta categoría",IF(ISNA(MATCH(D1520,catNom,0)),"⚠ Categoría no existe",IF(E1520="","⚠ Falta cuenta",IF(ISNA(MATCH(E1520,ctaNom,0)),"⚠ Cuenta no existe",IF(AND(OR(I1520="Transferencia",I1520="Pago tarjeta"),G1520=""),"⚠ Indica la cuenta «Hacia»",IF(AND(G1520&lt;&gt;"",G1520=E1520),"⚠ «Hacia» igual a la cuenta",IF(AND(G1520&lt;&gt;"",ISNA(MATCH(G1520,ctaNom,0))),"⚠ «Hacia» no existe",IF(AND(I1520="Pago tarjeta",IFERROR(INDEX(ctaTipo,MATCH(G1520,ctaNom,0)),"")&lt;&gt;"Tarjeta de crédito"),"⚠ «Hacia» debe ser la tarjeta",IF(AND(I1520="Trading",IFERROR(INDEX(ctaTipo,MATCH(E1520,ctaNom,0)),"")&lt;&gt;"Cuenta de trading"),"⚠ Usa la cuenta de trading","✓"))))))))))))</f>
        <v/>
      </c>
      <c r="I1520" s="19">
        <f>IF(OR(B1520="",C1520="",D1520=""),"",IFERROR(INDEX(catTipo,MATCH(D1520,catNom,0))&amp;"",""))</f>
        <v/>
      </c>
      <c r="J1520" s="19">
        <f>IF(I1520="","",IFERROR(INDEX(catGrupo,MATCH(D1520,catNom,0))&amp;"",""))</f>
        <v/>
      </c>
      <c r="K1520" s="19">
        <f>IF(I1520="Gasto",IF(IFERROR(INDEX(catClas,MATCH(D1520,catNom,0))&amp;"","")="","Variable",IFERROR(INDEX(catClas,MATCH(D1520,catNom,0))&amp;"","")),"")</f>
        <v/>
      </c>
      <c r="L1520" s="19">
        <f>IF(I1520="","",IFERROR(INDEX(catAlim,MATCH(D1520,catNom,0))&amp;"",""))</f>
        <v/>
      </c>
      <c r="M1520" s="19">
        <f>IF(I1520="","",IFERROR(INDEX(catComida,MATCH(D1520,catNom,0))&amp;"",""))</f>
        <v/>
      </c>
      <c r="N1520" s="19">
        <f>IF(I1520="","",IFERROR(INDEX(ctaMon,MATCH(E1520,ctaNom,0))&amp;"","DOP"))</f>
        <v/>
      </c>
      <c r="O1520" s="20">
        <f>IF(I1520="","",C1520*IF(N1520="USD",TasaUSD,1))</f>
        <v/>
      </c>
      <c r="P1520" s="20">
        <f>IF(I1520="","",IF(I1520="Gasto",O1520,0))</f>
        <v/>
      </c>
      <c r="Q1520" s="20">
        <f>IF(I1520="","",IF(I1520="Ingreso",O1520,0))</f>
        <v/>
      </c>
      <c r="R1520" s="20">
        <f>IF(I1520="","",IF(I1520="Trading",O1520,0))</f>
        <v/>
      </c>
      <c r="S1520" s="19">
        <f>IF(I1520="","",IF(AND(I1520="Gasto",K1520="Variable",J1520&lt;&gt;"Trading",O1520&gt;0,O1520&lt;=Umbral),1,0))</f>
        <v/>
      </c>
      <c r="T1520" s="20">
        <f>IF(OR(I1520="",E1520=""),"",IF(OR(I1520="Gasto",I1520="Transferencia",I1520="Pago tarjeta"),-1,1)*C1520)</f>
        <v/>
      </c>
      <c r="U1520" s="20">
        <f>IF(OR(G1520="",AND(I1520&lt;&gt;"Transferencia",I1520&lt;&gt;"Pago tarjeta")),"",IF(IFERROR(INDEX(ctaMon,MATCH(G1520,ctaNom,0))&amp;"","DOP")=N1520,C1520,IF(N1520="USD",C1520*TasaUSD,C1520/TasaUSD)))</f>
        <v/>
      </c>
      <c r="V1520" s="20">
        <f>IF(I1520="","",IF(IFERROR(INDEX(ctaLiq,MATCH(E1520,ctaNom,0))="Sí",FALSE),IF(OR(I1520="Gasto",I1520="Transferencia",I1520="Pago tarjeta"),-1,1)*O1520,0)+IF(AND(U1520&lt;&gt;"",IFERROR(INDEX(ctaLiq,MATCH(G1520,ctaNom,0))="Sí",FALSE)),O1520,0))</f>
        <v/>
      </c>
      <c r="W1520" s="19">
        <f>IF(OR(F1520="",I1520=""),"",IF(COUNTIFS(F$6:F1520,F1520,I$6:I1520,"?*")=1,MAX(W$5:W1519)+1,""))</f>
        <v/>
      </c>
    </row>
    <row r="1521">
      <c r="B1521" s="15" t="n"/>
      <c r="C1521" s="16" t="n"/>
      <c r="D1521" s="17" t="n"/>
      <c r="E1521" s="17" t="n"/>
      <c r="F1521" s="17" t="n"/>
      <c r="G1521" s="17" t="n"/>
      <c r="H1521" s="18">
        <f>IF(AND(B1521="",C1521="",D1521="",E1521=""),"",IF(B1521="","⚠ Falta fecha",IF(C1521="","⚠ Falta monto",IF(D1521="","⚠ Falta categoría",IF(ISNA(MATCH(D1521,catNom,0)),"⚠ Categoría no existe",IF(E1521="","⚠ Falta cuenta",IF(ISNA(MATCH(E1521,ctaNom,0)),"⚠ Cuenta no existe",IF(AND(OR(I1521="Transferencia",I1521="Pago tarjeta"),G1521=""),"⚠ Indica la cuenta «Hacia»",IF(AND(G1521&lt;&gt;"",G1521=E1521),"⚠ «Hacia» igual a la cuenta",IF(AND(G1521&lt;&gt;"",ISNA(MATCH(G1521,ctaNom,0))),"⚠ «Hacia» no existe",IF(AND(I1521="Pago tarjeta",IFERROR(INDEX(ctaTipo,MATCH(G1521,ctaNom,0)),"")&lt;&gt;"Tarjeta de crédito"),"⚠ «Hacia» debe ser la tarjeta",IF(AND(I1521="Trading",IFERROR(INDEX(ctaTipo,MATCH(E1521,ctaNom,0)),"")&lt;&gt;"Cuenta de trading"),"⚠ Usa la cuenta de trading","✓"))))))))))))</f>
        <v/>
      </c>
      <c r="I1521" s="19">
        <f>IF(OR(B1521="",C1521="",D1521=""),"",IFERROR(INDEX(catTipo,MATCH(D1521,catNom,0))&amp;"",""))</f>
        <v/>
      </c>
      <c r="J1521" s="19">
        <f>IF(I1521="","",IFERROR(INDEX(catGrupo,MATCH(D1521,catNom,0))&amp;"",""))</f>
        <v/>
      </c>
      <c r="K1521" s="19">
        <f>IF(I1521="Gasto",IF(IFERROR(INDEX(catClas,MATCH(D1521,catNom,0))&amp;"","")="","Variable",IFERROR(INDEX(catClas,MATCH(D1521,catNom,0))&amp;"","")),"")</f>
        <v/>
      </c>
      <c r="L1521" s="19">
        <f>IF(I1521="","",IFERROR(INDEX(catAlim,MATCH(D1521,catNom,0))&amp;"",""))</f>
        <v/>
      </c>
      <c r="M1521" s="19">
        <f>IF(I1521="","",IFERROR(INDEX(catComida,MATCH(D1521,catNom,0))&amp;"",""))</f>
        <v/>
      </c>
      <c r="N1521" s="19">
        <f>IF(I1521="","",IFERROR(INDEX(ctaMon,MATCH(E1521,ctaNom,0))&amp;"","DOP"))</f>
        <v/>
      </c>
      <c r="O1521" s="20">
        <f>IF(I1521="","",C1521*IF(N1521="USD",TasaUSD,1))</f>
        <v/>
      </c>
      <c r="P1521" s="20">
        <f>IF(I1521="","",IF(I1521="Gasto",O1521,0))</f>
        <v/>
      </c>
      <c r="Q1521" s="20">
        <f>IF(I1521="","",IF(I1521="Ingreso",O1521,0))</f>
        <v/>
      </c>
      <c r="R1521" s="20">
        <f>IF(I1521="","",IF(I1521="Trading",O1521,0))</f>
        <v/>
      </c>
      <c r="S1521" s="19">
        <f>IF(I1521="","",IF(AND(I1521="Gasto",K1521="Variable",J1521&lt;&gt;"Trading",O1521&gt;0,O1521&lt;=Umbral),1,0))</f>
        <v/>
      </c>
      <c r="T1521" s="20">
        <f>IF(OR(I1521="",E1521=""),"",IF(OR(I1521="Gasto",I1521="Transferencia",I1521="Pago tarjeta"),-1,1)*C1521)</f>
        <v/>
      </c>
      <c r="U1521" s="20">
        <f>IF(OR(G1521="",AND(I1521&lt;&gt;"Transferencia",I1521&lt;&gt;"Pago tarjeta")),"",IF(IFERROR(INDEX(ctaMon,MATCH(G1521,ctaNom,0))&amp;"","DOP")=N1521,C1521,IF(N1521="USD",C1521*TasaUSD,C1521/TasaUSD)))</f>
        <v/>
      </c>
      <c r="V1521" s="20">
        <f>IF(I1521="","",IF(IFERROR(INDEX(ctaLiq,MATCH(E1521,ctaNom,0))="Sí",FALSE),IF(OR(I1521="Gasto",I1521="Transferencia",I1521="Pago tarjeta"),-1,1)*O1521,0)+IF(AND(U1521&lt;&gt;"",IFERROR(INDEX(ctaLiq,MATCH(G1521,ctaNom,0))="Sí",FALSE)),O1521,0))</f>
        <v/>
      </c>
      <c r="W1521" s="19">
        <f>IF(OR(F1521="",I1521=""),"",IF(COUNTIFS(F$6:F1521,F1521,I$6:I1521,"?*")=1,MAX(W$5:W1520)+1,""))</f>
        <v/>
      </c>
    </row>
    <row r="1522">
      <c r="B1522" s="15" t="n"/>
      <c r="C1522" s="16" t="n"/>
      <c r="D1522" s="17" t="n"/>
      <c r="E1522" s="17" t="n"/>
      <c r="F1522" s="17" t="n"/>
      <c r="G1522" s="17" t="n"/>
      <c r="H1522" s="18">
        <f>IF(AND(B1522="",C1522="",D1522="",E1522=""),"",IF(B1522="","⚠ Falta fecha",IF(C1522="","⚠ Falta monto",IF(D1522="","⚠ Falta categoría",IF(ISNA(MATCH(D1522,catNom,0)),"⚠ Categoría no existe",IF(E1522="","⚠ Falta cuenta",IF(ISNA(MATCH(E1522,ctaNom,0)),"⚠ Cuenta no existe",IF(AND(OR(I1522="Transferencia",I1522="Pago tarjeta"),G1522=""),"⚠ Indica la cuenta «Hacia»",IF(AND(G1522&lt;&gt;"",G1522=E1522),"⚠ «Hacia» igual a la cuenta",IF(AND(G1522&lt;&gt;"",ISNA(MATCH(G1522,ctaNom,0))),"⚠ «Hacia» no existe",IF(AND(I1522="Pago tarjeta",IFERROR(INDEX(ctaTipo,MATCH(G1522,ctaNom,0)),"")&lt;&gt;"Tarjeta de crédito"),"⚠ «Hacia» debe ser la tarjeta",IF(AND(I1522="Trading",IFERROR(INDEX(ctaTipo,MATCH(E1522,ctaNom,0)),"")&lt;&gt;"Cuenta de trading"),"⚠ Usa la cuenta de trading","✓"))))))))))))</f>
        <v/>
      </c>
      <c r="I1522" s="19">
        <f>IF(OR(B1522="",C1522="",D1522=""),"",IFERROR(INDEX(catTipo,MATCH(D1522,catNom,0))&amp;"",""))</f>
        <v/>
      </c>
      <c r="J1522" s="19">
        <f>IF(I1522="","",IFERROR(INDEX(catGrupo,MATCH(D1522,catNom,0))&amp;"",""))</f>
        <v/>
      </c>
      <c r="K1522" s="19">
        <f>IF(I1522="Gasto",IF(IFERROR(INDEX(catClas,MATCH(D1522,catNom,0))&amp;"","")="","Variable",IFERROR(INDEX(catClas,MATCH(D1522,catNom,0))&amp;"","")),"")</f>
        <v/>
      </c>
      <c r="L1522" s="19">
        <f>IF(I1522="","",IFERROR(INDEX(catAlim,MATCH(D1522,catNom,0))&amp;"",""))</f>
        <v/>
      </c>
      <c r="M1522" s="19">
        <f>IF(I1522="","",IFERROR(INDEX(catComida,MATCH(D1522,catNom,0))&amp;"",""))</f>
        <v/>
      </c>
      <c r="N1522" s="19">
        <f>IF(I1522="","",IFERROR(INDEX(ctaMon,MATCH(E1522,ctaNom,0))&amp;"","DOP"))</f>
        <v/>
      </c>
      <c r="O1522" s="20">
        <f>IF(I1522="","",C1522*IF(N1522="USD",TasaUSD,1))</f>
        <v/>
      </c>
      <c r="P1522" s="20">
        <f>IF(I1522="","",IF(I1522="Gasto",O1522,0))</f>
        <v/>
      </c>
      <c r="Q1522" s="20">
        <f>IF(I1522="","",IF(I1522="Ingreso",O1522,0))</f>
        <v/>
      </c>
      <c r="R1522" s="20">
        <f>IF(I1522="","",IF(I1522="Trading",O1522,0))</f>
        <v/>
      </c>
      <c r="S1522" s="19">
        <f>IF(I1522="","",IF(AND(I1522="Gasto",K1522="Variable",J1522&lt;&gt;"Trading",O1522&gt;0,O1522&lt;=Umbral),1,0))</f>
        <v/>
      </c>
      <c r="T1522" s="20">
        <f>IF(OR(I1522="",E1522=""),"",IF(OR(I1522="Gasto",I1522="Transferencia",I1522="Pago tarjeta"),-1,1)*C1522)</f>
        <v/>
      </c>
      <c r="U1522" s="20">
        <f>IF(OR(G1522="",AND(I1522&lt;&gt;"Transferencia",I1522&lt;&gt;"Pago tarjeta")),"",IF(IFERROR(INDEX(ctaMon,MATCH(G1522,ctaNom,0))&amp;"","DOP")=N1522,C1522,IF(N1522="USD",C1522*TasaUSD,C1522/TasaUSD)))</f>
        <v/>
      </c>
      <c r="V1522" s="20">
        <f>IF(I1522="","",IF(IFERROR(INDEX(ctaLiq,MATCH(E1522,ctaNom,0))="Sí",FALSE),IF(OR(I1522="Gasto",I1522="Transferencia",I1522="Pago tarjeta"),-1,1)*O1522,0)+IF(AND(U1522&lt;&gt;"",IFERROR(INDEX(ctaLiq,MATCH(G1522,ctaNom,0))="Sí",FALSE)),O1522,0))</f>
        <v/>
      </c>
      <c r="W1522" s="19">
        <f>IF(OR(F1522="",I1522=""),"",IF(COUNTIFS(F$6:F1522,F1522,I$6:I1522,"?*")=1,MAX(W$5:W1521)+1,""))</f>
        <v/>
      </c>
    </row>
    <row r="1523">
      <c r="B1523" s="15" t="n"/>
      <c r="C1523" s="16" t="n"/>
      <c r="D1523" s="17" t="n"/>
      <c r="E1523" s="17" t="n"/>
      <c r="F1523" s="17" t="n"/>
      <c r="G1523" s="17" t="n"/>
      <c r="H1523" s="18">
        <f>IF(AND(B1523="",C1523="",D1523="",E1523=""),"",IF(B1523="","⚠ Falta fecha",IF(C1523="","⚠ Falta monto",IF(D1523="","⚠ Falta categoría",IF(ISNA(MATCH(D1523,catNom,0)),"⚠ Categoría no existe",IF(E1523="","⚠ Falta cuenta",IF(ISNA(MATCH(E1523,ctaNom,0)),"⚠ Cuenta no existe",IF(AND(OR(I1523="Transferencia",I1523="Pago tarjeta"),G1523=""),"⚠ Indica la cuenta «Hacia»",IF(AND(G1523&lt;&gt;"",G1523=E1523),"⚠ «Hacia» igual a la cuenta",IF(AND(G1523&lt;&gt;"",ISNA(MATCH(G1523,ctaNom,0))),"⚠ «Hacia» no existe",IF(AND(I1523="Pago tarjeta",IFERROR(INDEX(ctaTipo,MATCH(G1523,ctaNom,0)),"")&lt;&gt;"Tarjeta de crédito"),"⚠ «Hacia» debe ser la tarjeta",IF(AND(I1523="Trading",IFERROR(INDEX(ctaTipo,MATCH(E1523,ctaNom,0)),"")&lt;&gt;"Cuenta de trading"),"⚠ Usa la cuenta de trading","✓"))))))))))))</f>
        <v/>
      </c>
      <c r="I1523" s="19">
        <f>IF(OR(B1523="",C1523="",D1523=""),"",IFERROR(INDEX(catTipo,MATCH(D1523,catNom,0))&amp;"",""))</f>
        <v/>
      </c>
      <c r="J1523" s="19">
        <f>IF(I1523="","",IFERROR(INDEX(catGrupo,MATCH(D1523,catNom,0))&amp;"",""))</f>
        <v/>
      </c>
      <c r="K1523" s="19">
        <f>IF(I1523="Gasto",IF(IFERROR(INDEX(catClas,MATCH(D1523,catNom,0))&amp;"","")="","Variable",IFERROR(INDEX(catClas,MATCH(D1523,catNom,0))&amp;"","")),"")</f>
        <v/>
      </c>
      <c r="L1523" s="19">
        <f>IF(I1523="","",IFERROR(INDEX(catAlim,MATCH(D1523,catNom,0))&amp;"",""))</f>
        <v/>
      </c>
      <c r="M1523" s="19">
        <f>IF(I1523="","",IFERROR(INDEX(catComida,MATCH(D1523,catNom,0))&amp;"",""))</f>
        <v/>
      </c>
      <c r="N1523" s="19">
        <f>IF(I1523="","",IFERROR(INDEX(ctaMon,MATCH(E1523,ctaNom,0))&amp;"","DOP"))</f>
        <v/>
      </c>
      <c r="O1523" s="20">
        <f>IF(I1523="","",C1523*IF(N1523="USD",TasaUSD,1))</f>
        <v/>
      </c>
      <c r="P1523" s="20">
        <f>IF(I1523="","",IF(I1523="Gasto",O1523,0))</f>
        <v/>
      </c>
      <c r="Q1523" s="20">
        <f>IF(I1523="","",IF(I1523="Ingreso",O1523,0))</f>
        <v/>
      </c>
      <c r="R1523" s="20">
        <f>IF(I1523="","",IF(I1523="Trading",O1523,0))</f>
        <v/>
      </c>
      <c r="S1523" s="19">
        <f>IF(I1523="","",IF(AND(I1523="Gasto",K1523="Variable",J1523&lt;&gt;"Trading",O1523&gt;0,O1523&lt;=Umbral),1,0))</f>
        <v/>
      </c>
      <c r="T1523" s="20">
        <f>IF(OR(I1523="",E1523=""),"",IF(OR(I1523="Gasto",I1523="Transferencia",I1523="Pago tarjeta"),-1,1)*C1523)</f>
        <v/>
      </c>
      <c r="U1523" s="20">
        <f>IF(OR(G1523="",AND(I1523&lt;&gt;"Transferencia",I1523&lt;&gt;"Pago tarjeta")),"",IF(IFERROR(INDEX(ctaMon,MATCH(G1523,ctaNom,0))&amp;"","DOP")=N1523,C1523,IF(N1523="USD",C1523*TasaUSD,C1523/TasaUSD)))</f>
        <v/>
      </c>
      <c r="V1523" s="20">
        <f>IF(I1523="","",IF(IFERROR(INDEX(ctaLiq,MATCH(E1523,ctaNom,0))="Sí",FALSE),IF(OR(I1523="Gasto",I1523="Transferencia",I1523="Pago tarjeta"),-1,1)*O1523,0)+IF(AND(U1523&lt;&gt;"",IFERROR(INDEX(ctaLiq,MATCH(G1523,ctaNom,0))="Sí",FALSE)),O1523,0))</f>
        <v/>
      </c>
      <c r="W1523" s="19">
        <f>IF(OR(F1523="",I1523=""),"",IF(COUNTIFS(F$6:F1523,F1523,I$6:I1523,"?*")=1,MAX(W$5:W1522)+1,""))</f>
        <v/>
      </c>
    </row>
    <row r="1524">
      <c r="B1524" s="15" t="n"/>
      <c r="C1524" s="16" t="n"/>
      <c r="D1524" s="17" t="n"/>
      <c r="E1524" s="17" t="n"/>
      <c r="F1524" s="17" t="n"/>
      <c r="G1524" s="17" t="n"/>
      <c r="H1524" s="18">
        <f>IF(AND(B1524="",C1524="",D1524="",E1524=""),"",IF(B1524="","⚠ Falta fecha",IF(C1524="","⚠ Falta monto",IF(D1524="","⚠ Falta categoría",IF(ISNA(MATCH(D1524,catNom,0)),"⚠ Categoría no existe",IF(E1524="","⚠ Falta cuenta",IF(ISNA(MATCH(E1524,ctaNom,0)),"⚠ Cuenta no existe",IF(AND(OR(I1524="Transferencia",I1524="Pago tarjeta"),G1524=""),"⚠ Indica la cuenta «Hacia»",IF(AND(G1524&lt;&gt;"",G1524=E1524),"⚠ «Hacia» igual a la cuenta",IF(AND(G1524&lt;&gt;"",ISNA(MATCH(G1524,ctaNom,0))),"⚠ «Hacia» no existe",IF(AND(I1524="Pago tarjeta",IFERROR(INDEX(ctaTipo,MATCH(G1524,ctaNom,0)),"")&lt;&gt;"Tarjeta de crédito"),"⚠ «Hacia» debe ser la tarjeta",IF(AND(I1524="Trading",IFERROR(INDEX(ctaTipo,MATCH(E1524,ctaNom,0)),"")&lt;&gt;"Cuenta de trading"),"⚠ Usa la cuenta de trading","✓"))))))))))))</f>
        <v/>
      </c>
      <c r="I1524" s="19">
        <f>IF(OR(B1524="",C1524="",D1524=""),"",IFERROR(INDEX(catTipo,MATCH(D1524,catNom,0))&amp;"",""))</f>
        <v/>
      </c>
      <c r="J1524" s="19">
        <f>IF(I1524="","",IFERROR(INDEX(catGrupo,MATCH(D1524,catNom,0))&amp;"",""))</f>
        <v/>
      </c>
      <c r="K1524" s="19">
        <f>IF(I1524="Gasto",IF(IFERROR(INDEX(catClas,MATCH(D1524,catNom,0))&amp;"","")="","Variable",IFERROR(INDEX(catClas,MATCH(D1524,catNom,0))&amp;"","")),"")</f>
        <v/>
      </c>
      <c r="L1524" s="19">
        <f>IF(I1524="","",IFERROR(INDEX(catAlim,MATCH(D1524,catNom,0))&amp;"",""))</f>
        <v/>
      </c>
      <c r="M1524" s="19">
        <f>IF(I1524="","",IFERROR(INDEX(catComida,MATCH(D1524,catNom,0))&amp;"",""))</f>
        <v/>
      </c>
      <c r="N1524" s="19">
        <f>IF(I1524="","",IFERROR(INDEX(ctaMon,MATCH(E1524,ctaNom,0))&amp;"","DOP"))</f>
        <v/>
      </c>
      <c r="O1524" s="20">
        <f>IF(I1524="","",C1524*IF(N1524="USD",TasaUSD,1))</f>
        <v/>
      </c>
      <c r="P1524" s="20">
        <f>IF(I1524="","",IF(I1524="Gasto",O1524,0))</f>
        <v/>
      </c>
      <c r="Q1524" s="20">
        <f>IF(I1524="","",IF(I1524="Ingreso",O1524,0))</f>
        <v/>
      </c>
      <c r="R1524" s="20">
        <f>IF(I1524="","",IF(I1524="Trading",O1524,0))</f>
        <v/>
      </c>
      <c r="S1524" s="19">
        <f>IF(I1524="","",IF(AND(I1524="Gasto",K1524="Variable",J1524&lt;&gt;"Trading",O1524&gt;0,O1524&lt;=Umbral),1,0))</f>
        <v/>
      </c>
      <c r="T1524" s="20">
        <f>IF(OR(I1524="",E1524=""),"",IF(OR(I1524="Gasto",I1524="Transferencia",I1524="Pago tarjeta"),-1,1)*C1524)</f>
        <v/>
      </c>
      <c r="U1524" s="20">
        <f>IF(OR(G1524="",AND(I1524&lt;&gt;"Transferencia",I1524&lt;&gt;"Pago tarjeta")),"",IF(IFERROR(INDEX(ctaMon,MATCH(G1524,ctaNom,0))&amp;"","DOP")=N1524,C1524,IF(N1524="USD",C1524*TasaUSD,C1524/TasaUSD)))</f>
        <v/>
      </c>
      <c r="V1524" s="20">
        <f>IF(I1524="","",IF(IFERROR(INDEX(ctaLiq,MATCH(E1524,ctaNom,0))="Sí",FALSE),IF(OR(I1524="Gasto",I1524="Transferencia",I1524="Pago tarjeta"),-1,1)*O1524,0)+IF(AND(U1524&lt;&gt;"",IFERROR(INDEX(ctaLiq,MATCH(G1524,ctaNom,0))="Sí",FALSE)),O1524,0))</f>
        <v/>
      </c>
      <c r="W1524" s="19">
        <f>IF(OR(F1524="",I1524=""),"",IF(COUNTIFS(F$6:F1524,F1524,I$6:I1524,"?*")=1,MAX(W$5:W1523)+1,""))</f>
        <v/>
      </c>
    </row>
    <row r="1525">
      <c r="B1525" s="15" t="n"/>
      <c r="C1525" s="16" t="n"/>
      <c r="D1525" s="17" t="n"/>
      <c r="E1525" s="17" t="n"/>
      <c r="F1525" s="17" t="n"/>
      <c r="G1525" s="17" t="n"/>
      <c r="H1525" s="18">
        <f>IF(AND(B1525="",C1525="",D1525="",E1525=""),"",IF(B1525="","⚠ Falta fecha",IF(C1525="","⚠ Falta monto",IF(D1525="","⚠ Falta categoría",IF(ISNA(MATCH(D1525,catNom,0)),"⚠ Categoría no existe",IF(E1525="","⚠ Falta cuenta",IF(ISNA(MATCH(E1525,ctaNom,0)),"⚠ Cuenta no existe",IF(AND(OR(I1525="Transferencia",I1525="Pago tarjeta"),G1525=""),"⚠ Indica la cuenta «Hacia»",IF(AND(G1525&lt;&gt;"",G1525=E1525),"⚠ «Hacia» igual a la cuenta",IF(AND(G1525&lt;&gt;"",ISNA(MATCH(G1525,ctaNom,0))),"⚠ «Hacia» no existe",IF(AND(I1525="Pago tarjeta",IFERROR(INDEX(ctaTipo,MATCH(G1525,ctaNom,0)),"")&lt;&gt;"Tarjeta de crédito"),"⚠ «Hacia» debe ser la tarjeta",IF(AND(I1525="Trading",IFERROR(INDEX(ctaTipo,MATCH(E1525,ctaNom,0)),"")&lt;&gt;"Cuenta de trading"),"⚠ Usa la cuenta de trading","✓"))))))))))))</f>
        <v/>
      </c>
      <c r="I1525" s="19">
        <f>IF(OR(B1525="",C1525="",D1525=""),"",IFERROR(INDEX(catTipo,MATCH(D1525,catNom,0))&amp;"",""))</f>
        <v/>
      </c>
      <c r="J1525" s="19">
        <f>IF(I1525="","",IFERROR(INDEX(catGrupo,MATCH(D1525,catNom,0))&amp;"",""))</f>
        <v/>
      </c>
      <c r="K1525" s="19">
        <f>IF(I1525="Gasto",IF(IFERROR(INDEX(catClas,MATCH(D1525,catNom,0))&amp;"","")="","Variable",IFERROR(INDEX(catClas,MATCH(D1525,catNom,0))&amp;"","")),"")</f>
        <v/>
      </c>
      <c r="L1525" s="19">
        <f>IF(I1525="","",IFERROR(INDEX(catAlim,MATCH(D1525,catNom,0))&amp;"",""))</f>
        <v/>
      </c>
      <c r="M1525" s="19">
        <f>IF(I1525="","",IFERROR(INDEX(catComida,MATCH(D1525,catNom,0))&amp;"",""))</f>
        <v/>
      </c>
      <c r="N1525" s="19">
        <f>IF(I1525="","",IFERROR(INDEX(ctaMon,MATCH(E1525,ctaNom,0))&amp;"","DOP"))</f>
        <v/>
      </c>
      <c r="O1525" s="20">
        <f>IF(I1525="","",C1525*IF(N1525="USD",TasaUSD,1))</f>
        <v/>
      </c>
      <c r="P1525" s="20">
        <f>IF(I1525="","",IF(I1525="Gasto",O1525,0))</f>
        <v/>
      </c>
      <c r="Q1525" s="20">
        <f>IF(I1525="","",IF(I1525="Ingreso",O1525,0))</f>
        <v/>
      </c>
      <c r="R1525" s="20">
        <f>IF(I1525="","",IF(I1525="Trading",O1525,0))</f>
        <v/>
      </c>
      <c r="S1525" s="19">
        <f>IF(I1525="","",IF(AND(I1525="Gasto",K1525="Variable",J1525&lt;&gt;"Trading",O1525&gt;0,O1525&lt;=Umbral),1,0))</f>
        <v/>
      </c>
      <c r="T1525" s="20">
        <f>IF(OR(I1525="",E1525=""),"",IF(OR(I1525="Gasto",I1525="Transferencia",I1525="Pago tarjeta"),-1,1)*C1525)</f>
        <v/>
      </c>
      <c r="U1525" s="20">
        <f>IF(OR(G1525="",AND(I1525&lt;&gt;"Transferencia",I1525&lt;&gt;"Pago tarjeta")),"",IF(IFERROR(INDEX(ctaMon,MATCH(G1525,ctaNom,0))&amp;"","DOP")=N1525,C1525,IF(N1525="USD",C1525*TasaUSD,C1525/TasaUSD)))</f>
        <v/>
      </c>
      <c r="V1525" s="20">
        <f>IF(I1525="","",IF(IFERROR(INDEX(ctaLiq,MATCH(E1525,ctaNom,0))="Sí",FALSE),IF(OR(I1525="Gasto",I1525="Transferencia",I1525="Pago tarjeta"),-1,1)*O1525,0)+IF(AND(U1525&lt;&gt;"",IFERROR(INDEX(ctaLiq,MATCH(G1525,ctaNom,0))="Sí",FALSE)),O1525,0))</f>
        <v/>
      </c>
      <c r="W1525" s="19">
        <f>IF(OR(F1525="",I1525=""),"",IF(COUNTIFS(F$6:F1525,F1525,I$6:I1525,"?*")=1,MAX(W$5:W1524)+1,""))</f>
        <v/>
      </c>
    </row>
    <row r="1526">
      <c r="B1526" s="15" t="n"/>
      <c r="C1526" s="16" t="n"/>
      <c r="D1526" s="17" t="n"/>
      <c r="E1526" s="17" t="n"/>
      <c r="F1526" s="17" t="n"/>
      <c r="G1526" s="17" t="n"/>
      <c r="H1526" s="18">
        <f>IF(AND(B1526="",C1526="",D1526="",E1526=""),"",IF(B1526="","⚠ Falta fecha",IF(C1526="","⚠ Falta monto",IF(D1526="","⚠ Falta categoría",IF(ISNA(MATCH(D1526,catNom,0)),"⚠ Categoría no existe",IF(E1526="","⚠ Falta cuenta",IF(ISNA(MATCH(E1526,ctaNom,0)),"⚠ Cuenta no existe",IF(AND(OR(I1526="Transferencia",I1526="Pago tarjeta"),G1526=""),"⚠ Indica la cuenta «Hacia»",IF(AND(G1526&lt;&gt;"",G1526=E1526),"⚠ «Hacia» igual a la cuenta",IF(AND(G1526&lt;&gt;"",ISNA(MATCH(G1526,ctaNom,0))),"⚠ «Hacia» no existe",IF(AND(I1526="Pago tarjeta",IFERROR(INDEX(ctaTipo,MATCH(G1526,ctaNom,0)),"")&lt;&gt;"Tarjeta de crédito"),"⚠ «Hacia» debe ser la tarjeta",IF(AND(I1526="Trading",IFERROR(INDEX(ctaTipo,MATCH(E1526,ctaNom,0)),"")&lt;&gt;"Cuenta de trading"),"⚠ Usa la cuenta de trading","✓"))))))))))))</f>
        <v/>
      </c>
      <c r="I1526" s="19">
        <f>IF(OR(B1526="",C1526="",D1526=""),"",IFERROR(INDEX(catTipo,MATCH(D1526,catNom,0))&amp;"",""))</f>
        <v/>
      </c>
      <c r="J1526" s="19">
        <f>IF(I1526="","",IFERROR(INDEX(catGrupo,MATCH(D1526,catNom,0))&amp;"",""))</f>
        <v/>
      </c>
      <c r="K1526" s="19">
        <f>IF(I1526="Gasto",IF(IFERROR(INDEX(catClas,MATCH(D1526,catNom,0))&amp;"","")="","Variable",IFERROR(INDEX(catClas,MATCH(D1526,catNom,0))&amp;"","")),"")</f>
        <v/>
      </c>
      <c r="L1526" s="19">
        <f>IF(I1526="","",IFERROR(INDEX(catAlim,MATCH(D1526,catNom,0))&amp;"",""))</f>
        <v/>
      </c>
      <c r="M1526" s="19">
        <f>IF(I1526="","",IFERROR(INDEX(catComida,MATCH(D1526,catNom,0))&amp;"",""))</f>
        <v/>
      </c>
      <c r="N1526" s="19">
        <f>IF(I1526="","",IFERROR(INDEX(ctaMon,MATCH(E1526,ctaNom,0))&amp;"","DOP"))</f>
        <v/>
      </c>
      <c r="O1526" s="20">
        <f>IF(I1526="","",C1526*IF(N1526="USD",TasaUSD,1))</f>
        <v/>
      </c>
      <c r="P1526" s="20">
        <f>IF(I1526="","",IF(I1526="Gasto",O1526,0))</f>
        <v/>
      </c>
      <c r="Q1526" s="20">
        <f>IF(I1526="","",IF(I1526="Ingreso",O1526,0))</f>
        <v/>
      </c>
      <c r="R1526" s="20">
        <f>IF(I1526="","",IF(I1526="Trading",O1526,0))</f>
        <v/>
      </c>
      <c r="S1526" s="19">
        <f>IF(I1526="","",IF(AND(I1526="Gasto",K1526="Variable",J1526&lt;&gt;"Trading",O1526&gt;0,O1526&lt;=Umbral),1,0))</f>
        <v/>
      </c>
      <c r="T1526" s="20">
        <f>IF(OR(I1526="",E1526=""),"",IF(OR(I1526="Gasto",I1526="Transferencia",I1526="Pago tarjeta"),-1,1)*C1526)</f>
        <v/>
      </c>
      <c r="U1526" s="20">
        <f>IF(OR(G1526="",AND(I1526&lt;&gt;"Transferencia",I1526&lt;&gt;"Pago tarjeta")),"",IF(IFERROR(INDEX(ctaMon,MATCH(G1526,ctaNom,0))&amp;"","DOP")=N1526,C1526,IF(N1526="USD",C1526*TasaUSD,C1526/TasaUSD)))</f>
        <v/>
      </c>
      <c r="V1526" s="20">
        <f>IF(I1526="","",IF(IFERROR(INDEX(ctaLiq,MATCH(E1526,ctaNom,0))="Sí",FALSE),IF(OR(I1526="Gasto",I1526="Transferencia",I1526="Pago tarjeta"),-1,1)*O1526,0)+IF(AND(U1526&lt;&gt;"",IFERROR(INDEX(ctaLiq,MATCH(G1526,ctaNom,0))="Sí",FALSE)),O1526,0))</f>
        <v/>
      </c>
      <c r="W1526" s="19">
        <f>IF(OR(F1526="",I1526=""),"",IF(COUNTIFS(F$6:F1526,F1526,I$6:I1526,"?*")=1,MAX(W$5:W1525)+1,""))</f>
        <v/>
      </c>
    </row>
    <row r="1527">
      <c r="B1527" s="15" t="n"/>
      <c r="C1527" s="16" t="n"/>
      <c r="D1527" s="17" t="n"/>
      <c r="E1527" s="17" t="n"/>
      <c r="F1527" s="17" t="n"/>
      <c r="G1527" s="17" t="n"/>
      <c r="H1527" s="18">
        <f>IF(AND(B1527="",C1527="",D1527="",E1527=""),"",IF(B1527="","⚠ Falta fecha",IF(C1527="","⚠ Falta monto",IF(D1527="","⚠ Falta categoría",IF(ISNA(MATCH(D1527,catNom,0)),"⚠ Categoría no existe",IF(E1527="","⚠ Falta cuenta",IF(ISNA(MATCH(E1527,ctaNom,0)),"⚠ Cuenta no existe",IF(AND(OR(I1527="Transferencia",I1527="Pago tarjeta"),G1527=""),"⚠ Indica la cuenta «Hacia»",IF(AND(G1527&lt;&gt;"",G1527=E1527),"⚠ «Hacia» igual a la cuenta",IF(AND(G1527&lt;&gt;"",ISNA(MATCH(G1527,ctaNom,0))),"⚠ «Hacia» no existe",IF(AND(I1527="Pago tarjeta",IFERROR(INDEX(ctaTipo,MATCH(G1527,ctaNom,0)),"")&lt;&gt;"Tarjeta de crédito"),"⚠ «Hacia» debe ser la tarjeta",IF(AND(I1527="Trading",IFERROR(INDEX(ctaTipo,MATCH(E1527,ctaNom,0)),"")&lt;&gt;"Cuenta de trading"),"⚠ Usa la cuenta de trading","✓"))))))))))))</f>
        <v/>
      </c>
      <c r="I1527" s="19">
        <f>IF(OR(B1527="",C1527="",D1527=""),"",IFERROR(INDEX(catTipo,MATCH(D1527,catNom,0))&amp;"",""))</f>
        <v/>
      </c>
      <c r="J1527" s="19">
        <f>IF(I1527="","",IFERROR(INDEX(catGrupo,MATCH(D1527,catNom,0))&amp;"",""))</f>
        <v/>
      </c>
      <c r="K1527" s="19">
        <f>IF(I1527="Gasto",IF(IFERROR(INDEX(catClas,MATCH(D1527,catNom,0))&amp;"","")="","Variable",IFERROR(INDEX(catClas,MATCH(D1527,catNom,0))&amp;"","")),"")</f>
        <v/>
      </c>
      <c r="L1527" s="19">
        <f>IF(I1527="","",IFERROR(INDEX(catAlim,MATCH(D1527,catNom,0))&amp;"",""))</f>
        <v/>
      </c>
      <c r="M1527" s="19">
        <f>IF(I1527="","",IFERROR(INDEX(catComida,MATCH(D1527,catNom,0))&amp;"",""))</f>
        <v/>
      </c>
      <c r="N1527" s="19">
        <f>IF(I1527="","",IFERROR(INDEX(ctaMon,MATCH(E1527,ctaNom,0))&amp;"","DOP"))</f>
        <v/>
      </c>
      <c r="O1527" s="20">
        <f>IF(I1527="","",C1527*IF(N1527="USD",TasaUSD,1))</f>
        <v/>
      </c>
      <c r="P1527" s="20">
        <f>IF(I1527="","",IF(I1527="Gasto",O1527,0))</f>
        <v/>
      </c>
      <c r="Q1527" s="20">
        <f>IF(I1527="","",IF(I1527="Ingreso",O1527,0))</f>
        <v/>
      </c>
      <c r="R1527" s="20">
        <f>IF(I1527="","",IF(I1527="Trading",O1527,0))</f>
        <v/>
      </c>
      <c r="S1527" s="19">
        <f>IF(I1527="","",IF(AND(I1527="Gasto",K1527="Variable",J1527&lt;&gt;"Trading",O1527&gt;0,O1527&lt;=Umbral),1,0))</f>
        <v/>
      </c>
      <c r="T1527" s="20">
        <f>IF(OR(I1527="",E1527=""),"",IF(OR(I1527="Gasto",I1527="Transferencia",I1527="Pago tarjeta"),-1,1)*C1527)</f>
        <v/>
      </c>
      <c r="U1527" s="20">
        <f>IF(OR(G1527="",AND(I1527&lt;&gt;"Transferencia",I1527&lt;&gt;"Pago tarjeta")),"",IF(IFERROR(INDEX(ctaMon,MATCH(G1527,ctaNom,0))&amp;"","DOP")=N1527,C1527,IF(N1527="USD",C1527*TasaUSD,C1527/TasaUSD)))</f>
        <v/>
      </c>
      <c r="V1527" s="20">
        <f>IF(I1527="","",IF(IFERROR(INDEX(ctaLiq,MATCH(E1527,ctaNom,0))="Sí",FALSE),IF(OR(I1527="Gasto",I1527="Transferencia",I1527="Pago tarjeta"),-1,1)*O1527,0)+IF(AND(U1527&lt;&gt;"",IFERROR(INDEX(ctaLiq,MATCH(G1527,ctaNom,0))="Sí",FALSE)),O1527,0))</f>
        <v/>
      </c>
      <c r="W1527" s="19">
        <f>IF(OR(F1527="",I1527=""),"",IF(COUNTIFS(F$6:F1527,F1527,I$6:I1527,"?*")=1,MAX(W$5:W1526)+1,""))</f>
        <v/>
      </c>
    </row>
    <row r="1528">
      <c r="B1528" s="15" t="n"/>
      <c r="C1528" s="16" t="n"/>
      <c r="D1528" s="17" t="n"/>
      <c r="E1528" s="17" t="n"/>
      <c r="F1528" s="17" t="n"/>
      <c r="G1528" s="17" t="n"/>
      <c r="H1528" s="18">
        <f>IF(AND(B1528="",C1528="",D1528="",E1528=""),"",IF(B1528="","⚠ Falta fecha",IF(C1528="","⚠ Falta monto",IF(D1528="","⚠ Falta categoría",IF(ISNA(MATCH(D1528,catNom,0)),"⚠ Categoría no existe",IF(E1528="","⚠ Falta cuenta",IF(ISNA(MATCH(E1528,ctaNom,0)),"⚠ Cuenta no existe",IF(AND(OR(I1528="Transferencia",I1528="Pago tarjeta"),G1528=""),"⚠ Indica la cuenta «Hacia»",IF(AND(G1528&lt;&gt;"",G1528=E1528),"⚠ «Hacia» igual a la cuenta",IF(AND(G1528&lt;&gt;"",ISNA(MATCH(G1528,ctaNom,0))),"⚠ «Hacia» no existe",IF(AND(I1528="Pago tarjeta",IFERROR(INDEX(ctaTipo,MATCH(G1528,ctaNom,0)),"")&lt;&gt;"Tarjeta de crédito"),"⚠ «Hacia» debe ser la tarjeta",IF(AND(I1528="Trading",IFERROR(INDEX(ctaTipo,MATCH(E1528,ctaNom,0)),"")&lt;&gt;"Cuenta de trading"),"⚠ Usa la cuenta de trading","✓"))))))))))))</f>
        <v/>
      </c>
      <c r="I1528" s="19">
        <f>IF(OR(B1528="",C1528="",D1528=""),"",IFERROR(INDEX(catTipo,MATCH(D1528,catNom,0))&amp;"",""))</f>
        <v/>
      </c>
      <c r="J1528" s="19">
        <f>IF(I1528="","",IFERROR(INDEX(catGrupo,MATCH(D1528,catNom,0))&amp;"",""))</f>
        <v/>
      </c>
      <c r="K1528" s="19">
        <f>IF(I1528="Gasto",IF(IFERROR(INDEX(catClas,MATCH(D1528,catNom,0))&amp;"","")="","Variable",IFERROR(INDEX(catClas,MATCH(D1528,catNom,0))&amp;"","")),"")</f>
        <v/>
      </c>
      <c r="L1528" s="19">
        <f>IF(I1528="","",IFERROR(INDEX(catAlim,MATCH(D1528,catNom,0))&amp;"",""))</f>
        <v/>
      </c>
      <c r="M1528" s="19">
        <f>IF(I1528="","",IFERROR(INDEX(catComida,MATCH(D1528,catNom,0))&amp;"",""))</f>
        <v/>
      </c>
      <c r="N1528" s="19">
        <f>IF(I1528="","",IFERROR(INDEX(ctaMon,MATCH(E1528,ctaNom,0))&amp;"","DOP"))</f>
        <v/>
      </c>
      <c r="O1528" s="20">
        <f>IF(I1528="","",C1528*IF(N1528="USD",TasaUSD,1))</f>
        <v/>
      </c>
      <c r="P1528" s="20">
        <f>IF(I1528="","",IF(I1528="Gasto",O1528,0))</f>
        <v/>
      </c>
      <c r="Q1528" s="20">
        <f>IF(I1528="","",IF(I1528="Ingreso",O1528,0))</f>
        <v/>
      </c>
      <c r="R1528" s="20">
        <f>IF(I1528="","",IF(I1528="Trading",O1528,0))</f>
        <v/>
      </c>
      <c r="S1528" s="19">
        <f>IF(I1528="","",IF(AND(I1528="Gasto",K1528="Variable",J1528&lt;&gt;"Trading",O1528&gt;0,O1528&lt;=Umbral),1,0))</f>
        <v/>
      </c>
      <c r="T1528" s="20">
        <f>IF(OR(I1528="",E1528=""),"",IF(OR(I1528="Gasto",I1528="Transferencia",I1528="Pago tarjeta"),-1,1)*C1528)</f>
        <v/>
      </c>
      <c r="U1528" s="20">
        <f>IF(OR(G1528="",AND(I1528&lt;&gt;"Transferencia",I1528&lt;&gt;"Pago tarjeta")),"",IF(IFERROR(INDEX(ctaMon,MATCH(G1528,ctaNom,0))&amp;"","DOP")=N1528,C1528,IF(N1528="USD",C1528*TasaUSD,C1528/TasaUSD)))</f>
        <v/>
      </c>
      <c r="V1528" s="20">
        <f>IF(I1528="","",IF(IFERROR(INDEX(ctaLiq,MATCH(E1528,ctaNom,0))="Sí",FALSE),IF(OR(I1528="Gasto",I1528="Transferencia",I1528="Pago tarjeta"),-1,1)*O1528,0)+IF(AND(U1528&lt;&gt;"",IFERROR(INDEX(ctaLiq,MATCH(G1528,ctaNom,0))="Sí",FALSE)),O1528,0))</f>
        <v/>
      </c>
      <c r="W1528" s="19">
        <f>IF(OR(F1528="",I1528=""),"",IF(COUNTIFS(F$6:F1528,F1528,I$6:I1528,"?*")=1,MAX(W$5:W1527)+1,""))</f>
        <v/>
      </c>
    </row>
    <row r="1529">
      <c r="B1529" s="15" t="n"/>
      <c r="C1529" s="16" t="n"/>
      <c r="D1529" s="17" t="n"/>
      <c r="E1529" s="17" t="n"/>
      <c r="F1529" s="17" t="n"/>
      <c r="G1529" s="17" t="n"/>
      <c r="H1529" s="18">
        <f>IF(AND(B1529="",C1529="",D1529="",E1529=""),"",IF(B1529="","⚠ Falta fecha",IF(C1529="","⚠ Falta monto",IF(D1529="","⚠ Falta categoría",IF(ISNA(MATCH(D1529,catNom,0)),"⚠ Categoría no existe",IF(E1529="","⚠ Falta cuenta",IF(ISNA(MATCH(E1529,ctaNom,0)),"⚠ Cuenta no existe",IF(AND(OR(I1529="Transferencia",I1529="Pago tarjeta"),G1529=""),"⚠ Indica la cuenta «Hacia»",IF(AND(G1529&lt;&gt;"",G1529=E1529),"⚠ «Hacia» igual a la cuenta",IF(AND(G1529&lt;&gt;"",ISNA(MATCH(G1529,ctaNom,0))),"⚠ «Hacia» no existe",IF(AND(I1529="Pago tarjeta",IFERROR(INDEX(ctaTipo,MATCH(G1529,ctaNom,0)),"")&lt;&gt;"Tarjeta de crédito"),"⚠ «Hacia» debe ser la tarjeta",IF(AND(I1529="Trading",IFERROR(INDEX(ctaTipo,MATCH(E1529,ctaNom,0)),"")&lt;&gt;"Cuenta de trading"),"⚠ Usa la cuenta de trading","✓"))))))))))))</f>
        <v/>
      </c>
      <c r="I1529" s="19">
        <f>IF(OR(B1529="",C1529="",D1529=""),"",IFERROR(INDEX(catTipo,MATCH(D1529,catNom,0))&amp;"",""))</f>
        <v/>
      </c>
      <c r="J1529" s="19">
        <f>IF(I1529="","",IFERROR(INDEX(catGrupo,MATCH(D1529,catNom,0))&amp;"",""))</f>
        <v/>
      </c>
      <c r="K1529" s="19">
        <f>IF(I1529="Gasto",IF(IFERROR(INDEX(catClas,MATCH(D1529,catNom,0))&amp;"","")="","Variable",IFERROR(INDEX(catClas,MATCH(D1529,catNom,0))&amp;"","")),"")</f>
        <v/>
      </c>
      <c r="L1529" s="19">
        <f>IF(I1529="","",IFERROR(INDEX(catAlim,MATCH(D1529,catNom,0))&amp;"",""))</f>
        <v/>
      </c>
      <c r="M1529" s="19">
        <f>IF(I1529="","",IFERROR(INDEX(catComida,MATCH(D1529,catNom,0))&amp;"",""))</f>
        <v/>
      </c>
      <c r="N1529" s="19">
        <f>IF(I1529="","",IFERROR(INDEX(ctaMon,MATCH(E1529,ctaNom,0))&amp;"","DOP"))</f>
        <v/>
      </c>
      <c r="O1529" s="20">
        <f>IF(I1529="","",C1529*IF(N1529="USD",TasaUSD,1))</f>
        <v/>
      </c>
      <c r="P1529" s="20">
        <f>IF(I1529="","",IF(I1529="Gasto",O1529,0))</f>
        <v/>
      </c>
      <c r="Q1529" s="20">
        <f>IF(I1529="","",IF(I1529="Ingreso",O1529,0))</f>
        <v/>
      </c>
      <c r="R1529" s="20">
        <f>IF(I1529="","",IF(I1529="Trading",O1529,0))</f>
        <v/>
      </c>
      <c r="S1529" s="19">
        <f>IF(I1529="","",IF(AND(I1529="Gasto",K1529="Variable",J1529&lt;&gt;"Trading",O1529&gt;0,O1529&lt;=Umbral),1,0))</f>
        <v/>
      </c>
      <c r="T1529" s="20">
        <f>IF(OR(I1529="",E1529=""),"",IF(OR(I1529="Gasto",I1529="Transferencia",I1529="Pago tarjeta"),-1,1)*C1529)</f>
        <v/>
      </c>
      <c r="U1529" s="20">
        <f>IF(OR(G1529="",AND(I1529&lt;&gt;"Transferencia",I1529&lt;&gt;"Pago tarjeta")),"",IF(IFERROR(INDEX(ctaMon,MATCH(G1529,ctaNom,0))&amp;"","DOP")=N1529,C1529,IF(N1529="USD",C1529*TasaUSD,C1529/TasaUSD)))</f>
        <v/>
      </c>
      <c r="V1529" s="20">
        <f>IF(I1529="","",IF(IFERROR(INDEX(ctaLiq,MATCH(E1529,ctaNom,0))="Sí",FALSE),IF(OR(I1529="Gasto",I1529="Transferencia",I1529="Pago tarjeta"),-1,1)*O1529,0)+IF(AND(U1529&lt;&gt;"",IFERROR(INDEX(ctaLiq,MATCH(G1529,ctaNom,0))="Sí",FALSE)),O1529,0))</f>
        <v/>
      </c>
      <c r="W1529" s="19">
        <f>IF(OR(F1529="",I1529=""),"",IF(COUNTIFS(F$6:F1529,F1529,I$6:I1529,"?*")=1,MAX(W$5:W1528)+1,""))</f>
        <v/>
      </c>
    </row>
    <row r="1530">
      <c r="B1530" s="15" t="n"/>
      <c r="C1530" s="16" t="n"/>
      <c r="D1530" s="17" t="n"/>
      <c r="E1530" s="17" t="n"/>
      <c r="F1530" s="17" t="n"/>
      <c r="G1530" s="17" t="n"/>
      <c r="H1530" s="18">
        <f>IF(AND(B1530="",C1530="",D1530="",E1530=""),"",IF(B1530="","⚠ Falta fecha",IF(C1530="","⚠ Falta monto",IF(D1530="","⚠ Falta categoría",IF(ISNA(MATCH(D1530,catNom,0)),"⚠ Categoría no existe",IF(E1530="","⚠ Falta cuenta",IF(ISNA(MATCH(E1530,ctaNom,0)),"⚠ Cuenta no existe",IF(AND(OR(I1530="Transferencia",I1530="Pago tarjeta"),G1530=""),"⚠ Indica la cuenta «Hacia»",IF(AND(G1530&lt;&gt;"",G1530=E1530),"⚠ «Hacia» igual a la cuenta",IF(AND(G1530&lt;&gt;"",ISNA(MATCH(G1530,ctaNom,0))),"⚠ «Hacia» no existe",IF(AND(I1530="Pago tarjeta",IFERROR(INDEX(ctaTipo,MATCH(G1530,ctaNom,0)),"")&lt;&gt;"Tarjeta de crédito"),"⚠ «Hacia» debe ser la tarjeta",IF(AND(I1530="Trading",IFERROR(INDEX(ctaTipo,MATCH(E1530,ctaNom,0)),"")&lt;&gt;"Cuenta de trading"),"⚠ Usa la cuenta de trading","✓"))))))))))))</f>
        <v/>
      </c>
      <c r="I1530" s="19">
        <f>IF(OR(B1530="",C1530="",D1530=""),"",IFERROR(INDEX(catTipo,MATCH(D1530,catNom,0))&amp;"",""))</f>
        <v/>
      </c>
      <c r="J1530" s="19">
        <f>IF(I1530="","",IFERROR(INDEX(catGrupo,MATCH(D1530,catNom,0))&amp;"",""))</f>
        <v/>
      </c>
      <c r="K1530" s="19">
        <f>IF(I1530="Gasto",IF(IFERROR(INDEX(catClas,MATCH(D1530,catNom,0))&amp;"","")="","Variable",IFERROR(INDEX(catClas,MATCH(D1530,catNom,0))&amp;"","")),"")</f>
        <v/>
      </c>
      <c r="L1530" s="19">
        <f>IF(I1530="","",IFERROR(INDEX(catAlim,MATCH(D1530,catNom,0))&amp;"",""))</f>
        <v/>
      </c>
      <c r="M1530" s="19">
        <f>IF(I1530="","",IFERROR(INDEX(catComida,MATCH(D1530,catNom,0))&amp;"",""))</f>
        <v/>
      </c>
      <c r="N1530" s="19">
        <f>IF(I1530="","",IFERROR(INDEX(ctaMon,MATCH(E1530,ctaNom,0))&amp;"","DOP"))</f>
        <v/>
      </c>
      <c r="O1530" s="20">
        <f>IF(I1530="","",C1530*IF(N1530="USD",TasaUSD,1))</f>
        <v/>
      </c>
      <c r="P1530" s="20">
        <f>IF(I1530="","",IF(I1530="Gasto",O1530,0))</f>
        <v/>
      </c>
      <c r="Q1530" s="20">
        <f>IF(I1530="","",IF(I1530="Ingreso",O1530,0))</f>
        <v/>
      </c>
      <c r="R1530" s="20">
        <f>IF(I1530="","",IF(I1530="Trading",O1530,0))</f>
        <v/>
      </c>
      <c r="S1530" s="19">
        <f>IF(I1530="","",IF(AND(I1530="Gasto",K1530="Variable",J1530&lt;&gt;"Trading",O1530&gt;0,O1530&lt;=Umbral),1,0))</f>
        <v/>
      </c>
      <c r="T1530" s="20">
        <f>IF(OR(I1530="",E1530=""),"",IF(OR(I1530="Gasto",I1530="Transferencia",I1530="Pago tarjeta"),-1,1)*C1530)</f>
        <v/>
      </c>
      <c r="U1530" s="20">
        <f>IF(OR(G1530="",AND(I1530&lt;&gt;"Transferencia",I1530&lt;&gt;"Pago tarjeta")),"",IF(IFERROR(INDEX(ctaMon,MATCH(G1530,ctaNom,0))&amp;"","DOP")=N1530,C1530,IF(N1530="USD",C1530*TasaUSD,C1530/TasaUSD)))</f>
        <v/>
      </c>
      <c r="V1530" s="20">
        <f>IF(I1530="","",IF(IFERROR(INDEX(ctaLiq,MATCH(E1530,ctaNom,0))="Sí",FALSE),IF(OR(I1530="Gasto",I1530="Transferencia",I1530="Pago tarjeta"),-1,1)*O1530,0)+IF(AND(U1530&lt;&gt;"",IFERROR(INDEX(ctaLiq,MATCH(G1530,ctaNom,0))="Sí",FALSE)),O1530,0))</f>
        <v/>
      </c>
      <c r="W1530" s="19">
        <f>IF(OR(F1530="",I1530=""),"",IF(COUNTIFS(F$6:F1530,F1530,I$6:I1530,"?*")=1,MAX(W$5:W1529)+1,""))</f>
        <v/>
      </c>
    </row>
    <row r="1531">
      <c r="B1531" s="15" t="n"/>
      <c r="C1531" s="16" t="n"/>
      <c r="D1531" s="17" t="n"/>
      <c r="E1531" s="17" t="n"/>
      <c r="F1531" s="17" t="n"/>
      <c r="G1531" s="17" t="n"/>
      <c r="H1531" s="18">
        <f>IF(AND(B1531="",C1531="",D1531="",E1531=""),"",IF(B1531="","⚠ Falta fecha",IF(C1531="","⚠ Falta monto",IF(D1531="","⚠ Falta categoría",IF(ISNA(MATCH(D1531,catNom,0)),"⚠ Categoría no existe",IF(E1531="","⚠ Falta cuenta",IF(ISNA(MATCH(E1531,ctaNom,0)),"⚠ Cuenta no existe",IF(AND(OR(I1531="Transferencia",I1531="Pago tarjeta"),G1531=""),"⚠ Indica la cuenta «Hacia»",IF(AND(G1531&lt;&gt;"",G1531=E1531),"⚠ «Hacia» igual a la cuenta",IF(AND(G1531&lt;&gt;"",ISNA(MATCH(G1531,ctaNom,0))),"⚠ «Hacia» no existe",IF(AND(I1531="Pago tarjeta",IFERROR(INDEX(ctaTipo,MATCH(G1531,ctaNom,0)),"")&lt;&gt;"Tarjeta de crédito"),"⚠ «Hacia» debe ser la tarjeta",IF(AND(I1531="Trading",IFERROR(INDEX(ctaTipo,MATCH(E1531,ctaNom,0)),"")&lt;&gt;"Cuenta de trading"),"⚠ Usa la cuenta de trading","✓"))))))))))))</f>
        <v/>
      </c>
      <c r="I1531" s="19">
        <f>IF(OR(B1531="",C1531="",D1531=""),"",IFERROR(INDEX(catTipo,MATCH(D1531,catNom,0))&amp;"",""))</f>
        <v/>
      </c>
      <c r="J1531" s="19">
        <f>IF(I1531="","",IFERROR(INDEX(catGrupo,MATCH(D1531,catNom,0))&amp;"",""))</f>
        <v/>
      </c>
      <c r="K1531" s="19">
        <f>IF(I1531="Gasto",IF(IFERROR(INDEX(catClas,MATCH(D1531,catNom,0))&amp;"","")="","Variable",IFERROR(INDEX(catClas,MATCH(D1531,catNom,0))&amp;"","")),"")</f>
        <v/>
      </c>
      <c r="L1531" s="19">
        <f>IF(I1531="","",IFERROR(INDEX(catAlim,MATCH(D1531,catNom,0))&amp;"",""))</f>
        <v/>
      </c>
      <c r="M1531" s="19">
        <f>IF(I1531="","",IFERROR(INDEX(catComida,MATCH(D1531,catNom,0))&amp;"",""))</f>
        <v/>
      </c>
      <c r="N1531" s="19">
        <f>IF(I1531="","",IFERROR(INDEX(ctaMon,MATCH(E1531,ctaNom,0))&amp;"","DOP"))</f>
        <v/>
      </c>
      <c r="O1531" s="20">
        <f>IF(I1531="","",C1531*IF(N1531="USD",TasaUSD,1))</f>
        <v/>
      </c>
      <c r="P1531" s="20">
        <f>IF(I1531="","",IF(I1531="Gasto",O1531,0))</f>
        <v/>
      </c>
      <c r="Q1531" s="20">
        <f>IF(I1531="","",IF(I1531="Ingreso",O1531,0))</f>
        <v/>
      </c>
      <c r="R1531" s="20">
        <f>IF(I1531="","",IF(I1531="Trading",O1531,0))</f>
        <v/>
      </c>
      <c r="S1531" s="19">
        <f>IF(I1531="","",IF(AND(I1531="Gasto",K1531="Variable",J1531&lt;&gt;"Trading",O1531&gt;0,O1531&lt;=Umbral),1,0))</f>
        <v/>
      </c>
      <c r="T1531" s="20">
        <f>IF(OR(I1531="",E1531=""),"",IF(OR(I1531="Gasto",I1531="Transferencia",I1531="Pago tarjeta"),-1,1)*C1531)</f>
        <v/>
      </c>
      <c r="U1531" s="20">
        <f>IF(OR(G1531="",AND(I1531&lt;&gt;"Transferencia",I1531&lt;&gt;"Pago tarjeta")),"",IF(IFERROR(INDEX(ctaMon,MATCH(G1531,ctaNom,0))&amp;"","DOP")=N1531,C1531,IF(N1531="USD",C1531*TasaUSD,C1531/TasaUSD)))</f>
        <v/>
      </c>
      <c r="V1531" s="20">
        <f>IF(I1531="","",IF(IFERROR(INDEX(ctaLiq,MATCH(E1531,ctaNom,0))="Sí",FALSE),IF(OR(I1531="Gasto",I1531="Transferencia",I1531="Pago tarjeta"),-1,1)*O1531,0)+IF(AND(U1531&lt;&gt;"",IFERROR(INDEX(ctaLiq,MATCH(G1531,ctaNom,0))="Sí",FALSE)),O1531,0))</f>
        <v/>
      </c>
      <c r="W1531" s="19">
        <f>IF(OR(F1531="",I1531=""),"",IF(COUNTIFS(F$6:F1531,F1531,I$6:I1531,"?*")=1,MAX(W$5:W1530)+1,""))</f>
        <v/>
      </c>
    </row>
    <row r="1532">
      <c r="B1532" s="15" t="n"/>
      <c r="C1532" s="16" t="n"/>
      <c r="D1532" s="17" t="n"/>
      <c r="E1532" s="17" t="n"/>
      <c r="F1532" s="17" t="n"/>
      <c r="G1532" s="17" t="n"/>
      <c r="H1532" s="18">
        <f>IF(AND(B1532="",C1532="",D1532="",E1532=""),"",IF(B1532="","⚠ Falta fecha",IF(C1532="","⚠ Falta monto",IF(D1532="","⚠ Falta categoría",IF(ISNA(MATCH(D1532,catNom,0)),"⚠ Categoría no existe",IF(E1532="","⚠ Falta cuenta",IF(ISNA(MATCH(E1532,ctaNom,0)),"⚠ Cuenta no existe",IF(AND(OR(I1532="Transferencia",I1532="Pago tarjeta"),G1532=""),"⚠ Indica la cuenta «Hacia»",IF(AND(G1532&lt;&gt;"",G1532=E1532),"⚠ «Hacia» igual a la cuenta",IF(AND(G1532&lt;&gt;"",ISNA(MATCH(G1532,ctaNom,0))),"⚠ «Hacia» no existe",IF(AND(I1532="Pago tarjeta",IFERROR(INDEX(ctaTipo,MATCH(G1532,ctaNom,0)),"")&lt;&gt;"Tarjeta de crédito"),"⚠ «Hacia» debe ser la tarjeta",IF(AND(I1532="Trading",IFERROR(INDEX(ctaTipo,MATCH(E1532,ctaNom,0)),"")&lt;&gt;"Cuenta de trading"),"⚠ Usa la cuenta de trading","✓"))))))))))))</f>
        <v/>
      </c>
      <c r="I1532" s="19">
        <f>IF(OR(B1532="",C1532="",D1532=""),"",IFERROR(INDEX(catTipo,MATCH(D1532,catNom,0))&amp;"",""))</f>
        <v/>
      </c>
      <c r="J1532" s="19">
        <f>IF(I1532="","",IFERROR(INDEX(catGrupo,MATCH(D1532,catNom,0))&amp;"",""))</f>
        <v/>
      </c>
      <c r="K1532" s="19">
        <f>IF(I1532="Gasto",IF(IFERROR(INDEX(catClas,MATCH(D1532,catNom,0))&amp;"","")="","Variable",IFERROR(INDEX(catClas,MATCH(D1532,catNom,0))&amp;"","")),"")</f>
        <v/>
      </c>
      <c r="L1532" s="19">
        <f>IF(I1532="","",IFERROR(INDEX(catAlim,MATCH(D1532,catNom,0))&amp;"",""))</f>
        <v/>
      </c>
      <c r="M1532" s="19">
        <f>IF(I1532="","",IFERROR(INDEX(catComida,MATCH(D1532,catNom,0))&amp;"",""))</f>
        <v/>
      </c>
      <c r="N1532" s="19">
        <f>IF(I1532="","",IFERROR(INDEX(ctaMon,MATCH(E1532,ctaNom,0))&amp;"","DOP"))</f>
        <v/>
      </c>
      <c r="O1532" s="20">
        <f>IF(I1532="","",C1532*IF(N1532="USD",TasaUSD,1))</f>
        <v/>
      </c>
      <c r="P1532" s="20">
        <f>IF(I1532="","",IF(I1532="Gasto",O1532,0))</f>
        <v/>
      </c>
      <c r="Q1532" s="20">
        <f>IF(I1532="","",IF(I1532="Ingreso",O1532,0))</f>
        <v/>
      </c>
      <c r="R1532" s="20">
        <f>IF(I1532="","",IF(I1532="Trading",O1532,0))</f>
        <v/>
      </c>
      <c r="S1532" s="19">
        <f>IF(I1532="","",IF(AND(I1532="Gasto",K1532="Variable",J1532&lt;&gt;"Trading",O1532&gt;0,O1532&lt;=Umbral),1,0))</f>
        <v/>
      </c>
      <c r="T1532" s="20">
        <f>IF(OR(I1532="",E1532=""),"",IF(OR(I1532="Gasto",I1532="Transferencia",I1532="Pago tarjeta"),-1,1)*C1532)</f>
        <v/>
      </c>
      <c r="U1532" s="20">
        <f>IF(OR(G1532="",AND(I1532&lt;&gt;"Transferencia",I1532&lt;&gt;"Pago tarjeta")),"",IF(IFERROR(INDEX(ctaMon,MATCH(G1532,ctaNom,0))&amp;"","DOP")=N1532,C1532,IF(N1532="USD",C1532*TasaUSD,C1532/TasaUSD)))</f>
        <v/>
      </c>
      <c r="V1532" s="20">
        <f>IF(I1532="","",IF(IFERROR(INDEX(ctaLiq,MATCH(E1532,ctaNom,0))="Sí",FALSE),IF(OR(I1532="Gasto",I1532="Transferencia",I1532="Pago tarjeta"),-1,1)*O1532,0)+IF(AND(U1532&lt;&gt;"",IFERROR(INDEX(ctaLiq,MATCH(G1532,ctaNom,0))="Sí",FALSE)),O1532,0))</f>
        <v/>
      </c>
      <c r="W1532" s="19">
        <f>IF(OR(F1532="",I1532=""),"",IF(COUNTIFS(F$6:F1532,F1532,I$6:I1532,"?*")=1,MAX(W$5:W1531)+1,""))</f>
        <v/>
      </c>
    </row>
    <row r="1533">
      <c r="B1533" s="15" t="n"/>
      <c r="C1533" s="16" t="n"/>
      <c r="D1533" s="17" t="n"/>
      <c r="E1533" s="17" t="n"/>
      <c r="F1533" s="17" t="n"/>
      <c r="G1533" s="17" t="n"/>
      <c r="H1533" s="18">
        <f>IF(AND(B1533="",C1533="",D1533="",E1533=""),"",IF(B1533="","⚠ Falta fecha",IF(C1533="","⚠ Falta monto",IF(D1533="","⚠ Falta categoría",IF(ISNA(MATCH(D1533,catNom,0)),"⚠ Categoría no existe",IF(E1533="","⚠ Falta cuenta",IF(ISNA(MATCH(E1533,ctaNom,0)),"⚠ Cuenta no existe",IF(AND(OR(I1533="Transferencia",I1533="Pago tarjeta"),G1533=""),"⚠ Indica la cuenta «Hacia»",IF(AND(G1533&lt;&gt;"",G1533=E1533),"⚠ «Hacia» igual a la cuenta",IF(AND(G1533&lt;&gt;"",ISNA(MATCH(G1533,ctaNom,0))),"⚠ «Hacia» no existe",IF(AND(I1533="Pago tarjeta",IFERROR(INDEX(ctaTipo,MATCH(G1533,ctaNom,0)),"")&lt;&gt;"Tarjeta de crédito"),"⚠ «Hacia» debe ser la tarjeta",IF(AND(I1533="Trading",IFERROR(INDEX(ctaTipo,MATCH(E1533,ctaNom,0)),"")&lt;&gt;"Cuenta de trading"),"⚠ Usa la cuenta de trading","✓"))))))))))))</f>
        <v/>
      </c>
      <c r="I1533" s="19">
        <f>IF(OR(B1533="",C1533="",D1533=""),"",IFERROR(INDEX(catTipo,MATCH(D1533,catNom,0))&amp;"",""))</f>
        <v/>
      </c>
      <c r="J1533" s="19">
        <f>IF(I1533="","",IFERROR(INDEX(catGrupo,MATCH(D1533,catNom,0))&amp;"",""))</f>
        <v/>
      </c>
      <c r="K1533" s="19">
        <f>IF(I1533="Gasto",IF(IFERROR(INDEX(catClas,MATCH(D1533,catNom,0))&amp;"","")="","Variable",IFERROR(INDEX(catClas,MATCH(D1533,catNom,0))&amp;"","")),"")</f>
        <v/>
      </c>
      <c r="L1533" s="19">
        <f>IF(I1533="","",IFERROR(INDEX(catAlim,MATCH(D1533,catNom,0))&amp;"",""))</f>
        <v/>
      </c>
      <c r="M1533" s="19">
        <f>IF(I1533="","",IFERROR(INDEX(catComida,MATCH(D1533,catNom,0))&amp;"",""))</f>
        <v/>
      </c>
      <c r="N1533" s="19">
        <f>IF(I1533="","",IFERROR(INDEX(ctaMon,MATCH(E1533,ctaNom,0))&amp;"","DOP"))</f>
        <v/>
      </c>
      <c r="O1533" s="20">
        <f>IF(I1533="","",C1533*IF(N1533="USD",TasaUSD,1))</f>
        <v/>
      </c>
      <c r="P1533" s="20">
        <f>IF(I1533="","",IF(I1533="Gasto",O1533,0))</f>
        <v/>
      </c>
      <c r="Q1533" s="20">
        <f>IF(I1533="","",IF(I1533="Ingreso",O1533,0))</f>
        <v/>
      </c>
      <c r="R1533" s="20">
        <f>IF(I1533="","",IF(I1533="Trading",O1533,0))</f>
        <v/>
      </c>
      <c r="S1533" s="19">
        <f>IF(I1533="","",IF(AND(I1533="Gasto",K1533="Variable",J1533&lt;&gt;"Trading",O1533&gt;0,O1533&lt;=Umbral),1,0))</f>
        <v/>
      </c>
      <c r="T1533" s="20">
        <f>IF(OR(I1533="",E1533=""),"",IF(OR(I1533="Gasto",I1533="Transferencia",I1533="Pago tarjeta"),-1,1)*C1533)</f>
        <v/>
      </c>
      <c r="U1533" s="20">
        <f>IF(OR(G1533="",AND(I1533&lt;&gt;"Transferencia",I1533&lt;&gt;"Pago tarjeta")),"",IF(IFERROR(INDEX(ctaMon,MATCH(G1533,ctaNom,0))&amp;"","DOP")=N1533,C1533,IF(N1533="USD",C1533*TasaUSD,C1533/TasaUSD)))</f>
        <v/>
      </c>
      <c r="V1533" s="20">
        <f>IF(I1533="","",IF(IFERROR(INDEX(ctaLiq,MATCH(E1533,ctaNom,0))="Sí",FALSE),IF(OR(I1533="Gasto",I1533="Transferencia",I1533="Pago tarjeta"),-1,1)*O1533,0)+IF(AND(U1533&lt;&gt;"",IFERROR(INDEX(ctaLiq,MATCH(G1533,ctaNom,0))="Sí",FALSE)),O1533,0))</f>
        <v/>
      </c>
      <c r="W1533" s="19">
        <f>IF(OR(F1533="",I1533=""),"",IF(COUNTIFS(F$6:F1533,F1533,I$6:I1533,"?*")=1,MAX(W$5:W1532)+1,""))</f>
        <v/>
      </c>
    </row>
    <row r="1534">
      <c r="B1534" s="15" t="n"/>
      <c r="C1534" s="16" t="n"/>
      <c r="D1534" s="17" t="n"/>
      <c r="E1534" s="17" t="n"/>
      <c r="F1534" s="17" t="n"/>
      <c r="G1534" s="17" t="n"/>
      <c r="H1534" s="18">
        <f>IF(AND(B1534="",C1534="",D1534="",E1534=""),"",IF(B1534="","⚠ Falta fecha",IF(C1534="","⚠ Falta monto",IF(D1534="","⚠ Falta categoría",IF(ISNA(MATCH(D1534,catNom,0)),"⚠ Categoría no existe",IF(E1534="","⚠ Falta cuenta",IF(ISNA(MATCH(E1534,ctaNom,0)),"⚠ Cuenta no existe",IF(AND(OR(I1534="Transferencia",I1534="Pago tarjeta"),G1534=""),"⚠ Indica la cuenta «Hacia»",IF(AND(G1534&lt;&gt;"",G1534=E1534),"⚠ «Hacia» igual a la cuenta",IF(AND(G1534&lt;&gt;"",ISNA(MATCH(G1534,ctaNom,0))),"⚠ «Hacia» no existe",IF(AND(I1534="Pago tarjeta",IFERROR(INDEX(ctaTipo,MATCH(G1534,ctaNom,0)),"")&lt;&gt;"Tarjeta de crédito"),"⚠ «Hacia» debe ser la tarjeta",IF(AND(I1534="Trading",IFERROR(INDEX(ctaTipo,MATCH(E1534,ctaNom,0)),"")&lt;&gt;"Cuenta de trading"),"⚠ Usa la cuenta de trading","✓"))))))))))))</f>
        <v/>
      </c>
      <c r="I1534" s="19">
        <f>IF(OR(B1534="",C1534="",D1534=""),"",IFERROR(INDEX(catTipo,MATCH(D1534,catNom,0))&amp;"",""))</f>
        <v/>
      </c>
      <c r="J1534" s="19">
        <f>IF(I1534="","",IFERROR(INDEX(catGrupo,MATCH(D1534,catNom,0))&amp;"",""))</f>
        <v/>
      </c>
      <c r="K1534" s="19">
        <f>IF(I1534="Gasto",IF(IFERROR(INDEX(catClas,MATCH(D1534,catNom,0))&amp;"","")="","Variable",IFERROR(INDEX(catClas,MATCH(D1534,catNom,0))&amp;"","")),"")</f>
        <v/>
      </c>
      <c r="L1534" s="19">
        <f>IF(I1534="","",IFERROR(INDEX(catAlim,MATCH(D1534,catNom,0))&amp;"",""))</f>
        <v/>
      </c>
      <c r="M1534" s="19">
        <f>IF(I1534="","",IFERROR(INDEX(catComida,MATCH(D1534,catNom,0))&amp;"",""))</f>
        <v/>
      </c>
      <c r="N1534" s="19">
        <f>IF(I1534="","",IFERROR(INDEX(ctaMon,MATCH(E1534,ctaNom,0))&amp;"","DOP"))</f>
        <v/>
      </c>
      <c r="O1534" s="20">
        <f>IF(I1534="","",C1534*IF(N1534="USD",TasaUSD,1))</f>
        <v/>
      </c>
      <c r="P1534" s="20">
        <f>IF(I1534="","",IF(I1534="Gasto",O1534,0))</f>
        <v/>
      </c>
      <c r="Q1534" s="20">
        <f>IF(I1534="","",IF(I1534="Ingreso",O1534,0))</f>
        <v/>
      </c>
      <c r="R1534" s="20">
        <f>IF(I1534="","",IF(I1534="Trading",O1534,0))</f>
        <v/>
      </c>
      <c r="S1534" s="19">
        <f>IF(I1534="","",IF(AND(I1534="Gasto",K1534="Variable",J1534&lt;&gt;"Trading",O1534&gt;0,O1534&lt;=Umbral),1,0))</f>
        <v/>
      </c>
      <c r="T1534" s="20">
        <f>IF(OR(I1534="",E1534=""),"",IF(OR(I1534="Gasto",I1534="Transferencia",I1534="Pago tarjeta"),-1,1)*C1534)</f>
        <v/>
      </c>
      <c r="U1534" s="20">
        <f>IF(OR(G1534="",AND(I1534&lt;&gt;"Transferencia",I1534&lt;&gt;"Pago tarjeta")),"",IF(IFERROR(INDEX(ctaMon,MATCH(G1534,ctaNom,0))&amp;"","DOP")=N1534,C1534,IF(N1534="USD",C1534*TasaUSD,C1534/TasaUSD)))</f>
        <v/>
      </c>
      <c r="V1534" s="20">
        <f>IF(I1534="","",IF(IFERROR(INDEX(ctaLiq,MATCH(E1534,ctaNom,0))="Sí",FALSE),IF(OR(I1534="Gasto",I1534="Transferencia",I1534="Pago tarjeta"),-1,1)*O1534,0)+IF(AND(U1534&lt;&gt;"",IFERROR(INDEX(ctaLiq,MATCH(G1534,ctaNom,0))="Sí",FALSE)),O1534,0))</f>
        <v/>
      </c>
      <c r="W1534" s="19">
        <f>IF(OR(F1534="",I1534=""),"",IF(COUNTIFS(F$6:F1534,F1534,I$6:I1534,"?*")=1,MAX(W$5:W1533)+1,""))</f>
        <v/>
      </c>
    </row>
    <row r="1535">
      <c r="B1535" s="15" t="n"/>
      <c r="C1535" s="16" t="n"/>
      <c r="D1535" s="17" t="n"/>
      <c r="E1535" s="17" t="n"/>
      <c r="F1535" s="17" t="n"/>
      <c r="G1535" s="17" t="n"/>
      <c r="H1535" s="18">
        <f>IF(AND(B1535="",C1535="",D1535="",E1535=""),"",IF(B1535="","⚠ Falta fecha",IF(C1535="","⚠ Falta monto",IF(D1535="","⚠ Falta categoría",IF(ISNA(MATCH(D1535,catNom,0)),"⚠ Categoría no existe",IF(E1535="","⚠ Falta cuenta",IF(ISNA(MATCH(E1535,ctaNom,0)),"⚠ Cuenta no existe",IF(AND(OR(I1535="Transferencia",I1535="Pago tarjeta"),G1535=""),"⚠ Indica la cuenta «Hacia»",IF(AND(G1535&lt;&gt;"",G1535=E1535),"⚠ «Hacia» igual a la cuenta",IF(AND(G1535&lt;&gt;"",ISNA(MATCH(G1535,ctaNom,0))),"⚠ «Hacia» no existe",IF(AND(I1535="Pago tarjeta",IFERROR(INDEX(ctaTipo,MATCH(G1535,ctaNom,0)),"")&lt;&gt;"Tarjeta de crédito"),"⚠ «Hacia» debe ser la tarjeta",IF(AND(I1535="Trading",IFERROR(INDEX(ctaTipo,MATCH(E1535,ctaNom,0)),"")&lt;&gt;"Cuenta de trading"),"⚠ Usa la cuenta de trading","✓"))))))))))))</f>
        <v/>
      </c>
      <c r="I1535" s="19">
        <f>IF(OR(B1535="",C1535="",D1535=""),"",IFERROR(INDEX(catTipo,MATCH(D1535,catNom,0))&amp;"",""))</f>
        <v/>
      </c>
      <c r="J1535" s="19">
        <f>IF(I1535="","",IFERROR(INDEX(catGrupo,MATCH(D1535,catNom,0))&amp;"",""))</f>
        <v/>
      </c>
      <c r="K1535" s="19">
        <f>IF(I1535="Gasto",IF(IFERROR(INDEX(catClas,MATCH(D1535,catNom,0))&amp;"","")="","Variable",IFERROR(INDEX(catClas,MATCH(D1535,catNom,0))&amp;"","")),"")</f>
        <v/>
      </c>
      <c r="L1535" s="19">
        <f>IF(I1535="","",IFERROR(INDEX(catAlim,MATCH(D1535,catNom,0))&amp;"",""))</f>
        <v/>
      </c>
      <c r="M1535" s="19">
        <f>IF(I1535="","",IFERROR(INDEX(catComida,MATCH(D1535,catNom,0))&amp;"",""))</f>
        <v/>
      </c>
      <c r="N1535" s="19">
        <f>IF(I1535="","",IFERROR(INDEX(ctaMon,MATCH(E1535,ctaNom,0))&amp;"","DOP"))</f>
        <v/>
      </c>
      <c r="O1535" s="20">
        <f>IF(I1535="","",C1535*IF(N1535="USD",TasaUSD,1))</f>
        <v/>
      </c>
      <c r="P1535" s="20">
        <f>IF(I1535="","",IF(I1535="Gasto",O1535,0))</f>
        <v/>
      </c>
      <c r="Q1535" s="20">
        <f>IF(I1535="","",IF(I1535="Ingreso",O1535,0))</f>
        <v/>
      </c>
      <c r="R1535" s="20">
        <f>IF(I1535="","",IF(I1535="Trading",O1535,0))</f>
        <v/>
      </c>
      <c r="S1535" s="19">
        <f>IF(I1535="","",IF(AND(I1535="Gasto",K1535="Variable",J1535&lt;&gt;"Trading",O1535&gt;0,O1535&lt;=Umbral),1,0))</f>
        <v/>
      </c>
      <c r="T1535" s="20">
        <f>IF(OR(I1535="",E1535=""),"",IF(OR(I1535="Gasto",I1535="Transferencia",I1535="Pago tarjeta"),-1,1)*C1535)</f>
        <v/>
      </c>
      <c r="U1535" s="20">
        <f>IF(OR(G1535="",AND(I1535&lt;&gt;"Transferencia",I1535&lt;&gt;"Pago tarjeta")),"",IF(IFERROR(INDEX(ctaMon,MATCH(G1535,ctaNom,0))&amp;"","DOP")=N1535,C1535,IF(N1535="USD",C1535*TasaUSD,C1535/TasaUSD)))</f>
        <v/>
      </c>
      <c r="V1535" s="20">
        <f>IF(I1535="","",IF(IFERROR(INDEX(ctaLiq,MATCH(E1535,ctaNom,0))="Sí",FALSE),IF(OR(I1535="Gasto",I1535="Transferencia",I1535="Pago tarjeta"),-1,1)*O1535,0)+IF(AND(U1535&lt;&gt;"",IFERROR(INDEX(ctaLiq,MATCH(G1535,ctaNom,0))="Sí",FALSE)),O1535,0))</f>
        <v/>
      </c>
      <c r="W1535" s="19">
        <f>IF(OR(F1535="",I1535=""),"",IF(COUNTIFS(F$6:F1535,F1535,I$6:I1535,"?*")=1,MAX(W$5:W1534)+1,""))</f>
        <v/>
      </c>
    </row>
    <row r="1536">
      <c r="B1536" s="15" t="n"/>
      <c r="C1536" s="16" t="n"/>
      <c r="D1536" s="17" t="n"/>
      <c r="E1536" s="17" t="n"/>
      <c r="F1536" s="17" t="n"/>
      <c r="G1536" s="17" t="n"/>
      <c r="H1536" s="18">
        <f>IF(AND(B1536="",C1536="",D1536="",E1536=""),"",IF(B1536="","⚠ Falta fecha",IF(C1536="","⚠ Falta monto",IF(D1536="","⚠ Falta categoría",IF(ISNA(MATCH(D1536,catNom,0)),"⚠ Categoría no existe",IF(E1536="","⚠ Falta cuenta",IF(ISNA(MATCH(E1536,ctaNom,0)),"⚠ Cuenta no existe",IF(AND(OR(I1536="Transferencia",I1536="Pago tarjeta"),G1536=""),"⚠ Indica la cuenta «Hacia»",IF(AND(G1536&lt;&gt;"",G1536=E1536),"⚠ «Hacia» igual a la cuenta",IF(AND(G1536&lt;&gt;"",ISNA(MATCH(G1536,ctaNom,0))),"⚠ «Hacia» no existe",IF(AND(I1536="Pago tarjeta",IFERROR(INDEX(ctaTipo,MATCH(G1536,ctaNom,0)),"")&lt;&gt;"Tarjeta de crédito"),"⚠ «Hacia» debe ser la tarjeta",IF(AND(I1536="Trading",IFERROR(INDEX(ctaTipo,MATCH(E1536,ctaNom,0)),"")&lt;&gt;"Cuenta de trading"),"⚠ Usa la cuenta de trading","✓"))))))))))))</f>
        <v/>
      </c>
      <c r="I1536" s="19">
        <f>IF(OR(B1536="",C1536="",D1536=""),"",IFERROR(INDEX(catTipo,MATCH(D1536,catNom,0))&amp;"",""))</f>
        <v/>
      </c>
      <c r="J1536" s="19">
        <f>IF(I1536="","",IFERROR(INDEX(catGrupo,MATCH(D1536,catNom,0))&amp;"",""))</f>
        <v/>
      </c>
      <c r="K1536" s="19">
        <f>IF(I1536="Gasto",IF(IFERROR(INDEX(catClas,MATCH(D1536,catNom,0))&amp;"","")="","Variable",IFERROR(INDEX(catClas,MATCH(D1536,catNom,0))&amp;"","")),"")</f>
        <v/>
      </c>
      <c r="L1536" s="19">
        <f>IF(I1536="","",IFERROR(INDEX(catAlim,MATCH(D1536,catNom,0))&amp;"",""))</f>
        <v/>
      </c>
      <c r="M1536" s="19">
        <f>IF(I1536="","",IFERROR(INDEX(catComida,MATCH(D1536,catNom,0))&amp;"",""))</f>
        <v/>
      </c>
      <c r="N1536" s="19">
        <f>IF(I1536="","",IFERROR(INDEX(ctaMon,MATCH(E1536,ctaNom,0))&amp;"","DOP"))</f>
        <v/>
      </c>
      <c r="O1536" s="20">
        <f>IF(I1536="","",C1536*IF(N1536="USD",TasaUSD,1))</f>
        <v/>
      </c>
      <c r="P1536" s="20">
        <f>IF(I1536="","",IF(I1536="Gasto",O1536,0))</f>
        <v/>
      </c>
      <c r="Q1536" s="20">
        <f>IF(I1536="","",IF(I1536="Ingreso",O1536,0))</f>
        <v/>
      </c>
      <c r="R1536" s="20">
        <f>IF(I1536="","",IF(I1536="Trading",O1536,0))</f>
        <v/>
      </c>
      <c r="S1536" s="19">
        <f>IF(I1536="","",IF(AND(I1536="Gasto",K1536="Variable",J1536&lt;&gt;"Trading",O1536&gt;0,O1536&lt;=Umbral),1,0))</f>
        <v/>
      </c>
      <c r="T1536" s="20">
        <f>IF(OR(I1536="",E1536=""),"",IF(OR(I1536="Gasto",I1536="Transferencia",I1536="Pago tarjeta"),-1,1)*C1536)</f>
        <v/>
      </c>
      <c r="U1536" s="20">
        <f>IF(OR(G1536="",AND(I1536&lt;&gt;"Transferencia",I1536&lt;&gt;"Pago tarjeta")),"",IF(IFERROR(INDEX(ctaMon,MATCH(G1536,ctaNom,0))&amp;"","DOP")=N1536,C1536,IF(N1536="USD",C1536*TasaUSD,C1536/TasaUSD)))</f>
        <v/>
      </c>
      <c r="V1536" s="20">
        <f>IF(I1536="","",IF(IFERROR(INDEX(ctaLiq,MATCH(E1536,ctaNom,0))="Sí",FALSE),IF(OR(I1536="Gasto",I1536="Transferencia",I1536="Pago tarjeta"),-1,1)*O1536,0)+IF(AND(U1536&lt;&gt;"",IFERROR(INDEX(ctaLiq,MATCH(G1536,ctaNom,0))="Sí",FALSE)),O1536,0))</f>
        <v/>
      </c>
      <c r="W1536" s="19">
        <f>IF(OR(F1536="",I1536=""),"",IF(COUNTIFS(F$6:F1536,F1536,I$6:I1536,"?*")=1,MAX(W$5:W1535)+1,""))</f>
        <v/>
      </c>
    </row>
    <row r="1537">
      <c r="B1537" s="15" t="n"/>
      <c r="C1537" s="16" t="n"/>
      <c r="D1537" s="17" t="n"/>
      <c r="E1537" s="17" t="n"/>
      <c r="F1537" s="17" t="n"/>
      <c r="G1537" s="17" t="n"/>
      <c r="H1537" s="18">
        <f>IF(AND(B1537="",C1537="",D1537="",E1537=""),"",IF(B1537="","⚠ Falta fecha",IF(C1537="","⚠ Falta monto",IF(D1537="","⚠ Falta categoría",IF(ISNA(MATCH(D1537,catNom,0)),"⚠ Categoría no existe",IF(E1537="","⚠ Falta cuenta",IF(ISNA(MATCH(E1537,ctaNom,0)),"⚠ Cuenta no existe",IF(AND(OR(I1537="Transferencia",I1537="Pago tarjeta"),G1537=""),"⚠ Indica la cuenta «Hacia»",IF(AND(G1537&lt;&gt;"",G1537=E1537),"⚠ «Hacia» igual a la cuenta",IF(AND(G1537&lt;&gt;"",ISNA(MATCH(G1537,ctaNom,0))),"⚠ «Hacia» no existe",IF(AND(I1537="Pago tarjeta",IFERROR(INDEX(ctaTipo,MATCH(G1537,ctaNom,0)),"")&lt;&gt;"Tarjeta de crédito"),"⚠ «Hacia» debe ser la tarjeta",IF(AND(I1537="Trading",IFERROR(INDEX(ctaTipo,MATCH(E1537,ctaNom,0)),"")&lt;&gt;"Cuenta de trading"),"⚠ Usa la cuenta de trading","✓"))))))))))))</f>
        <v/>
      </c>
      <c r="I1537" s="19">
        <f>IF(OR(B1537="",C1537="",D1537=""),"",IFERROR(INDEX(catTipo,MATCH(D1537,catNom,0))&amp;"",""))</f>
        <v/>
      </c>
      <c r="J1537" s="19">
        <f>IF(I1537="","",IFERROR(INDEX(catGrupo,MATCH(D1537,catNom,0))&amp;"",""))</f>
        <v/>
      </c>
      <c r="K1537" s="19">
        <f>IF(I1537="Gasto",IF(IFERROR(INDEX(catClas,MATCH(D1537,catNom,0))&amp;"","")="","Variable",IFERROR(INDEX(catClas,MATCH(D1537,catNom,0))&amp;"","")),"")</f>
        <v/>
      </c>
      <c r="L1537" s="19">
        <f>IF(I1537="","",IFERROR(INDEX(catAlim,MATCH(D1537,catNom,0))&amp;"",""))</f>
        <v/>
      </c>
      <c r="M1537" s="19">
        <f>IF(I1537="","",IFERROR(INDEX(catComida,MATCH(D1537,catNom,0))&amp;"",""))</f>
        <v/>
      </c>
      <c r="N1537" s="19">
        <f>IF(I1537="","",IFERROR(INDEX(ctaMon,MATCH(E1537,ctaNom,0))&amp;"","DOP"))</f>
        <v/>
      </c>
      <c r="O1537" s="20">
        <f>IF(I1537="","",C1537*IF(N1537="USD",TasaUSD,1))</f>
        <v/>
      </c>
      <c r="P1537" s="20">
        <f>IF(I1537="","",IF(I1537="Gasto",O1537,0))</f>
        <v/>
      </c>
      <c r="Q1537" s="20">
        <f>IF(I1537="","",IF(I1537="Ingreso",O1537,0))</f>
        <v/>
      </c>
      <c r="R1537" s="20">
        <f>IF(I1537="","",IF(I1537="Trading",O1537,0))</f>
        <v/>
      </c>
      <c r="S1537" s="19">
        <f>IF(I1537="","",IF(AND(I1537="Gasto",K1537="Variable",J1537&lt;&gt;"Trading",O1537&gt;0,O1537&lt;=Umbral),1,0))</f>
        <v/>
      </c>
      <c r="T1537" s="20">
        <f>IF(OR(I1537="",E1537=""),"",IF(OR(I1537="Gasto",I1537="Transferencia",I1537="Pago tarjeta"),-1,1)*C1537)</f>
        <v/>
      </c>
      <c r="U1537" s="20">
        <f>IF(OR(G1537="",AND(I1537&lt;&gt;"Transferencia",I1537&lt;&gt;"Pago tarjeta")),"",IF(IFERROR(INDEX(ctaMon,MATCH(G1537,ctaNom,0))&amp;"","DOP")=N1537,C1537,IF(N1537="USD",C1537*TasaUSD,C1537/TasaUSD)))</f>
        <v/>
      </c>
      <c r="V1537" s="20">
        <f>IF(I1537="","",IF(IFERROR(INDEX(ctaLiq,MATCH(E1537,ctaNom,0))="Sí",FALSE),IF(OR(I1537="Gasto",I1537="Transferencia",I1537="Pago tarjeta"),-1,1)*O1537,0)+IF(AND(U1537&lt;&gt;"",IFERROR(INDEX(ctaLiq,MATCH(G1537,ctaNom,0))="Sí",FALSE)),O1537,0))</f>
        <v/>
      </c>
      <c r="W1537" s="19">
        <f>IF(OR(F1537="",I1537=""),"",IF(COUNTIFS(F$6:F1537,F1537,I$6:I1537,"?*")=1,MAX(W$5:W1536)+1,""))</f>
        <v/>
      </c>
    </row>
    <row r="1538">
      <c r="B1538" s="15" t="n"/>
      <c r="C1538" s="16" t="n"/>
      <c r="D1538" s="17" t="n"/>
      <c r="E1538" s="17" t="n"/>
      <c r="F1538" s="17" t="n"/>
      <c r="G1538" s="17" t="n"/>
      <c r="H1538" s="18">
        <f>IF(AND(B1538="",C1538="",D1538="",E1538=""),"",IF(B1538="","⚠ Falta fecha",IF(C1538="","⚠ Falta monto",IF(D1538="","⚠ Falta categoría",IF(ISNA(MATCH(D1538,catNom,0)),"⚠ Categoría no existe",IF(E1538="","⚠ Falta cuenta",IF(ISNA(MATCH(E1538,ctaNom,0)),"⚠ Cuenta no existe",IF(AND(OR(I1538="Transferencia",I1538="Pago tarjeta"),G1538=""),"⚠ Indica la cuenta «Hacia»",IF(AND(G1538&lt;&gt;"",G1538=E1538),"⚠ «Hacia» igual a la cuenta",IF(AND(G1538&lt;&gt;"",ISNA(MATCH(G1538,ctaNom,0))),"⚠ «Hacia» no existe",IF(AND(I1538="Pago tarjeta",IFERROR(INDEX(ctaTipo,MATCH(G1538,ctaNom,0)),"")&lt;&gt;"Tarjeta de crédito"),"⚠ «Hacia» debe ser la tarjeta",IF(AND(I1538="Trading",IFERROR(INDEX(ctaTipo,MATCH(E1538,ctaNom,0)),"")&lt;&gt;"Cuenta de trading"),"⚠ Usa la cuenta de trading","✓"))))))))))))</f>
        <v/>
      </c>
      <c r="I1538" s="19">
        <f>IF(OR(B1538="",C1538="",D1538=""),"",IFERROR(INDEX(catTipo,MATCH(D1538,catNom,0))&amp;"",""))</f>
        <v/>
      </c>
      <c r="J1538" s="19">
        <f>IF(I1538="","",IFERROR(INDEX(catGrupo,MATCH(D1538,catNom,0))&amp;"",""))</f>
        <v/>
      </c>
      <c r="K1538" s="19">
        <f>IF(I1538="Gasto",IF(IFERROR(INDEX(catClas,MATCH(D1538,catNom,0))&amp;"","")="","Variable",IFERROR(INDEX(catClas,MATCH(D1538,catNom,0))&amp;"","")),"")</f>
        <v/>
      </c>
      <c r="L1538" s="19">
        <f>IF(I1538="","",IFERROR(INDEX(catAlim,MATCH(D1538,catNom,0))&amp;"",""))</f>
        <v/>
      </c>
      <c r="M1538" s="19">
        <f>IF(I1538="","",IFERROR(INDEX(catComida,MATCH(D1538,catNom,0))&amp;"",""))</f>
        <v/>
      </c>
      <c r="N1538" s="19">
        <f>IF(I1538="","",IFERROR(INDEX(ctaMon,MATCH(E1538,ctaNom,0))&amp;"","DOP"))</f>
        <v/>
      </c>
      <c r="O1538" s="20">
        <f>IF(I1538="","",C1538*IF(N1538="USD",TasaUSD,1))</f>
        <v/>
      </c>
      <c r="P1538" s="20">
        <f>IF(I1538="","",IF(I1538="Gasto",O1538,0))</f>
        <v/>
      </c>
      <c r="Q1538" s="20">
        <f>IF(I1538="","",IF(I1538="Ingreso",O1538,0))</f>
        <v/>
      </c>
      <c r="R1538" s="20">
        <f>IF(I1538="","",IF(I1538="Trading",O1538,0))</f>
        <v/>
      </c>
      <c r="S1538" s="19">
        <f>IF(I1538="","",IF(AND(I1538="Gasto",K1538="Variable",J1538&lt;&gt;"Trading",O1538&gt;0,O1538&lt;=Umbral),1,0))</f>
        <v/>
      </c>
      <c r="T1538" s="20">
        <f>IF(OR(I1538="",E1538=""),"",IF(OR(I1538="Gasto",I1538="Transferencia",I1538="Pago tarjeta"),-1,1)*C1538)</f>
        <v/>
      </c>
      <c r="U1538" s="20">
        <f>IF(OR(G1538="",AND(I1538&lt;&gt;"Transferencia",I1538&lt;&gt;"Pago tarjeta")),"",IF(IFERROR(INDEX(ctaMon,MATCH(G1538,ctaNom,0))&amp;"","DOP")=N1538,C1538,IF(N1538="USD",C1538*TasaUSD,C1538/TasaUSD)))</f>
        <v/>
      </c>
      <c r="V1538" s="20">
        <f>IF(I1538="","",IF(IFERROR(INDEX(ctaLiq,MATCH(E1538,ctaNom,0))="Sí",FALSE),IF(OR(I1538="Gasto",I1538="Transferencia",I1538="Pago tarjeta"),-1,1)*O1538,0)+IF(AND(U1538&lt;&gt;"",IFERROR(INDEX(ctaLiq,MATCH(G1538,ctaNom,0))="Sí",FALSE)),O1538,0))</f>
        <v/>
      </c>
      <c r="W1538" s="19">
        <f>IF(OR(F1538="",I1538=""),"",IF(COUNTIFS(F$6:F1538,F1538,I$6:I1538,"?*")=1,MAX(W$5:W1537)+1,""))</f>
        <v/>
      </c>
    </row>
    <row r="1539">
      <c r="B1539" s="15" t="n"/>
      <c r="C1539" s="16" t="n"/>
      <c r="D1539" s="17" t="n"/>
      <c r="E1539" s="17" t="n"/>
      <c r="F1539" s="17" t="n"/>
      <c r="G1539" s="17" t="n"/>
      <c r="H1539" s="18">
        <f>IF(AND(B1539="",C1539="",D1539="",E1539=""),"",IF(B1539="","⚠ Falta fecha",IF(C1539="","⚠ Falta monto",IF(D1539="","⚠ Falta categoría",IF(ISNA(MATCH(D1539,catNom,0)),"⚠ Categoría no existe",IF(E1539="","⚠ Falta cuenta",IF(ISNA(MATCH(E1539,ctaNom,0)),"⚠ Cuenta no existe",IF(AND(OR(I1539="Transferencia",I1539="Pago tarjeta"),G1539=""),"⚠ Indica la cuenta «Hacia»",IF(AND(G1539&lt;&gt;"",G1539=E1539),"⚠ «Hacia» igual a la cuenta",IF(AND(G1539&lt;&gt;"",ISNA(MATCH(G1539,ctaNom,0))),"⚠ «Hacia» no existe",IF(AND(I1539="Pago tarjeta",IFERROR(INDEX(ctaTipo,MATCH(G1539,ctaNom,0)),"")&lt;&gt;"Tarjeta de crédito"),"⚠ «Hacia» debe ser la tarjeta",IF(AND(I1539="Trading",IFERROR(INDEX(ctaTipo,MATCH(E1539,ctaNom,0)),"")&lt;&gt;"Cuenta de trading"),"⚠ Usa la cuenta de trading","✓"))))))))))))</f>
        <v/>
      </c>
      <c r="I1539" s="19">
        <f>IF(OR(B1539="",C1539="",D1539=""),"",IFERROR(INDEX(catTipo,MATCH(D1539,catNom,0))&amp;"",""))</f>
        <v/>
      </c>
      <c r="J1539" s="19">
        <f>IF(I1539="","",IFERROR(INDEX(catGrupo,MATCH(D1539,catNom,0))&amp;"",""))</f>
        <v/>
      </c>
      <c r="K1539" s="19">
        <f>IF(I1539="Gasto",IF(IFERROR(INDEX(catClas,MATCH(D1539,catNom,0))&amp;"","")="","Variable",IFERROR(INDEX(catClas,MATCH(D1539,catNom,0))&amp;"","")),"")</f>
        <v/>
      </c>
      <c r="L1539" s="19">
        <f>IF(I1539="","",IFERROR(INDEX(catAlim,MATCH(D1539,catNom,0))&amp;"",""))</f>
        <v/>
      </c>
      <c r="M1539" s="19">
        <f>IF(I1539="","",IFERROR(INDEX(catComida,MATCH(D1539,catNom,0))&amp;"",""))</f>
        <v/>
      </c>
      <c r="N1539" s="19">
        <f>IF(I1539="","",IFERROR(INDEX(ctaMon,MATCH(E1539,ctaNom,0))&amp;"","DOP"))</f>
        <v/>
      </c>
      <c r="O1539" s="20">
        <f>IF(I1539="","",C1539*IF(N1539="USD",TasaUSD,1))</f>
        <v/>
      </c>
      <c r="P1539" s="20">
        <f>IF(I1539="","",IF(I1539="Gasto",O1539,0))</f>
        <v/>
      </c>
      <c r="Q1539" s="20">
        <f>IF(I1539="","",IF(I1539="Ingreso",O1539,0))</f>
        <v/>
      </c>
      <c r="R1539" s="20">
        <f>IF(I1539="","",IF(I1539="Trading",O1539,0))</f>
        <v/>
      </c>
      <c r="S1539" s="19">
        <f>IF(I1539="","",IF(AND(I1539="Gasto",K1539="Variable",J1539&lt;&gt;"Trading",O1539&gt;0,O1539&lt;=Umbral),1,0))</f>
        <v/>
      </c>
      <c r="T1539" s="20">
        <f>IF(OR(I1539="",E1539=""),"",IF(OR(I1539="Gasto",I1539="Transferencia",I1539="Pago tarjeta"),-1,1)*C1539)</f>
        <v/>
      </c>
      <c r="U1539" s="20">
        <f>IF(OR(G1539="",AND(I1539&lt;&gt;"Transferencia",I1539&lt;&gt;"Pago tarjeta")),"",IF(IFERROR(INDEX(ctaMon,MATCH(G1539,ctaNom,0))&amp;"","DOP")=N1539,C1539,IF(N1539="USD",C1539*TasaUSD,C1539/TasaUSD)))</f>
        <v/>
      </c>
      <c r="V1539" s="20">
        <f>IF(I1539="","",IF(IFERROR(INDEX(ctaLiq,MATCH(E1539,ctaNom,0))="Sí",FALSE),IF(OR(I1539="Gasto",I1539="Transferencia",I1539="Pago tarjeta"),-1,1)*O1539,0)+IF(AND(U1539&lt;&gt;"",IFERROR(INDEX(ctaLiq,MATCH(G1539,ctaNom,0))="Sí",FALSE)),O1539,0))</f>
        <v/>
      </c>
      <c r="W1539" s="19">
        <f>IF(OR(F1539="",I1539=""),"",IF(COUNTIFS(F$6:F1539,F1539,I$6:I1539,"?*")=1,MAX(W$5:W1538)+1,""))</f>
        <v/>
      </c>
    </row>
    <row r="1540">
      <c r="B1540" s="15" t="n"/>
      <c r="C1540" s="16" t="n"/>
      <c r="D1540" s="17" t="n"/>
      <c r="E1540" s="17" t="n"/>
      <c r="F1540" s="17" t="n"/>
      <c r="G1540" s="17" t="n"/>
      <c r="H1540" s="18">
        <f>IF(AND(B1540="",C1540="",D1540="",E1540=""),"",IF(B1540="","⚠ Falta fecha",IF(C1540="","⚠ Falta monto",IF(D1540="","⚠ Falta categoría",IF(ISNA(MATCH(D1540,catNom,0)),"⚠ Categoría no existe",IF(E1540="","⚠ Falta cuenta",IF(ISNA(MATCH(E1540,ctaNom,0)),"⚠ Cuenta no existe",IF(AND(OR(I1540="Transferencia",I1540="Pago tarjeta"),G1540=""),"⚠ Indica la cuenta «Hacia»",IF(AND(G1540&lt;&gt;"",G1540=E1540),"⚠ «Hacia» igual a la cuenta",IF(AND(G1540&lt;&gt;"",ISNA(MATCH(G1540,ctaNom,0))),"⚠ «Hacia» no existe",IF(AND(I1540="Pago tarjeta",IFERROR(INDEX(ctaTipo,MATCH(G1540,ctaNom,0)),"")&lt;&gt;"Tarjeta de crédito"),"⚠ «Hacia» debe ser la tarjeta",IF(AND(I1540="Trading",IFERROR(INDEX(ctaTipo,MATCH(E1540,ctaNom,0)),"")&lt;&gt;"Cuenta de trading"),"⚠ Usa la cuenta de trading","✓"))))))))))))</f>
        <v/>
      </c>
      <c r="I1540" s="19">
        <f>IF(OR(B1540="",C1540="",D1540=""),"",IFERROR(INDEX(catTipo,MATCH(D1540,catNom,0))&amp;"",""))</f>
        <v/>
      </c>
      <c r="J1540" s="19">
        <f>IF(I1540="","",IFERROR(INDEX(catGrupo,MATCH(D1540,catNom,0))&amp;"",""))</f>
        <v/>
      </c>
      <c r="K1540" s="19">
        <f>IF(I1540="Gasto",IF(IFERROR(INDEX(catClas,MATCH(D1540,catNom,0))&amp;"","")="","Variable",IFERROR(INDEX(catClas,MATCH(D1540,catNom,0))&amp;"","")),"")</f>
        <v/>
      </c>
      <c r="L1540" s="19">
        <f>IF(I1540="","",IFERROR(INDEX(catAlim,MATCH(D1540,catNom,0))&amp;"",""))</f>
        <v/>
      </c>
      <c r="M1540" s="19">
        <f>IF(I1540="","",IFERROR(INDEX(catComida,MATCH(D1540,catNom,0))&amp;"",""))</f>
        <v/>
      </c>
      <c r="N1540" s="19">
        <f>IF(I1540="","",IFERROR(INDEX(ctaMon,MATCH(E1540,ctaNom,0))&amp;"","DOP"))</f>
        <v/>
      </c>
      <c r="O1540" s="20">
        <f>IF(I1540="","",C1540*IF(N1540="USD",TasaUSD,1))</f>
        <v/>
      </c>
      <c r="P1540" s="20">
        <f>IF(I1540="","",IF(I1540="Gasto",O1540,0))</f>
        <v/>
      </c>
      <c r="Q1540" s="20">
        <f>IF(I1540="","",IF(I1540="Ingreso",O1540,0))</f>
        <v/>
      </c>
      <c r="R1540" s="20">
        <f>IF(I1540="","",IF(I1540="Trading",O1540,0))</f>
        <v/>
      </c>
      <c r="S1540" s="19">
        <f>IF(I1540="","",IF(AND(I1540="Gasto",K1540="Variable",J1540&lt;&gt;"Trading",O1540&gt;0,O1540&lt;=Umbral),1,0))</f>
        <v/>
      </c>
      <c r="T1540" s="20">
        <f>IF(OR(I1540="",E1540=""),"",IF(OR(I1540="Gasto",I1540="Transferencia",I1540="Pago tarjeta"),-1,1)*C1540)</f>
        <v/>
      </c>
      <c r="U1540" s="20">
        <f>IF(OR(G1540="",AND(I1540&lt;&gt;"Transferencia",I1540&lt;&gt;"Pago tarjeta")),"",IF(IFERROR(INDEX(ctaMon,MATCH(G1540,ctaNom,0))&amp;"","DOP")=N1540,C1540,IF(N1540="USD",C1540*TasaUSD,C1540/TasaUSD)))</f>
        <v/>
      </c>
      <c r="V1540" s="20">
        <f>IF(I1540="","",IF(IFERROR(INDEX(ctaLiq,MATCH(E1540,ctaNom,0))="Sí",FALSE),IF(OR(I1540="Gasto",I1540="Transferencia",I1540="Pago tarjeta"),-1,1)*O1540,0)+IF(AND(U1540&lt;&gt;"",IFERROR(INDEX(ctaLiq,MATCH(G1540,ctaNom,0))="Sí",FALSE)),O1540,0))</f>
        <v/>
      </c>
      <c r="W1540" s="19">
        <f>IF(OR(F1540="",I1540=""),"",IF(COUNTIFS(F$6:F1540,F1540,I$6:I1540,"?*")=1,MAX(W$5:W1539)+1,""))</f>
        <v/>
      </c>
    </row>
    <row r="1541">
      <c r="B1541" s="15" t="n"/>
      <c r="C1541" s="16" t="n"/>
      <c r="D1541" s="17" t="n"/>
      <c r="E1541" s="17" t="n"/>
      <c r="F1541" s="17" t="n"/>
      <c r="G1541" s="17" t="n"/>
      <c r="H1541" s="18">
        <f>IF(AND(B1541="",C1541="",D1541="",E1541=""),"",IF(B1541="","⚠ Falta fecha",IF(C1541="","⚠ Falta monto",IF(D1541="","⚠ Falta categoría",IF(ISNA(MATCH(D1541,catNom,0)),"⚠ Categoría no existe",IF(E1541="","⚠ Falta cuenta",IF(ISNA(MATCH(E1541,ctaNom,0)),"⚠ Cuenta no existe",IF(AND(OR(I1541="Transferencia",I1541="Pago tarjeta"),G1541=""),"⚠ Indica la cuenta «Hacia»",IF(AND(G1541&lt;&gt;"",G1541=E1541),"⚠ «Hacia» igual a la cuenta",IF(AND(G1541&lt;&gt;"",ISNA(MATCH(G1541,ctaNom,0))),"⚠ «Hacia» no existe",IF(AND(I1541="Pago tarjeta",IFERROR(INDEX(ctaTipo,MATCH(G1541,ctaNom,0)),"")&lt;&gt;"Tarjeta de crédito"),"⚠ «Hacia» debe ser la tarjeta",IF(AND(I1541="Trading",IFERROR(INDEX(ctaTipo,MATCH(E1541,ctaNom,0)),"")&lt;&gt;"Cuenta de trading"),"⚠ Usa la cuenta de trading","✓"))))))))))))</f>
        <v/>
      </c>
      <c r="I1541" s="19">
        <f>IF(OR(B1541="",C1541="",D1541=""),"",IFERROR(INDEX(catTipo,MATCH(D1541,catNom,0))&amp;"",""))</f>
        <v/>
      </c>
      <c r="J1541" s="19">
        <f>IF(I1541="","",IFERROR(INDEX(catGrupo,MATCH(D1541,catNom,0))&amp;"",""))</f>
        <v/>
      </c>
      <c r="K1541" s="19">
        <f>IF(I1541="Gasto",IF(IFERROR(INDEX(catClas,MATCH(D1541,catNom,0))&amp;"","")="","Variable",IFERROR(INDEX(catClas,MATCH(D1541,catNom,0))&amp;"","")),"")</f>
        <v/>
      </c>
      <c r="L1541" s="19">
        <f>IF(I1541="","",IFERROR(INDEX(catAlim,MATCH(D1541,catNom,0))&amp;"",""))</f>
        <v/>
      </c>
      <c r="M1541" s="19">
        <f>IF(I1541="","",IFERROR(INDEX(catComida,MATCH(D1541,catNom,0))&amp;"",""))</f>
        <v/>
      </c>
      <c r="N1541" s="19">
        <f>IF(I1541="","",IFERROR(INDEX(ctaMon,MATCH(E1541,ctaNom,0))&amp;"","DOP"))</f>
        <v/>
      </c>
      <c r="O1541" s="20">
        <f>IF(I1541="","",C1541*IF(N1541="USD",TasaUSD,1))</f>
        <v/>
      </c>
      <c r="P1541" s="20">
        <f>IF(I1541="","",IF(I1541="Gasto",O1541,0))</f>
        <v/>
      </c>
      <c r="Q1541" s="20">
        <f>IF(I1541="","",IF(I1541="Ingreso",O1541,0))</f>
        <v/>
      </c>
      <c r="R1541" s="20">
        <f>IF(I1541="","",IF(I1541="Trading",O1541,0))</f>
        <v/>
      </c>
      <c r="S1541" s="19">
        <f>IF(I1541="","",IF(AND(I1541="Gasto",K1541="Variable",J1541&lt;&gt;"Trading",O1541&gt;0,O1541&lt;=Umbral),1,0))</f>
        <v/>
      </c>
      <c r="T1541" s="20">
        <f>IF(OR(I1541="",E1541=""),"",IF(OR(I1541="Gasto",I1541="Transferencia",I1541="Pago tarjeta"),-1,1)*C1541)</f>
        <v/>
      </c>
      <c r="U1541" s="20">
        <f>IF(OR(G1541="",AND(I1541&lt;&gt;"Transferencia",I1541&lt;&gt;"Pago tarjeta")),"",IF(IFERROR(INDEX(ctaMon,MATCH(G1541,ctaNom,0))&amp;"","DOP")=N1541,C1541,IF(N1541="USD",C1541*TasaUSD,C1541/TasaUSD)))</f>
        <v/>
      </c>
      <c r="V1541" s="20">
        <f>IF(I1541="","",IF(IFERROR(INDEX(ctaLiq,MATCH(E1541,ctaNom,0))="Sí",FALSE),IF(OR(I1541="Gasto",I1541="Transferencia",I1541="Pago tarjeta"),-1,1)*O1541,0)+IF(AND(U1541&lt;&gt;"",IFERROR(INDEX(ctaLiq,MATCH(G1541,ctaNom,0))="Sí",FALSE)),O1541,0))</f>
        <v/>
      </c>
      <c r="W1541" s="19">
        <f>IF(OR(F1541="",I1541=""),"",IF(COUNTIFS(F$6:F1541,F1541,I$6:I1541,"?*")=1,MAX(W$5:W1540)+1,""))</f>
        <v/>
      </c>
    </row>
    <row r="1542">
      <c r="B1542" s="15" t="n"/>
      <c r="C1542" s="16" t="n"/>
      <c r="D1542" s="17" t="n"/>
      <c r="E1542" s="17" t="n"/>
      <c r="F1542" s="17" t="n"/>
      <c r="G1542" s="17" t="n"/>
      <c r="H1542" s="18">
        <f>IF(AND(B1542="",C1542="",D1542="",E1542=""),"",IF(B1542="","⚠ Falta fecha",IF(C1542="","⚠ Falta monto",IF(D1542="","⚠ Falta categoría",IF(ISNA(MATCH(D1542,catNom,0)),"⚠ Categoría no existe",IF(E1542="","⚠ Falta cuenta",IF(ISNA(MATCH(E1542,ctaNom,0)),"⚠ Cuenta no existe",IF(AND(OR(I1542="Transferencia",I1542="Pago tarjeta"),G1542=""),"⚠ Indica la cuenta «Hacia»",IF(AND(G1542&lt;&gt;"",G1542=E1542),"⚠ «Hacia» igual a la cuenta",IF(AND(G1542&lt;&gt;"",ISNA(MATCH(G1542,ctaNom,0))),"⚠ «Hacia» no existe",IF(AND(I1542="Pago tarjeta",IFERROR(INDEX(ctaTipo,MATCH(G1542,ctaNom,0)),"")&lt;&gt;"Tarjeta de crédito"),"⚠ «Hacia» debe ser la tarjeta",IF(AND(I1542="Trading",IFERROR(INDEX(ctaTipo,MATCH(E1542,ctaNom,0)),"")&lt;&gt;"Cuenta de trading"),"⚠ Usa la cuenta de trading","✓"))))))))))))</f>
        <v/>
      </c>
      <c r="I1542" s="19">
        <f>IF(OR(B1542="",C1542="",D1542=""),"",IFERROR(INDEX(catTipo,MATCH(D1542,catNom,0))&amp;"",""))</f>
        <v/>
      </c>
      <c r="J1542" s="19">
        <f>IF(I1542="","",IFERROR(INDEX(catGrupo,MATCH(D1542,catNom,0))&amp;"",""))</f>
        <v/>
      </c>
      <c r="K1542" s="19">
        <f>IF(I1542="Gasto",IF(IFERROR(INDEX(catClas,MATCH(D1542,catNom,0))&amp;"","")="","Variable",IFERROR(INDEX(catClas,MATCH(D1542,catNom,0))&amp;"","")),"")</f>
        <v/>
      </c>
      <c r="L1542" s="19">
        <f>IF(I1542="","",IFERROR(INDEX(catAlim,MATCH(D1542,catNom,0))&amp;"",""))</f>
        <v/>
      </c>
      <c r="M1542" s="19">
        <f>IF(I1542="","",IFERROR(INDEX(catComida,MATCH(D1542,catNom,0))&amp;"",""))</f>
        <v/>
      </c>
      <c r="N1542" s="19">
        <f>IF(I1542="","",IFERROR(INDEX(ctaMon,MATCH(E1542,ctaNom,0))&amp;"","DOP"))</f>
        <v/>
      </c>
      <c r="O1542" s="20">
        <f>IF(I1542="","",C1542*IF(N1542="USD",TasaUSD,1))</f>
        <v/>
      </c>
      <c r="P1542" s="20">
        <f>IF(I1542="","",IF(I1542="Gasto",O1542,0))</f>
        <v/>
      </c>
      <c r="Q1542" s="20">
        <f>IF(I1542="","",IF(I1542="Ingreso",O1542,0))</f>
        <v/>
      </c>
      <c r="R1542" s="20">
        <f>IF(I1542="","",IF(I1542="Trading",O1542,0))</f>
        <v/>
      </c>
      <c r="S1542" s="19">
        <f>IF(I1542="","",IF(AND(I1542="Gasto",K1542="Variable",J1542&lt;&gt;"Trading",O1542&gt;0,O1542&lt;=Umbral),1,0))</f>
        <v/>
      </c>
      <c r="T1542" s="20">
        <f>IF(OR(I1542="",E1542=""),"",IF(OR(I1542="Gasto",I1542="Transferencia",I1542="Pago tarjeta"),-1,1)*C1542)</f>
        <v/>
      </c>
      <c r="U1542" s="20">
        <f>IF(OR(G1542="",AND(I1542&lt;&gt;"Transferencia",I1542&lt;&gt;"Pago tarjeta")),"",IF(IFERROR(INDEX(ctaMon,MATCH(G1542,ctaNom,0))&amp;"","DOP")=N1542,C1542,IF(N1542="USD",C1542*TasaUSD,C1542/TasaUSD)))</f>
        <v/>
      </c>
      <c r="V1542" s="20">
        <f>IF(I1542="","",IF(IFERROR(INDEX(ctaLiq,MATCH(E1542,ctaNom,0))="Sí",FALSE),IF(OR(I1542="Gasto",I1542="Transferencia",I1542="Pago tarjeta"),-1,1)*O1542,0)+IF(AND(U1542&lt;&gt;"",IFERROR(INDEX(ctaLiq,MATCH(G1542,ctaNom,0))="Sí",FALSE)),O1542,0))</f>
        <v/>
      </c>
      <c r="W1542" s="19">
        <f>IF(OR(F1542="",I1542=""),"",IF(COUNTIFS(F$6:F1542,F1542,I$6:I1542,"?*")=1,MAX(W$5:W1541)+1,""))</f>
        <v/>
      </c>
    </row>
    <row r="1543">
      <c r="B1543" s="15" t="n"/>
      <c r="C1543" s="16" t="n"/>
      <c r="D1543" s="17" t="n"/>
      <c r="E1543" s="17" t="n"/>
      <c r="F1543" s="17" t="n"/>
      <c r="G1543" s="17" t="n"/>
      <c r="H1543" s="18">
        <f>IF(AND(B1543="",C1543="",D1543="",E1543=""),"",IF(B1543="","⚠ Falta fecha",IF(C1543="","⚠ Falta monto",IF(D1543="","⚠ Falta categoría",IF(ISNA(MATCH(D1543,catNom,0)),"⚠ Categoría no existe",IF(E1543="","⚠ Falta cuenta",IF(ISNA(MATCH(E1543,ctaNom,0)),"⚠ Cuenta no existe",IF(AND(OR(I1543="Transferencia",I1543="Pago tarjeta"),G1543=""),"⚠ Indica la cuenta «Hacia»",IF(AND(G1543&lt;&gt;"",G1543=E1543),"⚠ «Hacia» igual a la cuenta",IF(AND(G1543&lt;&gt;"",ISNA(MATCH(G1543,ctaNom,0))),"⚠ «Hacia» no existe",IF(AND(I1543="Pago tarjeta",IFERROR(INDEX(ctaTipo,MATCH(G1543,ctaNom,0)),"")&lt;&gt;"Tarjeta de crédito"),"⚠ «Hacia» debe ser la tarjeta",IF(AND(I1543="Trading",IFERROR(INDEX(ctaTipo,MATCH(E1543,ctaNom,0)),"")&lt;&gt;"Cuenta de trading"),"⚠ Usa la cuenta de trading","✓"))))))))))))</f>
        <v/>
      </c>
      <c r="I1543" s="19">
        <f>IF(OR(B1543="",C1543="",D1543=""),"",IFERROR(INDEX(catTipo,MATCH(D1543,catNom,0))&amp;"",""))</f>
        <v/>
      </c>
      <c r="J1543" s="19">
        <f>IF(I1543="","",IFERROR(INDEX(catGrupo,MATCH(D1543,catNom,0))&amp;"",""))</f>
        <v/>
      </c>
      <c r="K1543" s="19">
        <f>IF(I1543="Gasto",IF(IFERROR(INDEX(catClas,MATCH(D1543,catNom,0))&amp;"","")="","Variable",IFERROR(INDEX(catClas,MATCH(D1543,catNom,0))&amp;"","")),"")</f>
        <v/>
      </c>
      <c r="L1543" s="19">
        <f>IF(I1543="","",IFERROR(INDEX(catAlim,MATCH(D1543,catNom,0))&amp;"",""))</f>
        <v/>
      </c>
      <c r="M1543" s="19">
        <f>IF(I1543="","",IFERROR(INDEX(catComida,MATCH(D1543,catNom,0))&amp;"",""))</f>
        <v/>
      </c>
      <c r="N1543" s="19">
        <f>IF(I1543="","",IFERROR(INDEX(ctaMon,MATCH(E1543,ctaNom,0))&amp;"","DOP"))</f>
        <v/>
      </c>
      <c r="O1543" s="20">
        <f>IF(I1543="","",C1543*IF(N1543="USD",TasaUSD,1))</f>
        <v/>
      </c>
      <c r="P1543" s="20">
        <f>IF(I1543="","",IF(I1543="Gasto",O1543,0))</f>
        <v/>
      </c>
      <c r="Q1543" s="20">
        <f>IF(I1543="","",IF(I1543="Ingreso",O1543,0))</f>
        <v/>
      </c>
      <c r="R1543" s="20">
        <f>IF(I1543="","",IF(I1543="Trading",O1543,0))</f>
        <v/>
      </c>
      <c r="S1543" s="19">
        <f>IF(I1543="","",IF(AND(I1543="Gasto",K1543="Variable",J1543&lt;&gt;"Trading",O1543&gt;0,O1543&lt;=Umbral),1,0))</f>
        <v/>
      </c>
      <c r="T1543" s="20">
        <f>IF(OR(I1543="",E1543=""),"",IF(OR(I1543="Gasto",I1543="Transferencia",I1543="Pago tarjeta"),-1,1)*C1543)</f>
        <v/>
      </c>
      <c r="U1543" s="20">
        <f>IF(OR(G1543="",AND(I1543&lt;&gt;"Transferencia",I1543&lt;&gt;"Pago tarjeta")),"",IF(IFERROR(INDEX(ctaMon,MATCH(G1543,ctaNom,0))&amp;"","DOP")=N1543,C1543,IF(N1543="USD",C1543*TasaUSD,C1543/TasaUSD)))</f>
        <v/>
      </c>
      <c r="V1543" s="20">
        <f>IF(I1543="","",IF(IFERROR(INDEX(ctaLiq,MATCH(E1543,ctaNom,0))="Sí",FALSE),IF(OR(I1543="Gasto",I1543="Transferencia",I1543="Pago tarjeta"),-1,1)*O1543,0)+IF(AND(U1543&lt;&gt;"",IFERROR(INDEX(ctaLiq,MATCH(G1543,ctaNom,0))="Sí",FALSE)),O1543,0))</f>
        <v/>
      </c>
      <c r="W1543" s="19">
        <f>IF(OR(F1543="",I1543=""),"",IF(COUNTIFS(F$6:F1543,F1543,I$6:I1543,"?*")=1,MAX(W$5:W1542)+1,""))</f>
        <v/>
      </c>
    </row>
    <row r="1544">
      <c r="B1544" s="15" t="n"/>
      <c r="C1544" s="16" t="n"/>
      <c r="D1544" s="17" t="n"/>
      <c r="E1544" s="17" t="n"/>
      <c r="F1544" s="17" t="n"/>
      <c r="G1544" s="17" t="n"/>
      <c r="H1544" s="18">
        <f>IF(AND(B1544="",C1544="",D1544="",E1544=""),"",IF(B1544="","⚠ Falta fecha",IF(C1544="","⚠ Falta monto",IF(D1544="","⚠ Falta categoría",IF(ISNA(MATCH(D1544,catNom,0)),"⚠ Categoría no existe",IF(E1544="","⚠ Falta cuenta",IF(ISNA(MATCH(E1544,ctaNom,0)),"⚠ Cuenta no existe",IF(AND(OR(I1544="Transferencia",I1544="Pago tarjeta"),G1544=""),"⚠ Indica la cuenta «Hacia»",IF(AND(G1544&lt;&gt;"",G1544=E1544),"⚠ «Hacia» igual a la cuenta",IF(AND(G1544&lt;&gt;"",ISNA(MATCH(G1544,ctaNom,0))),"⚠ «Hacia» no existe",IF(AND(I1544="Pago tarjeta",IFERROR(INDEX(ctaTipo,MATCH(G1544,ctaNom,0)),"")&lt;&gt;"Tarjeta de crédito"),"⚠ «Hacia» debe ser la tarjeta",IF(AND(I1544="Trading",IFERROR(INDEX(ctaTipo,MATCH(E1544,ctaNom,0)),"")&lt;&gt;"Cuenta de trading"),"⚠ Usa la cuenta de trading","✓"))))))))))))</f>
        <v/>
      </c>
      <c r="I1544" s="19">
        <f>IF(OR(B1544="",C1544="",D1544=""),"",IFERROR(INDEX(catTipo,MATCH(D1544,catNom,0))&amp;"",""))</f>
        <v/>
      </c>
      <c r="J1544" s="19">
        <f>IF(I1544="","",IFERROR(INDEX(catGrupo,MATCH(D1544,catNom,0))&amp;"",""))</f>
        <v/>
      </c>
      <c r="K1544" s="19">
        <f>IF(I1544="Gasto",IF(IFERROR(INDEX(catClas,MATCH(D1544,catNom,0))&amp;"","")="","Variable",IFERROR(INDEX(catClas,MATCH(D1544,catNom,0))&amp;"","")),"")</f>
        <v/>
      </c>
      <c r="L1544" s="19">
        <f>IF(I1544="","",IFERROR(INDEX(catAlim,MATCH(D1544,catNom,0))&amp;"",""))</f>
        <v/>
      </c>
      <c r="M1544" s="19">
        <f>IF(I1544="","",IFERROR(INDEX(catComida,MATCH(D1544,catNom,0))&amp;"",""))</f>
        <v/>
      </c>
      <c r="N1544" s="19">
        <f>IF(I1544="","",IFERROR(INDEX(ctaMon,MATCH(E1544,ctaNom,0))&amp;"","DOP"))</f>
        <v/>
      </c>
      <c r="O1544" s="20">
        <f>IF(I1544="","",C1544*IF(N1544="USD",TasaUSD,1))</f>
        <v/>
      </c>
      <c r="P1544" s="20">
        <f>IF(I1544="","",IF(I1544="Gasto",O1544,0))</f>
        <v/>
      </c>
      <c r="Q1544" s="20">
        <f>IF(I1544="","",IF(I1544="Ingreso",O1544,0))</f>
        <v/>
      </c>
      <c r="R1544" s="20">
        <f>IF(I1544="","",IF(I1544="Trading",O1544,0))</f>
        <v/>
      </c>
      <c r="S1544" s="19">
        <f>IF(I1544="","",IF(AND(I1544="Gasto",K1544="Variable",J1544&lt;&gt;"Trading",O1544&gt;0,O1544&lt;=Umbral),1,0))</f>
        <v/>
      </c>
      <c r="T1544" s="20">
        <f>IF(OR(I1544="",E1544=""),"",IF(OR(I1544="Gasto",I1544="Transferencia",I1544="Pago tarjeta"),-1,1)*C1544)</f>
        <v/>
      </c>
      <c r="U1544" s="20">
        <f>IF(OR(G1544="",AND(I1544&lt;&gt;"Transferencia",I1544&lt;&gt;"Pago tarjeta")),"",IF(IFERROR(INDEX(ctaMon,MATCH(G1544,ctaNom,0))&amp;"","DOP")=N1544,C1544,IF(N1544="USD",C1544*TasaUSD,C1544/TasaUSD)))</f>
        <v/>
      </c>
      <c r="V1544" s="20">
        <f>IF(I1544="","",IF(IFERROR(INDEX(ctaLiq,MATCH(E1544,ctaNom,0))="Sí",FALSE),IF(OR(I1544="Gasto",I1544="Transferencia",I1544="Pago tarjeta"),-1,1)*O1544,0)+IF(AND(U1544&lt;&gt;"",IFERROR(INDEX(ctaLiq,MATCH(G1544,ctaNom,0))="Sí",FALSE)),O1544,0))</f>
        <v/>
      </c>
      <c r="W1544" s="19">
        <f>IF(OR(F1544="",I1544=""),"",IF(COUNTIFS(F$6:F1544,F1544,I$6:I1544,"?*")=1,MAX(W$5:W1543)+1,""))</f>
        <v/>
      </c>
    </row>
    <row r="1545">
      <c r="B1545" s="15" t="n"/>
      <c r="C1545" s="16" t="n"/>
      <c r="D1545" s="17" t="n"/>
      <c r="E1545" s="17" t="n"/>
      <c r="F1545" s="17" t="n"/>
      <c r="G1545" s="17" t="n"/>
      <c r="H1545" s="18">
        <f>IF(AND(B1545="",C1545="",D1545="",E1545=""),"",IF(B1545="","⚠ Falta fecha",IF(C1545="","⚠ Falta monto",IF(D1545="","⚠ Falta categoría",IF(ISNA(MATCH(D1545,catNom,0)),"⚠ Categoría no existe",IF(E1545="","⚠ Falta cuenta",IF(ISNA(MATCH(E1545,ctaNom,0)),"⚠ Cuenta no existe",IF(AND(OR(I1545="Transferencia",I1545="Pago tarjeta"),G1545=""),"⚠ Indica la cuenta «Hacia»",IF(AND(G1545&lt;&gt;"",G1545=E1545),"⚠ «Hacia» igual a la cuenta",IF(AND(G1545&lt;&gt;"",ISNA(MATCH(G1545,ctaNom,0))),"⚠ «Hacia» no existe",IF(AND(I1545="Pago tarjeta",IFERROR(INDEX(ctaTipo,MATCH(G1545,ctaNom,0)),"")&lt;&gt;"Tarjeta de crédito"),"⚠ «Hacia» debe ser la tarjeta",IF(AND(I1545="Trading",IFERROR(INDEX(ctaTipo,MATCH(E1545,ctaNom,0)),"")&lt;&gt;"Cuenta de trading"),"⚠ Usa la cuenta de trading","✓"))))))))))))</f>
        <v/>
      </c>
      <c r="I1545" s="19">
        <f>IF(OR(B1545="",C1545="",D1545=""),"",IFERROR(INDEX(catTipo,MATCH(D1545,catNom,0))&amp;"",""))</f>
        <v/>
      </c>
      <c r="J1545" s="19">
        <f>IF(I1545="","",IFERROR(INDEX(catGrupo,MATCH(D1545,catNom,0))&amp;"",""))</f>
        <v/>
      </c>
      <c r="K1545" s="19">
        <f>IF(I1545="Gasto",IF(IFERROR(INDEX(catClas,MATCH(D1545,catNom,0))&amp;"","")="","Variable",IFERROR(INDEX(catClas,MATCH(D1545,catNom,0))&amp;"","")),"")</f>
        <v/>
      </c>
      <c r="L1545" s="19">
        <f>IF(I1545="","",IFERROR(INDEX(catAlim,MATCH(D1545,catNom,0))&amp;"",""))</f>
        <v/>
      </c>
      <c r="M1545" s="19">
        <f>IF(I1545="","",IFERROR(INDEX(catComida,MATCH(D1545,catNom,0))&amp;"",""))</f>
        <v/>
      </c>
      <c r="N1545" s="19">
        <f>IF(I1545="","",IFERROR(INDEX(ctaMon,MATCH(E1545,ctaNom,0))&amp;"","DOP"))</f>
        <v/>
      </c>
      <c r="O1545" s="20">
        <f>IF(I1545="","",C1545*IF(N1545="USD",TasaUSD,1))</f>
        <v/>
      </c>
      <c r="P1545" s="20">
        <f>IF(I1545="","",IF(I1545="Gasto",O1545,0))</f>
        <v/>
      </c>
      <c r="Q1545" s="20">
        <f>IF(I1545="","",IF(I1545="Ingreso",O1545,0))</f>
        <v/>
      </c>
      <c r="R1545" s="20">
        <f>IF(I1545="","",IF(I1545="Trading",O1545,0))</f>
        <v/>
      </c>
      <c r="S1545" s="19">
        <f>IF(I1545="","",IF(AND(I1545="Gasto",K1545="Variable",J1545&lt;&gt;"Trading",O1545&gt;0,O1545&lt;=Umbral),1,0))</f>
        <v/>
      </c>
      <c r="T1545" s="20">
        <f>IF(OR(I1545="",E1545=""),"",IF(OR(I1545="Gasto",I1545="Transferencia",I1545="Pago tarjeta"),-1,1)*C1545)</f>
        <v/>
      </c>
      <c r="U1545" s="20">
        <f>IF(OR(G1545="",AND(I1545&lt;&gt;"Transferencia",I1545&lt;&gt;"Pago tarjeta")),"",IF(IFERROR(INDEX(ctaMon,MATCH(G1545,ctaNom,0))&amp;"","DOP")=N1545,C1545,IF(N1545="USD",C1545*TasaUSD,C1545/TasaUSD)))</f>
        <v/>
      </c>
      <c r="V1545" s="20">
        <f>IF(I1545="","",IF(IFERROR(INDEX(ctaLiq,MATCH(E1545,ctaNom,0))="Sí",FALSE),IF(OR(I1545="Gasto",I1545="Transferencia",I1545="Pago tarjeta"),-1,1)*O1545,0)+IF(AND(U1545&lt;&gt;"",IFERROR(INDEX(ctaLiq,MATCH(G1545,ctaNom,0))="Sí",FALSE)),O1545,0))</f>
        <v/>
      </c>
      <c r="W1545" s="19">
        <f>IF(OR(F1545="",I1545=""),"",IF(COUNTIFS(F$6:F1545,F1545,I$6:I1545,"?*")=1,MAX(W$5:W1544)+1,""))</f>
        <v/>
      </c>
    </row>
    <row r="1546">
      <c r="B1546" s="15" t="n"/>
      <c r="C1546" s="16" t="n"/>
      <c r="D1546" s="17" t="n"/>
      <c r="E1546" s="17" t="n"/>
      <c r="F1546" s="17" t="n"/>
      <c r="G1546" s="17" t="n"/>
      <c r="H1546" s="18">
        <f>IF(AND(B1546="",C1546="",D1546="",E1546=""),"",IF(B1546="","⚠ Falta fecha",IF(C1546="","⚠ Falta monto",IF(D1546="","⚠ Falta categoría",IF(ISNA(MATCH(D1546,catNom,0)),"⚠ Categoría no existe",IF(E1546="","⚠ Falta cuenta",IF(ISNA(MATCH(E1546,ctaNom,0)),"⚠ Cuenta no existe",IF(AND(OR(I1546="Transferencia",I1546="Pago tarjeta"),G1546=""),"⚠ Indica la cuenta «Hacia»",IF(AND(G1546&lt;&gt;"",G1546=E1546),"⚠ «Hacia» igual a la cuenta",IF(AND(G1546&lt;&gt;"",ISNA(MATCH(G1546,ctaNom,0))),"⚠ «Hacia» no existe",IF(AND(I1546="Pago tarjeta",IFERROR(INDEX(ctaTipo,MATCH(G1546,ctaNom,0)),"")&lt;&gt;"Tarjeta de crédito"),"⚠ «Hacia» debe ser la tarjeta",IF(AND(I1546="Trading",IFERROR(INDEX(ctaTipo,MATCH(E1546,ctaNom,0)),"")&lt;&gt;"Cuenta de trading"),"⚠ Usa la cuenta de trading","✓"))))))))))))</f>
        <v/>
      </c>
      <c r="I1546" s="19">
        <f>IF(OR(B1546="",C1546="",D1546=""),"",IFERROR(INDEX(catTipo,MATCH(D1546,catNom,0))&amp;"",""))</f>
        <v/>
      </c>
      <c r="J1546" s="19">
        <f>IF(I1546="","",IFERROR(INDEX(catGrupo,MATCH(D1546,catNom,0))&amp;"",""))</f>
        <v/>
      </c>
      <c r="K1546" s="19">
        <f>IF(I1546="Gasto",IF(IFERROR(INDEX(catClas,MATCH(D1546,catNom,0))&amp;"","")="","Variable",IFERROR(INDEX(catClas,MATCH(D1546,catNom,0))&amp;"","")),"")</f>
        <v/>
      </c>
      <c r="L1546" s="19">
        <f>IF(I1546="","",IFERROR(INDEX(catAlim,MATCH(D1546,catNom,0))&amp;"",""))</f>
        <v/>
      </c>
      <c r="M1546" s="19">
        <f>IF(I1546="","",IFERROR(INDEX(catComida,MATCH(D1546,catNom,0))&amp;"",""))</f>
        <v/>
      </c>
      <c r="N1546" s="19">
        <f>IF(I1546="","",IFERROR(INDEX(ctaMon,MATCH(E1546,ctaNom,0))&amp;"","DOP"))</f>
        <v/>
      </c>
      <c r="O1546" s="20">
        <f>IF(I1546="","",C1546*IF(N1546="USD",TasaUSD,1))</f>
        <v/>
      </c>
      <c r="P1546" s="20">
        <f>IF(I1546="","",IF(I1546="Gasto",O1546,0))</f>
        <v/>
      </c>
      <c r="Q1546" s="20">
        <f>IF(I1546="","",IF(I1546="Ingreso",O1546,0))</f>
        <v/>
      </c>
      <c r="R1546" s="20">
        <f>IF(I1546="","",IF(I1546="Trading",O1546,0))</f>
        <v/>
      </c>
      <c r="S1546" s="19">
        <f>IF(I1546="","",IF(AND(I1546="Gasto",K1546="Variable",J1546&lt;&gt;"Trading",O1546&gt;0,O1546&lt;=Umbral),1,0))</f>
        <v/>
      </c>
      <c r="T1546" s="20">
        <f>IF(OR(I1546="",E1546=""),"",IF(OR(I1546="Gasto",I1546="Transferencia",I1546="Pago tarjeta"),-1,1)*C1546)</f>
        <v/>
      </c>
      <c r="U1546" s="20">
        <f>IF(OR(G1546="",AND(I1546&lt;&gt;"Transferencia",I1546&lt;&gt;"Pago tarjeta")),"",IF(IFERROR(INDEX(ctaMon,MATCH(G1546,ctaNom,0))&amp;"","DOP")=N1546,C1546,IF(N1546="USD",C1546*TasaUSD,C1546/TasaUSD)))</f>
        <v/>
      </c>
      <c r="V1546" s="20">
        <f>IF(I1546="","",IF(IFERROR(INDEX(ctaLiq,MATCH(E1546,ctaNom,0))="Sí",FALSE),IF(OR(I1546="Gasto",I1546="Transferencia",I1546="Pago tarjeta"),-1,1)*O1546,0)+IF(AND(U1546&lt;&gt;"",IFERROR(INDEX(ctaLiq,MATCH(G1546,ctaNom,0))="Sí",FALSE)),O1546,0))</f>
        <v/>
      </c>
      <c r="W1546" s="19">
        <f>IF(OR(F1546="",I1546=""),"",IF(COUNTIFS(F$6:F1546,F1546,I$6:I1546,"?*")=1,MAX(W$5:W1545)+1,""))</f>
        <v/>
      </c>
    </row>
    <row r="1547">
      <c r="B1547" s="15" t="n"/>
      <c r="C1547" s="16" t="n"/>
      <c r="D1547" s="17" t="n"/>
      <c r="E1547" s="17" t="n"/>
      <c r="F1547" s="17" t="n"/>
      <c r="G1547" s="17" t="n"/>
      <c r="H1547" s="18">
        <f>IF(AND(B1547="",C1547="",D1547="",E1547=""),"",IF(B1547="","⚠ Falta fecha",IF(C1547="","⚠ Falta monto",IF(D1547="","⚠ Falta categoría",IF(ISNA(MATCH(D1547,catNom,0)),"⚠ Categoría no existe",IF(E1547="","⚠ Falta cuenta",IF(ISNA(MATCH(E1547,ctaNom,0)),"⚠ Cuenta no existe",IF(AND(OR(I1547="Transferencia",I1547="Pago tarjeta"),G1547=""),"⚠ Indica la cuenta «Hacia»",IF(AND(G1547&lt;&gt;"",G1547=E1547),"⚠ «Hacia» igual a la cuenta",IF(AND(G1547&lt;&gt;"",ISNA(MATCH(G1547,ctaNom,0))),"⚠ «Hacia» no existe",IF(AND(I1547="Pago tarjeta",IFERROR(INDEX(ctaTipo,MATCH(G1547,ctaNom,0)),"")&lt;&gt;"Tarjeta de crédito"),"⚠ «Hacia» debe ser la tarjeta",IF(AND(I1547="Trading",IFERROR(INDEX(ctaTipo,MATCH(E1547,ctaNom,0)),"")&lt;&gt;"Cuenta de trading"),"⚠ Usa la cuenta de trading","✓"))))))))))))</f>
        <v/>
      </c>
      <c r="I1547" s="19">
        <f>IF(OR(B1547="",C1547="",D1547=""),"",IFERROR(INDEX(catTipo,MATCH(D1547,catNom,0))&amp;"",""))</f>
        <v/>
      </c>
      <c r="J1547" s="19">
        <f>IF(I1547="","",IFERROR(INDEX(catGrupo,MATCH(D1547,catNom,0))&amp;"",""))</f>
        <v/>
      </c>
      <c r="K1547" s="19">
        <f>IF(I1547="Gasto",IF(IFERROR(INDEX(catClas,MATCH(D1547,catNom,0))&amp;"","")="","Variable",IFERROR(INDEX(catClas,MATCH(D1547,catNom,0))&amp;"","")),"")</f>
        <v/>
      </c>
      <c r="L1547" s="19">
        <f>IF(I1547="","",IFERROR(INDEX(catAlim,MATCH(D1547,catNom,0))&amp;"",""))</f>
        <v/>
      </c>
      <c r="M1547" s="19">
        <f>IF(I1547="","",IFERROR(INDEX(catComida,MATCH(D1547,catNom,0))&amp;"",""))</f>
        <v/>
      </c>
      <c r="N1547" s="19">
        <f>IF(I1547="","",IFERROR(INDEX(ctaMon,MATCH(E1547,ctaNom,0))&amp;"","DOP"))</f>
        <v/>
      </c>
      <c r="O1547" s="20">
        <f>IF(I1547="","",C1547*IF(N1547="USD",TasaUSD,1))</f>
        <v/>
      </c>
      <c r="P1547" s="20">
        <f>IF(I1547="","",IF(I1547="Gasto",O1547,0))</f>
        <v/>
      </c>
      <c r="Q1547" s="20">
        <f>IF(I1547="","",IF(I1547="Ingreso",O1547,0))</f>
        <v/>
      </c>
      <c r="R1547" s="20">
        <f>IF(I1547="","",IF(I1547="Trading",O1547,0))</f>
        <v/>
      </c>
      <c r="S1547" s="19">
        <f>IF(I1547="","",IF(AND(I1547="Gasto",K1547="Variable",J1547&lt;&gt;"Trading",O1547&gt;0,O1547&lt;=Umbral),1,0))</f>
        <v/>
      </c>
      <c r="T1547" s="20">
        <f>IF(OR(I1547="",E1547=""),"",IF(OR(I1547="Gasto",I1547="Transferencia",I1547="Pago tarjeta"),-1,1)*C1547)</f>
        <v/>
      </c>
      <c r="U1547" s="20">
        <f>IF(OR(G1547="",AND(I1547&lt;&gt;"Transferencia",I1547&lt;&gt;"Pago tarjeta")),"",IF(IFERROR(INDEX(ctaMon,MATCH(G1547,ctaNom,0))&amp;"","DOP")=N1547,C1547,IF(N1547="USD",C1547*TasaUSD,C1547/TasaUSD)))</f>
        <v/>
      </c>
      <c r="V1547" s="20">
        <f>IF(I1547="","",IF(IFERROR(INDEX(ctaLiq,MATCH(E1547,ctaNom,0))="Sí",FALSE),IF(OR(I1547="Gasto",I1547="Transferencia",I1547="Pago tarjeta"),-1,1)*O1547,0)+IF(AND(U1547&lt;&gt;"",IFERROR(INDEX(ctaLiq,MATCH(G1547,ctaNom,0))="Sí",FALSE)),O1547,0))</f>
        <v/>
      </c>
      <c r="W1547" s="19">
        <f>IF(OR(F1547="",I1547=""),"",IF(COUNTIFS(F$6:F1547,F1547,I$6:I1547,"?*")=1,MAX(W$5:W1546)+1,""))</f>
        <v/>
      </c>
    </row>
    <row r="1548">
      <c r="B1548" s="15" t="n"/>
      <c r="C1548" s="16" t="n"/>
      <c r="D1548" s="17" t="n"/>
      <c r="E1548" s="17" t="n"/>
      <c r="F1548" s="17" t="n"/>
      <c r="G1548" s="17" t="n"/>
      <c r="H1548" s="18">
        <f>IF(AND(B1548="",C1548="",D1548="",E1548=""),"",IF(B1548="","⚠ Falta fecha",IF(C1548="","⚠ Falta monto",IF(D1548="","⚠ Falta categoría",IF(ISNA(MATCH(D1548,catNom,0)),"⚠ Categoría no existe",IF(E1548="","⚠ Falta cuenta",IF(ISNA(MATCH(E1548,ctaNom,0)),"⚠ Cuenta no existe",IF(AND(OR(I1548="Transferencia",I1548="Pago tarjeta"),G1548=""),"⚠ Indica la cuenta «Hacia»",IF(AND(G1548&lt;&gt;"",G1548=E1548),"⚠ «Hacia» igual a la cuenta",IF(AND(G1548&lt;&gt;"",ISNA(MATCH(G1548,ctaNom,0))),"⚠ «Hacia» no existe",IF(AND(I1548="Pago tarjeta",IFERROR(INDEX(ctaTipo,MATCH(G1548,ctaNom,0)),"")&lt;&gt;"Tarjeta de crédito"),"⚠ «Hacia» debe ser la tarjeta",IF(AND(I1548="Trading",IFERROR(INDEX(ctaTipo,MATCH(E1548,ctaNom,0)),"")&lt;&gt;"Cuenta de trading"),"⚠ Usa la cuenta de trading","✓"))))))))))))</f>
        <v/>
      </c>
      <c r="I1548" s="19">
        <f>IF(OR(B1548="",C1548="",D1548=""),"",IFERROR(INDEX(catTipo,MATCH(D1548,catNom,0))&amp;"",""))</f>
        <v/>
      </c>
      <c r="J1548" s="19">
        <f>IF(I1548="","",IFERROR(INDEX(catGrupo,MATCH(D1548,catNom,0))&amp;"",""))</f>
        <v/>
      </c>
      <c r="K1548" s="19">
        <f>IF(I1548="Gasto",IF(IFERROR(INDEX(catClas,MATCH(D1548,catNom,0))&amp;"","")="","Variable",IFERROR(INDEX(catClas,MATCH(D1548,catNom,0))&amp;"","")),"")</f>
        <v/>
      </c>
      <c r="L1548" s="19">
        <f>IF(I1548="","",IFERROR(INDEX(catAlim,MATCH(D1548,catNom,0))&amp;"",""))</f>
        <v/>
      </c>
      <c r="M1548" s="19">
        <f>IF(I1548="","",IFERROR(INDEX(catComida,MATCH(D1548,catNom,0))&amp;"",""))</f>
        <v/>
      </c>
      <c r="N1548" s="19">
        <f>IF(I1548="","",IFERROR(INDEX(ctaMon,MATCH(E1548,ctaNom,0))&amp;"","DOP"))</f>
        <v/>
      </c>
      <c r="O1548" s="20">
        <f>IF(I1548="","",C1548*IF(N1548="USD",TasaUSD,1))</f>
        <v/>
      </c>
      <c r="P1548" s="20">
        <f>IF(I1548="","",IF(I1548="Gasto",O1548,0))</f>
        <v/>
      </c>
      <c r="Q1548" s="20">
        <f>IF(I1548="","",IF(I1548="Ingreso",O1548,0))</f>
        <v/>
      </c>
      <c r="R1548" s="20">
        <f>IF(I1548="","",IF(I1548="Trading",O1548,0))</f>
        <v/>
      </c>
      <c r="S1548" s="19">
        <f>IF(I1548="","",IF(AND(I1548="Gasto",K1548="Variable",J1548&lt;&gt;"Trading",O1548&gt;0,O1548&lt;=Umbral),1,0))</f>
        <v/>
      </c>
      <c r="T1548" s="20">
        <f>IF(OR(I1548="",E1548=""),"",IF(OR(I1548="Gasto",I1548="Transferencia",I1548="Pago tarjeta"),-1,1)*C1548)</f>
        <v/>
      </c>
      <c r="U1548" s="20">
        <f>IF(OR(G1548="",AND(I1548&lt;&gt;"Transferencia",I1548&lt;&gt;"Pago tarjeta")),"",IF(IFERROR(INDEX(ctaMon,MATCH(G1548,ctaNom,0))&amp;"","DOP")=N1548,C1548,IF(N1548="USD",C1548*TasaUSD,C1548/TasaUSD)))</f>
        <v/>
      </c>
      <c r="V1548" s="20">
        <f>IF(I1548="","",IF(IFERROR(INDEX(ctaLiq,MATCH(E1548,ctaNom,0))="Sí",FALSE),IF(OR(I1548="Gasto",I1548="Transferencia",I1548="Pago tarjeta"),-1,1)*O1548,0)+IF(AND(U1548&lt;&gt;"",IFERROR(INDEX(ctaLiq,MATCH(G1548,ctaNom,0))="Sí",FALSE)),O1548,0))</f>
        <v/>
      </c>
      <c r="W1548" s="19">
        <f>IF(OR(F1548="",I1548=""),"",IF(COUNTIFS(F$6:F1548,F1548,I$6:I1548,"?*")=1,MAX(W$5:W1547)+1,""))</f>
        <v/>
      </c>
    </row>
    <row r="1549">
      <c r="B1549" s="15" t="n"/>
      <c r="C1549" s="16" t="n"/>
      <c r="D1549" s="17" t="n"/>
      <c r="E1549" s="17" t="n"/>
      <c r="F1549" s="17" t="n"/>
      <c r="G1549" s="17" t="n"/>
      <c r="H1549" s="18">
        <f>IF(AND(B1549="",C1549="",D1549="",E1549=""),"",IF(B1549="","⚠ Falta fecha",IF(C1549="","⚠ Falta monto",IF(D1549="","⚠ Falta categoría",IF(ISNA(MATCH(D1549,catNom,0)),"⚠ Categoría no existe",IF(E1549="","⚠ Falta cuenta",IF(ISNA(MATCH(E1549,ctaNom,0)),"⚠ Cuenta no existe",IF(AND(OR(I1549="Transferencia",I1549="Pago tarjeta"),G1549=""),"⚠ Indica la cuenta «Hacia»",IF(AND(G1549&lt;&gt;"",G1549=E1549),"⚠ «Hacia» igual a la cuenta",IF(AND(G1549&lt;&gt;"",ISNA(MATCH(G1549,ctaNom,0))),"⚠ «Hacia» no existe",IF(AND(I1549="Pago tarjeta",IFERROR(INDEX(ctaTipo,MATCH(G1549,ctaNom,0)),"")&lt;&gt;"Tarjeta de crédito"),"⚠ «Hacia» debe ser la tarjeta",IF(AND(I1549="Trading",IFERROR(INDEX(ctaTipo,MATCH(E1549,ctaNom,0)),"")&lt;&gt;"Cuenta de trading"),"⚠ Usa la cuenta de trading","✓"))))))))))))</f>
        <v/>
      </c>
      <c r="I1549" s="19">
        <f>IF(OR(B1549="",C1549="",D1549=""),"",IFERROR(INDEX(catTipo,MATCH(D1549,catNom,0))&amp;"",""))</f>
        <v/>
      </c>
      <c r="J1549" s="19">
        <f>IF(I1549="","",IFERROR(INDEX(catGrupo,MATCH(D1549,catNom,0))&amp;"",""))</f>
        <v/>
      </c>
      <c r="K1549" s="19">
        <f>IF(I1549="Gasto",IF(IFERROR(INDEX(catClas,MATCH(D1549,catNom,0))&amp;"","")="","Variable",IFERROR(INDEX(catClas,MATCH(D1549,catNom,0))&amp;"","")),"")</f>
        <v/>
      </c>
      <c r="L1549" s="19">
        <f>IF(I1549="","",IFERROR(INDEX(catAlim,MATCH(D1549,catNom,0))&amp;"",""))</f>
        <v/>
      </c>
      <c r="M1549" s="19">
        <f>IF(I1549="","",IFERROR(INDEX(catComida,MATCH(D1549,catNom,0))&amp;"",""))</f>
        <v/>
      </c>
      <c r="N1549" s="19">
        <f>IF(I1549="","",IFERROR(INDEX(ctaMon,MATCH(E1549,ctaNom,0))&amp;"","DOP"))</f>
        <v/>
      </c>
      <c r="O1549" s="20">
        <f>IF(I1549="","",C1549*IF(N1549="USD",TasaUSD,1))</f>
        <v/>
      </c>
      <c r="P1549" s="20">
        <f>IF(I1549="","",IF(I1549="Gasto",O1549,0))</f>
        <v/>
      </c>
      <c r="Q1549" s="20">
        <f>IF(I1549="","",IF(I1549="Ingreso",O1549,0))</f>
        <v/>
      </c>
      <c r="R1549" s="20">
        <f>IF(I1549="","",IF(I1549="Trading",O1549,0))</f>
        <v/>
      </c>
      <c r="S1549" s="19">
        <f>IF(I1549="","",IF(AND(I1549="Gasto",K1549="Variable",J1549&lt;&gt;"Trading",O1549&gt;0,O1549&lt;=Umbral),1,0))</f>
        <v/>
      </c>
      <c r="T1549" s="20">
        <f>IF(OR(I1549="",E1549=""),"",IF(OR(I1549="Gasto",I1549="Transferencia",I1549="Pago tarjeta"),-1,1)*C1549)</f>
        <v/>
      </c>
      <c r="U1549" s="20">
        <f>IF(OR(G1549="",AND(I1549&lt;&gt;"Transferencia",I1549&lt;&gt;"Pago tarjeta")),"",IF(IFERROR(INDEX(ctaMon,MATCH(G1549,ctaNom,0))&amp;"","DOP")=N1549,C1549,IF(N1549="USD",C1549*TasaUSD,C1549/TasaUSD)))</f>
        <v/>
      </c>
      <c r="V1549" s="20">
        <f>IF(I1549="","",IF(IFERROR(INDEX(ctaLiq,MATCH(E1549,ctaNom,0))="Sí",FALSE),IF(OR(I1549="Gasto",I1549="Transferencia",I1549="Pago tarjeta"),-1,1)*O1549,0)+IF(AND(U1549&lt;&gt;"",IFERROR(INDEX(ctaLiq,MATCH(G1549,ctaNom,0))="Sí",FALSE)),O1549,0))</f>
        <v/>
      </c>
      <c r="W1549" s="19">
        <f>IF(OR(F1549="",I1549=""),"",IF(COUNTIFS(F$6:F1549,F1549,I$6:I1549,"?*")=1,MAX(W$5:W1548)+1,""))</f>
        <v/>
      </c>
    </row>
    <row r="1550">
      <c r="B1550" s="15" t="n"/>
      <c r="C1550" s="16" t="n"/>
      <c r="D1550" s="17" t="n"/>
      <c r="E1550" s="17" t="n"/>
      <c r="F1550" s="17" t="n"/>
      <c r="G1550" s="17" t="n"/>
      <c r="H1550" s="18">
        <f>IF(AND(B1550="",C1550="",D1550="",E1550=""),"",IF(B1550="","⚠ Falta fecha",IF(C1550="","⚠ Falta monto",IF(D1550="","⚠ Falta categoría",IF(ISNA(MATCH(D1550,catNom,0)),"⚠ Categoría no existe",IF(E1550="","⚠ Falta cuenta",IF(ISNA(MATCH(E1550,ctaNom,0)),"⚠ Cuenta no existe",IF(AND(OR(I1550="Transferencia",I1550="Pago tarjeta"),G1550=""),"⚠ Indica la cuenta «Hacia»",IF(AND(G1550&lt;&gt;"",G1550=E1550),"⚠ «Hacia» igual a la cuenta",IF(AND(G1550&lt;&gt;"",ISNA(MATCH(G1550,ctaNom,0))),"⚠ «Hacia» no existe",IF(AND(I1550="Pago tarjeta",IFERROR(INDEX(ctaTipo,MATCH(G1550,ctaNom,0)),"")&lt;&gt;"Tarjeta de crédito"),"⚠ «Hacia» debe ser la tarjeta",IF(AND(I1550="Trading",IFERROR(INDEX(ctaTipo,MATCH(E1550,ctaNom,0)),"")&lt;&gt;"Cuenta de trading"),"⚠ Usa la cuenta de trading","✓"))))))))))))</f>
        <v/>
      </c>
      <c r="I1550" s="19">
        <f>IF(OR(B1550="",C1550="",D1550=""),"",IFERROR(INDEX(catTipo,MATCH(D1550,catNom,0))&amp;"",""))</f>
        <v/>
      </c>
      <c r="J1550" s="19">
        <f>IF(I1550="","",IFERROR(INDEX(catGrupo,MATCH(D1550,catNom,0))&amp;"",""))</f>
        <v/>
      </c>
      <c r="K1550" s="19">
        <f>IF(I1550="Gasto",IF(IFERROR(INDEX(catClas,MATCH(D1550,catNom,0))&amp;"","")="","Variable",IFERROR(INDEX(catClas,MATCH(D1550,catNom,0))&amp;"","")),"")</f>
        <v/>
      </c>
      <c r="L1550" s="19">
        <f>IF(I1550="","",IFERROR(INDEX(catAlim,MATCH(D1550,catNom,0))&amp;"",""))</f>
        <v/>
      </c>
      <c r="M1550" s="19">
        <f>IF(I1550="","",IFERROR(INDEX(catComida,MATCH(D1550,catNom,0))&amp;"",""))</f>
        <v/>
      </c>
      <c r="N1550" s="19">
        <f>IF(I1550="","",IFERROR(INDEX(ctaMon,MATCH(E1550,ctaNom,0))&amp;"","DOP"))</f>
        <v/>
      </c>
      <c r="O1550" s="20">
        <f>IF(I1550="","",C1550*IF(N1550="USD",TasaUSD,1))</f>
        <v/>
      </c>
      <c r="P1550" s="20">
        <f>IF(I1550="","",IF(I1550="Gasto",O1550,0))</f>
        <v/>
      </c>
      <c r="Q1550" s="20">
        <f>IF(I1550="","",IF(I1550="Ingreso",O1550,0))</f>
        <v/>
      </c>
      <c r="R1550" s="20">
        <f>IF(I1550="","",IF(I1550="Trading",O1550,0))</f>
        <v/>
      </c>
      <c r="S1550" s="19">
        <f>IF(I1550="","",IF(AND(I1550="Gasto",K1550="Variable",J1550&lt;&gt;"Trading",O1550&gt;0,O1550&lt;=Umbral),1,0))</f>
        <v/>
      </c>
      <c r="T1550" s="20">
        <f>IF(OR(I1550="",E1550=""),"",IF(OR(I1550="Gasto",I1550="Transferencia",I1550="Pago tarjeta"),-1,1)*C1550)</f>
        <v/>
      </c>
      <c r="U1550" s="20">
        <f>IF(OR(G1550="",AND(I1550&lt;&gt;"Transferencia",I1550&lt;&gt;"Pago tarjeta")),"",IF(IFERROR(INDEX(ctaMon,MATCH(G1550,ctaNom,0))&amp;"","DOP")=N1550,C1550,IF(N1550="USD",C1550*TasaUSD,C1550/TasaUSD)))</f>
        <v/>
      </c>
      <c r="V1550" s="20">
        <f>IF(I1550="","",IF(IFERROR(INDEX(ctaLiq,MATCH(E1550,ctaNom,0))="Sí",FALSE),IF(OR(I1550="Gasto",I1550="Transferencia",I1550="Pago tarjeta"),-1,1)*O1550,0)+IF(AND(U1550&lt;&gt;"",IFERROR(INDEX(ctaLiq,MATCH(G1550,ctaNom,0))="Sí",FALSE)),O1550,0))</f>
        <v/>
      </c>
      <c r="W1550" s="19">
        <f>IF(OR(F1550="",I1550=""),"",IF(COUNTIFS(F$6:F1550,F1550,I$6:I1550,"?*")=1,MAX(W$5:W1549)+1,""))</f>
        <v/>
      </c>
    </row>
    <row r="1551">
      <c r="B1551" s="15" t="n"/>
      <c r="C1551" s="16" t="n"/>
      <c r="D1551" s="17" t="n"/>
      <c r="E1551" s="17" t="n"/>
      <c r="F1551" s="17" t="n"/>
      <c r="G1551" s="17" t="n"/>
      <c r="H1551" s="18">
        <f>IF(AND(B1551="",C1551="",D1551="",E1551=""),"",IF(B1551="","⚠ Falta fecha",IF(C1551="","⚠ Falta monto",IF(D1551="","⚠ Falta categoría",IF(ISNA(MATCH(D1551,catNom,0)),"⚠ Categoría no existe",IF(E1551="","⚠ Falta cuenta",IF(ISNA(MATCH(E1551,ctaNom,0)),"⚠ Cuenta no existe",IF(AND(OR(I1551="Transferencia",I1551="Pago tarjeta"),G1551=""),"⚠ Indica la cuenta «Hacia»",IF(AND(G1551&lt;&gt;"",G1551=E1551),"⚠ «Hacia» igual a la cuenta",IF(AND(G1551&lt;&gt;"",ISNA(MATCH(G1551,ctaNom,0))),"⚠ «Hacia» no existe",IF(AND(I1551="Pago tarjeta",IFERROR(INDEX(ctaTipo,MATCH(G1551,ctaNom,0)),"")&lt;&gt;"Tarjeta de crédito"),"⚠ «Hacia» debe ser la tarjeta",IF(AND(I1551="Trading",IFERROR(INDEX(ctaTipo,MATCH(E1551,ctaNom,0)),"")&lt;&gt;"Cuenta de trading"),"⚠ Usa la cuenta de trading","✓"))))))))))))</f>
        <v/>
      </c>
      <c r="I1551" s="19">
        <f>IF(OR(B1551="",C1551="",D1551=""),"",IFERROR(INDEX(catTipo,MATCH(D1551,catNom,0))&amp;"",""))</f>
        <v/>
      </c>
      <c r="J1551" s="19">
        <f>IF(I1551="","",IFERROR(INDEX(catGrupo,MATCH(D1551,catNom,0))&amp;"",""))</f>
        <v/>
      </c>
      <c r="K1551" s="19">
        <f>IF(I1551="Gasto",IF(IFERROR(INDEX(catClas,MATCH(D1551,catNom,0))&amp;"","")="","Variable",IFERROR(INDEX(catClas,MATCH(D1551,catNom,0))&amp;"","")),"")</f>
        <v/>
      </c>
      <c r="L1551" s="19">
        <f>IF(I1551="","",IFERROR(INDEX(catAlim,MATCH(D1551,catNom,0))&amp;"",""))</f>
        <v/>
      </c>
      <c r="M1551" s="19">
        <f>IF(I1551="","",IFERROR(INDEX(catComida,MATCH(D1551,catNom,0))&amp;"",""))</f>
        <v/>
      </c>
      <c r="N1551" s="19">
        <f>IF(I1551="","",IFERROR(INDEX(ctaMon,MATCH(E1551,ctaNom,0))&amp;"","DOP"))</f>
        <v/>
      </c>
      <c r="O1551" s="20">
        <f>IF(I1551="","",C1551*IF(N1551="USD",TasaUSD,1))</f>
        <v/>
      </c>
      <c r="P1551" s="20">
        <f>IF(I1551="","",IF(I1551="Gasto",O1551,0))</f>
        <v/>
      </c>
      <c r="Q1551" s="20">
        <f>IF(I1551="","",IF(I1551="Ingreso",O1551,0))</f>
        <v/>
      </c>
      <c r="R1551" s="20">
        <f>IF(I1551="","",IF(I1551="Trading",O1551,0))</f>
        <v/>
      </c>
      <c r="S1551" s="19">
        <f>IF(I1551="","",IF(AND(I1551="Gasto",K1551="Variable",J1551&lt;&gt;"Trading",O1551&gt;0,O1551&lt;=Umbral),1,0))</f>
        <v/>
      </c>
      <c r="T1551" s="20">
        <f>IF(OR(I1551="",E1551=""),"",IF(OR(I1551="Gasto",I1551="Transferencia",I1551="Pago tarjeta"),-1,1)*C1551)</f>
        <v/>
      </c>
      <c r="U1551" s="20">
        <f>IF(OR(G1551="",AND(I1551&lt;&gt;"Transferencia",I1551&lt;&gt;"Pago tarjeta")),"",IF(IFERROR(INDEX(ctaMon,MATCH(G1551,ctaNom,0))&amp;"","DOP")=N1551,C1551,IF(N1551="USD",C1551*TasaUSD,C1551/TasaUSD)))</f>
        <v/>
      </c>
      <c r="V1551" s="20">
        <f>IF(I1551="","",IF(IFERROR(INDEX(ctaLiq,MATCH(E1551,ctaNom,0))="Sí",FALSE),IF(OR(I1551="Gasto",I1551="Transferencia",I1551="Pago tarjeta"),-1,1)*O1551,0)+IF(AND(U1551&lt;&gt;"",IFERROR(INDEX(ctaLiq,MATCH(G1551,ctaNom,0))="Sí",FALSE)),O1551,0))</f>
        <v/>
      </c>
      <c r="W1551" s="19">
        <f>IF(OR(F1551="",I1551=""),"",IF(COUNTIFS(F$6:F1551,F1551,I$6:I1551,"?*")=1,MAX(W$5:W1550)+1,""))</f>
        <v/>
      </c>
    </row>
    <row r="1552">
      <c r="B1552" s="15" t="n"/>
      <c r="C1552" s="16" t="n"/>
      <c r="D1552" s="17" t="n"/>
      <c r="E1552" s="17" t="n"/>
      <c r="F1552" s="17" t="n"/>
      <c r="G1552" s="17" t="n"/>
      <c r="H1552" s="18">
        <f>IF(AND(B1552="",C1552="",D1552="",E1552=""),"",IF(B1552="","⚠ Falta fecha",IF(C1552="","⚠ Falta monto",IF(D1552="","⚠ Falta categoría",IF(ISNA(MATCH(D1552,catNom,0)),"⚠ Categoría no existe",IF(E1552="","⚠ Falta cuenta",IF(ISNA(MATCH(E1552,ctaNom,0)),"⚠ Cuenta no existe",IF(AND(OR(I1552="Transferencia",I1552="Pago tarjeta"),G1552=""),"⚠ Indica la cuenta «Hacia»",IF(AND(G1552&lt;&gt;"",G1552=E1552),"⚠ «Hacia» igual a la cuenta",IF(AND(G1552&lt;&gt;"",ISNA(MATCH(G1552,ctaNom,0))),"⚠ «Hacia» no existe",IF(AND(I1552="Pago tarjeta",IFERROR(INDEX(ctaTipo,MATCH(G1552,ctaNom,0)),"")&lt;&gt;"Tarjeta de crédito"),"⚠ «Hacia» debe ser la tarjeta",IF(AND(I1552="Trading",IFERROR(INDEX(ctaTipo,MATCH(E1552,ctaNom,0)),"")&lt;&gt;"Cuenta de trading"),"⚠ Usa la cuenta de trading","✓"))))))))))))</f>
        <v/>
      </c>
      <c r="I1552" s="19">
        <f>IF(OR(B1552="",C1552="",D1552=""),"",IFERROR(INDEX(catTipo,MATCH(D1552,catNom,0))&amp;"",""))</f>
        <v/>
      </c>
      <c r="J1552" s="19">
        <f>IF(I1552="","",IFERROR(INDEX(catGrupo,MATCH(D1552,catNom,0))&amp;"",""))</f>
        <v/>
      </c>
      <c r="K1552" s="19">
        <f>IF(I1552="Gasto",IF(IFERROR(INDEX(catClas,MATCH(D1552,catNom,0))&amp;"","")="","Variable",IFERROR(INDEX(catClas,MATCH(D1552,catNom,0))&amp;"","")),"")</f>
        <v/>
      </c>
      <c r="L1552" s="19">
        <f>IF(I1552="","",IFERROR(INDEX(catAlim,MATCH(D1552,catNom,0))&amp;"",""))</f>
        <v/>
      </c>
      <c r="M1552" s="19">
        <f>IF(I1552="","",IFERROR(INDEX(catComida,MATCH(D1552,catNom,0))&amp;"",""))</f>
        <v/>
      </c>
      <c r="N1552" s="19">
        <f>IF(I1552="","",IFERROR(INDEX(ctaMon,MATCH(E1552,ctaNom,0))&amp;"","DOP"))</f>
        <v/>
      </c>
      <c r="O1552" s="20">
        <f>IF(I1552="","",C1552*IF(N1552="USD",TasaUSD,1))</f>
        <v/>
      </c>
      <c r="P1552" s="20">
        <f>IF(I1552="","",IF(I1552="Gasto",O1552,0))</f>
        <v/>
      </c>
      <c r="Q1552" s="20">
        <f>IF(I1552="","",IF(I1552="Ingreso",O1552,0))</f>
        <v/>
      </c>
      <c r="R1552" s="20">
        <f>IF(I1552="","",IF(I1552="Trading",O1552,0))</f>
        <v/>
      </c>
      <c r="S1552" s="19">
        <f>IF(I1552="","",IF(AND(I1552="Gasto",K1552="Variable",J1552&lt;&gt;"Trading",O1552&gt;0,O1552&lt;=Umbral),1,0))</f>
        <v/>
      </c>
      <c r="T1552" s="20">
        <f>IF(OR(I1552="",E1552=""),"",IF(OR(I1552="Gasto",I1552="Transferencia",I1552="Pago tarjeta"),-1,1)*C1552)</f>
        <v/>
      </c>
      <c r="U1552" s="20">
        <f>IF(OR(G1552="",AND(I1552&lt;&gt;"Transferencia",I1552&lt;&gt;"Pago tarjeta")),"",IF(IFERROR(INDEX(ctaMon,MATCH(G1552,ctaNom,0))&amp;"","DOP")=N1552,C1552,IF(N1552="USD",C1552*TasaUSD,C1552/TasaUSD)))</f>
        <v/>
      </c>
      <c r="V1552" s="20">
        <f>IF(I1552="","",IF(IFERROR(INDEX(ctaLiq,MATCH(E1552,ctaNom,0))="Sí",FALSE),IF(OR(I1552="Gasto",I1552="Transferencia",I1552="Pago tarjeta"),-1,1)*O1552,0)+IF(AND(U1552&lt;&gt;"",IFERROR(INDEX(ctaLiq,MATCH(G1552,ctaNom,0))="Sí",FALSE)),O1552,0))</f>
        <v/>
      </c>
      <c r="W1552" s="19">
        <f>IF(OR(F1552="",I1552=""),"",IF(COUNTIFS(F$6:F1552,F1552,I$6:I1552,"?*")=1,MAX(W$5:W1551)+1,""))</f>
        <v/>
      </c>
    </row>
    <row r="1553">
      <c r="B1553" s="15" t="n"/>
      <c r="C1553" s="16" t="n"/>
      <c r="D1553" s="17" t="n"/>
      <c r="E1553" s="17" t="n"/>
      <c r="F1553" s="17" t="n"/>
      <c r="G1553" s="17" t="n"/>
      <c r="H1553" s="18">
        <f>IF(AND(B1553="",C1553="",D1553="",E1553=""),"",IF(B1553="","⚠ Falta fecha",IF(C1553="","⚠ Falta monto",IF(D1553="","⚠ Falta categoría",IF(ISNA(MATCH(D1553,catNom,0)),"⚠ Categoría no existe",IF(E1553="","⚠ Falta cuenta",IF(ISNA(MATCH(E1553,ctaNom,0)),"⚠ Cuenta no existe",IF(AND(OR(I1553="Transferencia",I1553="Pago tarjeta"),G1553=""),"⚠ Indica la cuenta «Hacia»",IF(AND(G1553&lt;&gt;"",G1553=E1553),"⚠ «Hacia» igual a la cuenta",IF(AND(G1553&lt;&gt;"",ISNA(MATCH(G1553,ctaNom,0))),"⚠ «Hacia» no existe",IF(AND(I1553="Pago tarjeta",IFERROR(INDEX(ctaTipo,MATCH(G1553,ctaNom,0)),"")&lt;&gt;"Tarjeta de crédito"),"⚠ «Hacia» debe ser la tarjeta",IF(AND(I1553="Trading",IFERROR(INDEX(ctaTipo,MATCH(E1553,ctaNom,0)),"")&lt;&gt;"Cuenta de trading"),"⚠ Usa la cuenta de trading","✓"))))))))))))</f>
        <v/>
      </c>
      <c r="I1553" s="19">
        <f>IF(OR(B1553="",C1553="",D1553=""),"",IFERROR(INDEX(catTipo,MATCH(D1553,catNom,0))&amp;"",""))</f>
        <v/>
      </c>
      <c r="J1553" s="19">
        <f>IF(I1553="","",IFERROR(INDEX(catGrupo,MATCH(D1553,catNom,0))&amp;"",""))</f>
        <v/>
      </c>
      <c r="K1553" s="19">
        <f>IF(I1553="Gasto",IF(IFERROR(INDEX(catClas,MATCH(D1553,catNom,0))&amp;"","")="","Variable",IFERROR(INDEX(catClas,MATCH(D1553,catNom,0))&amp;"","")),"")</f>
        <v/>
      </c>
      <c r="L1553" s="19">
        <f>IF(I1553="","",IFERROR(INDEX(catAlim,MATCH(D1553,catNom,0))&amp;"",""))</f>
        <v/>
      </c>
      <c r="M1553" s="19">
        <f>IF(I1553="","",IFERROR(INDEX(catComida,MATCH(D1553,catNom,0))&amp;"",""))</f>
        <v/>
      </c>
      <c r="N1553" s="19">
        <f>IF(I1553="","",IFERROR(INDEX(ctaMon,MATCH(E1553,ctaNom,0))&amp;"","DOP"))</f>
        <v/>
      </c>
      <c r="O1553" s="20">
        <f>IF(I1553="","",C1553*IF(N1553="USD",TasaUSD,1))</f>
        <v/>
      </c>
      <c r="P1553" s="20">
        <f>IF(I1553="","",IF(I1553="Gasto",O1553,0))</f>
        <v/>
      </c>
      <c r="Q1553" s="20">
        <f>IF(I1553="","",IF(I1553="Ingreso",O1553,0))</f>
        <v/>
      </c>
      <c r="R1553" s="20">
        <f>IF(I1553="","",IF(I1553="Trading",O1553,0))</f>
        <v/>
      </c>
      <c r="S1553" s="19">
        <f>IF(I1553="","",IF(AND(I1553="Gasto",K1553="Variable",J1553&lt;&gt;"Trading",O1553&gt;0,O1553&lt;=Umbral),1,0))</f>
        <v/>
      </c>
      <c r="T1553" s="20">
        <f>IF(OR(I1553="",E1553=""),"",IF(OR(I1553="Gasto",I1553="Transferencia",I1553="Pago tarjeta"),-1,1)*C1553)</f>
        <v/>
      </c>
      <c r="U1553" s="20">
        <f>IF(OR(G1553="",AND(I1553&lt;&gt;"Transferencia",I1553&lt;&gt;"Pago tarjeta")),"",IF(IFERROR(INDEX(ctaMon,MATCH(G1553,ctaNom,0))&amp;"","DOP")=N1553,C1553,IF(N1553="USD",C1553*TasaUSD,C1553/TasaUSD)))</f>
        <v/>
      </c>
      <c r="V1553" s="20">
        <f>IF(I1553="","",IF(IFERROR(INDEX(ctaLiq,MATCH(E1553,ctaNom,0))="Sí",FALSE),IF(OR(I1553="Gasto",I1553="Transferencia",I1553="Pago tarjeta"),-1,1)*O1553,0)+IF(AND(U1553&lt;&gt;"",IFERROR(INDEX(ctaLiq,MATCH(G1553,ctaNom,0))="Sí",FALSE)),O1553,0))</f>
        <v/>
      </c>
      <c r="W1553" s="19">
        <f>IF(OR(F1553="",I1553=""),"",IF(COUNTIFS(F$6:F1553,F1553,I$6:I1553,"?*")=1,MAX(W$5:W1552)+1,""))</f>
        <v/>
      </c>
    </row>
    <row r="1554">
      <c r="B1554" s="15" t="n"/>
      <c r="C1554" s="16" t="n"/>
      <c r="D1554" s="17" t="n"/>
      <c r="E1554" s="17" t="n"/>
      <c r="F1554" s="17" t="n"/>
      <c r="G1554" s="17" t="n"/>
      <c r="H1554" s="18">
        <f>IF(AND(B1554="",C1554="",D1554="",E1554=""),"",IF(B1554="","⚠ Falta fecha",IF(C1554="","⚠ Falta monto",IF(D1554="","⚠ Falta categoría",IF(ISNA(MATCH(D1554,catNom,0)),"⚠ Categoría no existe",IF(E1554="","⚠ Falta cuenta",IF(ISNA(MATCH(E1554,ctaNom,0)),"⚠ Cuenta no existe",IF(AND(OR(I1554="Transferencia",I1554="Pago tarjeta"),G1554=""),"⚠ Indica la cuenta «Hacia»",IF(AND(G1554&lt;&gt;"",G1554=E1554),"⚠ «Hacia» igual a la cuenta",IF(AND(G1554&lt;&gt;"",ISNA(MATCH(G1554,ctaNom,0))),"⚠ «Hacia» no existe",IF(AND(I1554="Pago tarjeta",IFERROR(INDEX(ctaTipo,MATCH(G1554,ctaNom,0)),"")&lt;&gt;"Tarjeta de crédito"),"⚠ «Hacia» debe ser la tarjeta",IF(AND(I1554="Trading",IFERROR(INDEX(ctaTipo,MATCH(E1554,ctaNom,0)),"")&lt;&gt;"Cuenta de trading"),"⚠ Usa la cuenta de trading","✓"))))))))))))</f>
        <v/>
      </c>
      <c r="I1554" s="19">
        <f>IF(OR(B1554="",C1554="",D1554=""),"",IFERROR(INDEX(catTipo,MATCH(D1554,catNom,0))&amp;"",""))</f>
        <v/>
      </c>
      <c r="J1554" s="19">
        <f>IF(I1554="","",IFERROR(INDEX(catGrupo,MATCH(D1554,catNom,0))&amp;"",""))</f>
        <v/>
      </c>
      <c r="K1554" s="19">
        <f>IF(I1554="Gasto",IF(IFERROR(INDEX(catClas,MATCH(D1554,catNom,0))&amp;"","")="","Variable",IFERROR(INDEX(catClas,MATCH(D1554,catNom,0))&amp;"","")),"")</f>
        <v/>
      </c>
      <c r="L1554" s="19">
        <f>IF(I1554="","",IFERROR(INDEX(catAlim,MATCH(D1554,catNom,0))&amp;"",""))</f>
        <v/>
      </c>
      <c r="M1554" s="19">
        <f>IF(I1554="","",IFERROR(INDEX(catComida,MATCH(D1554,catNom,0))&amp;"",""))</f>
        <v/>
      </c>
      <c r="N1554" s="19">
        <f>IF(I1554="","",IFERROR(INDEX(ctaMon,MATCH(E1554,ctaNom,0))&amp;"","DOP"))</f>
        <v/>
      </c>
      <c r="O1554" s="20">
        <f>IF(I1554="","",C1554*IF(N1554="USD",TasaUSD,1))</f>
        <v/>
      </c>
      <c r="P1554" s="20">
        <f>IF(I1554="","",IF(I1554="Gasto",O1554,0))</f>
        <v/>
      </c>
      <c r="Q1554" s="20">
        <f>IF(I1554="","",IF(I1554="Ingreso",O1554,0))</f>
        <v/>
      </c>
      <c r="R1554" s="20">
        <f>IF(I1554="","",IF(I1554="Trading",O1554,0))</f>
        <v/>
      </c>
      <c r="S1554" s="19">
        <f>IF(I1554="","",IF(AND(I1554="Gasto",K1554="Variable",J1554&lt;&gt;"Trading",O1554&gt;0,O1554&lt;=Umbral),1,0))</f>
        <v/>
      </c>
      <c r="T1554" s="20">
        <f>IF(OR(I1554="",E1554=""),"",IF(OR(I1554="Gasto",I1554="Transferencia",I1554="Pago tarjeta"),-1,1)*C1554)</f>
        <v/>
      </c>
      <c r="U1554" s="20">
        <f>IF(OR(G1554="",AND(I1554&lt;&gt;"Transferencia",I1554&lt;&gt;"Pago tarjeta")),"",IF(IFERROR(INDEX(ctaMon,MATCH(G1554,ctaNom,0))&amp;"","DOP")=N1554,C1554,IF(N1554="USD",C1554*TasaUSD,C1554/TasaUSD)))</f>
        <v/>
      </c>
      <c r="V1554" s="20">
        <f>IF(I1554="","",IF(IFERROR(INDEX(ctaLiq,MATCH(E1554,ctaNom,0))="Sí",FALSE),IF(OR(I1554="Gasto",I1554="Transferencia",I1554="Pago tarjeta"),-1,1)*O1554,0)+IF(AND(U1554&lt;&gt;"",IFERROR(INDEX(ctaLiq,MATCH(G1554,ctaNom,0))="Sí",FALSE)),O1554,0))</f>
        <v/>
      </c>
      <c r="W1554" s="19">
        <f>IF(OR(F1554="",I1554=""),"",IF(COUNTIFS(F$6:F1554,F1554,I$6:I1554,"?*")=1,MAX(W$5:W1553)+1,""))</f>
        <v/>
      </c>
    </row>
    <row r="1555">
      <c r="B1555" s="15" t="n"/>
      <c r="C1555" s="16" t="n"/>
      <c r="D1555" s="17" t="n"/>
      <c r="E1555" s="17" t="n"/>
      <c r="F1555" s="17" t="n"/>
      <c r="G1555" s="17" t="n"/>
      <c r="H1555" s="18">
        <f>IF(AND(B1555="",C1555="",D1555="",E1555=""),"",IF(B1555="","⚠ Falta fecha",IF(C1555="","⚠ Falta monto",IF(D1555="","⚠ Falta categoría",IF(ISNA(MATCH(D1555,catNom,0)),"⚠ Categoría no existe",IF(E1555="","⚠ Falta cuenta",IF(ISNA(MATCH(E1555,ctaNom,0)),"⚠ Cuenta no existe",IF(AND(OR(I1555="Transferencia",I1555="Pago tarjeta"),G1555=""),"⚠ Indica la cuenta «Hacia»",IF(AND(G1555&lt;&gt;"",G1555=E1555),"⚠ «Hacia» igual a la cuenta",IF(AND(G1555&lt;&gt;"",ISNA(MATCH(G1555,ctaNom,0))),"⚠ «Hacia» no existe",IF(AND(I1555="Pago tarjeta",IFERROR(INDEX(ctaTipo,MATCH(G1555,ctaNom,0)),"")&lt;&gt;"Tarjeta de crédito"),"⚠ «Hacia» debe ser la tarjeta",IF(AND(I1555="Trading",IFERROR(INDEX(ctaTipo,MATCH(E1555,ctaNom,0)),"")&lt;&gt;"Cuenta de trading"),"⚠ Usa la cuenta de trading","✓"))))))))))))</f>
        <v/>
      </c>
      <c r="I1555" s="19">
        <f>IF(OR(B1555="",C1555="",D1555=""),"",IFERROR(INDEX(catTipo,MATCH(D1555,catNom,0))&amp;"",""))</f>
        <v/>
      </c>
      <c r="J1555" s="19">
        <f>IF(I1555="","",IFERROR(INDEX(catGrupo,MATCH(D1555,catNom,0))&amp;"",""))</f>
        <v/>
      </c>
      <c r="K1555" s="19">
        <f>IF(I1555="Gasto",IF(IFERROR(INDEX(catClas,MATCH(D1555,catNom,0))&amp;"","")="","Variable",IFERROR(INDEX(catClas,MATCH(D1555,catNom,0))&amp;"","")),"")</f>
        <v/>
      </c>
      <c r="L1555" s="19">
        <f>IF(I1555="","",IFERROR(INDEX(catAlim,MATCH(D1555,catNom,0))&amp;"",""))</f>
        <v/>
      </c>
      <c r="M1555" s="19">
        <f>IF(I1555="","",IFERROR(INDEX(catComida,MATCH(D1555,catNom,0))&amp;"",""))</f>
        <v/>
      </c>
      <c r="N1555" s="19">
        <f>IF(I1555="","",IFERROR(INDEX(ctaMon,MATCH(E1555,ctaNom,0))&amp;"","DOP"))</f>
        <v/>
      </c>
      <c r="O1555" s="20">
        <f>IF(I1555="","",C1555*IF(N1555="USD",TasaUSD,1))</f>
        <v/>
      </c>
      <c r="P1555" s="20">
        <f>IF(I1555="","",IF(I1555="Gasto",O1555,0))</f>
        <v/>
      </c>
      <c r="Q1555" s="20">
        <f>IF(I1555="","",IF(I1555="Ingreso",O1555,0))</f>
        <v/>
      </c>
      <c r="R1555" s="20">
        <f>IF(I1555="","",IF(I1555="Trading",O1555,0))</f>
        <v/>
      </c>
      <c r="S1555" s="19">
        <f>IF(I1555="","",IF(AND(I1555="Gasto",K1555="Variable",J1555&lt;&gt;"Trading",O1555&gt;0,O1555&lt;=Umbral),1,0))</f>
        <v/>
      </c>
      <c r="T1555" s="20">
        <f>IF(OR(I1555="",E1555=""),"",IF(OR(I1555="Gasto",I1555="Transferencia",I1555="Pago tarjeta"),-1,1)*C1555)</f>
        <v/>
      </c>
      <c r="U1555" s="20">
        <f>IF(OR(G1555="",AND(I1555&lt;&gt;"Transferencia",I1555&lt;&gt;"Pago tarjeta")),"",IF(IFERROR(INDEX(ctaMon,MATCH(G1555,ctaNom,0))&amp;"","DOP")=N1555,C1555,IF(N1555="USD",C1555*TasaUSD,C1555/TasaUSD)))</f>
        <v/>
      </c>
      <c r="V1555" s="20">
        <f>IF(I1555="","",IF(IFERROR(INDEX(ctaLiq,MATCH(E1555,ctaNom,0))="Sí",FALSE),IF(OR(I1555="Gasto",I1555="Transferencia",I1555="Pago tarjeta"),-1,1)*O1555,0)+IF(AND(U1555&lt;&gt;"",IFERROR(INDEX(ctaLiq,MATCH(G1555,ctaNom,0))="Sí",FALSE)),O1555,0))</f>
        <v/>
      </c>
      <c r="W1555" s="19">
        <f>IF(OR(F1555="",I1555=""),"",IF(COUNTIFS(F$6:F1555,F1555,I$6:I1555,"?*")=1,MAX(W$5:W1554)+1,""))</f>
        <v/>
      </c>
    </row>
    <row r="1556">
      <c r="B1556" s="15" t="n"/>
      <c r="C1556" s="16" t="n"/>
      <c r="D1556" s="17" t="n"/>
      <c r="E1556" s="17" t="n"/>
      <c r="F1556" s="17" t="n"/>
      <c r="G1556" s="17" t="n"/>
      <c r="H1556" s="18">
        <f>IF(AND(B1556="",C1556="",D1556="",E1556=""),"",IF(B1556="","⚠ Falta fecha",IF(C1556="","⚠ Falta monto",IF(D1556="","⚠ Falta categoría",IF(ISNA(MATCH(D1556,catNom,0)),"⚠ Categoría no existe",IF(E1556="","⚠ Falta cuenta",IF(ISNA(MATCH(E1556,ctaNom,0)),"⚠ Cuenta no existe",IF(AND(OR(I1556="Transferencia",I1556="Pago tarjeta"),G1556=""),"⚠ Indica la cuenta «Hacia»",IF(AND(G1556&lt;&gt;"",G1556=E1556),"⚠ «Hacia» igual a la cuenta",IF(AND(G1556&lt;&gt;"",ISNA(MATCH(G1556,ctaNom,0))),"⚠ «Hacia» no existe",IF(AND(I1556="Pago tarjeta",IFERROR(INDEX(ctaTipo,MATCH(G1556,ctaNom,0)),"")&lt;&gt;"Tarjeta de crédito"),"⚠ «Hacia» debe ser la tarjeta",IF(AND(I1556="Trading",IFERROR(INDEX(ctaTipo,MATCH(E1556,ctaNom,0)),"")&lt;&gt;"Cuenta de trading"),"⚠ Usa la cuenta de trading","✓"))))))))))))</f>
        <v/>
      </c>
      <c r="I1556" s="19">
        <f>IF(OR(B1556="",C1556="",D1556=""),"",IFERROR(INDEX(catTipo,MATCH(D1556,catNom,0))&amp;"",""))</f>
        <v/>
      </c>
      <c r="J1556" s="19">
        <f>IF(I1556="","",IFERROR(INDEX(catGrupo,MATCH(D1556,catNom,0))&amp;"",""))</f>
        <v/>
      </c>
      <c r="K1556" s="19">
        <f>IF(I1556="Gasto",IF(IFERROR(INDEX(catClas,MATCH(D1556,catNom,0))&amp;"","")="","Variable",IFERROR(INDEX(catClas,MATCH(D1556,catNom,0))&amp;"","")),"")</f>
        <v/>
      </c>
      <c r="L1556" s="19">
        <f>IF(I1556="","",IFERROR(INDEX(catAlim,MATCH(D1556,catNom,0))&amp;"",""))</f>
        <v/>
      </c>
      <c r="M1556" s="19">
        <f>IF(I1556="","",IFERROR(INDEX(catComida,MATCH(D1556,catNom,0))&amp;"",""))</f>
        <v/>
      </c>
      <c r="N1556" s="19">
        <f>IF(I1556="","",IFERROR(INDEX(ctaMon,MATCH(E1556,ctaNom,0))&amp;"","DOP"))</f>
        <v/>
      </c>
      <c r="O1556" s="20">
        <f>IF(I1556="","",C1556*IF(N1556="USD",TasaUSD,1))</f>
        <v/>
      </c>
      <c r="P1556" s="20">
        <f>IF(I1556="","",IF(I1556="Gasto",O1556,0))</f>
        <v/>
      </c>
      <c r="Q1556" s="20">
        <f>IF(I1556="","",IF(I1556="Ingreso",O1556,0))</f>
        <v/>
      </c>
      <c r="R1556" s="20">
        <f>IF(I1556="","",IF(I1556="Trading",O1556,0))</f>
        <v/>
      </c>
      <c r="S1556" s="19">
        <f>IF(I1556="","",IF(AND(I1556="Gasto",K1556="Variable",J1556&lt;&gt;"Trading",O1556&gt;0,O1556&lt;=Umbral),1,0))</f>
        <v/>
      </c>
      <c r="T1556" s="20">
        <f>IF(OR(I1556="",E1556=""),"",IF(OR(I1556="Gasto",I1556="Transferencia",I1556="Pago tarjeta"),-1,1)*C1556)</f>
        <v/>
      </c>
      <c r="U1556" s="20">
        <f>IF(OR(G1556="",AND(I1556&lt;&gt;"Transferencia",I1556&lt;&gt;"Pago tarjeta")),"",IF(IFERROR(INDEX(ctaMon,MATCH(G1556,ctaNom,0))&amp;"","DOP")=N1556,C1556,IF(N1556="USD",C1556*TasaUSD,C1556/TasaUSD)))</f>
        <v/>
      </c>
      <c r="V1556" s="20">
        <f>IF(I1556="","",IF(IFERROR(INDEX(ctaLiq,MATCH(E1556,ctaNom,0))="Sí",FALSE),IF(OR(I1556="Gasto",I1556="Transferencia",I1556="Pago tarjeta"),-1,1)*O1556,0)+IF(AND(U1556&lt;&gt;"",IFERROR(INDEX(ctaLiq,MATCH(G1556,ctaNom,0))="Sí",FALSE)),O1556,0))</f>
        <v/>
      </c>
      <c r="W1556" s="19">
        <f>IF(OR(F1556="",I1556=""),"",IF(COUNTIFS(F$6:F1556,F1556,I$6:I1556,"?*")=1,MAX(W$5:W1555)+1,""))</f>
        <v/>
      </c>
    </row>
    <row r="1557">
      <c r="B1557" s="15" t="n"/>
      <c r="C1557" s="16" t="n"/>
      <c r="D1557" s="17" t="n"/>
      <c r="E1557" s="17" t="n"/>
      <c r="F1557" s="17" t="n"/>
      <c r="G1557" s="17" t="n"/>
      <c r="H1557" s="18">
        <f>IF(AND(B1557="",C1557="",D1557="",E1557=""),"",IF(B1557="","⚠ Falta fecha",IF(C1557="","⚠ Falta monto",IF(D1557="","⚠ Falta categoría",IF(ISNA(MATCH(D1557,catNom,0)),"⚠ Categoría no existe",IF(E1557="","⚠ Falta cuenta",IF(ISNA(MATCH(E1557,ctaNom,0)),"⚠ Cuenta no existe",IF(AND(OR(I1557="Transferencia",I1557="Pago tarjeta"),G1557=""),"⚠ Indica la cuenta «Hacia»",IF(AND(G1557&lt;&gt;"",G1557=E1557),"⚠ «Hacia» igual a la cuenta",IF(AND(G1557&lt;&gt;"",ISNA(MATCH(G1557,ctaNom,0))),"⚠ «Hacia» no existe",IF(AND(I1557="Pago tarjeta",IFERROR(INDEX(ctaTipo,MATCH(G1557,ctaNom,0)),"")&lt;&gt;"Tarjeta de crédito"),"⚠ «Hacia» debe ser la tarjeta",IF(AND(I1557="Trading",IFERROR(INDEX(ctaTipo,MATCH(E1557,ctaNom,0)),"")&lt;&gt;"Cuenta de trading"),"⚠ Usa la cuenta de trading","✓"))))))))))))</f>
        <v/>
      </c>
      <c r="I1557" s="19">
        <f>IF(OR(B1557="",C1557="",D1557=""),"",IFERROR(INDEX(catTipo,MATCH(D1557,catNom,0))&amp;"",""))</f>
        <v/>
      </c>
      <c r="J1557" s="19">
        <f>IF(I1557="","",IFERROR(INDEX(catGrupo,MATCH(D1557,catNom,0))&amp;"",""))</f>
        <v/>
      </c>
      <c r="K1557" s="19">
        <f>IF(I1557="Gasto",IF(IFERROR(INDEX(catClas,MATCH(D1557,catNom,0))&amp;"","")="","Variable",IFERROR(INDEX(catClas,MATCH(D1557,catNom,0))&amp;"","")),"")</f>
        <v/>
      </c>
      <c r="L1557" s="19">
        <f>IF(I1557="","",IFERROR(INDEX(catAlim,MATCH(D1557,catNom,0))&amp;"",""))</f>
        <v/>
      </c>
      <c r="M1557" s="19">
        <f>IF(I1557="","",IFERROR(INDEX(catComida,MATCH(D1557,catNom,0))&amp;"",""))</f>
        <v/>
      </c>
      <c r="N1557" s="19">
        <f>IF(I1557="","",IFERROR(INDEX(ctaMon,MATCH(E1557,ctaNom,0))&amp;"","DOP"))</f>
        <v/>
      </c>
      <c r="O1557" s="20">
        <f>IF(I1557="","",C1557*IF(N1557="USD",TasaUSD,1))</f>
        <v/>
      </c>
      <c r="P1557" s="20">
        <f>IF(I1557="","",IF(I1557="Gasto",O1557,0))</f>
        <v/>
      </c>
      <c r="Q1557" s="20">
        <f>IF(I1557="","",IF(I1557="Ingreso",O1557,0))</f>
        <v/>
      </c>
      <c r="R1557" s="20">
        <f>IF(I1557="","",IF(I1557="Trading",O1557,0))</f>
        <v/>
      </c>
      <c r="S1557" s="19">
        <f>IF(I1557="","",IF(AND(I1557="Gasto",K1557="Variable",J1557&lt;&gt;"Trading",O1557&gt;0,O1557&lt;=Umbral),1,0))</f>
        <v/>
      </c>
      <c r="T1557" s="20">
        <f>IF(OR(I1557="",E1557=""),"",IF(OR(I1557="Gasto",I1557="Transferencia",I1557="Pago tarjeta"),-1,1)*C1557)</f>
        <v/>
      </c>
      <c r="U1557" s="20">
        <f>IF(OR(G1557="",AND(I1557&lt;&gt;"Transferencia",I1557&lt;&gt;"Pago tarjeta")),"",IF(IFERROR(INDEX(ctaMon,MATCH(G1557,ctaNom,0))&amp;"","DOP")=N1557,C1557,IF(N1557="USD",C1557*TasaUSD,C1557/TasaUSD)))</f>
        <v/>
      </c>
      <c r="V1557" s="20">
        <f>IF(I1557="","",IF(IFERROR(INDEX(ctaLiq,MATCH(E1557,ctaNom,0))="Sí",FALSE),IF(OR(I1557="Gasto",I1557="Transferencia",I1557="Pago tarjeta"),-1,1)*O1557,0)+IF(AND(U1557&lt;&gt;"",IFERROR(INDEX(ctaLiq,MATCH(G1557,ctaNom,0))="Sí",FALSE)),O1557,0))</f>
        <v/>
      </c>
      <c r="W1557" s="19">
        <f>IF(OR(F1557="",I1557=""),"",IF(COUNTIFS(F$6:F1557,F1557,I$6:I1557,"?*")=1,MAX(W$5:W1556)+1,""))</f>
        <v/>
      </c>
    </row>
    <row r="1558">
      <c r="B1558" s="15" t="n"/>
      <c r="C1558" s="16" t="n"/>
      <c r="D1558" s="17" t="n"/>
      <c r="E1558" s="17" t="n"/>
      <c r="F1558" s="17" t="n"/>
      <c r="G1558" s="17" t="n"/>
      <c r="H1558" s="18">
        <f>IF(AND(B1558="",C1558="",D1558="",E1558=""),"",IF(B1558="","⚠ Falta fecha",IF(C1558="","⚠ Falta monto",IF(D1558="","⚠ Falta categoría",IF(ISNA(MATCH(D1558,catNom,0)),"⚠ Categoría no existe",IF(E1558="","⚠ Falta cuenta",IF(ISNA(MATCH(E1558,ctaNom,0)),"⚠ Cuenta no existe",IF(AND(OR(I1558="Transferencia",I1558="Pago tarjeta"),G1558=""),"⚠ Indica la cuenta «Hacia»",IF(AND(G1558&lt;&gt;"",G1558=E1558),"⚠ «Hacia» igual a la cuenta",IF(AND(G1558&lt;&gt;"",ISNA(MATCH(G1558,ctaNom,0))),"⚠ «Hacia» no existe",IF(AND(I1558="Pago tarjeta",IFERROR(INDEX(ctaTipo,MATCH(G1558,ctaNom,0)),"")&lt;&gt;"Tarjeta de crédito"),"⚠ «Hacia» debe ser la tarjeta",IF(AND(I1558="Trading",IFERROR(INDEX(ctaTipo,MATCH(E1558,ctaNom,0)),"")&lt;&gt;"Cuenta de trading"),"⚠ Usa la cuenta de trading","✓"))))))))))))</f>
        <v/>
      </c>
      <c r="I1558" s="19">
        <f>IF(OR(B1558="",C1558="",D1558=""),"",IFERROR(INDEX(catTipo,MATCH(D1558,catNom,0))&amp;"",""))</f>
        <v/>
      </c>
      <c r="J1558" s="19">
        <f>IF(I1558="","",IFERROR(INDEX(catGrupo,MATCH(D1558,catNom,0))&amp;"",""))</f>
        <v/>
      </c>
      <c r="K1558" s="19">
        <f>IF(I1558="Gasto",IF(IFERROR(INDEX(catClas,MATCH(D1558,catNom,0))&amp;"","")="","Variable",IFERROR(INDEX(catClas,MATCH(D1558,catNom,0))&amp;"","")),"")</f>
        <v/>
      </c>
      <c r="L1558" s="19">
        <f>IF(I1558="","",IFERROR(INDEX(catAlim,MATCH(D1558,catNom,0))&amp;"",""))</f>
        <v/>
      </c>
      <c r="M1558" s="19">
        <f>IF(I1558="","",IFERROR(INDEX(catComida,MATCH(D1558,catNom,0))&amp;"",""))</f>
        <v/>
      </c>
      <c r="N1558" s="19">
        <f>IF(I1558="","",IFERROR(INDEX(ctaMon,MATCH(E1558,ctaNom,0))&amp;"","DOP"))</f>
        <v/>
      </c>
      <c r="O1558" s="20">
        <f>IF(I1558="","",C1558*IF(N1558="USD",TasaUSD,1))</f>
        <v/>
      </c>
      <c r="P1558" s="20">
        <f>IF(I1558="","",IF(I1558="Gasto",O1558,0))</f>
        <v/>
      </c>
      <c r="Q1558" s="20">
        <f>IF(I1558="","",IF(I1558="Ingreso",O1558,0))</f>
        <v/>
      </c>
      <c r="R1558" s="20">
        <f>IF(I1558="","",IF(I1558="Trading",O1558,0))</f>
        <v/>
      </c>
      <c r="S1558" s="19">
        <f>IF(I1558="","",IF(AND(I1558="Gasto",K1558="Variable",J1558&lt;&gt;"Trading",O1558&gt;0,O1558&lt;=Umbral),1,0))</f>
        <v/>
      </c>
      <c r="T1558" s="20">
        <f>IF(OR(I1558="",E1558=""),"",IF(OR(I1558="Gasto",I1558="Transferencia",I1558="Pago tarjeta"),-1,1)*C1558)</f>
        <v/>
      </c>
      <c r="U1558" s="20">
        <f>IF(OR(G1558="",AND(I1558&lt;&gt;"Transferencia",I1558&lt;&gt;"Pago tarjeta")),"",IF(IFERROR(INDEX(ctaMon,MATCH(G1558,ctaNom,0))&amp;"","DOP")=N1558,C1558,IF(N1558="USD",C1558*TasaUSD,C1558/TasaUSD)))</f>
        <v/>
      </c>
      <c r="V1558" s="20">
        <f>IF(I1558="","",IF(IFERROR(INDEX(ctaLiq,MATCH(E1558,ctaNom,0))="Sí",FALSE),IF(OR(I1558="Gasto",I1558="Transferencia",I1558="Pago tarjeta"),-1,1)*O1558,0)+IF(AND(U1558&lt;&gt;"",IFERROR(INDEX(ctaLiq,MATCH(G1558,ctaNom,0))="Sí",FALSE)),O1558,0))</f>
        <v/>
      </c>
      <c r="W1558" s="19">
        <f>IF(OR(F1558="",I1558=""),"",IF(COUNTIFS(F$6:F1558,F1558,I$6:I1558,"?*")=1,MAX(W$5:W1557)+1,""))</f>
        <v/>
      </c>
    </row>
    <row r="1559">
      <c r="B1559" s="15" t="n"/>
      <c r="C1559" s="16" t="n"/>
      <c r="D1559" s="17" t="n"/>
      <c r="E1559" s="17" t="n"/>
      <c r="F1559" s="17" t="n"/>
      <c r="G1559" s="17" t="n"/>
      <c r="H1559" s="18">
        <f>IF(AND(B1559="",C1559="",D1559="",E1559=""),"",IF(B1559="","⚠ Falta fecha",IF(C1559="","⚠ Falta monto",IF(D1559="","⚠ Falta categoría",IF(ISNA(MATCH(D1559,catNom,0)),"⚠ Categoría no existe",IF(E1559="","⚠ Falta cuenta",IF(ISNA(MATCH(E1559,ctaNom,0)),"⚠ Cuenta no existe",IF(AND(OR(I1559="Transferencia",I1559="Pago tarjeta"),G1559=""),"⚠ Indica la cuenta «Hacia»",IF(AND(G1559&lt;&gt;"",G1559=E1559),"⚠ «Hacia» igual a la cuenta",IF(AND(G1559&lt;&gt;"",ISNA(MATCH(G1559,ctaNom,0))),"⚠ «Hacia» no existe",IF(AND(I1559="Pago tarjeta",IFERROR(INDEX(ctaTipo,MATCH(G1559,ctaNom,0)),"")&lt;&gt;"Tarjeta de crédito"),"⚠ «Hacia» debe ser la tarjeta",IF(AND(I1559="Trading",IFERROR(INDEX(ctaTipo,MATCH(E1559,ctaNom,0)),"")&lt;&gt;"Cuenta de trading"),"⚠ Usa la cuenta de trading","✓"))))))))))))</f>
        <v/>
      </c>
      <c r="I1559" s="19">
        <f>IF(OR(B1559="",C1559="",D1559=""),"",IFERROR(INDEX(catTipo,MATCH(D1559,catNom,0))&amp;"",""))</f>
        <v/>
      </c>
      <c r="J1559" s="19">
        <f>IF(I1559="","",IFERROR(INDEX(catGrupo,MATCH(D1559,catNom,0))&amp;"",""))</f>
        <v/>
      </c>
      <c r="K1559" s="19">
        <f>IF(I1559="Gasto",IF(IFERROR(INDEX(catClas,MATCH(D1559,catNom,0))&amp;"","")="","Variable",IFERROR(INDEX(catClas,MATCH(D1559,catNom,0))&amp;"","")),"")</f>
        <v/>
      </c>
      <c r="L1559" s="19">
        <f>IF(I1559="","",IFERROR(INDEX(catAlim,MATCH(D1559,catNom,0))&amp;"",""))</f>
        <v/>
      </c>
      <c r="M1559" s="19">
        <f>IF(I1559="","",IFERROR(INDEX(catComida,MATCH(D1559,catNom,0))&amp;"",""))</f>
        <v/>
      </c>
      <c r="N1559" s="19">
        <f>IF(I1559="","",IFERROR(INDEX(ctaMon,MATCH(E1559,ctaNom,0))&amp;"","DOP"))</f>
        <v/>
      </c>
      <c r="O1559" s="20">
        <f>IF(I1559="","",C1559*IF(N1559="USD",TasaUSD,1))</f>
        <v/>
      </c>
      <c r="P1559" s="20">
        <f>IF(I1559="","",IF(I1559="Gasto",O1559,0))</f>
        <v/>
      </c>
      <c r="Q1559" s="20">
        <f>IF(I1559="","",IF(I1559="Ingreso",O1559,0))</f>
        <v/>
      </c>
      <c r="R1559" s="20">
        <f>IF(I1559="","",IF(I1559="Trading",O1559,0))</f>
        <v/>
      </c>
      <c r="S1559" s="19">
        <f>IF(I1559="","",IF(AND(I1559="Gasto",K1559="Variable",J1559&lt;&gt;"Trading",O1559&gt;0,O1559&lt;=Umbral),1,0))</f>
        <v/>
      </c>
      <c r="T1559" s="20">
        <f>IF(OR(I1559="",E1559=""),"",IF(OR(I1559="Gasto",I1559="Transferencia",I1559="Pago tarjeta"),-1,1)*C1559)</f>
        <v/>
      </c>
      <c r="U1559" s="20">
        <f>IF(OR(G1559="",AND(I1559&lt;&gt;"Transferencia",I1559&lt;&gt;"Pago tarjeta")),"",IF(IFERROR(INDEX(ctaMon,MATCH(G1559,ctaNom,0))&amp;"","DOP")=N1559,C1559,IF(N1559="USD",C1559*TasaUSD,C1559/TasaUSD)))</f>
        <v/>
      </c>
      <c r="V1559" s="20">
        <f>IF(I1559="","",IF(IFERROR(INDEX(ctaLiq,MATCH(E1559,ctaNom,0))="Sí",FALSE),IF(OR(I1559="Gasto",I1559="Transferencia",I1559="Pago tarjeta"),-1,1)*O1559,0)+IF(AND(U1559&lt;&gt;"",IFERROR(INDEX(ctaLiq,MATCH(G1559,ctaNom,0))="Sí",FALSE)),O1559,0))</f>
        <v/>
      </c>
      <c r="W1559" s="19">
        <f>IF(OR(F1559="",I1559=""),"",IF(COUNTIFS(F$6:F1559,F1559,I$6:I1559,"?*")=1,MAX(W$5:W1558)+1,""))</f>
        <v/>
      </c>
    </row>
    <row r="1560">
      <c r="B1560" s="15" t="n"/>
      <c r="C1560" s="16" t="n"/>
      <c r="D1560" s="17" t="n"/>
      <c r="E1560" s="17" t="n"/>
      <c r="F1560" s="17" t="n"/>
      <c r="G1560" s="17" t="n"/>
      <c r="H1560" s="18">
        <f>IF(AND(B1560="",C1560="",D1560="",E1560=""),"",IF(B1560="","⚠ Falta fecha",IF(C1560="","⚠ Falta monto",IF(D1560="","⚠ Falta categoría",IF(ISNA(MATCH(D1560,catNom,0)),"⚠ Categoría no existe",IF(E1560="","⚠ Falta cuenta",IF(ISNA(MATCH(E1560,ctaNom,0)),"⚠ Cuenta no existe",IF(AND(OR(I1560="Transferencia",I1560="Pago tarjeta"),G1560=""),"⚠ Indica la cuenta «Hacia»",IF(AND(G1560&lt;&gt;"",G1560=E1560),"⚠ «Hacia» igual a la cuenta",IF(AND(G1560&lt;&gt;"",ISNA(MATCH(G1560,ctaNom,0))),"⚠ «Hacia» no existe",IF(AND(I1560="Pago tarjeta",IFERROR(INDEX(ctaTipo,MATCH(G1560,ctaNom,0)),"")&lt;&gt;"Tarjeta de crédito"),"⚠ «Hacia» debe ser la tarjeta",IF(AND(I1560="Trading",IFERROR(INDEX(ctaTipo,MATCH(E1560,ctaNom,0)),"")&lt;&gt;"Cuenta de trading"),"⚠ Usa la cuenta de trading","✓"))))))))))))</f>
        <v/>
      </c>
      <c r="I1560" s="19">
        <f>IF(OR(B1560="",C1560="",D1560=""),"",IFERROR(INDEX(catTipo,MATCH(D1560,catNom,0))&amp;"",""))</f>
        <v/>
      </c>
      <c r="J1560" s="19">
        <f>IF(I1560="","",IFERROR(INDEX(catGrupo,MATCH(D1560,catNom,0))&amp;"",""))</f>
        <v/>
      </c>
      <c r="K1560" s="19">
        <f>IF(I1560="Gasto",IF(IFERROR(INDEX(catClas,MATCH(D1560,catNom,0))&amp;"","")="","Variable",IFERROR(INDEX(catClas,MATCH(D1560,catNom,0))&amp;"","")),"")</f>
        <v/>
      </c>
      <c r="L1560" s="19">
        <f>IF(I1560="","",IFERROR(INDEX(catAlim,MATCH(D1560,catNom,0))&amp;"",""))</f>
        <v/>
      </c>
      <c r="M1560" s="19">
        <f>IF(I1560="","",IFERROR(INDEX(catComida,MATCH(D1560,catNom,0))&amp;"",""))</f>
        <v/>
      </c>
      <c r="N1560" s="19">
        <f>IF(I1560="","",IFERROR(INDEX(ctaMon,MATCH(E1560,ctaNom,0))&amp;"","DOP"))</f>
        <v/>
      </c>
      <c r="O1560" s="20">
        <f>IF(I1560="","",C1560*IF(N1560="USD",TasaUSD,1))</f>
        <v/>
      </c>
      <c r="P1560" s="20">
        <f>IF(I1560="","",IF(I1560="Gasto",O1560,0))</f>
        <v/>
      </c>
      <c r="Q1560" s="20">
        <f>IF(I1560="","",IF(I1560="Ingreso",O1560,0))</f>
        <v/>
      </c>
      <c r="R1560" s="20">
        <f>IF(I1560="","",IF(I1560="Trading",O1560,0))</f>
        <v/>
      </c>
      <c r="S1560" s="19">
        <f>IF(I1560="","",IF(AND(I1560="Gasto",K1560="Variable",J1560&lt;&gt;"Trading",O1560&gt;0,O1560&lt;=Umbral),1,0))</f>
        <v/>
      </c>
      <c r="T1560" s="20">
        <f>IF(OR(I1560="",E1560=""),"",IF(OR(I1560="Gasto",I1560="Transferencia",I1560="Pago tarjeta"),-1,1)*C1560)</f>
        <v/>
      </c>
      <c r="U1560" s="20">
        <f>IF(OR(G1560="",AND(I1560&lt;&gt;"Transferencia",I1560&lt;&gt;"Pago tarjeta")),"",IF(IFERROR(INDEX(ctaMon,MATCH(G1560,ctaNom,0))&amp;"","DOP")=N1560,C1560,IF(N1560="USD",C1560*TasaUSD,C1560/TasaUSD)))</f>
        <v/>
      </c>
      <c r="V1560" s="20">
        <f>IF(I1560="","",IF(IFERROR(INDEX(ctaLiq,MATCH(E1560,ctaNom,0))="Sí",FALSE),IF(OR(I1560="Gasto",I1560="Transferencia",I1560="Pago tarjeta"),-1,1)*O1560,0)+IF(AND(U1560&lt;&gt;"",IFERROR(INDEX(ctaLiq,MATCH(G1560,ctaNom,0))="Sí",FALSE)),O1560,0))</f>
        <v/>
      </c>
      <c r="W1560" s="19">
        <f>IF(OR(F1560="",I1560=""),"",IF(COUNTIFS(F$6:F1560,F1560,I$6:I1560,"?*")=1,MAX(W$5:W1559)+1,""))</f>
        <v/>
      </c>
    </row>
    <row r="1561">
      <c r="B1561" s="15" t="n"/>
      <c r="C1561" s="16" t="n"/>
      <c r="D1561" s="17" t="n"/>
      <c r="E1561" s="17" t="n"/>
      <c r="F1561" s="17" t="n"/>
      <c r="G1561" s="17" t="n"/>
      <c r="H1561" s="18">
        <f>IF(AND(B1561="",C1561="",D1561="",E1561=""),"",IF(B1561="","⚠ Falta fecha",IF(C1561="","⚠ Falta monto",IF(D1561="","⚠ Falta categoría",IF(ISNA(MATCH(D1561,catNom,0)),"⚠ Categoría no existe",IF(E1561="","⚠ Falta cuenta",IF(ISNA(MATCH(E1561,ctaNom,0)),"⚠ Cuenta no existe",IF(AND(OR(I1561="Transferencia",I1561="Pago tarjeta"),G1561=""),"⚠ Indica la cuenta «Hacia»",IF(AND(G1561&lt;&gt;"",G1561=E1561),"⚠ «Hacia» igual a la cuenta",IF(AND(G1561&lt;&gt;"",ISNA(MATCH(G1561,ctaNom,0))),"⚠ «Hacia» no existe",IF(AND(I1561="Pago tarjeta",IFERROR(INDEX(ctaTipo,MATCH(G1561,ctaNom,0)),"")&lt;&gt;"Tarjeta de crédito"),"⚠ «Hacia» debe ser la tarjeta",IF(AND(I1561="Trading",IFERROR(INDEX(ctaTipo,MATCH(E1561,ctaNom,0)),"")&lt;&gt;"Cuenta de trading"),"⚠ Usa la cuenta de trading","✓"))))))))))))</f>
        <v/>
      </c>
      <c r="I1561" s="19">
        <f>IF(OR(B1561="",C1561="",D1561=""),"",IFERROR(INDEX(catTipo,MATCH(D1561,catNom,0))&amp;"",""))</f>
        <v/>
      </c>
      <c r="J1561" s="19">
        <f>IF(I1561="","",IFERROR(INDEX(catGrupo,MATCH(D1561,catNom,0))&amp;"",""))</f>
        <v/>
      </c>
      <c r="K1561" s="19">
        <f>IF(I1561="Gasto",IF(IFERROR(INDEX(catClas,MATCH(D1561,catNom,0))&amp;"","")="","Variable",IFERROR(INDEX(catClas,MATCH(D1561,catNom,0))&amp;"","")),"")</f>
        <v/>
      </c>
      <c r="L1561" s="19">
        <f>IF(I1561="","",IFERROR(INDEX(catAlim,MATCH(D1561,catNom,0))&amp;"",""))</f>
        <v/>
      </c>
      <c r="M1561" s="19">
        <f>IF(I1561="","",IFERROR(INDEX(catComida,MATCH(D1561,catNom,0))&amp;"",""))</f>
        <v/>
      </c>
      <c r="N1561" s="19">
        <f>IF(I1561="","",IFERROR(INDEX(ctaMon,MATCH(E1561,ctaNom,0))&amp;"","DOP"))</f>
        <v/>
      </c>
      <c r="O1561" s="20">
        <f>IF(I1561="","",C1561*IF(N1561="USD",TasaUSD,1))</f>
        <v/>
      </c>
      <c r="P1561" s="20">
        <f>IF(I1561="","",IF(I1561="Gasto",O1561,0))</f>
        <v/>
      </c>
      <c r="Q1561" s="20">
        <f>IF(I1561="","",IF(I1561="Ingreso",O1561,0))</f>
        <v/>
      </c>
      <c r="R1561" s="20">
        <f>IF(I1561="","",IF(I1561="Trading",O1561,0))</f>
        <v/>
      </c>
      <c r="S1561" s="19">
        <f>IF(I1561="","",IF(AND(I1561="Gasto",K1561="Variable",J1561&lt;&gt;"Trading",O1561&gt;0,O1561&lt;=Umbral),1,0))</f>
        <v/>
      </c>
      <c r="T1561" s="20">
        <f>IF(OR(I1561="",E1561=""),"",IF(OR(I1561="Gasto",I1561="Transferencia",I1561="Pago tarjeta"),-1,1)*C1561)</f>
        <v/>
      </c>
      <c r="U1561" s="20">
        <f>IF(OR(G1561="",AND(I1561&lt;&gt;"Transferencia",I1561&lt;&gt;"Pago tarjeta")),"",IF(IFERROR(INDEX(ctaMon,MATCH(G1561,ctaNom,0))&amp;"","DOP")=N1561,C1561,IF(N1561="USD",C1561*TasaUSD,C1561/TasaUSD)))</f>
        <v/>
      </c>
      <c r="V1561" s="20">
        <f>IF(I1561="","",IF(IFERROR(INDEX(ctaLiq,MATCH(E1561,ctaNom,0))="Sí",FALSE),IF(OR(I1561="Gasto",I1561="Transferencia",I1561="Pago tarjeta"),-1,1)*O1561,0)+IF(AND(U1561&lt;&gt;"",IFERROR(INDEX(ctaLiq,MATCH(G1561,ctaNom,0))="Sí",FALSE)),O1561,0))</f>
        <v/>
      </c>
      <c r="W1561" s="19">
        <f>IF(OR(F1561="",I1561=""),"",IF(COUNTIFS(F$6:F1561,F1561,I$6:I1561,"?*")=1,MAX(W$5:W1560)+1,""))</f>
        <v/>
      </c>
    </row>
    <row r="1562">
      <c r="B1562" s="15" t="n"/>
      <c r="C1562" s="16" t="n"/>
      <c r="D1562" s="17" t="n"/>
      <c r="E1562" s="17" t="n"/>
      <c r="F1562" s="17" t="n"/>
      <c r="G1562" s="17" t="n"/>
      <c r="H1562" s="18">
        <f>IF(AND(B1562="",C1562="",D1562="",E1562=""),"",IF(B1562="","⚠ Falta fecha",IF(C1562="","⚠ Falta monto",IF(D1562="","⚠ Falta categoría",IF(ISNA(MATCH(D1562,catNom,0)),"⚠ Categoría no existe",IF(E1562="","⚠ Falta cuenta",IF(ISNA(MATCH(E1562,ctaNom,0)),"⚠ Cuenta no existe",IF(AND(OR(I1562="Transferencia",I1562="Pago tarjeta"),G1562=""),"⚠ Indica la cuenta «Hacia»",IF(AND(G1562&lt;&gt;"",G1562=E1562),"⚠ «Hacia» igual a la cuenta",IF(AND(G1562&lt;&gt;"",ISNA(MATCH(G1562,ctaNom,0))),"⚠ «Hacia» no existe",IF(AND(I1562="Pago tarjeta",IFERROR(INDEX(ctaTipo,MATCH(G1562,ctaNom,0)),"")&lt;&gt;"Tarjeta de crédito"),"⚠ «Hacia» debe ser la tarjeta",IF(AND(I1562="Trading",IFERROR(INDEX(ctaTipo,MATCH(E1562,ctaNom,0)),"")&lt;&gt;"Cuenta de trading"),"⚠ Usa la cuenta de trading","✓"))))))))))))</f>
        <v/>
      </c>
      <c r="I1562" s="19">
        <f>IF(OR(B1562="",C1562="",D1562=""),"",IFERROR(INDEX(catTipo,MATCH(D1562,catNom,0))&amp;"",""))</f>
        <v/>
      </c>
      <c r="J1562" s="19">
        <f>IF(I1562="","",IFERROR(INDEX(catGrupo,MATCH(D1562,catNom,0))&amp;"",""))</f>
        <v/>
      </c>
      <c r="K1562" s="19">
        <f>IF(I1562="Gasto",IF(IFERROR(INDEX(catClas,MATCH(D1562,catNom,0))&amp;"","")="","Variable",IFERROR(INDEX(catClas,MATCH(D1562,catNom,0))&amp;"","")),"")</f>
        <v/>
      </c>
      <c r="L1562" s="19">
        <f>IF(I1562="","",IFERROR(INDEX(catAlim,MATCH(D1562,catNom,0))&amp;"",""))</f>
        <v/>
      </c>
      <c r="M1562" s="19">
        <f>IF(I1562="","",IFERROR(INDEX(catComida,MATCH(D1562,catNom,0))&amp;"",""))</f>
        <v/>
      </c>
      <c r="N1562" s="19">
        <f>IF(I1562="","",IFERROR(INDEX(ctaMon,MATCH(E1562,ctaNom,0))&amp;"","DOP"))</f>
        <v/>
      </c>
      <c r="O1562" s="20">
        <f>IF(I1562="","",C1562*IF(N1562="USD",TasaUSD,1))</f>
        <v/>
      </c>
      <c r="P1562" s="20">
        <f>IF(I1562="","",IF(I1562="Gasto",O1562,0))</f>
        <v/>
      </c>
      <c r="Q1562" s="20">
        <f>IF(I1562="","",IF(I1562="Ingreso",O1562,0))</f>
        <v/>
      </c>
      <c r="R1562" s="20">
        <f>IF(I1562="","",IF(I1562="Trading",O1562,0))</f>
        <v/>
      </c>
      <c r="S1562" s="19">
        <f>IF(I1562="","",IF(AND(I1562="Gasto",K1562="Variable",J1562&lt;&gt;"Trading",O1562&gt;0,O1562&lt;=Umbral),1,0))</f>
        <v/>
      </c>
      <c r="T1562" s="20">
        <f>IF(OR(I1562="",E1562=""),"",IF(OR(I1562="Gasto",I1562="Transferencia",I1562="Pago tarjeta"),-1,1)*C1562)</f>
        <v/>
      </c>
      <c r="U1562" s="20">
        <f>IF(OR(G1562="",AND(I1562&lt;&gt;"Transferencia",I1562&lt;&gt;"Pago tarjeta")),"",IF(IFERROR(INDEX(ctaMon,MATCH(G1562,ctaNom,0))&amp;"","DOP")=N1562,C1562,IF(N1562="USD",C1562*TasaUSD,C1562/TasaUSD)))</f>
        <v/>
      </c>
      <c r="V1562" s="20">
        <f>IF(I1562="","",IF(IFERROR(INDEX(ctaLiq,MATCH(E1562,ctaNom,0))="Sí",FALSE),IF(OR(I1562="Gasto",I1562="Transferencia",I1562="Pago tarjeta"),-1,1)*O1562,0)+IF(AND(U1562&lt;&gt;"",IFERROR(INDEX(ctaLiq,MATCH(G1562,ctaNom,0))="Sí",FALSE)),O1562,0))</f>
        <v/>
      </c>
      <c r="W1562" s="19">
        <f>IF(OR(F1562="",I1562=""),"",IF(COUNTIFS(F$6:F1562,F1562,I$6:I1562,"?*")=1,MAX(W$5:W1561)+1,""))</f>
        <v/>
      </c>
    </row>
    <row r="1563">
      <c r="B1563" s="15" t="n"/>
      <c r="C1563" s="16" t="n"/>
      <c r="D1563" s="17" t="n"/>
      <c r="E1563" s="17" t="n"/>
      <c r="F1563" s="17" t="n"/>
      <c r="G1563" s="17" t="n"/>
      <c r="H1563" s="18">
        <f>IF(AND(B1563="",C1563="",D1563="",E1563=""),"",IF(B1563="","⚠ Falta fecha",IF(C1563="","⚠ Falta monto",IF(D1563="","⚠ Falta categoría",IF(ISNA(MATCH(D1563,catNom,0)),"⚠ Categoría no existe",IF(E1563="","⚠ Falta cuenta",IF(ISNA(MATCH(E1563,ctaNom,0)),"⚠ Cuenta no existe",IF(AND(OR(I1563="Transferencia",I1563="Pago tarjeta"),G1563=""),"⚠ Indica la cuenta «Hacia»",IF(AND(G1563&lt;&gt;"",G1563=E1563),"⚠ «Hacia» igual a la cuenta",IF(AND(G1563&lt;&gt;"",ISNA(MATCH(G1563,ctaNom,0))),"⚠ «Hacia» no existe",IF(AND(I1563="Pago tarjeta",IFERROR(INDEX(ctaTipo,MATCH(G1563,ctaNom,0)),"")&lt;&gt;"Tarjeta de crédito"),"⚠ «Hacia» debe ser la tarjeta",IF(AND(I1563="Trading",IFERROR(INDEX(ctaTipo,MATCH(E1563,ctaNom,0)),"")&lt;&gt;"Cuenta de trading"),"⚠ Usa la cuenta de trading","✓"))))))))))))</f>
        <v/>
      </c>
      <c r="I1563" s="19">
        <f>IF(OR(B1563="",C1563="",D1563=""),"",IFERROR(INDEX(catTipo,MATCH(D1563,catNom,0))&amp;"",""))</f>
        <v/>
      </c>
      <c r="J1563" s="19">
        <f>IF(I1563="","",IFERROR(INDEX(catGrupo,MATCH(D1563,catNom,0))&amp;"",""))</f>
        <v/>
      </c>
      <c r="K1563" s="19">
        <f>IF(I1563="Gasto",IF(IFERROR(INDEX(catClas,MATCH(D1563,catNom,0))&amp;"","")="","Variable",IFERROR(INDEX(catClas,MATCH(D1563,catNom,0))&amp;"","")),"")</f>
        <v/>
      </c>
      <c r="L1563" s="19">
        <f>IF(I1563="","",IFERROR(INDEX(catAlim,MATCH(D1563,catNom,0))&amp;"",""))</f>
        <v/>
      </c>
      <c r="M1563" s="19">
        <f>IF(I1563="","",IFERROR(INDEX(catComida,MATCH(D1563,catNom,0))&amp;"",""))</f>
        <v/>
      </c>
      <c r="N1563" s="19">
        <f>IF(I1563="","",IFERROR(INDEX(ctaMon,MATCH(E1563,ctaNom,0))&amp;"","DOP"))</f>
        <v/>
      </c>
      <c r="O1563" s="20">
        <f>IF(I1563="","",C1563*IF(N1563="USD",TasaUSD,1))</f>
        <v/>
      </c>
      <c r="P1563" s="20">
        <f>IF(I1563="","",IF(I1563="Gasto",O1563,0))</f>
        <v/>
      </c>
      <c r="Q1563" s="20">
        <f>IF(I1563="","",IF(I1563="Ingreso",O1563,0))</f>
        <v/>
      </c>
      <c r="R1563" s="20">
        <f>IF(I1563="","",IF(I1563="Trading",O1563,0))</f>
        <v/>
      </c>
      <c r="S1563" s="19">
        <f>IF(I1563="","",IF(AND(I1563="Gasto",K1563="Variable",J1563&lt;&gt;"Trading",O1563&gt;0,O1563&lt;=Umbral),1,0))</f>
        <v/>
      </c>
      <c r="T1563" s="20">
        <f>IF(OR(I1563="",E1563=""),"",IF(OR(I1563="Gasto",I1563="Transferencia",I1563="Pago tarjeta"),-1,1)*C1563)</f>
        <v/>
      </c>
      <c r="U1563" s="20">
        <f>IF(OR(G1563="",AND(I1563&lt;&gt;"Transferencia",I1563&lt;&gt;"Pago tarjeta")),"",IF(IFERROR(INDEX(ctaMon,MATCH(G1563,ctaNom,0))&amp;"","DOP")=N1563,C1563,IF(N1563="USD",C1563*TasaUSD,C1563/TasaUSD)))</f>
        <v/>
      </c>
      <c r="V1563" s="20">
        <f>IF(I1563="","",IF(IFERROR(INDEX(ctaLiq,MATCH(E1563,ctaNom,0))="Sí",FALSE),IF(OR(I1563="Gasto",I1563="Transferencia",I1563="Pago tarjeta"),-1,1)*O1563,0)+IF(AND(U1563&lt;&gt;"",IFERROR(INDEX(ctaLiq,MATCH(G1563,ctaNom,0))="Sí",FALSE)),O1563,0))</f>
        <v/>
      </c>
      <c r="W1563" s="19">
        <f>IF(OR(F1563="",I1563=""),"",IF(COUNTIFS(F$6:F1563,F1563,I$6:I1563,"?*")=1,MAX(W$5:W1562)+1,""))</f>
        <v/>
      </c>
    </row>
    <row r="1564">
      <c r="B1564" s="15" t="n"/>
      <c r="C1564" s="16" t="n"/>
      <c r="D1564" s="17" t="n"/>
      <c r="E1564" s="17" t="n"/>
      <c r="F1564" s="17" t="n"/>
      <c r="G1564" s="17" t="n"/>
      <c r="H1564" s="18">
        <f>IF(AND(B1564="",C1564="",D1564="",E1564=""),"",IF(B1564="","⚠ Falta fecha",IF(C1564="","⚠ Falta monto",IF(D1564="","⚠ Falta categoría",IF(ISNA(MATCH(D1564,catNom,0)),"⚠ Categoría no existe",IF(E1564="","⚠ Falta cuenta",IF(ISNA(MATCH(E1564,ctaNom,0)),"⚠ Cuenta no existe",IF(AND(OR(I1564="Transferencia",I1564="Pago tarjeta"),G1564=""),"⚠ Indica la cuenta «Hacia»",IF(AND(G1564&lt;&gt;"",G1564=E1564),"⚠ «Hacia» igual a la cuenta",IF(AND(G1564&lt;&gt;"",ISNA(MATCH(G1564,ctaNom,0))),"⚠ «Hacia» no existe",IF(AND(I1564="Pago tarjeta",IFERROR(INDEX(ctaTipo,MATCH(G1564,ctaNom,0)),"")&lt;&gt;"Tarjeta de crédito"),"⚠ «Hacia» debe ser la tarjeta",IF(AND(I1564="Trading",IFERROR(INDEX(ctaTipo,MATCH(E1564,ctaNom,0)),"")&lt;&gt;"Cuenta de trading"),"⚠ Usa la cuenta de trading","✓"))))))))))))</f>
        <v/>
      </c>
      <c r="I1564" s="19">
        <f>IF(OR(B1564="",C1564="",D1564=""),"",IFERROR(INDEX(catTipo,MATCH(D1564,catNom,0))&amp;"",""))</f>
        <v/>
      </c>
      <c r="J1564" s="19">
        <f>IF(I1564="","",IFERROR(INDEX(catGrupo,MATCH(D1564,catNom,0))&amp;"",""))</f>
        <v/>
      </c>
      <c r="K1564" s="19">
        <f>IF(I1564="Gasto",IF(IFERROR(INDEX(catClas,MATCH(D1564,catNom,0))&amp;"","")="","Variable",IFERROR(INDEX(catClas,MATCH(D1564,catNom,0))&amp;"","")),"")</f>
        <v/>
      </c>
      <c r="L1564" s="19">
        <f>IF(I1564="","",IFERROR(INDEX(catAlim,MATCH(D1564,catNom,0))&amp;"",""))</f>
        <v/>
      </c>
      <c r="M1564" s="19">
        <f>IF(I1564="","",IFERROR(INDEX(catComida,MATCH(D1564,catNom,0))&amp;"",""))</f>
        <v/>
      </c>
      <c r="N1564" s="19">
        <f>IF(I1564="","",IFERROR(INDEX(ctaMon,MATCH(E1564,ctaNom,0))&amp;"","DOP"))</f>
        <v/>
      </c>
      <c r="O1564" s="20">
        <f>IF(I1564="","",C1564*IF(N1564="USD",TasaUSD,1))</f>
        <v/>
      </c>
      <c r="P1564" s="20">
        <f>IF(I1564="","",IF(I1564="Gasto",O1564,0))</f>
        <v/>
      </c>
      <c r="Q1564" s="20">
        <f>IF(I1564="","",IF(I1564="Ingreso",O1564,0))</f>
        <v/>
      </c>
      <c r="R1564" s="20">
        <f>IF(I1564="","",IF(I1564="Trading",O1564,0))</f>
        <v/>
      </c>
      <c r="S1564" s="19">
        <f>IF(I1564="","",IF(AND(I1564="Gasto",K1564="Variable",J1564&lt;&gt;"Trading",O1564&gt;0,O1564&lt;=Umbral),1,0))</f>
        <v/>
      </c>
      <c r="T1564" s="20">
        <f>IF(OR(I1564="",E1564=""),"",IF(OR(I1564="Gasto",I1564="Transferencia",I1564="Pago tarjeta"),-1,1)*C1564)</f>
        <v/>
      </c>
      <c r="U1564" s="20">
        <f>IF(OR(G1564="",AND(I1564&lt;&gt;"Transferencia",I1564&lt;&gt;"Pago tarjeta")),"",IF(IFERROR(INDEX(ctaMon,MATCH(G1564,ctaNom,0))&amp;"","DOP")=N1564,C1564,IF(N1564="USD",C1564*TasaUSD,C1564/TasaUSD)))</f>
        <v/>
      </c>
      <c r="V1564" s="20">
        <f>IF(I1564="","",IF(IFERROR(INDEX(ctaLiq,MATCH(E1564,ctaNom,0))="Sí",FALSE),IF(OR(I1564="Gasto",I1564="Transferencia",I1564="Pago tarjeta"),-1,1)*O1564,0)+IF(AND(U1564&lt;&gt;"",IFERROR(INDEX(ctaLiq,MATCH(G1564,ctaNom,0))="Sí",FALSE)),O1564,0))</f>
        <v/>
      </c>
      <c r="W1564" s="19">
        <f>IF(OR(F1564="",I1564=""),"",IF(COUNTIFS(F$6:F1564,F1564,I$6:I1564,"?*")=1,MAX(W$5:W1563)+1,""))</f>
        <v/>
      </c>
    </row>
    <row r="1565">
      <c r="B1565" s="15" t="n"/>
      <c r="C1565" s="16" t="n"/>
      <c r="D1565" s="17" t="n"/>
      <c r="E1565" s="17" t="n"/>
      <c r="F1565" s="17" t="n"/>
      <c r="G1565" s="17" t="n"/>
      <c r="H1565" s="18">
        <f>IF(AND(B1565="",C1565="",D1565="",E1565=""),"",IF(B1565="","⚠ Falta fecha",IF(C1565="","⚠ Falta monto",IF(D1565="","⚠ Falta categoría",IF(ISNA(MATCH(D1565,catNom,0)),"⚠ Categoría no existe",IF(E1565="","⚠ Falta cuenta",IF(ISNA(MATCH(E1565,ctaNom,0)),"⚠ Cuenta no existe",IF(AND(OR(I1565="Transferencia",I1565="Pago tarjeta"),G1565=""),"⚠ Indica la cuenta «Hacia»",IF(AND(G1565&lt;&gt;"",G1565=E1565),"⚠ «Hacia» igual a la cuenta",IF(AND(G1565&lt;&gt;"",ISNA(MATCH(G1565,ctaNom,0))),"⚠ «Hacia» no existe",IF(AND(I1565="Pago tarjeta",IFERROR(INDEX(ctaTipo,MATCH(G1565,ctaNom,0)),"")&lt;&gt;"Tarjeta de crédito"),"⚠ «Hacia» debe ser la tarjeta",IF(AND(I1565="Trading",IFERROR(INDEX(ctaTipo,MATCH(E1565,ctaNom,0)),"")&lt;&gt;"Cuenta de trading"),"⚠ Usa la cuenta de trading","✓"))))))))))))</f>
        <v/>
      </c>
      <c r="I1565" s="19">
        <f>IF(OR(B1565="",C1565="",D1565=""),"",IFERROR(INDEX(catTipo,MATCH(D1565,catNom,0))&amp;"",""))</f>
        <v/>
      </c>
      <c r="J1565" s="19">
        <f>IF(I1565="","",IFERROR(INDEX(catGrupo,MATCH(D1565,catNom,0))&amp;"",""))</f>
        <v/>
      </c>
      <c r="K1565" s="19">
        <f>IF(I1565="Gasto",IF(IFERROR(INDEX(catClas,MATCH(D1565,catNom,0))&amp;"","")="","Variable",IFERROR(INDEX(catClas,MATCH(D1565,catNom,0))&amp;"","")),"")</f>
        <v/>
      </c>
      <c r="L1565" s="19">
        <f>IF(I1565="","",IFERROR(INDEX(catAlim,MATCH(D1565,catNom,0))&amp;"",""))</f>
        <v/>
      </c>
      <c r="M1565" s="19">
        <f>IF(I1565="","",IFERROR(INDEX(catComida,MATCH(D1565,catNom,0))&amp;"",""))</f>
        <v/>
      </c>
      <c r="N1565" s="19">
        <f>IF(I1565="","",IFERROR(INDEX(ctaMon,MATCH(E1565,ctaNom,0))&amp;"","DOP"))</f>
        <v/>
      </c>
      <c r="O1565" s="20">
        <f>IF(I1565="","",C1565*IF(N1565="USD",TasaUSD,1))</f>
        <v/>
      </c>
      <c r="P1565" s="20">
        <f>IF(I1565="","",IF(I1565="Gasto",O1565,0))</f>
        <v/>
      </c>
      <c r="Q1565" s="20">
        <f>IF(I1565="","",IF(I1565="Ingreso",O1565,0))</f>
        <v/>
      </c>
      <c r="R1565" s="20">
        <f>IF(I1565="","",IF(I1565="Trading",O1565,0))</f>
        <v/>
      </c>
      <c r="S1565" s="19">
        <f>IF(I1565="","",IF(AND(I1565="Gasto",K1565="Variable",J1565&lt;&gt;"Trading",O1565&gt;0,O1565&lt;=Umbral),1,0))</f>
        <v/>
      </c>
      <c r="T1565" s="20">
        <f>IF(OR(I1565="",E1565=""),"",IF(OR(I1565="Gasto",I1565="Transferencia",I1565="Pago tarjeta"),-1,1)*C1565)</f>
        <v/>
      </c>
      <c r="U1565" s="20">
        <f>IF(OR(G1565="",AND(I1565&lt;&gt;"Transferencia",I1565&lt;&gt;"Pago tarjeta")),"",IF(IFERROR(INDEX(ctaMon,MATCH(G1565,ctaNom,0))&amp;"","DOP")=N1565,C1565,IF(N1565="USD",C1565*TasaUSD,C1565/TasaUSD)))</f>
        <v/>
      </c>
      <c r="V1565" s="20">
        <f>IF(I1565="","",IF(IFERROR(INDEX(ctaLiq,MATCH(E1565,ctaNom,0))="Sí",FALSE),IF(OR(I1565="Gasto",I1565="Transferencia",I1565="Pago tarjeta"),-1,1)*O1565,0)+IF(AND(U1565&lt;&gt;"",IFERROR(INDEX(ctaLiq,MATCH(G1565,ctaNom,0))="Sí",FALSE)),O1565,0))</f>
        <v/>
      </c>
      <c r="W1565" s="19">
        <f>IF(OR(F1565="",I1565=""),"",IF(COUNTIFS(F$6:F1565,F1565,I$6:I1565,"?*")=1,MAX(W$5:W1564)+1,""))</f>
        <v/>
      </c>
    </row>
    <row r="1566">
      <c r="B1566" s="15" t="n"/>
      <c r="C1566" s="16" t="n"/>
      <c r="D1566" s="17" t="n"/>
      <c r="E1566" s="17" t="n"/>
      <c r="F1566" s="17" t="n"/>
      <c r="G1566" s="17" t="n"/>
      <c r="H1566" s="18">
        <f>IF(AND(B1566="",C1566="",D1566="",E1566=""),"",IF(B1566="","⚠ Falta fecha",IF(C1566="","⚠ Falta monto",IF(D1566="","⚠ Falta categoría",IF(ISNA(MATCH(D1566,catNom,0)),"⚠ Categoría no existe",IF(E1566="","⚠ Falta cuenta",IF(ISNA(MATCH(E1566,ctaNom,0)),"⚠ Cuenta no existe",IF(AND(OR(I1566="Transferencia",I1566="Pago tarjeta"),G1566=""),"⚠ Indica la cuenta «Hacia»",IF(AND(G1566&lt;&gt;"",G1566=E1566),"⚠ «Hacia» igual a la cuenta",IF(AND(G1566&lt;&gt;"",ISNA(MATCH(G1566,ctaNom,0))),"⚠ «Hacia» no existe",IF(AND(I1566="Pago tarjeta",IFERROR(INDEX(ctaTipo,MATCH(G1566,ctaNom,0)),"")&lt;&gt;"Tarjeta de crédito"),"⚠ «Hacia» debe ser la tarjeta",IF(AND(I1566="Trading",IFERROR(INDEX(ctaTipo,MATCH(E1566,ctaNom,0)),"")&lt;&gt;"Cuenta de trading"),"⚠ Usa la cuenta de trading","✓"))))))))))))</f>
        <v/>
      </c>
      <c r="I1566" s="19">
        <f>IF(OR(B1566="",C1566="",D1566=""),"",IFERROR(INDEX(catTipo,MATCH(D1566,catNom,0))&amp;"",""))</f>
        <v/>
      </c>
      <c r="J1566" s="19">
        <f>IF(I1566="","",IFERROR(INDEX(catGrupo,MATCH(D1566,catNom,0))&amp;"",""))</f>
        <v/>
      </c>
      <c r="K1566" s="19">
        <f>IF(I1566="Gasto",IF(IFERROR(INDEX(catClas,MATCH(D1566,catNom,0))&amp;"","")="","Variable",IFERROR(INDEX(catClas,MATCH(D1566,catNom,0))&amp;"","")),"")</f>
        <v/>
      </c>
      <c r="L1566" s="19">
        <f>IF(I1566="","",IFERROR(INDEX(catAlim,MATCH(D1566,catNom,0))&amp;"",""))</f>
        <v/>
      </c>
      <c r="M1566" s="19">
        <f>IF(I1566="","",IFERROR(INDEX(catComida,MATCH(D1566,catNom,0))&amp;"",""))</f>
        <v/>
      </c>
      <c r="N1566" s="19">
        <f>IF(I1566="","",IFERROR(INDEX(ctaMon,MATCH(E1566,ctaNom,0))&amp;"","DOP"))</f>
        <v/>
      </c>
      <c r="O1566" s="20">
        <f>IF(I1566="","",C1566*IF(N1566="USD",TasaUSD,1))</f>
        <v/>
      </c>
      <c r="P1566" s="20">
        <f>IF(I1566="","",IF(I1566="Gasto",O1566,0))</f>
        <v/>
      </c>
      <c r="Q1566" s="20">
        <f>IF(I1566="","",IF(I1566="Ingreso",O1566,0))</f>
        <v/>
      </c>
      <c r="R1566" s="20">
        <f>IF(I1566="","",IF(I1566="Trading",O1566,0))</f>
        <v/>
      </c>
      <c r="S1566" s="19">
        <f>IF(I1566="","",IF(AND(I1566="Gasto",K1566="Variable",J1566&lt;&gt;"Trading",O1566&gt;0,O1566&lt;=Umbral),1,0))</f>
        <v/>
      </c>
      <c r="T1566" s="20">
        <f>IF(OR(I1566="",E1566=""),"",IF(OR(I1566="Gasto",I1566="Transferencia",I1566="Pago tarjeta"),-1,1)*C1566)</f>
        <v/>
      </c>
      <c r="U1566" s="20">
        <f>IF(OR(G1566="",AND(I1566&lt;&gt;"Transferencia",I1566&lt;&gt;"Pago tarjeta")),"",IF(IFERROR(INDEX(ctaMon,MATCH(G1566,ctaNom,0))&amp;"","DOP")=N1566,C1566,IF(N1566="USD",C1566*TasaUSD,C1566/TasaUSD)))</f>
        <v/>
      </c>
      <c r="V1566" s="20">
        <f>IF(I1566="","",IF(IFERROR(INDEX(ctaLiq,MATCH(E1566,ctaNom,0))="Sí",FALSE),IF(OR(I1566="Gasto",I1566="Transferencia",I1566="Pago tarjeta"),-1,1)*O1566,0)+IF(AND(U1566&lt;&gt;"",IFERROR(INDEX(ctaLiq,MATCH(G1566,ctaNom,0))="Sí",FALSE)),O1566,0))</f>
        <v/>
      </c>
      <c r="W1566" s="19">
        <f>IF(OR(F1566="",I1566=""),"",IF(COUNTIFS(F$6:F1566,F1566,I$6:I1566,"?*")=1,MAX(W$5:W1565)+1,""))</f>
        <v/>
      </c>
    </row>
    <row r="1567">
      <c r="B1567" s="15" t="n"/>
      <c r="C1567" s="16" t="n"/>
      <c r="D1567" s="17" t="n"/>
      <c r="E1567" s="17" t="n"/>
      <c r="F1567" s="17" t="n"/>
      <c r="G1567" s="17" t="n"/>
      <c r="H1567" s="18">
        <f>IF(AND(B1567="",C1567="",D1567="",E1567=""),"",IF(B1567="","⚠ Falta fecha",IF(C1567="","⚠ Falta monto",IF(D1567="","⚠ Falta categoría",IF(ISNA(MATCH(D1567,catNom,0)),"⚠ Categoría no existe",IF(E1567="","⚠ Falta cuenta",IF(ISNA(MATCH(E1567,ctaNom,0)),"⚠ Cuenta no existe",IF(AND(OR(I1567="Transferencia",I1567="Pago tarjeta"),G1567=""),"⚠ Indica la cuenta «Hacia»",IF(AND(G1567&lt;&gt;"",G1567=E1567),"⚠ «Hacia» igual a la cuenta",IF(AND(G1567&lt;&gt;"",ISNA(MATCH(G1567,ctaNom,0))),"⚠ «Hacia» no existe",IF(AND(I1567="Pago tarjeta",IFERROR(INDEX(ctaTipo,MATCH(G1567,ctaNom,0)),"")&lt;&gt;"Tarjeta de crédito"),"⚠ «Hacia» debe ser la tarjeta",IF(AND(I1567="Trading",IFERROR(INDEX(ctaTipo,MATCH(E1567,ctaNom,0)),"")&lt;&gt;"Cuenta de trading"),"⚠ Usa la cuenta de trading","✓"))))))))))))</f>
        <v/>
      </c>
      <c r="I1567" s="19">
        <f>IF(OR(B1567="",C1567="",D1567=""),"",IFERROR(INDEX(catTipo,MATCH(D1567,catNom,0))&amp;"",""))</f>
        <v/>
      </c>
      <c r="J1567" s="19">
        <f>IF(I1567="","",IFERROR(INDEX(catGrupo,MATCH(D1567,catNom,0))&amp;"",""))</f>
        <v/>
      </c>
      <c r="K1567" s="19">
        <f>IF(I1567="Gasto",IF(IFERROR(INDEX(catClas,MATCH(D1567,catNom,0))&amp;"","")="","Variable",IFERROR(INDEX(catClas,MATCH(D1567,catNom,0))&amp;"","")),"")</f>
        <v/>
      </c>
      <c r="L1567" s="19">
        <f>IF(I1567="","",IFERROR(INDEX(catAlim,MATCH(D1567,catNom,0))&amp;"",""))</f>
        <v/>
      </c>
      <c r="M1567" s="19">
        <f>IF(I1567="","",IFERROR(INDEX(catComida,MATCH(D1567,catNom,0))&amp;"",""))</f>
        <v/>
      </c>
      <c r="N1567" s="19">
        <f>IF(I1567="","",IFERROR(INDEX(ctaMon,MATCH(E1567,ctaNom,0))&amp;"","DOP"))</f>
        <v/>
      </c>
      <c r="O1567" s="20">
        <f>IF(I1567="","",C1567*IF(N1567="USD",TasaUSD,1))</f>
        <v/>
      </c>
      <c r="P1567" s="20">
        <f>IF(I1567="","",IF(I1567="Gasto",O1567,0))</f>
        <v/>
      </c>
      <c r="Q1567" s="20">
        <f>IF(I1567="","",IF(I1567="Ingreso",O1567,0))</f>
        <v/>
      </c>
      <c r="R1567" s="20">
        <f>IF(I1567="","",IF(I1567="Trading",O1567,0))</f>
        <v/>
      </c>
      <c r="S1567" s="19">
        <f>IF(I1567="","",IF(AND(I1567="Gasto",K1567="Variable",J1567&lt;&gt;"Trading",O1567&gt;0,O1567&lt;=Umbral),1,0))</f>
        <v/>
      </c>
      <c r="T1567" s="20">
        <f>IF(OR(I1567="",E1567=""),"",IF(OR(I1567="Gasto",I1567="Transferencia",I1567="Pago tarjeta"),-1,1)*C1567)</f>
        <v/>
      </c>
      <c r="U1567" s="20">
        <f>IF(OR(G1567="",AND(I1567&lt;&gt;"Transferencia",I1567&lt;&gt;"Pago tarjeta")),"",IF(IFERROR(INDEX(ctaMon,MATCH(G1567,ctaNom,0))&amp;"","DOP")=N1567,C1567,IF(N1567="USD",C1567*TasaUSD,C1567/TasaUSD)))</f>
        <v/>
      </c>
      <c r="V1567" s="20">
        <f>IF(I1567="","",IF(IFERROR(INDEX(ctaLiq,MATCH(E1567,ctaNom,0))="Sí",FALSE),IF(OR(I1567="Gasto",I1567="Transferencia",I1567="Pago tarjeta"),-1,1)*O1567,0)+IF(AND(U1567&lt;&gt;"",IFERROR(INDEX(ctaLiq,MATCH(G1567,ctaNom,0))="Sí",FALSE)),O1567,0))</f>
        <v/>
      </c>
      <c r="W1567" s="19">
        <f>IF(OR(F1567="",I1567=""),"",IF(COUNTIFS(F$6:F1567,F1567,I$6:I1567,"?*")=1,MAX(W$5:W1566)+1,""))</f>
        <v/>
      </c>
    </row>
    <row r="1568">
      <c r="B1568" s="15" t="n"/>
      <c r="C1568" s="16" t="n"/>
      <c r="D1568" s="17" t="n"/>
      <c r="E1568" s="17" t="n"/>
      <c r="F1568" s="17" t="n"/>
      <c r="G1568" s="17" t="n"/>
      <c r="H1568" s="18">
        <f>IF(AND(B1568="",C1568="",D1568="",E1568=""),"",IF(B1568="","⚠ Falta fecha",IF(C1568="","⚠ Falta monto",IF(D1568="","⚠ Falta categoría",IF(ISNA(MATCH(D1568,catNom,0)),"⚠ Categoría no existe",IF(E1568="","⚠ Falta cuenta",IF(ISNA(MATCH(E1568,ctaNom,0)),"⚠ Cuenta no existe",IF(AND(OR(I1568="Transferencia",I1568="Pago tarjeta"),G1568=""),"⚠ Indica la cuenta «Hacia»",IF(AND(G1568&lt;&gt;"",G1568=E1568),"⚠ «Hacia» igual a la cuenta",IF(AND(G1568&lt;&gt;"",ISNA(MATCH(G1568,ctaNom,0))),"⚠ «Hacia» no existe",IF(AND(I1568="Pago tarjeta",IFERROR(INDEX(ctaTipo,MATCH(G1568,ctaNom,0)),"")&lt;&gt;"Tarjeta de crédito"),"⚠ «Hacia» debe ser la tarjeta",IF(AND(I1568="Trading",IFERROR(INDEX(ctaTipo,MATCH(E1568,ctaNom,0)),"")&lt;&gt;"Cuenta de trading"),"⚠ Usa la cuenta de trading","✓"))))))))))))</f>
        <v/>
      </c>
      <c r="I1568" s="19">
        <f>IF(OR(B1568="",C1568="",D1568=""),"",IFERROR(INDEX(catTipo,MATCH(D1568,catNom,0))&amp;"",""))</f>
        <v/>
      </c>
      <c r="J1568" s="19">
        <f>IF(I1568="","",IFERROR(INDEX(catGrupo,MATCH(D1568,catNom,0))&amp;"",""))</f>
        <v/>
      </c>
      <c r="K1568" s="19">
        <f>IF(I1568="Gasto",IF(IFERROR(INDEX(catClas,MATCH(D1568,catNom,0))&amp;"","")="","Variable",IFERROR(INDEX(catClas,MATCH(D1568,catNom,0))&amp;"","")),"")</f>
        <v/>
      </c>
      <c r="L1568" s="19">
        <f>IF(I1568="","",IFERROR(INDEX(catAlim,MATCH(D1568,catNom,0))&amp;"",""))</f>
        <v/>
      </c>
      <c r="M1568" s="19">
        <f>IF(I1568="","",IFERROR(INDEX(catComida,MATCH(D1568,catNom,0))&amp;"",""))</f>
        <v/>
      </c>
      <c r="N1568" s="19">
        <f>IF(I1568="","",IFERROR(INDEX(ctaMon,MATCH(E1568,ctaNom,0))&amp;"","DOP"))</f>
        <v/>
      </c>
      <c r="O1568" s="20">
        <f>IF(I1568="","",C1568*IF(N1568="USD",TasaUSD,1))</f>
        <v/>
      </c>
      <c r="P1568" s="20">
        <f>IF(I1568="","",IF(I1568="Gasto",O1568,0))</f>
        <v/>
      </c>
      <c r="Q1568" s="20">
        <f>IF(I1568="","",IF(I1568="Ingreso",O1568,0))</f>
        <v/>
      </c>
      <c r="R1568" s="20">
        <f>IF(I1568="","",IF(I1568="Trading",O1568,0))</f>
        <v/>
      </c>
      <c r="S1568" s="19">
        <f>IF(I1568="","",IF(AND(I1568="Gasto",K1568="Variable",J1568&lt;&gt;"Trading",O1568&gt;0,O1568&lt;=Umbral),1,0))</f>
        <v/>
      </c>
      <c r="T1568" s="20">
        <f>IF(OR(I1568="",E1568=""),"",IF(OR(I1568="Gasto",I1568="Transferencia",I1568="Pago tarjeta"),-1,1)*C1568)</f>
        <v/>
      </c>
      <c r="U1568" s="20">
        <f>IF(OR(G1568="",AND(I1568&lt;&gt;"Transferencia",I1568&lt;&gt;"Pago tarjeta")),"",IF(IFERROR(INDEX(ctaMon,MATCH(G1568,ctaNom,0))&amp;"","DOP")=N1568,C1568,IF(N1568="USD",C1568*TasaUSD,C1568/TasaUSD)))</f>
        <v/>
      </c>
      <c r="V1568" s="20">
        <f>IF(I1568="","",IF(IFERROR(INDEX(ctaLiq,MATCH(E1568,ctaNom,0))="Sí",FALSE),IF(OR(I1568="Gasto",I1568="Transferencia",I1568="Pago tarjeta"),-1,1)*O1568,0)+IF(AND(U1568&lt;&gt;"",IFERROR(INDEX(ctaLiq,MATCH(G1568,ctaNom,0))="Sí",FALSE)),O1568,0))</f>
        <v/>
      </c>
      <c r="W1568" s="19">
        <f>IF(OR(F1568="",I1568=""),"",IF(COUNTIFS(F$6:F1568,F1568,I$6:I1568,"?*")=1,MAX(W$5:W1567)+1,""))</f>
        <v/>
      </c>
    </row>
    <row r="1569">
      <c r="B1569" s="15" t="n"/>
      <c r="C1569" s="16" t="n"/>
      <c r="D1569" s="17" t="n"/>
      <c r="E1569" s="17" t="n"/>
      <c r="F1569" s="17" t="n"/>
      <c r="G1569" s="17" t="n"/>
      <c r="H1569" s="18">
        <f>IF(AND(B1569="",C1569="",D1569="",E1569=""),"",IF(B1569="","⚠ Falta fecha",IF(C1569="","⚠ Falta monto",IF(D1569="","⚠ Falta categoría",IF(ISNA(MATCH(D1569,catNom,0)),"⚠ Categoría no existe",IF(E1569="","⚠ Falta cuenta",IF(ISNA(MATCH(E1569,ctaNom,0)),"⚠ Cuenta no existe",IF(AND(OR(I1569="Transferencia",I1569="Pago tarjeta"),G1569=""),"⚠ Indica la cuenta «Hacia»",IF(AND(G1569&lt;&gt;"",G1569=E1569),"⚠ «Hacia» igual a la cuenta",IF(AND(G1569&lt;&gt;"",ISNA(MATCH(G1569,ctaNom,0))),"⚠ «Hacia» no existe",IF(AND(I1569="Pago tarjeta",IFERROR(INDEX(ctaTipo,MATCH(G1569,ctaNom,0)),"")&lt;&gt;"Tarjeta de crédito"),"⚠ «Hacia» debe ser la tarjeta",IF(AND(I1569="Trading",IFERROR(INDEX(ctaTipo,MATCH(E1569,ctaNom,0)),"")&lt;&gt;"Cuenta de trading"),"⚠ Usa la cuenta de trading","✓"))))))))))))</f>
        <v/>
      </c>
      <c r="I1569" s="19">
        <f>IF(OR(B1569="",C1569="",D1569=""),"",IFERROR(INDEX(catTipo,MATCH(D1569,catNom,0))&amp;"",""))</f>
        <v/>
      </c>
      <c r="J1569" s="19">
        <f>IF(I1569="","",IFERROR(INDEX(catGrupo,MATCH(D1569,catNom,0))&amp;"",""))</f>
        <v/>
      </c>
      <c r="K1569" s="19">
        <f>IF(I1569="Gasto",IF(IFERROR(INDEX(catClas,MATCH(D1569,catNom,0))&amp;"","")="","Variable",IFERROR(INDEX(catClas,MATCH(D1569,catNom,0))&amp;"","")),"")</f>
        <v/>
      </c>
      <c r="L1569" s="19">
        <f>IF(I1569="","",IFERROR(INDEX(catAlim,MATCH(D1569,catNom,0))&amp;"",""))</f>
        <v/>
      </c>
      <c r="M1569" s="19">
        <f>IF(I1569="","",IFERROR(INDEX(catComida,MATCH(D1569,catNom,0))&amp;"",""))</f>
        <v/>
      </c>
      <c r="N1569" s="19">
        <f>IF(I1569="","",IFERROR(INDEX(ctaMon,MATCH(E1569,ctaNom,0))&amp;"","DOP"))</f>
        <v/>
      </c>
      <c r="O1569" s="20">
        <f>IF(I1569="","",C1569*IF(N1569="USD",TasaUSD,1))</f>
        <v/>
      </c>
      <c r="P1569" s="20">
        <f>IF(I1569="","",IF(I1569="Gasto",O1569,0))</f>
        <v/>
      </c>
      <c r="Q1569" s="20">
        <f>IF(I1569="","",IF(I1569="Ingreso",O1569,0))</f>
        <v/>
      </c>
      <c r="R1569" s="20">
        <f>IF(I1569="","",IF(I1569="Trading",O1569,0))</f>
        <v/>
      </c>
      <c r="S1569" s="19">
        <f>IF(I1569="","",IF(AND(I1569="Gasto",K1569="Variable",J1569&lt;&gt;"Trading",O1569&gt;0,O1569&lt;=Umbral),1,0))</f>
        <v/>
      </c>
      <c r="T1569" s="20">
        <f>IF(OR(I1569="",E1569=""),"",IF(OR(I1569="Gasto",I1569="Transferencia",I1569="Pago tarjeta"),-1,1)*C1569)</f>
        <v/>
      </c>
      <c r="U1569" s="20">
        <f>IF(OR(G1569="",AND(I1569&lt;&gt;"Transferencia",I1569&lt;&gt;"Pago tarjeta")),"",IF(IFERROR(INDEX(ctaMon,MATCH(G1569,ctaNom,0))&amp;"","DOP")=N1569,C1569,IF(N1569="USD",C1569*TasaUSD,C1569/TasaUSD)))</f>
        <v/>
      </c>
      <c r="V1569" s="20">
        <f>IF(I1569="","",IF(IFERROR(INDEX(ctaLiq,MATCH(E1569,ctaNom,0))="Sí",FALSE),IF(OR(I1569="Gasto",I1569="Transferencia",I1569="Pago tarjeta"),-1,1)*O1569,0)+IF(AND(U1569&lt;&gt;"",IFERROR(INDEX(ctaLiq,MATCH(G1569,ctaNom,0))="Sí",FALSE)),O1569,0))</f>
        <v/>
      </c>
      <c r="W1569" s="19">
        <f>IF(OR(F1569="",I1569=""),"",IF(COUNTIFS(F$6:F1569,F1569,I$6:I1569,"?*")=1,MAX(W$5:W1568)+1,""))</f>
        <v/>
      </c>
    </row>
    <row r="1570">
      <c r="B1570" s="15" t="n"/>
      <c r="C1570" s="16" t="n"/>
      <c r="D1570" s="17" t="n"/>
      <c r="E1570" s="17" t="n"/>
      <c r="F1570" s="17" t="n"/>
      <c r="G1570" s="17" t="n"/>
      <c r="H1570" s="18">
        <f>IF(AND(B1570="",C1570="",D1570="",E1570=""),"",IF(B1570="","⚠ Falta fecha",IF(C1570="","⚠ Falta monto",IF(D1570="","⚠ Falta categoría",IF(ISNA(MATCH(D1570,catNom,0)),"⚠ Categoría no existe",IF(E1570="","⚠ Falta cuenta",IF(ISNA(MATCH(E1570,ctaNom,0)),"⚠ Cuenta no existe",IF(AND(OR(I1570="Transferencia",I1570="Pago tarjeta"),G1570=""),"⚠ Indica la cuenta «Hacia»",IF(AND(G1570&lt;&gt;"",G1570=E1570),"⚠ «Hacia» igual a la cuenta",IF(AND(G1570&lt;&gt;"",ISNA(MATCH(G1570,ctaNom,0))),"⚠ «Hacia» no existe",IF(AND(I1570="Pago tarjeta",IFERROR(INDEX(ctaTipo,MATCH(G1570,ctaNom,0)),"")&lt;&gt;"Tarjeta de crédito"),"⚠ «Hacia» debe ser la tarjeta",IF(AND(I1570="Trading",IFERROR(INDEX(ctaTipo,MATCH(E1570,ctaNom,0)),"")&lt;&gt;"Cuenta de trading"),"⚠ Usa la cuenta de trading","✓"))))))))))))</f>
        <v/>
      </c>
      <c r="I1570" s="19">
        <f>IF(OR(B1570="",C1570="",D1570=""),"",IFERROR(INDEX(catTipo,MATCH(D1570,catNom,0))&amp;"",""))</f>
        <v/>
      </c>
      <c r="J1570" s="19">
        <f>IF(I1570="","",IFERROR(INDEX(catGrupo,MATCH(D1570,catNom,0))&amp;"",""))</f>
        <v/>
      </c>
      <c r="K1570" s="19">
        <f>IF(I1570="Gasto",IF(IFERROR(INDEX(catClas,MATCH(D1570,catNom,0))&amp;"","")="","Variable",IFERROR(INDEX(catClas,MATCH(D1570,catNom,0))&amp;"","")),"")</f>
        <v/>
      </c>
      <c r="L1570" s="19">
        <f>IF(I1570="","",IFERROR(INDEX(catAlim,MATCH(D1570,catNom,0))&amp;"",""))</f>
        <v/>
      </c>
      <c r="M1570" s="19">
        <f>IF(I1570="","",IFERROR(INDEX(catComida,MATCH(D1570,catNom,0))&amp;"",""))</f>
        <v/>
      </c>
      <c r="N1570" s="19">
        <f>IF(I1570="","",IFERROR(INDEX(ctaMon,MATCH(E1570,ctaNom,0))&amp;"","DOP"))</f>
        <v/>
      </c>
      <c r="O1570" s="20">
        <f>IF(I1570="","",C1570*IF(N1570="USD",TasaUSD,1))</f>
        <v/>
      </c>
      <c r="P1570" s="20">
        <f>IF(I1570="","",IF(I1570="Gasto",O1570,0))</f>
        <v/>
      </c>
      <c r="Q1570" s="20">
        <f>IF(I1570="","",IF(I1570="Ingreso",O1570,0))</f>
        <v/>
      </c>
      <c r="R1570" s="20">
        <f>IF(I1570="","",IF(I1570="Trading",O1570,0))</f>
        <v/>
      </c>
      <c r="S1570" s="19">
        <f>IF(I1570="","",IF(AND(I1570="Gasto",K1570="Variable",J1570&lt;&gt;"Trading",O1570&gt;0,O1570&lt;=Umbral),1,0))</f>
        <v/>
      </c>
      <c r="T1570" s="20">
        <f>IF(OR(I1570="",E1570=""),"",IF(OR(I1570="Gasto",I1570="Transferencia",I1570="Pago tarjeta"),-1,1)*C1570)</f>
        <v/>
      </c>
      <c r="U1570" s="20">
        <f>IF(OR(G1570="",AND(I1570&lt;&gt;"Transferencia",I1570&lt;&gt;"Pago tarjeta")),"",IF(IFERROR(INDEX(ctaMon,MATCH(G1570,ctaNom,0))&amp;"","DOP")=N1570,C1570,IF(N1570="USD",C1570*TasaUSD,C1570/TasaUSD)))</f>
        <v/>
      </c>
      <c r="V1570" s="20">
        <f>IF(I1570="","",IF(IFERROR(INDEX(ctaLiq,MATCH(E1570,ctaNom,0))="Sí",FALSE),IF(OR(I1570="Gasto",I1570="Transferencia",I1570="Pago tarjeta"),-1,1)*O1570,0)+IF(AND(U1570&lt;&gt;"",IFERROR(INDEX(ctaLiq,MATCH(G1570,ctaNom,0))="Sí",FALSE)),O1570,0))</f>
        <v/>
      </c>
      <c r="W1570" s="19">
        <f>IF(OR(F1570="",I1570=""),"",IF(COUNTIFS(F$6:F1570,F1570,I$6:I1570,"?*")=1,MAX(W$5:W1569)+1,""))</f>
        <v/>
      </c>
    </row>
    <row r="1571">
      <c r="B1571" s="15" t="n"/>
      <c r="C1571" s="16" t="n"/>
      <c r="D1571" s="17" t="n"/>
      <c r="E1571" s="17" t="n"/>
      <c r="F1571" s="17" t="n"/>
      <c r="G1571" s="17" t="n"/>
      <c r="H1571" s="18">
        <f>IF(AND(B1571="",C1571="",D1571="",E1571=""),"",IF(B1571="","⚠ Falta fecha",IF(C1571="","⚠ Falta monto",IF(D1571="","⚠ Falta categoría",IF(ISNA(MATCH(D1571,catNom,0)),"⚠ Categoría no existe",IF(E1571="","⚠ Falta cuenta",IF(ISNA(MATCH(E1571,ctaNom,0)),"⚠ Cuenta no existe",IF(AND(OR(I1571="Transferencia",I1571="Pago tarjeta"),G1571=""),"⚠ Indica la cuenta «Hacia»",IF(AND(G1571&lt;&gt;"",G1571=E1571),"⚠ «Hacia» igual a la cuenta",IF(AND(G1571&lt;&gt;"",ISNA(MATCH(G1571,ctaNom,0))),"⚠ «Hacia» no existe",IF(AND(I1571="Pago tarjeta",IFERROR(INDEX(ctaTipo,MATCH(G1571,ctaNom,0)),"")&lt;&gt;"Tarjeta de crédito"),"⚠ «Hacia» debe ser la tarjeta",IF(AND(I1571="Trading",IFERROR(INDEX(ctaTipo,MATCH(E1571,ctaNom,0)),"")&lt;&gt;"Cuenta de trading"),"⚠ Usa la cuenta de trading","✓"))))))))))))</f>
        <v/>
      </c>
      <c r="I1571" s="19">
        <f>IF(OR(B1571="",C1571="",D1571=""),"",IFERROR(INDEX(catTipo,MATCH(D1571,catNom,0))&amp;"",""))</f>
        <v/>
      </c>
      <c r="J1571" s="19">
        <f>IF(I1571="","",IFERROR(INDEX(catGrupo,MATCH(D1571,catNom,0))&amp;"",""))</f>
        <v/>
      </c>
      <c r="K1571" s="19">
        <f>IF(I1571="Gasto",IF(IFERROR(INDEX(catClas,MATCH(D1571,catNom,0))&amp;"","")="","Variable",IFERROR(INDEX(catClas,MATCH(D1571,catNom,0))&amp;"","")),"")</f>
        <v/>
      </c>
      <c r="L1571" s="19">
        <f>IF(I1571="","",IFERROR(INDEX(catAlim,MATCH(D1571,catNom,0))&amp;"",""))</f>
        <v/>
      </c>
      <c r="M1571" s="19">
        <f>IF(I1571="","",IFERROR(INDEX(catComida,MATCH(D1571,catNom,0))&amp;"",""))</f>
        <v/>
      </c>
      <c r="N1571" s="19">
        <f>IF(I1571="","",IFERROR(INDEX(ctaMon,MATCH(E1571,ctaNom,0))&amp;"","DOP"))</f>
        <v/>
      </c>
      <c r="O1571" s="20">
        <f>IF(I1571="","",C1571*IF(N1571="USD",TasaUSD,1))</f>
        <v/>
      </c>
      <c r="P1571" s="20">
        <f>IF(I1571="","",IF(I1571="Gasto",O1571,0))</f>
        <v/>
      </c>
      <c r="Q1571" s="20">
        <f>IF(I1571="","",IF(I1571="Ingreso",O1571,0))</f>
        <v/>
      </c>
      <c r="R1571" s="20">
        <f>IF(I1571="","",IF(I1571="Trading",O1571,0))</f>
        <v/>
      </c>
      <c r="S1571" s="19">
        <f>IF(I1571="","",IF(AND(I1571="Gasto",K1571="Variable",J1571&lt;&gt;"Trading",O1571&gt;0,O1571&lt;=Umbral),1,0))</f>
        <v/>
      </c>
      <c r="T1571" s="20">
        <f>IF(OR(I1571="",E1571=""),"",IF(OR(I1571="Gasto",I1571="Transferencia",I1571="Pago tarjeta"),-1,1)*C1571)</f>
        <v/>
      </c>
      <c r="U1571" s="20">
        <f>IF(OR(G1571="",AND(I1571&lt;&gt;"Transferencia",I1571&lt;&gt;"Pago tarjeta")),"",IF(IFERROR(INDEX(ctaMon,MATCH(G1571,ctaNom,0))&amp;"","DOP")=N1571,C1571,IF(N1571="USD",C1571*TasaUSD,C1571/TasaUSD)))</f>
        <v/>
      </c>
      <c r="V1571" s="20">
        <f>IF(I1571="","",IF(IFERROR(INDEX(ctaLiq,MATCH(E1571,ctaNom,0))="Sí",FALSE),IF(OR(I1571="Gasto",I1571="Transferencia",I1571="Pago tarjeta"),-1,1)*O1571,0)+IF(AND(U1571&lt;&gt;"",IFERROR(INDEX(ctaLiq,MATCH(G1571,ctaNom,0))="Sí",FALSE)),O1571,0))</f>
        <v/>
      </c>
      <c r="W1571" s="19">
        <f>IF(OR(F1571="",I1571=""),"",IF(COUNTIFS(F$6:F1571,F1571,I$6:I1571,"?*")=1,MAX(W$5:W1570)+1,""))</f>
        <v/>
      </c>
    </row>
    <row r="1572">
      <c r="B1572" s="15" t="n"/>
      <c r="C1572" s="16" t="n"/>
      <c r="D1572" s="17" t="n"/>
      <c r="E1572" s="17" t="n"/>
      <c r="F1572" s="17" t="n"/>
      <c r="G1572" s="17" t="n"/>
      <c r="H1572" s="18">
        <f>IF(AND(B1572="",C1572="",D1572="",E1572=""),"",IF(B1572="","⚠ Falta fecha",IF(C1572="","⚠ Falta monto",IF(D1572="","⚠ Falta categoría",IF(ISNA(MATCH(D1572,catNom,0)),"⚠ Categoría no existe",IF(E1572="","⚠ Falta cuenta",IF(ISNA(MATCH(E1572,ctaNom,0)),"⚠ Cuenta no existe",IF(AND(OR(I1572="Transferencia",I1572="Pago tarjeta"),G1572=""),"⚠ Indica la cuenta «Hacia»",IF(AND(G1572&lt;&gt;"",G1572=E1572),"⚠ «Hacia» igual a la cuenta",IF(AND(G1572&lt;&gt;"",ISNA(MATCH(G1572,ctaNom,0))),"⚠ «Hacia» no existe",IF(AND(I1572="Pago tarjeta",IFERROR(INDEX(ctaTipo,MATCH(G1572,ctaNom,0)),"")&lt;&gt;"Tarjeta de crédito"),"⚠ «Hacia» debe ser la tarjeta",IF(AND(I1572="Trading",IFERROR(INDEX(ctaTipo,MATCH(E1572,ctaNom,0)),"")&lt;&gt;"Cuenta de trading"),"⚠ Usa la cuenta de trading","✓"))))))))))))</f>
        <v/>
      </c>
      <c r="I1572" s="19">
        <f>IF(OR(B1572="",C1572="",D1572=""),"",IFERROR(INDEX(catTipo,MATCH(D1572,catNom,0))&amp;"",""))</f>
        <v/>
      </c>
      <c r="J1572" s="19">
        <f>IF(I1572="","",IFERROR(INDEX(catGrupo,MATCH(D1572,catNom,0))&amp;"",""))</f>
        <v/>
      </c>
      <c r="K1572" s="19">
        <f>IF(I1572="Gasto",IF(IFERROR(INDEX(catClas,MATCH(D1572,catNom,0))&amp;"","")="","Variable",IFERROR(INDEX(catClas,MATCH(D1572,catNom,0))&amp;"","")),"")</f>
        <v/>
      </c>
      <c r="L1572" s="19">
        <f>IF(I1572="","",IFERROR(INDEX(catAlim,MATCH(D1572,catNom,0))&amp;"",""))</f>
        <v/>
      </c>
      <c r="M1572" s="19">
        <f>IF(I1572="","",IFERROR(INDEX(catComida,MATCH(D1572,catNom,0))&amp;"",""))</f>
        <v/>
      </c>
      <c r="N1572" s="19">
        <f>IF(I1572="","",IFERROR(INDEX(ctaMon,MATCH(E1572,ctaNom,0))&amp;"","DOP"))</f>
        <v/>
      </c>
      <c r="O1572" s="20">
        <f>IF(I1572="","",C1572*IF(N1572="USD",TasaUSD,1))</f>
        <v/>
      </c>
      <c r="P1572" s="20">
        <f>IF(I1572="","",IF(I1572="Gasto",O1572,0))</f>
        <v/>
      </c>
      <c r="Q1572" s="20">
        <f>IF(I1572="","",IF(I1572="Ingreso",O1572,0))</f>
        <v/>
      </c>
      <c r="R1572" s="20">
        <f>IF(I1572="","",IF(I1572="Trading",O1572,0))</f>
        <v/>
      </c>
      <c r="S1572" s="19">
        <f>IF(I1572="","",IF(AND(I1572="Gasto",K1572="Variable",J1572&lt;&gt;"Trading",O1572&gt;0,O1572&lt;=Umbral),1,0))</f>
        <v/>
      </c>
      <c r="T1572" s="20">
        <f>IF(OR(I1572="",E1572=""),"",IF(OR(I1572="Gasto",I1572="Transferencia",I1572="Pago tarjeta"),-1,1)*C1572)</f>
        <v/>
      </c>
      <c r="U1572" s="20">
        <f>IF(OR(G1572="",AND(I1572&lt;&gt;"Transferencia",I1572&lt;&gt;"Pago tarjeta")),"",IF(IFERROR(INDEX(ctaMon,MATCH(G1572,ctaNom,0))&amp;"","DOP")=N1572,C1572,IF(N1572="USD",C1572*TasaUSD,C1572/TasaUSD)))</f>
        <v/>
      </c>
      <c r="V1572" s="20">
        <f>IF(I1572="","",IF(IFERROR(INDEX(ctaLiq,MATCH(E1572,ctaNom,0))="Sí",FALSE),IF(OR(I1572="Gasto",I1572="Transferencia",I1572="Pago tarjeta"),-1,1)*O1572,0)+IF(AND(U1572&lt;&gt;"",IFERROR(INDEX(ctaLiq,MATCH(G1572,ctaNom,0))="Sí",FALSE)),O1572,0))</f>
        <v/>
      </c>
      <c r="W1572" s="19">
        <f>IF(OR(F1572="",I1572=""),"",IF(COUNTIFS(F$6:F1572,F1572,I$6:I1572,"?*")=1,MAX(W$5:W1571)+1,""))</f>
        <v/>
      </c>
    </row>
    <row r="1573">
      <c r="B1573" s="15" t="n"/>
      <c r="C1573" s="16" t="n"/>
      <c r="D1573" s="17" t="n"/>
      <c r="E1573" s="17" t="n"/>
      <c r="F1573" s="17" t="n"/>
      <c r="G1573" s="17" t="n"/>
      <c r="H1573" s="18">
        <f>IF(AND(B1573="",C1573="",D1573="",E1573=""),"",IF(B1573="","⚠ Falta fecha",IF(C1573="","⚠ Falta monto",IF(D1573="","⚠ Falta categoría",IF(ISNA(MATCH(D1573,catNom,0)),"⚠ Categoría no existe",IF(E1573="","⚠ Falta cuenta",IF(ISNA(MATCH(E1573,ctaNom,0)),"⚠ Cuenta no existe",IF(AND(OR(I1573="Transferencia",I1573="Pago tarjeta"),G1573=""),"⚠ Indica la cuenta «Hacia»",IF(AND(G1573&lt;&gt;"",G1573=E1573),"⚠ «Hacia» igual a la cuenta",IF(AND(G1573&lt;&gt;"",ISNA(MATCH(G1573,ctaNom,0))),"⚠ «Hacia» no existe",IF(AND(I1573="Pago tarjeta",IFERROR(INDEX(ctaTipo,MATCH(G1573,ctaNom,0)),"")&lt;&gt;"Tarjeta de crédito"),"⚠ «Hacia» debe ser la tarjeta",IF(AND(I1573="Trading",IFERROR(INDEX(ctaTipo,MATCH(E1573,ctaNom,0)),"")&lt;&gt;"Cuenta de trading"),"⚠ Usa la cuenta de trading","✓"))))))))))))</f>
        <v/>
      </c>
      <c r="I1573" s="19">
        <f>IF(OR(B1573="",C1573="",D1573=""),"",IFERROR(INDEX(catTipo,MATCH(D1573,catNom,0))&amp;"",""))</f>
        <v/>
      </c>
      <c r="J1573" s="19">
        <f>IF(I1573="","",IFERROR(INDEX(catGrupo,MATCH(D1573,catNom,0))&amp;"",""))</f>
        <v/>
      </c>
      <c r="K1573" s="19">
        <f>IF(I1573="Gasto",IF(IFERROR(INDEX(catClas,MATCH(D1573,catNom,0))&amp;"","")="","Variable",IFERROR(INDEX(catClas,MATCH(D1573,catNom,0))&amp;"","")),"")</f>
        <v/>
      </c>
      <c r="L1573" s="19">
        <f>IF(I1573="","",IFERROR(INDEX(catAlim,MATCH(D1573,catNom,0))&amp;"",""))</f>
        <v/>
      </c>
      <c r="M1573" s="19">
        <f>IF(I1573="","",IFERROR(INDEX(catComida,MATCH(D1573,catNom,0))&amp;"",""))</f>
        <v/>
      </c>
      <c r="N1573" s="19">
        <f>IF(I1573="","",IFERROR(INDEX(ctaMon,MATCH(E1573,ctaNom,0))&amp;"","DOP"))</f>
        <v/>
      </c>
      <c r="O1573" s="20">
        <f>IF(I1573="","",C1573*IF(N1573="USD",TasaUSD,1))</f>
        <v/>
      </c>
      <c r="P1573" s="20">
        <f>IF(I1573="","",IF(I1573="Gasto",O1573,0))</f>
        <v/>
      </c>
      <c r="Q1573" s="20">
        <f>IF(I1573="","",IF(I1573="Ingreso",O1573,0))</f>
        <v/>
      </c>
      <c r="R1573" s="20">
        <f>IF(I1573="","",IF(I1573="Trading",O1573,0))</f>
        <v/>
      </c>
      <c r="S1573" s="19">
        <f>IF(I1573="","",IF(AND(I1573="Gasto",K1573="Variable",J1573&lt;&gt;"Trading",O1573&gt;0,O1573&lt;=Umbral),1,0))</f>
        <v/>
      </c>
      <c r="T1573" s="20">
        <f>IF(OR(I1573="",E1573=""),"",IF(OR(I1573="Gasto",I1573="Transferencia",I1573="Pago tarjeta"),-1,1)*C1573)</f>
        <v/>
      </c>
      <c r="U1573" s="20">
        <f>IF(OR(G1573="",AND(I1573&lt;&gt;"Transferencia",I1573&lt;&gt;"Pago tarjeta")),"",IF(IFERROR(INDEX(ctaMon,MATCH(G1573,ctaNom,0))&amp;"","DOP")=N1573,C1573,IF(N1573="USD",C1573*TasaUSD,C1573/TasaUSD)))</f>
        <v/>
      </c>
      <c r="V1573" s="20">
        <f>IF(I1573="","",IF(IFERROR(INDEX(ctaLiq,MATCH(E1573,ctaNom,0))="Sí",FALSE),IF(OR(I1573="Gasto",I1573="Transferencia",I1573="Pago tarjeta"),-1,1)*O1573,0)+IF(AND(U1573&lt;&gt;"",IFERROR(INDEX(ctaLiq,MATCH(G1573,ctaNom,0))="Sí",FALSE)),O1573,0))</f>
        <v/>
      </c>
      <c r="W1573" s="19">
        <f>IF(OR(F1573="",I1573=""),"",IF(COUNTIFS(F$6:F1573,F1573,I$6:I1573,"?*")=1,MAX(W$5:W1572)+1,""))</f>
        <v/>
      </c>
    </row>
    <row r="1574">
      <c r="B1574" s="15" t="n"/>
      <c r="C1574" s="16" t="n"/>
      <c r="D1574" s="17" t="n"/>
      <c r="E1574" s="17" t="n"/>
      <c r="F1574" s="17" t="n"/>
      <c r="G1574" s="17" t="n"/>
      <c r="H1574" s="18">
        <f>IF(AND(B1574="",C1574="",D1574="",E1574=""),"",IF(B1574="","⚠ Falta fecha",IF(C1574="","⚠ Falta monto",IF(D1574="","⚠ Falta categoría",IF(ISNA(MATCH(D1574,catNom,0)),"⚠ Categoría no existe",IF(E1574="","⚠ Falta cuenta",IF(ISNA(MATCH(E1574,ctaNom,0)),"⚠ Cuenta no existe",IF(AND(OR(I1574="Transferencia",I1574="Pago tarjeta"),G1574=""),"⚠ Indica la cuenta «Hacia»",IF(AND(G1574&lt;&gt;"",G1574=E1574),"⚠ «Hacia» igual a la cuenta",IF(AND(G1574&lt;&gt;"",ISNA(MATCH(G1574,ctaNom,0))),"⚠ «Hacia» no existe",IF(AND(I1574="Pago tarjeta",IFERROR(INDEX(ctaTipo,MATCH(G1574,ctaNom,0)),"")&lt;&gt;"Tarjeta de crédito"),"⚠ «Hacia» debe ser la tarjeta",IF(AND(I1574="Trading",IFERROR(INDEX(ctaTipo,MATCH(E1574,ctaNom,0)),"")&lt;&gt;"Cuenta de trading"),"⚠ Usa la cuenta de trading","✓"))))))))))))</f>
        <v/>
      </c>
      <c r="I1574" s="19">
        <f>IF(OR(B1574="",C1574="",D1574=""),"",IFERROR(INDEX(catTipo,MATCH(D1574,catNom,0))&amp;"",""))</f>
        <v/>
      </c>
      <c r="J1574" s="19">
        <f>IF(I1574="","",IFERROR(INDEX(catGrupo,MATCH(D1574,catNom,0))&amp;"",""))</f>
        <v/>
      </c>
      <c r="K1574" s="19">
        <f>IF(I1574="Gasto",IF(IFERROR(INDEX(catClas,MATCH(D1574,catNom,0))&amp;"","")="","Variable",IFERROR(INDEX(catClas,MATCH(D1574,catNom,0))&amp;"","")),"")</f>
        <v/>
      </c>
      <c r="L1574" s="19">
        <f>IF(I1574="","",IFERROR(INDEX(catAlim,MATCH(D1574,catNom,0))&amp;"",""))</f>
        <v/>
      </c>
      <c r="M1574" s="19">
        <f>IF(I1574="","",IFERROR(INDEX(catComida,MATCH(D1574,catNom,0))&amp;"",""))</f>
        <v/>
      </c>
      <c r="N1574" s="19">
        <f>IF(I1574="","",IFERROR(INDEX(ctaMon,MATCH(E1574,ctaNom,0))&amp;"","DOP"))</f>
        <v/>
      </c>
      <c r="O1574" s="20">
        <f>IF(I1574="","",C1574*IF(N1574="USD",TasaUSD,1))</f>
        <v/>
      </c>
      <c r="P1574" s="20">
        <f>IF(I1574="","",IF(I1574="Gasto",O1574,0))</f>
        <v/>
      </c>
      <c r="Q1574" s="20">
        <f>IF(I1574="","",IF(I1574="Ingreso",O1574,0))</f>
        <v/>
      </c>
      <c r="R1574" s="20">
        <f>IF(I1574="","",IF(I1574="Trading",O1574,0))</f>
        <v/>
      </c>
      <c r="S1574" s="19">
        <f>IF(I1574="","",IF(AND(I1574="Gasto",K1574="Variable",J1574&lt;&gt;"Trading",O1574&gt;0,O1574&lt;=Umbral),1,0))</f>
        <v/>
      </c>
      <c r="T1574" s="20">
        <f>IF(OR(I1574="",E1574=""),"",IF(OR(I1574="Gasto",I1574="Transferencia",I1574="Pago tarjeta"),-1,1)*C1574)</f>
        <v/>
      </c>
      <c r="U1574" s="20">
        <f>IF(OR(G1574="",AND(I1574&lt;&gt;"Transferencia",I1574&lt;&gt;"Pago tarjeta")),"",IF(IFERROR(INDEX(ctaMon,MATCH(G1574,ctaNom,0))&amp;"","DOP")=N1574,C1574,IF(N1574="USD",C1574*TasaUSD,C1574/TasaUSD)))</f>
        <v/>
      </c>
      <c r="V1574" s="20">
        <f>IF(I1574="","",IF(IFERROR(INDEX(ctaLiq,MATCH(E1574,ctaNom,0))="Sí",FALSE),IF(OR(I1574="Gasto",I1574="Transferencia",I1574="Pago tarjeta"),-1,1)*O1574,0)+IF(AND(U1574&lt;&gt;"",IFERROR(INDEX(ctaLiq,MATCH(G1574,ctaNom,0))="Sí",FALSE)),O1574,0))</f>
        <v/>
      </c>
      <c r="W1574" s="19">
        <f>IF(OR(F1574="",I1574=""),"",IF(COUNTIFS(F$6:F1574,F1574,I$6:I1574,"?*")=1,MAX(W$5:W1573)+1,""))</f>
        <v/>
      </c>
    </row>
    <row r="1575">
      <c r="B1575" s="15" t="n"/>
      <c r="C1575" s="16" t="n"/>
      <c r="D1575" s="17" t="n"/>
      <c r="E1575" s="17" t="n"/>
      <c r="F1575" s="17" t="n"/>
      <c r="G1575" s="17" t="n"/>
      <c r="H1575" s="18">
        <f>IF(AND(B1575="",C1575="",D1575="",E1575=""),"",IF(B1575="","⚠ Falta fecha",IF(C1575="","⚠ Falta monto",IF(D1575="","⚠ Falta categoría",IF(ISNA(MATCH(D1575,catNom,0)),"⚠ Categoría no existe",IF(E1575="","⚠ Falta cuenta",IF(ISNA(MATCH(E1575,ctaNom,0)),"⚠ Cuenta no existe",IF(AND(OR(I1575="Transferencia",I1575="Pago tarjeta"),G1575=""),"⚠ Indica la cuenta «Hacia»",IF(AND(G1575&lt;&gt;"",G1575=E1575),"⚠ «Hacia» igual a la cuenta",IF(AND(G1575&lt;&gt;"",ISNA(MATCH(G1575,ctaNom,0))),"⚠ «Hacia» no existe",IF(AND(I1575="Pago tarjeta",IFERROR(INDEX(ctaTipo,MATCH(G1575,ctaNom,0)),"")&lt;&gt;"Tarjeta de crédito"),"⚠ «Hacia» debe ser la tarjeta",IF(AND(I1575="Trading",IFERROR(INDEX(ctaTipo,MATCH(E1575,ctaNom,0)),"")&lt;&gt;"Cuenta de trading"),"⚠ Usa la cuenta de trading","✓"))))))))))))</f>
        <v/>
      </c>
      <c r="I1575" s="19">
        <f>IF(OR(B1575="",C1575="",D1575=""),"",IFERROR(INDEX(catTipo,MATCH(D1575,catNom,0))&amp;"",""))</f>
        <v/>
      </c>
      <c r="J1575" s="19">
        <f>IF(I1575="","",IFERROR(INDEX(catGrupo,MATCH(D1575,catNom,0))&amp;"",""))</f>
        <v/>
      </c>
      <c r="K1575" s="19">
        <f>IF(I1575="Gasto",IF(IFERROR(INDEX(catClas,MATCH(D1575,catNom,0))&amp;"","")="","Variable",IFERROR(INDEX(catClas,MATCH(D1575,catNom,0))&amp;"","")),"")</f>
        <v/>
      </c>
      <c r="L1575" s="19">
        <f>IF(I1575="","",IFERROR(INDEX(catAlim,MATCH(D1575,catNom,0))&amp;"",""))</f>
        <v/>
      </c>
      <c r="M1575" s="19">
        <f>IF(I1575="","",IFERROR(INDEX(catComida,MATCH(D1575,catNom,0))&amp;"",""))</f>
        <v/>
      </c>
      <c r="N1575" s="19">
        <f>IF(I1575="","",IFERROR(INDEX(ctaMon,MATCH(E1575,ctaNom,0))&amp;"","DOP"))</f>
        <v/>
      </c>
      <c r="O1575" s="20">
        <f>IF(I1575="","",C1575*IF(N1575="USD",TasaUSD,1))</f>
        <v/>
      </c>
      <c r="P1575" s="20">
        <f>IF(I1575="","",IF(I1575="Gasto",O1575,0))</f>
        <v/>
      </c>
      <c r="Q1575" s="20">
        <f>IF(I1575="","",IF(I1575="Ingreso",O1575,0))</f>
        <v/>
      </c>
      <c r="R1575" s="20">
        <f>IF(I1575="","",IF(I1575="Trading",O1575,0))</f>
        <v/>
      </c>
      <c r="S1575" s="19">
        <f>IF(I1575="","",IF(AND(I1575="Gasto",K1575="Variable",J1575&lt;&gt;"Trading",O1575&gt;0,O1575&lt;=Umbral),1,0))</f>
        <v/>
      </c>
      <c r="T1575" s="20">
        <f>IF(OR(I1575="",E1575=""),"",IF(OR(I1575="Gasto",I1575="Transferencia",I1575="Pago tarjeta"),-1,1)*C1575)</f>
        <v/>
      </c>
      <c r="U1575" s="20">
        <f>IF(OR(G1575="",AND(I1575&lt;&gt;"Transferencia",I1575&lt;&gt;"Pago tarjeta")),"",IF(IFERROR(INDEX(ctaMon,MATCH(G1575,ctaNom,0))&amp;"","DOP")=N1575,C1575,IF(N1575="USD",C1575*TasaUSD,C1575/TasaUSD)))</f>
        <v/>
      </c>
      <c r="V1575" s="20">
        <f>IF(I1575="","",IF(IFERROR(INDEX(ctaLiq,MATCH(E1575,ctaNom,0))="Sí",FALSE),IF(OR(I1575="Gasto",I1575="Transferencia",I1575="Pago tarjeta"),-1,1)*O1575,0)+IF(AND(U1575&lt;&gt;"",IFERROR(INDEX(ctaLiq,MATCH(G1575,ctaNom,0))="Sí",FALSE)),O1575,0))</f>
        <v/>
      </c>
      <c r="W1575" s="19">
        <f>IF(OR(F1575="",I1575=""),"",IF(COUNTIFS(F$6:F1575,F1575,I$6:I1575,"?*")=1,MAX(W$5:W1574)+1,""))</f>
        <v/>
      </c>
    </row>
    <row r="1576">
      <c r="B1576" s="15" t="n"/>
      <c r="C1576" s="16" t="n"/>
      <c r="D1576" s="17" t="n"/>
      <c r="E1576" s="17" t="n"/>
      <c r="F1576" s="17" t="n"/>
      <c r="G1576" s="17" t="n"/>
      <c r="H1576" s="18">
        <f>IF(AND(B1576="",C1576="",D1576="",E1576=""),"",IF(B1576="","⚠ Falta fecha",IF(C1576="","⚠ Falta monto",IF(D1576="","⚠ Falta categoría",IF(ISNA(MATCH(D1576,catNom,0)),"⚠ Categoría no existe",IF(E1576="","⚠ Falta cuenta",IF(ISNA(MATCH(E1576,ctaNom,0)),"⚠ Cuenta no existe",IF(AND(OR(I1576="Transferencia",I1576="Pago tarjeta"),G1576=""),"⚠ Indica la cuenta «Hacia»",IF(AND(G1576&lt;&gt;"",G1576=E1576),"⚠ «Hacia» igual a la cuenta",IF(AND(G1576&lt;&gt;"",ISNA(MATCH(G1576,ctaNom,0))),"⚠ «Hacia» no existe",IF(AND(I1576="Pago tarjeta",IFERROR(INDEX(ctaTipo,MATCH(G1576,ctaNom,0)),"")&lt;&gt;"Tarjeta de crédito"),"⚠ «Hacia» debe ser la tarjeta",IF(AND(I1576="Trading",IFERROR(INDEX(ctaTipo,MATCH(E1576,ctaNom,0)),"")&lt;&gt;"Cuenta de trading"),"⚠ Usa la cuenta de trading","✓"))))))))))))</f>
        <v/>
      </c>
      <c r="I1576" s="19">
        <f>IF(OR(B1576="",C1576="",D1576=""),"",IFERROR(INDEX(catTipo,MATCH(D1576,catNom,0))&amp;"",""))</f>
        <v/>
      </c>
      <c r="J1576" s="19">
        <f>IF(I1576="","",IFERROR(INDEX(catGrupo,MATCH(D1576,catNom,0))&amp;"",""))</f>
        <v/>
      </c>
      <c r="K1576" s="19">
        <f>IF(I1576="Gasto",IF(IFERROR(INDEX(catClas,MATCH(D1576,catNom,0))&amp;"","")="","Variable",IFERROR(INDEX(catClas,MATCH(D1576,catNom,0))&amp;"","")),"")</f>
        <v/>
      </c>
      <c r="L1576" s="19">
        <f>IF(I1576="","",IFERROR(INDEX(catAlim,MATCH(D1576,catNom,0))&amp;"",""))</f>
        <v/>
      </c>
      <c r="M1576" s="19">
        <f>IF(I1576="","",IFERROR(INDEX(catComida,MATCH(D1576,catNom,0))&amp;"",""))</f>
        <v/>
      </c>
      <c r="N1576" s="19">
        <f>IF(I1576="","",IFERROR(INDEX(ctaMon,MATCH(E1576,ctaNom,0))&amp;"","DOP"))</f>
        <v/>
      </c>
      <c r="O1576" s="20">
        <f>IF(I1576="","",C1576*IF(N1576="USD",TasaUSD,1))</f>
        <v/>
      </c>
      <c r="P1576" s="20">
        <f>IF(I1576="","",IF(I1576="Gasto",O1576,0))</f>
        <v/>
      </c>
      <c r="Q1576" s="20">
        <f>IF(I1576="","",IF(I1576="Ingreso",O1576,0))</f>
        <v/>
      </c>
      <c r="R1576" s="20">
        <f>IF(I1576="","",IF(I1576="Trading",O1576,0))</f>
        <v/>
      </c>
      <c r="S1576" s="19">
        <f>IF(I1576="","",IF(AND(I1576="Gasto",K1576="Variable",J1576&lt;&gt;"Trading",O1576&gt;0,O1576&lt;=Umbral),1,0))</f>
        <v/>
      </c>
      <c r="T1576" s="20">
        <f>IF(OR(I1576="",E1576=""),"",IF(OR(I1576="Gasto",I1576="Transferencia",I1576="Pago tarjeta"),-1,1)*C1576)</f>
        <v/>
      </c>
      <c r="U1576" s="20">
        <f>IF(OR(G1576="",AND(I1576&lt;&gt;"Transferencia",I1576&lt;&gt;"Pago tarjeta")),"",IF(IFERROR(INDEX(ctaMon,MATCH(G1576,ctaNom,0))&amp;"","DOP")=N1576,C1576,IF(N1576="USD",C1576*TasaUSD,C1576/TasaUSD)))</f>
        <v/>
      </c>
      <c r="V1576" s="20">
        <f>IF(I1576="","",IF(IFERROR(INDEX(ctaLiq,MATCH(E1576,ctaNom,0))="Sí",FALSE),IF(OR(I1576="Gasto",I1576="Transferencia",I1576="Pago tarjeta"),-1,1)*O1576,0)+IF(AND(U1576&lt;&gt;"",IFERROR(INDEX(ctaLiq,MATCH(G1576,ctaNom,0))="Sí",FALSE)),O1576,0))</f>
        <v/>
      </c>
      <c r="W1576" s="19">
        <f>IF(OR(F1576="",I1576=""),"",IF(COUNTIFS(F$6:F1576,F1576,I$6:I1576,"?*")=1,MAX(W$5:W1575)+1,""))</f>
        <v/>
      </c>
    </row>
    <row r="1577">
      <c r="B1577" s="15" t="n"/>
      <c r="C1577" s="16" t="n"/>
      <c r="D1577" s="17" t="n"/>
      <c r="E1577" s="17" t="n"/>
      <c r="F1577" s="17" t="n"/>
      <c r="G1577" s="17" t="n"/>
      <c r="H1577" s="18">
        <f>IF(AND(B1577="",C1577="",D1577="",E1577=""),"",IF(B1577="","⚠ Falta fecha",IF(C1577="","⚠ Falta monto",IF(D1577="","⚠ Falta categoría",IF(ISNA(MATCH(D1577,catNom,0)),"⚠ Categoría no existe",IF(E1577="","⚠ Falta cuenta",IF(ISNA(MATCH(E1577,ctaNom,0)),"⚠ Cuenta no existe",IF(AND(OR(I1577="Transferencia",I1577="Pago tarjeta"),G1577=""),"⚠ Indica la cuenta «Hacia»",IF(AND(G1577&lt;&gt;"",G1577=E1577),"⚠ «Hacia» igual a la cuenta",IF(AND(G1577&lt;&gt;"",ISNA(MATCH(G1577,ctaNom,0))),"⚠ «Hacia» no existe",IF(AND(I1577="Pago tarjeta",IFERROR(INDEX(ctaTipo,MATCH(G1577,ctaNom,0)),"")&lt;&gt;"Tarjeta de crédito"),"⚠ «Hacia» debe ser la tarjeta",IF(AND(I1577="Trading",IFERROR(INDEX(ctaTipo,MATCH(E1577,ctaNom,0)),"")&lt;&gt;"Cuenta de trading"),"⚠ Usa la cuenta de trading","✓"))))))))))))</f>
        <v/>
      </c>
      <c r="I1577" s="19">
        <f>IF(OR(B1577="",C1577="",D1577=""),"",IFERROR(INDEX(catTipo,MATCH(D1577,catNom,0))&amp;"",""))</f>
        <v/>
      </c>
      <c r="J1577" s="19">
        <f>IF(I1577="","",IFERROR(INDEX(catGrupo,MATCH(D1577,catNom,0))&amp;"",""))</f>
        <v/>
      </c>
      <c r="K1577" s="19">
        <f>IF(I1577="Gasto",IF(IFERROR(INDEX(catClas,MATCH(D1577,catNom,0))&amp;"","")="","Variable",IFERROR(INDEX(catClas,MATCH(D1577,catNom,0))&amp;"","")),"")</f>
        <v/>
      </c>
      <c r="L1577" s="19">
        <f>IF(I1577="","",IFERROR(INDEX(catAlim,MATCH(D1577,catNom,0))&amp;"",""))</f>
        <v/>
      </c>
      <c r="M1577" s="19">
        <f>IF(I1577="","",IFERROR(INDEX(catComida,MATCH(D1577,catNom,0))&amp;"",""))</f>
        <v/>
      </c>
      <c r="N1577" s="19">
        <f>IF(I1577="","",IFERROR(INDEX(ctaMon,MATCH(E1577,ctaNom,0))&amp;"","DOP"))</f>
        <v/>
      </c>
      <c r="O1577" s="20">
        <f>IF(I1577="","",C1577*IF(N1577="USD",TasaUSD,1))</f>
        <v/>
      </c>
      <c r="P1577" s="20">
        <f>IF(I1577="","",IF(I1577="Gasto",O1577,0))</f>
        <v/>
      </c>
      <c r="Q1577" s="20">
        <f>IF(I1577="","",IF(I1577="Ingreso",O1577,0))</f>
        <v/>
      </c>
      <c r="R1577" s="20">
        <f>IF(I1577="","",IF(I1577="Trading",O1577,0))</f>
        <v/>
      </c>
      <c r="S1577" s="19">
        <f>IF(I1577="","",IF(AND(I1577="Gasto",K1577="Variable",J1577&lt;&gt;"Trading",O1577&gt;0,O1577&lt;=Umbral),1,0))</f>
        <v/>
      </c>
      <c r="T1577" s="20">
        <f>IF(OR(I1577="",E1577=""),"",IF(OR(I1577="Gasto",I1577="Transferencia",I1577="Pago tarjeta"),-1,1)*C1577)</f>
        <v/>
      </c>
      <c r="U1577" s="20">
        <f>IF(OR(G1577="",AND(I1577&lt;&gt;"Transferencia",I1577&lt;&gt;"Pago tarjeta")),"",IF(IFERROR(INDEX(ctaMon,MATCH(G1577,ctaNom,0))&amp;"","DOP")=N1577,C1577,IF(N1577="USD",C1577*TasaUSD,C1577/TasaUSD)))</f>
        <v/>
      </c>
      <c r="V1577" s="20">
        <f>IF(I1577="","",IF(IFERROR(INDEX(ctaLiq,MATCH(E1577,ctaNom,0))="Sí",FALSE),IF(OR(I1577="Gasto",I1577="Transferencia",I1577="Pago tarjeta"),-1,1)*O1577,0)+IF(AND(U1577&lt;&gt;"",IFERROR(INDEX(ctaLiq,MATCH(G1577,ctaNom,0))="Sí",FALSE)),O1577,0))</f>
        <v/>
      </c>
      <c r="W1577" s="19">
        <f>IF(OR(F1577="",I1577=""),"",IF(COUNTIFS(F$6:F1577,F1577,I$6:I1577,"?*")=1,MAX(W$5:W1576)+1,""))</f>
        <v/>
      </c>
    </row>
    <row r="1578">
      <c r="B1578" s="15" t="n"/>
      <c r="C1578" s="16" t="n"/>
      <c r="D1578" s="17" t="n"/>
      <c r="E1578" s="17" t="n"/>
      <c r="F1578" s="17" t="n"/>
      <c r="G1578" s="17" t="n"/>
      <c r="H1578" s="18">
        <f>IF(AND(B1578="",C1578="",D1578="",E1578=""),"",IF(B1578="","⚠ Falta fecha",IF(C1578="","⚠ Falta monto",IF(D1578="","⚠ Falta categoría",IF(ISNA(MATCH(D1578,catNom,0)),"⚠ Categoría no existe",IF(E1578="","⚠ Falta cuenta",IF(ISNA(MATCH(E1578,ctaNom,0)),"⚠ Cuenta no existe",IF(AND(OR(I1578="Transferencia",I1578="Pago tarjeta"),G1578=""),"⚠ Indica la cuenta «Hacia»",IF(AND(G1578&lt;&gt;"",G1578=E1578),"⚠ «Hacia» igual a la cuenta",IF(AND(G1578&lt;&gt;"",ISNA(MATCH(G1578,ctaNom,0))),"⚠ «Hacia» no existe",IF(AND(I1578="Pago tarjeta",IFERROR(INDEX(ctaTipo,MATCH(G1578,ctaNom,0)),"")&lt;&gt;"Tarjeta de crédito"),"⚠ «Hacia» debe ser la tarjeta",IF(AND(I1578="Trading",IFERROR(INDEX(ctaTipo,MATCH(E1578,ctaNom,0)),"")&lt;&gt;"Cuenta de trading"),"⚠ Usa la cuenta de trading","✓"))))))))))))</f>
        <v/>
      </c>
      <c r="I1578" s="19">
        <f>IF(OR(B1578="",C1578="",D1578=""),"",IFERROR(INDEX(catTipo,MATCH(D1578,catNom,0))&amp;"",""))</f>
        <v/>
      </c>
      <c r="J1578" s="19">
        <f>IF(I1578="","",IFERROR(INDEX(catGrupo,MATCH(D1578,catNom,0))&amp;"",""))</f>
        <v/>
      </c>
      <c r="K1578" s="19">
        <f>IF(I1578="Gasto",IF(IFERROR(INDEX(catClas,MATCH(D1578,catNom,0))&amp;"","")="","Variable",IFERROR(INDEX(catClas,MATCH(D1578,catNom,0))&amp;"","")),"")</f>
        <v/>
      </c>
      <c r="L1578" s="19">
        <f>IF(I1578="","",IFERROR(INDEX(catAlim,MATCH(D1578,catNom,0))&amp;"",""))</f>
        <v/>
      </c>
      <c r="M1578" s="19">
        <f>IF(I1578="","",IFERROR(INDEX(catComida,MATCH(D1578,catNom,0))&amp;"",""))</f>
        <v/>
      </c>
      <c r="N1578" s="19">
        <f>IF(I1578="","",IFERROR(INDEX(ctaMon,MATCH(E1578,ctaNom,0))&amp;"","DOP"))</f>
        <v/>
      </c>
      <c r="O1578" s="20">
        <f>IF(I1578="","",C1578*IF(N1578="USD",TasaUSD,1))</f>
        <v/>
      </c>
      <c r="P1578" s="20">
        <f>IF(I1578="","",IF(I1578="Gasto",O1578,0))</f>
        <v/>
      </c>
      <c r="Q1578" s="20">
        <f>IF(I1578="","",IF(I1578="Ingreso",O1578,0))</f>
        <v/>
      </c>
      <c r="R1578" s="20">
        <f>IF(I1578="","",IF(I1578="Trading",O1578,0))</f>
        <v/>
      </c>
      <c r="S1578" s="19">
        <f>IF(I1578="","",IF(AND(I1578="Gasto",K1578="Variable",J1578&lt;&gt;"Trading",O1578&gt;0,O1578&lt;=Umbral),1,0))</f>
        <v/>
      </c>
      <c r="T1578" s="20">
        <f>IF(OR(I1578="",E1578=""),"",IF(OR(I1578="Gasto",I1578="Transferencia",I1578="Pago tarjeta"),-1,1)*C1578)</f>
        <v/>
      </c>
      <c r="U1578" s="20">
        <f>IF(OR(G1578="",AND(I1578&lt;&gt;"Transferencia",I1578&lt;&gt;"Pago tarjeta")),"",IF(IFERROR(INDEX(ctaMon,MATCH(G1578,ctaNom,0))&amp;"","DOP")=N1578,C1578,IF(N1578="USD",C1578*TasaUSD,C1578/TasaUSD)))</f>
        <v/>
      </c>
      <c r="V1578" s="20">
        <f>IF(I1578="","",IF(IFERROR(INDEX(ctaLiq,MATCH(E1578,ctaNom,0))="Sí",FALSE),IF(OR(I1578="Gasto",I1578="Transferencia",I1578="Pago tarjeta"),-1,1)*O1578,0)+IF(AND(U1578&lt;&gt;"",IFERROR(INDEX(ctaLiq,MATCH(G1578,ctaNom,0))="Sí",FALSE)),O1578,0))</f>
        <v/>
      </c>
      <c r="W1578" s="19">
        <f>IF(OR(F1578="",I1578=""),"",IF(COUNTIFS(F$6:F1578,F1578,I$6:I1578,"?*")=1,MAX(W$5:W1577)+1,""))</f>
        <v/>
      </c>
    </row>
    <row r="1579">
      <c r="B1579" s="15" t="n"/>
      <c r="C1579" s="16" t="n"/>
      <c r="D1579" s="17" t="n"/>
      <c r="E1579" s="17" t="n"/>
      <c r="F1579" s="17" t="n"/>
      <c r="G1579" s="17" t="n"/>
      <c r="H1579" s="18">
        <f>IF(AND(B1579="",C1579="",D1579="",E1579=""),"",IF(B1579="","⚠ Falta fecha",IF(C1579="","⚠ Falta monto",IF(D1579="","⚠ Falta categoría",IF(ISNA(MATCH(D1579,catNom,0)),"⚠ Categoría no existe",IF(E1579="","⚠ Falta cuenta",IF(ISNA(MATCH(E1579,ctaNom,0)),"⚠ Cuenta no existe",IF(AND(OR(I1579="Transferencia",I1579="Pago tarjeta"),G1579=""),"⚠ Indica la cuenta «Hacia»",IF(AND(G1579&lt;&gt;"",G1579=E1579),"⚠ «Hacia» igual a la cuenta",IF(AND(G1579&lt;&gt;"",ISNA(MATCH(G1579,ctaNom,0))),"⚠ «Hacia» no existe",IF(AND(I1579="Pago tarjeta",IFERROR(INDEX(ctaTipo,MATCH(G1579,ctaNom,0)),"")&lt;&gt;"Tarjeta de crédito"),"⚠ «Hacia» debe ser la tarjeta",IF(AND(I1579="Trading",IFERROR(INDEX(ctaTipo,MATCH(E1579,ctaNom,0)),"")&lt;&gt;"Cuenta de trading"),"⚠ Usa la cuenta de trading","✓"))))))))))))</f>
        <v/>
      </c>
      <c r="I1579" s="19">
        <f>IF(OR(B1579="",C1579="",D1579=""),"",IFERROR(INDEX(catTipo,MATCH(D1579,catNom,0))&amp;"",""))</f>
        <v/>
      </c>
      <c r="J1579" s="19">
        <f>IF(I1579="","",IFERROR(INDEX(catGrupo,MATCH(D1579,catNom,0))&amp;"",""))</f>
        <v/>
      </c>
      <c r="K1579" s="19">
        <f>IF(I1579="Gasto",IF(IFERROR(INDEX(catClas,MATCH(D1579,catNom,0))&amp;"","")="","Variable",IFERROR(INDEX(catClas,MATCH(D1579,catNom,0))&amp;"","")),"")</f>
        <v/>
      </c>
      <c r="L1579" s="19">
        <f>IF(I1579="","",IFERROR(INDEX(catAlim,MATCH(D1579,catNom,0))&amp;"",""))</f>
        <v/>
      </c>
      <c r="M1579" s="19">
        <f>IF(I1579="","",IFERROR(INDEX(catComida,MATCH(D1579,catNom,0))&amp;"",""))</f>
        <v/>
      </c>
      <c r="N1579" s="19">
        <f>IF(I1579="","",IFERROR(INDEX(ctaMon,MATCH(E1579,ctaNom,0))&amp;"","DOP"))</f>
        <v/>
      </c>
      <c r="O1579" s="20">
        <f>IF(I1579="","",C1579*IF(N1579="USD",TasaUSD,1))</f>
        <v/>
      </c>
      <c r="P1579" s="20">
        <f>IF(I1579="","",IF(I1579="Gasto",O1579,0))</f>
        <v/>
      </c>
      <c r="Q1579" s="20">
        <f>IF(I1579="","",IF(I1579="Ingreso",O1579,0))</f>
        <v/>
      </c>
      <c r="R1579" s="20">
        <f>IF(I1579="","",IF(I1579="Trading",O1579,0))</f>
        <v/>
      </c>
      <c r="S1579" s="19">
        <f>IF(I1579="","",IF(AND(I1579="Gasto",K1579="Variable",J1579&lt;&gt;"Trading",O1579&gt;0,O1579&lt;=Umbral),1,0))</f>
        <v/>
      </c>
      <c r="T1579" s="20">
        <f>IF(OR(I1579="",E1579=""),"",IF(OR(I1579="Gasto",I1579="Transferencia",I1579="Pago tarjeta"),-1,1)*C1579)</f>
        <v/>
      </c>
      <c r="U1579" s="20">
        <f>IF(OR(G1579="",AND(I1579&lt;&gt;"Transferencia",I1579&lt;&gt;"Pago tarjeta")),"",IF(IFERROR(INDEX(ctaMon,MATCH(G1579,ctaNom,0))&amp;"","DOP")=N1579,C1579,IF(N1579="USD",C1579*TasaUSD,C1579/TasaUSD)))</f>
        <v/>
      </c>
      <c r="V1579" s="20">
        <f>IF(I1579="","",IF(IFERROR(INDEX(ctaLiq,MATCH(E1579,ctaNom,0))="Sí",FALSE),IF(OR(I1579="Gasto",I1579="Transferencia",I1579="Pago tarjeta"),-1,1)*O1579,0)+IF(AND(U1579&lt;&gt;"",IFERROR(INDEX(ctaLiq,MATCH(G1579,ctaNom,0))="Sí",FALSE)),O1579,0))</f>
        <v/>
      </c>
      <c r="W1579" s="19">
        <f>IF(OR(F1579="",I1579=""),"",IF(COUNTIFS(F$6:F1579,F1579,I$6:I1579,"?*")=1,MAX(W$5:W1578)+1,""))</f>
        <v/>
      </c>
    </row>
    <row r="1580">
      <c r="B1580" s="15" t="n"/>
      <c r="C1580" s="16" t="n"/>
      <c r="D1580" s="17" t="n"/>
      <c r="E1580" s="17" t="n"/>
      <c r="F1580" s="17" t="n"/>
      <c r="G1580" s="17" t="n"/>
      <c r="H1580" s="18">
        <f>IF(AND(B1580="",C1580="",D1580="",E1580=""),"",IF(B1580="","⚠ Falta fecha",IF(C1580="","⚠ Falta monto",IF(D1580="","⚠ Falta categoría",IF(ISNA(MATCH(D1580,catNom,0)),"⚠ Categoría no existe",IF(E1580="","⚠ Falta cuenta",IF(ISNA(MATCH(E1580,ctaNom,0)),"⚠ Cuenta no existe",IF(AND(OR(I1580="Transferencia",I1580="Pago tarjeta"),G1580=""),"⚠ Indica la cuenta «Hacia»",IF(AND(G1580&lt;&gt;"",G1580=E1580),"⚠ «Hacia» igual a la cuenta",IF(AND(G1580&lt;&gt;"",ISNA(MATCH(G1580,ctaNom,0))),"⚠ «Hacia» no existe",IF(AND(I1580="Pago tarjeta",IFERROR(INDEX(ctaTipo,MATCH(G1580,ctaNom,0)),"")&lt;&gt;"Tarjeta de crédito"),"⚠ «Hacia» debe ser la tarjeta",IF(AND(I1580="Trading",IFERROR(INDEX(ctaTipo,MATCH(E1580,ctaNom,0)),"")&lt;&gt;"Cuenta de trading"),"⚠ Usa la cuenta de trading","✓"))))))))))))</f>
        <v/>
      </c>
      <c r="I1580" s="19">
        <f>IF(OR(B1580="",C1580="",D1580=""),"",IFERROR(INDEX(catTipo,MATCH(D1580,catNom,0))&amp;"",""))</f>
        <v/>
      </c>
      <c r="J1580" s="19">
        <f>IF(I1580="","",IFERROR(INDEX(catGrupo,MATCH(D1580,catNom,0))&amp;"",""))</f>
        <v/>
      </c>
      <c r="K1580" s="19">
        <f>IF(I1580="Gasto",IF(IFERROR(INDEX(catClas,MATCH(D1580,catNom,0))&amp;"","")="","Variable",IFERROR(INDEX(catClas,MATCH(D1580,catNom,0))&amp;"","")),"")</f>
        <v/>
      </c>
      <c r="L1580" s="19">
        <f>IF(I1580="","",IFERROR(INDEX(catAlim,MATCH(D1580,catNom,0))&amp;"",""))</f>
        <v/>
      </c>
      <c r="M1580" s="19">
        <f>IF(I1580="","",IFERROR(INDEX(catComida,MATCH(D1580,catNom,0))&amp;"",""))</f>
        <v/>
      </c>
      <c r="N1580" s="19">
        <f>IF(I1580="","",IFERROR(INDEX(ctaMon,MATCH(E1580,ctaNom,0))&amp;"","DOP"))</f>
        <v/>
      </c>
      <c r="O1580" s="20">
        <f>IF(I1580="","",C1580*IF(N1580="USD",TasaUSD,1))</f>
        <v/>
      </c>
      <c r="P1580" s="20">
        <f>IF(I1580="","",IF(I1580="Gasto",O1580,0))</f>
        <v/>
      </c>
      <c r="Q1580" s="20">
        <f>IF(I1580="","",IF(I1580="Ingreso",O1580,0))</f>
        <v/>
      </c>
      <c r="R1580" s="20">
        <f>IF(I1580="","",IF(I1580="Trading",O1580,0))</f>
        <v/>
      </c>
      <c r="S1580" s="19">
        <f>IF(I1580="","",IF(AND(I1580="Gasto",K1580="Variable",J1580&lt;&gt;"Trading",O1580&gt;0,O1580&lt;=Umbral),1,0))</f>
        <v/>
      </c>
      <c r="T1580" s="20">
        <f>IF(OR(I1580="",E1580=""),"",IF(OR(I1580="Gasto",I1580="Transferencia",I1580="Pago tarjeta"),-1,1)*C1580)</f>
        <v/>
      </c>
      <c r="U1580" s="20">
        <f>IF(OR(G1580="",AND(I1580&lt;&gt;"Transferencia",I1580&lt;&gt;"Pago tarjeta")),"",IF(IFERROR(INDEX(ctaMon,MATCH(G1580,ctaNom,0))&amp;"","DOP")=N1580,C1580,IF(N1580="USD",C1580*TasaUSD,C1580/TasaUSD)))</f>
        <v/>
      </c>
      <c r="V1580" s="20">
        <f>IF(I1580="","",IF(IFERROR(INDEX(ctaLiq,MATCH(E1580,ctaNom,0))="Sí",FALSE),IF(OR(I1580="Gasto",I1580="Transferencia",I1580="Pago tarjeta"),-1,1)*O1580,0)+IF(AND(U1580&lt;&gt;"",IFERROR(INDEX(ctaLiq,MATCH(G1580,ctaNom,0))="Sí",FALSE)),O1580,0))</f>
        <v/>
      </c>
      <c r="W1580" s="19">
        <f>IF(OR(F1580="",I1580=""),"",IF(COUNTIFS(F$6:F1580,F1580,I$6:I1580,"?*")=1,MAX(W$5:W1579)+1,""))</f>
        <v/>
      </c>
    </row>
    <row r="1581">
      <c r="B1581" s="15" t="n"/>
      <c r="C1581" s="16" t="n"/>
      <c r="D1581" s="17" t="n"/>
      <c r="E1581" s="17" t="n"/>
      <c r="F1581" s="17" t="n"/>
      <c r="G1581" s="17" t="n"/>
      <c r="H1581" s="18">
        <f>IF(AND(B1581="",C1581="",D1581="",E1581=""),"",IF(B1581="","⚠ Falta fecha",IF(C1581="","⚠ Falta monto",IF(D1581="","⚠ Falta categoría",IF(ISNA(MATCH(D1581,catNom,0)),"⚠ Categoría no existe",IF(E1581="","⚠ Falta cuenta",IF(ISNA(MATCH(E1581,ctaNom,0)),"⚠ Cuenta no existe",IF(AND(OR(I1581="Transferencia",I1581="Pago tarjeta"),G1581=""),"⚠ Indica la cuenta «Hacia»",IF(AND(G1581&lt;&gt;"",G1581=E1581),"⚠ «Hacia» igual a la cuenta",IF(AND(G1581&lt;&gt;"",ISNA(MATCH(G1581,ctaNom,0))),"⚠ «Hacia» no existe",IF(AND(I1581="Pago tarjeta",IFERROR(INDEX(ctaTipo,MATCH(G1581,ctaNom,0)),"")&lt;&gt;"Tarjeta de crédito"),"⚠ «Hacia» debe ser la tarjeta",IF(AND(I1581="Trading",IFERROR(INDEX(ctaTipo,MATCH(E1581,ctaNom,0)),"")&lt;&gt;"Cuenta de trading"),"⚠ Usa la cuenta de trading","✓"))))))))))))</f>
        <v/>
      </c>
      <c r="I1581" s="19">
        <f>IF(OR(B1581="",C1581="",D1581=""),"",IFERROR(INDEX(catTipo,MATCH(D1581,catNom,0))&amp;"",""))</f>
        <v/>
      </c>
      <c r="J1581" s="19">
        <f>IF(I1581="","",IFERROR(INDEX(catGrupo,MATCH(D1581,catNom,0))&amp;"",""))</f>
        <v/>
      </c>
      <c r="K1581" s="19">
        <f>IF(I1581="Gasto",IF(IFERROR(INDEX(catClas,MATCH(D1581,catNom,0))&amp;"","")="","Variable",IFERROR(INDEX(catClas,MATCH(D1581,catNom,0))&amp;"","")),"")</f>
        <v/>
      </c>
      <c r="L1581" s="19">
        <f>IF(I1581="","",IFERROR(INDEX(catAlim,MATCH(D1581,catNom,0))&amp;"",""))</f>
        <v/>
      </c>
      <c r="M1581" s="19">
        <f>IF(I1581="","",IFERROR(INDEX(catComida,MATCH(D1581,catNom,0))&amp;"",""))</f>
        <v/>
      </c>
      <c r="N1581" s="19">
        <f>IF(I1581="","",IFERROR(INDEX(ctaMon,MATCH(E1581,ctaNom,0))&amp;"","DOP"))</f>
        <v/>
      </c>
      <c r="O1581" s="20">
        <f>IF(I1581="","",C1581*IF(N1581="USD",TasaUSD,1))</f>
        <v/>
      </c>
      <c r="P1581" s="20">
        <f>IF(I1581="","",IF(I1581="Gasto",O1581,0))</f>
        <v/>
      </c>
      <c r="Q1581" s="20">
        <f>IF(I1581="","",IF(I1581="Ingreso",O1581,0))</f>
        <v/>
      </c>
      <c r="R1581" s="20">
        <f>IF(I1581="","",IF(I1581="Trading",O1581,0))</f>
        <v/>
      </c>
      <c r="S1581" s="19">
        <f>IF(I1581="","",IF(AND(I1581="Gasto",K1581="Variable",J1581&lt;&gt;"Trading",O1581&gt;0,O1581&lt;=Umbral),1,0))</f>
        <v/>
      </c>
      <c r="T1581" s="20">
        <f>IF(OR(I1581="",E1581=""),"",IF(OR(I1581="Gasto",I1581="Transferencia",I1581="Pago tarjeta"),-1,1)*C1581)</f>
        <v/>
      </c>
      <c r="U1581" s="20">
        <f>IF(OR(G1581="",AND(I1581&lt;&gt;"Transferencia",I1581&lt;&gt;"Pago tarjeta")),"",IF(IFERROR(INDEX(ctaMon,MATCH(G1581,ctaNom,0))&amp;"","DOP")=N1581,C1581,IF(N1581="USD",C1581*TasaUSD,C1581/TasaUSD)))</f>
        <v/>
      </c>
      <c r="V1581" s="20">
        <f>IF(I1581="","",IF(IFERROR(INDEX(ctaLiq,MATCH(E1581,ctaNom,0))="Sí",FALSE),IF(OR(I1581="Gasto",I1581="Transferencia",I1581="Pago tarjeta"),-1,1)*O1581,0)+IF(AND(U1581&lt;&gt;"",IFERROR(INDEX(ctaLiq,MATCH(G1581,ctaNom,0))="Sí",FALSE)),O1581,0))</f>
        <v/>
      </c>
      <c r="W1581" s="19">
        <f>IF(OR(F1581="",I1581=""),"",IF(COUNTIFS(F$6:F1581,F1581,I$6:I1581,"?*")=1,MAX(W$5:W1580)+1,""))</f>
        <v/>
      </c>
    </row>
    <row r="1582">
      <c r="B1582" s="15" t="n"/>
      <c r="C1582" s="16" t="n"/>
      <c r="D1582" s="17" t="n"/>
      <c r="E1582" s="17" t="n"/>
      <c r="F1582" s="17" t="n"/>
      <c r="G1582" s="17" t="n"/>
      <c r="H1582" s="18">
        <f>IF(AND(B1582="",C1582="",D1582="",E1582=""),"",IF(B1582="","⚠ Falta fecha",IF(C1582="","⚠ Falta monto",IF(D1582="","⚠ Falta categoría",IF(ISNA(MATCH(D1582,catNom,0)),"⚠ Categoría no existe",IF(E1582="","⚠ Falta cuenta",IF(ISNA(MATCH(E1582,ctaNom,0)),"⚠ Cuenta no existe",IF(AND(OR(I1582="Transferencia",I1582="Pago tarjeta"),G1582=""),"⚠ Indica la cuenta «Hacia»",IF(AND(G1582&lt;&gt;"",G1582=E1582),"⚠ «Hacia» igual a la cuenta",IF(AND(G1582&lt;&gt;"",ISNA(MATCH(G1582,ctaNom,0))),"⚠ «Hacia» no existe",IF(AND(I1582="Pago tarjeta",IFERROR(INDEX(ctaTipo,MATCH(G1582,ctaNom,0)),"")&lt;&gt;"Tarjeta de crédito"),"⚠ «Hacia» debe ser la tarjeta",IF(AND(I1582="Trading",IFERROR(INDEX(ctaTipo,MATCH(E1582,ctaNom,0)),"")&lt;&gt;"Cuenta de trading"),"⚠ Usa la cuenta de trading","✓"))))))))))))</f>
        <v/>
      </c>
      <c r="I1582" s="19">
        <f>IF(OR(B1582="",C1582="",D1582=""),"",IFERROR(INDEX(catTipo,MATCH(D1582,catNom,0))&amp;"",""))</f>
        <v/>
      </c>
      <c r="J1582" s="19">
        <f>IF(I1582="","",IFERROR(INDEX(catGrupo,MATCH(D1582,catNom,0))&amp;"",""))</f>
        <v/>
      </c>
      <c r="K1582" s="19">
        <f>IF(I1582="Gasto",IF(IFERROR(INDEX(catClas,MATCH(D1582,catNom,0))&amp;"","")="","Variable",IFERROR(INDEX(catClas,MATCH(D1582,catNom,0))&amp;"","")),"")</f>
        <v/>
      </c>
      <c r="L1582" s="19">
        <f>IF(I1582="","",IFERROR(INDEX(catAlim,MATCH(D1582,catNom,0))&amp;"",""))</f>
        <v/>
      </c>
      <c r="M1582" s="19">
        <f>IF(I1582="","",IFERROR(INDEX(catComida,MATCH(D1582,catNom,0))&amp;"",""))</f>
        <v/>
      </c>
      <c r="N1582" s="19">
        <f>IF(I1582="","",IFERROR(INDEX(ctaMon,MATCH(E1582,ctaNom,0))&amp;"","DOP"))</f>
        <v/>
      </c>
      <c r="O1582" s="20">
        <f>IF(I1582="","",C1582*IF(N1582="USD",TasaUSD,1))</f>
        <v/>
      </c>
      <c r="P1582" s="20">
        <f>IF(I1582="","",IF(I1582="Gasto",O1582,0))</f>
        <v/>
      </c>
      <c r="Q1582" s="20">
        <f>IF(I1582="","",IF(I1582="Ingreso",O1582,0))</f>
        <v/>
      </c>
      <c r="R1582" s="20">
        <f>IF(I1582="","",IF(I1582="Trading",O1582,0))</f>
        <v/>
      </c>
      <c r="S1582" s="19">
        <f>IF(I1582="","",IF(AND(I1582="Gasto",K1582="Variable",J1582&lt;&gt;"Trading",O1582&gt;0,O1582&lt;=Umbral),1,0))</f>
        <v/>
      </c>
      <c r="T1582" s="20">
        <f>IF(OR(I1582="",E1582=""),"",IF(OR(I1582="Gasto",I1582="Transferencia",I1582="Pago tarjeta"),-1,1)*C1582)</f>
        <v/>
      </c>
      <c r="U1582" s="20">
        <f>IF(OR(G1582="",AND(I1582&lt;&gt;"Transferencia",I1582&lt;&gt;"Pago tarjeta")),"",IF(IFERROR(INDEX(ctaMon,MATCH(G1582,ctaNom,0))&amp;"","DOP")=N1582,C1582,IF(N1582="USD",C1582*TasaUSD,C1582/TasaUSD)))</f>
        <v/>
      </c>
      <c r="V1582" s="20">
        <f>IF(I1582="","",IF(IFERROR(INDEX(ctaLiq,MATCH(E1582,ctaNom,0))="Sí",FALSE),IF(OR(I1582="Gasto",I1582="Transferencia",I1582="Pago tarjeta"),-1,1)*O1582,0)+IF(AND(U1582&lt;&gt;"",IFERROR(INDEX(ctaLiq,MATCH(G1582,ctaNom,0))="Sí",FALSE)),O1582,0))</f>
        <v/>
      </c>
      <c r="W1582" s="19">
        <f>IF(OR(F1582="",I1582=""),"",IF(COUNTIFS(F$6:F1582,F1582,I$6:I1582,"?*")=1,MAX(W$5:W1581)+1,""))</f>
        <v/>
      </c>
    </row>
    <row r="1583">
      <c r="B1583" s="15" t="n"/>
      <c r="C1583" s="16" t="n"/>
      <c r="D1583" s="17" t="n"/>
      <c r="E1583" s="17" t="n"/>
      <c r="F1583" s="17" t="n"/>
      <c r="G1583" s="17" t="n"/>
      <c r="H1583" s="18">
        <f>IF(AND(B1583="",C1583="",D1583="",E1583=""),"",IF(B1583="","⚠ Falta fecha",IF(C1583="","⚠ Falta monto",IF(D1583="","⚠ Falta categoría",IF(ISNA(MATCH(D1583,catNom,0)),"⚠ Categoría no existe",IF(E1583="","⚠ Falta cuenta",IF(ISNA(MATCH(E1583,ctaNom,0)),"⚠ Cuenta no existe",IF(AND(OR(I1583="Transferencia",I1583="Pago tarjeta"),G1583=""),"⚠ Indica la cuenta «Hacia»",IF(AND(G1583&lt;&gt;"",G1583=E1583),"⚠ «Hacia» igual a la cuenta",IF(AND(G1583&lt;&gt;"",ISNA(MATCH(G1583,ctaNom,0))),"⚠ «Hacia» no existe",IF(AND(I1583="Pago tarjeta",IFERROR(INDEX(ctaTipo,MATCH(G1583,ctaNom,0)),"")&lt;&gt;"Tarjeta de crédito"),"⚠ «Hacia» debe ser la tarjeta",IF(AND(I1583="Trading",IFERROR(INDEX(ctaTipo,MATCH(E1583,ctaNom,0)),"")&lt;&gt;"Cuenta de trading"),"⚠ Usa la cuenta de trading","✓"))))))))))))</f>
        <v/>
      </c>
      <c r="I1583" s="19">
        <f>IF(OR(B1583="",C1583="",D1583=""),"",IFERROR(INDEX(catTipo,MATCH(D1583,catNom,0))&amp;"",""))</f>
        <v/>
      </c>
      <c r="J1583" s="19">
        <f>IF(I1583="","",IFERROR(INDEX(catGrupo,MATCH(D1583,catNom,0))&amp;"",""))</f>
        <v/>
      </c>
      <c r="K1583" s="19">
        <f>IF(I1583="Gasto",IF(IFERROR(INDEX(catClas,MATCH(D1583,catNom,0))&amp;"","")="","Variable",IFERROR(INDEX(catClas,MATCH(D1583,catNom,0))&amp;"","")),"")</f>
        <v/>
      </c>
      <c r="L1583" s="19">
        <f>IF(I1583="","",IFERROR(INDEX(catAlim,MATCH(D1583,catNom,0))&amp;"",""))</f>
        <v/>
      </c>
      <c r="M1583" s="19">
        <f>IF(I1583="","",IFERROR(INDEX(catComida,MATCH(D1583,catNom,0))&amp;"",""))</f>
        <v/>
      </c>
      <c r="N1583" s="19">
        <f>IF(I1583="","",IFERROR(INDEX(ctaMon,MATCH(E1583,ctaNom,0))&amp;"","DOP"))</f>
        <v/>
      </c>
      <c r="O1583" s="20">
        <f>IF(I1583="","",C1583*IF(N1583="USD",TasaUSD,1))</f>
        <v/>
      </c>
      <c r="P1583" s="20">
        <f>IF(I1583="","",IF(I1583="Gasto",O1583,0))</f>
        <v/>
      </c>
      <c r="Q1583" s="20">
        <f>IF(I1583="","",IF(I1583="Ingreso",O1583,0))</f>
        <v/>
      </c>
      <c r="R1583" s="20">
        <f>IF(I1583="","",IF(I1583="Trading",O1583,0))</f>
        <v/>
      </c>
      <c r="S1583" s="19">
        <f>IF(I1583="","",IF(AND(I1583="Gasto",K1583="Variable",J1583&lt;&gt;"Trading",O1583&gt;0,O1583&lt;=Umbral),1,0))</f>
        <v/>
      </c>
      <c r="T1583" s="20">
        <f>IF(OR(I1583="",E1583=""),"",IF(OR(I1583="Gasto",I1583="Transferencia",I1583="Pago tarjeta"),-1,1)*C1583)</f>
        <v/>
      </c>
      <c r="U1583" s="20">
        <f>IF(OR(G1583="",AND(I1583&lt;&gt;"Transferencia",I1583&lt;&gt;"Pago tarjeta")),"",IF(IFERROR(INDEX(ctaMon,MATCH(G1583,ctaNom,0))&amp;"","DOP")=N1583,C1583,IF(N1583="USD",C1583*TasaUSD,C1583/TasaUSD)))</f>
        <v/>
      </c>
      <c r="V1583" s="20">
        <f>IF(I1583="","",IF(IFERROR(INDEX(ctaLiq,MATCH(E1583,ctaNom,0))="Sí",FALSE),IF(OR(I1583="Gasto",I1583="Transferencia",I1583="Pago tarjeta"),-1,1)*O1583,0)+IF(AND(U1583&lt;&gt;"",IFERROR(INDEX(ctaLiq,MATCH(G1583,ctaNom,0))="Sí",FALSE)),O1583,0))</f>
        <v/>
      </c>
      <c r="W1583" s="19">
        <f>IF(OR(F1583="",I1583=""),"",IF(COUNTIFS(F$6:F1583,F1583,I$6:I1583,"?*")=1,MAX(W$5:W1582)+1,""))</f>
        <v/>
      </c>
    </row>
    <row r="1584">
      <c r="B1584" s="15" t="n"/>
      <c r="C1584" s="16" t="n"/>
      <c r="D1584" s="17" t="n"/>
      <c r="E1584" s="17" t="n"/>
      <c r="F1584" s="17" t="n"/>
      <c r="G1584" s="17" t="n"/>
      <c r="H1584" s="18">
        <f>IF(AND(B1584="",C1584="",D1584="",E1584=""),"",IF(B1584="","⚠ Falta fecha",IF(C1584="","⚠ Falta monto",IF(D1584="","⚠ Falta categoría",IF(ISNA(MATCH(D1584,catNom,0)),"⚠ Categoría no existe",IF(E1584="","⚠ Falta cuenta",IF(ISNA(MATCH(E1584,ctaNom,0)),"⚠ Cuenta no existe",IF(AND(OR(I1584="Transferencia",I1584="Pago tarjeta"),G1584=""),"⚠ Indica la cuenta «Hacia»",IF(AND(G1584&lt;&gt;"",G1584=E1584),"⚠ «Hacia» igual a la cuenta",IF(AND(G1584&lt;&gt;"",ISNA(MATCH(G1584,ctaNom,0))),"⚠ «Hacia» no existe",IF(AND(I1584="Pago tarjeta",IFERROR(INDEX(ctaTipo,MATCH(G1584,ctaNom,0)),"")&lt;&gt;"Tarjeta de crédito"),"⚠ «Hacia» debe ser la tarjeta",IF(AND(I1584="Trading",IFERROR(INDEX(ctaTipo,MATCH(E1584,ctaNom,0)),"")&lt;&gt;"Cuenta de trading"),"⚠ Usa la cuenta de trading","✓"))))))))))))</f>
        <v/>
      </c>
      <c r="I1584" s="19">
        <f>IF(OR(B1584="",C1584="",D1584=""),"",IFERROR(INDEX(catTipo,MATCH(D1584,catNom,0))&amp;"",""))</f>
        <v/>
      </c>
      <c r="J1584" s="19">
        <f>IF(I1584="","",IFERROR(INDEX(catGrupo,MATCH(D1584,catNom,0))&amp;"",""))</f>
        <v/>
      </c>
      <c r="K1584" s="19">
        <f>IF(I1584="Gasto",IF(IFERROR(INDEX(catClas,MATCH(D1584,catNom,0))&amp;"","")="","Variable",IFERROR(INDEX(catClas,MATCH(D1584,catNom,0))&amp;"","")),"")</f>
        <v/>
      </c>
      <c r="L1584" s="19">
        <f>IF(I1584="","",IFERROR(INDEX(catAlim,MATCH(D1584,catNom,0))&amp;"",""))</f>
        <v/>
      </c>
      <c r="M1584" s="19">
        <f>IF(I1584="","",IFERROR(INDEX(catComida,MATCH(D1584,catNom,0))&amp;"",""))</f>
        <v/>
      </c>
      <c r="N1584" s="19">
        <f>IF(I1584="","",IFERROR(INDEX(ctaMon,MATCH(E1584,ctaNom,0))&amp;"","DOP"))</f>
        <v/>
      </c>
      <c r="O1584" s="20">
        <f>IF(I1584="","",C1584*IF(N1584="USD",TasaUSD,1))</f>
        <v/>
      </c>
      <c r="P1584" s="20">
        <f>IF(I1584="","",IF(I1584="Gasto",O1584,0))</f>
        <v/>
      </c>
      <c r="Q1584" s="20">
        <f>IF(I1584="","",IF(I1584="Ingreso",O1584,0))</f>
        <v/>
      </c>
      <c r="R1584" s="20">
        <f>IF(I1584="","",IF(I1584="Trading",O1584,0))</f>
        <v/>
      </c>
      <c r="S1584" s="19">
        <f>IF(I1584="","",IF(AND(I1584="Gasto",K1584="Variable",J1584&lt;&gt;"Trading",O1584&gt;0,O1584&lt;=Umbral),1,0))</f>
        <v/>
      </c>
      <c r="T1584" s="20">
        <f>IF(OR(I1584="",E1584=""),"",IF(OR(I1584="Gasto",I1584="Transferencia",I1584="Pago tarjeta"),-1,1)*C1584)</f>
        <v/>
      </c>
      <c r="U1584" s="20">
        <f>IF(OR(G1584="",AND(I1584&lt;&gt;"Transferencia",I1584&lt;&gt;"Pago tarjeta")),"",IF(IFERROR(INDEX(ctaMon,MATCH(G1584,ctaNom,0))&amp;"","DOP")=N1584,C1584,IF(N1584="USD",C1584*TasaUSD,C1584/TasaUSD)))</f>
        <v/>
      </c>
      <c r="V1584" s="20">
        <f>IF(I1584="","",IF(IFERROR(INDEX(ctaLiq,MATCH(E1584,ctaNom,0))="Sí",FALSE),IF(OR(I1584="Gasto",I1584="Transferencia",I1584="Pago tarjeta"),-1,1)*O1584,0)+IF(AND(U1584&lt;&gt;"",IFERROR(INDEX(ctaLiq,MATCH(G1584,ctaNom,0))="Sí",FALSE)),O1584,0))</f>
        <v/>
      </c>
      <c r="W1584" s="19">
        <f>IF(OR(F1584="",I1584=""),"",IF(COUNTIFS(F$6:F1584,F1584,I$6:I1584,"?*")=1,MAX(W$5:W1583)+1,""))</f>
        <v/>
      </c>
    </row>
    <row r="1585">
      <c r="B1585" s="15" t="n"/>
      <c r="C1585" s="16" t="n"/>
      <c r="D1585" s="17" t="n"/>
      <c r="E1585" s="17" t="n"/>
      <c r="F1585" s="17" t="n"/>
      <c r="G1585" s="17" t="n"/>
      <c r="H1585" s="18">
        <f>IF(AND(B1585="",C1585="",D1585="",E1585=""),"",IF(B1585="","⚠ Falta fecha",IF(C1585="","⚠ Falta monto",IF(D1585="","⚠ Falta categoría",IF(ISNA(MATCH(D1585,catNom,0)),"⚠ Categoría no existe",IF(E1585="","⚠ Falta cuenta",IF(ISNA(MATCH(E1585,ctaNom,0)),"⚠ Cuenta no existe",IF(AND(OR(I1585="Transferencia",I1585="Pago tarjeta"),G1585=""),"⚠ Indica la cuenta «Hacia»",IF(AND(G1585&lt;&gt;"",G1585=E1585),"⚠ «Hacia» igual a la cuenta",IF(AND(G1585&lt;&gt;"",ISNA(MATCH(G1585,ctaNom,0))),"⚠ «Hacia» no existe",IF(AND(I1585="Pago tarjeta",IFERROR(INDEX(ctaTipo,MATCH(G1585,ctaNom,0)),"")&lt;&gt;"Tarjeta de crédito"),"⚠ «Hacia» debe ser la tarjeta",IF(AND(I1585="Trading",IFERROR(INDEX(ctaTipo,MATCH(E1585,ctaNom,0)),"")&lt;&gt;"Cuenta de trading"),"⚠ Usa la cuenta de trading","✓"))))))))))))</f>
        <v/>
      </c>
      <c r="I1585" s="19">
        <f>IF(OR(B1585="",C1585="",D1585=""),"",IFERROR(INDEX(catTipo,MATCH(D1585,catNom,0))&amp;"",""))</f>
        <v/>
      </c>
      <c r="J1585" s="19">
        <f>IF(I1585="","",IFERROR(INDEX(catGrupo,MATCH(D1585,catNom,0))&amp;"",""))</f>
        <v/>
      </c>
      <c r="K1585" s="19">
        <f>IF(I1585="Gasto",IF(IFERROR(INDEX(catClas,MATCH(D1585,catNom,0))&amp;"","")="","Variable",IFERROR(INDEX(catClas,MATCH(D1585,catNom,0))&amp;"","")),"")</f>
        <v/>
      </c>
      <c r="L1585" s="19">
        <f>IF(I1585="","",IFERROR(INDEX(catAlim,MATCH(D1585,catNom,0))&amp;"",""))</f>
        <v/>
      </c>
      <c r="M1585" s="19">
        <f>IF(I1585="","",IFERROR(INDEX(catComida,MATCH(D1585,catNom,0))&amp;"",""))</f>
        <v/>
      </c>
      <c r="N1585" s="19">
        <f>IF(I1585="","",IFERROR(INDEX(ctaMon,MATCH(E1585,ctaNom,0))&amp;"","DOP"))</f>
        <v/>
      </c>
      <c r="O1585" s="20">
        <f>IF(I1585="","",C1585*IF(N1585="USD",TasaUSD,1))</f>
        <v/>
      </c>
      <c r="P1585" s="20">
        <f>IF(I1585="","",IF(I1585="Gasto",O1585,0))</f>
        <v/>
      </c>
      <c r="Q1585" s="20">
        <f>IF(I1585="","",IF(I1585="Ingreso",O1585,0))</f>
        <v/>
      </c>
      <c r="R1585" s="20">
        <f>IF(I1585="","",IF(I1585="Trading",O1585,0))</f>
        <v/>
      </c>
      <c r="S1585" s="19">
        <f>IF(I1585="","",IF(AND(I1585="Gasto",K1585="Variable",J1585&lt;&gt;"Trading",O1585&gt;0,O1585&lt;=Umbral),1,0))</f>
        <v/>
      </c>
      <c r="T1585" s="20">
        <f>IF(OR(I1585="",E1585=""),"",IF(OR(I1585="Gasto",I1585="Transferencia",I1585="Pago tarjeta"),-1,1)*C1585)</f>
        <v/>
      </c>
      <c r="U1585" s="20">
        <f>IF(OR(G1585="",AND(I1585&lt;&gt;"Transferencia",I1585&lt;&gt;"Pago tarjeta")),"",IF(IFERROR(INDEX(ctaMon,MATCH(G1585,ctaNom,0))&amp;"","DOP")=N1585,C1585,IF(N1585="USD",C1585*TasaUSD,C1585/TasaUSD)))</f>
        <v/>
      </c>
      <c r="V1585" s="20">
        <f>IF(I1585="","",IF(IFERROR(INDEX(ctaLiq,MATCH(E1585,ctaNom,0))="Sí",FALSE),IF(OR(I1585="Gasto",I1585="Transferencia",I1585="Pago tarjeta"),-1,1)*O1585,0)+IF(AND(U1585&lt;&gt;"",IFERROR(INDEX(ctaLiq,MATCH(G1585,ctaNom,0))="Sí",FALSE)),O1585,0))</f>
        <v/>
      </c>
      <c r="W1585" s="19">
        <f>IF(OR(F1585="",I1585=""),"",IF(COUNTIFS(F$6:F1585,F1585,I$6:I1585,"?*")=1,MAX(W$5:W1584)+1,""))</f>
        <v/>
      </c>
    </row>
    <row r="1586">
      <c r="B1586" s="15" t="n"/>
      <c r="C1586" s="16" t="n"/>
      <c r="D1586" s="17" t="n"/>
      <c r="E1586" s="17" t="n"/>
      <c r="F1586" s="17" t="n"/>
      <c r="G1586" s="17" t="n"/>
      <c r="H1586" s="18">
        <f>IF(AND(B1586="",C1586="",D1586="",E1586=""),"",IF(B1586="","⚠ Falta fecha",IF(C1586="","⚠ Falta monto",IF(D1586="","⚠ Falta categoría",IF(ISNA(MATCH(D1586,catNom,0)),"⚠ Categoría no existe",IF(E1586="","⚠ Falta cuenta",IF(ISNA(MATCH(E1586,ctaNom,0)),"⚠ Cuenta no existe",IF(AND(OR(I1586="Transferencia",I1586="Pago tarjeta"),G1586=""),"⚠ Indica la cuenta «Hacia»",IF(AND(G1586&lt;&gt;"",G1586=E1586),"⚠ «Hacia» igual a la cuenta",IF(AND(G1586&lt;&gt;"",ISNA(MATCH(G1586,ctaNom,0))),"⚠ «Hacia» no existe",IF(AND(I1586="Pago tarjeta",IFERROR(INDEX(ctaTipo,MATCH(G1586,ctaNom,0)),"")&lt;&gt;"Tarjeta de crédito"),"⚠ «Hacia» debe ser la tarjeta",IF(AND(I1586="Trading",IFERROR(INDEX(ctaTipo,MATCH(E1586,ctaNom,0)),"")&lt;&gt;"Cuenta de trading"),"⚠ Usa la cuenta de trading","✓"))))))))))))</f>
        <v/>
      </c>
      <c r="I1586" s="19">
        <f>IF(OR(B1586="",C1586="",D1586=""),"",IFERROR(INDEX(catTipo,MATCH(D1586,catNom,0))&amp;"",""))</f>
        <v/>
      </c>
      <c r="J1586" s="19">
        <f>IF(I1586="","",IFERROR(INDEX(catGrupo,MATCH(D1586,catNom,0))&amp;"",""))</f>
        <v/>
      </c>
      <c r="K1586" s="19">
        <f>IF(I1586="Gasto",IF(IFERROR(INDEX(catClas,MATCH(D1586,catNom,0))&amp;"","")="","Variable",IFERROR(INDEX(catClas,MATCH(D1586,catNom,0))&amp;"","")),"")</f>
        <v/>
      </c>
      <c r="L1586" s="19">
        <f>IF(I1586="","",IFERROR(INDEX(catAlim,MATCH(D1586,catNom,0))&amp;"",""))</f>
        <v/>
      </c>
      <c r="M1586" s="19">
        <f>IF(I1586="","",IFERROR(INDEX(catComida,MATCH(D1586,catNom,0))&amp;"",""))</f>
        <v/>
      </c>
      <c r="N1586" s="19">
        <f>IF(I1586="","",IFERROR(INDEX(ctaMon,MATCH(E1586,ctaNom,0))&amp;"","DOP"))</f>
        <v/>
      </c>
      <c r="O1586" s="20">
        <f>IF(I1586="","",C1586*IF(N1586="USD",TasaUSD,1))</f>
        <v/>
      </c>
      <c r="P1586" s="20">
        <f>IF(I1586="","",IF(I1586="Gasto",O1586,0))</f>
        <v/>
      </c>
      <c r="Q1586" s="20">
        <f>IF(I1586="","",IF(I1586="Ingreso",O1586,0))</f>
        <v/>
      </c>
      <c r="R1586" s="20">
        <f>IF(I1586="","",IF(I1586="Trading",O1586,0))</f>
        <v/>
      </c>
      <c r="S1586" s="19">
        <f>IF(I1586="","",IF(AND(I1586="Gasto",K1586="Variable",J1586&lt;&gt;"Trading",O1586&gt;0,O1586&lt;=Umbral),1,0))</f>
        <v/>
      </c>
      <c r="T1586" s="20">
        <f>IF(OR(I1586="",E1586=""),"",IF(OR(I1586="Gasto",I1586="Transferencia",I1586="Pago tarjeta"),-1,1)*C1586)</f>
        <v/>
      </c>
      <c r="U1586" s="20">
        <f>IF(OR(G1586="",AND(I1586&lt;&gt;"Transferencia",I1586&lt;&gt;"Pago tarjeta")),"",IF(IFERROR(INDEX(ctaMon,MATCH(G1586,ctaNom,0))&amp;"","DOP")=N1586,C1586,IF(N1586="USD",C1586*TasaUSD,C1586/TasaUSD)))</f>
        <v/>
      </c>
      <c r="V1586" s="20">
        <f>IF(I1586="","",IF(IFERROR(INDEX(ctaLiq,MATCH(E1586,ctaNom,0))="Sí",FALSE),IF(OR(I1586="Gasto",I1586="Transferencia",I1586="Pago tarjeta"),-1,1)*O1586,0)+IF(AND(U1586&lt;&gt;"",IFERROR(INDEX(ctaLiq,MATCH(G1586,ctaNom,0))="Sí",FALSE)),O1586,0))</f>
        <v/>
      </c>
      <c r="W1586" s="19">
        <f>IF(OR(F1586="",I1586=""),"",IF(COUNTIFS(F$6:F1586,F1586,I$6:I1586,"?*")=1,MAX(W$5:W1585)+1,""))</f>
        <v/>
      </c>
    </row>
    <row r="1587">
      <c r="B1587" s="15" t="n"/>
      <c r="C1587" s="16" t="n"/>
      <c r="D1587" s="17" t="n"/>
      <c r="E1587" s="17" t="n"/>
      <c r="F1587" s="17" t="n"/>
      <c r="G1587" s="17" t="n"/>
      <c r="H1587" s="18">
        <f>IF(AND(B1587="",C1587="",D1587="",E1587=""),"",IF(B1587="","⚠ Falta fecha",IF(C1587="","⚠ Falta monto",IF(D1587="","⚠ Falta categoría",IF(ISNA(MATCH(D1587,catNom,0)),"⚠ Categoría no existe",IF(E1587="","⚠ Falta cuenta",IF(ISNA(MATCH(E1587,ctaNom,0)),"⚠ Cuenta no existe",IF(AND(OR(I1587="Transferencia",I1587="Pago tarjeta"),G1587=""),"⚠ Indica la cuenta «Hacia»",IF(AND(G1587&lt;&gt;"",G1587=E1587),"⚠ «Hacia» igual a la cuenta",IF(AND(G1587&lt;&gt;"",ISNA(MATCH(G1587,ctaNom,0))),"⚠ «Hacia» no existe",IF(AND(I1587="Pago tarjeta",IFERROR(INDEX(ctaTipo,MATCH(G1587,ctaNom,0)),"")&lt;&gt;"Tarjeta de crédito"),"⚠ «Hacia» debe ser la tarjeta",IF(AND(I1587="Trading",IFERROR(INDEX(ctaTipo,MATCH(E1587,ctaNom,0)),"")&lt;&gt;"Cuenta de trading"),"⚠ Usa la cuenta de trading","✓"))))))))))))</f>
        <v/>
      </c>
      <c r="I1587" s="19">
        <f>IF(OR(B1587="",C1587="",D1587=""),"",IFERROR(INDEX(catTipo,MATCH(D1587,catNom,0))&amp;"",""))</f>
        <v/>
      </c>
      <c r="J1587" s="19">
        <f>IF(I1587="","",IFERROR(INDEX(catGrupo,MATCH(D1587,catNom,0))&amp;"",""))</f>
        <v/>
      </c>
      <c r="K1587" s="19">
        <f>IF(I1587="Gasto",IF(IFERROR(INDEX(catClas,MATCH(D1587,catNom,0))&amp;"","")="","Variable",IFERROR(INDEX(catClas,MATCH(D1587,catNom,0))&amp;"","")),"")</f>
        <v/>
      </c>
      <c r="L1587" s="19">
        <f>IF(I1587="","",IFERROR(INDEX(catAlim,MATCH(D1587,catNom,0))&amp;"",""))</f>
        <v/>
      </c>
      <c r="M1587" s="19">
        <f>IF(I1587="","",IFERROR(INDEX(catComida,MATCH(D1587,catNom,0))&amp;"",""))</f>
        <v/>
      </c>
      <c r="N1587" s="19">
        <f>IF(I1587="","",IFERROR(INDEX(ctaMon,MATCH(E1587,ctaNom,0))&amp;"","DOP"))</f>
        <v/>
      </c>
      <c r="O1587" s="20">
        <f>IF(I1587="","",C1587*IF(N1587="USD",TasaUSD,1))</f>
        <v/>
      </c>
      <c r="P1587" s="20">
        <f>IF(I1587="","",IF(I1587="Gasto",O1587,0))</f>
        <v/>
      </c>
      <c r="Q1587" s="20">
        <f>IF(I1587="","",IF(I1587="Ingreso",O1587,0))</f>
        <v/>
      </c>
      <c r="R1587" s="20">
        <f>IF(I1587="","",IF(I1587="Trading",O1587,0))</f>
        <v/>
      </c>
      <c r="S1587" s="19">
        <f>IF(I1587="","",IF(AND(I1587="Gasto",K1587="Variable",J1587&lt;&gt;"Trading",O1587&gt;0,O1587&lt;=Umbral),1,0))</f>
        <v/>
      </c>
      <c r="T1587" s="20">
        <f>IF(OR(I1587="",E1587=""),"",IF(OR(I1587="Gasto",I1587="Transferencia",I1587="Pago tarjeta"),-1,1)*C1587)</f>
        <v/>
      </c>
      <c r="U1587" s="20">
        <f>IF(OR(G1587="",AND(I1587&lt;&gt;"Transferencia",I1587&lt;&gt;"Pago tarjeta")),"",IF(IFERROR(INDEX(ctaMon,MATCH(G1587,ctaNom,0))&amp;"","DOP")=N1587,C1587,IF(N1587="USD",C1587*TasaUSD,C1587/TasaUSD)))</f>
        <v/>
      </c>
      <c r="V1587" s="20">
        <f>IF(I1587="","",IF(IFERROR(INDEX(ctaLiq,MATCH(E1587,ctaNom,0))="Sí",FALSE),IF(OR(I1587="Gasto",I1587="Transferencia",I1587="Pago tarjeta"),-1,1)*O1587,0)+IF(AND(U1587&lt;&gt;"",IFERROR(INDEX(ctaLiq,MATCH(G1587,ctaNom,0))="Sí",FALSE)),O1587,0))</f>
        <v/>
      </c>
      <c r="W1587" s="19">
        <f>IF(OR(F1587="",I1587=""),"",IF(COUNTIFS(F$6:F1587,F1587,I$6:I1587,"?*")=1,MAX(W$5:W1586)+1,""))</f>
        <v/>
      </c>
    </row>
    <row r="1588">
      <c r="B1588" s="15" t="n"/>
      <c r="C1588" s="16" t="n"/>
      <c r="D1588" s="17" t="n"/>
      <c r="E1588" s="17" t="n"/>
      <c r="F1588" s="17" t="n"/>
      <c r="G1588" s="17" t="n"/>
      <c r="H1588" s="18">
        <f>IF(AND(B1588="",C1588="",D1588="",E1588=""),"",IF(B1588="","⚠ Falta fecha",IF(C1588="","⚠ Falta monto",IF(D1588="","⚠ Falta categoría",IF(ISNA(MATCH(D1588,catNom,0)),"⚠ Categoría no existe",IF(E1588="","⚠ Falta cuenta",IF(ISNA(MATCH(E1588,ctaNom,0)),"⚠ Cuenta no existe",IF(AND(OR(I1588="Transferencia",I1588="Pago tarjeta"),G1588=""),"⚠ Indica la cuenta «Hacia»",IF(AND(G1588&lt;&gt;"",G1588=E1588),"⚠ «Hacia» igual a la cuenta",IF(AND(G1588&lt;&gt;"",ISNA(MATCH(G1588,ctaNom,0))),"⚠ «Hacia» no existe",IF(AND(I1588="Pago tarjeta",IFERROR(INDEX(ctaTipo,MATCH(G1588,ctaNom,0)),"")&lt;&gt;"Tarjeta de crédito"),"⚠ «Hacia» debe ser la tarjeta",IF(AND(I1588="Trading",IFERROR(INDEX(ctaTipo,MATCH(E1588,ctaNom,0)),"")&lt;&gt;"Cuenta de trading"),"⚠ Usa la cuenta de trading","✓"))))))))))))</f>
        <v/>
      </c>
      <c r="I1588" s="19">
        <f>IF(OR(B1588="",C1588="",D1588=""),"",IFERROR(INDEX(catTipo,MATCH(D1588,catNom,0))&amp;"",""))</f>
        <v/>
      </c>
      <c r="J1588" s="19">
        <f>IF(I1588="","",IFERROR(INDEX(catGrupo,MATCH(D1588,catNom,0))&amp;"",""))</f>
        <v/>
      </c>
      <c r="K1588" s="19">
        <f>IF(I1588="Gasto",IF(IFERROR(INDEX(catClas,MATCH(D1588,catNom,0))&amp;"","")="","Variable",IFERROR(INDEX(catClas,MATCH(D1588,catNom,0))&amp;"","")),"")</f>
        <v/>
      </c>
      <c r="L1588" s="19">
        <f>IF(I1588="","",IFERROR(INDEX(catAlim,MATCH(D1588,catNom,0))&amp;"",""))</f>
        <v/>
      </c>
      <c r="M1588" s="19">
        <f>IF(I1588="","",IFERROR(INDEX(catComida,MATCH(D1588,catNom,0))&amp;"",""))</f>
        <v/>
      </c>
      <c r="N1588" s="19">
        <f>IF(I1588="","",IFERROR(INDEX(ctaMon,MATCH(E1588,ctaNom,0))&amp;"","DOP"))</f>
        <v/>
      </c>
      <c r="O1588" s="20">
        <f>IF(I1588="","",C1588*IF(N1588="USD",TasaUSD,1))</f>
        <v/>
      </c>
      <c r="P1588" s="20">
        <f>IF(I1588="","",IF(I1588="Gasto",O1588,0))</f>
        <v/>
      </c>
      <c r="Q1588" s="20">
        <f>IF(I1588="","",IF(I1588="Ingreso",O1588,0))</f>
        <v/>
      </c>
      <c r="R1588" s="20">
        <f>IF(I1588="","",IF(I1588="Trading",O1588,0))</f>
        <v/>
      </c>
      <c r="S1588" s="19">
        <f>IF(I1588="","",IF(AND(I1588="Gasto",K1588="Variable",J1588&lt;&gt;"Trading",O1588&gt;0,O1588&lt;=Umbral),1,0))</f>
        <v/>
      </c>
      <c r="T1588" s="20">
        <f>IF(OR(I1588="",E1588=""),"",IF(OR(I1588="Gasto",I1588="Transferencia",I1588="Pago tarjeta"),-1,1)*C1588)</f>
        <v/>
      </c>
      <c r="U1588" s="20">
        <f>IF(OR(G1588="",AND(I1588&lt;&gt;"Transferencia",I1588&lt;&gt;"Pago tarjeta")),"",IF(IFERROR(INDEX(ctaMon,MATCH(G1588,ctaNom,0))&amp;"","DOP")=N1588,C1588,IF(N1588="USD",C1588*TasaUSD,C1588/TasaUSD)))</f>
        <v/>
      </c>
      <c r="V1588" s="20">
        <f>IF(I1588="","",IF(IFERROR(INDEX(ctaLiq,MATCH(E1588,ctaNom,0))="Sí",FALSE),IF(OR(I1588="Gasto",I1588="Transferencia",I1588="Pago tarjeta"),-1,1)*O1588,0)+IF(AND(U1588&lt;&gt;"",IFERROR(INDEX(ctaLiq,MATCH(G1588,ctaNom,0))="Sí",FALSE)),O1588,0))</f>
        <v/>
      </c>
      <c r="W1588" s="19">
        <f>IF(OR(F1588="",I1588=""),"",IF(COUNTIFS(F$6:F1588,F1588,I$6:I1588,"?*")=1,MAX(W$5:W1587)+1,""))</f>
        <v/>
      </c>
    </row>
    <row r="1589">
      <c r="B1589" s="15" t="n"/>
      <c r="C1589" s="16" t="n"/>
      <c r="D1589" s="17" t="n"/>
      <c r="E1589" s="17" t="n"/>
      <c r="F1589" s="17" t="n"/>
      <c r="G1589" s="17" t="n"/>
      <c r="H1589" s="18">
        <f>IF(AND(B1589="",C1589="",D1589="",E1589=""),"",IF(B1589="","⚠ Falta fecha",IF(C1589="","⚠ Falta monto",IF(D1589="","⚠ Falta categoría",IF(ISNA(MATCH(D1589,catNom,0)),"⚠ Categoría no existe",IF(E1589="","⚠ Falta cuenta",IF(ISNA(MATCH(E1589,ctaNom,0)),"⚠ Cuenta no existe",IF(AND(OR(I1589="Transferencia",I1589="Pago tarjeta"),G1589=""),"⚠ Indica la cuenta «Hacia»",IF(AND(G1589&lt;&gt;"",G1589=E1589),"⚠ «Hacia» igual a la cuenta",IF(AND(G1589&lt;&gt;"",ISNA(MATCH(G1589,ctaNom,0))),"⚠ «Hacia» no existe",IF(AND(I1589="Pago tarjeta",IFERROR(INDEX(ctaTipo,MATCH(G1589,ctaNom,0)),"")&lt;&gt;"Tarjeta de crédito"),"⚠ «Hacia» debe ser la tarjeta",IF(AND(I1589="Trading",IFERROR(INDEX(ctaTipo,MATCH(E1589,ctaNom,0)),"")&lt;&gt;"Cuenta de trading"),"⚠ Usa la cuenta de trading","✓"))))))))))))</f>
        <v/>
      </c>
      <c r="I1589" s="19">
        <f>IF(OR(B1589="",C1589="",D1589=""),"",IFERROR(INDEX(catTipo,MATCH(D1589,catNom,0))&amp;"",""))</f>
        <v/>
      </c>
      <c r="J1589" s="19">
        <f>IF(I1589="","",IFERROR(INDEX(catGrupo,MATCH(D1589,catNom,0))&amp;"",""))</f>
        <v/>
      </c>
      <c r="K1589" s="19">
        <f>IF(I1589="Gasto",IF(IFERROR(INDEX(catClas,MATCH(D1589,catNom,0))&amp;"","")="","Variable",IFERROR(INDEX(catClas,MATCH(D1589,catNom,0))&amp;"","")),"")</f>
        <v/>
      </c>
      <c r="L1589" s="19">
        <f>IF(I1589="","",IFERROR(INDEX(catAlim,MATCH(D1589,catNom,0))&amp;"",""))</f>
        <v/>
      </c>
      <c r="M1589" s="19">
        <f>IF(I1589="","",IFERROR(INDEX(catComida,MATCH(D1589,catNom,0))&amp;"",""))</f>
        <v/>
      </c>
      <c r="N1589" s="19">
        <f>IF(I1589="","",IFERROR(INDEX(ctaMon,MATCH(E1589,ctaNom,0))&amp;"","DOP"))</f>
        <v/>
      </c>
      <c r="O1589" s="20">
        <f>IF(I1589="","",C1589*IF(N1589="USD",TasaUSD,1))</f>
        <v/>
      </c>
      <c r="P1589" s="20">
        <f>IF(I1589="","",IF(I1589="Gasto",O1589,0))</f>
        <v/>
      </c>
      <c r="Q1589" s="20">
        <f>IF(I1589="","",IF(I1589="Ingreso",O1589,0))</f>
        <v/>
      </c>
      <c r="R1589" s="20">
        <f>IF(I1589="","",IF(I1589="Trading",O1589,0))</f>
        <v/>
      </c>
      <c r="S1589" s="19">
        <f>IF(I1589="","",IF(AND(I1589="Gasto",K1589="Variable",J1589&lt;&gt;"Trading",O1589&gt;0,O1589&lt;=Umbral),1,0))</f>
        <v/>
      </c>
      <c r="T1589" s="20">
        <f>IF(OR(I1589="",E1589=""),"",IF(OR(I1589="Gasto",I1589="Transferencia",I1589="Pago tarjeta"),-1,1)*C1589)</f>
        <v/>
      </c>
      <c r="U1589" s="20">
        <f>IF(OR(G1589="",AND(I1589&lt;&gt;"Transferencia",I1589&lt;&gt;"Pago tarjeta")),"",IF(IFERROR(INDEX(ctaMon,MATCH(G1589,ctaNom,0))&amp;"","DOP")=N1589,C1589,IF(N1589="USD",C1589*TasaUSD,C1589/TasaUSD)))</f>
        <v/>
      </c>
      <c r="V1589" s="20">
        <f>IF(I1589="","",IF(IFERROR(INDEX(ctaLiq,MATCH(E1589,ctaNom,0))="Sí",FALSE),IF(OR(I1589="Gasto",I1589="Transferencia",I1589="Pago tarjeta"),-1,1)*O1589,0)+IF(AND(U1589&lt;&gt;"",IFERROR(INDEX(ctaLiq,MATCH(G1589,ctaNom,0))="Sí",FALSE)),O1589,0))</f>
        <v/>
      </c>
      <c r="W1589" s="19">
        <f>IF(OR(F1589="",I1589=""),"",IF(COUNTIFS(F$6:F1589,F1589,I$6:I1589,"?*")=1,MAX(W$5:W1588)+1,""))</f>
        <v/>
      </c>
    </row>
    <row r="1590">
      <c r="B1590" s="15" t="n"/>
      <c r="C1590" s="16" t="n"/>
      <c r="D1590" s="17" t="n"/>
      <c r="E1590" s="17" t="n"/>
      <c r="F1590" s="17" t="n"/>
      <c r="G1590" s="17" t="n"/>
      <c r="H1590" s="18">
        <f>IF(AND(B1590="",C1590="",D1590="",E1590=""),"",IF(B1590="","⚠ Falta fecha",IF(C1590="","⚠ Falta monto",IF(D1590="","⚠ Falta categoría",IF(ISNA(MATCH(D1590,catNom,0)),"⚠ Categoría no existe",IF(E1590="","⚠ Falta cuenta",IF(ISNA(MATCH(E1590,ctaNom,0)),"⚠ Cuenta no existe",IF(AND(OR(I1590="Transferencia",I1590="Pago tarjeta"),G1590=""),"⚠ Indica la cuenta «Hacia»",IF(AND(G1590&lt;&gt;"",G1590=E1590),"⚠ «Hacia» igual a la cuenta",IF(AND(G1590&lt;&gt;"",ISNA(MATCH(G1590,ctaNom,0))),"⚠ «Hacia» no existe",IF(AND(I1590="Pago tarjeta",IFERROR(INDEX(ctaTipo,MATCH(G1590,ctaNom,0)),"")&lt;&gt;"Tarjeta de crédito"),"⚠ «Hacia» debe ser la tarjeta",IF(AND(I1590="Trading",IFERROR(INDEX(ctaTipo,MATCH(E1590,ctaNom,0)),"")&lt;&gt;"Cuenta de trading"),"⚠ Usa la cuenta de trading","✓"))))))))))))</f>
        <v/>
      </c>
      <c r="I1590" s="19">
        <f>IF(OR(B1590="",C1590="",D1590=""),"",IFERROR(INDEX(catTipo,MATCH(D1590,catNom,0))&amp;"",""))</f>
        <v/>
      </c>
      <c r="J1590" s="19">
        <f>IF(I1590="","",IFERROR(INDEX(catGrupo,MATCH(D1590,catNom,0))&amp;"",""))</f>
        <v/>
      </c>
      <c r="K1590" s="19">
        <f>IF(I1590="Gasto",IF(IFERROR(INDEX(catClas,MATCH(D1590,catNom,0))&amp;"","")="","Variable",IFERROR(INDEX(catClas,MATCH(D1590,catNom,0))&amp;"","")),"")</f>
        <v/>
      </c>
      <c r="L1590" s="19">
        <f>IF(I1590="","",IFERROR(INDEX(catAlim,MATCH(D1590,catNom,0))&amp;"",""))</f>
        <v/>
      </c>
      <c r="M1590" s="19">
        <f>IF(I1590="","",IFERROR(INDEX(catComida,MATCH(D1590,catNom,0))&amp;"",""))</f>
        <v/>
      </c>
      <c r="N1590" s="19">
        <f>IF(I1590="","",IFERROR(INDEX(ctaMon,MATCH(E1590,ctaNom,0))&amp;"","DOP"))</f>
        <v/>
      </c>
      <c r="O1590" s="20">
        <f>IF(I1590="","",C1590*IF(N1590="USD",TasaUSD,1))</f>
        <v/>
      </c>
      <c r="P1590" s="20">
        <f>IF(I1590="","",IF(I1590="Gasto",O1590,0))</f>
        <v/>
      </c>
      <c r="Q1590" s="20">
        <f>IF(I1590="","",IF(I1590="Ingreso",O1590,0))</f>
        <v/>
      </c>
      <c r="R1590" s="20">
        <f>IF(I1590="","",IF(I1590="Trading",O1590,0))</f>
        <v/>
      </c>
      <c r="S1590" s="19">
        <f>IF(I1590="","",IF(AND(I1590="Gasto",K1590="Variable",J1590&lt;&gt;"Trading",O1590&gt;0,O1590&lt;=Umbral),1,0))</f>
        <v/>
      </c>
      <c r="T1590" s="20">
        <f>IF(OR(I1590="",E1590=""),"",IF(OR(I1590="Gasto",I1590="Transferencia",I1590="Pago tarjeta"),-1,1)*C1590)</f>
        <v/>
      </c>
      <c r="U1590" s="20">
        <f>IF(OR(G1590="",AND(I1590&lt;&gt;"Transferencia",I1590&lt;&gt;"Pago tarjeta")),"",IF(IFERROR(INDEX(ctaMon,MATCH(G1590,ctaNom,0))&amp;"","DOP")=N1590,C1590,IF(N1590="USD",C1590*TasaUSD,C1590/TasaUSD)))</f>
        <v/>
      </c>
      <c r="V1590" s="20">
        <f>IF(I1590="","",IF(IFERROR(INDEX(ctaLiq,MATCH(E1590,ctaNom,0))="Sí",FALSE),IF(OR(I1590="Gasto",I1590="Transferencia",I1590="Pago tarjeta"),-1,1)*O1590,0)+IF(AND(U1590&lt;&gt;"",IFERROR(INDEX(ctaLiq,MATCH(G1590,ctaNom,0))="Sí",FALSE)),O1590,0))</f>
        <v/>
      </c>
      <c r="W1590" s="19">
        <f>IF(OR(F1590="",I1590=""),"",IF(COUNTIFS(F$6:F1590,F1590,I$6:I1590,"?*")=1,MAX(W$5:W1589)+1,""))</f>
        <v/>
      </c>
    </row>
    <row r="1591">
      <c r="B1591" s="15" t="n"/>
      <c r="C1591" s="16" t="n"/>
      <c r="D1591" s="17" t="n"/>
      <c r="E1591" s="17" t="n"/>
      <c r="F1591" s="17" t="n"/>
      <c r="G1591" s="17" t="n"/>
      <c r="H1591" s="18">
        <f>IF(AND(B1591="",C1591="",D1591="",E1591=""),"",IF(B1591="","⚠ Falta fecha",IF(C1591="","⚠ Falta monto",IF(D1591="","⚠ Falta categoría",IF(ISNA(MATCH(D1591,catNom,0)),"⚠ Categoría no existe",IF(E1591="","⚠ Falta cuenta",IF(ISNA(MATCH(E1591,ctaNom,0)),"⚠ Cuenta no existe",IF(AND(OR(I1591="Transferencia",I1591="Pago tarjeta"),G1591=""),"⚠ Indica la cuenta «Hacia»",IF(AND(G1591&lt;&gt;"",G1591=E1591),"⚠ «Hacia» igual a la cuenta",IF(AND(G1591&lt;&gt;"",ISNA(MATCH(G1591,ctaNom,0))),"⚠ «Hacia» no existe",IF(AND(I1591="Pago tarjeta",IFERROR(INDEX(ctaTipo,MATCH(G1591,ctaNom,0)),"")&lt;&gt;"Tarjeta de crédito"),"⚠ «Hacia» debe ser la tarjeta",IF(AND(I1591="Trading",IFERROR(INDEX(ctaTipo,MATCH(E1591,ctaNom,0)),"")&lt;&gt;"Cuenta de trading"),"⚠ Usa la cuenta de trading","✓"))))))))))))</f>
        <v/>
      </c>
      <c r="I1591" s="19">
        <f>IF(OR(B1591="",C1591="",D1591=""),"",IFERROR(INDEX(catTipo,MATCH(D1591,catNom,0))&amp;"",""))</f>
        <v/>
      </c>
      <c r="J1591" s="19">
        <f>IF(I1591="","",IFERROR(INDEX(catGrupo,MATCH(D1591,catNom,0))&amp;"",""))</f>
        <v/>
      </c>
      <c r="K1591" s="19">
        <f>IF(I1591="Gasto",IF(IFERROR(INDEX(catClas,MATCH(D1591,catNom,0))&amp;"","")="","Variable",IFERROR(INDEX(catClas,MATCH(D1591,catNom,0))&amp;"","")),"")</f>
        <v/>
      </c>
      <c r="L1591" s="19">
        <f>IF(I1591="","",IFERROR(INDEX(catAlim,MATCH(D1591,catNom,0))&amp;"",""))</f>
        <v/>
      </c>
      <c r="M1591" s="19">
        <f>IF(I1591="","",IFERROR(INDEX(catComida,MATCH(D1591,catNom,0))&amp;"",""))</f>
        <v/>
      </c>
      <c r="N1591" s="19">
        <f>IF(I1591="","",IFERROR(INDEX(ctaMon,MATCH(E1591,ctaNom,0))&amp;"","DOP"))</f>
        <v/>
      </c>
      <c r="O1591" s="20">
        <f>IF(I1591="","",C1591*IF(N1591="USD",TasaUSD,1))</f>
        <v/>
      </c>
      <c r="P1591" s="20">
        <f>IF(I1591="","",IF(I1591="Gasto",O1591,0))</f>
        <v/>
      </c>
      <c r="Q1591" s="20">
        <f>IF(I1591="","",IF(I1591="Ingreso",O1591,0))</f>
        <v/>
      </c>
      <c r="R1591" s="20">
        <f>IF(I1591="","",IF(I1591="Trading",O1591,0))</f>
        <v/>
      </c>
      <c r="S1591" s="19">
        <f>IF(I1591="","",IF(AND(I1591="Gasto",K1591="Variable",J1591&lt;&gt;"Trading",O1591&gt;0,O1591&lt;=Umbral),1,0))</f>
        <v/>
      </c>
      <c r="T1591" s="20">
        <f>IF(OR(I1591="",E1591=""),"",IF(OR(I1591="Gasto",I1591="Transferencia",I1591="Pago tarjeta"),-1,1)*C1591)</f>
        <v/>
      </c>
      <c r="U1591" s="20">
        <f>IF(OR(G1591="",AND(I1591&lt;&gt;"Transferencia",I1591&lt;&gt;"Pago tarjeta")),"",IF(IFERROR(INDEX(ctaMon,MATCH(G1591,ctaNom,0))&amp;"","DOP")=N1591,C1591,IF(N1591="USD",C1591*TasaUSD,C1591/TasaUSD)))</f>
        <v/>
      </c>
      <c r="V1591" s="20">
        <f>IF(I1591="","",IF(IFERROR(INDEX(ctaLiq,MATCH(E1591,ctaNom,0))="Sí",FALSE),IF(OR(I1591="Gasto",I1591="Transferencia",I1591="Pago tarjeta"),-1,1)*O1591,0)+IF(AND(U1591&lt;&gt;"",IFERROR(INDEX(ctaLiq,MATCH(G1591,ctaNom,0))="Sí",FALSE)),O1591,0))</f>
        <v/>
      </c>
      <c r="W1591" s="19">
        <f>IF(OR(F1591="",I1591=""),"",IF(COUNTIFS(F$6:F1591,F1591,I$6:I1591,"?*")=1,MAX(W$5:W1590)+1,""))</f>
        <v/>
      </c>
    </row>
    <row r="1592">
      <c r="B1592" s="15" t="n"/>
      <c r="C1592" s="16" t="n"/>
      <c r="D1592" s="17" t="n"/>
      <c r="E1592" s="17" t="n"/>
      <c r="F1592" s="17" t="n"/>
      <c r="G1592" s="17" t="n"/>
      <c r="H1592" s="18">
        <f>IF(AND(B1592="",C1592="",D1592="",E1592=""),"",IF(B1592="","⚠ Falta fecha",IF(C1592="","⚠ Falta monto",IF(D1592="","⚠ Falta categoría",IF(ISNA(MATCH(D1592,catNom,0)),"⚠ Categoría no existe",IF(E1592="","⚠ Falta cuenta",IF(ISNA(MATCH(E1592,ctaNom,0)),"⚠ Cuenta no existe",IF(AND(OR(I1592="Transferencia",I1592="Pago tarjeta"),G1592=""),"⚠ Indica la cuenta «Hacia»",IF(AND(G1592&lt;&gt;"",G1592=E1592),"⚠ «Hacia» igual a la cuenta",IF(AND(G1592&lt;&gt;"",ISNA(MATCH(G1592,ctaNom,0))),"⚠ «Hacia» no existe",IF(AND(I1592="Pago tarjeta",IFERROR(INDEX(ctaTipo,MATCH(G1592,ctaNom,0)),"")&lt;&gt;"Tarjeta de crédito"),"⚠ «Hacia» debe ser la tarjeta",IF(AND(I1592="Trading",IFERROR(INDEX(ctaTipo,MATCH(E1592,ctaNom,0)),"")&lt;&gt;"Cuenta de trading"),"⚠ Usa la cuenta de trading","✓"))))))))))))</f>
        <v/>
      </c>
      <c r="I1592" s="19">
        <f>IF(OR(B1592="",C1592="",D1592=""),"",IFERROR(INDEX(catTipo,MATCH(D1592,catNom,0))&amp;"",""))</f>
        <v/>
      </c>
      <c r="J1592" s="19">
        <f>IF(I1592="","",IFERROR(INDEX(catGrupo,MATCH(D1592,catNom,0))&amp;"",""))</f>
        <v/>
      </c>
      <c r="K1592" s="19">
        <f>IF(I1592="Gasto",IF(IFERROR(INDEX(catClas,MATCH(D1592,catNom,0))&amp;"","")="","Variable",IFERROR(INDEX(catClas,MATCH(D1592,catNom,0))&amp;"","")),"")</f>
        <v/>
      </c>
      <c r="L1592" s="19">
        <f>IF(I1592="","",IFERROR(INDEX(catAlim,MATCH(D1592,catNom,0))&amp;"",""))</f>
        <v/>
      </c>
      <c r="M1592" s="19">
        <f>IF(I1592="","",IFERROR(INDEX(catComida,MATCH(D1592,catNom,0))&amp;"",""))</f>
        <v/>
      </c>
      <c r="N1592" s="19">
        <f>IF(I1592="","",IFERROR(INDEX(ctaMon,MATCH(E1592,ctaNom,0))&amp;"","DOP"))</f>
        <v/>
      </c>
      <c r="O1592" s="20">
        <f>IF(I1592="","",C1592*IF(N1592="USD",TasaUSD,1))</f>
        <v/>
      </c>
      <c r="P1592" s="20">
        <f>IF(I1592="","",IF(I1592="Gasto",O1592,0))</f>
        <v/>
      </c>
      <c r="Q1592" s="20">
        <f>IF(I1592="","",IF(I1592="Ingreso",O1592,0))</f>
        <v/>
      </c>
      <c r="R1592" s="20">
        <f>IF(I1592="","",IF(I1592="Trading",O1592,0))</f>
        <v/>
      </c>
      <c r="S1592" s="19">
        <f>IF(I1592="","",IF(AND(I1592="Gasto",K1592="Variable",J1592&lt;&gt;"Trading",O1592&gt;0,O1592&lt;=Umbral),1,0))</f>
        <v/>
      </c>
      <c r="T1592" s="20">
        <f>IF(OR(I1592="",E1592=""),"",IF(OR(I1592="Gasto",I1592="Transferencia",I1592="Pago tarjeta"),-1,1)*C1592)</f>
        <v/>
      </c>
      <c r="U1592" s="20">
        <f>IF(OR(G1592="",AND(I1592&lt;&gt;"Transferencia",I1592&lt;&gt;"Pago tarjeta")),"",IF(IFERROR(INDEX(ctaMon,MATCH(G1592,ctaNom,0))&amp;"","DOP")=N1592,C1592,IF(N1592="USD",C1592*TasaUSD,C1592/TasaUSD)))</f>
        <v/>
      </c>
      <c r="V1592" s="20">
        <f>IF(I1592="","",IF(IFERROR(INDEX(ctaLiq,MATCH(E1592,ctaNom,0))="Sí",FALSE),IF(OR(I1592="Gasto",I1592="Transferencia",I1592="Pago tarjeta"),-1,1)*O1592,0)+IF(AND(U1592&lt;&gt;"",IFERROR(INDEX(ctaLiq,MATCH(G1592,ctaNom,0))="Sí",FALSE)),O1592,0))</f>
        <v/>
      </c>
      <c r="W1592" s="19">
        <f>IF(OR(F1592="",I1592=""),"",IF(COUNTIFS(F$6:F1592,F1592,I$6:I1592,"?*")=1,MAX(W$5:W1591)+1,""))</f>
        <v/>
      </c>
    </row>
    <row r="1593">
      <c r="B1593" s="15" t="n"/>
      <c r="C1593" s="16" t="n"/>
      <c r="D1593" s="17" t="n"/>
      <c r="E1593" s="17" t="n"/>
      <c r="F1593" s="17" t="n"/>
      <c r="G1593" s="17" t="n"/>
      <c r="H1593" s="18">
        <f>IF(AND(B1593="",C1593="",D1593="",E1593=""),"",IF(B1593="","⚠ Falta fecha",IF(C1593="","⚠ Falta monto",IF(D1593="","⚠ Falta categoría",IF(ISNA(MATCH(D1593,catNom,0)),"⚠ Categoría no existe",IF(E1593="","⚠ Falta cuenta",IF(ISNA(MATCH(E1593,ctaNom,0)),"⚠ Cuenta no existe",IF(AND(OR(I1593="Transferencia",I1593="Pago tarjeta"),G1593=""),"⚠ Indica la cuenta «Hacia»",IF(AND(G1593&lt;&gt;"",G1593=E1593),"⚠ «Hacia» igual a la cuenta",IF(AND(G1593&lt;&gt;"",ISNA(MATCH(G1593,ctaNom,0))),"⚠ «Hacia» no existe",IF(AND(I1593="Pago tarjeta",IFERROR(INDEX(ctaTipo,MATCH(G1593,ctaNom,0)),"")&lt;&gt;"Tarjeta de crédito"),"⚠ «Hacia» debe ser la tarjeta",IF(AND(I1593="Trading",IFERROR(INDEX(ctaTipo,MATCH(E1593,ctaNom,0)),"")&lt;&gt;"Cuenta de trading"),"⚠ Usa la cuenta de trading","✓"))))))))))))</f>
        <v/>
      </c>
      <c r="I1593" s="19">
        <f>IF(OR(B1593="",C1593="",D1593=""),"",IFERROR(INDEX(catTipo,MATCH(D1593,catNom,0))&amp;"",""))</f>
        <v/>
      </c>
      <c r="J1593" s="19">
        <f>IF(I1593="","",IFERROR(INDEX(catGrupo,MATCH(D1593,catNom,0))&amp;"",""))</f>
        <v/>
      </c>
      <c r="K1593" s="19">
        <f>IF(I1593="Gasto",IF(IFERROR(INDEX(catClas,MATCH(D1593,catNom,0))&amp;"","")="","Variable",IFERROR(INDEX(catClas,MATCH(D1593,catNom,0))&amp;"","")),"")</f>
        <v/>
      </c>
      <c r="L1593" s="19">
        <f>IF(I1593="","",IFERROR(INDEX(catAlim,MATCH(D1593,catNom,0))&amp;"",""))</f>
        <v/>
      </c>
      <c r="M1593" s="19">
        <f>IF(I1593="","",IFERROR(INDEX(catComida,MATCH(D1593,catNom,0))&amp;"",""))</f>
        <v/>
      </c>
      <c r="N1593" s="19">
        <f>IF(I1593="","",IFERROR(INDEX(ctaMon,MATCH(E1593,ctaNom,0))&amp;"","DOP"))</f>
        <v/>
      </c>
      <c r="O1593" s="20">
        <f>IF(I1593="","",C1593*IF(N1593="USD",TasaUSD,1))</f>
        <v/>
      </c>
      <c r="P1593" s="20">
        <f>IF(I1593="","",IF(I1593="Gasto",O1593,0))</f>
        <v/>
      </c>
      <c r="Q1593" s="20">
        <f>IF(I1593="","",IF(I1593="Ingreso",O1593,0))</f>
        <v/>
      </c>
      <c r="R1593" s="20">
        <f>IF(I1593="","",IF(I1593="Trading",O1593,0))</f>
        <v/>
      </c>
      <c r="S1593" s="19">
        <f>IF(I1593="","",IF(AND(I1593="Gasto",K1593="Variable",J1593&lt;&gt;"Trading",O1593&gt;0,O1593&lt;=Umbral),1,0))</f>
        <v/>
      </c>
      <c r="T1593" s="20">
        <f>IF(OR(I1593="",E1593=""),"",IF(OR(I1593="Gasto",I1593="Transferencia",I1593="Pago tarjeta"),-1,1)*C1593)</f>
        <v/>
      </c>
      <c r="U1593" s="20">
        <f>IF(OR(G1593="",AND(I1593&lt;&gt;"Transferencia",I1593&lt;&gt;"Pago tarjeta")),"",IF(IFERROR(INDEX(ctaMon,MATCH(G1593,ctaNom,0))&amp;"","DOP")=N1593,C1593,IF(N1593="USD",C1593*TasaUSD,C1593/TasaUSD)))</f>
        <v/>
      </c>
      <c r="V1593" s="20">
        <f>IF(I1593="","",IF(IFERROR(INDEX(ctaLiq,MATCH(E1593,ctaNom,0))="Sí",FALSE),IF(OR(I1593="Gasto",I1593="Transferencia",I1593="Pago tarjeta"),-1,1)*O1593,0)+IF(AND(U1593&lt;&gt;"",IFERROR(INDEX(ctaLiq,MATCH(G1593,ctaNom,0))="Sí",FALSE)),O1593,0))</f>
        <v/>
      </c>
      <c r="W1593" s="19">
        <f>IF(OR(F1593="",I1593=""),"",IF(COUNTIFS(F$6:F1593,F1593,I$6:I1593,"?*")=1,MAX(W$5:W1592)+1,""))</f>
        <v/>
      </c>
    </row>
    <row r="1594">
      <c r="B1594" s="15" t="n"/>
      <c r="C1594" s="16" t="n"/>
      <c r="D1594" s="17" t="n"/>
      <c r="E1594" s="17" t="n"/>
      <c r="F1594" s="17" t="n"/>
      <c r="G1594" s="17" t="n"/>
      <c r="H1594" s="18">
        <f>IF(AND(B1594="",C1594="",D1594="",E1594=""),"",IF(B1594="","⚠ Falta fecha",IF(C1594="","⚠ Falta monto",IF(D1594="","⚠ Falta categoría",IF(ISNA(MATCH(D1594,catNom,0)),"⚠ Categoría no existe",IF(E1594="","⚠ Falta cuenta",IF(ISNA(MATCH(E1594,ctaNom,0)),"⚠ Cuenta no existe",IF(AND(OR(I1594="Transferencia",I1594="Pago tarjeta"),G1594=""),"⚠ Indica la cuenta «Hacia»",IF(AND(G1594&lt;&gt;"",G1594=E1594),"⚠ «Hacia» igual a la cuenta",IF(AND(G1594&lt;&gt;"",ISNA(MATCH(G1594,ctaNom,0))),"⚠ «Hacia» no existe",IF(AND(I1594="Pago tarjeta",IFERROR(INDEX(ctaTipo,MATCH(G1594,ctaNom,0)),"")&lt;&gt;"Tarjeta de crédito"),"⚠ «Hacia» debe ser la tarjeta",IF(AND(I1594="Trading",IFERROR(INDEX(ctaTipo,MATCH(E1594,ctaNom,0)),"")&lt;&gt;"Cuenta de trading"),"⚠ Usa la cuenta de trading","✓"))))))))))))</f>
        <v/>
      </c>
      <c r="I1594" s="19">
        <f>IF(OR(B1594="",C1594="",D1594=""),"",IFERROR(INDEX(catTipo,MATCH(D1594,catNom,0))&amp;"",""))</f>
        <v/>
      </c>
      <c r="J1594" s="19">
        <f>IF(I1594="","",IFERROR(INDEX(catGrupo,MATCH(D1594,catNom,0))&amp;"",""))</f>
        <v/>
      </c>
      <c r="K1594" s="19">
        <f>IF(I1594="Gasto",IF(IFERROR(INDEX(catClas,MATCH(D1594,catNom,0))&amp;"","")="","Variable",IFERROR(INDEX(catClas,MATCH(D1594,catNom,0))&amp;"","")),"")</f>
        <v/>
      </c>
      <c r="L1594" s="19">
        <f>IF(I1594="","",IFERROR(INDEX(catAlim,MATCH(D1594,catNom,0))&amp;"",""))</f>
        <v/>
      </c>
      <c r="M1594" s="19">
        <f>IF(I1594="","",IFERROR(INDEX(catComida,MATCH(D1594,catNom,0))&amp;"",""))</f>
        <v/>
      </c>
      <c r="N1594" s="19">
        <f>IF(I1594="","",IFERROR(INDEX(ctaMon,MATCH(E1594,ctaNom,0))&amp;"","DOP"))</f>
        <v/>
      </c>
      <c r="O1594" s="20">
        <f>IF(I1594="","",C1594*IF(N1594="USD",TasaUSD,1))</f>
        <v/>
      </c>
      <c r="P1594" s="20">
        <f>IF(I1594="","",IF(I1594="Gasto",O1594,0))</f>
        <v/>
      </c>
      <c r="Q1594" s="20">
        <f>IF(I1594="","",IF(I1594="Ingreso",O1594,0))</f>
        <v/>
      </c>
      <c r="R1594" s="20">
        <f>IF(I1594="","",IF(I1594="Trading",O1594,0))</f>
        <v/>
      </c>
      <c r="S1594" s="19">
        <f>IF(I1594="","",IF(AND(I1594="Gasto",K1594="Variable",J1594&lt;&gt;"Trading",O1594&gt;0,O1594&lt;=Umbral),1,0))</f>
        <v/>
      </c>
      <c r="T1594" s="20">
        <f>IF(OR(I1594="",E1594=""),"",IF(OR(I1594="Gasto",I1594="Transferencia",I1594="Pago tarjeta"),-1,1)*C1594)</f>
        <v/>
      </c>
      <c r="U1594" s="20">
        <f>IF(OR(G1594="",AND(I1594&lt;&gt;"Transferencia",I1594&lt;&gt;"Pago tarjeta")),"",IF(IFERROR(INDEX(ctaMon,MATCH(G1594,ctaNom,0))&amp;"","DOP")=N1594,C1594,IF(N1594="USD",C1594*TasaUSD,C1594/TasaUSD)))</f>
        <v/>
      </c>
      <c r="V1594" s="20">
        <f>IF(I1594="","",IF(IFERROR(INDEX(ctaLiq,MATCH(E1594,ctaNom,0))="Sí",FALSE),IF(OR(I1594="Gasto",I1594="Transferencia",I1594="Pago tarjeta"),-1,1)*O1594,0)+IF(AND(U1594&lt;&gt;"",IFERROR(INDEX(ctaLiq,MATCH(G1594,ctaNom,0))="Sí",FALSE)),O1594,0))</f>
        <v/>
      </c>
      <c r="W1594" s="19">
        <f>IF(OR(F1594="",I1594=""),"",IF(COUNTIFS(F$6:F1594,F1594,I$6:I1594,"?*")=1,MAX(W$5:W1593)+1,""))</f>
        <v/>
      </c>
    </row>
    <row r="1595">
      <c r="B1595" s="15" t="n"/>
      <c r="C1595" s="16" t="n"/>
      <c r="D1595" s="17" t="n"/>
      <c r="E1595" s="17" t="n"/>
      <c r="F1595" s="17" t="n"/>
      <c r="G1595" s="17" t="n"/>
      <c r="H1595" s="18">
        <f>IF(AND(B1595="",C1595="",D1595="",E1595=""),"",IF(B1595="","⚠ Falta fecha",IF(C1595="","⚠ Falta monto",IF(D1595="","⚠ Falta categoría",IF(ISNA(MATCH(D1595,catNom,0)),"⚠ Categoría no existe",IF(E1595="","⚠ Falta cuenta",IF(ISNA(MATCH(E1595,ctaNom,0)),"⚠ Cuenta no existe",IF(AND(OR(I1595="Transferencia",I1595="Pago tarjeta"),G1595=""),"⚠ Indica la cuenta «Hacia»",IF(AND(G1595&lt;&gt;"",G1595=E1595),"⚠ «Hacia» igual a la cuenta",IF(AND(G1595&lt;&gt;"",ISNA(MATCH(G1595,ctaNom,0))),"⚠ «Hacia» no existe",IF(AND(I1595="Pago tarjeta",IFERROR(INDEX(ctaTipo,MATCH(G1595,ctaNom,0)),"")&lt;&gt;"Tarjeta de crédito"),"⚠ «Hacia» debe ser la tarjeta",IF(AND(I1595="Trading",IFERROR(INDEX(ctaTipo,MATCH(E1595,ctaNom,0)),"")&lt;&gt;"Cuenta de trading"),"⚠ Usa la cuenta de trading","✓"))))))))))))</f>
        <v/>
      </c>
      <c r="I1595" s="19">
        <f>IF(OR(B1595="",C1595="",D1595=""),"",IFERROR(INDEX(catTipo,MATCH(D1595,catNom,0))&amp;"",""))</f>
        <v/>
      </c>
      <c r="J1595" s="19">
        <f>IF(I1595="","",IFERROR(INDEX(catGrupo,MATCH(D1595,catNom,0))&amp;"",""))</f>
        <v/>
      </c>
      <c r="K1595" s="19">
        <f>IF(I1595="Gasto",IF(IFERROR(INDEX(catClas,MATCH(D1595,catNom,0))&amp;"","")="","Variable",IFERROR(INDEX(catClas,MATCH(D1595,catNom,0))&amp;"","")),"")</f>
        <v/>
      </c>
      <c r="L1595" s="19">
        <f>IF(I1595="","",IFERROR(INDEX(catAlim,MATCH(D1595,catNom,0))&amp;"",""))</f>
        <v/>
      </c>
      <c r="M1595" s="19">
        <f>IF(I1595="","",IFERROR(INDEX(catComida,MATCH(D1595,catNom,0))&amp;"",""))</f>
        <v/>
      </c>
      <c r="N1595" s="19">
        <f>IF(I1595="","",IFERROR(INDEX(ctaMon,MATCH(E1595,ctaNom,0))&amp;"","DOP"))</f>
        <v/>
      </c>
      <c r="O1595" s="20">
        <f>IF(I1595="","",C1595*IF(N1595="USD",TasaUSD,1))</f>
        <v/>
      </c>
      <c r="P1595" s="20">
        <f>IF(I1595="","",IF(I1595="Gasto",O1595,0))</f>
        <v/>
      </c>
      <c r="Q1595" s="20">
        <f>IF(I1595="","",IF(I1595="Ingreso",O1595,0))</f>
        <v/>
      </c>
      <c r="R1595" s="20">
        <f>IF(I1595="","",IF(I1595="Trading",O1595,0))</f>
        <v/>
      </c>
      <c r="S1595" s="19">
        <f>IF(I1595="","",IF(AND(I1595="Gasto",K1595="Variable",J1595&lt;&gt;"Trading",O1595&gt;0,O1595&lt;=Umbral),1,0))</f>
        <v/>
      </c>
      <c r="T1595" s="20">
        <f>IF(OR(I1595="",E1595=""),"",IF(OR(I1595="Gasto",I1595="Transferencia",I1595="Pago tarjeta"),-1,1)*C1595)</f>
        <v/>
      </c>
      <c r="U1595" s="20">
        <f>IF(OR(G1595="",AND(I1595&lt;&gt;"Transferencia",I1595&lt;&gt;"Pago tarjeta")),"",IF(IFERROR(INDEX(ctaMon,MATCH(G1595,ctaNom,0))&amp;"","DOP")=N1595,C1595,IF(N1595="USD",C1595*TasaUSD,C1595/TasaUSD)))</f>
        <v/>
      </c>
      <c r="V1595" s="20">
        <f>IF(I1595="","",IF(IFERROR(INDEX(ctaLiq,MATCH(E1595,ctaNom,0))="Sí",FALSE),IF(OR(I1595="Gasto",I1595="Transferencia",I1595="Pago tarjeta"),-1,1)*O1595,0)+IF(AND(U1595&lt;&gt;"",IFERROR(INDEX(ctaLiq,MATCH(G1595,ctaNom,0))="Sí",FALSE)),O1595,0))</f>
        <v/>
      </c>
      <c r="W1595" s="19">
        <f>IF(OR(F1595="",I1595=""),"",IF(COUNTIFS(F$6:F1595,F1595,I$6:I1595,"?*")=1,MAX(W$5:W1594)+1,""))</f>
        <v/>
      </c>
    </row>
    <row r="1596">
      <c r="B1596" s="15" t="n"/>
      <c r="C1596" s="16" t="n"/>
      <c r="D1596" s="17" t="n"/>
      <c r="E1596" s="17" t="n"/>
      <c r="F1596" s="17" t="n"/>
      <c r="G1596" s="17" t="n"/>
      <c r="H1596" s="18">
        <f>IF(AND(B1596="",C1596="",D1596="",E1596=""),"",IF(B1596="","⚠ Falta fecha",IF(C1596="","⚠ Falta monto",IF(D1596="","⚠ Falta categoría",IF(ISNA(MATCH(D1596,catNom,0)),"⚠ Categoría no existe",IF(E1596="","⚠ Falta cuenta",IF(ISNA(MATCH(E1596,ctaNom,0)),"⚠ Cuenta no existe",IF(AND(OR(I1596="Transferencia",I1596="Pago tarjeta"),G1596=""),"⚠ Indica la cuenta «Hacia»",IF(AND(G1596&lt;&gt;"",G1596=E1596),"⚠ «Hacia» igual a la cuenta",IF(AND(G1596&lt;&gt;"",ISNA(MATCH(G1596,ctaNom,0))),"⚠ «Hacia» no existe",IF(AND(I1596="Pago tarjeta",IFERROR(INDEX(ctaTipo,MATCH(G1596,ctaNom,0)),"")&lt;&gt;"Tarjeta de crédito"),"⚠ «Hacia» debe ser la tarjeta",IF(AND(I1596="Trading",IFERROR(INDEX(ctaTipo,MATCH(E1596,ctaNom,0)),"")&lt;&gt;"Cuenta de trading"),"⚠ Usa la cuenta de trading","✓"))))))))))))</f>
        <v/>
      </c>
      <c r="I1596" s="19">
        <f>IF(OR(B1596="",C1596="",D1596=""),"",IFERROR(INDEX(catTipo,MATCH(D1596,catNom,0))&amp;"",""))</f>
        <v/>
      </c>
      <c r="J1596" s="19">
        <f>IF(I1596="","",IFERROR(INDEX(catGrupo,MATCH(D1596,catNom,0))&amp;"",""))</f>
        <v/>
      </c>
      <c r="K1596" s="19">
        <f>IF(I1596="Gasto",IF(IFERROR(INDEX(catClas,MATCH(D1596,catNom,0))&amp;"","")="","Variable",IFERROR(INDEX(catClas,MATCH(D1596,catNom,0))&amp;"","")),"")</f>
        <v/>
      </c>
      <c r="L1596" s="19">
        <f>IF(I1596="","",IFERROR(INDEX(catAlim,MATCH(D1596,catNom,0))&amp;"",""))</f>
        <v/>
      </c>
      <c r="M1596" s="19">
        <f>IF(I1596="","",IFERROR(INDEX(catComida,MATCH(D1596,catNom,0))&amp;"",""))</f>
        <v/>
      </c>
      <c r="N1596" s="19">
        <f>IF(I1596="","",IFERROR(INDEX(ctaMon,MATCH(E1596,ctaNom,0))&amp;"","DOP"))</f>
        <v/>
      </c>
      <c r="O1596" s="20">
        <f>IF(I1596="","",C1596*IF(N1596="USD",TasaUSD,1))</f>
        <v/>
      </c>
      <c r="P1596" s="20">
        <f>IF(I1596="","",IF(I1596="Gasto",O1596,0))</f>
        <v/>
      </c>
      <c r="Q1596" s="20">
        <f>IF(I1596="","",IF(I1596="Ingreso",O1596,0))</f>
        <v/>
      </c>
      <c r="R1596" s="20">
        <f>IF(I1596="","",IF(I1596="Trading",O1596,0))</f>
        <v/>
      </c>
      <c r="S1596" s="19">
        <f>IF(I1596="","",IF(AND(I1596="Gasto",K1596="Variable",J1596&lt;&gt;"Trading",O1596&gt;0,O1596&lt;=Umbral),1,0))</f>
        <v/>
      </c>
      <c r="T1596" s="20">
        <f>IF(OR(I1596="",E1596=""),"",IF(OR(I1596="Gasto",I1596="Transferencia",I1596="Pago tarjeta"),-1,1)*C1596)</f>
        <v/>
      </c>
      <c r="U1596" s="20">
        <f>IF(OR(G1596="",AND(I1596&lt;&gt;"Transferencia",I1596&lt;&gt;"Pago tarjeta")),"",IF(IFERROR(INDEX(ctaMon,MATCH(G1596,ctaNom,0))&amp;"","DOP")=N1596,C1596,IF(N1596="USD",C1596*TasaUSD,C1596/TasaUSD)))</f>
        <v/>
      </c>
      <c r="V1596" s="20">
        <f>IF(I1596="","",IF(IFERROR(INDEX(ctaLiq,MATCH(E1596,ctaNom,0))="Sí",FALSE),IF(OR(I1596="Gasto",I1596="Transferencia",I1596="Pago tarjeta"),-1,1)*O1596,0)+IF(AND(U1596&lt;&gt;"",IFERROR(INDEX(ctaLiq,MATCH(G1596,ctaNom,0))="Sí",FALSE)),O1596,0))</f>
        <v/>
      </c>
      <c r="W1596" s="19">
        <f>IF(OR(F1596="",I1596=""),"",IF(COUNTIFS(F$6:F1596,F1596,I$6:I1596,"?*")=1,MAX(W$5:W1595)+1,""))</f>
        <v/>
      </c>
    </row>
    <row r="1597">
      <c r="B1597" s="15" t="n"/>
      <c r="C1597" s="16" t="n"/>
      <c r="D1597" s="17" t="n"/>
      <c r="E1597" s="17" t="n"/>
      <c r="F1597" s="17" t="n"/>
      <c r="G1597" s="17" t="n"/>
      <c r="H1597" s="18">
        <f>IF(AND(B1597="",C1597="",D1597="",E1597=""),"",IF(B1597="","⚠ Falta fecha",IF(C1597="","⚠ Falta monto",IF(D1597="","⚠ Falta categoría",IF(ISNA(MATCH(D1597,catNom,0)),"⚠ Categoría no existe",IF(E1597="","⚠ Falta cuenta",IF(ISNA(MATCH(E1597,ctaNom,0)),"⚠ Cuenta no existe",IF(AND(OR(I1597="Transferencia",I1597="Pago tarjeta"),G1597=""),"⚠ Indica la cuenta «Hacia»",IF(AND(G1597&lt;&gt;"",G1597=E1597),"⚠ «Hacia» igual a la cuenta",IF(AND(G1597&lt;&gt;"",ISNA(MATCH(G1597,ctaNom,0))),"⚠ «Hacia» no existe",IF(AND(I1597="Pago tarjeta",IFERROR(INDEX(ctaTipo,MATCH(G1597,ctaNom,0)),"")&lt;&gt;"Tarjeta de crédito"),"⚠ «Hacia» debe ser la tarjeta",IF(AND(I1597="Trading",IFERROR(INDEX(ctaTipo,MATCH(E1597,ctaNom,0)),"")&lt;&gt;"Cuenta de trading"),"⚠ Usa la cuenta de trading","✓"))))))))))))</f>
        <v/>
      </c>
      <c r="I1597" s="19">
        <f>IF(OR(B1597="",C1597="",D1597=""),"",IFERROR(INDEX(catTipo,MATCH(D1597,catNom,0))&amp;"",""))</f>
        <v/>
      </c>
      <c r="J1597" s="19">
        <f>IF(I1597="","",IFERROR(INDEX(catGrupo,MATCH(D1597,catNom,0))&amp;"",""))</f>
        <v/>
      </c>
      <c r="K1597" s="19">
        <f>IF(I1597="Gasto",IF(IFERROR(INDEX(catClas,MATCH(D1597,catNom,0))&amp;"","")="","Variable",IFERROR(INDEX(catClas,MATCH(D1597,catNom,0))&amp;"","")),"")</f>
        <v/>
      </c>
      <c r="L1597" s="19">
        <f>IF(I1597="","",IFERROR(INDEX(catAlim,MATCH(D1597,catNom,0))&amp;"",""))</f>
        <v/>
      </c>
      <c r="M1597" s="19">
        <f>IF(I1597="","",IFERROR(INDEX(catComida,MATCH(D1597,catNom,0))&amp;"",""))</f>
        <v/>
      </c>
      <c r="N1597" s="19">
        <f>IF(I1597="","",IFERROR(INDEX(ctaMon,MATCH(E1597,ctaNom,0))&amp;"","DOP"))</f>
        <v/>
      </c>
      <c r="O1597" s="20">
        <f>IF(I1597="","",C1597*IF(N1597="USD",TasaUSD,1))</f>
        <v/>
      </c>
      <c r="P1597" s="20">
        <f>IF(I1597="","",IF(I1597="Gasto",O1597,0))</f>
        <v/>
      </c>
      <c r="Q1597" s="20">
        <f>IF(I1597="","",IF(I1597="Ingreso",O1597,0))</f>
        <v/>
      </c>
      <c r="R1597" s="20">
        <f>IF(I1597="","",IF(I1597="Trading",O1597,0))</f>
        <v/>
      </c>
      <c r="S1597" s="19">
        <f>IF(I1597="","",IF(AND(I1597="Gasto",K1597="Variable",J1597&lt;&gt;"Trading",O1597&gt;0,O1597&lt;=Umbral),1,0))</f>
        <v/>
      </c>
      <c r="T1597" s="20">
        <f>IF(OR(I1597="",E1597=""),"",IF(OR(I1597="Gasto",I1597="Transferencia",I1597="Pago tarjeta"),-1,1)*C1597)</f>
        <v/>
      </c>
      <c r="U1597" s="20">
        <f>IF(OR(G1597="",AND(I1597&lt;&gt;"Transferencia",I1597&lt;&gt;"Pago tarjeta")),"",IF(IFERROR(INDEX(ctaMon,MATCH(G1597,ctaNom,0))&amp;"","DOP")=N1597,C1597,IF(N1597="USD",C1597*TasaUSD,C1597/TasaUSD)))</f>
        <v/>
      </c>
      <c r="V1597" s="20">
        <f>IF(I1597="","",IF(IFERROR(INDEX(ctaLiq,MATCH(E1597,ctaNom,0))="Sí",FALSE),IF(OR(I1597="Gasto",I1597="Transferencia",I1597="Pago tarjeta"),-1,1)*O1597,0)+IF(AND(U1597&lt;&gt;"",IFERROR(INDEX(ctaLiq,MATCH(G1597,ctaNom,0))="Sí",FALSE)),O1597,0))</f>
        <v/>
      </c>
      <c r="W1597" s="19">
        <f>IF(OR(F1597="",I1597=""),"",IF(COUNTIFS(F$6:F1597,F1597,I$6:I1597,"?*")=1,MAX(W$5:W1596)+1,""))</f>
        <v/>
      </c>
    </row>
    <row r="1598">
      <c r="B1598" s="15" t="n"/>
      <c r="C1598" s="16" t="n"/>
      <c r="D1598" s="17" t="n"/>
      <c r="E1598" s="17" t="n"/>
      <c r="F1598" s="17" t="n"/>
      <c r="G1598" s="17" t="n"/>
      <c r="H1598" s="18">
        <f>IF(AND(B1598="",C1598="",D1598="",E1598=""),"",IF(B1598="","⚠ Falta fecha",IF(C1598="","⚠ Falta monto",IF(D1598="","⚠ Falta categoría",IF(ISNA(MATCH(D1598,catNom,0)),"⚠ Categoría no existe",IF(E1598="","⚠ Falta cuenta",IF(ISNA(MATCH(E1598,ctaNom,0)),"⚠ Cuenta no existe",IF(AND(OR(I1598="Transferencia",I1598="Pago tarjeta"),G1598=""),"⚠ Indica la cuenta «Hacia»",IF(AND(G1598&lt;&gt;"",G1598=E1598),"⚠ «Hacia» igual a la cuenta",IF(AND(G1598&lt;&gt;"",ISNA(MATCH(G1598,ctaNom,0))),"⚠ «Hacia» no existe",IF(AND(I1598="Pago tarjeta",IFERROR(INDEX(ctaTipo,MATCH(G1598,ctaNom,0)),"")&lt;&gt;"Tarjeta de crédito"),"⚠ «Hacia» debe ser la tarjeta",IF(AND(I1598="Trading",IFERROR(INDEX(ctaTipo,MATCH(E1598,ctaNom,0)),"")&lt;&gt;"Cuenta de trading"),"⚠ Usa la cuenta de trading","✓"))))))))))))</f>
        <v/>
      </c>
      <c r="I1598" s="19">
        <f>IF(OR(B1598="",C1598="",D1598=""),"",IFERROR(INDEX(catTipo,MATCH(D1598,catNom,0))&amp;"",""))</f>
        <v/>
      </c>
      <c r="J1598" s="19">
        <f>IF(I1598="","",IFERROR(INDEX(catGrupo,MATCH(D1598,catNom,0))&amp;"",""))</f>
        <v/>
      </c>
      <c r="K1598" s="19">
        <f>IF(I1598="Gasto",IF(IFERROR(INDEX(catClas,MATCH(D1598,catNom,0))&amp;"","")="","Variable",IFERROR(INDEX(catClas,MATCH(D1598,catNom,0))&amp;"","")),"")</f>
        <v/>
      </c>
      <c r="L1598" s="19">
        <f>IF(I1598="","",IFERROR(INDEX(catAlim,MATCH(D1598,catNom,0))&amp;"",""))</f>
        <v/>
      </c>
      <c r="M1598" s="19">
        <f>IF(I1598="","",IFERROR(INDEX(catComida,MATCH(D1598,catNom,0))&amp;"",""))</f>
        <v/>
      </c>
      <c r="N1598" s="19">
        <f>IF(I1598="","",IFERROR(INDEX(ctaMon,MATCH(E1598,ctaNom,0))&amp;"","DOP"))</f>
        <v/>
      </c>
      <c r="O1598" s="20">
        <f>IF(I1598="","",C1598*IF(N1598="USD",TasaUSD,1))</f>
        <v/>
      </c>
      <c r="P1598" s="20">
        <f>IF(I1598="","",IF(I1598="Gasto",O1598,0))</f>
        <v/>
      </c>
      <c r="Q1598" s="20">
        <f>IF(I1598="","",IF(I1598="Ingreso",O1598,0))</f>
        <v/>
      </c>
      <c r="R1598" s="20">
        <f>IF(I1598="","",IF(I1598="Trading",O1598,0))</f>
        <v/>
      </c>
      <c r="S1598" s="19">
        <f>IF(I1598="","",IF(AND(I1598="Gasto",K1598="Variable",J1598&lt;&gt;"Trading",O1598&gt;0,O1598&lt;=Umbral),1,0))</f>
        <v/>
      </c>
      <c r="T1598" s="20">
        <f>IF(OR(I1598="",E1598=""),"",IF(OR(I1598="Gasto",I1598="Transferencia",I1598="Pago tarjeta"),-1,1)*C1598)</f>
        <v/>
      </c>
      <c r="U1598" s="20">
        <f>IF(OR(G1598="",AND(I1598&lt;&gt;"Transferencia",I1598&lt;&gt;"Pago tarjeta")),"",IF(IFERROR(INDEX(ctaMon,MATCH(G1598,ctaNom,0))&amp;"","DOP")=N1598,C1598,IF(N1598="USD",C1598*TasaUSD,C1598/TasaUSD)))</f>
        <v/>
      </c>
      <c r="V1598" s="20">
        <f>IF(I1598="","",IF(IFERROR(INDEX(ctaLiq,MATCH(E1598,ctaNom,0))="Sí",FALSE),IF(OR(I1598="Gasto",I1598="Transferencia",I1598="Pago tarjeta"),-1,1)*O1598,0)+IF(AND(U1598&lt;&gt;"",IFERROR(INDEX(ctaLiq,MATCH(G1598,ctaNom,0))="Sí",FALSE)),O1598,0))</f>
        <v/>
      </c>
      <c r="W1598" s="19">
        <f>IF(OR(F1598="",I1598=""),"",IF(COUNTIFS(F$6:F1598,F1598,I$6:I1598,"?*")=1,MAX(W$5:W1597)+1,""))</f>
        <v/>
      </c>
    </row>
    <row r="1599">
      <c r="B1599" s="15" t="n"/>
      <c r="C1599" s="16" t="n"/>
      <c r="D1599" s="17" t="n"/>
      <c r="E1599" s="17" t="n"/>
      <c r="F1599" s="17" t="n"/>
      <c r="G1599" s="17" t="n"/>
      <c r="H1599" s="18">
        <f>IF(AND(B1599="",C1599="",D1599="",E1599=""),"",IF(B1599="","⚠ Falta fecha",IF(C1599="","⚠ Falta monto",IF(D1599="","⚠ Falta categoría",IF(ISNA(MATCH(D1599,catNom,0)),"⚠ Categoría no existe",IF(E1599="","⚠ Falta cuenta",IF(ISNA(MATCH(E1599,ctaNom,0)),"⚠ Cuenta no existe",IF(AND(OR(I1599="Transferencia",I1599="Pago tarjeta"),G1599=""),"⚠ Indica la cuenta «Hacia»",IF(AND(G1599&lt;&gt;"",G1599=E1599),"⚠ «Hacia» igual a la cuenta",IF(AND(G1599&lt;&gt;"",ISNA(MATCH(G1599,ctaNom,0))),"⚠ «Hacia» no existe",IF(AND(I1599="Pago tarjeta",IFERROR(INDEX(ctaTipo,MATCH(G1599,ctaNom,0)),"")&lt;&gt;"Tarjeta de crédito"),"⚠ «Hacia» debe ser la tarjeta",IF(AND(I1599="Trading",IFERROR(INDEX(ctaTipo,MATCH(E1599,ctaNom,0)),"")&lt;&gt;"Cuenta de trading"),"⚠ Usa la cuenta de trading","✓"))))))))))))</f>
        <v/>
      </c>
      <c r="I1599" s="19">
        <f>IF(OR(B1599="",C1599="",D1599=""),"",IFERROR(INDEX(catTipo,MATCH(D1599,catNom,0))&amp;"",""))</f>
        <v/>
      </c>
      <c r="J1599" s="19">
        <f>IF(I1599="","",IFERROR(INDEX(catGrupo,MATCH(D1599,catNom,0))&amp;"",""))</f>
        <v/>
      </c>
      <c r="K1599" s="19">
        <f>IF(I1599="Gasto",IF(IFERROR(INDEX(catClas,MATCH(D1599,catNom,0))&amp;"","")="","Variable",IFERROR(INDEX(catClas,MATCH(D1599,catNom,0))&amp;"","")),"")</f>
        <v/>
      </c>
      <c r="L1599" s="19">
        <f>IF(I1599="","",IFERROR(INDEX(catAlim,MATCH(D1599,catNom,0))&amp;"",""))</f>
        <v/>
      </c>
      <c r="M1599" s="19">
        <f>IF(I1599="","",IFERROR(INDEX(catComida,MATCH(D1599,catNom,0))&amp;"",""))</f>
        <v/>
      </c>
      <c r="N1599" s="19">
        <f>IF(I1599="","",IFERROR(INDEX(ctaMon,MATCH(E1599,ctaNom,0))&amp;"","DOP"))</f>
        <v/>
      </c>
      <c r="O1599" s="20">
        <f>IF(I1599="","",C1599*IF(N1599="USD",TasaUSD,1))</f>
        <v/>
      </c>
      <c r="P1599" s="20">
        <f>IF(I1599="","",IF(I1599="Gasto",O1599,0))</f>
        <v/>
      </c>
      <c r="Q1599" s="20">
        <f>IF(I1599="","",IF(I1599="Ingreso",O1599,0))</f>
        <v/>
      </c>
      <c r="R1599" s="20">
        <f>IF(I1599="","",IF(I1599="Trading",O1599,0))</f>
        <v/>
      </c>
      <c r="S1599" s="19">
        <f>IF(I1599="","",IF(AND(I1599="Gasto",K1599="Variable",J1599&lt;&gt;"Trading",O1599&gt;0,O1599&lt;=Umbral),1,0))</f>
        <v/>
      </c>
      <c r="T1599" s="20">
        <f>IF(OR(I1599="",E1599=""),"",IF(OR(I1599="Gasto",I1599="Transferencia",I1599="Pago tarjeta"),-1,1)*C1599)</f>
        <v/>
      </c>
      <c r="U1599" s="20">
        <f>IF(OR(G1599="",AND(I1599&lt;&gt;"Transferencia",I1599&lt;&gt;"Pago tarjeta")),"",IF(IFERROR(INDEX(ctaMon,MATCH(G1599,ctaNom,0))&amp;"","DOP")=N1599,C1599,IF(N1599="USD",C1599*TasaUSD,C1599/TasaUSD)))</f>
        <v/>
      </c>
      <c r="V1599" s="20">
        <f>IF(I1599="","",IF(IFERROR(INDEX(ctaLiq,MATCH(E1599,ctaNom,0))="Sí",FALSE),IF(OR(I1599="Gasto",I1599="Transferencia",I1599="Pago tarjeta"),-1,1)*O1599,0)+IF(AND(U1599&lt;&gt;"",IFERROR(INDEX(ctaLiq,MATCH(G1599,ctaNom,0))="Sí",FALSE)),O1599,0))</f>
        <v/>
      </c>
      <c r="W1599" s="19">
        <f>IF(OR(F1599="",I1599=""),"",IF(COUNTIFS(F$6:F1599,F1599,I$6:I1599,"?*")=1,MAX(W$5:W1598)+1,""))</f>
        <v/>
      </c>
    </row>
    <row r="1600">
      <c r="B1600" s="15" t="n"/>
      <c r="C1600" s="16" t="n"/>
      <c r="D1600" s="17" t="n"/>
      <c r="E1600" s="17" t="n"/>
      <c r="F1600" s="17" t="n"/>
      <c r="G1600" s="17" t="n"/>
      <c r="H1600" s="18">
        <f>IF(AND(B1600="",C1600="",D1600="",E1600=""),"",IF(B1600="","⚠ Falta fecha",IF(C1600="","⚠ Falta monto",IF(D1600="","⚠ Falta categoría",IF(ISNA(MATCH(D1600,catNom,0)),"⚠ Categoría no existe",IF(E1600="","⚠ Falta cuenta",IF(ISNA(MATCH(E1600,ctaNom,0)),"⚠ Cuenta no existe",IF(AND(OR(I1600="Transferencia",I1600="Pago tarjeta"),G1600=""),"⚠ Indica la cuenta «Hacia»",IF(AND(G1600&lt;&gt;"",G1600=E1600),"⚠ «Hacia» igual a la cuenta",IF(AND(G1600&lt;&gt;"",ISNA(MATCH(G1600,ctaNom,0))),"⚠ «Hacia» no existe",IF(AND(I1600="Pago tarjeta",IFERROR(INDEX(ctaTipo,MATCH(G1600,ctaNom,0)),"")&lt;&gt;"Tarjeta de crédito"),"⚠ «Hacia» debe ser la tarjeta",IF(AND(I1600="Trading",IFERROR(INDEX(ctaTipo,MATCH(E1600,ctaNom,0)),"")&lt;&gt;"Cuenta de trading"),"⚠ Usa la cuenta de trading","✓"))))))))))))</f>
        <v/>
      </c>
      <c r="I1600" s="19">
        <f>IF(OR(B1600="",C1600="",D1600=""),"",IFERROR(INDEX(catTipo,MATCH(D1600,catNom,0))&amp;"",""))</f>
        <v/>
      </c>
      <c r="J1600" s="19">
        <f>IF(I1600="","",IFERROR(INDEX(catGrupo,MATCH(D1600,catNom,0))&amp;"",""))</f>
        <v/>
      </c>
      <c r="K1600" s="19">
        <f>IF(I1600="Gasto",IF(IFERROR(INDEX(catClas,MATCH(D1600,catNom,0))&amp;"","")="","Variable",IFERROR(INDEX(catClas,MATCH(D1600,catNom,0))&amp;"","")),"")</f>
        <v/>
      </c>
      <c r="L1600" s="19">
        <f>IF(I1600="","",IFERROR(INDEX(catAlim,MATCH(D1600,catNom,0))&amp;"",""))</f>
        <v/>
      </c>
      <c r="M1600" s="19">
        <f>IF(I1600="","",IFERROR(INDEX(catComida,MATCH(D1600,catNom,0))&amp;"",""))</f>
        <v/>
      </c>
      <c r="N1600" s="19">
        <f>IF(I1600="","",IFERROR(INDEX(ctaMon,MATCH(E1600,ctaNom,0))&amp;"","DOP"))</f>
        <v/>
      </c>
      <c r="O1600" s="20">
        <f>IF(I1600="","",C1600*IF(N1600="USD",TasaUSD,1))</f>
        <v/>
      </c>
      <c r="P1600" s="20">
        <f>IF(I1600="","",IF(I1600="Gasto",O1600,0))</f>
        <v/>
      </c>
      <c r="Q1600" s="20">
        <f>IF(I1600="","",IF(I1600="Ingreso",O1600,0))</f>
        <v/>
      </c>
      <c r="R1600" s="20">
        <f>IF(I1600="","",IF(I1600="Trading",O1600,0))</f>
        <v/>
      </c>
      <c r="S1600" s="19">
        <f>IF(I1600="","",IF(AND(I1600="Gasto",K1600="Variable",J1600&lt;&gt;"Trading",O1600&gt;0,O1600&lt;=Umbral),1,0))</f>
        <v/>
      </c>
      <c r="T1600" s="20">
        <f>IF(OR(I1600="",E1600=""),"",IF(OR(I1600="Gasto",I1600="Transferencia",I1600="Pago tarjeta"),-1,1)*C1600)</f>
        <v/>
      </c>
      <c r="U1600" s="20">
        <f>IF(OR(G1600="",AND(I1600&lt;&gt;"Transferencia",I1600&lt;&gt;"Pago tarjeta")),"",IF(IFERROR(INDEX(ctaMon,MATCH(G1600,ctaNom,0))&amp;"","DOP")=N1600,C1600,IF(N1600="USD",C1600*TasaUSD,C1600/TasaUSD)))</f>
        <v/>
      </c>
      <c r="V1600" s="20">
        <f>IF(I1600="","",IF(IFERROR(INDEX(ctaLiq,MATCH(E1600,ctaNom,0))="Sí",FALSE),IF(OR(I1600="Gasto",I1600="Transferencia",I1600="Pago tarjeta"),-1,1)*O1600,0)+IF(AND(U1600&lt;&gt;"",IFERROR(INDEX(ctaLiq,MATCH(G1600,ctaNom,0))="Sí",FALSE)),O1600,0))</f>
        <v/>
      </c>
      <c r="W1600" s="19">
        <f>IF(OR(F1600="",I1600=""),"",IF(COUNTIFS(F$6:F1600,F1600,I$6:I1600,"?*")=1,MAX(W$5:W1599)+1,""))</f>
        <v/>
      </c>
    </row>
    <row r="1601">
      <c r="B1601" s="15" t="n"/>
      <c r="C1601" s="16" t="n"/>
      <c r="D1601" s="17" t="n"/>
      <c r="E1601" s="17" t="n"/>
      <c r="F1601" s="17" t="n"/>
      <c r="G1601" s="17" t="n"/>
      <c r="H1601" s="18">
        <f>IF(AND(B1601="",C1601="",D1601="",E1601=""),"",IF(B1601="","⚠ Falta fecha",IF(C1601="","⚠ Falta monto",IF(D1601="","⚠ Falta categoría",IF(ISNA(MATCH(D1601,catNom,0)),"⚠ Categoría no existe",IF(E1601="","⚠ Falta cuenta",IF(ISNA(MATCH(E1601,ctaNom,0)),"⚠ Cuenta no existe",IF(AND(OR(I1601="Transferencia",I1601="Pago tarjeta"),G1601=""),"⚠ Indica la cuenta «Hacia»",IF(AND(G1601&lt;&gt;"",G1601=E1601),"⚠ «Hacia» igual a la cuenta",IF(AND(G1601&lt;&gt;"",ISNA(MATCH(G1601,ctaNom,0))),"⚠ «Hacia» no existe",IF(AND(I1601="Pago tarjeta",IFERROR(INDEX(ctaTipo,MATCH(G1601,ctaNom,0)),"")&lt;&gt;"Tarjeta de crédito"),"⚠ «Hacia» debe ser la tarjeta",IF(AND(I1601="Trading",IFERROR(INDEX(ctaTipo,MATCH(E1601,ctaNom,0)),"")&lt;&gt;"Cuenta de trading"),"⚠ Usa la cuenta de trading","✓"))))))))))))</f>
        <v/>
      </c>
      <c r="I1601" s="19">
        <f>IF(OR(B1601="",C1601="",D1601=""),"",IFERROR(INDEX(catTipo,MATCH(D1601,catNom,0))&amp;"",""))</f>
        <v/>
      </c>
      <c r="J1601" s="19">
        <f>IF(I1601="","",IFERROR(INDEX(catGrupo,MATCH(D1601,catNom,0))&amp;"",""))</f>
        <v/>
      </c>
      <c r="K1601" s="19">
        <f>IF(I1601="Gasto",IF(IFERROR(INDEX(catClas,MATCH(D1601,catNom,0))&amp;"","")="","Variable",IFERROR(INDEX(catClas,MATCH(D1601,catNom,0))&amp;"","")),"")</f>
        <v/>
      </c>
      <c r="L1601" s="19">
        <f>IF(I1601="","",IFERROR(INDEX(catAlim,MATCH(D1601,catNom,0))&amp;"",""))</f>
        <v/>
      </c>
      <c r="M1601" s="19">
        <f>IF(I1601="","",IFERROR(INDEX(catComida,MATCH(D1601,catNom,0))&amp;"",""))</f>
        <v/>
      </c>
      <c r="N1601" s="19">
        <f>IF(I1601="","",IFERROR(INDEX(ctaMon,MATCH(E1601,ctaNom,0))&amp;"","DOP"))</f>
        <v/>
      </c>
      <c r="O1601" s="20">
        <f>IF(I1601="","",C1601*IF(N1601="USD",TasaUSD,1))</f>
        <v/>
      </c>
      <c r="P1601" s="20">
        <f>IF(I1601="","",IF(I1601="Gasto",O1601,0))</f>
        <v/>
      </c>
      <c r="Q1601" s="20">
        <f>IF(I1601="","",IF(I1601="Ingreso",O1601,0))</f>
        <v/>
      </c>
      <c r="R1601" s="20">
        <f>IF(I1601="","",IF(I1601="Trading",O1601,0))</f>
        <v/>
      </c>
      <c r="S1601" s="19">
        <f>IF(I1601="","",IF(AND(I1601="Gasto",K1601="Variable",J1601&lt;&gt;"Trading",O1601&gt;0,O1601&lt;=Umbral),1,0))</f>
        <v/>
      </c>
      <c r="T1601" s="20">
        <f>IF(OR(I1601="",E1601=""),"",IF(OR(I1601="Gasto",I1601="Transferencia",I1601="Pago tarjeta"),-1,1)*C1601)</f>
        <v/>
      </c>
      <c r="U1601" s="20">
        <f>IF(OR(G1601="",AND(I1601&lt;&gt;"Transferencia",I1601&lt;&gt;"Pago tarjeta")),"",IF(IFERROR(INDEX(ctaMon,MATCH(G1601,ctaNom,0))&amp;"","DOP")=N1601,C1601,IF(N1601="USD",C1601*TasaUSD,C1601/TasaUSD)))</f>
        <v/>
      </c>
      <c r="V1601" s="20">
        <f>IF(I1601="","",IF(IFERROR(INDEX(ctaLiq,MATCH(E1601,ctaNom,0))="Sí",FALSE),IF(OR(I1601="Gasto",I1601="Transferencia",I1601="Pago tarjeta"),-1,1)*O1601,0)+IF(AND(U1601&lt;&gt;"",IFERROR(INDEX(ctaLiq,MATCH(G1601,ctaNom,0))="Sí",FALSE)),O1601,0))</f>
        <v/>
      </c>
      <c r="W1601" s="19">
        <f>IF(OR(F1601="",I1601=""),"",IF(COUNTIFS(F$6:F1601,F1601,I$6:I1601,"?*")=1,MAX(W$5:W1600)+1,""))</f>
        <v/>
      </c>
    </row>
    <row r="1602">
      <c r="B1602" s="15" t="n"/>
      <c r="C1602" s="16" t="n"/>
      <c r="D1602" s="17" t="n"/>
      <c r="E1602" s="17" t="n"/>
      <c r="F1602" s="17" t="n"/>
      <c r="G1602" s="17" t="n"/>
      <c r="H1602" s="18">
        <f>IF(AND(B1602="",C1602="",D1602="",E1602=""),"",IF(B1602="","⚠ Falta fecha",IF(C1602="","⚠ Falta monto",IF(D1602="","⚠ Falta categoría",IF(ISNA(MATCH(D1602,catNom,0)),"⚠ Categoría no existe",IF(E1602="","⚠ Falta cuenta",IF(ISNA(MATCH(E1602,ctaNom,0)),"⚠ Cuenta no existe",IF(AND(OR(I1602="Transferencia",I1602="Pago tarjeta"),G1602=""),"⚠ Indica la cuenta «Hacia»",IF(AND(G1602&lt;&gt;"",G1602=E1602),"⚠ «Hacia» igual a la cuenta",IF(AND(G1602&lt;&gt;"",ISNA(MATCH(G1602,ctaNom,0))),"⚠ «Hacia» no existe",IF(AND(I1602="Pago tarjeta",IFERROR(INDEX(ctaTipo,MATCH(G1602,ctaNom,0)),"")&lt;&gt;"Tarjeta de crédito"),"⚠ «Hacia» debe ser la tarjeta",IF(AND(I1602="Trading",IFERROR(INDEX(ctaTipo,MATCH(E1602,ctaNom,0)),"")&lt;&gt;"Cuenta de trading"),"⚠ Usa la cuenta de trading","✓"))))))))))))</f>
        <v/>
      </c>
      <c r="I1602" s="19">
        <f>IF(OR(B1602="",C1602="",D1602=""),"",IFERROR(INDEX(catTipo,MATCH(D1602,catNom,0))&amp;"",""))</f>
        <v/>
      </c>
      <c r="J1602" s="19">
        <f>IF(I1602="","",IFERROR(INDEX(catGrupo,MATCH(D1602,catNom,0))&amp;"",""))</f>
        <v/>
      </c>
      <c r="K1602" s="19">
        <f>IF(I1602="Gasto",IF(IFERROR(INDEX(catClas,MATCH(D1602,catNom,0))&amp;"","")="","Variable",IFERROR(INDEX(catClas,MATCH(D1602,catNom,0))&amp;"","")),"")</f>
        <v/>
      </c>
      <c r="L1602" s="19">
        <f>IF(I1602="","",IFERROR(INDEX(catAlim,MATCH(D1602,catNom,0))&amp;"",""))</f>
        <v/>
      </c>
      <c r="M1602" s="19">
        <f>IF(I1602="","",IFERROR(INDEX(catComida,MATCH(D1602,catNom,0))&amp;"",""))</f>
        <v/>
      </c>
      <c r="N1602" s="19">
        <f>IF(I1602="","",IFERROR(INDEX(ctaMon,MATCH(E1602,ctaNom,0))&amp;"","DOP"))</f>
        <v/>
      </c>
      <c r="O1602" s="20">
        <f>IF(I1602="","",C1602*IF(N1602="USD",TasaUSD,1))</f>
        <v/>
      </c>
      <c r="P1602" s="20">
        <f>IF(I1602="","",IF(I1602="Gasto",O1602,0))</f>
        <v/>
      </c>
      <c r="Q1602" s="20">
        <f>IF(I1602="","",IF(I1602="Ingreso",O1602,0))</f>
        <v/>
      </c>
      <c r="R1602" s="20">
        <f>IF(I1602="","",IF(I1602="Trading",O1602,0))</f>
        <v/>
      </c>
      <c r="S1602" s="19">
        <f>IF(I1602="","",IF(AND(I1602="Gasto",K1602="Variable",J1602&lt;&gt;"Trading",O1602&gt;0,O1602&lt;=Umbral),1,0))</f>
        <v/>
      </c>
      <c r="T1602" s="20">
        <f>IF(OR(I1602="",E1602=""),"",IF(OR(I1602="Gasto",I1602="Transferencia",I1602="Pago tarjeta"),-1,1)*C1602)</f>
        <v/>
      </c>
      <c r="U1602" s="20">
        <f>IF(OR(G1602="",AND(I1602&lt;&gt;"Transferencia",I1602&lt;&gt;"Pago tarjeta")),"",IF(IFERROR(INDEX(ctaMon,MATCH(G1602,ctaNom,0))&amp;"","DOP")=N1602,C1602,IF(N1602="USD",C1602*TasaUSD,C1602/TasaUSD)))</f>
        <v/>
      </c>
      <c r="V1602" s="20">
        <f>IF(I1602="","",IF(IFERROR(INDEX(ctaLiq,MATCH(E1602,ctaNom,0))="Sí",FALSE),IF(OR(I1602="Gasto",I1602="Transferencia",I1602="Pago tarjeta"),-1,1)*O1602,0)+IF(AND(U1602&lt;&gt;"",IFERROR(INDEX(ctaLiq,MATCH(G1602,ctaNom,0))="Sí",FALSE)),O1602,0))</f>
        <v/>
      </c>
      <c r="W1602" s="19">
        <f>IF(OR(F1602="",I1602=""),"",IF(COUNTIFS(F$6:F1602,F1602,I$6:I1602,"?*")=1,MAX(W$5:W1601)+1,""))</f>
        <v/>
      </c>
    </row>
    <row r="1603">
      <c r="B1603" s="15" t="n"/>
      <c r="C1603" s="16" t="n"/>
      <c r="D1603" s="17" t="n"/>
      <c r="E1603" s="17" t="n"/>
      <c r="F1603" s="17" t="n"/>
      <c r="G1603" s="17" t="n"/>
      <c r="H1603" s="18">
        <f>IF(AND(B1603="",C1603="",D1603="",E1603=""),"",IF(B1603="","⚠ Falta fecha",IF(C1603="","⚠ Falta monto",IF(D1603="","⚠ Falta categoría",IF(ISNA(MATCH(D1603,catNom,0)),"⚠ Categoría no existe",IF(E1603="","⚠ Falta cuenta",IF(ISNA(MATCH(E1603,ctaNom,0)),"⚠ Cuenta no existe",IF(AND(OR(I1603="Transferencia",I1603="Pago tarjeta"),G1603=""),"⚠ Indica la cuenta «Hacia»",IF(AND(G1603&lt;&gt;"",G1603=E1603),"⚠ «Hacia» igual a la cuenta",IF(AND(G1603&lt;&gt;"",ISNA(MATCH(G1603,ctaNom,0))),"⚠ «Hacia» no existe",IF(AND(I1603="Pago tarjeta",IFERROR(INDEX(ctaTipo,MATCH(G1603,ctaNom,0)),"")&lt;&gt;"Tarjeta de crédito"),"⚠ «Hacia» debe ser la tarjeta",IF(AND(I1603="Trading",IFERROR(INDEX(ctaTipo,MATCH(E1603,ctaNom,0)),"")&lt;&gt;"Cuenta de trading"),"⚠ Usa la cuenta de trading","✓"))))))))))))</f>
        <v/>
      </c>
      <c r="I1603" s="19">
        <f>IF(OR(B1603="",C1603="",D1603=""),"",IFERROR(INDEX(catTipo,MATCH(D1603,catNom,0))&amp;"",""))</f>
        <v/>
      </c>
      <c r="J1603" s="19">
        <f>IF(I1603="","",IFERROR(INDEX(catGrupo,MATCH(D1603,catNom,0))&amp;"",""))</f>
        <v/>
      </c>
      <c r="K1603" s="19">
        <f>IF(I1603="Gasto",IF(IFERROR(INDEX(catClas,MATCH(D1603,catNom,0))&amp;"","")="","Variable",IFERROR(INDEX(catClas,MATCH(D1603,catNom,0))&amp;"","")),"")</f>
        <v/>
      </c>
      <c r="L1603" s="19">
        <f>IF(I1603="","",IFERROR(INDEX(catAlim,MATCH(D1603,catNom,0))&amp;"",""))</f>
        <v/>
      </c>
      <c r="M1603" s="19">
        <f>IF(I1603="","",IFERROR(INDEX(catComida,MATCH(D1603,catNom,0))&amp;"",""))</f>
        <v/>
      </c>
      <c r="N1603" s="19">
        <f>IF(I1603="","",IFERROR(INDEX(ctaMon,MATCH(E1603,ctaNom,0))&amp;"","DOP"))</f>
        <v/>
      </c>
      <c r="O1603" s="20">
        <f>IF(I1603="","",C1603*IF(N1603="USD",TasaUSD,1))</f>
        <v/>
      </c>
      <c r="P1603" s="20">
        <f>IF(I1603="","",IF(I1603="Gasto",O1603,0))</f>
        <v/>
      </c>
      <c r="Q1603" s="20">
        <f>IF(I1603="","",IF(I1603="Ingreso",O1603,0))</f>
        <v/>
      </c>
      <c r="R1603" s="20">
        <f>IF(I1603="","",IF(I1603="Trading",O1603,0))</f>
        <v/>
      </c>
      <c r="S1603" s="19">
        <f>IF(I1603="","",IF(AND(I1603="Gasto",K1603="Variable",J1603&lt;&gt;"Trading",O1603&gt;0,O1603&lt;=Umbral),1,0))</f>
        <v/>
      </c>
      <c r="T1603" s="20">
        <f>IF(OR(I1603="",E1603=""),"",IF(OR(I1603="Gasto",I1603="Transferencia",I1603="Pago tarjeta"),-1,1)*C1603)</f>
        <v/>
      </c>
      <c r="U1603" s="20">
        <f>IF(OR(G1603="",AND(I1603&lt;&gt;"Transferencia",I1603&lt;&gt;"Pago tarjeta")),"",IF(IFERROR(INDEX(ctaMon,MATCH(G1603,ctaNom,0))&amp;"","DOP")=N1603,C1603,IF(N1603="USD",C1603*TasaUSD,C1603/TasaUSD)))</f>
        <v/>
      </c>
      <c r="V1603" s="20">
        <f>IF(I1603="","",IF(IFERROR(INDEX(ctaLiq,MATCH(E1603,ctaNom,0))="Sí",FALSE),IF(OR(I1603="Gasto",I1603="Transferencia",I1603="Pago tarjeta"),-1,1)*O1603,0)+IF(AND(U1603&lt;&gt;"",IFERROR(INDEX(ctaLiq,MATCH(G1603,ctaNom,0))="Sí",FALSE)),O1603,0))</f>
        <v/>
      </c>
      <c r="W1603" s="19">
        <f>IF(OR(F1603="",I1603=""),"",IF(COUNTIFS(F$6:F1603,F1603,I$6:I1603,"?*")=1,MAX(W$5:W1602)+1,""))</f>
        <v/>
      </c>
    </row>
    <row r="1604">
      <c r="B1604" s="15" t="n"/>
      <c r="C1604" s="16" t="n"/>
      <c r="D1604" s="17" t="n"/>
      <c r="E1604" s="17" t="n"/>
      <c r="F1604" s="17" t="n"/>
      <c r="G1604" s="17" t="n"/>
      <c r="H1604" s="18">
        <f>IF(AND(B1604="",C1604="",D1604="",E1604=""),"",IF(B1604="","⚠ Falta fecha",IF(C1604="","⚠ Falta monto",IF(D1604="","⚠ Falta categoría",IF(ISNA(MATCH(D1604,catNom,0)),"⚠ Categoría no existe",IF(E1604="","⚠ Falta cuenta",IF(ISNA(MATCH(E1604,ctaNom,0)),"⚠ Cuenta no existe",IF(AND(OR(I1604="Transferencia",I1604="Pago tarjeta"),G1604=""),"⚠ Indica la cuenta «Hacia»",IF(AND(G1604&lt;&gt;"",G1604=E1604),"⚠ «Hacia» igual a la cuenta",IF(AND(G1604&lt;&gt;"",ISNA(MATCH(G1604,ctaNom,0))),"⚠ «Hacia» no existe",IF(AND(I1604="Pago tarjeta",IFERROR(INDEX(ctaTipo,MATCH(G1604,ctaNom,0)),"")&lt;&gt;"Tarjeta de crédito"),"⚠ «Hacia» debe ser la tarjeta",IF(AND(I1604="Trading",IFERROR(INDEX(ctaTipo,MATCH(E1604,ctaNom,0)),"")&lt;&gt;"Cuenta de trading"),"⚠ Usa la cuenta de trading","✓"))))))))))))</f>
        <v/>
      </c>
      <c r="I1604" s="19">
        <f>IF(OR(B1604="",C1604="",D1604=""),"",IFERROR(INDEX(catTipo,MATCH(D1604,catNom,0))&amp;"",""))</f>
        <v/>
      </c>
      <c r="J1604" s="19">
        <f>IF(I1604="","",IFERROR(INDEX(catGrupo,MATCH(D1604,catNom,0))&amp;"",""))</f>
        <v/>
      </c>
      <c r="K1604" s="19">
        <f>IF(I1604="Gasto",IF(IFERROR(INDEX(catClas,MATCH(D1604,catNom,0))&amp;"","")="","Variable",IFERROR(INDEX(catClas,MATCH(D1604,catNom,0))&amp;"","")),"")</f>
        <v/>
      </c>
      <c r="L1604" s="19">
        <f>IF(I1604="","",IFERROR(INDEX(catAlim,MATCH(D1604,catNom,0))&amp;"",""))</f>
        <v/>
      </c>
      <c r="M1604" s="19">
        <f>IF(I1604="","",IFERROR(INDEX(catComida,MATCH(D1604,catNom,0))&amp;"",""))</f>
        <v/>
      </c>
      <c r="N1604" s="19">
        <f>IF(I1604="","",IFERROR(INDEX(ctaMon,MATCH(E1604,ctaNom,0))&amp;"","DOP"))</f>
        <v/>
      </c>
      <c r="O1604" s="20">
        <f>IF(I1604="","",C1604*IF(N1604="USD",TasaUSD,1))</f>
        <v/>
      </c>
      <c r="P1604" s="20">
        <f>IF(I1604="","",IF(I1604="Gasto",O1604,0))</f>
        <v/>
      </c>
      <c r="Q1604" s="20">
        <f>IF(I1604="","",IF(I1604="Ingreso",O1604,0))</f>
        <v/>
      </c>
      <c r="R1604" s="20">
        <f>IF(I1604="","",IF(I1604="Trading",O1604,0))</f>
        <v/>
      </c>
      <c r="S1604" s="19">
        <f>IF(I1604="","",IF(AND(I1604="Gasto",K1604="Variable",J1604&lt;&gt;"Trading",O1604&gt;0,O1604&lt;=Umbral),1,0))</f>
        <v/>
      </c>
      <c r="T1604" s="20">
        <f>IF(OR(I1604="",E1604=""),"",IF(OR(I1604="Gasto",I1604="Transferencia",I1604="Pago tarjeta"),-1,1)*C1604)</f>
        <v/>
      </c>
      <c r="U1604" s="20">
        <f>IF(OR(G1604="",AND(I1604&lt;&gt;"Transferencia",I1604&lt;&gt;"Pago tarjeta")),"",IF(IFERROR(INDEX(ctaMon,MATCH(G1604,ctaNom,0))&amp;"","DOP")=N1604,C1604,IF(N1604="USD",C1604*TasaUSD,C1604/TasaUSD)))</f>
        <v/>
      </c>
      <c r="V1604" s="20">
        <f>IF(I1604="","",IF(IFERROR(INDEX(ctaLiq,MATCH(E1604,ctaNom,0))="Sí",FALSE),IF(OR(I1604="Gasto",I1604="Transferencia",I1604="Pago tarjeta"),-1,1)*O1604,0)+IF(AND(U1604&lt;&gt;"",IFERROR(INDEX(ctaLiq,MATCH(G1604,ctaNom,0))="Sí",FALSE)),O1604,0))</f>
        <v/>
      </c>
      <c r="W1604" s="19">
        <f>IF(OR(F1604="",I1604=""),"",IF(COUNTIFS(F$6:F1604,F1604,I$6:I1604,"?*")=1,MAX(W$5:W1603)+1,""))</f>
        <v/>
      </c>
    </row>
    <row r="1605">
      <c r="B1605" s="15" t="n"/>
      <c r="C1605" s="16" t="n"/>
      <c r="D1605" s="17" t="n"/>
      <c r="E1605" s="17" t="n"/>
      <c r="F1605" s="17" t="n"/>
      <c r="G1605" s="17" t="n"/>
      <c r="H1605" s="18">
        <f>IF(AND(B1605="",C1605="",D1605="",E1605=""),"",IF(B1605="","⚠ Falta fecha",IF(C1605="","⚠ Falta monto",IF(D1605="","⚠ Falta categoría",IF(ISNA(MATCH(D1605,catNom,0)),"⚠ Categoría no existe",IF(E1605="","⚠ Falta cuenta",IF(ISNA(MATCH(E1605,ctaNom,0)),"⚠ Cuenta no existe",IF(AND(OR(I1605="Transferencia",I1605="Pago tarjeta"),G1605=""),"⚠ Indica la cuenta «Hacia»",IF(AND(G1605&lt;&gt;"",G1605=E1605),"⚠ «Hacia» igual a la cuenta",IF(AND(G1605&lt;&gt;"",ISNA(MATCH(G1605,ctaNom,0))),"⚠ «Hacia» no existe",IF(AND(I1605="Pago tarjeta",IFERROR(INDEX(ctaTipo,MATCH(G1605,ctaNom,0)),"")&lt;&gt;"Tarjeta de crédito"),"⚠ «Hacia» debe ser la tarjeta",IF(AND(I1605="Trading",IFERROR(INDEX(ctaTipo,MATCH(E1605,ctaNom,0)),"")&lt;&gt;"Cuenta de trading"),"⚠ Usa la cuenta de trading","✓"))))))))))))</f>
        <v/>
      </c>
      <c r="I1605" s="19">
        <f>IF(OR(B1605="",C1605="",D1605=""),"",IFERROR(INDEX(catTipo,MATCH(D1605,catNom,0))&amp;"",""))</f>
        <v/>
      </c>
      <c r="J1605" s="19">
        <f>IF(I1605="","",IFERROR(INDEX(catGrupo,MATCH(D1605,catNom,0))&amp;"",""))</f>
        <v/>
      </c>
      <c r="K1605" s="19">
        <f>IF(I1605="Gasto",IF(IFERROR(INDEX(catClas,MATCH(D1605,catNom,0))&amp;"","")="","Variable",IFERROR(INDEX(catClas,MATCH(D1605,catNom,0))&amp;"","")),"")</f>
        <v/>
      </c>
      <c r="L1605" s="19">
        <f>IF(I1605="","",IFERROR(INDEX(catAlim,MATCH(D1605,catNom,0))&amp;"",""))</f>
        <v/>
      </c>
      <c r="M1605" s="19">
        <f>IF(I1605="","",IFERROR(INDEX(catComida,MATCH(D1605,catNom,0))&amp;"",""))</f>
        <v/>
      </c>
      <c r="N1605" s="19">
        <f>IF(I1605="","",IFERROR(INDEX(ctaMon,MATCH(E1605,ctaNom,0))&amp;"","DOP"))</f>
        <v/>
      </c>
      <c r="O1605" s="20">
        <f>IF(I1605="","",C1605*IF(N1605="USD",TasaUSD,1))</f>
        <v/>
      </c>
      <c r="P1605" s="20">
        <f>IF(I1605="","",IF(I1605="Gasto",O1605,0))</f>
        <v/>
      </c>
      <c r="Q1605" s="20">
        <f>IF(I1605="","",IF(I1605="Ingreso",O1605,0))</f>
        <v/>
      </c>
      <c r="R1605" s="20">
        <f>IF(I1605="","",IF(I1605="Trading",O1605,0))</f>
        <v/>
      </c>
      <c r="S1605" s="19">
        <f>IF(I1605="","",IF(AND(I1605="Gasto",K1605="Variable",J1605&lt;&gt;"Trading",O1605&gt;0,O1605&lt;=Umbral),1,0))</f>
        <v/>
      </c>
      <c r="T1605" s="20">
        <f>IF(OR(I1605="",E1605=""),"",IF(OR(I1605="Gasto",I1605="Transferencia",I1605="Pago tarjeta"),-1,1)*C1605)</f>
        <v/>
      </c>
      <c r="U1605" s="20">
        <f>IF(OR(G1605="",AND(I1605&lt;&gt;"Transferencia",I1605&lt;&gt;"Pago tarjeta")),"",IF(IFERROR(INDEX(ctaMon,MATCH(G1605,ctaNom,0))&amp;"","DOP")=N1605,C1605,IF(N1605="USD",C1605*TasaUSD,C1605/TasaUSD)))</f>
        <v/>
      </c>
      <c r="V1605" s="20">
        <f>IF(I1605="","",IF(IFERROR(INDEX(ctaLiq,MATCH(E1605,ctaNom,0))="Sí",FALSE),IF(OR(I1605="Gasto",I1605="Transferencia",I1605="Pago tarjeta"),-1,1)*O1605,0)+IF(AND(U1605&lt;&gt;"",IFERROR(INDEX(ctaLiq,MATCH(G1605,ctaNom,0))="Sí",FALSE)),O1605,0))</f>
        <v/>
      </c>
      <c r="W1605" s="19">
        <f>IF(OR(F1605="",I1605=""),"",IF(COUNTIFS(F$6:F1605,F1605,I$6:I1605,"?*")=1,MAX(W$5:W1604)+1,""))</f>
        <v/>
      </c>
    </row>
    <row r="1606">
      <c r="B1606" s="15" t="n"/>
      <c r="C1606" s="16" t="n"/>
      <c r="D1606" s="17" t="n"/>
      <c r="E1606" s="17" t="n"/>
      <c r="F1606" s="17" t="n"/>
      <c r="G1606" s="17" t="n"/>
      <c r="H1606" s="18">
        <f>IF(AND(B1606="",C1606="",D1606="",E1606=""),"",IF(B1606="","⚠ Falta fecha",IF(C1606="","⚠ Falta monto",IF(D1606="","⚠ Falta categoría",IF(ISNA(MATCH(D1606,catNom,0)),"⚠ Categoría no existe",IF(E1606="","⚠ Falta cuenta",IF(ISNA(MATCH(E1606,ctaNom,0)),"⚠ Cuenta no existe",IF(AND(OR(I1606="Transferencia",I1606="Pago tarjeta"),G1606=""),"⚠ Indica la cuenta «Hacia»",IF(AND(G1606&lt;&gt;"",G1606=E1606),"⚠ «Hacia» igual a la cuenta",IF(AND(G1606&lt;&gt;"",ISNA(MATCH(G1606,ctaNom,0))),"⚠ «Hacia» no existe",IF(AND(I1606="Pago tarjeta",IFERROR(INDEX(ctaTipo,MATCH(G1606,ctaNom,0)),"")&lt;&gt;"Tarjeta de crédito"),"⚠ «Hacia» debe ser la tarjeta",IF(AND(I1606="Trading",IFERROR(INDEX(ctaTipo,MATCH(E1606,ctaNom,0)),"")&lt;&gt;"Cuenta de trading"),"⚠ Usa la cuenta de trading","✓"))))))))))))</f>
        <v/>
      </c>
      <c r="I1606" s="19">
        <f>IF(OR(B1606="",C1606="",D1606=""),"",IFERROR(INDEX(catTipo,MATCH(D1606,catNom,0))&amp;"",""))</f>
        <v/>
      </c>
      <c r="J1606" s="19">
        <f>IF(I1606="","",IFERROR(INDEX(catGrupo,MATCH(D1606,catNom,0))&amp;"",""))</f>
        <v/>
      </c>
      <c r="K1606" s="19">
        <f>IF(I1606="Gasto",IF(IFERROR(INDEX(catClas,MATCH(D1606,catNom,0))&amp;"","")="","Variable",IFERROR(INDEX(catClas,MATCH(D1606,catNom,0))&amp;"","")),"")</f>
        <v/>
      </c>
      <c r="L1606" s="19">
        <f>IF(I1606="","",IFERROR(INDEX(catAlim,MATCH(D1606,catNom,0))&amp;"",""))</f>
        <v/>
      </c>
      <c r="M1606" s="19">
        <f>IF(I1606="","",IFERROR(INDEX(catComida,MATCH(D1606,catNom,0))&amp;"",""))</f>
        <v/>
      </c>
      <c r="N1606" s="19">
        <f>IF(I1606="","",IFERROR(INDEX(ctaMon,MATCH(E1606,ctaNom,0))&amp;"","DOP"))</f>
        <v/>
      </c>
      <c r="O1606" s="20">
        <f>IF(I1606="","",C1606*IF(N1606="USD",TasaUSD,1))</f>
        <v/>
      </c>
      <c r="P1606" s="20">
        <f>IF(I1606="","",IF(I1606="Gasto",O1606,0))</f>
        <v/>
      </c>
      <c r="Q1606" s="20">
        <f>IF(I1606="","",IF(I1606="Ingreso",O1606,0))</f>
        <v/>
      </c>
      <c r="R1606" s="20">
        <f>IF(I1606="","",IF(I1606="Trading",O1606,0))</f>
        <v/>
      </c>
      <c r="S1606" s="19">
        <f>IF(I1606="","",IF(AND(I1606="Gasto",K1606="Variable",J1606&lt;&gt;"Trading",O1606&gt;0,O1606&lt;=Umbral),1,0))</f>
        <v/>
      </c>
      <c r="T1606" s="20">
        <f>IF(OR(I1606="",E1606=""),"",IF(OR(I1606="Gasto",I1606="Transferencia",I1606="Pago tarjeta"),-1,1)*C1606)</f>
        <v/>
      </c>
      <c r="U1606" s="20">
        <f>IF(OR(G1606="",AND(I1606&lt;&gt;"Transferencia",I1606&lt;&gt;"Pago tarjeta")),"",IF(IFERROR(INDEX(ctaMon,MATCH(G1606,ctaNom,0))&amp;"","DOP")=N1606,C1606,IF(N1606="USD",C1606*TasaUSD,C1606/TasaUSD)))</f>
        <v/>
      </c>
      <c r="V1606" s="20">
        <f>IF(I1606="","",IF(IFERROR(INDEX(ctaLiq,MATCH(E1606,ctaNom,0))="Sí",FALSE),IF(OR(I1606="Gasto",I1606="Transferencia",I1606="Pago tarjeta"),-1,1)*O1606,0)+IF(AND(U1606&lt;&gt;"",IFERROR(INDEX(ctaLiq,MATCH(G1606,ctaNom,0))="Sí",FALSE)),O1606,0))</f>
        <v/>
      </c>
      <c r="W1606" s="19">
        <f>IF(OR(F1606="",I1606=""),"",IF(COUNTIFS(F$6:F1606,F1606,I$6:I1606,"?*")=1,MAX(W$5:W1605)+1,""))</f>
        <v/>
      </c>
    </row>
    <row r="1607">
      <c r="B1607" s="15" t="n"/>
      <c r="C1607" s="16" t="n"/>
      <c r="D1607" s="17" t="n"/>
      <c r="E1607" s="17" t="n"/>
      <c r="F1607" s="17" t="n"/>
      <c r="G1607" s="17" t="n"/>
      <c r="H1607" s="18">
        <f>IF(AND(B1607="",C1607="",D1607="",E1607=""),"",IF(B1607="","⚠ Falta fecha",IF(C1607="","⚠ Falta monto",IF(D1607="","⚠ Falta categoría",IF(ISNA(MATCH(D1607,catNom,0)),"⚠ Categoría no existe",IF(E1607="","⚠ Falta cuenta",IF(ISNA(MATCH(E1607,ctaNom,0)),"⚠ Cuenta no existe",IF(AND(OR(I1607="Transferencia",I1607="Pago tarjeta"),G1607=""),"⚠ Indica la cuenta «Hacia»",IF(AND(G1607&lt;&gt;"",G1607=E1607),"⚠ «Hacia» igual a la cuenta",IF(AND(G1607&lt;&gt;"",ISNA(MATCH(G1607,ctaNom,0))),"⚠ «Hacia» no existe",IF(AND(I1607="Pago tarjeta",IFERROR(INDEX(ctaTipo,MATCH(G1607,ctaNom,0)),"")&lt;&gt;"Tarjeta de crédito"),"⚠ «Hacia» debe ser la tarjeta",IF(AND(I1607="Trading",IFERROR(INDEX(ctaTipo,MATCH(E1607,ctaNom,0)),"")&lt;&gt;"Cuenta de trading"),"⚠ Usa la cuenta de trading","✓"))))))))))))</f>
        <v/>
      </c>
      <c r="I1607" s="19">
        <f>IF(OR(B1607="",C1607="",D1607=""),"",IFERROR(INDEX(catTipo,MATCH(D1607,catNom,0))&amp;"",""))</f>
        <v/>
      </c>
      <c r="J1607" s="19">
        <f>IF(I1607="","",IFERROR(INDEX(catGrupo,MATCH(D1607,catNom,0))&amp;"",""))</f>
        <v/>
      </c>
      <c r="K1607" s="19">
        <f>IF(I1607="Gasto",IF(IFERROR(INDEX(catClas,MATCH(D1607,catNom,0))&amp;"","")="","Variable",IFERROR(INDEX(catClas,MATCH(D1607,catNom,0))&amp;"","")),"")</f>
        <v/>
      </c>
      <c r="L1607" s="19">
        <f>IF(I1607="","",IFERROR(INDEX(catAlim,MATCH(D1607,catNom,0))&amp;"",""))</f>
        <v/>
      </c>
      <c r="M1607" s="19">
        <f>IF(I1607="","",IFERROR(INDEX(catComida,MATCH(D1607,catNom,0))&amp;"",""))</f>
        <v/>
      </c>
      <c r="N1607" s="19">
        <f>IF(I1607="","",IFERROR(INDEX(ctaMon,MATCH(E1607,ctaNom,0))&amp;"","DOP"))</f>
        <v/>
      </c>
      <c r="O1607" s="20">
        <f>IF(I1607="","",C1607*IF(N1607="USD",TasaUSD,1))</f>
        <v/>
      </c>
      <c r="P1607" s="20">
        <f>IF(I1607="","",IF(I1607="Gasto",O1607,0))</f>
        <v/>
      </c>
      <c r="Q1607" s="20">
        <f>IF(I1607="","",IF(I1607="Ingreso",O1607,0))</f>
        <v/>
      </c>
      <c r="R1607" s="20">
        <f>IF(I1607="","",IF(I1607="Trading",O1607,0))</f>
        <v/>
      </c>
      <c r="S1607" s="19">
        <f>IF(I1607="","",IF(AND(I1607="Gasto",K1607="Variable",J1607&lt;&gt;"Trading",O1607&gt;0,O1607&lt;=Umbral),1,0))</f>
        <v/>
      </c>
      <c r="T1607" s="20">
        <f>IF(OR(I1607="",E1607=""),"",IF(OR(I1607="Gasto",I1607="Transferencia",I1607="Pago tarjeta"),-1,1)*C1607)</f>
        <v/>
      </c>
      <c r="U1607" s="20">
        <f>IF(OR(G1607="",AND(I1607&lt;&gt;"Transferencia",I1607&lt;&gt;"Pago tarjeta")),"",IF(IFERROR(INDEX(ctaMon,MATCH(G1607,ctaNom,0))&amp;"","DOP")=N1607,C1607,IF(N1607="USD",C1607*TasaUSD,C1607/TasaUSD)))</f>
        <v/>
      </c>
      <c r="V1607" s="20">
        <f>IF(I1607="","",IF(IFERROR(INDEX(ctaLiq,MATCH(E1607,ctaNom,0))="Sí",FALSE),IF(OR(I1607="Gasto",I1607="Transferencia",I1607="Pago tarjeta"),-1,1)*O1607,0)+IF(AND(U1607&lt;&gt;"",IFERROR(INDEX(ctaLiq,MATCH(G1607,ctaNom,0))="Sí",FALSE)),O1607,0))</f>
        <v/>
      </c>
      <c r="W1607" s="19">
        <f>IF(OR(F1607="",I1607=""),"",IF(COUNTIFS(F$6:F1607,F1607,I$6:I1607,"?*")=1,MAX(W$5:W1606)+1,""))</f>
        <v/>
      </c>
    </row>
    <row r="1608">
      <c r="B1608" s="15" t="n"/>
      <c r="C1608" s="16" t="n"/>
      <c r="D1608" s="17" t="n"/>
      <c r="E1608" s="17" t="n"/>
      <c r="F1608" s="17" t="n"/>
      <c r="G1608" s="17" t="n"/>
      <c r="H1608" s="18">
        <f>IF(AND(B1608="",C1608="",D1608="",E1608=""),"",IF(B1608="","⚠ Falta fecha",IF(C1608="","⚠ Falta monto",IF(D1608="","⚠ Falta categoría",IF(ISNA(MATCH(D1608,catNom,0)),"⚠ Categoría no existe",IF(E1608="","⚠ Falta cuenta",IF(ISNA(MATCH(E1608,ctaNom,0)),"⚠ Cuenta no existe",IF(AND(OR(I1608="Transferencia",I1608="Pago tarjeta"),G1608=""),"⚠ Indica la cuenta «Hacia»",IF(AND(G1608&lt;&gt;"",G1608=E1608),"⚠ «Hacia» igual a la cuenta",IF(AND(G1608&lt;&gt;"",ISNA(MATCH(G1608,ctaNom,0))),"⚠ «Hacia» no existe",IF(AND(I1608="Pago tarjeta",IFERROR(INDEX(ctaTipo,MATCH(G1608,ctaNom,0)),"")&lt;&gt;"Tarjeta de crédito"),"⚠ «Hacia» debe ser la tarjeta",IF(AND(I1608="Trading",IFERROR(INDEX(ctaTipo,MATCH(E1608,ctaNom,0)),"")&lt;&gt;"Cuenta de trading"),"⚠ Usa la cuenta de trading","✓"))))))))))))</f>
        <v/>
      </c>
      <c r="I1608" s="19">
        <f>IF(OR(B1608="",C1608="",D1608=""),"",IFERROR(INDEX(catTipo,MATCH(D1608,catNom,0))&amp;"",""))</f>
        <v/>
      </c>
      <c r="J1608" s="19">
        <f>IF(I1608="","",IFERROR(INDEX(catGrupo,MATCH(D1608,catNom,0))&amp;"",""))</f>
        <v/>
      </c>
      <c r="K1608" s="19">
        <f>IF(I1608="Gasto",IF(IFERROR(INDEX(catClas,MATCH(D1608,catNom,0))&amp;"","")="","Variable",IFERROR(INDEX(catClas,MATCH(D1608,catNom,0))&amp;"","")),"")</f>
        <v/>
      </c>
      <c r="L1608" s="19">
        <f>IF(I1608="","",IFERROR(INDEX(catAlim,MATCH(D1608,catNom,0))&amp;"",""))</f>
        <v/>
      </c>
      <c r="M1608" s="19">
        <f>IF(I1608="","",IFERROR(INDEX(catComida,MATCH(D1608,catNom,0))&amp;"",""))</f>
        <v/>
      </c>
      <c r="N1608" s="19">
        <f>IF(I1608="","",IFERROR(INDEX(ctaMon,MATCH(E1608,ctaNom,0))&amp;"","DOP"))</f>
        <v/>
      </c>
      <c r="O1608" s="20">
        <f>IF(I1608="","",C1608*IF(N1608="USD",TasaUSD,1))</f>
        <v/>
      </c>
      <c r="P1608" s="20">
        <f>IF(I1608="","",IF(I1608="Gasto",O1608,0))</f>
        <v/>
      </c>
      <c r="Q1608" s="20">
        <f>IF(I1608="","",IF(I1608="Ingreso",O1608,0))</f>
        <v/>
      </c>
      <c r="R1608" s="20">
        <f>IF(I1608="","",IF(I1608="Trading",O1608,0))</f>
        <v/>
      </c>
      <c r="S1608" s="19">
        <f>IF(I1608="","",IF(AND(I1608="Gasto",K1608="Variable",J1608&lt;&gt;"Trading",O1608&gt;0,O1608&lt;=Umbral),1,0))</f>
        <v/>
      </c>
      <c r="T1608" s="20">
        <f>IF(OR(I1608="",E1608=""),"",IF(OR(I1608="Gasto",I1608="Transferencia",I1608="Pago tarjeta"),-1,1)*C1608)</f>
        <v/>
      </c>
      <c r="U1608" s="20">
        <f>IF(OR(G1608="",AND(I1608&lt;&gt;"Transferencia",I1608&lt;&gt;"Pago tarjeta")),"",IF(IFERROR(INDEX(ctaMon,MATCH(G1608,ctaNom,0))&amp;"","DOP")=N1608,C1608,IF(N1608="USD",C1608*TasaUSD,C1608/TasaUSD)))</f>
        <v/>
      </c>
      <c r="V1608" s="20">
        <f>IF(I1608="","",IF(IFERROR(INDEX(ctaLiq,MATCH(E1608,ctaNom,0))="Sí",FALSE),IF(OR(I1608="Gasto",I1608="Transferencia",I1608="Pago tarjeta"),-1,1)*O1608,0)+IF(AND(U1608&lt;&gt;"",IFERROR(INDEX(ctaLiq,MATCH(G1608,ctaNom,0))="Sí",FALSE)),O1608,0))</f>
        <v/>
      </c>
      <c r="W1608" s="19">
        <f>IF(OR(F1608="",I1608=""),"",IF(COUNTIFS(F$6:F1608,F1608,I$6:I1608,"?*")=1,MAX(W$5:W1607)+1,""))</f>
        <v/>
      </c>
    </row>
    <row r="1609">
      <c r="B1609" s="15" t="n"/>
      <c r="C1609" s="16" t="n"/>
      <c r="D1609" s="17" t="n"/>
      <c r="E1609" s="17" t="n"/>
      <c r="F1609" s="17" t="n"/>
      <c r="G1609" s="17" t="n"/>
      <c r="H1609" s="18">
        <f>IF(AND(B1609="",C1609="",D1609="",E1609=""),"",IF(B1609="","⚠ Falta fecha",IF(C1609="","⚠ Falta monto",IF(D1609="","⚠ Falta categoría",IF(ISNA(MATCH(D1609,catNom,0)),"⚠ Categoría no existe",IF(E1609="","⚠ Falta cuenta",IF(ISNA(MATCH(E1609,ctaNom,0)),"⚠ Cuenta no existe",IF(AND(OR(I1609="Transferencia",I1609="Pago tarjeta"),G1609=""),"⚠ Indica la cuenta «Hacia»",IF(AND(G1609&lt;&gt;"",G1609=E1609),"⚠ «Hacia» igual a la cuenta",IF(AND(G1609&lt;&gt;"",ISNA(MATCH(G1609,ctaNom,0))),"⚠ «Hacia» no existe",IF(AND(I1609="Pago tarjeta",IFERROR(INDEX(ctaTipo,MATCH(G1609,ctaNom,0)),"")&lt;&gt;"Tarjeta de crédito"),"⚠ «Hacia» debe ser la tarjeta",IF(AND(I1609="Trading",IFERROR(INDEX(ctaTipo,MATCH(E1609,ctaNom,0)),"")&lt;&gt;"Cuenta de trading"),"⚠ Usa la cuenta de trading","✓"))))))))))))</f>
        <v/>
      </c>
      <c r="I1609" s="19">
        <f>IF(OR(B1609="",C1609="",D1609=""),"",IFERROR(INDEX(catTipo,MATCH(D1609,catNom,0))&amp;"",""))</f>
        <v/>
      </c>
      <c r="J1609" s="19">
        <f>IF(I1609="","",IFERROR(INDEX(catGrupo,MATCH(D1609,catNom,0))&amp;"",""))</f>
        <v/>
      </c>
      <c r="K1609" s="19">
        <f>IF(I1609="Gasto",IF(IFERROR(INDEX(catClas,MATCH(D1609,catNom,0))&amp;"","")="","Variable",IFERROR(INDEX(catClas,MATCH(D1609,catNom,0))&amp;"","")),"")</f>
        <v/>
      </c>
      <c r="L1609" s="19">
        <f>IF(I1609="","",IFERROR(INDEX(catAlim,MATCH(D1609,catNom,0))&amp;"",""))</f>
        <v/>
      </c>
      <c r="M1609" s="19">
        <f>IF(I1609="","",IFERROR(INDEX(catComida,MATCH(D1609,catNom,0))&amp;"",""))</f>
        <v/>
      </c>
      <c r="N1609" s="19">
        <f>IF(I1609="","",IFERROR(INDEX(ctaMon,MATCH(E1609,ctaNom,0))&amp;"","DOP"))</f>
        <v/>
      </c>
      <c r="O1609" s="20">
        <f>IF(I1609="","",C1609*IF(N1609="USD",TasaUSD,1))</f>
        <v/>
      </c>
      <c r="P1609" s="20">
        <f>IF(I1609="","",IF(I1609="Gasto",O1609,0))</f>
        <v/>
      </c>
      <c r="Q1609" s="20">
        <f>IF(I1609="","",IF(I1609="Ingreso",O1609,0))</f>
        <v/>
      </c>
      <c r="R1609" s="20">
        <f>IF(I1609="","",IF(I1609="Trading",O1609,0))</f>
        <v/>
      </c>
      <c r="S1609" s="19">
        <f>IF(I1609="","",IF(AND(I1609="Gasto",K1609="Variable",J1609&lt;&gt;"Trading",O1609&gt;0,O1609&lt;=Umbral),1,0))</f>
        <v/>
      </c>
      <c r="T1609" s="20">
        <f>IF(OR(I1609="",E1609=""),"",IF(OR(I1609="Gasto",I1609="Transferencia",I1609="Pago tarjeta"),-1,1)*C1609)</f>
        <v/>
      </c>
      <c r="U1609" s="20">
        <f>IF(OR(G1609="",AND(I1609&lt;&gt;"Transferencia",I1609&lt;&gt;"Pago tarjeta")),"",IF(IFERROR(INDEX(ctaMon,MATCH(G1609,ctaNom,0))&amp;"","DOP")=N1609,C1609,IF(N1609="USD",C1609*TasaUSD,C1609/TasaUSD)))</f>
        <v/>
      </c>
      <c r="V1609" s="20">
        <f>IF(I1609="","",IF(IFERROR(INDEX(ctaLiq,MATCH(E1609,ctaNom,0))="Sí",FALSE),IF(OR(I1609="Gasto",I1609="Transferencia",I1609="Pago tarjeta"),-1,1)*O1609,0)+IF(AND(U1609&lt;&gt;"",IFERROR(INDEX(ctaLiq,MATCH(G1609,ctaNom,0))="Sí",FALSE)),O1609,0))</f>
        <v/>
      </c>
      <c r="W1609" s="19">
        <f>IF(OR(F1609="",I1609=""),"",IF(COUNTIFS(F$6:F1609,F1609,I$6:I1609,"?*")=1,MAX(W$5:W1608)+1,""))</f>
        <v/>
      </c>
    </row>
    <row r="1610">
      <c r="B1610" s="15" t="n"/>
      <c r="C1610" s="16" t="n"/>
      <c r="D1610" s="17" t="n"/>
      <c r="E1610" s="17" t="n"/>
      <c r="F1610" s="17" t="n"/>
      <c r="G1610" s="17" t="n"/>
      <c r="H1610" s="18">
        <f>IF(AND(B1610="",C1610="",D1610="",E1610=""),"",IF(B1610="","⚠ Falta fecha",IF(C1610="","⚠ Falta monto",IF(D1610="","⚠ Falta categoría",IF(ISNA(MATCH(D1610,catNom,0)),"⚠ Categoría no existe",IF(E1610="","⚠ Falta cuenta",IF(ISNA(MATCH(E1610,ctaNom,0)),"⚠ Cuenta no existe",IF(AND(OR(I1610="Transferencia",I1610="Pago tarjeta"),G1610=""),"⚠ Indica la cuenta «Hacia»",IF(AND(G1610&lt;&gt;"",G1610=E1610),"⚠ «Hacia» igual a la cuenta",IF(AND(G1610&lt;&gt;"",ISNA(MATCH(G1610,ctaNom,0))),"⚠ «Hacia» no existe",IF(AND(I1610="Pago tarjeta",IFERROR(INDEX(ctaTipo,MATCH(G1610,ctaNom,0)),"")&lt;&gt;"Tarjeta de crédito"),"⚠ «Hacia» debe ser la tarjeta",IF(AND(I1610="Trading",IFERROR(INDEX(ctaTipo,MATCH(E1610,ctaNom,0)),"")&lt;&gt;"Cuenta de trading"),"⚠ Usa la cuenta de trading","✓"))))))))))))</f>
        <v/>
      </c>
      <c r="I1610" s="19">
        <f>IF(OR(B1610="",C1610="",D1610=""),"",IFERROR(INDEX(catTipo,MATCH(D1610,catNom,0))&amp;"",""))</f>
        <v/>
      </c>
      <c r="J1610" s="19">
        <f>IF(I1610="","",IFERROR(INDEX(catGrupo,MATCH(D1610,catNom,0))&amp;"",""))</f>
        <v/>
      </c>
      <c r="K1610" s="19">
        <f>IF(I1610="Gasto",IF(IFERROR(INDEX(catClas,MATCH(D1610,catNom,0))&amp;"","")="","Variable",IFERROR(INDEX(catClas,MATCH(D1610,catNom,0))&amp;"","")),"")</f>
        <v/>
      </c>
      <c r="L1610" s="19">
        <f>IF(I1610="","",IFERROR(INDEX(catAlim,MATCH(D1610,catNom,0))&amp;"",""))</f>
        <v/>
      </c>
      <c r="M1610" s="19">
        <f>IF(I1610="","",IFERROR(INDEX(catComida,MATCH(D1610,catNom,0))&amp;"",""))</f>
        <v/>
      </c>
      <c r="N1610" s="19">
        <f>IF(I1610="","",IFERROR(INDEX(ctaMon,MATCH(E1610,ctaNom,0))&amp;"","DOP"))</f>
        <v/>
      </c>
      <c r="O1610" s="20">
        <f>IF(I1610="","",C1610*IF(N1610="USD",TasaUSD,1))</f>
        <v/>
      </c>
      <c r="P1610" s="20">
        <f>IF(I1610="","",IF(I1610="Gasto",O1610,0))</f>
        <v/>
      </c>
      <c r="Q1610" s="20">
        <f>IF(I1610="","",IF(I1610="Ingreso",O1610,0))</f>
        <v/>
      </c>
      <c r="R1610" s="20">
        <f>IF(I1610="","",IF(I1610="Trading",O1610,0))</f>
        <v/>
      </c>
      <c r="S1610" s="19">
        <f>IF(I1610="","",IF(AND(I1610="Gasto",K1610="Variable",J1610&lt;&gt;"Trading",O1610&gt;0,O1610&lt;=Umbral),1,0))</f>
        <v/>
      </c>
      <c r="T1610" s="20">
        <f>IF(OR(I1610="",E1610=""),"",IF(OR(I1610="Gasto",I1610="Transferencia",I1610="Pago tarjeta"),-1,1)*C1610)</f>
        <v/>
      </c>
      <c r="U1610" s="20">
        <f>IF(OR(G1610="",AND(I1610&lt;&gt;"Transferencia",I1610&lt;&gt;"Pago tarjeta")),"",IF(IFERROR(INDEX(ctaMon,MATCH(G1610,ctaNom,0))&amp;"","DOP")=N1610,C1610,IF(N1610="USD",C1610*TasaUSD,C1610/TasaUSD)))</f>
        <v/>
      </c>
      <c r="V1610" s="20">
        <f>IF(I1610="","",IF(IFERROR(INDEX(ctaLiq,MATCH(E1610,ctaNom,0))="Sí",FALSE),IF(OR(I1610="Gasto",I1610="Transferencia",I1610="Pago tarjeta"),-1,1)*O1610,0)+IF(AND(U1610&lt;&gt;"",IFERROR(INDEX(ctaLiq,MATCH(G1610,ctaNom,0))="Sí",FALSE)),O1610,0))</f>
        <v/>
      </c>
      <c r="W1610" s="19">
        <f>IF(OR(F1610="",I1610=""),"",IF(COUNTIFS(F$6:F1610,F1610,I$6:I1610,"?*")=1,MAX(W$5:W1609)+1,""))</f>
        <v/>
      </c>
    </row>
    <row r="1611">
      <c r="B1611" s="15" t="n"/>
      <c r="C1611" s="16" t="n"/>
      <c r="D1611" s="17" t="n"/>
      <c r="E1611" s="17" t="n"/>
      <c r="F1611" s="17" t="n"/>
      <c r="G1611" s="17" t="n"/>
      <c r="H1611" s="18">
        <f>IF(AND(B1611="",C1611="",D1611="",E1611=""),"",IF(B1611="","⚠ Falta fecha",IF(C1611="","⚠ Falta monto",IF(D1611="","⚠ Falta categoría",IF(ISNA(MATCH(D1611,catNom,0)),"⚠ Categoría no existe",IF(E1611="","⚠ Falta cuenta",IF(ISNA(MATCH(E1611,ctaNom,0)),"⚠ Cuenta no existe",IF(AND(OR(I1611="Transferencia",I1611="Pago tarjeta"),G1611=""),"⚠ Indica la cuenta «Hacia»",IF(AND(G1611&lt;&gt;"",G1611=E1611),"⚠ «Hacia» igual a la cuenta",IF(AND(G1611&lt;&gt;"",ISNA(MATCH(G1611,ctaNom,0))),"⚠ «Hacia» no existe",IF(AND(I1611="Pago tarjeta",IFERROR(INDEX(ctaTipo,MATCH(G1611,ctaNom,0)),"")&lt;&gt;"Tarjeta de crédito"),"⚠ «Hacia» debe ser la tarjeta",IF(AND(I1611="Trading",IFERROR(INDEX(ctaTipo,MATCH(E1611,ctaNom,0)),"")&lt;&gt;"Cuenta de trading"),"⚠ Usa la cuenta de trading","✓"))))))))))))</f>
        <v/>
      </c>
      <c r="I1611" s="19">
        <f>IF(OR(B1611="",C1611="",D1611=""),"",IFERROR(INDEX(catTipo,MATCH(D1611,catNom,0))&amp;"",""))</f>
        <v/>
      </c>
      <c r="J1611" s="19">
        <f>IF(I1611="","",IFERROR(INDEX(catGrupo,MATCH(D1611,catNom,0))&amp;"",""))</f>
        <v/>
      </c>
      <c r="K1611" s="19">
        <f>IF(I1611="Gasto",IF(IFERROR(INDEX(catClas,MATCH(D1611,catNom,0))&amp;"","")="","Variable",IFERROR(INDEX(catClas,MATCH(D1611,catNom,0))&amp;"","")),"")</f>
        <v/>
      </c>
      <c r="L1611" s="19">
        <f>IF(I1611="","",IFERROR(INDEX(catAlim,MATCH(D1611,catNom,0))&amp;"",""))</f>
        <v/>
      </c>
      <c r="M1611" s="19">
        <f>IF(I1611="","",IFERROR(INDEX(catComida,MATCH(D1611,catNom,0))&amp;"",""))</f>
        <v/>
      </c>
      <c r="N1611" s="19">
        <f>IF(I1611="","",IFERROR(INDEX(ctaMon,MATCH(E1611,ctaNom,0))&amp;"","DOP"))</f>
        <v/>
      </c>
      <c r="O1611" s="20">
        <f>IF(I1611="","",C1611*IF(N1611="USD",TasaUSD,1))</f>
        <v/>
      </c>
      <c r="P1611" s="20">
        <f>IF(I1611="","",IF(I1611="Gasto",O1611,0))</f>
        <v/>
      </c>
      <c r="Q1611" s="20">
        <f>IF(I1611="","",IF(I1611="Ingreso",O1611,0))</f>
        <v/>
      </c>
      <c r="R1611" s="20">
        <f>IF(I1611="","",IF(I1611="Trading",O1611,0))</f>
        <v/>
      </c>
      <c r="S1611" s="19">
        <f>IF(I1611="","",IF(AND(I1611="Gasto",K1611="Variable",J1611&lt;&gt;"Trading",O1611&gt;0,O1611&lt;=Umbral),1,0))</f>
        <v/>
      </c>
      <c r="T1611" s="20">
        <f>IF(OR(I1611="",E1611=""),"",IF(OR(I1611="Gasto",I1611="Transferencia",I1611="Pago tarjeta"),-1,1)*C1611)</f>
        <v/>
      </c>
      <c r="U1611" s="20">
        <f>IF(OR(G1611="",AND(I1611&lt;&gt;"Transferencia",I1611&lt;&gt;"Pago tarjeta")),"",IF(IFERROR(INDEX(ctaMon,MATCH(G1611,ctaNom,0))&amp;"","DOP")=N1611,C1611,IF(N1611="USD",C1611*TasaUSD,C1611/TasaUSD)))</f>
        <v/>
      </c>
      <c r="V1611" s="20">
        <f>IF(I1611="","",IF(IFERROR(INDEX(ctaLiq,MATCH(E1611,ctaNom,0))="Sí",FALSE),IF(OR(I1611="Gasto",I1611="Transferencia",I1611="Pago tarjeta"),-1,1)*O1611,0)+IF(AND(U1611&lt;&gt;"",IFERROR(INDEX(ctaLiq,MATCH(G1611,ctaNom,0))="Sí",FALSE)),O1611,0))</f>
        <v/>
      </c>
      <c r="W1611" s="19">
        <f>IF(OR(F1611="",I1611=""),"",IF(COUNTIFS(F$6:F1611,F1611,I$6:I1611,"?*")=1,MAX(W$5:W1610)+1,""))</f>
        <v/>
      </c>
    </row>
    <row r="1612">
      <c r="B1612" s="15" t="n"/>
      <c r="C1612" s="16" t="n"/>
      <c r="D1612" s="17" t="n"/>
      <c r="E1612" s="17" t="n"/>
      <c r="F1612" s="17" t="n"/>
      <c r="G1612" s="17" t="n"/>
      <c r="H1612" s="18">
        <f>IF(AND(B1612="",C1612="",D1612="",E1612=""),"",IF(B1612="","⚠ Falta fecha",IF(C1612="","⚠ Falta monto",IF(D1612="","⚠ Falta categoría",IF(ISNA(MATCH(D1612,catNom,0)),"⚠ Categoría no existe",IF(E1612="","⚠ Falta cuenta",IF(ISNA(MATCH(E1612,ctaNom,0)),"⚠ Cuenta no existe",IF(AND(OR(I1612="Transferencia",I1612="Pago tarjeta"),G1612=""),"⚠ Indica la cuenta «Hacia»",IF(AND(G1612&lt;&gt;"",G1612=E1612),"⚠ «Hacia» igual a la cuenta",IF(AND(G1612&lt;&gt;"",ISNA(MATCH(G1612,ctaNom,0))),"⚠ «Hacia» no existe",IF(AND(I1612="Pago tarjeta",IFERROR(INDEX(ctaTipo,MATCH(G1612,ctaNom,0)),"")&lt;&gt;"Tarjeta de crédito"),"⚠ «Hacia» debe ser la tarjeta",IF(AND(I1612="Trading",IFERROR(INDEX(ctaTipo,MATCH(E1612,ctaNom,0)),"")&lt;&gt;"Cuenta de trading"),"⚠ Usa la cuenta de trading","✓"))))))))))))</f>
        <v/>
      </c>
      <c r="I1612" s="19">
        <f>IF(OR(B1612="",C1612="",D1612=""),"",IFERROR(INDEX(catTipo,MATCH(D1612,catNom,0))&amp;"",""))</f>
        <v/>
      </c>
      <c r="J1612" s="19">
        <f>IF(I1612="","",IFERROR(INDEX(catGrupo,MATCH(D1612,catNom,0))&amp;"",""))</f>
        <v/>
      </c>
      <c r="K1612" s="19">
        <f>IF(I1612="Gasto",IF(IFERROR(INDEX(catClas,MATCH(D1612,catNom,0))&amp;"","")="","Variable",IFERROR(INDEX(catClas,MATCH(D1612,catNom,0))&amp;"","")),"")</f>
        <v/>
      </c>
      <c r="L1612" s="19">
        <f>IF(I1612="","",IFERROR(INDEX(catAlim,MATCH(D1612,catNom,0))&amp;"",""))</f>
        <v/>
      </c>
      <c r="M1612" s="19">
        <f>IF(I1612="","",IFERROR(INDEX(catComida,MATCH(D1612,catNom,0))&amp;"",""))</f>
        <v/>
      </c>
      <c r="N1612" s="19">
        <f>IF(I1612="","",IFERROR(INDEX(ctaMon,MATCH(E1612,ctaNom,0))&amp;"","DOP"))</f>
        <v/>
      </c>
      <c r="O1612" s="20">
        <f>IF(I1612="","",C1612*IF(N1612="USD",TasaUSD,1))</f>
        <v/>
      </c>
      <c r="P1612" s="20">
        <f>IF(I1612="","",IF(I1612="Gasto",O1612,0))</f>
        <v/>
      </c>
      <c r="Q1612" s="20">
        <f>IF(I1612="","",IF(I1612="Ingreso",O1612,0))</f>
        <v/>
      </c>
      <c r="R1612" s="20">
        <f>IF(I1612="","",IF(I1612="Trading",O1612,0))</f>
        <v/>
      </c>
      <c r="S1612" s="19">
        <f>IF(I1612="","",IF(AND(I1612="Gasto",K1612="Variable",J1612&lt;&gt;"Trading",O1612&gt;0,O1612&lt;=Umbral),1,0))</f>
        <v/>
      </c>
      <c r="T1612" s="20">
        <f>IF(OR(I1612="",E1612=""),"",IF(OR(I1612="Gasto",I1612="Transferencia",I1612="Pago tarjeta"),-1,1)*C1612)</f>
        <v/>
      </c>
      <c r="U1612" s="20">
        <f>IF(OR(G1612="",AND(I1612&lt;&gt;"Transferencia",I1612&lt;&gt;"Pago tarjeta")),"",IF(IFERROR(INDEX(ctaMon,MATCH(G1612,ctaNom,0))&amp;"","DOP")=N1612,C1612,IF(N1612="USD",C1612*TasaUSD,C1612/TasaUSD)))</f>
        <v/>
      </c>
      <c r="V1612" s="20">
        <f>IF(I1612="","",IF(IFERROR(INDEX(ctaLiq,MATCH(E1612,ctaNom,0))="Sí",FALSE),IF(OR(I1612="Gasto",I1612="Transferencia",I1612="Pago tarjeta"),-1,1)*O1612,0)+IF(AND(U1612&lt;&gt;"",IFERROR(INDEX(ctaLiq,MATCH(G1612,ctaNom,0))="Sí",FALSE)),O1612,0))</f>
        <v/>
      </c>
      <c r="W1612" s="19">
        <f>IF(OR(F1612="",I1612=""),"",IF(COUNTIFS(F$6:F1612,F1612,I$6:I1612,"?*")=1,MAX(W$5:W1611)+1,""))</f>
        <v/>
      </c>
    </row>
    <row r="1613">
      <c r="B1613" s="15" t="n"/>
      <c r="C1613" s="16" t="n"/>
      <c r="D1613" s="17" t="n"/>
      <c r="E1613" s="17" t="n"/>
      <c r="F1613" s="17" t="n"/>
      <c r="G1613" s="17" t="n"/>
      <c r="H1613" s="18">
        <f>IF(AND(B1613="",C1613="",D1613="",E1613=""),"",IF(B1613="","⚠ Falta fecha",IF(C1613="","⚠ Falta monto",IF(D1613="","⚠ Falta categoría",IF(ISNA(MATCH(D1613,catNom,0)),"⚠ Categoría no existe",IF(E1613="","⚠ Falta cuenta",IF(ISNA(MATCH(E1613,ctaNom,0)),"⚠ Cuenta no existe",IF(AND(OR(I1613="Transferencia",I1613="Pago tarjeta"),G1613=""),"⚠ Indica la cuenta «Hacia»",IF(AND(G1613&lt;&gt;"",G1613=E1613),"⚠ «Hacia» igual a la cuenta",IF(AND(G1613&lt;&gt;"",ISNA(MATCH(G1613,ctaNom,0))),"⚠ «Hacia» no existe",IF(AND(I1613="Pago tarjeta",IFERROR(INDEX(ctaTipo,MATCH(G1613,ctaNom,0)),"")&lt;&gt;"Tarjeta de crédito"),"⚠ «Hacia» debe ser la tarjeta",IF(AND(I1613="Trading",IFERROR(INDEX(ctaTipo,MATCH(E1613,ctaNom,0)),"")&lt;&gt;"Cuenta de trading"),"⚠ Usa la cuenta de trading","✓"))))))))))))</f>
        <v/>
      </c>
      <c r="I1613" s="19">
        <f>IF(OR(B1613="",C1613="",D1613=""),"",IFERROR(INDEX(catTipo,MATCH(D1613,catNom,0))&amp;"",""))</f>
        <v/>
      </c>
      <c r="J1613" s="19">
        <f>IF(I1613="","",IFERROR(INDEX(catGrupo,MATCH(D1613,catNom,0))&amp;"",""))</f>
        <v/>
      </c>
      <c r="K1613" s="19">
        <f>IF(I1613="Gasto",IF(IFERROR(INDEX(catClas,MATCH(D1613,catNom,0))&amp;"","")="","Variable",IFERROR(INDEX(catClas,MATCH(D1613,catNom,0))&amp;"","")),"")</f>
        <v/>
      </c>
      <c r="L1613" s="19">
        <f>IF(I1613="","",IFERROR(INDEX(catAlim,MATCH(D1613,catNom,0))&amp;"",""))</f>
        <v/>
      </c>
      <c r="M1613" s="19">
        <f>IF(I1613="","",IFERROR(INDEX(catComida,MATCH(D1613,catNom,0))&amp;"",""))</f>
        <v/>
      </c>
      <c r="N1613" s="19">
        <f>IF(I1613="","",IFERROR(INDEX(ctaMon,MATCH(E1613,ctaNom,0))&amp;"","DOP"))</f>
        <v/>
      </c>
      <c r="O1613" s="20">
        <f>IF(I1613="","",C1613*IF(N1613="USD",TasaUSD,1))</f>
        <v/>
      </c>
      <c r="P1613" s="20">
        <f>IF(I1613="","",IF(I1613="Gasto",O1613,0))</f>
        <v/>
      </c>
      <c r="Q1613" s="20">
        <f>IF(I1613="","",IF(I1613="Ingreso",O1613,0))</f>
        <v/>
      </c>
      <c r="R1613" s="20">
        <f>IF(I1613="","",IF(I1613="Trading",O1613,0))</f>
        <v/>
      </c>
      <c r="S1613" s="19">
        <f>IF(I1613="","",IF(AND(I1613="Gasto",K1613="Variable",J1613&lt;&gt;"Trading",O1613&gt;0,O1613&lt;=Umbral),1,0))</f>
        <v/>
      </c>
      <c r="T1613" s="20">
        <f>IF(OR(I1613="",E1613=""),"",IF(OR(I1613="Gasto",I1613="Transferencia",I1613="Pago tarjeta"),-1,1)*C1613)</f>
        <v/>
      </c>
      <c r="U1613" s="20">
        <f>IF(OR(G1613="",AND(I1613&lt;&gt;"Transferencia",I1613&lt;&gt;"Pago tarjeta")),"",IF(IFERROR(INDEX(ctaMon,MATCH(G1613,ctaNom,0))&amp;"","DOP")=N1613,C1613,IF(N1613="USD",C1613*TasaUSD,C1613/TasaUSD)))</f>
        <v/>
      </c>
      <c r="V1613" s="20">
        <f>IF(I1613="","",IF(IFERROR(INDEX(ctaLiq,MATCH(E1613,ctaNom,0))="Sí",FALSE),IF(OR(I1613="Gasto",I1613="Transferencia",I1613="Pago tarjeta"),-1,1)*O1613,0)+IF(AND(U1613&lt;&gt;"",IFERROR(INDEX(ctaLiq,MATCH(G1613,ctaNom,0))="Sí",FALSE)),O1613,0))</f>
        <v/>
      </c>
      <c r="W1613" s="19">
        <f>IF(OR(F1613="",I1613=""),"",IF(COUNTIFS(F$6:F1613,F1613,I$6:I1613,"?*")=1,MAX(W$5:W1612)+1,""))</f>
        <v/>
      </c>
    </row>
    <row r="1614">
      <c r="B1614" s="15" t="n"/>
      <c r="C1614" s="16" t="n"/>
      <c r="D1614" s="17" t="n"/>
      <c r="E1614" s="17" t="n"/>
      <c r="F1614" s="17" t="n"/>
      <c r="G1614" s="17" t="n"/>
      <c r="H1614" s="18">
        <f>IF(AND(B1614="",C1614="",D1614="",E1614=""),"",IF(B1614="","⚠ Falta fecha",IF(C1614="","⚠ Falta monto",IF(D1614="","⚠ Falta categoría",IF(ISNA(MATCH(D1614,catNom,0)),"⚠ Categoría no existe",IF(E1614="","⚠ Falta cuenta",IF(ISNA(MATCH(E1614,ctaNom,0)),"⚠ Cuenta no existe",IF(AND(OR(I1614="Transferencia",I1614="Pago tarjeta"),G1614=""),"⚠ Indica la cuenta «Hacia»",IF(AND(G1614&lt;&gt;"",G1614=E1614),"⚠ «Hacia» igual a la cuenta",IF(AND(G1614&lt;&gt;"",ISNA(MATCH(G1614,ctaNom,0))),"⚠ «Hacia» no existe",IF(AND(I1614="Pago tarjeta",IFERROR(INDEX(ctaTipo,MATCH(G1614,ctaNom,0)),"")&lt;&gt;"Tarjeta de crédito"),"⚠ «Hacia» debe ser la tarjeta",IF(AND(I1614="Trading",IFERROR(INDEX(ctaTipo,MATCH(E1614,ctaNom,0)),"")&lt;&gt;"Cuenta de trading"),"⚠ Usa la cuenta de trading","✓"))))))))))))</f>
        <v/>
      </c>
      <c r="I1614" s="19">
        <f>IF(OR(B1614="",C1614="",D1614=""),"",IFERROR(INDEX(catTipo,MATCH(D1614,catNom,0))&amp;"",""))</f>
        <v/>
      </c>
      <c r="J1614" s="19">
        <f>IF(I1614="","",IFERROR(INDEX(catGrupo,MATCH(D1614,catNom,0))&amp;"",""))</f>
        <v/>
      </c>
      <c r="K1614" s="19">
        <f>IF(I1614="Gasto",IF(IFERROR(INDEX(catClas,MATCH(D1614,catNom,0))&amp;"","")="","Variable",IFERROR(INDEX(catClas,MATCH(D1614,catNom,0))&amp;"","")),"")</f>
        <v/>
      </c>
      <c r="L1614" s="19">
        <f>IF(I1614="","",IFERROR(INDEX(catAlim,MATCH(D1614,catNom,0))&amp;"",""))</f>
        <v/>
      </c>
      <c r="M1614" s="19">
        <f>IF(I1614="","",IFERROR(INDEX(catComida,MATCH(D1614,catNom,0))&amp;"",""))</f>
        <v/>
      </c>
      <c r="N1614" s="19">
        <f>IF(I1614="","",IFERROR(INDEX(ctaMon,MATCH(E1614,ctaNom,0))&amp;"","DOP"))</f>
        <v/>
      </c>
      <c r="O1614" s="20">
        <f>IF(I1614="","",C1614*IF(N1614="USD",TasaUSD,1))</f>
        <v/>
      </c>
      <c r="P1614" s="20">
        <f>IF(I1614="","",IF(I1614="Gasto",O1614,0))</f>
        <v/>
      </c>
      <c r="Q1614" s="20">
        <f>IF(I1614="","",IF(I1614="Ingreso",O1614,0))</f>
        <v/>
      </c>
      <c r="R1614" s="20">
        <f>IF(I1614="","",IF(I1614="Trading",O1614,0))</f>
        <v/>
      </c>
      <c r="S1614" s="19">
        <f>IF(I1614="","",IF(AND(I1614="Gasto",K1614="Variable",J1614&lt;&gt;"Trading",O1614&gt;0,O1614&lt;=Umbral),1,0))</f>
        <v/>
      </c>
      <c r="T1614" s="20">
        <f>IF(OR(I1614="",E1614=""),"",IF(OR(I1614="Gasto",I1614="Transferencia",I1614="Pago tarjeta"),-1,1)*C1614)</f>
        <v/>
      </c>
      <c r="U1614" s="20">
        <f>IF(OR(G1614="",AND(I1614&lt;&gt;"Transferencia",I1614&lt;&gt;"Pago tarjeta")),"",IF(IFERROR(INDEX(ctaMon,MATCH(G1614,ctaNom,0))&amp;"","DOP")=N1614,C1614,IF(N1614="USD",C1614*TasaUSD,C1614/TasaUSD)))</f>
        <v/>
      </c>
      <c r="V1614" s="20">
        <f>IF(I1614="","",IF(IFERROR(INDEX(ctaLiq,MATCH(E1614,ctaNom,0))="Sí",FALSE),IF(OR(I1614="Gasto",I1614="Transferencia",I1614="Pago tarjeta"),-1,1)*O1614,0)+IF(AND(U1614&lt;&gt;"",IFERROR(INDEX(ctaLiq,MATCH(G1614,ctaNom,0))="Sí",FALSE)),O1614,0))</f>
        <v/>
      </c>
      <c r="W1614" s="19">
        <f>IF(OR(F1614="",I1614=""),"",IF(COUNTIFS(F$6:F1614,F1614,I$6:I1614,"?*")=1,MAX(W$5:W1613)+1,""))</f>
        <v/>
      </c>
    </row>
    <row r="1615">
      <c r="B1615" s="15" t="n"/>
      <c r="C1615" s="16" t="n"/>
      <c r="D1615" s="17" t="n"/>
      <c r="E1615" s="17" t="n"/>
      <c r="F1615" s="17" t="n"/>
      <c r="G1615" s="17" t="n"/>
      <c r="H1615" s="18">
        <f>IF(AND(B1615="",C1615="",D1615="",E1615=""),"",IF(B1615="","⚠ Falta fecha",IF(C1615="","⚠ Falta monto",IF(D1615="","⚠ Falta categoría",IF(ISNA(MATCH(D1615,catNom,0)),"⚠ Categoría no existe",IF(E1615="","⚠ Falta cuenta",IF(ISNA(MATCH(E1615,ctaNom,0)),"⚠ Cuenta no existe",IF(AND(OR(I1615="Transferencia",I1615="Pago tarjeta"),G1615=""),"⚠ Indica la cuenta «Hacia»",IF(AND(G1615&lt;&gt;"",G1615=E1615),"⚠ «Hacia» igual a la cuenta",IF(AND(G1615&lt;&gt;"",ISNA(MATCH(G1615,ctaNom,0))),"⚠ «Hacia» no existe",IF(AND(I1615="Pago tarjeta",IFERROR(INDEX(ctaTipo,MATCH(G1615,ctaNom,0)),"")&lt;&gt;"Tarjeta de crédito"),"⚠ «Hacia» debe ser la tarjeta",IF(AND(I1615="Trading",IFERROR(INDEX(ctaTipo,MATCH(E1615,ctaNom,0)),"")&lt;&gt;"Cuenta de trading"),"⚠ Usa la cuenta de trading","✓"))))))))))))</f>
        <v/>
      </c>
      <c r="I1615" s="19">
        <f>IF(OR(B1615="",C1615="",D1615=""),"",IFERROR(INDEX(catTipo,MATCH(D1615,catNom,0))&amp;"",""))</f>
        <v/>
      </c>
      <c r="J1615" s="19">
        <f>IF(I1615="","",IFERROR(INDEX(catGrupo,MATCH(D1615,catNom,0))&amp;"",""))</f>
        <v/>
      </c>
      <c r="K1615" s="19">
        <f>IF(I1615="Gasto",IF(IFERROR(INDEX(catClas,MATCH(D1615,catNom,0))&amp;"","")="","Variable",IFERROR(INDEX(catClas,MATCH(D1615,catNom,0))&amp;"","")),"")</f>
        <v/>
      </c>
      <c r="L1615" s="19">
        <f>IF(I1615="","",IFERROR(INDEX(catAlim,MATCH(D1615,catNom,0))&amp;"",""))</f>
        <v/>
      </c>
      <c r="M1615" s="19">
        <f>IF(I1615="","",IFERROR(INDEX(catComida,MATCH(D1615,catNom,0))&amp;"",""))</f>
        <v/>
      </c>
      <c r="N1615" s="19">
        <f>IF(I1615="","",IFERROR(INDEX(ctaMon,MATCH(E1615,ctaNom,0))&amp;"","DOP"))</f>
        <v/>
      </c>
      <c r="O1615" s="20">
        <f>IF(I1615="","",C1615*IF(N1615="USD",TasaUSD,1))</f>
        <v/>
      </c>
      <c r="P1615" s="20">
        <f>IF(I1615="","",IF(I1615="Gasto",O1615,0))</f>
        <v/>
      </c>
      <c r="Q1615" s="20">
        <f>IF(I1615="","",IF(I1615="Ingreso",O1615,0))</f>
        <v/>
      </c>
      <c r="R1615" s="20">
        <f>IF(I1615="","",IF(I1615="Trading",O1615,0))</f>
        <v/>
      </c>
      <c r="S1615" s="19">
        <f>IF(I1615="","",IF(AND(I1615="Gasto",K1615="Variable",J1615&lt;&gt;"Trading",O1615&gt;0,O1615&lt;=Umbral),1,0))</f>
        <v/>
      </c>
      <c r="T1615" s="20">
        <f>IF(OR(I1615="",E1615=""),"",IF(OR(I1615="Gasto",I1615="Transferencia",I1615="Pago tarjeta"),-1,1)*C1615)</f>
        <v/>
      </c>
      <c r="U1615" s="20">
        <f>IF(OR(G1615="",AND(I1615&lt;&gt;"Transferencia",I1615&lt;&gt;"Pago tarjeta")),"",IF(IFERROR(INDEX(ctaMon,MATCH(G1615,ctaNom,0))&amp;"","DOP")=N1615,C1615,IF(N1615="USD",C1615*TasaUSD,C1615/TasaUSD)))</f>
        <v/>
      </c>
      <c r="V1615" s="20">
        <f>IF(I1615="","",IF(IFERROR(INDEX(ctaLiq,MATCH(E1615,ctaNom,0))="Sí",FALSE),IF(OR(I1615="Gasto",I1615="Transferencia",I1615="Pago tarjeta"),-1,1)*O1615,0)+IF(AND(U1615&lt;&gt;"",IFERROR(INDEX(ctaLiq,MATCH(G1615,ctaNom,0))="Sí",FALSE)),O1615,0))</f>
        <v/>
      </c>
      <c r="W1615" s="19">
        <f>IF(OR(F1615="",I1615=""),"",IF(COUNTIFS(F$6:F1615,F1615,I$6:I1615,"?*")=1,MAX(W$5:W1614)+1,""))</f>
        <v/>
      </c>
    </row>
    <row r="1616">
      <c r="B1616" s="15" t="n"/>
      <c r="C1616" s="16" t="n"/>
      <c r="D1616" s="17" t="n"/>
      <c r="E1616" s="17" t="n"/>
      <c r="F1616" s="17" t="n"/>
      <c r="G1616" s="17" t="n"/>
      <c r="H1616" s="18">
        <f>IF(AND(B1616="",C1616="",D1616="",E1616=""),"",IF(B1616="","⚠ Falta fecha",IF(C1616="","⚠ Falta monto",IF(D1616="","⚠ Falta categoría",IF(ISNA(MATCH(D1616,catNom,0)),"⚠ Categoría no existe",IF(E1616="","⚠ Falta cuenta",IF(ISNA(MATCH(E1616,ctaNom,0)),"⚠ Cuenta no existe",IF(AND(OR(I1616="Transferencia",I1616="Pago tarjeta"),G1616=""),"⚠ Indica la cuenta «Hacia»",IF(AND(G1616&lt;&gt;"",G1616=E1616),"⚠ «Hacia» igual a la cuenta",IF(AND(G1616&lt;&gt;"",ISNA(MATCH(G1616,ctaNom,0))),"⚠ «Hacia» no existe",IF(AND(I1616="Pago tarjeta",IFERROR(INDEX(ctaTipo,MATCH(G1616,ctaNom,0)),"")&lt;&gt;"Tarjeta de crédito"),"⚠ «Hacia» debe ser la tarjeta",IF(AND(I1616="Trading",IFERROR(INDEX(ctaTipo,MATCH(E1616,ctaNom,0)),"")&lt;&gt;"Cuenta de trading"),"⚠ Usa la cuenta de trading","✓"))))))))))))</f>
        <v/>
      </c>
      <c r="I1616" s="19">
        <f>IF(OR(B1616="",C1616="",D1616=""),"",IFERROR(INDEX(catTipo,MATCH(D1616,catNom,0))&amp;"",""))</f>
        <v/>
      </c>
      <c r="J1616" s="19">
        <f>IF(I1616="","",IFERROR(INDEX(catGrupo,MATCH(D1616,catNom,0))&amp;"",""))</f>
        <v/>
      </c>
      <c r="K1616" s="19">
        <f>IF(I1616="Gasto",IF(IFERROR(INDEX(catClas,MATCH(D1616,catNom,0))&amp;"","")="","Variable",IFERROR(INDEX(catClas,MATCH(D1616,catNom,0))&amp;"","")),"")</f>
        <v/>
      </c>
      <c r="L1616" s="19">
        <f>IF(I1616="","",IFERROR(INDEX(catAlim,MATCH(D1616,catNom,0))&amp;"",""))</f>
        <v/>
      </c>
      <c r="M1616" s="19">
        <f>IF(I1616="","",IFERROR(INDEX(catComida,MATCH(D1616,catNom,0))&amp;"",""))</f>
        <v/>
      </c>
      <c r="N1616" s="19">
        <f>IF(I1616="","",IFERROR(INDEX(ctaMon,MATCH(E1616,ctaNom,0))&amp;"","DOP"))</f>
        <v/>
      </c>
      <c r="O1616" s="20">
        <f>IF(I1616="","",C1616*IF(N1616="USD",TasaUSD,1))</f>
        <v/>
      </c>
      <c r="P1616" s="20">
        <f>IF(I1616="","",IF(I1616="Gasto",O1616,0))</f>
        <v/>
      </c>
      <c r="Q1616" s="20">
        <f>IF(I1616="","",IF(I1616="Ingreso",O1616,0))</f>
        <v/>
      </c>
      <c r="R1616" s="20">
        <f>IF(I1616="","",IF(I1616="Trading",O1616,0))</f>
        <v/>
      </c>
      <c r="S1616" s="19">
        <f>IF(I1616="","",IF(AND(I1616="Gasto",K1616="Variable",J1616&lt;&gt;"Trading",O1616&gt;0,O1616&lt;=Umbral),1,0))</f>
        <v/>
      </c>
      <c r="T1616" s="20">
        <f>IF(OR(I1616="",E1616=""),"",IF(OR(I1616="Gasto",I1616="Transferencia",I1616="Pago tarjeta"),-1,1)*C1616)</f>
        <v/>
      </c>
      <c r="U1616" s="20">
        <f>IF(OR(G1616="",AND(I1616&lt;&gt;"Transferencia",I1616&lt;&gt;"Pago tarjeta")),"",IF(IFERROR(INDEX(ctaMon,MATCH(G1616,ctaNom,0))&amp;"","DOP")=N1616,C1616,IF(N1616="USD",C1616*TasaUSD,C1616/TasaUSD)))</f>
        <v/>
      </c>
      <c r="V1616" s="20">
        <f>IF(I1616="","",IF(IFERROR(INDEX(ctaLiq,MATCH(E1616,ctaNom,0))="Sí",FALSE),IF(OR(I1616="Gasto",I1616="Transferencia",I1616="Pago tarjeta"),-1,1)*O1616,0)+IF(AND(U1616&lt;&gt;"",IFERROR(INDEX(ctaLiq,MATCH(G1616,ctaNom,0))="Sí",FALSE)),O1616,0))</f>
        <v/>
      </c>
      <c r="W1616" s="19">
        <f>IF(OR(F1616="",I1616=""),"",IF(COUNTIFS(F$6:F1616,F1616,I$6:I1616,"?*")=1,MAX(W$5:W1615)+1,""))</f>
        <v/>
      </c>
    </row>
    <row r="1617">
      <c r="B1617" s="15" t="n"/>
      <c r="C1617" s="16" t="n"/>
      <c r="D1617" s="17" t="n"/>
      <c r="E1617" s="17" t="n"/>
      <c r="F1617" s="17" t="n"/>
      <c r="G1617" s="17" t="n"/>
      <c r="H1617" s="18">
        <f>IF(AND(B1617="",C1617="",D1617="",E1617=""),"",IF(B1617="","⚠ Falta fecha",IF(C1617="","⚠ Falta monto",IF(D1617="","⚠ Falta categoría",IF(ISNA(MATCH(D1617,catNom,0)),"⚠ Categoría no existe",IF(E1617="","⚠ Falta cuenta",IF(ISNA(MATCH(E1617,ctaNom,0)),"⚠ Cuenta no existe",IF(AND(OR(I1617="Transferencia",I1617="Pago tarjeta"),G1617=""),"⚠ Indica la cuenta «Hacia»",IF(AND(G1617&lt;&gt;"",G1617=E1617),"⚠ «Hacia» igual a la cuenta",IF(AND(G1617&lt;&gt;"",ISNA(MATCH(G1617,ctaNom,0))),"⚠ «Hacia» no existe",IF(AND(I1617="Pago tarjeta",IFERROR(INDEX(ctaTipo,MATCH(G1617,ctaNom,0)),"")&lt;&gt;"Tarjeta de crédito"),"⚠ «Hacia» debe ser la tarjeta",IF(AND(I1617="Trading",IFERROR(INDEX(ctaTipo,MATCH(E1617,ctaNom,0)),"")&lt;&gt;"Cuenta de trading"),"⚠ Usa la cuenta de trading","✓"))))))))))))</f>
        <v/>
      </c>
      <c r="I1617" s="19">
        <f>IF(OR(B1617="",C1617="",D1617=""),"",IFERROR(INDEX(catTipo,MATCH(D1617,catNom,0))&amp;"",""))</f>
        <v/>
      </c>
      <c r="J1617" s="19">
        <f>IF(I1617="","",IFERROR(INDEX(catGrupo,MATCH(D1617,catNom,0))&amp;"",""))</f>
        <v/>
      </c>
      <c r="K1617" s="19">
        <f>IF(I1617="Gasto",IF(IFERROR(INDEX(catClas,MATCH(D1617,catNom,0))&amp;"","")="","Variable",IFERROR(INDEX(catClas,MATCH(D1617,catNom,0))&amp;"","")),"")</f>
        <v/>
      </c>
      <c r="L1617" s="19">
        <f>IF(I1617="","",IFERROR(INDEX(catAlim,MATCH(D1617,catNom,0))&amp;"",""))</f>
        <v/>
      </c>
      <c r="M1617" s="19">
        <f>IF(I1617="","",IFERROR(INDEX(catComida,MATCH(D1617,catNom,0))&amp;"",""))</f>
        <v/>
      </c>
      <c r="N1617" s="19">
        <f>IF(I1617="","",IFERROR(INDEX(ctaMon,MATCH(E1617,ctaNom,0))&amp;"","DOP"))</f>
        <v/>
      </c>
      <c r="O1617" s="20">
        <f>IF(I1617="","",C1617*IF(N1617="USD",TasaUSD,1))</f>
        <v/>
      </c>
      <c r="P1617" s="20">
        <f>IF(I1617="","",IF(I1617="Gasto",O1617,0))</f>
        <v/>
      </c>
      <c r="Q1617" s="20">
        <f>IF(I1617="","",IF(I1617="Ingreso",O1617,0))</f>
        <v/>
      </c>
      <c r="R1617" s="20">
        <f>IF(I1617="","",IF(I1617="Trading",O1617,0))</f>
        <v/>
      </c>
      <c r="S1617" s="19">
        <f>IF(I1617="","",IF(AND(I1617="Gasto",K1617="Variable",J1617&lt;&gt;"Trading",O1617&gt;0,O1617&lt;=Umbral),1,0))</f>
        <v/>
      </c>
      <c r="T1617" s="20">
        <f>IF(OR(I1617="",E1617=""),"",IF(OR(I1617="Gasto",I1617="Transferencia",I1617="Pago tarjeta"),-1,1)*C1617)</f>
        <v/>
      </c>
      <c r="U1617" s="20">
        <f>IF(OR(G1617="",AND(I1617&lt;&gt;"Transferencia",I1617&lt;&gt;"Pago tarjeta")),"",IF(IFERROR(INDEX(ctaMon,MATCH(G1617,ctaNom,0))&amp;"","DOP")=N1617,C1617,IF(N1617="USD",C1617*TasaUSD,C1617/TasaUSD)))</f>
        <v/>
      </c>
      <c r="V1617" s="20">
        <f>IF(I1617="","",IF(IFERROR(INDEX(ctaLiq,MATCH(E1617,ctaNom,0))="Sí",FALSE),IF(OR(I1617="Gasto",I1617="Transferencia",I1617="Pago tarjeta"),-1,1)*O1617,0)+IF(AND(U1617&lt;&gt;"",IFERROR(INDEX(ctaLiq,MATCH(G1617,ctaNom,0))="Sí",FALSE)),O1617,0))</f>
        <v/>
      </c>
      <c r="W1617" s="19">
        <f>IF(OR(F1617="",I1617=""),"",IF(COUNTIFS(F$6:F1617,F1617,I$6:I1617,"?*")=1,MAX(W$5:W1616)+1,""))</f>
        <v/>
      </c>
    </row>
    <row r="1618">
      <c r="B1618" s="15" t="n"/>
      <c r="C1618" s="16" t="n"/>
      <c r="D1618" s="17" t="n"/>
      <c r="E1618" s="17" t="n"/>
      <c r="F1618" s="17" t="n"/>
      <c r="G1618" s="17" t="n"/>
      <c r="H1618" s="18">
        <f>IF(AND(B1618="",C1618="",D1618="",E1618=""),"",IF(B1618="","⚠ Falta fecha",IF(C1618="","⚠ Falta monto",IF(D1618="","⚠ Falta categoría",IF(ISNA(MATCH(D1618,catNom,0)),"⚠ Categoría no existe",IF(E1618="","⚠ Falta cuenta",IF(ISNA(MATCH(E1618,ctaNom,0)),"⚠ Cuenta no existe",IF(AND(OR(I1618="Transferencia",I1618="Pago tarjeta"),G1618=""),"⚠ Indica la cuenta «Hacia»",IF(AND(G1618&lt;&gt;"",G1618=E1618),"⚠ «Hacia» igual a la cuenta",IF(AND(G1618&lt;&gt;"",ISNA(MATCH(G1618,ctaNom,0))),"⚠ «Hacia» no existe",IF(AND(I1618="Pago tarjeta",IFERROR(INDEX(ctaTipo,MATCH(G1618,ctaNom,0)),"")&lt;&gt;"Tarjeta de crédito"),"⚠ «Hacia» debe ser la tarjeta",IF(AND(I1618="Trading",IFERROR(INDEX(ctaTipo,MATCH(E1618,ctaNom,0)),"")&lt;&gt;"Cuenta de trading"),"⚠ Usa la cuenta de trading","✓"))))))))))))</f>
        <v/>
      </c>
      <c r="I1618" s="19">
        <f>IF(OR(B1618="",C1618="",D1618=""),"",IFERROR(INDEX(catTipo,MATCH(D1618,catNom,0))&amp;"",""))</f>
        <v/>
      </c>
      <c r="J1618" s="19">
        <f>IF(I1618="","",IFERROR(INDEX(catGrupo,MATCH(D1618,catNom,0))&amp;"",""))</f>
        <v/>
      </c>
      <c r="K1618" s="19">
        <f>IF(I1618="Gasto",IF(IFERROR(INDEX(catClas,MATCH(D1618,catNom,0))&amp;"","")="","Variable",IFERROR(INDEX(catClas,MATCH(D1618,catNom,0))&amp;"","")),"")</f>
        <v/>
      </c>
      <c r="L1618" s="19">
        <f>IF(I1618="","",IFERROR(INDEX(catAlim,MATCH(D1618,catNom,0))&amp;"",""))</f>
        <v/>
      </c>
      <c r="M1618" s="19">
        <f>IF(I1618="","",IFERROR(INDEX(catComida,MATCH(D1618,catNom,0))&amp;"",""))</f>
        <v/>
      </c>
      <c r="N1618" s="19">
        <f>IF(I1618="","",IFERROR(INDEX(ctaMon,MATCH(E1618,ctaNom,0))&amp;"","DOP"))</f>
        <v/>
      </c>
      <c r="O1618" s="20">
        <f>IF(I1618="","",C1618*IF(N1618="USD",TasaUSD,1))</f>
        <v/>
      </c>
      <c r="P1618" s="20">
        <f>IF(I1618="","",IF(I1618="Gasto",O1618,0))</f>
        <v/>
      </c>
      <c r="Q1618" s="20">
        <f>IF(I1618="","",IF(I1618="Ingreso",O1618,0))</f>
        <v/>
      </c>
      <c r="R1618" s="20">
        <f>IF(I1618="","",IF(I1618="Trading",O1618,0))</f>
        <v/>
      </c>
      <c r="S1618" s="19">
        <f>IF(I1618="","",IF(AND(I1618="Gasto",K1618="Variable",J1618&lt;&gt;"Trading",O1618&gt;0,O1618&lt;=Umbral),1,0))</f>
        <v/>
      </c>
      <c r="T1618" s="20">
        <f>IF(OR(I1618="",E1618=""),"",IF(OR(I1618="Gasto",I1618="Transferencia",I1618="Pago tarjeta"),-1,1)*C1618)</f>
        <v/>
      </c>
      <c r="U1618" s="20">
        <f>IF(OR(G1618="",AND(I1618&lt;&gt;"Transferencia",I1618&lt;&gt;"Pago tarjeta")),"",IF(IFERROR(INDEX(ctaMon,MATCH(G1618,ctaNom,0))&amp;"","DOP")=N1618,C1618,IF(N1618="USD",C1618*TasaUSD,C1618/TasaUSD)))</f>
        <v/>
      </c>
      <c r="V1618" s="20">
        <f>IF(I1618="","",IF(IFERROR(INDEX(ctaLiq,MATCH(E1618,ctaNom,0))="Sí",FALSE),IF(OR(I1618="Gasto",I1618="Transferencia",I1618="Pago tarjeta"),-1,1)*O1618,0)+IF(AND(U1618&lt;&gt;"",IFERROR(INDEX(ctaLiq,MATCH(G1618,ctaNom,0))="Sí",FALSE)),O1618,0))</f>
        <v/>
      </c>
      <c r="W1618" s="19">
        <f>IF(OR(F1618="",I1618=""),"",IF(COUNTIFS(F$6:F1618,F1618,I$6:I1618,"?*")=1,MAX(W$5:W1617)+1,""))</f>
        <v/>
      </c>
    </row>
    <row r="1619">
      <c r="B1619" s="15" t="n"/>
      <c r="C1619" s="16" t="n"/>
      <c r="D1619" s="17" t="n"/>
      <c r="E1619" s="17" t="n"/>
      <c r="F1619" s="17" t="n"/>
      <c r="G1619" s="17" t="n"/>
      <c r="H1619" s="18">
        <f>IF(AND(B1619="",C1619="",D1619="",E1619=""),"",IF(B1619="","⚠ Falta fecha",IF(C1619="","⚠ Falta monto",IF(D1619="","⚠ Falta categoría",IF(ISNA(MATCH(D1619,catNom,0)),"⚠ Categoría no existe",IF(E1619="","⚠ Falta cuenta",IF(ISNA(MATCH(E1619,ctaNom,0)),"⚠ Cuenta no existe",IF(AND(OR(I1619="Transferencia",I1619="Pago tarjeta"),G1619=""),"⚠ Indica la cuenta «Hacia»",IF(AND(G1619&lt;&gt;"",G1619=E1619),"⚠ «Hacia» igual a la cuenta",IF(AND(G1619&lt;&gt;"",ISNA(MATCH(G1619,ctaNom,0))),"⚠ «Hacia» no existe",IF(AND(I1619="Pago tarjeta",IFERROR(INDEX(ctaTipo,MATCH(G1619,ctaNom,0)),"")&lt;&gt;"Tarjeta de crédito"),"⚠ «Hacia» debe ser la tarjeta",IF(AND(I1619="Trading",IFERROR(INDEX(ctaTipo,MATCH(E1619,ctaNom,0)),"")&lt;&gt;"Cuenta de trading"),"⚠ Usa la cuenta de trading","✓"))))))))))))</f>
        <v/>
      </c>
      <c r="I1619" s="19">
        <f>IF(OR(B1619="",C1619="",D1619=""),"",IFERROR(INDEX(catTipo,MATCH(D1619,catNom,0))&amp;"",""))</f>
        <v/>
      </c>
      <c r="J1619" s="19">
        <f>IF(I1619="","",IFERROR(INDEX(catGrupo,MATCH(D1619,catNom,0))&amp;"",""))</f>
        <v/>
      </c>
      <c r="K1619" s="19">
        <f>IF(I1619="Gasto",IF(IFERROR(INDEX(catClas,MATCH(D1619,catNom,0))&amp;"","")="","Variable",IFERROR(INDEX(catClas,MATCH(D1619,catNom,0))&amp;"","")),"")</f>
        <v/>
      </c>
      <c r="L1619" s="19">
        <f>IF(I1619="","",IFERROR(INDEX(catAlim,MATCH(D1619,catNom,0))&amp;"",""))</f>
        <v/>
      </c>
      <c r="M1619" s="19">
        <f>IF(I1619="","",IFERROR(INDEX(catComida,MATCH(D1619,catNom,0))&amp;"",""))</f>
        <v/>
      </c>
      <c r="N1619" s="19">
        <f>IF(I1619="","",IFERROR(INDEX(ctaMon,MATCH(E1619,ctaNom,0))&amp;"","DOP"))</f>
        <v/>
      </c>
      <c r="O1619" s="20">
        <f>IF(I1619="","",C1619*IF(N1619="USD",TasaUSD,1))</f>
        <v/>
      </c>
      <c r="P1619" s="20">
        <f>IF(I1619="","",IF(I1619="Gasto",O1619,0))</f>
        <v/>
      </c>
      <c r="Q1619" s="20">
        <f>IF(I1619="","",IF(I1619="Ingreso",O1619,0))</f>
        <v/>
      </c>
      <c r="R1619" s="20">
        <f>IF(I1619="","",IF(I1619="Trading",O1619,0))</f>
        <v/>
      </c>
      <c r="S1619" s="19">
        <f>IF(I1619="","",IF(AND(I1619="Gasto",K1619="Variable",J1619&lt;&gt;"Trading",O1619&gt;0,O1619&lt;=Umbral),1,0))</f>
        <v/>
      </c>
      <c r="T1619" s="20">
        <f>IF(OR(I1619="",E1619=""),"",IF(OR(I1619="Gasto",I1619="Transferencia",I1619="Pago tarjeta"),-1,1)*C1619)</f>
        <v/>
      </c>
      <c r="U1619" s="20">
        <f>IF(OR(G1619="",AND(I1619&lt;&gt;"Transferencia",I1619&lt;&gt;"Pago tarjeta")),"",IF(IFERROR(INDEX(ctaMon,MATCH(G1619,ctaNom,0))&amp;"","DOP")=N1619,C1619,IF(N1619="USD",C1619*TasaUSD,C1619/TasaUSD)))</f>
        <v/>
      </c>
      <c r="V1619" s="20">
        <f>IF(I1619="","",IF(IFERROR(INDEX(ctaLiq,MATCH(E1619,ctaNom,0))="Sí",FALSE),IF(OR(I1619="Gasto",I1619="Transferencia",I1619="Pago tarjeta"),-1,1)*O1619,0)+IF(AND(U1619&lt;&gt;"",IFERROR(INDEX(ctaLiq,MATCH(G1619,ctaNom,0))="Sí",FALSE)),O1619,0))</f>
        <v/>
      </c>
      <c r="W1619" s="19">
        <f>IF(OR(F1619="",I1619=""),"",IF(COUNTIFS(F$6:F1619,F1619,I$6:I1619,"?*")=1,MAX(W$5:W1618)+1,""))</f>
        <v/>
      </c>
    </row>
    <row r="1620">
      <c r="B1620" s="15" t="n"/>
      <c r="C1620" s="16" t="n"/>
      <c r="D1620" s="17" t="n"/>
      <c r="E1620" s="17" t="n"/>
      <c r="F1620" s="17" t="n"/>
      <c r="G1620" s="17" t="n"/>
      <c r="H1620" s="18">
        <f>IF(AND(B1620="",C1620="",D1620="",E1620=""),"",IF(B1620="","⚠ Falta fecha",IF(C1620="","⚠ Falta monto",IF(D1620="","⚠ Falta categoría",IF(ISNA(MATCH(D1620,catNom,0)),"⚠ Categoría no existe",IF(E1620="","⚠ Falta cuenta",IF(ISNA(MATCH(E1620,ctaNom,0)),"⚠ Cuenta no existe",IF(AND(OR(I1620="Transferencia",I1620="Pago tarjeta"),G1620=""),"⚠ Indica la cuenta «Hacia»",IF(AND(G1620&lt;&gt;"",G1620=E1620),"⚠ «Hacia» igual a la cuenta",IF(AND(G1620&lt;&gt;"",ISNA(MATCH(G1620,ctaNom,0))),"⚠ «Hacia» no existe",IF(AND(I1620="Pago tarjeta",IFERROR(INDEX(ctaTipo,MATCH(G1620,ctaNom,0)),"")&lt;&gt;"Tarjeta de crédito"),"⚠ «Hacia» debe ser la tarjeta",IF(AND(I1620="Trading",IFERROR(INDEX(ctaTipo,MATCH(E1620,ctaNom,0)),"")&lt;&gt;"Cuenta de trading"),"⚠ Usa la cuenta de trading","✓"))))))))))))</f>
        <v/>
      </c>
      <c r="I1620" s="19">
        <f>IF(OR(B1620="",C1620="",D1620=""),"",IFERROR(INDEX(catTipo,MATCH(D1620,catNom,0))&amp;"",""))</f>
        <v/>
      </c>
      <c r="J1620" s="19">
        <f>IF(I1620="","",IFERROR(INDEX(catGrupo,MATCH(D1620,catNom,0))&amp;"",""))</f>
        <v/>
      </c>
      <c r="K1620" s="19">
        <f>IF(I1620="Gasto",IF(IFERROR(INDEX(catClas,MATCH(D1620,catNom,0))&amp;"","")="","Variable",IFERROR(INDEX(catClas,MATCH(D1620,catNom,0))&amp;"","")),"")</f>
        <v/>
      </c>
      <c r="L1620" s="19">
        <f>IF(I1620="","",IFERROR(INDEX(catAlim,MATCH(D1620,catNom,0))&amp;"",""))</f>
        <v/>
      </c>
      <c r="M1620" s="19">
        <f>IF(I1620="","",IFERROR(INDEX(catComida,MATCH(D1620,catNom,0))&amp;"",""))</f>
        <v/>
      </c>
      <c r="N1620" s="19">
        <f>IF(I1620="","",IFERROR(INDEX(ctaMon,MATCH(E1620,ctaNom,0))&amp;"","DOP"))</f>
        <v/>
      </c>
      <c r="O1620" s="20">
        <f>IF(I1620="","",C1620*IF(N1620="USD",TasaUSD,1))</f>
        <v/>
      </c>
      <c r="P1620" s="20">
        <f>IF(I1620="","",IF(I1620="Gasto",O1620,0))</f>
        <v/>
      </c>
      <c r="Q1620" s="20">
        <f>IF(I1620="","",IF(I1620="Ingreso",O1620,0))</f>
        <v/>
      </c>
      <c r="R1620" s="20">
        <f>IF(I1620="","",IF(I1620="Trading",O1620,0))</f>
        <v/>
      </c>
      <c r="S1620" s="19">
        <f>IF(I1620="","",IF(AND(I1620="Gasto",K1620="Variable",J1620&lt;&gt;"Trading",O1620&gt;0,O1620&lt;=Umbral),1,0))</f>
        <v/>
      </c>
      <c r="T1620" s="20">
        <f>IF(OR(I1620="",E1620=""),"",IF(OR(I1620="Gasto",I1620="Transferencia",I1620="Pago tarjeta"),-1,1)*C1620)</f>
        <v/>
      </c>
      <c r="U1620" s="20">
        <f>IF(OR(G1620="",AND(I1620&lt;&gt;"Transferencia",I1620&lt;&gt;"Pago tarjeta")),"",IF(IFERROR(INDEX(ctaMon,MATCH(G1620,ctaNom,0))&amp;"","DOP")=N1620,C1620,IF(N1620="USD",C1620*TasaUSD,C1620/TasaUSD)))</f>
        <v/>
      </c>
      <c r="V1620" s="20">
        <f>IF(I1620="","",IF(IFERROR(INDEX(ctaLiq,MATCH(E1620,ctaNom,0))="Sí",FALSE),IF(OR(I1620="Gasto",I1620="Transferencia",I1620="Pago tarjeta"),-1,1)*O1620,0)+IF(AND(U1620&lt;&gt;"",IFERROR(INDEX(ctaLiq,MATCH(G1620,ctaNom,0))="Sí",FALSE)),O1620,0))</f>
        <v/>
      </c>
      <c r="W1620" s="19">
        <f>IF(OR(F1620="",I1620=""),"",IF(COUNTIFS(F$6:F1620,F1620,I$6:I1620,"?*")=1,MAX(W$5:W1619)+1,""))</f>
        <v/>
      </c>
    </row>
    <row r="1621">
      <c r="B1621" s="15" t="n"/>
      <c r="C1621" s="16" t="n"/>
      <c r="D1621" s="17" t="n"/>
      <c r="E1621" s="17" t="n"/>
      <c r="F1621" s="17" t="n"/>
      <c r="G1621" s="17" t="n"/>
      <c r="H1621" s="18">
        <f>IF(AND(B1621="",C1621="",D1621="",E1621=""),"",IF(B1621="","⚠ Falta fecha",IF(C1621="","⚠ Falta monto",IF(D1621="","⚠ Falta categoría",IF(ISNA(MATCH(D1621,catNom,0)),"⚠ Categoría no existe",IF(E1621="","⚠ Falta cuenta",IF(ISNA(MATCH(E1621,ctaNom,0)),"⚠ Cuenta no existe",IF(AND(OR(I1621="Transferencia",I1621="Pago tarjeta"),G1621=""),"⚠ Indica la cuenta «Hacia»",IF(AND(G1621&lt;&gt;"",G1621=E1621),"⚠ «Hacia» igual a la cuenta",IF(AND(G1621&lt;&gt;"",ISNA(MATCH(G1621,ctaNom,0))),"⚠ «Hacia» no existe",IF(AND(I1621="Pago tarjeta",IFERROR(INDEX(ctaTipo,MATCH(G1621,ctaNom,0)),"")&lt;&gt;"Tarjeta de crédito"),"⚠ «Hacia» debe ser la tarjeta",IF(AND(I1621="Trading",IFERROR(INDEX(ctaTipo,MATCH(E1621,ctaNom,0)),"")&lt;&gt;"Cuenta de trading"),"⚠ Usa la cuenta de trading","✓"))))))))))))</f>
        <v/>
      </c>
      <c r="I1621" s="19">
        <f>IF(OR(B1621="",C1621="",D1621=""),"",IFERROR(INDEX(catTipo,MATCH(D1621,catNom,0))&amp;"",""))</f>
        <v/>
      </c>
      <c r="J1621" s="19">
        <f>IF(I1621="","",IFERROR(INDEX(catGrupo,MATCH(D1621,catNom,0))&amp;"",""))</f>
        <v/>
      </c>
      <c r="K1621" s="19">
        <f>IF(I1621="Gasto",IF(IFERROR(INDEX(catClas,MATCH(D1621,catNom,0))&amp;"","")="","Variable",IFERROR(INDEX(catClas,MATCH(D1621,catNom,0))&amp;"","")),"")</f>
        <v/>
      </c>
      <c r="L1621" s="19">
        <f>IF(I1621="","",IFERROR(INDEX(catAlim,MATCH(D1621,catNom,0))&amp;"",""))</f>
        <v/>
      </c>
      <c r="M1621" s="19">
        <f>IF(I1621="","",IFERROR(INDEX(catComida,MATCH(D1621,catNom,0))&amp;"",""))</f>
        <v/>
      </c>
      <c r="N1621" s="19">
        <f>IF(I1621="","",IFERROR(INDEX(ctaMon,MATCH(E1621,ctaNom,0))&amp;"","DOP"))</f>
        <v/>
      </c>
      <c r="O1621" s="20">
        <f>IF(I1621="","",C1621*IF(N1621="USD",TasaUSD,1))</f>
        <v/>
      </c>
      <c r="P1621" s="20">
        <f>IF(I1621="","",IF(I1621="Gasto",O1621,0))</f>
        <v/>
      </c>
      <c r="Q1621" s="20">
        <f>IF(I1621="","",IF(I1621="Ingreso",O1621,0))</f>
        <v/>
      </c>
      <c r="R1621" s="20">
        <f>IF(I1621="","",IF(I1621="Trading",O1621,0))</f>
        <v/>
      </c>
      <c r="S1621" s="19">
        <f>IF(I1621="","",IF(AND(I1621="Gasto",K1621="Variable",J1621&lt;&gt;"Trading",O1621&gt;0,O1621&lt;=Umbral),1,0))</f>
        <v/>
      </c>
      <c r="T1621" s="20">
        <f>IF(OR(I1621="",E1621=""),"",IF(OR(I1621="Gasto",I1621="Transferencia",I1621="Pago tarjeta"),-1,1)*C1621)</f>
        <v/>
      </c>
      <c r="U1621" s="20">
        <f>IF(OR(G1621="",AND(I1621&lt;&gt;"Transferencia",I1621&lt;&gt;"Pago tarjeta")),"",IF(IFERROR(INDEX(ctaMon,MATCH(G1621,ctaNom,0))&amp;"","DOP")=N1621,C1621,IF(N1621="USD",C1621*TasaUSD,C1621/TasaUSD)))</f>
        <v/>
      </c>
      <c r="V1621" s="20">
        <f>IF(I1621="","",IF(IFERROR(INDEX(ctaLiq,MATCH(E1621,ctaNom,0))="Sí",FALSE),IF(OR(I1621="Gasto",I1621="Transferencia",I1621="Pago tarjeta"),-1,1)*O1621,0)+IF(AND(U1621&lt;&gt;"",IFERROR(INDEX(ctaLiq,MATCH(G1621,ctaNom,0))="Sí",FALSE)),O1621,0))</f>
        <v/>
      </c>
      <c r="W1621" s="19">
        <f>IF(OR(F1621="",I1621=""),"",IF(COUNTIFS(F$6:F1621,F1621,I$6:I1621,"?*")=1,MAX(W$5:W1620)+1,""))</f>
        <v/>
      </c>
    </row>
    <row r="1622">
      <c r="B1622" s="15" t="n"/>
      <c r="C1622" s="16" t="n"/>
      <c r="D1622" s="17" t="n"/>
      <c r="E1622" s="17" t="n"/>
      <c r="F1622" s="17" t="n"/>
      <c r="G1622" s="17" t="n"/>
      <c r="H1622" s="18">
        <f>IF(AND(B1622="",C1622="",D1622="",E1622=""),"",IF(B1622="","⚠ Falta fecha",IF(C1622="","⚠ Falta monto",IF(D1622="","⚠ Falta categoría",IF(ISNA(MATCH(D1622,catNom,0)),"⚠ Categoría no existe",IF(E1622="","⚠ Falta cuenta",IF(ISNA(MATCH(E1622,ctaNom,0)),"⚠ Cuenta no existe",IF(AND(OR(I1622="Transferencia",I1622="Pago tarjeta"),G1622=""),"⚠ Indica la cuenta «Hacia»",IF(AND(G1622&lt;&gt;"",G1622=E1622),"⚠ «Hacia» igual a la cuenta",IF(AND(G1622&lt;&gt;"",ISNA(MATCH(G1622,ctaNom,0))),"⚠ «Hacia» no existe",IF(AND(I1622="Pago tarjeta",IFERROR(INDEX(ctaTipo,MATCH(G1622,ctaNom,0)),"")&lt;&gt;"Tarjeta de crédito"),"⚠ «Hacia» debe ser la tarjeta",IF(AND(I1622="Trading",IFERROR(INDEX(ctaTipo,MATCH(E1622,ctaNom,0)),"")&lt;&gt;"Cuenta de trading"),"⚠ Usa la cuenta de trading","✓"))))))))))))</f>
        <v/>
      </c>
      <c r="I1622" s="19">
        <f>IF(OR(B1622="",C1622="",D1622=""),"",IFERROR(INDEX(catTipo,MATCH(D1622,catNom,0))&amp;"",""))</f>
        <v/>
      </c>
      <c r="J1622" s="19">
        <f>IF(I1622="","",IFERROR(INDEX(catGrupo,MATCH(D1622,catNom,0))&amp;"",""))</f>
        <v/>
      </c>
      <c r="K1622" s="19">
        <f>IF(I1622="Gasto",IF(IFERROR(INDEX(catClas,MATCH(D1622,catNom,0))&amp;"","")="","Variable",IFERROR(INDEX(catClas,MATCH(D1622,catNom,0))&amp;"","")),"")</f>
        <v/>
      </c>
      <c r="L1622" s="19">
        <f>IF(I1622="","",IFERROR(INDEX(catAlim,MATCH(D1622,catNom,0))&amp;"",""))</f>
        <v/>
      </c>
      <c r="M1622" s="19">
        <f>IF(I1622="","",IFERROR(INDEX(catComida,MATCH(D1622,catNom,0))&amp;"",""))</f>
        <v/>
      </c>
      <c r="N1622" s="19">
        <f>IF(I1622="","",IFERROR(INDEX(ctaMon,MATCH(E1622,ctaNom,0))&amp;"","DOP"))</f>
        <v/>
      </c>
      <c r="O1622" s="20">
        <f>IF(I1622="","",C1622*IF(N1622="USD",TasaUSD,1))</f>
        <v/>
      </c>
      <c r="P1622" s="20">
        <f>IF(I1622="","",IF(I1622="Gasto",O1622,0))</f>
        <v/>
      </c>
      <c r="Q1622" s="20">
        <f>IF(I1622="","",IF(I1622="Ingreso",O1622,0))</f>
        <v/>
      </c>
      <c r="R1622" s="20">
        <f>IF(I1622="","",IF(I1622="Trading",O1622,0))</f>
        <v/>
      </c>
      <c r="S1622" s="19">
        <f>IF(I1622="","",IF(AND(I1622="Gasto",K1622="Variable",J1622&lt;&gt;"Trading",O1622&gt;0,O1622&lt;=Umbral),1,0))</f>
        <v/>
      </c>
      <c r="T1622" s="20">
        <f>IF(OR(I1622="",E1622=""),"",IF(OR(I1622="Gasto",I1622="Transferencia",I1622="Pago tarjeta"),-1,1)*C1622)</f>
        <v/>
      </c>
      <c r="U1622" s="20">
        <f>IF(OR(G1622="",AND(I1622&lt;&gt;"Transferencia",I1622&lt;&gt;"Pago tarjeta")),"",IF(IFERROR(INDEX(ctaMon,MATCH(G1622,ctaNom,0))&amp;"","DOP")=N1622,C1622,IF(N1622="USD",C1622*TasaUSD,C1622/TasaUSD)))</f>
        <v/>
      </c>
      <c r="V1622" s="20">
        <f>IF(I1622="","",IF(IFERROR(INDEX(ctaLiq,MATCH(E1622,ctaNom,0))="Sí",FALSE),IF(OR(I1622="Gasto",I1622="Transferencia",I1622="Pago tarjeta"),-1,1)*O1622,0)+IF(AND(U1622&lt;&gt;"",IFERROR(INDEX(ctaLiq,MATCH(G1622,ctaNom,0))="Sí",FALSE)),O1622,0))</f>
        <v/>
      </c>
      <c r="W1622" s="19">
        <f>IF(OR(F1622="",I1622=""),"",IF(COUNTIFS(F$6:F1622,F1622,I$6:I1622,"?*")=1,MAX(W$5:W1621)+1,""))</f>
        <v/>
      </c>
    </row>
    <row r="1623">
      <c r="B1623" s="15" t="n"/>
      <c r="C1623" s="16" t="n"/>
      <c r="D1623" s="17" t="n"/>
      <c r="E1623" s="17" t="n"/>
      <c r="F1623" s="17" t="n"/>
      <c r="G1623" s="17" t="n"/>
      <c r="H1623" s="18">
        <f>IF(AND(B1623="",C1623="",D1623="",E1623=""),"",IF(B1623="","⚠ Falta fecha",IF(C1623="","⚠ Falta monto",IF(D1623="","⚠ Falta categoría",IF(ISNA(MATCH(D1623,catNom,0)),"⚠ Categoría no existe",IF(E1623="","⚠ Falta cuenta",IF(ISNA(MATCH(E1623,ctaNom,0)),"⚠ Cuenta no existe",IF(AND(OR(I1623="Transferencia",I1623="Pago tarjeta"),G1623=""),"⚠ Indica la cuenta «Hacia»",IF(AND(G1623&lt;&gt;"",G1623=E1623),"⚠ «Hacia» igual a la cuenta",IF(AND(G1623&lt;&gt;"",ISNA(MATCH(G1623,ctaNom,0))),"⚠ «Hacia» no existe",IF(AND(I1623="Pago tarjeta",IFERROR(INDEX(ctaTipo,MATCH(G1623,ctaNom,0)),"")&lt;&gt;"Tarjeta de crédito"),"⚠ «Hacia» debe ser la tarjeta",IF(AND(I1623="Trading",IFERROR(INDEX(ctaTipo,MATCH(E1623,ctaNom,0)),"")&lt;&gt;"Cuenta de trading"),"⚠ Usa la cuenta de trading","✓"))))))))))))</f>
        <v/>
      </c>
      <c r="I1623" s="19">
        <f>IF(OR(B1623="",C1623="",D1623=""),"",IFERROR(INDEX(catTipo,MATCH(D1623,catNom,0))&amp;"",""))</f>
        <v/>
      </c>
      <c r="J1623" s="19">
        <f>IF(I1623="","",IFERROR(INDEX(catGrupo,MATCH(D1623,catNom,0))&amp;"",""))</f>
        <v/>
      </c>
      <c r="K1623" s="19">
        <f>IF(I1623="Gasto",IF(IFERROR(INDEX(catClas,MATCH(D1623,catNom,0))&amp;"","")="","Variable",IFERROR(INDEX(catClas,MATCH(D1623,catNom,0))&amp;"","")),"")</f>
        <v/>
      </c>
      <c r="L1623" s="19">
        <f>IF(I1623="","",IFERROR(INDEX(catAlim,MATCH(D1623,catNom,0))&amp;"",""))</f>
        <v/>
      </c>
      <c r="M1623" s="19">
        <f>IF(I1623="","",IFERROR(INDEX(catComida,MATCH(D1623,catNom,0))&amp;"",""))</f>
        <v/>
      </c>
      <c r="N1623" s="19">
        <f>IF(I1623="","",IFERROR(INDEX(ctaMon,MATCH(E1623,ctaNom,0))&amp;"","DOP"))</f>
        <v/>
      </c>
      <c r="O1623" s="20">
        <f>IF(I1623="","",C1623*IF(N1623="USD",TasaUSD,1))</f>
        <v/>
      </c>
      <c r="P1623" s="20">
        <f>IF(I1623="","",IF(I1623="Gasto",O1623,0))</f>
        <v/>
      </c>
      <c r="Q1623" s="20">
        <f>IF(I1623="","",IF(I1623="Ingreso",O1623,0))</f>
        <v/>
      </c>
      <c r="R1623" s="20">
        <f>IF(I1623="","",IF(I1623="Trading",O1623,0))</f>
        <v/>
      </c>
      <c r="S1623" s="19">
        <f>IF(I1623="","",IF(AND(I1623="Gasto",K1623="Variable",J1623&lt;&gt;"Trading",O1623&gt;0,O1623&lt;=Umbral),1,0))</f>
        <v/>
      </c>
      <c r="T1623" s="20">
        <f>IF(OR(I1623="",E1623=""),"",IF(OR(I1623="Gasto",I1623="Transferencia",I1623="Pago tarjeta"),-1,1)*C1623)</f>
        <v/>
      </c>
      <c r="U1623" s="20">
        <f>IF(OR(G1623="",AND(I1623&lt;&gt;"Transferencia",I1623&lt;&gt;"Pago tarjeta")),"",IF(IFERROR(INDEX(ctaMon,MATCH(G1623,ctaNom,0))&amp;"","DOP")=N1623,C1623,IF(N1623="USD",C1623*TasaUSD,C1623/TasaUSD)))</f>
        <v/>
      </c>
      <c r="V1623" s="20">
        <f>IF(I1623="","",IF(IFERROR(INDEX(ctaLiq,MATCH(E1623,ctaNom,0))="Sí",FALSE),IF(OR(I1623="Gasto",I1623="Transferencia",I1623="Pago tarjeta"),-1,1)*O1623,0)+IF(AND(U1623&lt;&gt;"",IFERROR(INDEX(ctaLiq,MATCH(G1623,ctaNom,0))="Sí",FALSE)),O1623,0))</f>
        <v/>
      </c>
      <c r="W1623" s="19">
        <f>IF(OR(F1623="",I1623=""),"",IF(COUNTIFS(F$6:F1623,F1623,I$6:I1623,"?*")=1,MAX(W$5:W1622)+1,""))</f>
        <v/>
      </c>
    </row>
    <row r="1624">
      <c r="B1624" s="15" t="n"/>
      <c r="C1624" s="16" t="n"/>
      <c r="D1624" s="17" t="n"/>
      <c r="E1624" s="17" t="n"/>
      <c r="F1624" s="17" t="n"/>
      <c r="G1624" s="17" t="n"/>
      <c r="H1624" s="18">
        <f>IF(AND(B1624="",C1624="",D1624="",E1624=""),"",IF(B1624="","⚠ Falta fecha",IF(C1624="","⚠ Falta monto",IF(D1624="","⚠ Falta categoría",IF(ISNA(MATCH(D1624,catNom,0)),"⚠ Categoría no existe",IF(E1624="","⚠ Falta cuenta",IF(ISNA(MATCH(E1624,ctaNom,0)),"⚠ Cuenta no existe",IF(AND(OR(I1624="Transferencia",I1624="Pago tarjeta"),G1624=""),"⚠ Indica la cuenta «Hacia»",IF(AND(G1624&lt;&gt;"",G1624=E1624),"⚠ «Hacia» igual a la cuenta",IF(AND(G1624&lt;&gt;"",ISNA(MATCH(G1624,ctaNom,0))),"⚠ «Hacia» no existe",IF(AND(I1624="Pago tarjeta",IFERROR(INDEX(ctaTipo,MATCH(G1624,ctaNom,0)),"")&lt;&gt;"Tarjeta de crédito"),"⚠ «Hacia» debe ser la tarjeta",IF(AND(I1624="Trading",IFERROR(INDEX(ctaTipo,MATCH(E1624,ctaNom,0)),"")&lt;&gt;"Cuenta de trading"),"⚠ Usa la cuenta de trading","✓"))))))))))))</f>
        <v/>
      </c>
      <c r="I1624" s="19">
        <f>IF(OR(B1624="",C1624="",D1624=""),"",IFERROR(INDEX(catTipo,MATCH(D1624,catNom,0))&amp;"",""))</f>
        <v/>
      </c>
      <c r="J1624" s="19">
        <f>IF(I1624="","",IFERROR(INDEX(catGrupo,MATCH(D1624,catNom,0))&amp;"",""))</f>
        <v/>
      </c>
      <c r="K1624" s="19">
        <f>IF(I1624="Gasto",IF(IFERROR(INDEX(catClas,MATCH(D1624,catNom,0))&amp;"","")="","Variable",IFERROR(INDEX(catClas,MATCH(D1624,catNom,0))&amp;"","")),"")</f>
        <v/>
      </c>
      <c r="L1624" s="19">
        <f>IF(I1624="","",IFERROR(INDEX(catAlim,MATCH(D1624,catNom,0))&amp;"",""))</f>
        <v/>
      </c>
      <c r="M1624" s="19">
        <f>IF(I1624="","",IFERROR(INDEX(catComida,MATCH(D1624,catNom,0))&amp;"",""))</f>
        <v/>
      </c>
      <c r="N1624" s="19">
        <f>IF(I1624="","",IFERROR(INDEX(ctaMon,MATCH(E1624,ctaNom,0))&amp;"","DOP"))</f>
        <v/>
      </c>
      <c r="O1624" s="20">
        <f>IF(I1624="","",C1624*IF(N1624="USD",TasaUSD,1))</f>
        <v/>
      </c>
      <c r="P1624" s="20">
        <f>IF(I1624="","",IF(I1624="Gasto",O1624,0))</f>
        <v/>
      </c>
      <c r="Q1624" s="20">
        <f>IF(I1624="","",IF(I1624="Ingreso",O1624,0))</f>
        <v/>
      </c>
      <c r="R1624" s="20">
        <f>IF(I1624="","",IF(I1624="Trading",O1624,0))</f>
        <v/>
      </c>
      <c r="S1624" s="19">
        <f>IF(I1624="","",IF(AND(I1624="Gasto",K1624="Variable",J1624&lt;&gt;"Trading",O1624&gt;0,O1624&lt;=Umbral),1,0))</f>
        <v/>
      </c>
      <c r="T1624" s="20">
        <f>IF(OR(I1624="",E1624=""),"",IF(OR(I1624="Gasto",I1624="Transferencia",I1624="Pago tarjeta"),-1,1)*C1624)</f>
        <v/>
      </c>
      <c r="U1624" s="20">
        <f>IF(OR(G1624="",AND(I1624&lt;&gt;"Transferencia",I1624&lt;&gt;"Pago tarjeta")),"",IF(IFERROR(INDEX(ctaMon,MATCH(G1624,ctaNom,0))&amp;"","DOP")=N1624,C1624,IF(N1624="USD",C1624*TasaUSD,C1624/TasaUSD)))</f>
        <v/>
      </c>
      <c r="V1624" s="20">
        <f>IF(I1624="","",IF(IFERROR(INDEX(ctaLiq,MATCH(E1624,ctaNom,0))="Sí",FALSE),IF(OR(I1624="Gasto",I1624="Transferencia",I1624="Pago tarjeta"),-1,1)*O1624,0)+IF(AND(U1624&lt;&gt;"",IFERROR(INDEX(ctaLiq,MATCH(G1624,ctaNom,0))="Sí",FALSE)),O1624,0))</f>
        <v/>
      </c>
      <c r="W1624" s="19">
        <f>IF(OR(F1624="",I1624=""),"",IF(COUNTIFS(F$6:F1624,F1624,I$6:I1624,"?*")=1,MAX(W$5:W1623)+1,""))</f>
        <v/>
      </c>
    </row>
    <row r="1625">
      <c r="B1625" s="15" t="n"/>
      <c r="C1625" s="16" t="n"/>
      <c r="D1625" s="17" t="n"/>
      <c r="E1625" s="17" t="n"/>
      <c r="F1625" s="17" t="n"/>
      <c r="G1625" s="17" t="n"/>
      <c r="H1625" s="18">
        <f>IF(AND(B1625="",C1625="",D1625="",E1625=""),"",IF(B1625="","⚠ Falta fecha",IF(C1625="","⚠ Falta monto",IF(D1625="","⚠ Falta categoría",IF(ISNA(MATCH(D1625,catNom,0)),"⚠ Categoría no existe",IF(E1625="","⚠ Falta cuenta",IF(ISNA(MATCH(E1625,ctaNom,0)),"⚠ Cuenta no existe",IF(AND(OR(I1625="Transferencia",I1625="Pago tarjeta"),G1625=""),"⚠ Indica la cuenta «Hacia»",IF(AND(G1625&lt;&gt;"",G1625=E1625),"⚠ «Hacia» igual a la cuenta",IF(AND(G1625&lt;&gt;"",ISNA(MATCH(G1625,ctaNom,0))),"⚠ «Hacia» no existe",IF(AND(I1625="Pago tarjeta",IFERROR(INDEX(ctaTipo,MATCH(G1625,ctaNom,0)),"")&lt;&gt;"Tarjeta de crédito"),"⚠ «Hacia» debe ser la tarjeta",IF(AND(I1625="Trading",IFERROR(INDEX(ctaTipo,MATCH(E1625,ctaNom,0)),"")&lt;&gt;"Cuenta de trading"),"⚠ Usa la cuenta de trading","✓"))))))))))))</f>
        <v/>
      </c>
      <c r="I1625" s="19">
        <f>IF(OR(B1625="",C1625="",D1625=""),"",IFERROR(INDEX(catTipo,MATCH(D1625,catNom,0))&amp;"",""))</f>
        <v/>
      </c>
      <c r="J1625" s="19">
        <f>IF(I1625="","",IFERROR(INDEX(catGrupo,MATCH(D1625,catNom,0))&amp;"",""))</f>
        <v/>
      </c>
      <c r="K1625" s="19">
        <f>IF(I1625="Gasto",IF(IFERROR(INDEX(catClas,MATCH(D1625,catNom,0))&amp;"","")="","Variable",IFERROR(INDEX(catClas,MATCH(D1625,catNom,0))&amp;"","")),"")</f>
        <v/>
      </c>
      <c r="L1625" s="19">
        <f>IF(I1625="","",IFERROR(INDEX(catAlim,MATCH(D1625,catNom,0))&amp;"",""))</f>
        <v/>
      </c>
      <c r="M1625" s="19">
        <f>IF(I1625="","",IFERROR(INDEX(catComida,MATCH(D1625,catNom,0))&amp;"",""))</f>
        <v/>
      </c>
      <c r="N1625" s="19">
        <f>IF(I1625="","",IFERROR(INDEX(ctaMon,MATCH(E1625,ctaNom,0))&amp;"","DOP"))</f>
        <v/>
      </c>
      <c r="O1625" s="20">
        <f>IF(I1625="","",C1625*IF(N1625="USD",TasaUSD,1))</f>
        <v/>
      </c>
      <c r="P1625" s="20">
        <f>IF(I1625="","",IF(I1625="Gasto",O1625,0))</f>
        <v/>
      </c>
      <c r="Q1625" s="20">
        <f>IF(I1625="","",IF(I1625="Ingreso",O1625,0))</f>
        <v/>
      </c>
      <c r="R1625" s="20">
        <f>IF(I1625="","",IF(I1625="Trading",O1625,0))</f>
        <v/>
      </c>
      <c r="S1625" s="19">
        <f>IF(I1625="","",IF(AND(I1625="Gasto",K1625="Variable",J1625&lt;&gt;"Trading",O1625&gt;0,O1625&lt;=Umbral),1,0))</f>
        <v/>
      </c>
      <c r="T1625" s="20">
        <f>IF(OR(I1625="",E1625=""),"",IF(OR(I1625="Gasto",I1625="Transferencia",I1625="Pago tarjeta"),-1,1)*C1625)</f>
        <v/>
      </c>
      <c r="U1625" s="20">
        <f>IF(OR(G1625="",AND(I1625&lt;&gt;"Transferencia",I1625&lt;&gt;"Pago tarjeta")),"",IF(IFERROR(INDEX(ctaMon,MATCH(G1625,ctaNom,0))&amp;"","DOP")=N1625,C1625,IF(N1625="USD",C1625*TasaUSD,C1625/TasaUSD)))</f>
        <v/>
      </c>
      <c r="V1625" s="20">
        <f>IF(I1625="","",IF(IFERROR(INDEX(ctaLiq,MATCH(E1625,ctaNom,0))="Sí",FALSE),IF(OR(I1625="Gasto",I1625="Transferencia",I1625="Pago tarjeta"),-1,1)*O1625,0)+IF(AND(U1625&lt;&gt;"",IFERROR(INDEX(ctaLiq,MATCH(G1625,ctaNom,0))="Sí",FALSE)),O1625,0))</f>
        <v/>
      </c>
      <c r="W1625" s="19">
        <f>IF(OR(F1625="",I1625=""),"",IF(COUNTIFS(F$6:F1625,F1625,I$6:I1625,"?*")=1,MAX(W$5:W1624)+1,""))</f>
        <v/>
      </c>
    </row>
    <row r="1626">
      <c r="B1626" s="15" t="n"/>
      <c r="C1626" s="16" t="n"/>
      <c r="D1626" s="17" t="n"/>
      <c r="E1626" s="17" t="n"/>
      <c r="F1626" s="17" t="n"/>
      <c r="G1626" s="17" t="n"/>
      <c r="H1626" s="18">
        <f>IF(AND(B1626="",C1626="",D1626="",E1626=""),"",IF(B1626="","⚠ Falta fecha",IF(C1626="","⚠ Falta monto",IF(D1626="","⚠ Falta categoría",IF(ISNA(MATCH(D1626,catNom,0)),"⚠ Categoría no existe",IF(E1626="","⚠ Falta cuenta",IF(ISNA(MATCH(E1626,ctaNom,0)),"⚠ Cuenta no existe",IF(AND(OR(I1626="Transferencia",I1626="Pago tarjeta"),G1626=""),"⚠ Indica la cuenta «Hacia»",IF(AND(G1626&lt;&gt;"",G1626=E1626),"⚠ «Hacia» igual a la cuenta",IF(AND(G1626&lt;&gt;"",ISNA(MATCH(G1626,ctaNom,0))),"⚠ «Hacia» no existe",IF(AND(I1626="Pago tarjeta",IFERROR(INDEX(ctaTipo,MATCH(G1626,ctaNom,0)),"")&lt;&gt;"Tarjeta de crédito"),"⚠ «Hacia» debe ser la tarjeta",IF(AND(I1626="Trading",IFERROR(INDEX(ctaTipo,MATCH(E1626,ctaNom,0)),"")&lt;&gt;"Cuenta de trading"),"⚠ Usa la cuenta de trading","✓"))))))))))))</f>
        <v/>
      </c>
      <c r="I1626" s="19">
        <f>IF(OR(B1626="",C1626="",D1626=""),"",IFERROR(INDEX(catTipo,MATCH(D1626,catNom,0))&amp;"",""))</f>
        <v/>
      </c>
      <c r="J1626" s="19">
        <f>IF(I1626="","",IFERROR(INDEX(catGrupo,MATCH(D1626,catNom,0))&amp;"",""))</f>
        <v/>
      </c>
      <c r="K1626" s="19">
        <f>IF(I1626="Gasto",IF(IFERROR(INDEX(catClas,MATCH(D1626,catNom,0))&amp;"","")="","Variable",IFERROR(INDEX(catClas,MATCH(D1626,catNom,0))&amp;"","")),"")</f>
        <v/>
      </c>
      <c r="L1626" s="19">
        <f>IF(I1626="","",IFERROR(INDEX(catAlim,MATCH(D1626,catNom,0))&amp;"",""))</f>
        <v/>
      </c>
      <c r="M1626" s="19">
        <f>IF(I1626="","",IFERROR(INDEX(catComida,MATCH(D1626,catNom,0))&amp;"",""))</f>
        <v/>
      </c>
      <c r="N1626" s="19">
        <f>IF(I1626="","",IFERROR(INDEX(ctaMon,MATCH(E1626,ctaNom,0))&amp;"","DOP"))</f>
        <v/>
      </c>
      <c r="O1626" s="20">
        <f>IF(I1626="","",C1626*IF(N1626="USD",TasaUSD,1))</f>
        <v/>
      </c>
      <c r="P1626" s="20">
        <f>IF(I1626="","",IF(I1626="Gasto",O1626,0))</f>
        <v/>
      </c>
      <c r="Q1626" s="20">
        <f>IF(I1626="","",IF(I1626="Ingreso",O1626,0))</f>
        <v/>
      </c>
      <c r="R1626" s="20">
        <f>IF(I1626="","",IF(I1626="Trading",O1626,0))</f>
        <v/>
      </c>
      <c r="S1626" s="19">
        <f>IF(I1626="","",IF(AND(I1626="Gasto",K1626="Variable",J1626&lt;&gt;"Trading",O1626&gt;0,O1626&lt;=Umbral),1,0))</f>
        <v/>
      </c>
      <c r="T1626" s="20">
        <f>IF(OR(I1626="",E1626=""),"",IF(OR(I1626="Gasto",I1626="Transferencia",I1626="Pago tarjeta"),-1,1)*C1626)</f>
        <v/>
      </c>
      <c r="U1626" s="20">
        <f>IF(OR(G1626="",AND(I1626&lt;&gt;"Transferencia",I1626&lt;&gt;"Pago tarjeta")),"",IF(IFERROR(INDEX(ctaMon,MATCH(G1626,ctaNom,0))&amp;"","DOP")=N1626,C1626,IF(N1626="USD",C1626*TasaUSD,C1626/TasaUSD)))</f>
        <v/>
      </c>
      <c r="V1626" s="20">
        <f>IF(I1626="","",IF(IFERROR(INDEX(ctaLiq,MATCH(E1626,ctaNom,0))="Sí",FALSE),IF(OR(I1626="Gasto",I1626="Transferencia",I1626="Pago tarjeta"),-1,1)*O1626,0)+IF(AND(U1626&lt;&gt;"",IFERROR(INDEX(ctaLiq,MATCH(G1626,ctaNom,0))="Sí",FALSE)),O1626,0))</f>
        <v/>
      </c>
      <c r="W1626" s="19">
        <f>IF(OR(F1626="",I1626=""),"",IF(COUNTIFS(F$6:F1626,F1626,I$6:I1626,"?*")=1,MAX(W$5:W1625)+1,""))</f>
        <v/>
      </c>
    </row>
    <row r="1627">
      <c r="B1627" s="15" t="n"/>
      <c r="C1627" s="16" t="n"/>
      <c r="D1627" s="17" t="n"/>
      <c r="E1627" s="17" t="n"/>
      <c r="F1627" s="17" t="n"/>
      <c r="G1627" s="17" t="n"/>
      <c r="H1627" s="18">
        <f>IF(AND(B1627="",C1627="",D1627="",E1627=""),"",IF(B1627="","⚠ Falta fecha",IF(C1627="","⚠ Falta monto",IF(D1627="","⚠ Falta categoría",IF(ISNA(MATCH(D1627,catNom,0)),"⚠ Categoría no existe",IF(E1627="","⚠ Falta cuenta",IF(ISNA(MATCH(E1627,ctaNom,0)),"⚠ Cuenta no existe",IF(AND(OR(I1627="Transferencia",I1627="Pago tarjeta"),G1627=""),"⚠ Indica la cuenta «Hacia»",IF(AND(G1627&lt;&gt;"",G1627=E1627),"⚠ «Hacia» igual a la cuenta",IF(AND(G1627&lt;&gt;"",ISNA(MATCH(G1627,ctaNom,0))),"⚠ «Hacia» no existe",IF(AND(I1627="Pago tarjeta",IFERROR(INDEX(ctaTipo,MATCH(G1627,ctaNom,0)),"")&lt;&gt;"Tarjeta de crédito"),"⚠ «Hacia» debe ser la tarjeta",IF(AND(I1627="Trading",IFERROR(INDEX(ctaTipo,MATCH(E1627,ctaNom,0)),"")&lt;&gt;"Cuenta de trading"),"⚠ Usa la cuenta de trading","✓"))))))))))))</f>
        <v/>
      </c>
      <c r="I1627" s="19">
        <f>IF(OR(B1627="",C1627="",D1627=""),"",IFERROR(INDEX(catTipo,MATCH(D1627,catNom,0))&amp;"",""))</f>
        <v/>
      </c>
      <c r="J1627" s="19">
        <f>IF(I1627="","",IFERROR(INDEX(catGrupo,MATCH(D1627,catNom,0))&amp;"",""))</f>
        <v/>
      </c>
      <c r="K1627" s="19">
        <f>IF(I1627="Gasto",IF(IFERROR(INDEX(catClas,MATCH(D1627,catNom,0))&amp;"","")="","Variable",IFERROR(INDEX(catClas,MATCH(D1627,catNom,0))&amp;"","")),"")</f>
        <v/>
      </c>
      <c r="L1627" s="19">
        <f>IF(I1627="","",IFERROR(INDEX(catAlim,MATCH(D1627,catNom,0))&amp;"",""))</f>
        <v/>
      </c>
      <c r="M1627" s="19">
        <f>IF(I1627="","",IFERROR(INDEX(catComida,MATCH(D1627,catNom,0))&amp;"",""))</f>
        <v/>
      </c>
      <c r="N1627" s="19">
        <f>IF(I1627="","",IFERROR(INDEX(ctaMon,MATCH(E1627,ctaNom,0))&amp;"","DOP"))</f>
        <v/>
      </c>
      <c r="O1627" s="20">
        <f>IF(I1627="","",C1627*IF(N1627="USD",TasaUSD,1))</f>
        <v/>
      </c>
      <c r="P1627" s="20">
        <f>IF(I1627="","",IF(I1627="Gasto",O1627,0))</f>
        <v/>
      </c>
      <c r="Q1627" s="20">
        <f>IF(I1627="","",IF(I1627="Ingreso",O1627,0))</f>
        <v/>
      </c>
      <c r="R1627" s="20">
        <f>IF(I1627="","",IF(I1627="Trading",O1627,0))</f>
        <v/>
      </c>
      <c r="S1627" s="19">
        <f>IF(I1627="","",IF(AND(I1627="Gasto",K1627="Variable",J1627&lt;&gt;"Trading",O1627&gt;0,O1627&lt;=Umbral),1,0))</f>
        <v/>
      </c>
      <c r="T1627" s="20">
        <f>IF(OR(I1627="",E1627=""),"",IF(OR(I1627="Gasto",I1627="Transferencia",I1627="Pago tarjeta"),-1,1)*C1627)</f>
        <v/>
      </c>
      <c r="U1627" s="20">
        <f>IF(OR(G1627="",AND(I1627&lt;&gt;"Transferencia",I1627&lt;&gt;"Pago tarjeta")),"",IF(IFERROR(INDEX(ctaMon,MATCH(G1627,ctaNom,0))&amp;"","DOP")=N1627,C1627,IF(N1627="USD",C1627*TasaUSD,C1627/TasaUSD)))</f>
        <v/>
      </c>
      <c r="V1627" s="20">
        <f>IF(I1627="","",IF(IFERROR(INDEX(ctaLiq,MATCH(E1627,ctaNom,0))="Sí",FALSE),IF(OR(I1627="Gasto",I1627="Transferencia",I1627="Pago tarjeta"),-1,1)*O1627,0)+IF(AND(U1627&lt;&gt;"",IFERROR(INDEX(ctaLiq,MATCH(G1627,ctaNom,0))="Sí",FALSE)),O1627,0))</f>
        <v/>
      </c>
      <c r="W1627" s="19">
        <f>IF(OR(F1627="",I1627=""),"",IF(COUNTIFS(F$6:F1627,F1627,I$6:I1627,"?*")=1,MAX(W$5:W1626)+1,""))</f>
        <v/>
      </c>
    </row>
    <row r="1628">
      <c r="B1628" s="15" t="n"/>
      <c r="C1628" s="16" t="n"/>
      <c r="D1628" s="17" t="n"/>
      <c r="E1628" s="17" t="n"/>
      <c r="F1628" s="17" t="n"/>
      <c r="G1628" s="17" t="n"/>
      <c r="H1628" s="18">
        <f>IF(AND(B1628="",C1628="",D1628="",E1628=""),"",IF(B1628="","⚠ Falta fecha",IF(C1628="","⚠ Falta monto",IF(D1628="","⚠ Falta categoría",IF(ISNA(MATCH(D1628,catNom,0)),"⚠ Categoría no existe",IF(E1628="","⚠ Falta cuenta",IF(ISNA(MATCH(E1628,ctaNom,0)),"⚠ Cuenta no existe",IF(AND(OR(I1628="Transferencia",I1628="Pago tarjeta"),G1628=""),"⚠ Indica la cuenta «Hacia»",IF(AND(G1628&lt;&gt;"",G1628=E1628),"⚠ «Hacia» igual a la cuenta",IF(AND(G1628&lt;&gt;"",ISNA(MATCH(G1628,ctaNom,0))),"⚠ «Hacia» no existe",IF(AND(I1628="Pago tarjeta",IFERROR(INDEX(ctaTipo,MATCH(G1628,ctaNom,0)),"")&lt;&gt;"Tarjeta de crédito"),"⚠ «Hacia» debe ser la tarjeta",IF(AND(I1628="Trading",IFERROR(INDEX(ctaTipo,MATCH(E1628,ctaNom,0)),"")&lt;&gt;"Cuenta de trading"),"⚠ Usa la cuenta de trading","✓"))))))))))))</f>
        <v/>
      </c>
      <c r="I1628" s="19">
        <f>IF(OR(B1628="",C1628="",D1628=""),"",IFERROR(INDEX(catTipo,MATCH(D1628,catNom,0))&amp;"",""))</f>
        <v/>
      </c>
      <c r="J1628" s="19">
        <f>IF(I1628="","",IFERROR(INDEX(catGrupo,MATCH(D1628,catNom,0))&amp;"",""))</f>
        <v/>
      </c>
      <c r="K1628" s="19">
        <f>IF(I1628="Gasto",IF(IFERROR(INDEX(catClas,MATCH(D1628,catNom,0))&amp;"","")="","Variable",IFERROR(INDEX(catClas,MATCH(D1628,catNom,0))&amp;"","")),"")</f>
        <v/>
      </c>
      <c r="L1628" s="19">
        <f>IF(I1628="","",IFERROR(INDEX(catAlim,MATCH(D1628,catNom,0))&amp;"",""))</f>
        <v/>
      </c>
      <c r="M1628" s="19">
        <f>IF(I1628="","",IFERROR(INDEX(catComida,MATCH(D1628,catNom,0))&amp;"",""))</f>
        <v/>
      </c>
      <c r="N1628" s="19">
        <f>IF(I1628="","",IFERROR(INDEX(ctaMon,MATCH(E1628,ctaNom,0))&amp;"","DOP"))</f>
        <v/>
      </c>
      <c r="O1628" s="20">
        <f>IF(I1628="","",C1628*IF(N1628="USD",TasaUSD,1))</f>
        <v/>
      </c>
      <c r="P1628" s="20">
        <f>IF(I1628="","",IF(I1628="Gasto",O1628,0))</f>
        <v/>
      </c>
      <c r="Q1628" s="20">
        <f>IF(I1628="","",IF(I1628="Ingreso",O1628,0))</f>
        <v/>
      </c>
      <c r="R1628" s="20">
        <f>IF(I1628="","",IF(I1628="Trading",O1628,0))</f>
        <v/>
      </c>
      <c r="S1628" s="19">
        <f>IF(I1628="","",IF(AND(I1628="Gasto",K1628="Variable",J1628&lt;&gt;"Trading",O1628&gt;0,O1628&lt;=Umbral),1,0))</f>
        <v/>
      </c>
      <c r="T1628" s="20">
        <f>IF(OR(I1628="",E1628=""),"",IF(OR(I1628="Gasto",I1628="Transferencia",I1628="Pago tarjeta"),-1,1)*C1628)</f>
        <v/>
      </c>
      <c r="U1628" s="20">
        <f>IF(OR(G1628="",AND(I1628&lt;&gt;"Transferencia",I1628&lt;&gt;"Pago tarjeta")),"",IF(IFERROR(INDEX(ctaMon,MATCH(G1628,ctaNom,0))&amp;"","DOP")=N1628,C1628,IF(N1628="USD",C1628*TasaUSD,C1628/TasaUSD)))</f>
        <v/>
      </c>
      <c r="V1628" s="20">
        <f>IF(I1628="","",IF(IFERROR(INDEX(ctaLiq,MATCH(E1628,ctaNom,0))="Sí",FALSE),IF(OR(I1628="Gasto",I1628="Transferencia",I1628="Pago tarjeta"),-1,1)*O1628,0)+IF(AND(U1628&lt;&gt;"",IFERROR(INDEX(ctaLiq,MATCH(G1628,ctaNom,0))="Sí",FALSE)),O1628,0))</f>
        <v/>
      </c>
      <c r="W1628" s="19">
        <f>IF(OR(F1628="",I1628=""),"",IF(COUNTIFS(F$6:F1628,F1628,I$6:I1628,"?*")=1,MAX(W$5:W1627)+1,""))</f>
        <v/>
      </c>
    </row>
    <row r="1629">
      <c r="B1629" s="15" t="n"/>
      <c r="C1629" s="16" t="n"/>
      <c r="D1629" s="17" t="n"/>
      <c r="E1629" s="17" t="n"/>
      <c r="F1629" s="17" t="n"/>
      <c r="G1629" s="17" t="n"/>
      <c r="H1629" s="18">
        <f>IF(AND(B1629="",C1629="",D1629="",E1629=""),"",IF(B1629="","⚠ Falta fecha",IF(C1629="","⚠ Falta monto",IF(D1629="","⚠ Falta categoría",IF(ISNA(MATCH(D1629,catNom,0)),"⚠ Categoría no existe",IF(E1629="","⚠ Falta cuenta",IF(ISNA(MATCH(E1629,ctaNom,0)),"⚠ Cuenta no existe",IF(AND(OR(I1629="Transferencia",I1629="Pago tarjeta"),G1629=""),"⚠ Indica la cuenta «Hacia»",IF(AND(G1629&lt;&gt;"",G1629=E1629),"⚠ «Hacia» igual a la cuenta",IF(AND(G1629&lt;&gt;"",ISNA(MATCH(G1629,ctaNom,0))),"⚠ «Hacia» no existe",IF(AND(I1629="Pago tarjeta",IFERROR(INDEX(ctaTipo,MATCH(G1629,ctaNom,0)),"")&lt;&gt;"Tarjeta de crédito"),"⚠ «Hacia» debe ser la tarjeta",IF(AND(I1629="Trading",IFERROR(INDEX(ctaTipo,MATCH(E1629,ctaNom,0)),"")&lt;&gt;"Cuenta de trading"),"⚠ Usa la cuenta de trading","✓"))))))))))))</f>
        <v/>
      </c>
      <c r="I1629" s="19">
        <f>IF(OR(B1629="",C1629="",D1629=""),"",IFERROR(INDEX(catTipo,MATCH(D1629,catNom,0))&amp;"",""))</f>
        <v/>
      </c>
      <c r="J1629" s="19">
        <f>IF(I1629="","",IFERROR(INDEX(catGrupo,MATCH(D1629,catNom,0))&amp;"",""))</f>
        <v/>
      </c>
      <c r="K1629" s="19">
        <f>IF(I1629="Gasto",IF(IFERROR(INDEX(catClas,MATCH(D1629,catNom,0))&amp;"","")="","Variable",IFERROR(INDEX(catClas,MATCH(D1629,catNom,0))&amp;"","")),"")</f>
        <v/>
      </c>
      <c r="L1629" s="19">
        <f>IF(I1629="","",IFERROR(INDEX(catAlim,MATCH(D1629,catNom,0))&amp;"",""))</f>
        <v/>
      </c>
      <c r="M1629" s="19">
        <f>IF(I1629="","",IFERROR(INDEX(catComida,MATCH(D1629,catNom,0))&amp;"",""))</f>
        <v/>
      </c>
      <c r="N1629" s="19">
        <f>IF(I1629="","",IFERROR(INDEX(ctaMon,MATCH(E1629,ctaNom,0))&amp;"","DOP"))</f>
        <v/>
      </c>
      <c r="O1629" s="20">
        <f>IF(I1629="","",C1629*IF(N1629="USD",TasaUSD,1))</f>
        <v/>
      </c>
      <c r="P1629" s="20">
        <f>IF(I1629="","",IF(I1629="Gasto",O1629,0))</f>
        <v/>
      </c>
      <c r="Q1629" s="20">
        <f>IF(I1629="","",IF(I1629="Ingreso",O1629,0))</f>
        <v/>
      </c>
      <c r="R1629" s="20">
        <f>IF(I1629="","",IF(I1629="Trading",O1629,0))</f>
        <v/>
      </c>
      <c r="S1629" s="19">
        <f>IF(I1629="","",IF(AND(I1629="Gasto",K1629="Variable",J1629&lt;&gt;"Trading",O1629&gt;0,O1629&lt;=Umbral),1,0))</f>
        <v/>
      </c>
      <c r="T1629" s="20">
        <f>IF(OR(I1629="",E1629=""),"",IF(OR(I1629="Gasto",I1629="Transferencia",I1629="Pago tarjeta"),-1,1)*C1629)</f>
        <v/>
      </c>
      <c r="U1629" s="20">
        <f>IF(OR(G1629="",AND(I1629&lt;&gt;"Transferencia",I1629&lt;&gt;"Pago tarjeta")),"",IF(IFERROR(INDEX(ctaMon,MATCH(G1629,ctaNom,0))&amp;"","DOP")=N1629,C1629,IF(N1629="USD",C1629*TasaUSD,C1629/TasaUSD)))</f>
        <v/>
      </c>
      <c r="V1629" s="20">
        <f>IF(I1629="","",IF(IFERROR(INDEX(ctaLiq,MATCH(E1629,ctaNom,0))="Sí",FALSE),IF(OR(I1629="Gasto",I1629="Transferencia",I1629="Pago tarjeta"),-1,1)*O1629,0)+IF(AND(U1629&lt;&gt;"",IFERROR(INDEX(ctaLiq,MATCH(G1629,ctaNom,0))="Sí",FALSE)),O1629,0))</f>
        <v/>
      </c>
      <c r="W1629" s="19">
        <f>IF(OR(F1629="",I1629=""),"",IF(COUNTIFS(F$6:F1629,F1629,I$6:I1629,"?*")=1,MAX(W$5:W1628)+1,""))</f>
        <v/>
      </c>
    </row>
    <row r="1630">
      <c r="B1630" s="15" t="n"/>
      <c r="C1630" s="16" t="n"/>
      <c r="D1630" s="17" t="n"/>
      <c r="E1630" s="17" t="n"/>
      <c r="F1630" s="17" t="n"/>
      <c r="G1630" s="17" t="n"/>
      <c r="H1630" s="18">
        <f>IF(AND(B1630="",C1630="",D1630="",E1630=""),"",IF(B1630="","⚠ Falta fecha",IF(C1630="","⚠ Falta monto",IF(D1630="","⚠ Falta categoría",IF(ISNA(MATCH(D1630,catNom,0)),"⚠ Categoría no existe",IF(E1630="","⚠ Falta cuenta",IF(ISNA(MATCH(E1630,ctaNom,0)),"⚠ Cuenta no existe",IF(AND(OR(I1630="Transferencia",I1630="Pago tarjeta"),G1630=""),"⚠ Indica la cuenta «Hacia»",IF(AND(G1630&lt;&gt;"",G1630=E1630),"⚠ «Hacia» igual a la cuenta",IF(AND(G1630&lt;&gt;"",ISNA(MATCH(G1630,ctaNom,0))),"⚠ «Hacia» no existe",IF(AND(I1630="Pago tarjeta",IFERROR(INDEX(ctaTipo,MATCH(G1630,ctaNom,0)),"")&lt;&gt;"Tarjeta de crédito"),"⚠ «Hacia» debe ser la tarjeta",IF(AND(I1630="Trading",IFERROR(INDEX(ctaTipo,MATCH(E1630,ctaNom,0)),"")&lt;&gt;"Cuenta de trading"),"⚠ Usa la cuenta de trading","✓"))))))))))))</f>
        <v/>
      </c>
      <c r="I1630" s="19">
        <f>IF(OR(B1630="",C1630="",D1630=""),"",IFERROR(INDEX(catTipo,MATCH(D1630,catNom,0))&amp;"",""))</f>
        <v/>
      </c>
      <c r="J1630" s="19">
        <f>IF(I1630="","",IFERROR(INDEX(catGrupo,MATCH(D1630,catNom,0))&amp;"",""))</f>
        <v/>
      </c>
      <c r="K1630" s="19">
        <f>IF(I1630="Gasto",IF(IFERROR(INDEX(catClas,MATCH(D1630,catNom,0))&amp;"","")="","Variable",IFERROR(INDEX(catClas,MATCH(D1630,catNom,0))&amp;"","")),"")</f>
        <v/>
      </c>
      <c r="L1630" s="19">
        <f>IF(I1630="","",IFERROR(INDEX(catAlim,MATCH(D1630,catNom,0))&amp;"",""))</f>
        <v/>
      </c>
      <c r="M1630" s="19">
        <f>IF(I1630="","",IFERROR(INDEX(catComida,MATCH(D1630,catNom,0))&amp;"",""))</f>
        <v/>
      </c>
      <c r="N1630" s="19">
        <f>IF(I1630="","",IFERROR(INDEX(ctaMon,MATCH(E1630,ctaNom,0))&amp;"","DOP"))</f>
        <v/>
      </c>
      <c r="O1630" s="20">
        <f>IF(I1630="","",C1630*IF(N1630="USD",TasaUSD,1))</f>
        <v/>
      </c>
      <c r="P1630" s="20">
        <f>IF(I1630="","",IF(I1630="Gasto",O1630,0))</f>
        <v/>
      </c>
      <c r="Q1630" s="20">
        <f>IF(I1630="","",IF(I1630="Ingreso",O1630,0))</f>
        <v/>
      </c>
      <c r="R1630" s="20">
        <f>IF(I1630="","",IF(I1630="Trading",O1630,0))</f>
        <v/>
      </c>
      <c r="S1630" s="19">
        <f>IF(I1630="","",IF(AND(I1630="Gasto",K1630="Variable",J1630&lt;&gt;"Trading",O1630&gt;0,O1630&lt;=Umbral),1,0))</f>
        <v/>
      </c>
      <c r="T1630" s="20">
        <f>IF(OR(I1630="",E1630=""),"",IF(OR(I1630="Gasto",I1630="Transferencia",I1630="Pago tarjeta"),-1,1)*C1630)</f>
        <v/>
      </c>
      <c r="U1630" s="20">
        <f>IF(OR(G1630="",AND(I1630&lt;&gt;"Transferencia",I1630&lt;&gt;"Pago tarjeta")),"",IF(IFERROR(INDEX(ctaMon,MATCH(G1630,ctaNom,0))&amp;"","DOP")=N1630,C1630,IF(N1630="USD",C1630*TasaUSD,C1630/TasaUSD)))</f>
        <v/>
      </c>
      <c r="V1630" s="20">
        <f>IF(I1630="","",IF(IFERROR(INDEX(ctaLiq,MATCH(E1630,ctaNom,0))="Sí",FALSE),IF(OR(I1630="Gasto",I1630="Transferencia",I1630="Pago tarjeta"),-1,1)*O1630,0)+IF(AND(U1630&lt;&gt;"",IFERROR(INDEX(ctaLiq,MATCH(G1630,ctaNom,0))="Sí",FALSE)),O1630,0))</f>
        <v/>
      </c>
      <c r="W1630" s="19">
        <f>IF(OR(F1630="",I1630=""),"",IF(COUNTIFS(F$6:F1630,F1630,I$6:I1630,"?*")=1,MAX(W$5:W1629)+1,""))</f>
        <v/>
      </c>
    </row>
    <row r="1631">
      <c r="B1631" s="15" t="n"/>
      <c r="C1631" s="16" t="n"/>
      <c r="D1631" s="17" t="n"/>
      <c r="E1631" s="17" t="n"/>
      <c r="F1631" s="17" t="n"/>
      <c r="G1631" s="17" t="n"/>
      <c r="H1631" s="18">
        <f>IF(AND(B1631="",C1631="",D1631="",E1631=""),"",IF(B1631="","⚠ Falta fecha",IF(C1631="","⚠ Falta monto",IF(D1631="","⚠ Falta categoría",IF(ISNA(MATCH(D1631,catNom,0)),"⚠ Categoría no existe",IF(E1631="","⚠ Falta cuenta",IF(ISNA(MATCH(E1631,ctaNom,0)),"⚠ Cuenta no existe",IF(AND(OR(I1631="Transferencia",I1631="Pago tarjeta"),G1631=""),"⚠ Indica la cuenta «Hacia»",IF(AND(G1631&lt;&gt;"",G1631=E1631),"⚠ «Hacia» igual a la cuenta",IF(AND(G1631&lt;&gt;"",ISNA(MATCH(G1631,ctaNom,0))),"⚠ «Hacia» no existe",IF(AND(I1631="Pago tarjeta",IFERROR(INDEX(ctaTipo,MATCH(G1631,ctaNom,0)),"")&lt;&gt;"Tarjeta de crédito"),"⚠ «Hacia» debe ser la tarjeta",IF(AND(I1631="Trading",IFERROR(INDEX(ctaTipo,MATCH(E1631,ctaNom,0)),"")&lt;&gt;"Cuenta de trading"),"⚠ Usa la cuenta de trading","✓"))))))))))))</f>
        <v/>
      </c>
      <c r="I1631" s="19">
        <f>IF(OR(B1631="",C1631="",D1631=""),"",IFERROR(INDEX(catTipo,MATCH(D1631,catNom,0))&amp;"",""))</f>
        <v/>
      </c>
      <c r="J1631" s="19">
        <f>IF(I1631="","",IFERROR(INDEX(catGrupo,MATCH(D1631,catNom,0))&amp;"",""))</f>
        <v/>
      </c>
      <c r="K1631" s="19">
        <f>IF(I1631="Gasto",IF(IFERROR(INDEX(catClas,MATCH(D1631,catNom,0))&amp;"","")="","Variable",IFERROR(INDEX(catClas,MATCH(D1631,catNom,0))&amp;"","")),"")</f>
        <v/>
      </c>
      <c r="L1631" s="19">
        <f>IF(I1631="","",IFERROR(INDEX(catAlim,MATCH(D1631,catNom,0))&amp;"",""))</f>
        <v/>
      </c>
      <c r="M1631" s="19">
        <f>IF(I1631="","",IFERROR(INDEX(catComida,MATCH(D1631,catNom,0))&amp;"",""))</f>
        <v/>
      </c>
      <c r="N1631" s="19">
        <f>IF(I1631="","",IFERROR(INDEX(ctaMon,MATCH(E1631,ctaNom,0))&amp;"","DOP"))</f>
        <v/>
      </c>
      <c r="O1631" s="20">
        <f>IF(I1631="","",C1631*IF(N1631="USD",TasaUSD,1))</f>
        <v/>
      </c>
      <c r="P1631" s="20">
        <f>IF(I1631="","",IF(I1631="Gasto",O1631,0))</f>
        <v/>
      </c>
      <c r="Q1631" s="20">
        <f>IF(I1631="","",IF(I1631="Ingreso",O1631,0))</f>
        <v/>
      </c>
      <c r="R1631" s="20">
        <f>IF(I1631="","",IF(I1631="Trading",O1631,0))</f>
        <v/>
      </c>
      <c r="S1631" s="19">
        <f>IF(I1631="","",IF(AND(I1631="Gasto",K1631="Variable",J1631&lt;&gt;"Trading",O1631&gt;0,O1631&lt;=Umbral),1,0))</f>
        <v/>
      </c>
      <c r="T1631" s="20">
        <f>IF(OR(I1631="",E1631=""),"",IF(OR(I1631="Gasto",I1631="Transferencia",I1631="Pago tarjeta"),-1,1)*C1631)</f>
        <v/>
      </c>
      <c r="U1631" s="20">
        <f>IF(OR(G1631="",AND(I1631&lt;&gt;"Transferencia",I1631&lt;&gt;"Pago tarjeta")),"",IF(IFERROR(INDEX(ctaMon,MATCH(G1631,ctaNom,0))&amp;"","DOP")=N1631,C1631,IF(N1631="USD",C1631*TasaUSD,C1631/TasaUSD)))</f>
        <v/>
      </c>
      <c r="V1631" s="20">
        <f>IF(I1631="","",IF(IFERROR(INDEX(ctaLiq,MATCH(E1631,ctaNom,0))="Sí",FALSE),IF(OR(I1631="Gasto",I1631="Transferencia",I1631="Pago tarjeta"),-1,1)*O1631,0)+IF(AND(U1631&lt;&gt;"",IFERROR(INDEX(ctaLiq,MATCH(G1631,ctaNom,0))="Sí",FALSE)),O1631,0))</f>
        <v/>
      </c>
      <c r="W1631" s="19">
        <f>IF(OR(F1631="",I1631=""),"",IF(COUNTIFS(F$6:F1631,F1631,I$6:I1631,"?*")=1,MAX(W$5:W1630)+1,""))</f>
        <v/>
      </c>
    </row>
    <row r="1632">
      <c r="B1632" s="15" t="n"/>
      <c r="C1632" s="16" t="n"/>
      <c r="D1632" s="17" t="n"/>
      <c r="E1632" s="17" t="n"/>
      <c r="F1632" s="17" t="n"/>
      <c r="G1632" s="17" t="n"/>
      <c r="H1632" s="18">
        <f>IF(AND(B1632="",C1632="",D1632="",E1632=""),"",IF(B1632="","⚠ Falta fecha",IF(C1632="","⚠ Falta monto",IF(D1632="","⚠ Falta categoría",IF(ISNA(MATCH(D1632,catNom,0)),"⚠ Categoría no existe",IF(E1632="","⚠ Falta cuenta",IF(ISNA(MATCH(E1632,ctaNom,0)),"⚠ Cuenta no existe",IF(AND(OR(I1632="Transferencia",I1632="Pago tarjeta"),G1632=""),"⚠ Indica la cuenta «Hacia»",IF(AND(G1632&lt;&gt;"",G1632=E1632),"⚠ «Hacia» igual a la cuenta",IF(AND(G1632&lt;&gt;"",ISNA(MATCH(G1632,ctaNom,0))),"⚠ «Hacia» no existe",IF(AND(I1632="Pago tarjeta",IFERROR(INDEX(ctaTipo,MATCH(G1632,ctaNom,0)),"")&lt;&gt;"Tarjeta de crédito"),"⚠ «Hacia» debe ser la tarjeta",IF(AND(I1632="Trading",IFERROR(INDEX(ctaTipo,MATCH(E1632,ctaNom,0)),"")&lt;&gt;"Cuenta de trading"),"⚠ Usa la cuenta de trading","✓"))))))))))))</f>
        <v/>
      </c>
      <c r="I1632" s="19">
        <f>IF(OR(B1632="",C1632="",D1632=""),"",IFERROR(INDEX(catTipo,MATCH(D1632,catNom,0))&amp;"",""))</f>
        <v/>
      </c>
      <c r="J1632" s="19">
        <f>IF(I1632="","",IFERROR(INDEX(catGrupo,MATCH(D1632,catNom,0))&amp;"",""))</f>
        <v/>
      </c>
      <c r="K1632" s="19">
        <f>IF(I1632="Gasto",IF(IFERROR(INDEX(catClas,MATCH(D1632,catNom,0))&amp;"","")="","Variable",IFERROR(INDEX(catClas,MATCH(D1632,catNom,0))&amp;"","")),"")</f>
        <v/>
      </c>
      <c r="L1632" s="19">
        <f>IF(I1632="","",IFERROR(INDEX(catAlim,MATCH(D1632,catNom,0))&amp;"",""))</f>
        <v/>
      </c>
      <c r="M1632" s="19">
        <f>IF(I1632="","",IFERROR(INDEX(catComida,MATCH(D1632,catNom,0))&amp;"",""))</f>
        <v/>
      </c>
      <c r="N1632" s="19">
        <f>IF(I1632="","",IFERROR(INDEX(ctaMon,MATCH(E1632,ctaNom,0))&amp;"","DOP"))</f>
        <v/>
      </c>
      <c r="O1632" s="20">
        <f>IF(I1632="","",C1632*IF(N1632="USD",TasaUSD,1))</f>
        <v/>
      </c>
      <c r="P1632" s="20">
        <f>IF(I1632="","",IF(I1632="Gasto",O1632,0))</f>
        <v/>
      </c>
      <c r="Q1632" s="20">
        <f>IF(I1632="","",IF(I1632="Ingreso",O1632,0))</f>
        <v/>
      </c>
      <c r="R1632" s="20">
        <f>IF(I1632="","",IF(I1632="Trading",O1632,0))</f>
        <v/>
      </c>
      <c r="S1632" s="19">
        <f>IF(I1632="","",IF(AND(I1632="Gasto",K1632="Variable",J1632&lt;&gt;"Trading",O1632&gt;0,O1632&lt;=Umbral),1,0))</f>
        <v/>
      </c>
      <c r="T1632" s="20">
        <f>IF(OR(I1632="",E1632=""),"",IF(OR(I1632="Gasto",I1632="Transferencia",I1632="Pago tarjeta"),-1,1)*C1632)</f>
        <v/>
      </c>
      <c r="U1632" s="20">
        <f>IF(OR(G1632="",AND(I1632&lt;&gt;"Transferencia",I1632&lt;&gt;"Pago tarjeta")),"",IF(IFERROR(INDEX(ctaMon,MATCH(G1632,ctaNom,0))&amp;"","DOP")=N1632,C1632,IF(N1632="USD",C1632*TasaUSD,C1632/TasaUSD)))</f>
        <v/>
      </c>
      <c r="V1632" s="20">
        <f>IF(I1632="","",IF(IFERROR(INDEX(ctaLiq,MATCH(E1632,ctaNom,0))="Sí",FALSE),IF(OR(I1632="Gasto",I1632="Transferencia",I1632="Pago tarjeta"),-1,1)*O1632,0)+IF(AND(U1632&lt;&gt;"",IFERROR(INDEX(ctaLiq,MATCH(G1632,ctaNom,0))="Sí",FALSE)),O1632,0))</f>
        <v/>
      </c>
      <c r="W1632" s="19">
        <f>IF(OR(F1632="",I1632=""),"",IF(COUNTIFS(F$6:F1632,F1632,I$6:I1632,"?*")=1,MAX(W$5:W1631)+1,""))</f>
        <v/>
      </c>
    </row>
    <row r="1633">
      <c r="B1633" s="15" t="n"/>
      <c r="C1633" s="16" t="n"/>
      <c r="D1633" s="17" t="n"/>
      <c r="E1633" s="17" t="n"/>
      <c r="F1633" s="17" t="n"/>
      <c r="G1633" s="17" t="n"/>
      <c r="H1633" s="18">
        <f>IF(AND(B1633="",C1633="",D1633="",E1633=""),"",IF(B1633="","⚠ Falta fecha",IF(C1633="","⚠ Falta monto",IF(D1633="","⚠ Falta categoría",IF(ISNA(MATCH(D1633,catNom,0)),"⚠ Categoría no existe",IF(E1633="","⚠ Falta cuenta",IF(ISNA(MATCH(E1633,ctaNom,0)),"⚠ Cuenta no existe",IF(AND(OR(I1633="Transferencia",I1633="Pago tarjeta"),G1633=""),"⚠ Indica la cuenta «Hacia»",IF(AND(G1633&lt;&gt;"",G1633=E1633),"⚠ «Hacia» igual a la cuenta",IF(AND(G1633&lt;&gt;"",ISNA(MATCH(G1633,ctaNom,0))),"⚠ «Hacia» no existe",IF(AND(I1633="Pago tarjeta",IFERROR(INDEX(ctaTipo,MATCH(G1633,ctaNom,0)),"")&lt;&gt;"Tarjeta de crédito"),"⚠ «Hacia» debe ser la tarjeta",IF(AND(I1633="Trading",IFERROR(INDEX(ctaTipo,MATCH(E1633,ctaNom,0)),"")&lt;&gt;"Cuenta de trading"),"⚠ Usa la cuenta de trading","✓"))))))))))))</f>
        <v/>
      </c>
      <c r="I1633" s="19">
        <f>IF(OR(B1633="",C1633="",D1633=""),"",IFERROR(INDEX(catTipo,MATCH(D1633,catNom,0))&amp;"",""))</f>
        <v/>
      </c>
      <c r="J1633" s="19">
        <f>IF(I1633="","",IFERROR(INDEX(catGrupo,MATCH(D1633,catNom,0))&amp;"",""))</f>
        <v/>
      </c>
      <c r="K1633" s="19">
        <f>IF(I1633="Gasto",IF(IFERROR(INDEX(catClas,MATCH(D1633,catNom,0))&amp;"","")="","Variable",IFERROR(INDEX(catClas,MATCH(D1633,catNom,0))&amp;"","")),"")</f>
        <v/>
      </c>
      <c r="L1633" s="19">
        <f>IF(I1633="","",IFERROR(INDEX(catAlim,MATCH(D1633,catNom,0))&amp;"",""))</f>
        <v/>
      </c>
      <c r="M1633" s="19">
        <f>IF(I1633="","",IFERROR(INDEX(catComida,MATCH(D1633,catNom,0))&amp;"",""))</f>
        <v/>
      </c>
      <c r="N1633" s="19">
        <f>IF(I1633="","",IFERROR(INDEX(ctaMon,MATCH(E1633,ctaNom,0))&amp;"","DOP"))</f>
        <v/>
      </c>
      <c r="O1633" s="20">
        <f>IF(I1633="","",C1633*IF(N1633="USD",TasaUSD,1))</f>
        <v/>
      </c>
      <c r="P1633" s="20">
        <f>IF(I1633="","",IF(I1633="Gasto",O1633,0))</f>
        <v/>
      </c>
      <c r="Q1633" s="20">
        <f>IF(I1633="","",IF(I1633="Ingreso",O1633,0))</f>
        <v/>
      </c>
      <c r="R1633" s="20">
        <f>IF(I1633="","",IF(I1633="Trading",O1633,0))</f>
        <v/>
      </c>
      <c r="S1633" s="19">
        <f>IF(I1633="","",IF(AND(I1633="Gasto",K1633="Variable",J1633&lt;&gt;"Trading",O1633&gt;0,O1633&lt;=Umbral),1,0))</f>
        <v/>
      </c>
      <c r="T1633" s="20">
        <f>IF(OR(I1633="",E1633=""),"",IF(OR(I1633="Gasto",I1633="Transferencia",I1633="Pago tarjeta"),-1,1)*C1633)</f>
        <v/>
      </c>
      <c r="U1633" s="20">
        <f>IF(OR(G1633="",AND(I1633&lt;&gt;"Transferencia",I1633&lt;&gt;"Pago tarjeta")),"",IF(IFERROR(INDEX(ctaMon,MATCH(G1633,ctaNom,0))&amp;"","DOP")=N1633,C1633,IF(N1633="USD",C1633*TasaUSD,C1633/TasaUSD)))</f>
        <v/>
      </c>
      <c r="V1633" s="20">
        <f>IF(I1633="","",IF(IFERROR(INDEX(ctaLiq,MATCH(E1633,ctaNom,0))="Sí",FALSE),IF(OR(I1633="Gasto",I1633="Transferencia",I1633="Pago tarjeta"),-1,1)*O1633,0)+IF(AND(U1633&lt;&gt;"",IFERROR(INDEX(ctaLiq,MATCH(G1633,ctaNom,0))="Sí",FALSE)),O1633,0))</f>
        <v/>
      </c>
      <c r="W1633" s="19">
        <f>IF(OR(F1633="",I1633=""),"",IF(COUNTIFS(F$6:F1633,F1633,I$6:I1633,"?*")=1,MAX(W$5:W1632)+1,""))</f>
        <v/>
      </c>
    </row>
    <row r="1634">
      <c r="B1634" s="15" t="n"/>
      <c r="C1634" s="16" t="n"/>
      <c r="D1634" s="17" t="n"/>
      <c r="E1634" s="17" t="n"/>
      <c r="F1634" s="17" t="n"/>
      <c r="G1634" s="17" t="n"/>
      <c r="H1634" s="18">
        <f>IF(AND(B1634="",C1634="",D1634="",E1634=""),"",IF(B1634="","⚠ Falta fecha",IF(C1634="","⚠ Falta monto",IF(D1634="","⚠ Falta categoría",IF(ISNA(MATCH(D1634,catNom,0)),"⚠ Categoría no existe",IF(E1634="","⚠ Falta cuenta",IF(ISNA(MATCH(E1634,ctaNom,0)),"⚠ Cuenta no existe",IF(AND(OR(I1634="Transferencia",I1634="Pago tarjeta"),G1634=""),"⚠ Indica la cuenta «Hacia»",IF(AND(G1634&lt;&gt;"",G1634=E1634),"⚠ «Hacia» igual a la cuenta",IF(AND(G1634&lt;&gt;"",ISNA(MATCH(G1634,ctaNom,0))),"⚠ «Hacia» no existe",IF(AND(I1634="Pago tarjeta",IFERROR(INDEX(ctaTipo,MATCH(G1634,ctaNom,0)),"")&lt;&gt;"Tarjeta de crédito"),"⚠ «Hacia» debe ser la tarjeta",IF(AND(I1634="Trading",IFERROR(INDEX(ctaTipo,MATCH(E1634,ctaNom,0)),"")&lt;&gt;"Cuenta de trading"),"⚠ Usa la cuenta de trading","✓"))))))))))))</f>
        <v/>
      </c>
      <c r="I1634" s="19">
        <f>IF(OR(B1634="",C1634="",D1634=""),"",IFERROR(INDEX(catTipo,MATCH(D1634,catNom,0))&amp;"",""))</f>
        <v/>
      </c>
      <c r="J1634" s="19">
        <f>IF(I1634="","",IFERROR(INDEX(catGrupo,MATCH(D1634,catNom,0))&amp;"",""))</f>
        <v/>
      </c>
      <c r="K1634" s="19">
        <f>IF(I1634="Gasto",IF(IFERROR(INDEX(catClas,MATCH(D1634,catNom,0))&amp;"","")="","Variable",IFERROR(INDEX(catClas,MATCH(D1634,catNom,0))&amp;"","")),"")</f>
        <v/>
      </c>
      <c r="L1634" s="19">
        <f>IF(I1634="","",IFERROR(INDEX(catAlim,MATCH(D1634,catNom,0))&amp;"",""))</f>
        <v/>
      </c>
      <c r="M1634" s="19">
        <f>IF(I1634="","",IFERROR(INDEX(catComida,MATCH(D1634,catNom,0))&amp;"",""))</f>
        <v/>
      </c>
      <c r="N1634" s="19">
        <f>IF(I1634="","",IFERROR(INDEX(ctaMon,MATCH(E1634,ctaNom,0))&amp;"","DOP"))</f>
        <v/>
      </c>
      <c r="O1634" s="20">
        <f>IF(I1634="","",C1634*IF(N1634="USD",TasaUSD,1))</f>
        <v/>
      </c>
      <c r="P1634" s="20">
        <f>IF(I1634="","",IF(I1634="Gasto",O1634,0))</f>
        <v/>
      </c>
      <c r="Q1634" s="20">
        <f>IF(I1634="","",IF(I1634="Ingreso",O1634,0))</f>
        <v/>
      </c>
      <c r="R1634" s="20">
        <f>IF(I1634="","",IF(I1634="Trading",O1634,0))</f>
        <v/>
      </c>
      <c r="S1634" s="19">
        <f>IF(I1634="","",IF(AND(I1634="Gasto",K1634="Variable",J1634&lt;&gt;"Trading",O1634&gt;0,O1634&lt;=Umbral),1,0))</f>
        <v/>
      </c>
      <c r="T1634" s="20">
        <f>IF(OR(I1634="",E1634=""),"",IF(OR(I1634="Gasto",I1634="Transferencia",I1634="Pago tarjeta"),-1,1)*C1634)</f>
        <v/>
      </c>
      <c r="U1634" s="20">
        <f>IF(OR(G1634="",AND(I1634&lt;&gt;"Transferencia",I1634&lt;&gt;"Pago tarjeta")),"",IF(IFERROR(INDEX(ctaMon,MATCH(G1634,ctaNom,0))&amp;"","DOP")=N1634,C1634,IF(N1634="USD",C1634*TasaUSD,C1634/TasaUSD)))</f>
        <v/>
      </c>
      <c r="V1634" s="20">
        <f>IF(I1634="","",IF(IFERROR(INDEX(ctaLiq,MATCH(E1634,ctaNom,0))="Sí",FALSE),IF(OR(I1634="Gasto",I1634="Transferencia",I1634="Pago tarjeta"),-1,1)*O1634,0)+IF(AND(U1634&lt;&gt;"",IFERROR(INDEX(ctaLiq,MATCH(G1634,ctaNom,0))="Sí",FALSE)),O1634,0))</f>
        <v/>
      </c>
      <c r="W1634" s="19">
        <f>IF(OR(F1634="",I1634=""),"",IF(COUNTIFS(F$6:F1634,F1634,I$6:I1634,"?*")=1,MAX(W$5:W1633)+1,""))</f>
        <v/>
      </c>
    </row>
    <row r="1635">
      <c r="B1635" s="15" t="n"/>
      <c r="C1635" s="16" t="n"/>
      <c r="D1635" s="17" t="n"/>
      <c r="E1635" s="17" t="n"/>
      <c r="F1635" s="17" t="n"/>
      <c r="G1635" s="17" t="n"/>
      <c r="H1635" s="18">
        <f>IF(AND(B1635="",C1635="",D1635="",E1635=""),"",IF(B1635="","⚠ Falta fecha",IF(C1635="","⚠ Falta monto",IF(D1635="","⚠ Falta categoría",IF(ISNA(MATCH(D1635,catNom,0)),"⚠ Categoría no existe",IF(E1635="","⚠ Falta cuenta",IF(ISNA(MATCH(E1635,ctaNom,0)),"⚠ Cuenta no existe",IF(AND(OR(I1635="Transferencia",I1635="Pago tarjeta"),G1635=""),"⚠ Indica la cuenta «Hacia»",IF(AND(G1635&lt;&gt;"",G1635=E1635),"⚠ «Hacia» igual a la cuenta",IF(AND(G1635&lt;&gt;"",ISNA(MATCH(G1635,ctaNom,0))),"⚠ «Hacia» no existe",IF(AND(I1635="Pago tarjeta",IFERROR(INDEX(ctaTipo,MATCH(G1635,ctaNom,0)),"")&lt;&gt;"Tarjeta de crédito"),"⚠ «Hacia» debe ser la tarjeta",IF(AND(I1635="Trading",IFERROR(INDEX(ctaTipo,MATCH(E1635,ctaNom,0)),"")&lt;&gt;"Cuenta de trading"),"⚠ Usa la cuenta de trading","✓"))))))))))))</f>
        <v/>
      </c>
      <c r="I1635" s="19">
        <f>IF(OR(B1635="",C1635="",D1635=""),"",IFERROR(INDEX(catTipo,MATCH(D1635,catNom,0))&amp;"",""))</f>
        <v/>
      </c>
      <c r="J1635" s="19">
        <f>IF(I1635="","",IFERROR(INDEX(catGrupo,MATCH(D1635,catNom,0))&amp;"",""))</f>
        <v/>
      </c>
      <c r="K1635" s="19">
        <f>IF(I1635="Gasto",IF(IFERROR(INDEX(catClas,MATCH(D1635,catNom,0))&amp;"","")="","Variable",IFERROR(INDEX(catClas,MATCH(D1635,catNom,0))&amp;"","")),"")</f>
        <v/>
      </c>
      <c r="L1635" s="19">
        <f>IF(I1635="","",IFERROR(INDEX(catAlim,MATCH(D1635,catNom,0))&amp;"",""))</f>
        <v/>
      </c>
      <c r="M1635" s="19">
        <f>IF(I1635="","",IFERROR(INDEX(catComida,MATCH(D1635,catNom,0))&amp;"",""))</f>
        <v/>
      </c>
      <c r="N1635" s="19">
        <f>IF(I1635="","",IFERROR(INDEX(ctaMon,MATCH(E1635,ctaNom,0))&amp;"","DOP"))</f>
        <v/>
      </c>
      <c r="O1635" s="20">
        <f>IF(I1635="","",C1635*IF(N1635="USD",TasaUSD,1))</f>
        <v/>
      </c>
      <c r="P1635" s="20">
        <f>IF(I1635="","",IF(I1635="Gasto",O1635,0))</f>
        <v/>
      </c>
      <c r="Q1635" s="20">
        <f>IF(I1635="","",IF(I1635="Ingreso",O1635,0))</f>
        <v/>
      </c>
      <c r="R1635" s="20">
        <f>IF(I1635="","",IF(I1635="Trading",O1635,0))</f>
        <v/>
      </c>
      <c r="S1635" s="19">
        <f>IF(I1635="","",IF(AND(I1635="Gasto",K1635="Variable",J1635&lt;&gt;"Trading",O1635&gt;0,O1635&lt;=Umbral),1,0))</f>
        <v/>
      </c>
      <c r="T1635" s="20">
        <f>IF(OR(I1635="",E1635=""),"",IF(OR(I1635="Gasto",I1635="Transferencia",I1635="Pago tarjeta"),-1,1)*C1635)</f>
        <v/>
      </c>
      <c r="U1635" s="20">
        <f>IF(OR(G1635="",AND(I1635&lt;&gt;"Transferencia",I1635&lt;&gt;"Pago tarjeta")),"",IF(IFERROR(INDEX(ctaMon,MATCH(G1635,ctaNom,0))&amp;"","DOP")=N1635,C1635,IF(N1635="USD",C1635*TasaUSD,C1635/TasaUSD)))</f>
        <v/>
      </c>
      <c r="V1635" s="20">
        <f>IF(I1635="","",IF(IFERROR(INDEX(ctaLiq,MATCH(E1635,ctaNom,0))="Sí",FALSE),IF(OR(I1635="Gasto",I1635="Transferencia",I1635="Pago tarjeta"),-1,1)*O1635,0)+IF(AND(U1635&lt;&gt;"",IFERROR(INDEX(ctaLiq,MATCH(G1635,ctaNom,0))="Sí",FALSE)),O1635,0))</f>
        <v/>
      </c>
      <c r="W1635" s="19">
        <f>IF(OR(F1635="",I1635=""),"",IF(COUNTIFS(F$6:F1635,F1635,I$6:I1635,"?*")=1,MAX(W$5:W1634)+1,""))</f>
        <v/>
      </c>
    </row>
    <row r="1636">
      <c r="B1636" s="15" t="n"/>
      <c r="C1636" s="16" t="n"/>
      <c r="D1636" s="17" t="n"/>
      <c r="E1636" s="17" t="n"/>
      <c r="F1636" s="17" t="n"/>
      <c r="G1636" s="17" t="n"/>
      <c r="H1636" s="18">
        <f>IF(AND(B1636="",C1636="",D1636="",E1636=""),"",IF(B1636="","⚠ Falta fecha",IF(C1636="","⚠ Falta monto",IF(D1636="","⚠ Falta categoría",IF(ISNA(MATCH(D1636,catNom,0)),"⚠ Categoría no existe",IF(E1636="","⚠ Falta cuenta",IF(ISNA(MATCH(E1636,ctaNom,0)),"⚠ Cuenta no existe",IF(AND(OR(I1636="Transferencia",I1636="Pago tarjeta"),G1636=""),"⚠ Indica la cuenta «Hacia»",IF(AND(G1636&lt;&gt;"",G1636=E1636),"⚠ «Hacia» igual a la cuenta",IF(AND(G1636&lt;&gt;"",ISNA(MATCH(G1636,ctaNom,0))),"⚠ «Hacia» no existe",IF(AND(I1636="Pago tarjeta",IFERROR(INDEX(ctaTipo,MATCH(G1636,ctaNom,0)),"")&lt;&gt;"Tarjeta de crédito"),"⚠ «Hacia» debe ser la tarjeta",IF(AND(I1636="Trading",IFERROR(INDEX(ctaTipo,MATCH(E1636,ctaNom,0)),"")&lt;&gt;"Cuenta de trading"),"⚠ Usa la cuenta de trading","✓"))))))))))))</f>
        <v/>
      </c>
      <c r="I1636" s="19">
        <f>IF(OR(B1636="",C1636="",D1636=""),"",IFERROR(INDEX(catTipo,MATCH(D1636,catNom,0))&amp;"",""))</f>
        <v/>
      </c>
      <c r="J1636" s="19">
        <f>IF(I1636="","",IFERROR(INDEX(catGrupo,MATCH(D1636,catNom,0))&amp;"",""))</f>
        <v/>
      </c>
      <c r="K1636" s="19">
        <f>IF(I1636="Gasto",IF(IFERROR(INDEX(catClas,MATCH(D1636,catNom,0))&amp;"","")="","Variable",IFERROR(INDEX(catClas,MATCH(D1636,catNom,0))&amp;"","")),"")</f>
        <v/>
      </c>
      <c r="L1636" s="19">
        <f>IF(I1636="","",IFERROR(INDEX(catAlim,MATCH(D1636,catNom,0))&amp;"",""))</f>
        <v/>
      </c>
      <c r="M1636" s="19">
        <f>IF(I1636="","",IFERROR(INDEX(catComida,MATCH(D1636,catNom,0))&amp;"",""))</f>
        <v/>
      </c>
      <c r="N1636" s="19">
        <f>IF(I1636="","",IFERROR(INDEX(ctaMon,MATCH(E1636,ctaNom,0))&amp;"","DOP"))</f>
        <v/>
      </c>
      <c r="O1636" s="20">
        <f>IF(I1636="","",C1636*IF(N1636="USD",TasaUSD,1))</f>
        <v/>
      </c>
      <c r="P1636" s="20">
        <f>IF(I1636="","",IF(I1636="Gasto",O1636,0))</f>
        <v/>
      </c>
      <c r="Q1636" s="20">
        <f>IF(I1636="","",IF(I1636="Ingreso",O1636,0))</f>
        <v/>
      </c>
      <c r="R1636" s="20">
        <f>IF(I1636="","",IF(I1636="Trading",O1636,0))</f>
        <v/>
      </c>
      <c r="S1636" s="19">
        <f>IF(I1636="","",IF(AND(I1636="Gasto",K1636="Variable",J1636&lt;&gt;"Trading",O1636&gt;0,O1636&lt;=Umbral),1,0))</f>
        <v/>
      </c>
      <c r="T1636" s="20">
        <f>IF(OR(I1636="",E1636=""),"",IF(OR(I1636="Gasto",I1636="Transferencia",I1636="Pago tarjeta"),-1,1)*C1636)</f>
        <v/>
      </c>
      <c r="U1636" s="20">
        <f>IF(OR(G1636="",AND(I1636&lt;&gt;"Transferencia",I1636&lt;&gt;"Pago tarjeta")),"",IF(IFERROR(INDEX(ctaMon,MATCH(G1636,ctaNom,0))&amp;"","DOP")=N1636,C1636,IF(N1636="USD",C1636*TasaUSD,C1636/TasaUSD)))</f>
        <v/>
      </c>
      <c r="V1636" s="20">
        <f>IF(I1636="","",IF(IFERROR(INDEX(ctaLiq,MATCH(E1636,ctaNom,0))="Sí",FALSE),IF(OR(I1636="Gasto",I1636="Transferencia",I1636="Pago tarjeta"),-1,1)*O1636,0)+IF(AND(U1636&lt;&gt;"",IFERROR(INDEX(ctaLiq,MATCH(G1636,ctaNom,0))="Sí",FALSE)),O1636,0))</f>
        <v/>
      </c>
      <c r="W1636" s="19">
        <f>IF(OR(F1636="",I1636=""),"",IF(COUNTIFS(F$6:F1636,F1636,I$6:I1636,"?*")=1,MAX(W$5:W1635)+1,""))</f>
        <v/>
      </c>
    </row>
    <row r="1637">
      <c r="B1637" s="15" t="n"/>
      <c r="C1637" s="16" t="n"/>
      <c r="D1637" s="17" t="n"/>
      <c r="E1637" s="17" t="n"/>
      <c r="F1637" s="17" t="n"/>
      <c r="G1637" s="17" t="n"/>
      <c r="H1637" s="18">
        <f>IF(AND(B1637="",C1637="",D1637="",E1637=""),"",IF(B1637="","⚠ Falta fecha",IF(C1637="","⚠ Falta monto",IF(D1637="","⚠ Falta categoría",IF(ISNA(MATCH(D1637,catNom,0)),"⚠ Categoría no existe",IF(E1637="","⚠ Falta cuenta",IF(ISNA(MATCH(E1637,ctaNom,0)),"⚠ Cuenta no existe",IF(AND(OR(I1637="Transferencia",I1637="Pago tarjeta"),G1637=""),"⚠ Indica la cuenta «Hacia»",IF(AND(G1637&lt;&gt;"",G1637=E1637),"⚠ «Hacia» igual a la cuenta",IF(AND(G1637&lt;&gt;"",ISNA(MATCH(G1637,ctaNom,0))),"⚠ «Hacia» no existe",IF(AND(I1637="Pago tarjeta",IFERROR(INDEX(ctaTipo,MATCH(G1637,ctaNom,0)),"")&lt;&gt;"Tarjeta de crédito"),"⚠ «Hacia» debe ser la tarjeta",IF(AND(I1637="Trading",IFERROR(INDEX(ctaTipo,MATCH(E1637,ctaNom,0)),"")&lt;&gt;"Cuenta de trading"),"⚠ Usa la cuenta de trading","✓"))))))))))))</f>
        <v/>
      </c>
      <c r="I1637" s="19">
        <f>IF(OR(B1637="",C1637="",D1637=""),"",IFERROR(INDEX(catTipo,MATCH(D1637,catNom,0))&amp;"",""))</f>
        <v/>
      </c>
      <c r="J1637" s="19">
        <f>IF(I1637="","",IFERROR(INDEX(catGrupo,MATCH(D1637,catNom,0))&amp;"",""))</f>
        <v/>
      </c>
      <c r="K1637" s="19">
        <f>IF(I1637="Gasto",IF(IFERROR(INDEX(catClas,MATCH(D1637,catNom,0))&amp;"","")="","Variable",IFERROR(INDEX(catClas,MATCH(D1637,catNom,0))&amp;"","")),"")</f>
        <v/>
      </c>
      <c r="L1637" s="19">
        <f>IF(I1637="","",IFERROR(INDEX(catAlim,MATCH(D1637,catNom,0))&amp;"",""))</f>
        <v/>
      </c>
      <c r="M1637" s="19">
        <f>IF(I1637="","",IFERROR(INDEX(catComida,MATCH(D1637,catNom,0))&amp;"",""))</f>
        <v/>
      </c>
      <c r="N1637" s="19">
        <f>IF(I1637="","",IFERROR(INDEX(ctaMon,MATCH(E1637,ctaNom,0))&amp;"","DOP"))</f>
        <v/>
      </c>
      <c r="O1637" s="20">
        <f>IF(I1637="","",C1637*IF(N1637="USD",TasaUSD,1))</f>
        <v/>
      </c>
      <c r="P1637" s="20">
        <f>IF(I1637="","",IF(I1637="Gasto",O1637,0))</f>
        <v/>
      </c>
      <c r="Q1637" s="20">
        <f>IF(I1637="","",IF(I1637="Ingreso",O1637,0))</f>
        <v/>
      </c>
      <c r="R1637" s="20">
        <f>IF(I1637="","",IF(I1637="Trading",O1637,0))</f>
        <v/>
      </c>
      <c r="S1637" s="19">
        <f>IF(I1637="","",IF(AND(I1637="Gasto",K1637="Variable",J1637&lt;&gt;"Trading",O1637&gt;0,O1637&lt;=Umbral),1,0))</f>
        <v/>
      </c>
      <c r="T1637" s="20">
        <f>IF(OR(I1637="",E1637=""),"",IF(OR(I1637="Gasto",I1637="Transferencia",I1637="Pago tarjeta"),-1,1)*C1637)</f>
        <v/>
      </c>
      <c r="U1637" s="20">
        <f>IF(OR(G1637="",AND(I1637&lt;&gt;"Transferencia",I1637&lt;&gt;"Pago tarjeta")),"",IF(IFERROR(INDEX(ctaMon,MATCH(G1637,ctaNom,0))&amp;"","DOP")=N1637,C1637,IF(N1637="USD",C1637*TasaUSD,C1637/TasaUSD)))</f>
        <v/>
      </c>
      <c r="V1637" s="20">
        <f>IF(I1637="","",IF(IFERROR(INDEX(ctaLiq,MATCH(E1637,ctaNom,0))="Sí",FALSE),IF(OR(I1637="Gasto",I1637="Transferencia",I1637="Pago tarjeta"),-1,1)*O1637,0)+IF(AND(U1637&lt;&gt;"",IFERROR(INDEX(ctaLiq,MATCH(G1637,ctaNom,0))="Sí",FALSE)),O1637,0))</f>
        <v/>
      </c>
      <c r="W1637" s="19">
        <f>IF(OR(F1637="",I1637=""),"",IF(COUNTIFS(F$6:F1637,F1637,I$6:I1637,"?*")=1,MAX(W$5:W1636)+1,""))</f>
        <v/>
      </c>
    </row>
    <row r="1638">
      <c r="B1638" s="15" t="n"/>
      <c r="C1638" s="16" t="n"/>
      <c r="D1638" s="17" t="n"/>
      <c r="E1638" s="17" t="n"/>
      <c r="F1638" s="17" t="n"/>
      <c r="G1638" s="17" t="n"/>
      <c r="H1638" s="18">
        <f>IF(AND(B1638="",C1638="",D1638="",E1638=""),"",IF(B1638="","⚠ Falta fecha",IF(C1638="","⚠ Falta monto",IF(D1638="","⚠ Falta categoría",IF(ISNA(MATCH(D1638,catNom,0)),"⚠ Categoría no existe",IF(E1638="","⚠ Falta cuenta",IF(ISNA(MATCH(E1638,ctaNom,0)),"⚠ Cuenta no existe",IF(AND(OR(I1638="Transferencia",I1638="Pago tarjeta"),G1638=""),"⚠ Indica la cuenta «Hacia»",IF(AND(G1638&lt;&gt;"",G1638=E1638),"⚠ «Hacia» igual a la cuenta",IF(AND(G1638&lt;&gt;"",ISNA(MATCH(G1638,ctaNom,0))),"⚠ «Hacia» no existe",IF(AND(I1638="Pago tarjeta",IFERROR(INDEX(ctaTipo,MATCH(G1638,ctaNom,0)),"")&lt;&gt;"Tarjeta de crédito"),"⚠ «Hacia» debe ser la tarjeta",IF(AND(I1638="Trading",IFERROR(INDEX(ctaTipo,MATCH(E1638,ctaNom,0)),"")&lt;&gt;"Cuenta de trading"),"⚠ Usa la cuenta de trading","✓"))))))))))))</f>
        <v/>
      </c>
      <c r="I1638" s="19">
        <f>IF(OR(B1638="",C1638="",D1638=""),"",IFERROR(INDEX(catTipo,MATCH(D1638,catNom,0))&amp;"",""))</f>
        <v/>
      </c>
      <c r="J1638" s="19">
        <f>IF(I1638="","",IFERROR(INDEX(catGrupo,MATCH(D1638,catNom,0))&amp;"",""))</f>
        <v/>
      </c>
      <c r="K1638" s="19">
        <f>IF(I1638="Gasto",IF(IFERROR(INDEX(catClas,MATCH(D1638,catNom,0))&amp;"","")="","Variable",IFERROR(INDEX(catClas,MATCH(D1638,catNom,0))&amp;"","")),"")</f>
        <v/>
      </c>
      <c r="L1638" s="19">
        <f>IF(I1638="","",IFERROR(INDEX(catAlim,MATCH(D1638,catNom,0))&amp;"",""))</f>
        <v/>
      </c>
      <c r="M1638" s="19">
        <f>IF(I1638="","",IFERROR(INDEX(catComida,MATCH(D1638,catNom,0))&amp;"",""))</f>
        <v/>
      </c>
      <c r="N1638" s="19">
        <f>IF(I1638="","",IFERROR(INDEX(ctaMon,MATCH(E1638,ctaNom,0))&amp;"","DOP"))</f>
        <v/>
      </c>
      <c r="O1638" s="20">
        <f>IF(I1638="","",C1638*IF(N1638="USD",TasaUSD,1))</f>
        <v/>
      </c>
      <c r="P1638" s="20">
        <f>IF(I1638="","",IF(I1638="Gasto",O1638,0))</f>
        <v/>
      </c>
      <c r="Q1638" s="20">
        <f>IF(I1638="","",IF(I1638="Ingreso",O1638,0))</f>
        <v/>
      </c>
      <c r="R1638" s="20">
        <f>IF(I1638="","",IF(I1638="Trading",O1638,0))</f>
        <v/>
      </c>
      <c r="S1638" s="19">
        <f>IF(I1638="","",IF(AND(I1638="Gasto",K1638="Variable",J1638&lt;&gt;"Trading",O1638&gt;0,O1638&lt;=Umbral),1,0))</f>
        <v/>
      </c>
      <c r="T1638" s="20">
        <f>IF(OR(I1638="",E1638=""),"",IF(OR(I1638="Gasto",I1638="Transferencia",I1638="Pago tarjeta"),-1,1)*C1638)</f>
        <v/>
      </c>
      <c r="U1638" s="20">
        <f>IF(OR(G1638="",AND(I1638&lt;&gt;"Transferencia",I1638&lt;&gt;"Pago tarjeta")),"",IF(IFERROR(INDEX(ctaMon,MATCH(G1638,ctaNom,0))&amp;"","DOP")=N1638,C1638,IF(N1638="USD",C1638*TasaUSD,C1638/TasaUSD)))</f>
        <v/>
      </c>
      <c r="V1638" s="20">
        <f>IF(I1638="","",IF(IFERROR(INDEX(ctaLiq,MATCH(E1638,ctaNom,0))="Sí",FALSE),IF(OR(I1638="Gasto",I1638="Transferencia",I1638="Pago tarjeta"),-1,1)*O1638,0)+IF(AND(U1638&lt;&gt;"",IFERROR(INDEX(ctaLiq,MATCH(G1638,ctaNom,0))="Sí",FALSE)),O1638,0))</f>
        <v/>
      </c>
      <c r="W1638" s="19">
        <f>IF(OR(F1638="",I1638=""),"",IF(COUNTIFS(F$6:F1638,F1638,I$6:I1638,"?*")=1,MAX(W$5:W1637)+1,""))</f>
        <v/>
      </c>
    </row>
    <row r="1639">
      <c r="B1639" s="15" t="n"/>
      <c r="C1639" s="16" t="n"/>
      <c r="D1639" s="17" t="n"/>
      <c r="E1639" s="17" t="n"/>
      <c r="F1639" s="17" t="n"/>
      <c r="G1639" s="17" t="n"/>
      <c r="H1639" s="18">
        <f>IF(AND(B1639="",C1639="",D1639="",E1639=""),"",IF(B1639="","⚠ Falta fecha",IF(C1639="","⚠ Falta monto",IF(D1639="","⚠ Falta categoría",IF(ISNA(MATCH(D1639,catNom,0)),"⚠ Categoría no existe",IF(E1639="","⚠ Falta cuenta",IF(ISNA(MATCH(E1639,ctaNom,0)),"⚠ Cuenta no existe",IF(AND(OR(I1639="Transferencia",I1639="Pago tarjeta"),G1639=""),"⚠ Indica la cuenta «Hacia»",IF(AND(G1639&lt;&gt;"",G1639=E1639),"⚠ «Hacia» igual a la cuenta",IF(AND(G1639&lt;&gt;"",ISNA(MATCH(G1639,ctaNom,0))),"⚠ «Hacia» no existe",IF(AND(I1639="Pago tarjeta",IFERROR(INDEX(ctaTipo,MATCH(G1639,ctaNom,0)),"")&lt;&gt;"Tarjeta de crédito"),"⚠ «Hacia» debe ser la tarjeta",IF(AND(I1639="Trading",IFERROR(INDEX(ctaTipo,MATCH(E1639,ctaNom,0)),"")&lt;&gt;"Cuenta de trading"),"⚠ Usa la cuenta de trading","✓"))))))))))))</f>
        <v/>
      </c>
      <c r="I1639" s="19">
        <f>IF(OR(B1639="",C1639="",D1639=""),"",IFERROR(INDEX(catTipo,MATCH(D1639,catNom,0))&amp;"",""))</f>
        <v/>
      </c>
      <c r="J1639" s="19">
        <f>IF(I1639="","",IFERROR(INDEX(catGrupo,MATCH(D1639,catNom,0))&amp;"",""))</f>
        <v/>
      </c>
      <c r="K1639" s="19">
        <f>IF(I1639="Gasto",IF(IFERROR(INDEX(catClas,MATCH(D1639,catNom,0))&amp;"","")="","Variable",IFERROR(INDEX(catClas,MATCH(D1639,catNom,0))&amp;"","")),"")</f>
        <v/>
      </c>
      <c r="L1639" s="19">
        <f>IF(I1639="","",IFERROR(INDEX(catAlim,MATCH(D1639,catNom,0))&amp;"",""))</f>
        <v/>
      </c>
      <c r="M1639" s="19">
        <f>IF(I1639="","",IFERROR(INDEX(catComida,MATCH(D1639,catNom,0))&amp;"",""))</f>
        <v/>
      </c>
      <c r="N1639" s="19">
        <f>IF(I1639="","",IFERROR(INDEX(ctaMon,MATCH(E1639,ctaNom,0))&amp;"","DOP"))</f>
        <v/>
      </c>
      <c r="O1639" s="20">
        <f>IF(I1639="","",C1639*IF(N1639="USD",TasaUSD,1))</f>
        <v/>
      </c>
      <c r="P1639" s="20">
        <f>IF(I1639="","",IF(I1639="Gasto",O1639,0))</f>
        <v/>
      </c>
      <c r="Q1639" s="20">
        <f>IF(I1639="","",IF(I1639="Ingreso",O1639,0))</f>
        <v/>
      </c>
      <c r="R1639" s="20">
        <f>IF(I1639="","",IF(I1639="Trading",O1639,0))</f>
        <v/>
      </c>
      <c r="S1639" s="19">
        <f>IF(I1639="","",IF(AND(I1639="Gasto",K1639="Variable",J1639&lt;&gt;"Trading",O1639&gt;0,O1639&lt;=Umbral),1,0))</f>
        <v/>
      </c>
      <c r="T1639" s="20">
        <f>IF(OR(I1639="",E1639=""),"",IF(OR(I1639="Gasto",I1639="Transferencia",I1639="Pago tarjeta"),-1,1)*C1639)</f>
        <v/>
      </c>
      <c r="U1639" s="20">
        <f>IF(OR(G1639="",AND(I1639&lt;&gt;"Transferencia",I1639&lt;&gt;"Pago tarjeta")),"",IF(IFERROR(INDEX(ctaMon,MATCH(G1639,ctaNom,0))&amp;"","DOP")=N1639,C1639,IF(N1639="USD",C1639*TasaUSD,C1639/TasaUSD)))</f>
        <v/>
      </c>
      <c r="V1639" s="20">
        <f>IF(I1639="","",IF(IFERROR(INDEX(ctaLiq,MATCH(E1639,ctaNom,0))="Sí",FALSE),IF(OR(I1639="Gasto",I1639="Transferencia",I1639="Pago tarjeta"),-1,1)*O1639,0)+IF(AND(U1639&lt;&gt;"",IFERROR(INDEX(ctaLiq,MATCH(G1639,ctaNom,0))="Sí",FALSE)),O1639,0))</f>
        <v/>
      </c>
      <c r="W1639" s="19">
        <f>IF(OR(F1639="",I1639=""),"",IF(COUNTIFS(F$6:F1639,F1639,I$6:I1639,"?*")=1,MAX(W$5:W1638)+1,""))</f>
        <v/>
      </c>
    </row>
    <row r="1640">
      <c r="B1640" s="15" t="n"/>
      <c r="C1640" s="16" t="n"/>
      <c r="D1640" s="17" t="n"/>
      <c r="E1640" s="17" t="n"/>
      <c r="F1640" s="17" t="n"/>
      <c r="G1640" s="17" t="n"/>
      <c r="H1640" s="18">
        <f>IF(AND(B1640="",C1640="",D1640="",E1640=""),"",IF(B1640="","⚠ Falta fecha",IF(C1640="","⚠ Falta monto",IF(D1640="","⚠ Falta categoría",IF(ISNA(MATCH(D1640,catNom,0)),"⚠ Categoría no existe",IF(E1640="","⚠ Falta cuenta",IF(ISNA(MATCH(E1640,ctaNom,0)),"⚠ Cuenta no existe",IF(AND(OR(I1640="Transferencia",I1640="Pago tarjeta"),G1640=""),"⚠ Indica la cuenta «Hacia»",IF(AND(G1640&lt;&gt;"",G1640=E1640),"⚠ «Hacia» igual a la cuenta",IF(AND(G1640&lt;&gt;"",ISNA(MATCH(G1640,ctaNom,0))),"⚠ «Hacia» no existe",IF(AND(I1640="Pago tarjeta",IFERROR(INDEX(ctaTipo,MATCH(G1640,ctaNom,0)),"")&lt;&gt;"Tarjeta de crédito"),"⚠ «Hacia» debe ser la tarjeta",IF(AND(I1640="Trading",IFERROR(INDEX(ctaTipo,MATCH(E1640,ctaNom,0)),"")&lt;&gt;"Cuenta de trading"),"⚠ Usa la cuenta de trading","✓"))))))))))))</f>
        <v/>
      </c>
      <c r="I1640" s="19">
        <f>IF(OR(B1640="",C1640="",D1640=""),"",IFERROR(INDEX(catTipo,MATCH(D1640,catNom,0))&amp;"",""))</f>
        <v/>
      </c>
      <c r="J1640" s="19">
        <f>IF(I1640="","",IFERROR(INDEX(catGrupo,MATCH(D1640,catNom,0))&amp;"",""))</f>
        <v/>
      </c>
      <c r="K1640" s="19">
        <f>IF(I1640="Gasto",IF(IFERROR(INDEX(catClas,MATCH(D1640,catNom,0))&amp;"","")="","Variable",IFERROR(INDEX(catClas,MATCH(D1640,catNom,0))&amp;"","")),"")</f>
        <v/>
      </c>
      <c r="L1640" s="19">
        <f>IF(I1640="","",IFERROR(INDEX(catAlim,MATCH(D1640,catNom,0))&amp;"",""))</f>
        <v/>
      </c>
      <c r="M1640" s="19">
        <f>IF(I1640="","",IFERROR(INDEX(catComida,MATCH(D1640,catNom,0))&amp;"",""))</f>
        <v/>
      </c>
      <c r="N1640" s="19">
        <f>IF(I1640="","",IFERROR(INDEX(ctaMon,MATCH(E1640,ctaNom,0))&amp;"","DOP"))</f>
        <v/>
      </c>
      <c r="O1640" s="20">
        <f>IF(I1640="","",C1640*IF(N1640="USD",TasaUSD,1))</f>
        <v/>
      </c>
      <c r="P1640" s="20">
        <f>IF(I1640="","",IF(I1640="Gasto",O1640,0))</f>
        <v/>
      </c>
      <c r="Q1640" s="20">
        <f>IF(I1640="","",IF(I1640="Ingreso",O1640,0))</f>
        <v/>
      </c>
      <c r="R1640" s="20">
        <f>IF(I1640="","",IF(I1640="Trading",O1640,0))</f>
        <v/>
      </c>
      <c r="S1640" s="19">
        <f>IF(I1640="","",IF(AND(I1640="Gasto",K1640="Variable",J1640&lt;&gt;"Trading",O1640&gt;0,O1640&lt;=Umbral),1,0))</f>
        <v/>
      </c>
      <c r="T1640" s="20">
        <f>IF(OR(I1640="",E1640=""),"",IF(OR(I1640="Gasto",I1640="Transferencia",I1640="Pago tarjeta"),-1,1)*C1640)</f>
        <v/>
      </c>
      <c r="U1640" s="20">
        <f>IF(OR(G1640="",AND(I1640&lt;&gt;"Transferencia",I1640&lt;&gt;"Pago tarjeta")),"",IF(IFERROR(INDEX(ctaMon,MATCH(G1640,ctaNom,0))&amp;"","DOP")=N1640,C1640,IF(N1640="USD",C1640*TasaUSD,C1640/TasaUSD)))</f>
        <v/>
      </c>
      <c r="V1640" s="20">
        <f>IF(I1640="","",IF(IFERROR(INDEX(ctaLiq,MATCH(E1640,ctaNom,0))="Sí",FALSE),IF(OR(I1640="Gasto",I1640="Transferencia",I1640="Pago tarjeta"),-1,1)*O1640,0)+IF(AND(U1640&lt;&gt;"",IFERROR(INDEX(ctaLiq,MATCH(G1640,ctaNom,0))="Sí",FALSE)),O1640,0))</f>
        <v/>
      </c>
      <c r="W1640" s="19">
        <f>IF(OR(F1640="",I1640=""),"",IF(COUNTIFS(F$6:F1640,F1640,I$6:I1640,"?*")=1,MAX(W$5:W1639)+1,""))</f>
        <v/>
      </c>
    </row>
    <row r="1641">
      <c r="B1641" s="15" t="n"/>
      <c r="C1641" s="16" t="n"/>
      <c r="D1641" s="17" t="n"/>
      <c r="E1641" s="17" t="n"/>
      <c r="F1641" s="17" t="n"/>
      <c r="G1641" s="17" t="n"/>
      <c r="H1641" s="18">
        <f>IF(AND(B1641="",C1641="",D1641="",E1641=""),"",IF(B1641="","⚠ Falta fecha",IF(C1641="","⚠ Falta monto",IF(D1641="","⚠ Falta categoría",IF(ISNA(MATCH(D1641,catNom,0)),"⚠ Categoría no existe",IF(E1641="","⚠ Falta cuenta",IF(ISNA(MATCH(E1641,ctaNom,0)),"⚠ Cuenta no existe",IF(AND(OR(I1641="Transferencia",I1641="Pago tarjeta"),G1641=""),"⚠ Indica la cuenta «Hacia»",IF(AND(G1641&lt;&gt;"",G1641=E1641),"⚠ «Hacia» igual a la cuenta",IF(AND(G1641&lt;&gt;"",ISNA(MATCH(G1641,ctaNom,0))),"⚠ «Hacia» no existe",IF(AND(I1641="Pago tarjeta",IFERROR(INDEX(ctaTipo,MATCH(G1641,ctaNom,0)),"")&lt;&gt;"Tarjeta de crédito"),"⚠ «Hacia» debe ser la tarjeta",IF(AND(I1641="Trading",IFERROR(INDEX(ctaTipo,MATCH(E1641,ctaNom,0)),"")&lt;&gt;"Cuenta de trading"),"⚠ Usa la cuenta de trading","✓"))))))))))))</f>
        <v/>
      </c>
      <c r="I1641" s="19">
        <f>IF(OR(B1641="",C1641="",D1641=""),"",IFERROR(INDEX(catTipo,MATCH(D1641,catNom,0))&amp;"",""))</f>
        <v/>
      </c>
      <c r="J1641" s="19">
        <f>IF(I1641="","",IFERROR(INDEX(catGrupo,MATCH(D1641,catNom,0))&amp;"",""))</f>
        <v/>
      </c>
      <c r="K1641" s="19">
        <f>IF(I1641="Gasto",IF(IFERROR(INDEX(catClas,MATCH(D1641,catNom,0))&amp;"","")="","Variable",IFERROR(INDEX(catClas,MATCH(D1641,catNom,0))&amp;"","")),"")</f>
        <v/>
      </c>
      <c r="L1641" s="19">
        <f>IF(I1641="","",IFERROR(INDEX(catAlim,MATCH(D1641,catNom,0))&amp;"",""))</f>
        <v/>
      </c>
      <c r="M1641" s="19">
        <f>IF(I1641="","",IFERROR(INDEX(catComida,MATCH(D1641,catNom,0))&amp;"",""))</f>
        <v/>
      </c>
      <c r="N1641" s="19">
        <f>IF(I1641="","",IFERROR(INDEX(ctaMon,MATCH(E1641,ctaNom,0))&amp;"","DOP"))</f>
        <v/>
      </c>
      <c r="O1641" s="20">
        <f>IF(I1641="","",C1641*IF(N1641="USD",TasaUSD,1))</f>
        <v/>
      </c>
      <c r="P1641" s="20">
        <f>IF(I1641="","",IF(I1641="Gasto",O1641,0))</f>
        <v/>
      </c>
      <c r="Q1641" s="20">
        <f>IF(I1641="","",IF(I1641="Ingreso",O1641,0))</f>
        <v/>
      </c>
      <c r="R1641" s="20">
        <f>IF(I1641="","",IF(I1641="Trading",O1641,0))</f>
        <v/>
      </c>
      <c r="S1641" s="19">
        <f>IF(I1641="","",IF(AND(I1641="Gasto",K1641="Variable",J1641&lt;&gt;"Trading",O1641&gt;0,O1641&lt;=Umbral),1,0))</f>
        <v/>
      </c>
      <c r="T1641" s="20">
        <f>IF(OR(I1641="",E1641=""),"",IF(OR(I1641="Gasto",I1641="Transferencia",I1641="Pago tarjeta"),-1,1)*C1641)</f>
        <v/>
      </c>
      <c r="U1641" s="20">
        <f>IF(OR(G1641="",AND(I1641&lt;&gt;"Transferencia",I1641&lt;&gt;"Pago tarjeta")),"",IF(IFERROR(INDEX(ctaMon,MATCH(G1641,ctaNom,0))&amp;"","DOP")=N1641,C1641,IF(N1641="USD",C1641*TasaUSD,C1641/TasaUSD)))</f>
        <v/>
      </c>
      <c r="V1641" s="20">
        <f>IF(I1641="","",IF(IFERROR(INDEX(ctaLiq,MATCH(E1641,ctaNom,0))="Sí",FALSE),IF(OR(I1641="Gasto",I1641="Transferencia",I1641="Pago tarjeta"),-1,1)*O1641,0)+IF(AND(U1641&lt;&gt;"",IFERROR(INDEX(ctaLiq,MATCH(G1641,ctaNom,0))="Sí",FALSE)),O1641,0))</f>
        <v/>
      </c>
      <c r="W1641" s="19">
        <f>IF(OR(F1641="",I1641=""),"",IF(COUNTIFS(F$6:F1641,F1641,I$6:I1641,"?*")=1,MAX(W$5:W1640)+1,""))</f>
        <v/>
      </c>
    </row>
    <row r="1642">
      <c r="B1642" s="15" t="n"/>
      <c r="C1642" s="16" t="n"/>
      <c r="D1642" s="17" t="n"/>
      <c r="E1642" s="17" t="n"/>
      <c r="F1642" s="17" t="n"/>
      <c r="G1642" s="17" t="n"/>
      <c r="H1642" s="18">
        <f>IF(AND(B1642="",C1642="",D1642="",E1642=""),"",IF(B1642="","⚠ Falta fecha",IF(C1642="","⚠ Falta monto",IF(D1642="","⚠ Falta categoría",IF(ISNA(MATCH(D1642,catNom,0)),"⚠ Categoría no existe",IF(E1642="","⚠ Falta cuenta",IF(ISNA(MATCH(E1642,ctaNom,0)),"⚠ Cuenta no existe",IF(AND(OR(I1642="Transferencia",I1642="Pago tarjeta"),G1642=""),"⚠ Indica la cuenta «Hacia»",IF(AND(G1642&lt;&gt;"",G1642=E1642),"⚠ «Hacia» igual a la cuenta",IF(AND(G1642&lt;&gt;"",ISNA(MATCH(G1642,ctaNom,0))),"⚠ «Hacia» no existe",IF(AND(I1642="Pago tarjeta",IFERROR(INDEX(ctaTipo,MATCH(G1642,ctaNom,0)),"")&lt;&gt;"Tarjeta de crédito"),"⚠ «Hacia» debe ser la tarjeta",IF(AND(I1642="Trading",IFERROR(INDEX(ctaTipo,MATCH(E1642,ctaNom,0)),"")&lt;&gt;"Cuenta de trading"),"⚠ Usa la cuenta de trading","✓"))))))))))))</f>
        <v/>
      </c>
      <c r="I1642" s="19">
        <f>IF(OR(B1642="",C1642="",D1642=""),"",IFERROR(INDEX(catTipo,MATCH(D1642,catNom,0))&amp;"",""))</f>
        <v/>
      </c>
      <c r="J1642" s="19">
        <f>IF(I1642="","",IFERROR(INDEX(catGrupo,MATCH(D1642,catNom,0))&amp;"",""))</f>
        <v/>
      </c>
      <c r="K1642" s="19">
        <f>IF(I1642="Gasto",IF(IFERROR(INDEX(catClas,MATCH(D1642,catNom,0))&amp;"","")="","Variable",IFERROR(INDEX(catClas,MATCH(D1642,catNom,0))&amp;"","")),"")</f>
        <v/>
      </c>
      <c r="L1642" s="19">
        <f>IF(I1642="","",IFERROR(INDEX(catAlim,MATCH(D1642,catNom,0))&amp;"",""))</f>
        <v/>
      </c>
      <c r="M1642" s="19">
        <f>IF(I1642="","",IFERROR(INDEX(catComida,MATCH(D1642,catNom,0))&amp;"",""))</f>
        <v/>
      </c>
      <c r="N1642" s="19">
        <f>IF(I1642="","",IFERROR(INDEX(ctaMon,MATCH(E1642,ctaNom,0))&amp;"","DOP"))</f>
        <v/>
      </c>
      <c r="O1642" s="20">
        <f>IF(I1642="","",C1642*IF(N1642="USD",TasaUSD,1))</f>
        <v/>
      </c>
      <c r="P1642" s="20">
        <f>IF(I1642="","",IF(I1642="Gasto",O1642,0))</f>
        <v/>
      </c>
      <c r="Q1642" s="20">
        <f>IF(I1642="","",IF(I1642="Ingreso",O1642,0))</f>
        <v/>
      </c>
      <c r="R1642" s="20">
        <f>IF(I1642="","",IF(I1642="Trading",O1642,0))</f>
        <v/>
      </c>
      <c r="S1642" s="19">
        <f>IF(I1642="","",IF(AND(I1642="Gasto",K1642="Variable",J1642&lt;&gt;"Trading",O1642&gt;0,O1642&lt;=Umbral),1,0))</f>
        <v/>
      </c>
      <c r="T1642" s="20">
        <f>IF(OR(I1642="",E1642=""),"",IF(OR(I1642="Gasto",I1642="Transferencia",I1642="Pago tarjeta"),-1,1)*C1642)</f>
        <v/>
      </c>
      <c r="U1642" s="20">
        <f>IF(OR(G1642="",AND(I1642&lt;&gt;"Transferencia",I1642&lt;&gt;"Pago tarjeta")),"",IF(IFERROR(INDEX(ctaMon,MATCH(G1642,ctaNom,0))&amp;"","DOP")=N1642,C1642,IF(N1642="USD",C1642*TasaUSD,C1642/TasaUSD)))</f>
        <v/>
      </c>
      <c r="V1642" s="20">
        <f>IF(I1642="","",IF(IFERROR(INDEX(ctaLiq,MATCH(E1642,ctaNom,0))="Sí",FALSE),IF(OR(I1642="Gasto",I1642="Transferencia",I1642="Pago tarjeta"),-1,1)*O1642,0)+IF(AND(U1642&lt;&gt;"",IFERROR(INDEX(ctaLiq,MATCH(G1642,ctaNom,0))="Sí",FALSE)),O1642,0))</f>
        <v/>
      </c>
      <c r="W1642" s="19">
        <f>IF(OR(F1642="",I1642=""),"",IF(COUNTIFS(F$6:F1642,F1642,I$6:I1642,"?*")=1,MAX(W$5:W1641)+1,""))</f>
        <v/>
      </c>
    </row>
    <row r="1643">
      <c r="B1643" s="15" t="n"/>
      <c r="C1643" s="16" t="n"/>
      <c r="D1643" s="17" t="n"/>
      <c r="E1643" s="17" t="n"/>
      <c r="F1643" s="17" t="n"/>
      <c r="G1643" s="17" t="n"/>
      <c r="H1643" s="18">
        <f>IF(AND(B1643="",C1643="",D1643="",E1643=""),"",IF(B1643="","⚠ Falta fecha",IF(C1643="","⚠ Falta monto",IF(D1643="","⚠ Falta categoría",IF(ISNA(MATCH(D1643,catNom,0)),"⚠ Categoría no existe",IF(E1643="","⚠ Falta cuenta",IF(ISNA(MATCH(E1643,ctaNom,0)),"⚠ Cuenta no existe",IF(AND(OR(I1643="Transferencia",I1643="Pago tarjeta"),G1643=""),"⚠ Indica la cuenta «Hacia»",IF(AND(G1643&lt;&gt;"",G1643=E1643),"⚠ «Hacia» igual a la cuenta",IF(AND(G1643&lt;&gt;"",ISNA(MATCH(G1643,ctaNom,0))),"⚠ «Hacia» no existe",IF(AND(I1643="Pago tarjeta",IFERROR(INDEX(ctaTipo,MATCH(G1643,ctaNom,0)),"")&lt;&gt;"Tarjeta de crédito"),"⚠ «Hacia» debe ser la tarjeta",IF(AND(I1643="Trading",IFERROR(INDEX(ctaTipo,MATCH(E1643,ctaNom,0)),"")&lt;&gt;"Cuenta de trading"),"⚠ Usa la cuenta de trading","✓"))))))))))))</f>
        <v/>
      </c>
      <c r="I1643" s="19">
        <f>IF(OR(B1643="",C1643="",D1643=""),"",IFERROR(INDEX(catTipo,MATCH(D1643,catNom,0))&amp;"",""))</f>
        <v/>
      </c>
      <c r="J1643" s="19">
        <f>IF(I1643="","",IFERROR(INDEX(catGrupo,MATCH(D1643,catNom,0))&amp;"",""))</f>
        <v/>
      </c>
      <c r="K1643" s="19">
        <f>IF(I1643="Gasto",IF(IFERROR(INDEX(catClas,MATCH(D1643,catNom,0))&amp;"","")="","Variable",IFERROR(INDEX(catClas,MATCH(D1643,catNom,0))&amp;"","")),"")</f>
        <v/>
      </c>
      <c r="L1643" s="19">
        <f>IF(I1643="","",IFERROR(INDEX(catAlim,MATCH(D1643,catNom,0))&amp;"",""))</f>
        <v/>
      </c>
      <c r="M1643" s="19">
        <f>IF(I1643="","",IFERROR(INDEX(catComida,MATCH(D1643,catNom,0))&amp;"",""))</f>
        <v/>
      </c>
      <c r="N1643" s="19">
        <f>IF(I1643="","",IFERROR(INDEX(ctaMon,MATCH(E1643,ctaNom,0))&amp;"","DOP"))</f>
        <v/>
      </c>
      <c r="O1643" s="20">
        <f>IF(I1643="","",C1643*IF(N1643="USD",TasaUSD,1))</f>
        <v/>
      </c>
      <c r="P1643" s="20">
        <f>IF(I1643="","",IF(I1643="Gasto",O1643,0))</f>
        <v/>
      </c>
      <c r="Q1643" s="20">
        <f>IF(I1643="","",IF(I1643="Ingreso",O1643,0))</f>
        <v/>
      </c>
      <c r="R1643" s="20">
        <f>IF(I1643="","",IF(I1643="Trading",O1643,0))</f>
        <v/>
      </c>
      <c r="S1643" s="19">
        <f>IF(I1643="","",IF(AND(I1643="Gasto",K1643="Variable",J1643&lt;&gt;"Trading",O1643&gt;0,O1643&lt;=Umbral),1,0))</f>
        <v/>
      </c>
      <c r="T1643" s="20">
        <f>IF(OR(I1643="",E1643=""),"",IF(OR(I1643="Gasto",I1643="Transferencia",I1643="Pago tarjeta"),-1,1)*C1643)</f>
        <v/>
      </c>
      <c r="U1643" s="20">
        <f>IF(OR(G1643="",AND(I1643&lt;&gt;"Transferencia",I1643&lt;&gt;"Pago tarjeta")),"",IF(IFERROR(INDEX(ctaMon,MATCH(G1643,ctaNom,0))&amp;"","DOP")=N1643,C1643,IF(N1643="USD",C1643*TasaUSD,C1643/TasaUSD)))</f>
        <v/>
      </c>
      <c r="V1643" s="20">
        <f>IF(I1643="","",IF(IFERROR(INDEX(ctaLiq,MATCH(E1643,ctaNom,0))="Sí",FALSE),IF(OR(I1643="Gasto",I1643="Transferencia",I1643="Pago tarjeta"),-1,1)*O1643,0)+IF(AND(U1643&lt;&gt;"",IFERROR(INDEX(ctaLiq,MATCH(G1643,ctaNom,0))="Sí",FALSE)),O1643,0))</f>
        <v/>
      </c>
      <c r="W1643" s="19">
        <f>IF(OR(F1643="",I1643=""),"",IF(COUNTIFS(F$6:F1643,F1643,I$6:I1643,"?*")=1,MAX(W$5:W1642)+1,""))</f>
        <v/>
      </c>
    </row>
    <row r="1644">
      <c r="B1644" s="15" t="n"/>
      <c r="C1644" s="16" t="n"/>
      <c r="D1644" s="17" t="n"/>
      <c r="E1644" s="17" t="n"/>
      <c r="F1644" s="17" t="n"/>
      <c r="G1644" s="17" t="n"/>
      <c r="H1644" s="18">
        <f>IF(AND(B1644="",C1644="",D1644="",E1644=""),"",IF(B1644="","⚠ Falta fecha",IF(C1644="","⚠ Falta monto",IF(D1644="","⚠ Falta categoría",IF(ISNA(MATCH(D1644,catNom,0)),"⚠ Categoría no existe",IF(E1644="","⚠ Falta cuenta",IF(ISNA(MATCH(E1644,ctaNom,0)),"⚠ Cuenta no existe",IF(AND(OR(I1644="Transferencia",I1644="Pago tarjeta"),G1644=""),"⚠ Indica la cuenta «Hacia»",IF(AND(G1644&lt;&gt;"",G1644=E1644),"⚠ «Hacia» igual a la cuenta",IF(AND(G1644&lt;&gt;"",ISNA(MATCH(G1644,ctaNom,0))),"⚠ «Hacia» no existe",IF(AND(I1644="Pago tarjeta",IFERROR(INDEX(ctaTipo,MATCH(G1644,ctaNom,0)),"")&lt;&gt;"Tarjeta de crédito"),"⚠ «Hacia» debe ser la tarjeta",IF(AND(I1644="Trading",IFERROR(INDEX(ctaTipo,MATCH(E1644,ctaNom,0)),"")&lt;&gt;"Cuenta de trading"),"⚠ Usa la cuenta de trading","✓"))))))))))))</f>
        <v/>
      </c>
      <c r="I1644" s="19">
        <f>IF(OR(B1644="",C1644="",D1644=""),"",IFERROR(INDEX(catTipo,MATCH(D1644,catNom,0))&amp;"",""))</f>
        <v/>
      </c>
      <c r="J1644" s="19">
        <f>IF(I1644="","",IFERROR(INDEX(catGrupo,MATCH(D1644,catNom,0))&amp;"",""))</f>
        <v/>
      </c>
      <c r="K1644" s="19">
        <f>IF(I1644="Gasto",IF(IFERROR(INDEX(catClas,MATCH(D1644,catNom,0))&amp;"","")="","Variable",IFERROR(INDEX(catClas,MATCH(D1644,catNom,0))&amp;"","")),"")</f>
        <v/>
      </c>
      <c r="L1644" s="19">
        <f>IF(I1644="","",IFERROR(INDEX(catAlim,MATCH(D1644,catNom,0))&amp;"",""))</f>
        <v/>
      </c>
      <c r="M1644" s="19">
        <f>IF(I1644="","",IFERROR(INDEX(catComida,MATCH(D1644,catNom,0))&amp;"",""))</f>
        <v/>
      </c>
      <c r="N1644" s="19">
        <f>IF(I1644="","",IFERROR(INDEX(ctaMon,MATCH(E1644,ctaNom,0))&amp;"","DOP"))</f>
        <v/>
      </c>
      <c r="O1644" s="20">
        <f>IF(I1644="","",C1644*IF(N1644="USD",TasaUSD,1))</f>
        <v/>
      </c>
      <c r="P1644" s="20">
        <f>IF(I1644="","",IF(I1644="Gasto",O1644,0))</f>
        <v/>
      </c>
      <c r="Q1644" s="20">
        <f>IF(I1644="","",IF(I1644="Ingreso",O1644,0))</f>
        <v/>
      </c>
      <c r="R1644" s="20">
        <f>IF(I1644="","",IF(I1644="Trading",O1644,0))</f>
        <v/>
      </c>
      <c r="S1644" s="19">
        <f>IF(I1644="","",IF(AND(I1644="Gasto",K1644="Variable",J1644&lt;&gt;"Trading",O1644&gt;0,O1644&lt;=Umbral),1,0))</f>
        <v/>
      </c>
      <c r="T1644" s="20">
        <f>IF(OR(I1644="",E1644=""),"",IF(OR(I1644="Gasto",I1644="Transferencia",I1644="Pago tarjeta"),-1,1)*C1644)</f>
        <v/>
      </c>
      <c r="U1644" s="20">
        <f>IF(OR(G1644="",AND(I1644&lt;&gt;"Transferencia",I1644&lt;&gt;"Pago tarjeta")),"",IF(IFERROR(INDEX(ctaMon,MATCH(G1644,ctaNom,0))&amp;"","DOP")=N1644,C1644,IF(N1644="USD",C1644*TasaUSD,C1644/TasaUSD)))</f>
        <v/>
      </c>
      <c r="V1644" s="20">
        <f>IF(I1644="","",IF(IFERROR(INDEX(ctaLiq,MATCH(E1644,ctaNom,0))="Sí",FALSE),IF(OR(I1644="Gasto",I1644="Transferencia",I1644="Pago tarjeta"),-1,1)*O1644,0)+IF(AND(U1644&lt;&gt;"",IFERROR(INDEX(ctaLiq,MATCH(G1644,ctaNom,0))="Sí",FALSE)),O1644,0))</f>
        <v/>
      </c>
      <c r="W1644" s="19">
        <f>IF(OR(F1644="",I1644=""),"",IF(COUNTIFS(F$6:F1644,F1644,I$6:I1644,"?*")=1,MAX(W$5:W1643)+1,""))</f>
        <v/>
      </c>
    </row>
    <row r="1645">
      <c r="B1645" s="15" t="n"/>
      <c r="C1645" s="16" t="n"/>
      <c r="D1645" s="17" t="n"/>
      <c r="E1645" s="17" t="n"/>
      <c r="F1645" s="17" t="n"/>
      <c r="G1645" s="17" t="n"/>
      <c r="H1645" s="18">
        <f>IF(AND(B1645="",C1645="",D1645="",E1645=""),"",IF(B1645="","⚠ Falta fecha",IF(C1645="","⚠ Falta monto",IF(D1645="","⚠ Falta categoría",IF(ISNA(MATCH(D1645,catNom,0)),"⚠ Categoría no existe",IF(E1645="","⚠ Falta cuenta",IF(ISNA(MATCH(E1645,ctaNom,0)),"⚠ Cuenta no existe",IF(AND(OR(I1645="Transferencia",I1645="Pago tarjeta"),G1645=""),"⚠ Indica la cuenta «Hacia»",IF(AND(G1645&lt;&gt;"",G1645=E1645),"⚠ «Hacia» igual a la cuenta",IF(AND(G1645&lt;&gt;"",ISNA(MATCH(G1645,ctaNom,0))),"⚠ «Hacia» no existe",IF(AND(I1645="Pago tarjeta",IFERROR(INDEX(ctaTipo,MATCH(G1645,ctaNom,0)),"")&lt;&gt;"Tarjeta de crédito"),"⚠ «Hacia» debe ser la tarjeta",IF(AND(I1645="Trading",IFERROR(INDEX(ctaTipo,MATCH(E1645,ctaNom,0)),"")&lt;&gt;"Cuenta de trading"),"⚠ Usa la cuenta de trading","✓"))))))))))))</f>
        <v/>
      </c>
      <c r="I1645" s="19">
        <f>IF(OR(B1645="",C1645="",D1645=""),"",IFERROR(INDEX(catTipo,MATCH(D1645,catNom,0))&amp;"",""))</f>
        <v/>
      </c>
      <c r="J1645" s="19">
        <f>IF(I1645="","",IFERROR(INDEX(catGrupo,MATCH(D1645,catNom,0))&amp;"",""))</f>
        <v/>
      </c>
      <c r="K1645" s="19">
        <f>IF(I1645="Gasto",IF(IFERROR(INDEX(catClas,MATCH(D1645,catNom,0))&amp;"","")="","Variable",IFERROR(INDEX(catClas,MATCH(D1645,catNom,0))&amp;"","")),"")</f>
        <v/>
      </c>
      <c r="L1645" s="19">
        <f>IF(I1645="","",IFERROR(INDEX(catAlim,MATCH(D1645,catNom,0))&amp;"",""))</f>
        <v/>
      </c>
      <c r="M1645" s="19">
        <f>IF(I1645="","",IFERROR(INDEX(catComida,MATCH(D1645,catNom,0))&amp;"",""))</f>
        <v/>
      </c>
      <c r="N1645" s="19">
        <f>IF(I1645="","",IFERROR(INDEX(ctaMon,MATCH(E1645,ctaNom,0))&amp;"","DOP"))</f>
        <v/>
      </c>
      <c r="O1645" s="20">
        <f>IF(I1645="","",C1645*IF(N1645="USD",TasaUSD,1))</f>
        <v/>
      </c>
      <c r="P1645" s="20">
        <f>IF(I1645="","",IF(I1645="Gasto",O1645,0))</f>
        <v/>
      </c>
      <c r="Q1645" s="20">
        <f>IF(I1645="","",IF(I1645="Ingreso",O1645,0))</f>
        <v/>
      </c>
      <c r="R1645" s="20">
        <f>IF(I1645="","",IF(I1645="Trading",O1645,0))</f>
        <v/>
      </c>
      <c r="S1645" s="19">
        <f>IF(I1645="","",IF(AND(I1645="Gasto",K1645="Variable",J1645&lt;&gt;"Trading",O1645&gt;0,O1645&lt;=Umbral),1,0))</f>
        <v/>
      </c>
      <c r="T1645" s="20">
        <f>IF(OR(I1645="",E1645=""),"",IF(OR(I1645="Gasto",I1645="Transferencia",I1645="Pago tarjeta"),-1,1)*C1645)</f>
        <v/>
      </c>
      <c r="U1645" s="20">
        <f>IF(OR(G1645="",AND(I1645&lt;&gt;"Transferencia",I1645&lt;&gt;"Pago tarjeta")),"",IF(IFERROR(INDEX(ctaMon,MATCH(G1645,ctaNom,0))&amp;"","DOP")=N1645,C1645,IF(N1645="USD",C1645*TasaUSD,C1645/TasaUSD)))</f>
        <v/>
      </c>
      <c r="V1645" s="20">
        <f>IF(I1645="","",IF(IFERROR(INDEX(ctaLiq,MATCH(E1645,ctaNom,0))="Sí",FALSE),IF(OR(I1645="Gasto",I1645="Transferencia",I1645="Pago tarjeta"),-1,1)*O1645,0)+IF(AND(U1645&lt;&gt;"",IFERROR(INDEX(ctaLiq,MATCH(G1645,ctaNom,0))="Sí",FALSE)),O1645,0))</f>
        <v/>
      </c>
      <c r="W1645" s="19">
        <f>IF(OR(F1645="",I1645=""),"",IF(COUNTIFS(F$6:F1645,F1645,I$6:I1645,"?*")=1,MAX(W$5:W1644)+1,""))</f>
        <v/>
      </c>
    </row>
    <row r="1646">
      <c r="B1646" s="15" t="n"/>
      <c r="C1646" s="16" t="n"/>
      <c r="D1646" s="17" t="n"/>
      <c r="E1646" s="17" t="n"/>
      <c r="F1646" s="17" t="n"/>
      <c r="G1646" s="17" t="n"/>
      <c r="H1646" s="18">
        <f>IF(AND(B1646="",C1646="",D1646="",E1646=""),"",IF(B1646="","⚠ Falta fecha",IF(C1646="","⚠ Falta monto",IF(D1646="","⚠ Falta categoría",IF(ISNA(MATCH(D1646,catNom,0)),"⚠ Categoría no existe",IF(E1646="","⚠ Falta cuenta",IF(ISNA(MATCH(E1646,ctaNom,0)),"⚠ Cuenta no existe",IF(AND(OR(I1646="Transferencia",I1646="Pago tarjeta"),G1646=""),"⚠ Indica la cuenta «Hacia»",IF(AND(G1646&lt;&gt;"",G1646=E1646),"⚠ «Hacia» igual a la cuenta",IF(AND(G1646&lt;&gt;"",ISNA(MATCH(G1646,ctaNom,0))),"⚠ «Hacia» no existe",IF(AND(I1646="Pago tarjeta",IFERROR(INDEX(ctaTipo,MATCH(G1646,ctaNom,0)),"")&lt;&gt;"Tarjeta de crédito"),"⚠ «Hacia» debe ser la tarjeta",IF(AND(I1646="Trading",IFERROR(INDEX(ctaTipo,MATCH(E1646,ctaNom,0)),"")&lt;&gt;"Cuenta de trading"),"⚠ Usa la cuenta de trading","✓"))))))))))))</f>
        <v/>
      </c>
      <c r="I1646" s="19">
        <f>IF(OR(B1646="",C1646="",D1646=""),"",IFERROR(INDEX(catTipo,MATCH(D1646,catNom,0))&amp;"",""))</f>
        <v/>
      </c>
      <c r="J1646" s="19">
        <f>IF(I1646="","",IFERROR(INDEX(catGrupo,MATCH(D1646,catNom,0))&amp;"",""))</f>
        <v/>
      </c>
      <c r="K1646" s="19">
        <f>IF(I1646="Gasto",IF(IFERROR(INDEX(catClas,MATCH(D1646,catNom,0))&amp;"","")="","Variable",IFERROR(INDEX(catClas,MATCH(D1646,catNom,0))&amp;"","")),"")</f>
        <v/>
      </c>
      <c r="L1646" s="19">
        <f>IF(I1646="","",IFERROR(INDEX(catAlim,MATCH(D1646,catNom,0))&amp;"",""))</f>
        <v/>
      </c>
      <c r="M1646" s="19">
        <f>IF(I1646="","",IFERROR(INDEX(catComida,MATCH(D1646,catNom,0))&amp;"",""))</f>
        <v/>
      </c>
      <c r="N1646" s="19">
        <f>IF(I1646="","",IFERROR(INDEX(ctaMon,MATCH(E1646,ctaNom,0))&amp;"","DOP"))</f>
        <v/>
      </c>
      <c r="O1646" s="20">
        <f>IF(I1646="","",C1646*IF(N1646="USD",TasaUSD,1))</f>
        <v/>
      </c>
      <c r="P1646" s="20">
        <f>IF(I1646="","",IF(I1646="Gasto",O1646,0))</f>
        <v/>
      </c>
      <c r="Q1646" s="20">
        <f>IF(I1646="","",IF(I1646="Ingreso",O1646,0))</f>
        <v/>
      </c>
      <c r="R1646" s="20">
        <f>IF(I1646="","",IF(I1646="Trading",O1646,0))</f>
        <v/>
      </c>
      <c r="S1646" s="19">
        <f>IF(I1646="","",IF(AND(I1646="Gasto",K1646="Variable",J1646&lt;&gt;"Trading",O1646&gt;0,O1646&lt;=Umbral),1,0))</f>
        <v/>
      </c>
      <c r="T1646" s="20">
        <f>IF(OR(I1646="",E1646=""),"",IF(OR(I1646="Gasto",I1646="Transferencia",I1646="Pago tarjeta"),-1,1)*C1646)</f>
        <v/>
      </c>
      <c r="U1646" s="20">
        <f>IF(OR(G1646="",AND(I1646&lt;&gt;"Transferencia",I1646&lt;&gt;"Pago tarjeta")),"",IF(IFERROR(INDEX(ctaMon,MATCH(G1646,ctaNom,0))&amp;"","DOP")=N1646,C1646,IF(N1646="USD",C1646*TasaUSD,C1646/TasaUSD)))</f>
        <v/>
      </c>
      <c r="V1646" s="20">
        <f>IF(I1646="","",IF(IFERROR(INDEX(ctaLiq,MATCH(E1646,ctaNom,0))="Sí",FALSE),IF(OR(I1646="Gasto",I1646="Transferencia",I1646="Pago tarjeta"),-1,1)*O1646,0)+IF(AND(U1646&lt;&gt;"",IFERROR(INDEX(ctaLiq,MATCH(G1646,ctaNom,0))="Sí",FALSE)),O1646,0))</f>
        <v/>
      </c>
      <c r="W1646" s="19">
        <f>IF(OR(F1646="",I1646=""),"",IF(COUNTIFS(F$6:F1646,F1646,I$6:I1646,"?*")=1,MAX(W$5:W1645)+1,""))</f>
        <v/>
      </c>
    </row>
    <row r="1647">
      <c r="B1647" s="15" t="n"/>
      <c r="C1647" s="16" t="n"/>
      <c r="D1647" s="17" t="n"/>
      <c r="E1647" s="17" t="n"/>
      <c r="F1647" s="17" t="n"/>
      <c r="G1647" s="17" t="n"/>
      <c r="H1647" s="18">
        <f>IF(AND(B1647="",C1647="",D1647="",E1647=""),"",IF(B1647="","⚠ Falta fecha",IF(C1647="","⚠ Falta monto",IF(D1647="","⚠ Falta categoría",IF(ISNA(MATCH(D1647,catNom,0)),"⚠ Categoría no existe",IF(E1647="","⚠ Falta cuenta",IF(ISNA(MATCH(E1647,ctaNom,0)),"⚠ Cuenta no existe",IF(AND(OR(I1647="Transferencia",I1647="Pago tarjeta"),G1647=""),"⚠ Indica la cuenta «Hacia»",IF(AND(G1647&lt;&gt;"",G1647=E1647),"⚠ «Hacia» igual a la cuenta",IF(AND(G1647&lt;&gt;"",ISNA(MATCH(G1647,ctaNom,0))),"⚠ «Hacia» no existe",IF(AND(I1647="Pago tarjeta",IFERROR(INDEX(ctaTipo,MATCH(G1647,ctaNom,0)),"")&lt;&gt;"Tarjeta de crédito"),"⚠ «Hacia» debe ser la tarjeta",IF(AND(I1647="Trading",IFERROR(INDEX(ctaTipo,MATCH(E1647,ctaNom,0)),"")&lt;&gt;"Cuenta de trading"),"⚠ Usa la cuenta de trading","✓"))))))))))))</f>
        <v/>
      </c>
      <c r="I1647" s="19">
        <f>IF(OR(B1647="",C1647="",D1647=""),"",IFERROR(INDEX(catTipo,MATCH(D1647,catNom,0))&amp;"",""))</f>
        <v/>
      </c>
      <c r="J1647" s="19">
        <f>IF(I1647="","",IFERROR(INDEX(catGrupo,MATCH(D1647,catNom,0))&amp;"",""))</f>
        <v/>
      </c>
      <c r="K1647" s="19">
        <f>IF(I1647="Gasto",IF(IFERROR(INDEX(catClas,MATCH(D1647,catNom,0))&amp;"","")="","Variable",IFERROR(INDEX(catClas,MATCH(D1647,catNom,0))&amp;"","")),"")</f>
        <v/>
      </c>
      <c r="L1647" s="19">
        <f>IF(I1647="","",IFERROR(INDEX(catAlim,MATCH(D1647,catNom,0))&amp;"",""))</f>
        <v/>
      </c>
      <c r="M1647" s="19">
        <f>IF(I1647="","",IFERROR(INDEX(catComida,MATCH(D1647,catNom,0))&amp;"",""))</f>
        <v/>
      </c>
      <c r="N1647" s="19">
        <f>IF(I1647="","",IFERROR(INDEX(ctaMon,MATCH(E1647,ctaNom,0))&amp;"","DOP"))</f>
        <v/>
      </c>
      <c r="O1647" s="20">
        <f>IF(I1647="","",C1647*IF(N1647="USD",TasaUSD,1))</f>
        <v/>
      </c>
      <c r="P1647" s="20">
        <f>IF(I1647="","",IF(I1647="Gasto",O1647,0))</f>
        <v/>
      </c>
      <c r="Q1647" s="20">
        <f>IF(I1647="","",IF(I1647="Ingreso",O1647,0))</f>
        <v/>
      </c>
      <c r="R1647" s="20">
        <f>IF(I1647="","",IF(I1647="Trading",O1647,0))</f>
        <v/>
      </c>
      <c r="S1647" s="19">
        <f>IF(I1647="","",IF(AND(I1647="Gasto",K1647="Variable",J1647&lt;&gt;"Trading",O1647&gt;0,O1647&lt;=Umbral),1,0))</f>
        <v/>
      </c>
      <c r="T1647" s="20">
        <f>IF(OR(I1647="",E1647=""),"",IF(OR(I1647="Gasto",I1647="Transferencia",I1647="Pago tarjeta"),-1,1)*C1647)</f>
        <v/>
      </c>
      <c r="U1647" s="20">
        <f>IF(OR(G1647="",AND(I1647&lt;&gt;"Transferencia",I1647&lt;&gt;"Pago tarjeta")),"",IF(IFERROR(INDEX(ctaMon,MATCH(G1647,ctaNom,0))&amp;"","DOP")=N1647,C1647,IF(N1647="USD",C1647*TasaUSD,C1647/TasaUSD)))</f>
        <v/>
      </c>
      <c r="V1647" s="20">
        <f>IF(I1647="","",IF(IFERROR(INDEX(ctaLiq,MATCH(E1647,ctaNom,0))="Sí",FALSE),IF(OR(I1647="Gasto",I1647="Transferencia",I1647="Pago tarjeta"),-1,1)*O1647,0)+IF(AND(U1647&lt;&gt;"",IFERROR(INDEX(ctaLiq,MATCH(G1647,ctaNom,0))="Sí",FALSE)),O1647,0))</f>
        <v/>
      </c>
      <c r="W1647" s="19">
        <f>IF(OR(F1647="",I1647=""),"",IF(COUNTIFS(F$6:F1647,F1647,I$6:I1647,"?*")=1,MAX(W$5:W1646)+1,""))</f>
        <v/>
      </c>
    </row>
    <row r="1648">
      <c r="B1648" s="15" t="n"/>
      <c r="C1648" s="16" t="n"/>
      <c r="D1648" s="17" t="n"/>
      <c r="E1648" s="17" t="n"/>
      <c r="F1648" s="17" t="n"/>
      <c r="G1648" s="17" t="n"/>
      <c r="H1648" s="18">
        <f>IF(AND(B1648="",C1648="",D1648="",E1648=""),"",IF(B1648="","⚠ Falta fecha",IF(C1648="","⚠ Falta monto",IF(D1648="","⚠ Falta categoría",IF(ISNA(MATCH(D1648,catNom,0)),"⚠ Categoría no existe",IF(E1648="","⚠ Falta cuenta",IF(ISNA(MATCH(E1648,ctaNom,0)),"⚠ Cuenta no existe",IF(AND(OR(I1648="Transferencia",I1648="Pago tarjeta"),G1648=""),"⚠ Indica la cuenta «Hacia»",IF(AND(G1648&lt;&gt;"",G1648=E1648),"⚠ «Hacia» igual a la cuenta",IF(AND(G1648&lt;&gt;"",ISNA(MATCH(G1648,ctaNom,0))),"⚠ «Hacia» no existe",IF(AND(I1648="Pago tarjeta",IFERROR(INDEX(ctaTipo,MATCH(G1648,ctaNom,0)),"")&lt;&gt;"Tarjeta de crédito"),"⚠ «Hacia» debe ser la tarjeta",IF(AND(I1648="Trading",IFERROR(INDEX(ctaTipo,MATCH(E1648,ctaNom,0)),"")&lt;&gt;"Cuenta de trading"),"⚠ Usa la cuenta de trading","✓"))))))))))))</f>
        <v/>
      </c>
      <c r="I1648" s="19">
        <f>IF(OR(B1648="",C1648="",D1648=""),"",IFERROR(INDEX(catTipo,MATCH(D1648,catNom,0))&amp;"",""))</f>
        <v/>
      </c>
      <c r="J1648" s="19">
        <f>IF(I1648="","",IFERROR(INDEX(catGrupo,MATCH(D1648,catNom,0))&amp;"",""))</f>
        <v/>
      </c>
      <c r="K1648" s="19">
        <f>IF(I1648="Gasto",IF(IFERROR(INDEX(catClas,MATCH(D1648,catNom,0))&amp;"","")="","Variable",IFERROR(INDEX(catClas,MATCH(D1648,catNom,0))&amp;"","")),"")</f>
        <v/>
      </c>
      <c r="L1648" s="19">
        <f>IF(I1648="","",IFERROR(INDEX(catAlim,MATCH(D1648,catNom,0))&amp;"",""))</f>
        <v/>
      </c>
      <c r="M1648" s="19">
        <f>IF(I1648="","",IFERROR(INDEX(catComida,MATCH(D1648,catNom,0))&amp;"",""))</f>
        <v/>
      </c>
      <c r="N1648" s="19">
        <f>IF(I1648="","",IFERROR(INDEX(ctaMon,MATCH(E1648,ctaNom,0))&amp;"","DOP"))</f>
        <v/>
      </c>
      <c r="O1648" s="20">
        <f>IF(I1648="","",C1648*IF(N1648="USD",TasaUSD,1))</f>
        <v/>
      </c>
      <c r="P1648" s="20">
        <f>IF(I1648="","",IF(I1648="Gasto",O1648,0))</f>
        <v/>
      </c>
      <c r="Q1648" s="20">
        <f>IF(I1648="","",IF(I1648="Ingreso",O1648,0))</f>
        <v/>
      </c>
      <c r="R1648" s="20">
        <f>IF(I1648="","",IF(I1648="Trading",O1648,0))</f>
        <v/>
      </c>
      <c r="S1648" s="19">
        <f>IF(I1648="","",IF(AND(I1648="Gasto",K1648="Variable",J1648&lt;&gt;"Trading",O1648&gt;0,O1648&lt;=Umbral),1,0))</f>
        <v/>
      </c>
      <c r="T1648" s="20">
        <f>IF(OR(I1648="",E1648=""),"",IF(OR(I1648="Gasto",I1648="Transferencia",I1648="Pago tarjeta"),-1,1)*C1648)</f>
        <v/>
      </c>
      <c r="U1648" s="20">
        <f>IF(OR(G1648="",AND(I1648&lt;&gt;"Transferencia",I1648&lt;&gt;"Pago tarjeta")),"",IF(IFERROR(INDEX(ctaMon,MATCH(G1648,ctaNom,0))&amp;"","DOP")=N1648,C1648,IF(N1648="USD",C1648*TasaUSD,C1648/TasaUSD)))</f>
        <v/>
      </c>
      <c r="V1648" s="20">
        <f>IF(I1648="","",IF(IFERROR(INDEX(ctaLiq,MATCH(E1648,ctaNom,0))="Sí",FALSE),IF(OR(I1648="Gasto",I1648="Transferencia",I1648="Pago tarjeta"),-1,1)*O1648,0)+IF(AND(U1648&lt;&gt;"",IFERROR(INDEX(ctaLiq,MATCH(G1648,ctaNom,0))="Sí",FALSE)),O1648,0))</f>
        <v/>
      </c>
      <c r="W1648" s="19">
        <f>IF(OR(F1648="",I1648=""),"",IF(COUNTIFS(F$6:F1648,F1648,I$6:I1648,"?*")=1,MAX(W$5:W1647)+1,""))</f>
        <v/>
      </c>
    </row>
    <row r="1649">
      <c r="B1649" s="15" t="n"/>
      <c r="C1649" s="16" t="n"/>
      <c r="D1649" s="17" t="n"/>
      <c r="E1649" s="17" t="n"/>
      <c r="F1649" s="17" t="n"/>
      <c r="G1649" s="17" t="n"/>
      <c r="H1649" s="18">
        <f>IF(AND(B1649="",C1649="",D1649="",E1649=""),"",IF(B1649="","⚠ Falta fecha",IF(C1649="","⚠ Falta monto",IF(D1649="","⚠ Falta categoría",IF(ISNA(MATCH(D1649,catNom,0)),"⚠ Categoría no existe",IF(E1649="","⚠ Falta cuenta",IF(ISNA(MATCH(E1649,ctaNom,0)),"⚠ Cuenta no existe",IF(AND(OR(I1649="Transferencia",I1649="Pago tarjeta"),G1649=""),"⚠ Indica la cuenta «Hacia»",IF(AND(G1649&lt;&gt;"",G1649=E1649),"⚠ «Hacia» igual a la cuenta",IF(AND(G1649&lt;&gt;"",ISNA(MATCH(G1649,ctaNom,0))),"⚠ «Hacia» no existe",IF(AND(I1649="Pago tarjeta",IFERROR(INDEX(ctaTipo,MATCH(G1649,ctaNom,0)),"")&lt;&gt;"Tarjeta de crédito"),"⚠ «Hacia» debe ser la tarjeta",IF(AND(I1649="Trading",IFERROR(INDEX(ctaTipo,MATCH(E1649,ctaNom,0)),"")&lt;&gt;"Cuenta de trading"),"⚠ Usa la cuenta de trading","✓"))))))))))))</f>
        <v/>
      </c>
      <c r="I1649" s="19">
        <f>IF(OR(B1649="",C1649="",D1649=""),"",IFERROR(INDEX(catTipo,MATCH(D1649,catNom,0))&amp;"",""))</f>
        <v/>
      </c>
      <c r="J1649" s="19">
        <f>IF(I1649="","",IFERROR(INDEX(catGrupo,MATCH(D1649,catNom,0))&amp;"",""))</f>
        <v/>
      </c>
      <c r="K1649" s="19">
        <f>IF(I1649="Gasto",IF(IFERROR(INDEX(catClas,MATCH(D1649,catNom,0))&amp;"","")="","Variable",IFERROR(INDEX(catClas,MATCH(D1649,catNom,0))&amp;"","")),"")</f>
        <v/>
      </c>
      <c r="L1649" s="19">
        <f>IF(I1649="","",IFERROR(INDEX(catAlim,MATCH(D1649,catNom,0))&amp;"",""))</f>
        <v/>
      </c>
      <c r="M1649" s="19">
        <f>IF(I1649="","",IFERROR(INDEX(catComida,MATCH(D1649,catNom,0))&amp;"",""))</f>
        <v/>
      </c>
      <c r="N1649" s="19">
        <f>IF(I1649="","",IFERROR(INDEX(ctaMon,MATCH(E1649,ctaNom,0))&amp;"","DOP"))</f>
        <v/>
      </c>
      <c r="O1649" s="20">
        <f>IF(I1649="","",C1649*IF(N1649="USD",TasaUSD,1))</f>
        <v/>
      </c>
      <c r="P1649" s="20">
        <f>IF(I1649="","",IF(I1649="Gasto",O1649,0))</f>
        <v/>
      </c>
      <c r="Q1649" s="20">
        <f>IF(I1649="","",IF(I1649="Ingreso",O1649,0))</f>
        <v/>
      </c>
      <c r="R1649" s="20">
        <f>IF(I1649="","",IF(I1649="Trading",O1649,0))</f>
        <v/>
      </c>
      <c r="S1649" s="19">
        <f>IF(I1649="","",IF(AND(I1649="Gasto",K1649="Variable",J1649&lt;&gt;"Trading",O1649&gt;0,O1649&lt;=Umbral),1,0))</f>
        <v/>
      </c>
      <c r="T1649" s="20">
        <f>IF(OR(I1649="",E1649=""),"",IF(OR(I1649="Gasto",I1649="Transferencia",I1649="Pago tarjeta"),-1,1)*C1649)</f>
        <v/>
      </c>
      <c r="U1649" s="20">
        <f>IF(OR(G1649="",AND(I1649&lt;&gt;"Transferencia",I1649&lt;&gt;"Pago tarjeta")),"",IF(IFERROR(INDEX(ctaMon,MATCH(G1649,ctaNom,0))&amp;"","DOP")=N1649,C1649,IF(N1649="USD",C1649*TasaUSD,C1649/TasaUSD)))</f>
        <v/>
      </c>
      <c r="V1649" s="20">
        <f>IF(I1649="","",IF(IFERROR(INDEX(ctaLiq,MATCH(E1649,ctaNom,0))="Sí",FALSE),IF(OR(I1649="Gasto",I1649="Transferencia",I1649="Pago tarjeta"),-1,1)*O1649,0)+IF(AND(U1649&lt;&gt;"",IFERROR(INDEX(ctaLiq,MATCH(G1649,ctaNom,0))="Sí",FALSE)),O1649,0))</f>
        <v/>
      </c>
      <c r="W1649" s="19">
        <f>IF(OR(F1649="",I1649=""),"",IF(COUNTIFS(F$6:F1649,F1649,I$6:I1649,"?*")=1,MAX(W$5:W1648)+1,""))</f>
        <v/>
      </c>
    </row>
    <row r="1650">
      <c r="B1650" s="15" t="n"/>
      <c r="C1650" s="16" t="n"/>
      <c r="D1650" s="17" t="n"/>
      <c r="E1650" s="17" t="n"/>
      <c r="F1650" s="17" t="n"/>
      <c r="G1650" s="17" t="n"/>
      <c r="H1650" s="18">
        <f>IF(AND(B1650="",C1650="",D1650="",E1650=""),"",IF(B1650="","⚠ Falta fecha",IF(C1650="","⚠ Falta monto",IF(D1650="","⚠ Falta categoría",IF(ISNA(MATCH(D1650,catNom,0)),"⚠ Categoría no existe",IF(E1650="","⚠ Falta cuenta",IF(ISNA(MATCH(E1650,ctaNom,0)),"⚠ Cuenta no existe",IF(AND(OR(I1650="Transferencia",I1650="Pago tarjeta"),G1650=""),"⚠ Indica la cuenta «Hacia»",IF(AND(G1650&lt;&gt;"",G1650=E1650),"⚠ «Hacia» igual a la cuenta",IF(AND(G1650&lt;&gt;"",ISNA(MATCH(G1650,ctaNom,0))),"⚠ «Hacia» no existe",IF(AND(I1650="Pago tarjeta",IFERROR(INDEX(ctaTipo,MATCH(G1650,ctaNom,0)),"")&lt;&gt;"Tarjeta de crédito"),"⚠ «Hacia» debe ser la tarjeta",IF(AND(I1650="Trading",IFERROR(INDEX(ctaTipo,MATCH(E1650,ctaNom,0)),"")&lt;&gt;"Cuenta de trading"),"⚠ Usa la cuenta de trading","✓"))))))))))))</f>
        <v/>
      </c>
      <c r="I1650" s="19">
        <f>IF(OR(B1650="",C1650="",D1650=""),"",IFERROR(INDEX(catTipo,MATCH(D1650,catNom,0))&amp;"",""))</f>
        <v/>
      </c>
      <c r="J1650" s="19">
        <f>IF(I1650="","",IFERROR(INDEX(catGrupo,MATCH(D1650,catNom,0))&amp;"",""))</f>
        <v/>
      </c>
      <c r="K1650" s="19">
        <f>IF(I1650="Gasto",IF(IFERROR(INDEX(catClas,MATCH(D1650,catNom,0))&amp;"","")="","Variable",IFERROR(INDEX(catClas,MATCH(D1650,catNom,0))&amp;"","")),"")</f>
        <v/>
      </c>
      <c r="L1650" s="19">
        <f>IF(I1650="","",IFERROR(INDEX(catAlim,MATCH(D1650,catNom,0))&amp;"",""))</f>
        <v/>
      </c>
      <c r="M1650" s="19">
        <f>IF(I1650="","",IFERROR(INDEX(catComida,MATCH(D1650,catNom,0))&amp;"",""))</f>
        <v/>
      </c>
      <c r="N1650" s="19">
        <f>IF(I1650="","",IFERROR(INDEX(ctaMon,MATCH(E1650,ctaNom,0))&amp;"","DOP"))</f>
        <v/>
      </c>
      <c r="O1650" s="20">
        <f>IF(I1650="","",C1650*IF(N1650="USD",TasaUSD,1))</f>
        <v/>
      </c>
      <c r="P1650" s="20">
        <f>IF(I1650="","",IF(I1650="Gasto",O1650,0))</f>
        <v/>
      </c>
      <c r="Q1650" s="20">
        <f>IF(I1650="","",IF(I1650="Ingreso",O1650,0))</f>
        <v/>
      </c>
      <c r="R1650" s="20">
        <f>IF(I1650="","",IF(I1650="Trading",O1650,0))</f>
        <v/>
      </c>
      <c r="S1650" s="19">
        <f>IF(I1650="","",IF(AND(I1650="Gasto",K1650="Variable",J1650&lt;&gt;"Trading",O1650&gt;0,O1650&lt;=Umbral),1,0))</f>
        <v/>
      </c>
      <c r="T1650" s="20">
        <f>IF(OR(I1650="",E1650=""),"",IF(OR(I1650="Gasto",I1650="Transferencia",I1650="Pago tarjeta"),-1,1)*C1650)</f>
        <v/>
      </c>
      <c r="U1650" s="20">
        <f>IF(OR(G1650="",AND(I1650&lt;&gt;"Transferencia",I1650&lt;&gt;"Pago tarjeta")),"",IF(IFERROR(INDEX(ctaMon,MATCH(G1650,ctaNom,0))&amp;"","DOP")=N1650,C1650,IF(N1650="USD",C1650*TasaUSD,C1650/TasaUSD)))</f>
        <v/>
      </c>
      <c r="V1650" s="20">
        <f>IF(I1650="","",IF(IFERROR(INDEX(ctaLiq,MATCH(E1650,ctaNom,0))="Sí",FALSE),IF(OR(I1650="Gasto",I1650="Transferencia",I1650="Pago tarjeta"),-1,1)*O1650,0)+IF(AND(U1650&lt;&gt;"",IFERROR(INDEX(ctaLiq,MATCH(G1650,ctaNom,0))="Sí",FALSE)),O1650,0))</f>
        <v/>
      </c>
      <c r="W1650" s="19">
        <f>IF(OR(F1650="",I1650=""),"",IF(COUNTIFS(F$6:F1650,F1650,I$6:I1650,"?*")=1,MAX(W$5:W1649)+1,""))</f>
        <v/>
      </c>
    </row>
    <row r="1651">
      <c r="B1651" s="15" t="n"/>
      <c r="C1651" s="16" t="n"/>
      <c r="D1651" s="17" t="n"/>
      <c r="E1651" s="17" t="n"/>
      <c r="F1651" s="17" t="n"/>
      <c r="G1651" s="17" t="n"/>
      <c r="H1651" s="18">
        <f>IF(AND(B1651="",C1651="",D1651="",E1651=""),"",IF(B1651="","⚠ Falta fecha",IF(C1651="","⚠ Falta monto",IF(D1651="","⚠ Falta categoría",IF(ISNA(MATCH(D1651,catNom,0)),"⚠ Categoría no existe",IF(E1651="","⚠ Falta cuenta",IF(ISNA(MATCH(E1651,ctaNom,0)),"⚠ Cuenta no existe",IF(AND(OR(I1651="Transferencia",I1651="Pago tarjeta"),G1651=""),"⚠ Indica la cuenta «Hacia»",IF(AND(G1651&lt;&gt;"",G1651=E1651),"⚠ «Hacia» igual a la cuenta",IF(AND(G1651&lt;&gt;"",ISNA(MATCH(G1651,ctaNom,0))),"⚠ «Hacia» no existe",IF(AND(I1651="Pago tarjeta",IFERROR(INDEX(ctaTipo,MATCH(G1651,ctaNom,0)),"")&lt;&gt;"Tarjeta de crédito"),"⚠ «Hacia» debe ser la tarjeta",IF(AND(I1651="Trading",IFERROR(INDEX(ctaTipo,MATCH(E1651,ctaNom,0)),"")&lt;&gt;"Cuenta de trading"),"⚠ Usa la cuenta de trading","✓"))))))))))))</f>
        <v/>
      </c>
      <c r="I1651" s="19">
        <f>IF(OR(B1651="",C1651="",D1651=""),"",IFERROR(INDEX(catTipo,MATCH(D1651,catNom,0))&amp;"",""))</f>
        <v/>
      </c>
      <c r="J1651" s="19">
        <f>IF(I1651="","",IFERROR(INDEX(catGrupo,MATCH(D1651,catNom,0))&amp;"",""))</f>
        <v/>
      </c>
      <c r="K1651" s="19">
        <f>IF(I1651="Gasto",IF(IFERROR(INDEX(catClas,MATCH(D1651,catNom,0))&amp;"","")="","Variable",IFERROR(INDEX(catClas,MATCH(D1651,catNom,0))&amp;"","")),"")</f>
        <v/>
      </c>
      <c r="L1651" s="19">
        <f>IF(I1651="","",IFERROR(INDEX(catAlim,MATCH(D1651,catNom,0))&amp;"",""))</f>
        <v/>
      </c>
      <c r="M1651" s="19">
        <f>IF(I1651="","",IFERROR(INDEX(catComida,MATCH(D1651,catNom,0))&amp;"",""))</f>
        <v/>
      </c>
      <c r="N1651" s="19">
        <f>IF(I1651="","",IFERROR(INDEX(ctaMon,MATCH(E1651,ctaNom,0))&amp;"","DOP"))</f>
        <v/>
      </c>
      <c r="O1651" s="20">
        <f>IF(I1651="","",C1651*IF(N1651="USD",TasaUSD,1))</f>
        <v/>
      </c>
      <c r="P1651" s="20">
        <f>IF(I1651="","",IF(I1651="Gasto",O1651,0))</f>
        <v/>
      </c>
      <c r="Q1651" s="20">
        <f>IF(I1651="","",IF(I1651="Ingreso",O1651,0))</f>
        <v/>
      </c>
      <c r="R1651" s="20">
        <f>IF(I1651="","",IF(I1651="Trading",O1651,0))</f>
        <v/>
      </c>
      <c r="S1651" s="19">
        <f>IF(I1651="","",IF(AND(I1651="Gasto",K1651="Variable",J1651&lt;&gt;"Trading",O1651&gt;0,O1651&lt;=Umbral),1,0))</f>
        <v/>
      </c>
      <c r="T1651" s="20">
        <f>IF(OR(I1651="",E1651=""),"",IF(OR(I1651="Gasto",I1651="Transferencia",I1651="Pago tarjeta"),-1,1)*C1651)</f>
        <v/>
      </c>
      <c r="U1651" s="20">
        <f>IF(OR(G1651="",AND(I1651&lt;&gt;"Transferencia",I1651&lt;&gt;"Pago tarjeta")),"",IF(IFERROR(INDEX(ctaMon,MATCH(G1651,ctaNom,0))&amp;"","DOP")=N1651,C1651,IF(N1651="USD",C1651*TasaUSD,C1651/TasaUSD)))</f>
        <v/>
      </c>
      <c r="V1651" s="20">
        <f>IF(I1651="","",IF(IFERROR(INDEX(ctaLiq,MATCH(E1651,ctaNom,0))="Sí",FALSE),IF(OR(I1651="Gasto",I1651="Transferencia",I1651="Pago tarjeta"),-1,1)*O1651,0)+IF(AND(U1651&lt;&gt;"",IFERROR(INDEX(ctaLiq,MATCH(G1651,ctaNom,0))="Sí",FALSE)),O1651,0))</f>
        <v/>
      </c>
      <c r="W1651" s="19">
        <f>IF(OR(F1651="",I1651=""),"",IF(COUNTIFS(F$6:F1651,F1651,I$6:I1651,"?*")=1,MAX(W$5:W1650)+1,""))</f>
        <v/>
      </c>
    </row>
    <row r="1652">
      <c r="B1652" s="15" t="n"/>
      <c r="C1652" s="16" t="n"/>
      <c r="D1652" s="17" t="n"/>
      <c r="E1652" s="17" t="n"/>
      <c r="F1652" s="17" t="n"/>
      <c r="G1652" s="17" t="n"/>
      <c r="H1652" s="18">
        <f>IF(AND(B1652="",C1652="",D1652="",E1652=""),"",IF(B1652="","⚠ Falta fecha",IF(C1652="","⚠ Falta monto",IF(D1652="","⚠ Falta categoría",IF(ISNA(MATCH(D1652,catNom,0)),"⚠ Categoría no existe",IF(E1652="","⚠ Falta cuenta",IF(ISNA(MATCH(E1652,ctaNom,0)),"⚠ Cuenta no existe",IF(AND(OR(I1652="Transferencia",I1652="Pago tarjeta"),G1652=""),"⚠ Indica la cuenta «Hacia»",IF(AND(G1652&lt;&gt;"",G1652=E1652),"⚠ «Hacia» igual a la cuenta",IF(AND(G1652&lt;&gt;"",ISNA(MATCH(G1652,ctaNom,0))),"⚠ «Hacia» no existe",IF(AND(I1652="Pago tarjeta",IFERROR(INDEX(ctaTipo,MATCH(G1652,ctaNom,0)),"")&lt;&gt;"Tarjeta de crédito"),"⚠ «Hacia» debe ser la tarjeta",IF(AND(I1652="Trading",IFERROR(INDEX(ctaTipo,MATCH(E1652,ctaNom,0)),"")&lt;&gt;"Cuenta de trading"),"⚠ Usa la cuenta de trading","✓"))))))))))))</f>
        <v/>
      </c>
      <c r="I1652" s="19">
        <f>IF(OR(B1652="",C1652="",D1652=""),"",IFERROR(INDEX(catTipo,MATCH(D1652,catNom,0))&amp;"",""))</f>
        <v/>
      </c>
      <c r="J1652" s="19">
        <f>IF(I1652="","",IFERROR(INDEX(catGrupo,MATCH(D1652,catNom,0))&amp;"",""))</f>
        <v/>
      </c>
      <c r="K1652" s="19">
        <f>IF(I1652="Gasto",IF(IFERROR(INDEX(catClas,MATCH(D1652,catNom,0))&amp;"","")="","Variable",IFERROR(INDEX(catClas,MATCH(D1652,catNom,0))&amp;"","")),"")</f>
        <v/>
      </c>
      <c r="L1652" s="19">
        <f>IF(I1652="","",IFERROR(INDEX(catAlim,MATCH(D1652,catNom,0))&amp;"",""))</f>
        <v/>
      </c>
      <c r="M1652" s="19">
        <f>IF(I1652="","",IFERROR(INDEX(catComida,MATCH(D1652,catNom,0))&amp;"",""))</f>
        <v/>
      </c>
      <c r="N1652" s="19">
        <f>IF(I1652="","",IFERROR(INDEX(ctaMon,MATCH(E1652,ctaNom,0))&amp;"","DOP"))</f>
        <v/>
      </c>
      <c r="O1652" s="20">
        <f>IF(I1652="","",C1652*IF(N1652="USD",TasaUSD,1))</f>
        <v/>
      </c>
      <c r="P1652" s="20">
        <f>IF(I1652="","",IF(I1652="Gasto",O1652,0))</f>
        <v/>
      </c>
      <c r="Q1652" s="20">
        <f>IF(I1652="","",IF(I1652="Ingreso",O1652,0))</f>
        <v/>
      </c>
      <c r="R1652" s="20">
        <f>IF(I1652="","",IF(I1652="Trading",O1652,0))</f>
        <v/>
      </c>
      <c r="S1652" s="19">
        <f>IF(I1652="","",IF(AND(I1652="Gasto",K1652="Variable",J1652&lt;&gt;"Trading",O1652&gt;0,O1652&lt;=Umbral),1,0))</f>
        <v/>
      </c>
      <c r="T1652" s="20">
        <f>IF(OR(I1652="",E1652=""),"",IF(OR(I1652="Gasto",I1652="Transferencia",I1652="Pago tarjeta"),-1,1)*C1652)</f>
        <v/>
      </c>
      <c r="U1652" s="20">
        <f>IF(OR(G1652="",AND(I1652&lt;&gt;"Transferencia",I1652&lt;&gt;"Pago tarjeta")),"",IF(IFERROR(INDEX(ctaMon,MATCH(G1652,ctaNom,0))&amp;"","DOP")=N1652,C1652,IF(N1652="USD",C1652*TasaUSD,C1652/TasaUSD)))</f>
        <v/>
      </c>
      <c r="V1652" s="20">
        <f>IF(I1652="","",IF(IFERROR(INDEX(ctaLiq,MATCH(E1652,ctaNom,0))="Sí",FALSE),IF(OR(I1652="Gasto",I1652="Transferencia",I1652="Pago tarjeta"),-1,1)*O1652,0)+IF(AND(U1652&lt;&gt;"",IFERROR(INDEX(ctaLiq,MATCH(G1652,ctaNom,0))="Sí",FALSE)),O1652,0))</f>
        <v/>
      </c>
      <c r="W1652" s="19">
        <f>IF(OR(F1652="",I1652=""),"",IF(COUNTIFS(F$6:F1652,F1652,I$6:I1652,"?*")=1,MAX(W$5:W1651)+1,""))</f>
        <v/>
      </c>
    </row>
    <row r="1653">
      <c r="B1653" s="15" t="n"/>
      <c r="C1653" s="16" t="n"/>
      <c r="D1653" s="17" t="n"/>
      <c r="E1653" s="17" t="n"/>
      <c r="F1653" s="17" t="n"/>
      <c r="G1653" s="17" t="n"/>
      <c r="H1653" s="18">
        <f>IF(AND(B1653="",C1653="",D1653="",E1653=""),"",IF(B1653="","⚠ Falta fecha",IF(C1653="","⚠ Falta monto",IF(D1653="","⚠ Falta categoría",IF(ISNA(MATCH(D1653,catNom,0)),"⚠ Categoría no existe",IF(E1653="","⚠ Falta cuenta",IF(ISNA(MATCH(E1653,ctaNom,0)),"⚠ Cuenta no existe",IF(AND(OR(I1653="Transferencia",I1653="Pago tarjeta"),G1653=""),"⚠ Indica la cuenta «Hacia»",IF(AND(G1653&lt;&gt;"",G1653=E1653),"⚠ «Hacia» igual a la cuenta",IF(AND(G1653&lt;&gt;"",ISNA(MATCH(G1653,ctaNom,0))),"⚠ «Hacia» no existe",IF(AND(I1653="Pago tarjeta",IFERROR(INDEX(ctaTipo,MATCH(G1653,ctaNom,0)),"")&lt;&gt;"Tarjeta de crédito"),"⚠ «Hacia» debe ser la tarjeta",IF(AND(I1653="Trading",IFERROR(INDEX(ctaTipo,MATCH(E1653,ctaNom,0)),"")&lt;&gt;"Cuenta de trading"),"⚠ Usa la cuenta de trading","✓"))))))))))))</f>
        <v/>
      </c>
      <c r="I1653" s="19">
        <f>IF(OR(B1653="",C1653="",D1653=""),"",IFERROR(INDEX(catTipo,MATCH(D1653,catNom,0))&amp;"",""))</f>
        <v/>
      </c>
      <c r="J1653" s="19">
        <f>IF(I1653="","",IFERROR(INDEX(catGrupo,MATCH(D1653,catNom,0))&amp;"",""))</f>
        <v/>
      </c>
      <c r="K1653" s="19">
        <f>IF(I1653="Gasto",IF(IFERROR(INDEX(catClas,MATCH(D1653,catNom,0))&amp;"","")="","Variable",IFERROR(INDEX(catClas,MATCH(D1653,catNom,0))&amp;"","")),"")</f>
        <v/>
      </c>
      <c r="L1653" s="19">
        <f>IF(I1653="","",IFERROR(INDEX(catAlim,MATCH(D1653,catNom,0))&amp;"",""))</f>
        <v/>
      </c>
      <c r="M1653" s="19">
        <f>IF(I1653="","",IFERROR(INDEX(catComida,MATCH(D1653,catNom,0))&amp;"",""))</f>
        <v/>
      </c>
      <c r="N1653" s="19">
        <f>IF(I1653="","",IFERROR(INDEX(ctaMon,MATCH(E1653,ctaNom,0))&amp;"","DOP"))</f>
        <v/>
      </c>
      <c r="O1653" s="20">
        <f>IF(I1653="","",C1653*IF(N1653="USD",TasaUSD,1))</f>
        <v/>
      </c>
      <c r="P1653" s="20">
        <f>IF(I1653="","",IF(I1653="Gasto",O1653,0))</f>
        <v/>
      </c>
      <c r="Q1653" s="20">
        <f>IF(I1653="","",IF(I1653="Ingreso",O1653,0))</f>
        <v/>
      </c>
      <c r="R1653" s="20">
        <f>IF(I1653="","",IF(I1653="Trading",O1653,0))</f>
        <v/>
      </c>
      <c r="S1653" s="19">
        <f>IF(I1653="","",IF(AND(I1653="Gasto",K1653="Variable",J1653&lt;&gt;"Trading",O1653&gt;0,O1653&lt;=Umbral),1,0))</f>
        <v/>
      </c>
      <c r="T1653" s="20">
        <f>IF(OR(I1653="",E1653=""),"",IF(OR(I1653="Gasto",I1653="Transferencia",I1653="Pago tarjeta"),-1,1)*C1653)</f>
        <v/>
      </c>
      <c r="U1653" s="20">
        <f>IF(OR(G1653="",AND(I1653&lt;&gt;"Transferencia",I1653&lt;&gt;"Pago tarjeta")),"",IF(IFERROR(INDEX(ctaMon,MATCH(G1653,ctaNom,0))&amp;"","DOP")=N1653,C1653,IF(N1653="USD",C1653*TasaUSD,C1653/TasaUSD)))</f>
        <v/>
      </c>
      <c r="V1653" s="20">
        <f>IF(I1653="","",IF(IFERROR(INDEX(ctaLiq,MATCH(E1653,ctaNom,0))="Sí",FALSE),IF(OR(I1653="Gasto",I1653="Transferencia",I1653="Pago tarjeta"),-1,1)*O1653,0)+IF(AND(U1653&lt;&gt;"",IFERROR(INDEX(ctaLiq,MATCH(G1653,ctaNom,0))="Sí",FALSE)),O1653,0))</f>
        <v/>
      </c>
      <c r="W1653" s="19">
        <f>IF(OR(F1653="",I1653=""),"",IF(COUNTIFS(F$6:F1653,F1653,I$6:I1653,"?*")=1,MAX(W$5:W1652)+1,""))</f>
        <v/>
      </c>
    </row>
    <row r="1654">
      <c r="B1654" s="15" t="n"/>
      <c r="C1654" s="16" t="n"/>
      <c r="D1654" s="17" t="n"/>
      <c r="E1654" s="17" t="n"/>
      <c r="F1654" s="17" t="n"/>
      <c r="G1654" s="17" t="n"/>
      <c r="H1654" s="18">
        <f>IF(AND(B1654="",C1654="",D1654="",E1654=""),"",IF(B1654="","⚠ Falta fecha",IF(C1654="","⚠ Falta monto",IF(D1654="","⚠ Falta categoría",IF(ISNA(MATCH(D1654,catNom,0)),"⚠ Categoría no existe",IF(E1654="","⚠ Falta cuenta",IF(ISNA(MATCH(E1654,ctaNom,0)),"⚠ Cuenta no existe",IF(AND(OR(I1654="Transferencia",I1654="Pago tarjeta"),G1654=""),"⚠ Indica la cuenta «Hacia»",IF(AND(G1654&lt;&gt;"",G1654=E1654),"⚠ «Hacia» igual a la cuenta",IF(AND(G1654&lt;&gt;"",ISNA(MATCH(G1654,ctaNom,0))),"⚠ «Hacia» no existe",IF(AND(I1654="Pago tarjeta",IFERROR(INDEX(ctaTipo,MATCH(G1654,ctaNom,0)),"")&lt;&gt;"Tarjeta de crédito"),"⚠ «Hacia» debe ser la tarjeta",IF(AND(I1654="Trading",IFERROR(INDEX(ctaTipo,MATCH(E1654,ctaNom,0)),"")&lt;&gt;"Cuenta de trading"),"⚠ Usa la cuenta de trading","✓"))))))))))))</f>
        <v/>
      </c>
      <c r="I1654" s="19">
        <f>IF(OR(B1654="",C1654="",D1654=""),"",IFERROR(INDEX(catTipo,MATCH(D1654,catNom,0))&amp;"",""))</f>
        <v/>
      </c>
      <c r="J1654" s="19">
        <f>IF(I1654="","",IFERROR(INDEX(catGrupo,MATCH(D1654,catNom,0))&amp;"",""))</f>
        <v/>
      </c>
      <c r="K1654" s="19">
        <f>IF(I1654="Gasto",IF(IFERROR(INDEX(catClas,MATCH(D1654,catNom,0))&amp;"","")="","Variable",IFERROR(INDEX(catClas,MATCH(D1654,catNom,0))&amp;"","")),"")</f>
        <v/>
      </c>
      <c r="L1654" s="19">
        <f>IF(I1654="","",IFERROR(INDEX(catAlim,MATCH(D1654,catNom,0))&amp;"",""))</f>
        <v/>
      </c>
      <c r="M1654" s="19">
        <f>IF(I1654="","",IFERROR(INDEX(catComida,MATCH(D1654,catNom,0))&amp;"",""))</f>
        <v/>
      </c>
      <c r="N1654" s="19">
        <f>IF(I1654="","",IFERROR(INDEX(ctaMon,MATCH(E1654,ctaNom,0))&amp;"","DOP"))</f>
        <v/>
      </c>
      <c r="O1654" s="20">
        <f>IF(I1654="","",C1654*IF(N1654="USD",TasaUSD,1))</f>
        <v/>
      </c>
      <c r="P1654" s="20">
        <f>IF(I1654="","",IF(I1654="Gasto",O1654,0))</f>
        <v/>
      </c>
      <c r="Q1654" s="20">
        <f>IF(I1654="","",IF(I1654="Ingreso",O1654,0))</f>
        <v/>
      </c>
      <c r="R1654" s="20">
        <f>IF(I1654="","",IF(I1654="Trading",O1654,0))</f>
        <v/>
      </c>
      <c r="S1654" s="19">
        <f>IF(I1654="","",IF(AND(I1654="Gasto",K1654="Variable",J1654&lt;&gt;"Trading",O1654&gt;0,O1654&lt;=Umbral),1,0))</f>
        <v/>
      </c>
      <c r="T1654" s="20">
        <f>IF(OR(I1654="",E1654=""),"",IF(OR(I1654="Gasto",I1654="Transferencia",I1654="Pago tarjeta"),-1,1)*C1654)</f>
        <v/>
      </c>
      <c r="U1654" s="20">
        <f>IF(OR(G1654="",AND(I1654&lt;&gt;"Transferencia",I1654&lt;&gt;"Pago tarjeta")),"",IF(IFERROR(INDEX(ctaMon,MATCH(G1654,ctaNom,0))&amp;"","DOP")=N1654,C1654,IF(N1654="USD",C1654*TasaUSD,C1654/TasaUSD)))</f>
        <v/>
      </c>
      <c r="V1654" s="20">
        <f>IF(I1654="","",IF(IFERROR(INDEX(ctaLiq,MATCH(E1654,ctaNom,0))="Sí",FALSE),IF(OR(I1654="Gasto",I1654="Transferencia",I1654="Pago tarjeta"),-1,1)*O1654,0)+IF(AND(U1654&lt;&gt;"",IFERROR(INDEX(ctaLiq,MATCH(G1654,ctaNom,0))="Sí",FALSE)),O1654,0))</f>
        <v/>
      </c>
      <c r="W1654" s="19">
        <f>IF(OR(F1654="",I1654=""),"",IF(COUNTIFS(F$6:F1654,F1654,I$6:I1654,"?*")=1,MAX(W$5:W1653)+1,""))</f>
        <v/>
      </c>
    </row>
    <row r="1655">
      <c r="B1655" s="15" t="n"/>
      <c r="C1655" s="16" t="n"/>
      <c r="D1655" s="17" t="n"/>
      <c r="E1655" s="17" t="n"/>
      <c r="F1655" s="17" t="n"/>
      <c r="G1655" s="17" t="n"/>
      <c r="H1655" s="18">
        <f>IF(AND(B1655="",C1655="",D1655="",E1655=""),"",IF(B1655="","⚠ Falta fecha",IF(C1655="","⚠ Falta monto",IF(D1655="","⚠ Falta categoría",IF(ISNA(MATCH(D1655,catNom,0)),"⚠ Categoría no existe",IF(E1655="","⚠ Falta cuenta",IF(ISNA(MATCH(E1655,ctaNom,0)),"⚠ Cuenta no existe",IF(AND(OR(I1655="Transferencia",I1655="Pago tarjeta"),G1655=""),"⚠ Indica la cuenta «Hacia»",IF(AND(G1655&lt;&gt;"",G1655=E1655),"⚠ «Hacia» igual a la cuenta",IF(AND(G1655&lt;&gt;"",ISNA(MATCH(G1655,ctaNom,0))),"⚠ «Hacia» no existe",IF(AND(I1655="Pago tarjeta",IFERROR(INDEX(ctaTipo,MATCH(G1655,ctaNom,0)),"")&lt;&gt;"Tarjeta de crédito"),"⚠ «Hacia» debe ser la tarjeta",IF(AND(I1655="Trading",IFERROR(INDEX(ctaTipo,MATCH(E1655,ctaNom,0)),"")&lt;&gt;"Cuenta de trading"),"⚠ Usa la cuenta de trading","✓"))))))))))))</f>
        <v/>
      </c>
      <c r="I1655" s="19">
        <f>IF(OR(B1655="",C1655="",D1655=""),"",IFERROR(INDEX(catTipo,MATCH(D1655,catNom,0))&amp;"",""))</f>
        <v/>
      </c>
      <c r="J1655" s="19">
        <f>IF(I1655="","",IFERROR(INDEX(catGrupo,MATCH(D1655,catNom,0))&amp;"",""))</f>
        <v/>
      </c>
      <c r="K1655" s="19">
        <f>IF(I1655="Gasto",IF(IFERROR(INDEX(catClas,MATCH(D1655,catNom,0))&amp;"","")="","Variable",IFERROR(INDEX(catClas,MATCH(D1655,catNom,0))&amp;"","")),"")</f>
        <v/>
      </c>
      <c r="L1655" s="19">
        <f>IF(I1655="","",IFERROR(INDEX(catAlim,MATCH(D1655,catNom,0))&amp;"",""))</f>
        <v/>
      </c>
      <c r="M1655" s="19">
        <f>IF(I1655="","",IFERROR(INDEX(catComida,MATCH(D1655,catNom,0))&amp;"",""))</f>
        <v/>
      </c>
      <c r="N1655" s="19">
        <f>IF(I1655="","",IFERROR(INDEX(ctaMon,MATCH(E1655,ctaNom,0))&amp;"","DOP"))</f>
        <v/>
      </c>
      <c r="O1655" s="20">
        <f>IF(I1655="","",C1655*IF(N1655="USD",TasaUSD,1))</f>
        <v/>
      </c>
      <c r="P1655" s="20">
        <f>IF(I1655="","",IF(I1655="Gasto",O1655,0))</f>
        <v/>
      </c>
      <c r="Q1655" s="20">
        <f>IF(I1655="","",IF(I1655="Ingreso",O1655,0))</f>
        <v/>
      </c>
      <c r="R1655" s="20">
        <f>IF(I1655="","",IF(I1655="Trading",O1655,0))</f>
        <v/>
      </c>
      <c r="S1655" s="19">
        <f>IF(I1655="","",IF(AND(I1655="Gasto",K1655="Variable",J1655&lt;&gt;"Trading",O1655&gt;0,O1655&lt;=Umbral),1,0))</f>
        <v/>
      </c>
      <c r="T1655" s="20">
        <f>IF(OR(I1655="",E1655=""),"",IF(OR(I1655="Gasto",I1655="Transferencia",I1655="Pago tarjeta"),-1,1)*C1655)</f>
        <v/>
      </c>
      <c r="U1655" s="20">
        <f>IF(OR(G1655="",AND(I1655&lt;&gt;"Transferencia",I1655&lt;&gt;"Pago tarjeta")),"",IF(IFERROR(INDEX(ctaMon,MATCH(G1655,ctaNom,0))&amp;"","DOP")=N1655,C1655,IF(N1655="USD",C1655*TasaUSD,C1655/TasaUSD)))</f>
        <v/>
      </c>
      <c r="V1655" s="20">
        <f>IF(I1655="","",IF(IFERROR(INDEX(ctaLiq,MATCH(E1655,ctaNom,0))="Sí",FALSE),IF(OR(I1655="Gasto",I1655="Transferencia",I1655="Pago tarjeta"),-1,1)*O1655,0)+IF(AND(U1655&lt;&gt;"",IFERROR(INDEX(ctaLiq,MATCH(G1655,ctaNom,0))="Sí",FALSE)),O1655,0))</f>
        <v/>
      </c>
      <c r="W1655" s="19">
        <f>IF(OR(F1655="",I1655=""),"",IF(COUNTIFS(F$6:F1655,F1655,I$6:I1655,"?*")=1,MAX(W$5:W1654)+1,""))</f>
        <v/>
      </c>
    </row>
    <row r="1656">
      <c r="B1656" s="15" t="n"/>
      <c r="C1656" s="16" t="n"/>
      <c r="D1656" s="17" t="n"/>
      <c r="E1656" s="17" t="n"/>
      <c r="F1656" s="17" t="n"/>
      <c r="G1656" s="17" t="n"/>
      <c r="H1656" s="18">
        <f>IF(AND(B1656="",C1656="",D1656="",E1656=""),"",IF(B1656="","⚠ Falta fecha",IF(C1656="","⚠ Falta monto",IF(D1656="","⚠ Falta categoría",IF(ISNA(MATCH(D1656,catNom,0)),"⚠ Categoría no existe",IF(E1656="","⚠ Falta cuenta",IF(ISNA(MATCH(E1656,ctaNom,0)),"⚠ Cuenta no existe",IF(AND(OR(I1656="Transferencia",I1656="Pago tarjeta"),G1656=""),"⚠ Indica la cuenta «Hacia»",IF(AND(G1656&lt;&gt;"",G1656=E1656),"⚠ «Hacia» igual a la cuenta",IF(AND(G1656&lt;&gt;"",ISNA(MATCH(G1656,ctaNom,0))),"⚠ «Hacia» no existe",IF(AND(I1656="Pago tarjeta",IFERROR(INDEX(ctaTipo,MATCH(G1656,ctaNom,0)),"")&lt;&gt;"Tarjeta de crédito"),"⚠ «Hacia» debe ser la tarjeta",IF(AND(I1656="Trading",IFERROR(INDEX(ctaTipo,MATCH(E1656,ctaNom,0)),"")&lt;&gt;"Cuenta de trading"),"⚠ Usa la cuenta de trading","✓"))))))))))))</f>
        <v/>
      </c>
      <c r="I1656" s="19">
        <f>IF(OR(B1656="",C1656="",D1656=""),"",IFERROR(INDEX(catTipo,MATCH(D1656,catNom,0))&amp;"",""))</f>
        <v/>
      </c>
      <c r="J1656" s="19">
        <f>IF(I1656="","",IFERROR(INDEX(catGrupo,MATCH(D1656,catNom,0))&amp;"",""))</f>
        <v/>
      </c>
      <c r="K1656" s="19">
        <f>IF(I1656="Gasto",IF(IFERROR(INDEX(catClas,MATCH(D1656,catNom,0))&amp;"","")="","Variable",IFERROR(INDEX(catClas,MATCH(D1656,catNom,0))&amp;"","")),"")</f>
        <v/>
      </c>
      <c r="L1656" s="19">
        <f>IF(I1656="","",IFERROR(INDEX(catAlim,MATCH(D1656,catNom,0))&amp;"",""))</f>
        <v/>
      </c>
      <c r="M1656" s="19">
        <f>IF(I1656="","",IFERROR(INDEX(catComida,MATCH(D1656,catNom,0))&amp;"",""))</f>
        <v/>
      </c>
      <c r="N1656" s="19">
        <f>IF(I1656="","",IFERROR(INDEX(ctaMon,MATCH(E1656,ctaNom,0))&amp;"","DOP"))</f>
        <v/>
      </c>
      <c r="O1656" s="20">
        <f>IF(I1656="","",C1656*IF(N1656="USD",TasaUSD,1))</f>
        <v/>
      </c>
      <c r="P1656" s="20">
        <f>IF(I1656="","",IF(I1656="Gasto",O1656,0))</f>
        <v/>
      </c>
      <c r="Q1656" s="20">
        <f>IF(I1656="","",IF(I1656="Ingreso",O1656,0))</f>
        <v/>
      </c>
      <c r="R1656" s="20">
        <f>IF(I1656="","",IF(I1656="Trading",O1656,0))</f>
        <v/>
      </c>
      <c r="S1656" s="19">
        <f>IF(I1656="","",IF(AND(I1656="Gasto",K1656="Variable",J1656&lt;&gt;"Trading",O1656&gt;0,O1656&lt;=Umbral),1,0))</f>
        <v/>
      </c>
      <c r="T1656" s="20">
        <f>IF(OR(I1656="",E1656=""),"",IF(OR(I1656="Gasto",I1656="Transferencia",I1656="Pago tarjeta"),-1,1)*C1656)</f>
        <v/>
      </c>
      <c r="U1656" s="20">
        <f>IF(OR(G1656="",AND(I1656&lt;&gt;"Transferencia",I1656&lt;&gt;"Pago tarjeta")),"",IF(IFERROR(INDEX(ctaMon,MATCH(G1656,ctaNom,0))&amp;"","DOP")=N1656,C1656,IF(N1656="USD",C1656*TasaUSD,C1656/TasaUSD)))</f>
        <v/>
      </c>
      <c r="V1656" s="20">
        <f>IF(I1656="","",IF(IFERROR(INDEX(ctaLiq,MATCH(E1656,ctaNom,0))="Sí",FALSE),IF(OR(I1656="Gasto",I1656="Transferencia",I1656="Pago tarjeta"),-1,1)*O1656,0)+IF(AND(U1656&lt;&gt;"",IFERROR(INDEX(ctaLiq,MATCH(G1656,ctaNom,0))="Sí",FALSE)),O1656,0))</f>
        <v/>
      </c>
      <c r="W1656" s="19">
        <f>IF(OR(F1656="",I1656=""),"",IF(COUNTIFS(F$6:F1656,F1656,I$6:I1656,"?*")=1,MAX(W$5:W1655)+1,""))</f>
        <v/>
      </c>
    </row>
    <row r="1657">
      <c r="B1657" s="15" t="n"/>
      <c r="C1657" s="16" t="n"/>
      <c r="D1657" s="17" t="n"/>
      <c r="E1657" s="17" t="n"/>
      <c r="F1657" s="17" t="n"/>
      <c r="G1657" s="17" t="n"/>
      <c r="H1657" s="18">
        <f>IF(AND(B1657="",C1657="",D1657="",E1657=""),"",IF(B1657="","⚠ Falta fecha",IF(C1657="","⚠ Falta monto",IF(D1657="","⚠ Falta categoría",IF(ISNA(MATCH(D1657,catNom,0)),"⚠ Categoría no existe",IF(E1657="","⚠ Falta cuenta",IF(ISNA(MATCH(E1657,ctaNom,0)),"⚠ Cuenta no existe",IF(AND(OR(I1657="Transferencia",I1657="Pago tarjeta"),G1657=""),"⚠ Indica la cuenta «Hacia»",IF(AND(G1657&lt;&gt;"",G1657=E1657),"⚠ «Hacia» igual a la cuenta",IF(AND(G1657&lt;&gt;"",ISNA(MATCH(G1657,ctaNom,0))),"⚠ «Hacia» no existe",IF(AND(I1657="Pago tarjeta",IFERROR(INDEX(ctaTipo,MATCH(G1657,ctaNom,0)),"")&lt;&gt;"Tarjeta de crédito"),"⚠ «Hacia» debe ser la tarjeta",IF(AND(I1657="Trading",IFERROR(INDEX(ctaTipo,MATCH(E1657,ctaNom,0)),"")&lt;&gt;"Cuenta de trading"),"⚠ Usa la cuenta de trading","✓"))))))))))))</f>
        <v/>
      </c>
      <c r="I1657" s="19">
        <f>IF(OR(B1657="",C1657="",D1657=""),"",IFERROR(INDEX(catTipo,MATCH(D1657,catNom,0))&amp;"",""))</f>
        <v/>
      </c>
      <c r="J1657" s="19">
        <f>IF(I1657="","",IFERROR(INDEX(catGrupo,MATCH(D1657,catNom,0))&amp;"",""))</f>
        <v/>
      </c>
      <c r="K1657" s="19">
        <f>IF(I1657="Gasto",IF(IFERROR(INDEX(catClas,MATCH(D1657,catNom,0))&amp;"","")="","Variable",IFERROR(INDEX(catClas,MATCH(D1657,catNom,0))&amp;"","")),"")</f>
        <v/>
      </c>
      <c r="L1657" s="19">
        <f>IF(I1657="","",IFERROR(INDEX(catAlim,MATCH(D1657,catNom,0))&amp;"",""))</f>
        <v/>
      </c>
      <c r="M1657" s="19">
        <f>IF(I1657="","",IFERROR(INDEX(catComida,MATCH(D1657,catNom,0))&amp;"",""))</f>
        <v/>
      </c>
      <c r="N1657" s="19">
        <f>IF(I1657="","",IFERROR(INDEX(ctaMon,MATCH(E1657,ctaNom,0))&amp;"","DOP"))</f>
        <v/>
      </c>
      <c r="O1657" s="20">
        <f>IF(I1657="","",C1657*IF(N1657="USD",TasaUSD,1))</f>
        <v/>
      </c>
      <c r="P1657" s="20">
        <f>IF(I1657="","",IF(I1657="Gasto",O1657,0))</f>
        <v/>
      </c>
      <c r="Q1657" s="20">
        <f>IF(I1657="","",IF(I1657="Ingreso",O1657,0))</f>
        <v/>
      </c>
      <c r="R1657" s="20">
        <f>IF(I1657="","",IF(I1657="Trading",O1657,0))</f>
        <v/>
      </c>
      <c r="S1657" s="19">
        <f>IF(I1657="","",IF(AND(I1657="Gasto",K1657="Variable",J1657&lt;&gt;"Trading",O1657&gt;0,O1657&lt;=Umbral),1,0))</f>
        <v/>
      </c>
      <c r="T1657" s="20">
        <f>IF(OR(I1657="",E1657=""),"",IF(OR(I1657="Gasto",I1657="Transferencia",I1657="Pago tarjeta"),-1,1)*C1657)</f>
        <v/>
      </c>
      <c r="U1657" s="20">
        <f>IF(OR(G1657="",AND(I1657&lt;&gt;"Transferencia",I1657&lt;&gt;"Pago tarjeta")),"",IF(IFERROR(INDEX(ctaMon,MATCH(G1657,ctaNom,0))&amp;"","DOP")=N1657,C1657,IF(N1657="USD",C1657*TasaUSD,C1657/TasaUSD)))</f>
        <v/>
      </c>
      <c r="V1657" s="20">
        <f>IF(I1657="","",IF(IFERROR(INDEX(ctaLiq,MATCH(E1657,ctaNom,0))="Sí",FALSE),IF(OR(I1657="Gasto",I1657="Transferencia",I1657="Pago tarjeta"),-1,1)*O1657,0)+IF(AND(U1657&lt;&gt;"",IFERROR(INDEX(ctaLiq,MATCH(G1657,ctaNom,0))="Sí",FALSE)),O1657,0))</f>
        <v/>
      </c>
      <c r="W1657" s="19">
        <f>IF(OR(F1657="",I1657=""),"",IF(COUNTIFS(F$6:F1657,F1657,I$6:I1657,"?*")=1,MAX(W$5:W1656)+1,""))</f>
        <v/>
      </c>
    </row>
    <row r="1658">
      <c r="B1658" s="15" t="n"/>
      <c r="C1658" s="16" t="n"/>
      <c r="D1658" s="17" t="n"/>
      <c r="E1658" s="17" t="n"/>
      <c r="F1658" s="17" t="n"/>
      <c r="G1658" s="17" t="n"/>
      <c r="H1658" s="18">
        <f>IF(AND(B1658="",C1658="",D1658="",E1658=""),"",IF(B1658="","⚠ Falta fecha",IF(C1658="","⚠ Falta monto",IF(D1658="","⚠ Falta categoría",IF(ISNA(MATCH(D1658,catNom,0)),"⚠ Categoría no existe",IF(E1658="","⚠ Falta cuenta",IF(ISNA(MATCH(E1658,ctaNom,0)),"⚠ Cuenta no existe",IF(AND(OR(I1658="Transferencia",I1658="Pago tarjeta"),G1658=""),"⚠ Indica la cuenta «Hacia»",IF(AND(G1658&lt;&gt;"",G1658=E1658),"⚠ «Hacia» igual a la cuenta",IF(AND(G1658&lt;&gt;"",ISNA(MATCH(G1658,ctaNom,0))),"⚠ «Hacia» no existe",IF(AND(I1658="Pago tarjeta",IFERROR(INDEX(ctaTipo,MATCH(G1658,ctaNom,0)),"")&lt;&gt;"Tarjeta de crédito"),"⚠ «Hacia» debe ser la tarjeta",IF(AND(I1658="Trading",IFERROR(INDEX(ctaTipo,MATCH(E1658,ctaNom,0)),"")&lt;&gt;"Cuenta de trading"),"⚠ Usa la cuenta de trading","✓"))))))))))))</f>
        <v/>
      </c>
      <c r="I1658" s="19">
        <f>IF(OR(B1658="",C1658="",D1658=""),"",IFERROR(INDEX(catTipo,MATCH(D1658,catNom,0))&amp;"",""))</f>
        <v/>
      </c>
      <c r="J1658" s="19">
        <f>IF(I1658="","",IFERROR(INDEX(catGrupo,MATCH(D1658,catNom,0))&amp;"",""))</f>
        <v/>
      </c>
      <c r="K1658" s="19">
        <f>IF(I1658="Gasto",IF(IFERROR(INDEX(catClas,MATCH(D1658,catNom,0))&amp;"","")="","Variable",IFERROR(INDEX(catClas,MATCH(D1658,catNom,0))&amp;"","")),"")</f>
        <v/>
      </c>
      <c r="L1658" s="19">
        <f>IF(I1658="","",IFERROR(INDEX(catAlim,MATCH(D1658,catNom,0))&amp;"",""))</f>
        <v/>
      </c>
      <c r="M1658" s="19">
        <f>IF(I1658="","",IFERROR(INDEX(catComida,MATCH(D1658,catNom,0))&amp;"",""))</f>
        <v/>
      </c>
      <c r="N1658" s="19">
        <f>IF(I1658="","",IFERROR(INDEX(ctaMon,MATCH(E1658,ctaNom,0))&amp;"","DOP"))</f>
        <v/>
      </c>
      <c r="O1658" s="20">
        <f>IF(I1658="","",C1658*IF(N1658="USD",TasaUSD,1))</f>
        <v/>
      </c>
      <c r="P1658" s="20">
        <f>IF(I1658="","",IF(I1658="Gasto",O1658,0))</f>
        <v/>
      </c>
      <c r="Q1658" s="20">
        <f>IF(I1658="","",IF(I1658="Ingreso",O1658,0))</f>
        <v/>
      </c>
      <c r="R1658" s="20">
        <f>IF(I1658="","",IF(I1658="Trading",O1658,0))</f>
        <v/>
      </c>
      <c r="S1658" s="19">
        <f>IF(I1658="","",IF(AND(I1658="Gasto",K1658="Variable",J1658&lt;&gt;"Trading",O1658&gt;0,O1658&lt;=Umbral),1,0))</f>
        <v/>
      </c>
      <c r="T1658" s="20">
        <f>IF(OR(I1658="",E1658=""),"",IF(OR(I1658="Gasto",I1658="Transferencia",I1658="Pago tarjeta"),-1,1)*C1658)</f>
        <v/>
      </c>
      <c r="U1658" s="20">
        <f>IF(OR(G1658="",AND(I1658&lt;&gt;"Transferencia",I1658&lt;&gt;"Pago tarjeta")),"",IF(IFERROR(INDEX(ctaMon,MATCH(G1658,ctaNom,0))&amp;"","DOP")=N1658,C1658,IF(N1658="USD",C1658*TasaUSD,C1658/TasaUSD)))</f>
        <v/>
      </c>
      <c r="V1658" s="20">
        <f>IF(I1658="","",IF(IFERROR(INDEX(ctaLiq,MATCH(E1658,ctaNom,0))="Sí",FALSE),IF(OR(I1658="Gasto",I1658="Transferencia",I1658="Pago tarjeta"),-1,1)*O1658,0)+IF(AND(U1658&lt;&gt;"",IFERROR(INDEX(ctaLiq,MATCH(G1658,ctaNom,0))="Sí",FALSE)),O1658,0))</f>
        <v/>
      </c>
      <c r="W1658" s="19">
        <f>IF(OR(F1658="",I1658=""),"",IF(COUNTIFS(F$6:F1658,F1658,I$6:I1658,"?*")=1,MAX(W$5:W1657)+1,""))</f>
        <v/>
      </c>
    </row>
    <row r="1659">
      <c r="B1659" s="15" t="n"/>
      <c r="C1659" s="16" t="n"/>
      <c r="D1659" s="17" t="n"/>
      <c r="E1659" s="17" t="n"/>
      <c r="F1659" s="17" t="n"/>
      <c r="G1659" s="17" t="n"/>
      <c r="H1659" s="18">
        <f>IF(AND(B1659="",C1659="",D1659="",E1659=""),"",IF(B1659="","⚠ Falta fecha",IF(C1659="","⚠ Falta monto",IF(D1659="","⚠ Falta categoría",IF(ISNA(MATCH(D1659,catNom,0)),"⚠ Categoría no existe",IF(E1659="","⚠ Falta cuenta",IF(ISNA(MATCH(E1659,ctaNom,0)),"⚠ Cuenta no existe",IF(AND(OR(I1659="Transferencia",I1659="Pago tarjeta"),G1659=""),"⚠ Indica la cuenta «Hacia»",IF(AND(G1659&lt;&gt;"",G1659=E1659),"⚠ «Hacia» igual a la cuenta",IF(AND(G1659&lt;&gt;"",ISNA(MATCH(G1659,ctaNom,0))),"⚠ «Hacia» no existe",IF(AND(I1659="Pago tarjeta",IFERROR(INDEX(ctaTipo,MATCH(G1659,ctaNom,0)),"")&lt;&gt;"Tarjeta de crédito"),"⚠ «Hacia» debe ser la tarjeta",IF(AND(I1659="Trading",IFERROR(INDEX(ctaTipo,MATCH(E1659,ctaNom,0)),"")&lt;&gt;"Cuenta de trading"),"⚠ Usa la cuenta de trading","✓"))))))))))))</f>
        <v/>
      </c>
      <c r="I1659" s="19">
        <f>IF(OR(B1659="",C1659="",D1659=""),"",IFERROR(INDEX(catTipo,MATCH(D1659,catNom,0))&amp;"",""))</f>
        <v/>
      </c>
      <c r="J1659" s="19">
        <f>IF(I1659="","",IFERROR(INDEX(catGrupo,MATCH(D1659,catNom,0))&amp;"",""))</f>
        <v/>
      </c>
      <c r="K1659" s="19">
        <f>IF(I1659="Gasto",IF(IFERROR(INDEX(catClas,MATCH(D1659,catNom,0))&amp;"","")="","Variable",IFERROR(INDEX(catClas,MATCH(D1659,catNom,0))&amp;"","")),"")</f>
        <v/>
      </c>
      <c r="L1659" s="19">
        <f>IF(I1659="","",IFERROR(INDEX(catAlim,MATCH(D1659,catNom,0))&amp;"",""))</f>
        <v/>
      </c>
      <c r="M1659" s="19">
        <f>IF(I1659="","",IFERROR(INDEX(catComida,MATCH(D1659,catNom,0))&amp;"",""))</f>
        <v/>
      </c>
      <c r="N1659" s="19">
        <f>IF(I1659="","",IFERROR(INDEX(ctaMon,MATCH(E1659,ctaNom,0))&amp;"","DOP"))</f>
        <v/>
      </c>
      <c r="O1659" s="20">
        <f>IF(I1659="","",C1659*IF(N1659="USD",TasaUSD,1))</f>
        <v/>
      </c>
      <c r="P1659" s="20">
        <f>IF(I1659="","",IF(I1659="Gasto",O1659,0))</f>
        <v/>
      </c>
      <c r="Q1659" s="20">
        <f>IF(I1659="","",IF(I1659="Ingreso",O1659,0))</f>
        <v/>
      </c>
      <c r="R1659" s="20">
        <f>IF(I1659="","",IF(I1659="Trading",O1659,0))</f>
        <v/>
      </c>
      <c r="S1659" s="19">
        <f>IF(I1659="","",IF(AND(I1659="Gasto",K1659="Variable",J1659&lt;&gt;"Trading",O1659&gt;0,O1659&lt;=Umbral),1,0))</f>
        <v/>
      </c>
      <c r="T1659" s="20">
        <f>IF(OR(I1659="",E1659=""),"",IF(OR(I1659="Gasto",I1659="Transferencia",I1659="Pago tarjeta"),-1,1)*C1659)</f>
        <v/>
      </c>
      <c r="U1659" s="20">
        <f>IF(OR(G1659="",AND(I1659&lt;&gt;"Transferencia",I1659&lt;&gt;"Pago tarjeta")),"",IF(IFERROR(INDEX(ctaMon,MATCH(G1659,ctaNom,0))&amp;"","DOP")=N1659,C1659,IF(N1659="USD",C1659*TasaUSD,C1659/TasaUSD)))</f>
        <v/>
      </c>
      <c r="V1659" s="20">
        <f>IF(I1659="","",IF(IFERROR(INDEX(ctaLiq,MATCH(E1659,ctaNom,0))="Sí",FALSE),IF(OR(I1659="Gasto",I1659="Transferencia",I1659="Pago tarjeta"),-1,1)*O1659,0)+IF(AND(U1659&lt;&gt;"",IFERROR(INDEX(ctaLiq,MATCH(G1659,ctaNom,0))="Sí",FALSE)),O1659,0))</f>
        <v/>
      </c>
      <c r="W1659" s="19">
        <f>IF(OR(F1659="",I1659=""),"",IF(COUNTIFS(F$6:F1659,F1659,I$6:I1659,"?*")=1,MAX(W$5:W1658)+1,""))</f>
        <v/>
      </c>
    </row>
    <row r="1660">
      <c r="B1660" s="15" t="n"/>
      <c r="C1660" s="16" t="n"/>
      <c r="D1660" s="17" t="n"/>
      <c r="E1660" s="17" t="n"/>
      <c r="F1660" s="17" t="n"/>
      <c r="G1660" s="17" t="n"/>
      <c r="H1660" s="18">
        <f>IF(AND(B1660="",C1660="",D1660="",E1660=""),"",IF(B1660="","⚠ Falta fecha",IF(C1660="","⚠ Falta monto",IF(D1660="","⚠ Falta categoría",IF(ISNA(MATCH(D1660,catNom,0)),"⚠ Categoría no existe",IF(E1660="","⚠ Falta cuenta",IF(ISNA(MATCH(E1660,ctaNom,0)),"⚠ Cuenta no existe",IF(AND(OR(I1660="Transferencia",I1660="Pago tarjeta"),G1660=""),"⚠ Indica la cuenta «Hacia»",IF(AND(G1660&lt;&gt;"",G1660=E1660),"⚠ «Hacia» igual a la cuenta",IF(AND(G1660&lt;&gt;"",ISNA(MATCH(G1660,ctaNom,0))),"⚠ «Hacia» no existe",IF(AND(I1660="Pago tarjeta",IFERROR(INDEX(ctaTipo,MATCH(G1660,ctaNom,0)),"")&lt;&gt;"Tarjeta de crédito"),"⚠ «Hacia» debe ser la tarjeta",IF(AND(I1660="Trading",IFERROR(INDEX(ctaTipo,MATCH(E1660,ctaNom,0)),"")&lt;&gt;"Cuenta de trading"),"⚠ Usa la cuenta de trading","✓"))))))))))))</f>
        <v/>
      </c>
      <c r="I1660" s="19">
        <f>IF(OR(B1660="",C1660="",D1660=""),"",IFERROR(INDEX(catTipo,MATCH(D1660,catNom,0))&amp;"",""))</f>
        <v/>
      </c>
      <c r="J1660" s="19">
        <f>IF(I1660="","",IFERROR(INDEX(catGrupo,MATCH(D1660,catNom,0))&amp;"",""))</f>
        <v/>
      </c>
      <c r="K1660" s="19">
        <f>IF(I1660="Gasto",IF(IFERROR(INDEX(catClas,MATCH(D1660,catNom,0))&amp;"","")="","Variable",IFERROR(INDEX(catClas,MATCH(D1660,catNom,0))&amp;"","")),"")</f>
        <v/>
      </c>
      <c r="L1660" s="19">
        <f>IF(I1660="","",IFERROR(INDEX(catAlim,MATCH(D1660,catNom,0))&amp;"",""))</f>
        <v/>
      </c>
      <c r="M1660" s="19">
        <f>IF(I1660="","",IFERROR(INDEX(catComida,MATCH(D1660,catNom,0))&amp;"",""))</f>
        <v/>
      </c>
      <c r="N1660" s="19">
        <f>IF(I1660="","",IFERROR(INDEX(ctaMon,MATCH(E1660,ctaNom,0))&amp;"","DOP"))</f>
        <v/>
      </c>
      <c r="O1660" s="20">
        <f>IF(I1660="","",C1660*IF(N1660="USD",TasaUSD,1))</f>
        <v/>
      </c>
      <c r="P1660" s="20">
        <f>IF(I1660="","",IF(I1660="Gasto",O1660,0))</f>
        <v/>
      </c>
      <c r="Q1660" s="20">
        <f>IF(I1660="","",IF(I1660="Ingreso",O1660,0))</f>
        <v/>
      </c>
      <c r="R1660" s="20">
        <f>IF(I1660="","",IF(I1660="Trading",O1660,0))</f>
        <v/>
      </c>
      <c r="S1660" s="19">
        <f>IF(I1660="","",IF(AND(I1660="Gasto",K1660="Variable",J1660&lt;&gt;"Trading",O1660&gt;0,O1660&lt;=Umbral),1,0))</f>
        <v/>
      </c>
      <c r="T1660" s="20">
        <f>IF(OR(I1660="",E1660=""),"",IF(OR(I1660="Gasto",I1660="Transferencia",I1660="Pago tarjeta"),-1,1)*C1660)</f>
        <v/>
      </c>
      <c r="U1660" s="20">
        <f>IF(OR(G1660="",AND(I1660&lt;&gt;"Transferencia",I1660&lt;&gt;"Pago tarjeta")),"",IF(IFERROR(INDEX(ctaMon,MATCH(G1660,ctaNom,0))&amp;"","DOP")=N1660,C1660,IF(N1660="USD",C1660*TasaUSD,C1660/TasaUSD)))</f>
        <v/>
      </c>
      <c r="V1660" s="20">
        <f>IF(I1660="","",IF(IFERROR(INDEX(ctaLiq,MATCH(E1660,ctaNom,0))="Sí",FALSE),IF(OR(I1660="Gasto",I1660="Transferencia",I1660="Pago tarjeta"),-1,1)*O1660,0)+IF(AND(U1660&lt;&gt;"",IFERROR(INDEX(ctaLiq,MATCH(G1660,ctaNom,0))="Sí",FALSE)),O1660,0))</f>
        <v/>
      </c>
      <c r="W1660" s="19">
        <f>IF(OR(F1660="",I1660=""),"",IF(COUNTIFS(F$6:F1660,F1660,I$6:I1660,"?*")=1,MAX(W$5:W1659)+1,""))</f>
        <v/>
      </c>
    </row>
    <row r="1661">
      <c r="B1661" s="15" t="n"/>
      <c r="C1661" s="16" t="n"/>
      <c r="D1661" s="17" t="n"/>
      <c r="E1661" s="17" t="n"/>
      <c r="F1661" s="17" t="n"/>
      <c r="G1661" s="17" t="n"/>
      <c r="H1661" s="18">
        <f>IF(AND(B1661="",C1661="",D1661="",E1661=""),"",IF(B1661="","⚠ Falta fecha",IF(C1661="","⚠ Falta monto",IF(D1661="","⚠ Falta categoría",IF(ISNA(MATCH(D1661,catNom,0)),"⚠ Categoría no existe",IF(E1661="","⚠ Falta cuenta",IF(ISNA(MATCH(E1661,ctaNom,0)),"⚠ Cuenta no existe",IF(AND(OR(I1661="Transferencia",I1661="Pago tarjeta"),G1661=""),"⚠ Indica la cuenta «Hacia»",IF(AND(G1661&lt;&gt;"",G1661=E1661),"⚠ «Hacia» igual a la cuenta",IF(AND(G1661&lt;&gt;"",ISNA(MATCH(G1661,ctaNom,0))),"⚠ «Hacia» no existe",IF(AND(I1661="Pago tarjeta",IFERROR(INDEX(ctaTipo,MATCH(G1661,ctaNom,0)),"")&lt;&gt;"Tarjeta de crédito"),"⚠ «Hacia» debe ser la tarjeta",IF(AND(I1661="Trading",IFERROR(INDEX(ctaTipo,MATCH(E1661,ctaNom,0)),"")&lt;&gt;"Cuenta de trading"),"⚠ Usa la cuenta de trading","✓"))))))))))))</f>
        <v/>
      </c>
      <c r="I1661" s="19">
        <f>IF(OR(B1661="",C1661="",D1661=""),"",IFERROR(INDEX(catTipo,MATCH(D1661,catNom,0))&amp;"",""))</f>
        <v/>
      </c>
      <c r="J1661" s="19">
        <f>IF(I1661="","",IFERROR(INDEX(catGrupo,MATCH(D1661,catNom,0))&amp;"",""))</f>
        <v/>
      </c>
      <c r="K1661" s="19">
        <f>IF(I1661="Gasto",IF(IFERROR(INDEX(catClas,MATCH(D1661,catNom,0))&amp;"","")="","Variable",IFERROR(INDEX(catClas,MATCH(D1661,catNom,0))&amp;"","")),"")</f>
        <v/>
      </c>
      <c r="L1661" s="19">
        <f>IF(I1661="","",IFERROR(INDEX(catAlim,MATCH(D1661,catNom,0))&amp;"",""))</f>
        <v/>
      </c>
      <c r="M1661" s="19">
        <f>IF(I1661="","",IFERROR(INDEX(catComida,MATCH(D1661,catNom,0))&amp;"",""))</f>
        <v/>
      </c>
      <c r="N1661" s="19">
        <f>IF(I1661="","",IFERROR(INDEX(ctaMon,MATCH(E1661,ctaNom,0))&amp;"","DOP"))</f>
        <v/>
      </c>
      <c r="O1661" s="20">
        <f>IF(I1661="","",C1661*IF(N1661="USD",TasaUSD,1))</f>
        <v/>
      </c>
      <c r="P1661" s="20">
        <f>IF(I1661="","",IF(I1661="Gasto",O1661,0))</f>
        <v/>
      </c>
      <c r="Q1661" s="20">
        <f>IF(I1661="","",IF(I1661="Ingreso",O1661,0))</f>
        <v/>
      </c>
      <c r="R1661" s="20">
        <f>IF(I1661="","",IF(I1661="Trading",O1661,0))</f>
        <v/>
      </c>
      <c r="S1661" s="19">
        <f>IF(I1661="","",IF(AND(I1661="Gasto",K1661="Variable",J1661&lt;&gt;"Trading",O1661&gt;0,O1661&lt;=Umbral),1,0))</f>
        <v/>
      </c>
      <c r="T1661" s="20">
        <f>IF(OR(I1661="",E1661=""),"",IF(OR(I1661="Gasto",I1661="Transferencia",I1661="Pago tarjeta"),-1,1)*C1661)</f>
        <v/>
      </c>
      <c r="U1661" s="20">
        <f>IF(OR(G1661="",AND(I1661&lt;&gt;"Transferencia",I1661&lt;&gt;"Pago tarjeta")),"",IF(IFERROR(INDEX(ctaMon,MATCH(G1661,ctaNom,0))&amp;"","DOP")=N1661,C1661,IF(N1661="USD",C1661*TasaUSD,C1661/TasaUSD)))</f>
        <v/>
      </c>
      <c r="V1661" s="20">
        <f>IF(I1661="","",IF(IFERROR(INDEX(ctaLiq,MATCH(E1661,ctaNom,0))="Sí",FALSE),IF(OR(I1661="Gasto",I1661="Transferencia",I1661="Pago tarjeta"),-1,1)*O1661,0)+IF(AND(U1661&lt;&gt;"",IFERROR(INDEX(ctaLiq,MATCH(G1661,ctaNom,0))="Sí",FALSE)),O1661,0))</f>
        <v/>
      </c>
      <c r="W1661" s="19">
        <f>IF(OR(F1661="",I1661=""),"",IF(COUNTIFS(F$6:F1661,F1661,I$6:I1661,"?*")=1,MAX(W$5:W1660)+1,""))</f>
        <v/>
      </c>
    </row>
    <row r="1662">
      <c r="B1662" s="15" t="n"/>
      <c r="C1662" s="16" t="n"/>
      <c r="D1662" s="17" t="n"/>
      <c r="E1662" s="17" t="n"/>
      <c r="F1662" s="17" t="n"/>
      <c r="G1662" s="17" t="n"/>
      <c r="H1662" s="18">
        <f>IF(AND(B1662="",C1662="",D1662="",E1662=""),"",IF(B1662="","⚠ Falta fecha",IF(C1662="","⚠ Falta monto",IF(D1662="","⚠ Falta categoría",IF(ISNA(MATCH(D1662,catNom,0)),"⚠ Categoría no existe",IF(E1662="","⚠ Falta cuenta",IF(ISNA(MATCH(E1662,ctaNom,0)),"⚠ Cuenta no existe",IF(AND(OR(I1662="Transferencia",I1662="Pago tarjeta"),G1662=""),"⚠ Indica la cuenta «Hacia»",IF(AND(G1662&lt;&gt;"",G1662=E1662),"⚠ «Hacia» igual a la cuenta",IF(AND(G1662&lt;&gt;"",ISNA(MATCH(G1662,ctaNom,0))),"⚠ «Hacia» no existe",IF(AND(I1662="Pago tarjeta",IFERROR(INDEX(ctaTipo,MATCH(G1662,ctaNom,0)),"")&lt;&gt;"Tarjeta de crédito"),"⚠ «Hacia» debe ser la tarjeta",IF(AND(I1662="Trading",IFERROR(INDEX(ctaTipo,MATCH(E1662,ctaNom,0)),"")&lt;&gt;"Cuenta de trading"),"⚠ Usa la cuenta de trading","✓"))))))))))))</f>
        <v/>
      </c>
      <c r="I1662" s="19">
        <f>IF(OR(B1662="",C1662="",D1662=""),"",IFERROR(INDEX(catTipo,MATCH(D1662,catNom,0))&amp;"",""))</f>
        <v/>
      </c>
      <c r="J1662" s="19">
        <f>IF(I1662="","",IFERROR(INDEX(catGrupo,MATCH(D1662,catNom,0))&amp;"",""))</f>
        <v/>
      </c>
      <c r="K1662" s="19">
        <f>IF(I1662="Gasto",IF(IFERROR(INDEX(catClas,MATCH(D1662,catNom,0))&amp;"","")="","Variable",IFERROR(INDEX(catClas,MATCH(D1662,catNom,0))&amp;"","")),"")</f>
        <v/>
      </c>
      <c r="L1662" s="19">
        <f>IF(I1662="","",IFERROR(INDEX(catAlim,MATCH(D1662,catNom,0))&amp;"",""))</f>
        <v/>
      </c>
      <c r="M1662" s="19">
        <f>IF(I1662="","",IFERROR(INDEX(catComida,MATCH(D1662,catNom,0))&amp;"",""))</f>
        <v/>
      </c>
      <c r="N1662" s="19">
        <f>IF(I1662="","",IFERROR(INDEX(ctaMon,MATCH(E1662,ctaNom,0))&amp;"","DOP"))</f>
        <v/>
      </c>
      <c r="O1662" s="20">
        <f>IF(I1662="","",C1662*IF(N1662="USD",TasaUSD,1))</f>
        <v/>
      </c>
      <c r="P1662" s="20">
        <f>IF(I1662="","",IF(I1662="Gasto",O1662,0))</f>
        <v/>
      </c>
      <c r="Q1662" s="20">
        <f>IF(I1662="","",IF(I1662="Ingreso",O1662,0))</f>
        <v/>
      </c>
      <c r="R1662" s="20">
        <f>IF(I1662="","",IF(I1662="Trading",O1662,0))</f>
        <v/>
      </c>
      <c r="S1662" s="19">
        <f>IF(I1662="","",IF(AND(I1662="Gasto",K1662="Variable",J1662&lt;&gt;"Trading",O1662&gt;0,O1662&lt;=Umbral),1,0))</f>
        <v/>
      </c>
      <c r="T1662" s="20">
        <f>IF(OR(I1662="",E1662=""),"",IF(OR(I1662="Gasto",I1662="Transferencia",I1662="Pago tarjeta"),-1,1)*C1662)</f>
        <v/>
      </c>
      <c r="U1662" s="20">
        <f>IF(OR(G1662="",AND(I1662&lt;&gt;"Transferencia",I1662&lt;&gt;"Pago tarjeta")),"",IF(IFERROR(INDEX(ctaMon,MATCH(G1662,ctaNom,0))&amp;"","DOP")=N1662,C1662,IF(N1662="USD",C1662*TasaUSD,C1662/TasaUSD)))</f>
        <v/>
      </c>
      <c r="V1662" s="20">
        <f>IF(I1662="","",IF(IFERROR(INDEX(ctaLiq,MATCH(E1662,ctaNom,0))="Sí",FALSE),IF(OR(I1662="Gasto",I1662="Transferencia",I1662="Pago tarjeta"),-1,1)*O1662,0)+IF(AND(U1662&lt;&gt;"",IFERROR(INDEX(ctaLiq,MATCH(G1662,ctaNom,0))="Sí",FALSE)),O1662,0))</f>
        <v/>
      </c>
      <c r="W1662" s="19">
        <f>IF(OR(F1662="",I1662=""),"",IF(COUNTIFS(F$6:F1662,F1662,I$6:I1662,"?*")=1,MAX(W$5:W1661)+1,""))</f>
        <v/>
      </c>
    </row>
    <row r="1663">
      <c r="B1663" s="15" t="n"/>
      <c r="C1663" s="16" t="n"/>
      <c r="D1663" s="17" t="n"/>
      <c r="E1663" s="17" t="n"/>
      <c r="F1663" s="17" t="n"/>
      <c r="G1663" s="17" t="n"/>
      <c r="H1663" s="18">
        <f>IF(AND(B1663="",C1663="",D1663="",E1663=""),"",IF(B1663="","⚠ Falta fecha",IF(C1663="","⚠ Falta monto",IF(D1663="","⚠ Falta categoría",IF(ISNA(MATCH(D1663,catNom,0)),"⚠ Categoría no existe",IF(E1663="","⚠ Falta cuenta",IF(ISNA(MATCH(E1663,ctaNom,0)),"⚠ Cuenta no existe",IF(AND(OR(I1663="Transferencia",I1663="Pago tarjeta"),G1663=""),"⚠ Indica la cuenta «Hacia»",IF(AND(G1663&lt;&gt;"",G1663=E1663),"⚠ «Hacia» igual a la cuenta",IF(AND(G1663&lt;&gt;"",ISNA(MATCH(G1663,ctaNom,0))),"⚠ «Hacia» no existe",IF(AND(I1663="Pago tarjeta",IFERROR(INDEX(ctaTipo,MATCH(G1663,ctaNom,0)),"")&lt;&gt;"Tarjeta de crédito"),"⚠ «Hacia» debe ser la tarjeta",IF(AND(I1663="Trading",IFERROR(INDEX(ctaTipo,MATCH(E1663,ctaNom,0)),"")&lt;&gt;"Cuenta de trading"),"⚠ Usa la cuenta de trading","✓"))))))))))))</f>
        <v/>
      </c>
      <c r="I1663" s="19">
        <f>IF(OR(B1663="",C1663="",D1663=""),"",IFERROR(INDEX(catTipo,MATCH(D1663,catNom,0))&amp;"",""))</f>
        <v/>
      </c>
      <c r="J1663" s="19">
        <f>IF(I1663="","",IFERROR(INDEX(catGrupo,MATCH(D1663,catNom,0))&amp;"",""))</f>
        <v/>
      </c>
      <c r="K1663" s="19">
        <f>IF(I1663="Gasto",IF(IFERROR(INDEX(catClas,MATCH(D1663,catNom,0))&amp;"","")="","Variable",IFERROR(INDEX(catClas,MATCH(D1663,catNom,0))&amp;"","")),"")</f>
        <v/>
      </c>
      <c r="L1663" s="19">
        <f>IF(I1663="","",IFERROR(INDEX(catAlim,MATCH(D1663,catNom,0))&amp;"",""))</f>
        <v/>
      </c>
      <c r="M1663" s="19">
        <f>IF(I1663="","",IFERROR(INDEX(catComida,MATCH(D1663,catNom,0))&amp;"",""))</f>
        <v/>
      </c>
      <c r="N1663" s="19">
        <f>IF(I1663="","",IFERROR(INDEX(ctaMon,MATCH(E1663,ctaNom,0))&amp;"","DOP"))</f>
        <v/>
      </c>
      <c r="O1663" s="20">
        <f>IF(I1663="","",C1663*IF(N1663="USD",TasaUSD,1))</f>
        <v/>
      </c>
      <c r="P1663" s="20">
        <f>IF(I1663="","",IF(I1663="Gasto",O1663,0))</f>
        <v/>
      </c>
      <c r="Q1663" s="20">
        <f>IF(I1663="","",IF(I1663="Ingreso",O1663,0))</f>
        <v/>
      </c>
      <c r="R1663" s="20">
        <f>IF(I1663="","",IF(I1663="Trading",O1663,0))</f>
        <v/>
      </c>
      <c r="S1663" s="19">
        <f>IF(I1663="","",IF(AND(I1663="Gasto",K1663="Variable",J1663&lt;&gt;"Trading",O1663&gt;0,O1663&lt;=Umbral),1,0))</f>
        <v/>
      </c>
      <c r="T1663" s="20">
        <f>IF(OR(I1663="",E1663=""),"",IF(OR(I1663="Gasto",I1663="Transferencia",I1663="Pago tarjeta"),-1,1)*C1663)</f>
        <v/>
      </c>
      <c r="U1663" s="20">
        <f>IF(OR(G1663="",AND(I1663&lt;&gt;"Transferencia",I1663&lt;&gt;"Pago tarjeta")),"",IF(IFERROR(INDEX(ctaMon,MATCH(G1663,ctaNom,0))&amp;"","DOP")=N1663,C1663,IF(N1663="USD",C1663*TasaUSD,C1663/TasaUSD)))</f>
        <v/>
      </c>
      <c r="V1663" s="20">
        <f>IF(I1663="","",IF(IFERROR(INDEX(ctaLiq,MATCH(E1663,ctaNom,0))="Sí",FALSE),IF(OR(I1663="Gasto",I1663="Transferencia",I1663="Pago tarjeta"),-1,1)*O1663,0)+IF(AND(U1663&lt;&gt;"",IFERROR(INDEX(ctaLiq,MATCH(G1663,ctaNom,0))="Sí",FALSE)),O1663,0))</f>
        <v/>
      </c>
      <c r="W1663" s="19">
        <f>IF(OR(F1663="",I1663=""),"",IF(COUNTIFS(F$6:F1663,F1663,I$6:I1663,"?*")=1,MAX(W$5:W1662)+1,""))</f>
        <v/>
      </c>
    </row>
    <row r="1664">
      <c r="B1664" s="15" t="n"/>
      <c r="C1664" s="16" t="n"/>
      <c r="D1664" s="17" t="n"/>
      <c r="E1664" s="17" t="n"/>
      <c r="F1664" s="17" t="n"/>
      <c r="G1664" s="17" t="n"/>
      <c r="H1664" s="18">
        <f>IF(AND(B1664="",C1664="",D1664="",E1664=""),"",IF(B1664="","⚠ Falta fecha",IF(C1664="","⚠ Falta monto",IF(D1664="","⚠ Falta categoría",IF(ISNA(MATCH(D1664,catNom,0)),"⚠ Categoría no existe",IF(E1664="","⚠ Falta cuenta",IF(ISNA(MATCH(E1664,ctaNom,0)),"⚠ Cuenta no existe",IF(AND(OR(I1664="Transferencia",I1664="Pago tarjeta"),G1664=""),"⚠ Indica la cuenta «Hacia»",IF(AND(G1664&lt;&gt;"",G1664=E1664),"⚠ «Hacia» igual a la cuenta",IF(AND(G1664&lt;&gt;"",ISNA(MATCH(G1664,ctaNom,0))),"⚠ «Hacia» no existe",IF(AND(I1664="Pago tarjeta",IFERROR(INDEX(ctaTipo,MATCH(G1664,ctaNom,0)),"")&lt;&gt;"Tarjeta de crédito"),"⚠ «Hacia» debe ser la tarjeta",IF(AND(I1664="Trading",IFERROR(INDEX(ctaTipo,MATCH(E1664,ctaNom,0)),"")&lt;&gt;"Cuenta de trading"),"⚠ Usa la cuenta de trading","✓"))))))))))))</f>
        <v/>
      </c>
      <c r="I1664" s="19">
        <f>IF(OR(B1664="",C1664="",D1664=""),"",IFERROR(INDEX(catTipo,MATCH(D1664,catNom,0))&amp;"",""))</f>
        <v/>
      </c>
      <c r="J1664" s="19">
        <f>IF(I1664="","",IFERROR(INDEX(catGrupo,MATCH(D1664,catNom,0))&amp;"",""))</f>
        <v/>
      </c>
      <c r="K1664" s="19">
        <f>IF(I1664="Gasto",IF(IFERROR(INDEX(catClas,MATCH(D1664,catNom,0))&amp;"","")="","Variable",IFERROR(INDEX(catClas,MATCH(D1664,catNom,0))&amp;"","")),"")</f>
        <v/>
      </c>
      <c r="L1664" s="19">
        <f>IF(I1664="","",IFERROR(INDEX(catAlim,MATCH(D1664,catNom,0))&amp;"",""))</f>
        <v/>
      </c>
      <c r="M1664" s="19">
        <f>IF(I1664="","",IFERROR(INDEX(catComida,MATCH(D1664,catNom,0))&amp;"",""))</f>
        <v/>
      </c>
      <c r="N1664" s="19">
        <f>IF(I1664="","",IFERROR(INDEX(ctaMon,MATCH(E1664,ctaNom,0))&amp;"","DOP"))</f>
        <v/>
      </c>
      <c r="O1664" s="20">
        <f>IF(I1664="","",C1664*IF(N1664="USD",TasaUSD,1))</f>
        <v/>
      </c>
      <c r="P1664" s="20">
        <f>IF(I1664="","",IF(I1664="Gasto",O1664,0))</f>
        <v/>
      </c>
      <c r="Q1664" s="20">
        <f>IF(I1664="","",IF(I1664="Ingreso",O1664,0))</f>
        <v/>
      </c>
      <c r="R1664" s="20">
        <f>IF(I1664="","",IF(I1664="Trading",O1664,0))</f>
        <v/>
      </c>
      <c r="S1664" s="19">
        <f>IF(I1664="","",IF(AND(I1664="Gasto",K1664="Variable",J1664&lt;&gt;"Trading",O1664&gt;0,O1664&lt;=Umbral),1,0))</f>
        <v/>
      </c>
      <c r="T1664" s="20">
        <f>IF(OR(I1664="",E1664=""),"",IF(OR(I1664="Gasto",I1664="Transferencia",I1664="Pago tarjeta"),-1,1)*C1664)</f>
        <v/>
      </c>
      <c r="U1664" s="20">
        <f>IF(OR(G1664="",AND(I1664&lt;&gt;"Transferencia",I1664&lt;&gt;"Pago tarjeta")),"",IF(IFERROR(INDEX(ctaMon,MATCH(G1664,ctaNom,0))&amp;"","DOP")=N1664,C1664,IF(N1664="USD",C1664*TasaUSD,C1664/TasaUSD)))</f>
        <v/>
      </c>
      <c r="V1664" s="20">
        <f>IF(I1664="","",IF(IFERROR(INDEX(ctaLiq,MATCH(E1664,ctaNom,0))="Sí",FALSE),IF(OR(I1664="Gasto",I1664="Transferencia",I1664="Pago tarjeta"),-1,1)*O1664,0)+IF(AND(U1664&lt;&gt;"",IFERROR(INDEX(ctaLiq,MATCH(G1664,ctaNom,0))="Sí",FALSE)),O1664,0))</f>
        <v/>
      </c>
      <c r="W1664" s="19">
        <f>IF(OR(F1664="",I1664=""),"",IF(COUNTIFS(F$6:F1664,F1664,I$6:I1664,"?*")=1,MAX(W$5:W1663)+1,""))</f>
        <v/>
      </c>
    </row>
    <row r="1665">
      <c r="B1665" s="15" t="n"/>
      <c r="C1665" s="16" t="n"/>
      <c r="D1665" s="17" t="n"/>
      <c r="E1665" s="17" t="n"/>
      <c r="F1665" s="17" t="n"/>
      <c r="G1665" s="17" t="n"/>
      <c r="H1665" s="18">
        <f>IF(AND(B1665="",C1665="",D1665="",E1665=""),"",IF(B1665="","⚠ Falta fecha",IF(C1665="","⚠ Falta monto",IF(D1665="","⚠ Falta categoría",IF(ISNA(MATCH(D1665,catNom,0)),"⚠ Categoría no existe",IF(E1665="","⚠ Falta cuenta",IF(ISNA(MATCH(E1665,ctaNom,0)),"⚠ Cuenta no existe",IF(AND(OR(I1665="Transferencia",I1665="Pago tarjeta"),G1665=""),"⚠ Indica la cuenta «Hacia»",IF(AND(G1665&lt;&gt;"",G1665=E1665),"⚠ «Hacia» igual a la cuenta",IF(AND(G1665&lt;&gt;"",ISNA(MATCH(G1665,ctaNom,0))),"⚠ «Hacia» no existe",IF(AND(I1665="Pago tarjeta",IFERROR(INDEX(ctaTipo,MATCH(G1665,ctaNom,0)),"")&lt;&gt;"Tarjeta de crédito"),"⚠ «Hacia» debe ser la tarjeta",IF(AND(I1665="Trading",IFERROR(INDEX(ctaTipo,MATCH(E1665,ctaNom,0)),"")&lt;&gt;"Cuenta de trading"),"⚠ Usa la cuenta de trading","✓"))))))))))))</f>
        <v/>
      </c>
      <c r="I1665" s="19">
        <f>IF(OR(B1665="",C1665="",D1665=""),"",IFERROR(INDEX(catTipo,MATCH(D1665,catNom,0))&amp;"",""))</f>
        <v/>
      </c>
      <c r="J1665" s="19">
        <f>IF(I1665="","",IFERROR(INDEX(catGrupo,MATCH(D1665,catNom,0))&amp;"",""))</f>
        <v/>
      </c>
      <c r="K1665" s="19">
        <f>IF(I1665="Gasto",IF(IFERROR(INDEX(catClas,MATCH(D1665,catNom,0))&amp;"","")="","Variable",IFERROR(INDEX(catClas,MATCH(D1665,catNom,0))&amp;"","")),"")</f>
        <v/>
      </c>
      <c r="L1665" s="19">
        <f>IF(I1665="","",IFERROR(INDEX(catAlim,MATCH(D1665,catNom,0))&amp;"",""))</f>
        <v/>
      </c>
      <c r="M1665" s="19">
        <f>IF(I1665="","",IFERROR(INDEX(catComida,MATCH(D1665,catNom,0))&amp;"",""))</f>
        <v/>
      </c>
      <c r="N1665" s="19">
        <f>IF(I1665="","",IFERROR(INDEX(ctaMon,MATCH(E1665,ctaNom,0))&amp;"","DOP"))</f>
        <v/>
      </c>
      <c r="O1665" s="20">
        <f>IF(I1665="","",C1665*IF(N1665="USD",TasaUSD,1))</f>
        <v/>
      </c>
      <c r="P1665" s="20">
        <f>IF(I1665="","",IF(I1665="Gasto",O1665,0))</f>
        <v/>
      </c>
      <c r="Q1665" s="20">
        <f>IF(I1665="","",IF(I1665="Ingreso",O1665,0))</f>
        <v/>
      </c>
      <c r="R1665" s="20">
        <f>IF(I1665="","",IF(I1665="Trading",O1665,0))</f>
        <v/>
      </c>
      <c r="S1665" s="19">
        <f>IF(I1665="","",IF(AND(I1665="Gasto",K1665="Variable",J1665&lt;&gt;"Trading",O1665&gt;0,O1665&lt;=Umbral),1,0))</f>
        <v/>
      </c>
      <c r="T1665" s="20">
        <f>IF(OR(I1665="",E1665=""),"",IF(OR(I1665="Gasto",I1665="Transferencia",I1665="Pago tarjeta"),-1,1)*C1665)</f>
        <v/>
      </c>
      <c r="U1665" s="20">
        <f>IF(OR(G1665="",AND(I1665&lt;&gt;"Transferencia",I1665&lt;&gt;"Pago tarjeta")),"",IF(IFERROR(INDEX(ctaMon,MATCH(G1665,ctaNom,0))&amp;"","DOP")=N1665,C1665,IF(N1665="USD",C1665*TasaUSD,C1665/TasaUSD)))</f>
        <v/>
      </c>
      <c r="V1665" s="20">
        <f>IF(I1665="","",IF(IFERROR(INDEX(ctaLiq,MATCH(E1665,ctaNom,0))="Sí",FALSE),IF(OR(I1665="Gasto",I1665="Transferencia",I1665="Pago tarjeta"),-1,1)*O1665,0)+IF(AND(U1665&lt;&gt;"",IFERROR(INDEX(ctaLiq,MATCH(G1665,ctaNom,0))="Sí",FALSE)),O1665,0))</f>
        <v/>
      </c>
      <c r="W1665" s="19">
        <f>IF(OR(F1665="",I1665=""),"",IF(COUNTIFS(F$6:F1665,F1665,I$6:I1665,"?*")=1,MAX(W$5:W1664)+1,""))</f>
        <v/>
      </c>
    </row>
    <row r="1666">
      <c r="B1666" s="15" t="n"/>
      <c r="C1666" s="16" t="n"/>
      <c r="D1666" s="17" t="n"/>
      <c r="E1666" s="17" t="n"/>
      <c r="F1666" s="17" t="n"/>
      <c r="G1666" s="17" t="n"/>
      <c r="H1666" s="18">
        <f>IF(AND(B1666="",C1666="",D1666="",E1666=""),"",IF(B1666="","⚠ Falta fecha",IF(C1666="","⚠ Falta monto",IF(D1666="","⚠ Falta categoría",IF(ISNA(MATCH(D1666,catNom,0)),"⚠ Categoría no existe",IF(E1666="","⚠ Falta cuenta",IF(ISNA(MATCH(E1666,ctaNom,0)),"⚠ Cuenta no existe",IF(AND(OR(I1666="Transferencia",I1666="Pago tarjeta"),G1666=""),"⚠ Indica la cuenta «Hacia»",IF(AND(G1666&lt;&gt;"",G1666=E1666),"⚠ «Hacia» igual a la cuenta",IF(AND(G1666&lt;&gt;"",ISNA(MATCH(G1666,ctaNom,0))),"⚠ «Hacia» no existe",IF(AND(I1666="Pago tarjeta",IFERROR(INDEX(ctaTipo,MATCH(G1666,ctaNom,0)),"")&lt;&gt;"Tarjeta de crédito"),"⚠ «Hacia» debe ser la tarjeta",IF(AND(I1666="Trading",IFERROR(INDEX(ctaTipo,MATCH(E1666,ctaNom,0)),"")&lt;&gt;"Cuenta de trading"),"⚠ Usa la cuenta de trading","✓"))))))))))))</f>
        <v/>
      </c>
      <c r="I1666" s="19">
        <f>IF(OR(B1666="",C1666="",D1666=""),"",IFERROR(INDEX(catTipo,MATCH(D1666,catNom,0))&amp;"",""))</f>
        <v/>
      </c>
      <c r="J1666" s="19">
        <f>IF(I1666="","",IFERROR(INDEX(catGrupo,MATCH(D1666,catNom,0))&amp;"",""))</f>
        <v/>
      </c>
      <c r="K1666" s="19">
        <f>IF(I1666="Gasto",IF(IFERROR(INDEX(catClas,MATCH(D1666,catNom,0))&amp;"","")="","Variable",IFERROR(INDEX(catClas,MATCH(D1666,catNom,0))&amp;"","")),"")</f>
        <v/>
      </c>
      <c r="L1666" s="19">
        <f>IF(I1666="","",IFERROR(INDEX(catAlim,MATCH(D1666,catNom,0))&amp;"",""))</f>
        <v/>
      </c>
      <c r="M1666" s="19">
        <f>IF(I1666="","",IFERROR(INDEX(catComida,MATCH(D1666,catNom,0))&amp;"",""))</f>
        <v/>
      </c>
      <c r="N1666" s="19">
        <f>IF(I1666="","",IFERROR(INDEX(ctaMon,MATCH(E1666,ctaNom,0))&amp;"","DOP"))</f>
        <v/>
      </c>
      <c r="O1666" s="20">
        <f>IF(I1666="","",C1666*IF(N1666="USD",TasaUSD,1))</f>
        <v/>
      </c>
      <c r="P1666" s="20">
        <f>IF(I1666="","",IF(I1666="Gasto",O1666,0))</f>
        <v/>
      </c>
      <c r="Q1666" s="20">
        <f>IF(I1666="","",IF(I1666="Ingreso",O1666,0))</f>
        <v/>
      </c>
      <c r="R1666" s="20">
        <f>IF(I1666="","",IF(I1666="Trading",O1666,0))</f>
        <v/>
      </c>
      <c r="S1666" s="19">
        <f>IF(I1666="","",IF(AND(I1666="Gasto",K1666="Variable",J1666&lt;&gt;"Trading",O1666&gt;0,O1666&lt;=Umbral),1,0))</f>
        <v/>
      </c>
      <c r="T1666" s="20">
        <f>IF(OR(I1666="",E1666=""),"",IF(OR(I1666="Gasto",I1666="Transferencia",I1666="Pago tarjeta"),-1,1)*C1666)</f>
        <v/>
      </c>
      <c r="U1666" s="20">
        <f>IF(OR(G1666="",AND(I1666&lt;&gt;"Transferencia",I1666&lt;&gt;"Pago tarjeta")),"",IF(IFERROR(INDEX(ctaMon,MATCH(G1666,ctaNom,0))&amp;"","DOP")=N1666,C1666,IF(N1666="USD",C1666*TasaUSD,C1666/TasaUSD)))</f>
        <v/>
      </c>
      <c r="V1666" s="20">
        <f>IF(I1666="","",IF(IFERROR(INDEX(ctaLiq,MATCH(E1666,ctaNom,0))="Sí",FALSE),IF(OR(I1666="Gasto",I1666="Transferencia",I1666="Pago tarjeta"),-1,1)*O1666,0)+IF(AND(U1666&lt;&gt;"",IFERROR(INDEX(ctaLiq,MATCH(G1666,ctaNom,0))="Sí",FALSE)),O1666,0))</f>
        <v/>
      </c>
      <c r="W1666" s="19">
        <f>IF(OR(F1666="",I1666=""),"",IF(COUNTIFS(F$6:F1666,F1666,I$6:I1666,"?*")=1,MAX(W$5:W1665)+1,""))</f>
        <v/>
      </c>
    </row>
    <row r="1667">
      <c r="B1667" s="15" t="n"/>
      <c r="C1667" s="16" t="n"/>
      <c r="D1667" s="17" t="n"/>
      <c r="E1667" s="17" t="n"/>
      <c r="F1667" s="17" t="n"/>
      <c r="G1667" s="17" t="n"/>
      <c r="H1667" s="18">
        <f>IF(AND(B1667="",C1667="",D1667="",E1667=""),"",IF(B1667="","⚠ Falta fecha",IF(C1667="","⚠ Falta monto",IF(D1667="","⚠ Falta categoría",IF(ISNA(MATCH(D1667,catNom,0)),"⚠ Categoría no existe",IF(E1667="","⚠ Falta cuenta",IF(ISNA(MATCH(E1667,ctaNom,0)),"⚠ Cuenta no existe",IF(AND(OR(I1667="Transferencia",I1667="Pago tarjeta"),G1667=""),"⚠ Indica la cuenta «Hacia»",IF(AND(G1667&lt;&gt;"",G1667=E1667),"⚠ «Hacia» igual a la cuenta",IF(AND(G1667&lt;&gt;"",ISNA(MATCH(G1667,ctaNom,0))),"⚠ «Hacia» no existe",IF(AND(I1667="Pago tarjeta",IFERROR(INDEX(ctaTipo,MATCH(G1667,ctaNom,0)),"")&lt;&gt;"Tarjeta de crédito"),"⚠ «Hacia» debe ser la tarjeta",IF(AND(I1667="Trading",IFERROR(INDEX(ctaTipo,MATCH(E1667,ctaNom,0)),"")&lt;&gt;"Cuenta de trading"),"⚠ Usa la cuenta de trading","✓"))))))))))))</f>
        <v/>
      </c>
      <c r="I1667" s="19">
        <f>IF(OR(B1667="",C1667="",D1667=""),"",IFERROR(INDEX(catTipo,MATCH(D1667,catNom,0))&amp;"",""))</f>
        <v/>
      </c>
      <c r="J1667" s="19">
        <f>IF(I1667="","",IFERROR(INDEX(catGrupo,MATCH(D1667,catNom,0))&amp;"",""))</f>
        <v/>
      </c>
      <c r="K1667" s="19">
        <f>IF(I1667="Gasto",IF(IFERROR(INDEX(catClas,MATCH(D1667,catNom,0))&amp;"","")="","Variable",IFERROR(INDEX(catClas,MATCH(D1667,catNom,0))&amp;"","")),"")</f>
        <v/>
      </c>
      <c r="L1667" s="19">
        <f>IF(I1667="","",IFERROR(INDEX(catAlim,MATCH(D1667,catNom,0))&amp;"",""))</f>
        <v/>
      </c>
      <c r="M1667" s="19">
        <f>IF(I1667="","",IFERROR(INDEX(catComida,MATCH(D1667,catNom,0))&amp;"",""))</f>
        <v/>
      </c>
      <c r="N1667" s="19">
        <f>IF(I1667="","",IFERROR(INDEX(ctaMon,MATCH(E1667,ctaNom,0))&amp;"","DOP"))</f>
        <v/>
      </c>
      <c r="O1667" s="20">
        <f>IF(I1667="","",C1667*IF(N1667="USD",TasaUSD,1))</f>
        <v/>
      </c>
      <c r="P1667" s="20">
        <f>IF(I1667="","",IF(I1667="Gasto",O1667,0))</f>
        <v/>
      </c>
      <c r="Q1667" s="20">
        <f>IF(I1667="","",IF(I1667="Ingreso",O1667,0))</f>
        <v/>
      </c>
      <c r="R1667" s="20">
        <f>IF(I1667="","",IF(I1667="Trading",O1667,0))</f>
        <v/>
      </c>
      <c r="S1667" s="19">
        <f>IF(I1667="","",IF(AND(I1667="Gasto",K1667="Variable",J1667&lt;&gt;"Trading",O1667&gt;0,O1667&lt;=Umbral),1,0))</f>
        <v/>
      </c>
      <c r="T1667" s="20">
        <f>IF(OR(I1667="",E1667=""),"",IF(OR(I1667="Gasto",I1667="Transferencia",I1667="Pago tarjeta"),-1,1)*C1667)</f>
        <v/>
      </c>
      <c r="U1667" s="20">
        <f>IF(OR(G1667="",AND(I1667&lt;&gt;"Transferencia",I1667&lt;&gt;"Pago tarjeta")),"",IF(IFERROR(INDEX(ctaMon,MATCH(G1667,ctaNom,0))&amp;"","DOP")=N1667,C1667,IF(N1667="USD",C1667*TasaUSD,C1667/TasaUSD)))</f>
        <v/>
      </c>
      <c r="V1667" s="20">
        <f>IF(I1667="","",IF(IFERROR(INDEX(ctaLiq,MATCH(E1667,ctaNom,0))="Sí",FALSE),IF(OR(I1667="Gasto",I1667="Transferencia",I1667="Pago tarjeta"),-1,1)*O1667,0)+IF(AND(U1667&lt;&gt;"",IFERROR(INDEX(ctaLiq,MATCH(G1667,ctaNom,0))="Sí",FALSE)),O1667,0))</f>
        <v/>
      </c>
      <c r="W1667" s="19">
        <f>IF(OR(F1667="",I1667=""),"",IF(COUNTIFS(F$6:F1667,F1667,I$6:I1667,"?*")=1,MAX(W$5:W1666)+1,""))</f>
        <v/>
      </c>
    </row>
    <row r="1668">
      <c r="B1668" s="15" t="n"/>
      <c r="C1668" s="16" t="n"/>
      <c r="D1668" s="17" t="n"/>
      <c r="E1668" s="17" t="n"/>
      <c r="F1668" s="17" t="n"/>
      <c r="G1668" s="17" t="n"/>
      <c r="H1668" s="18">
        <f>IF(AND(B1668="",C1668="",D1668="",E1668=""),"",IF(B1668="","⚠ Falta fecha",IF(C1668="","⚠ Falta monto",IF(D1668="","⚠ Falta categoría",IF(ISNA(MATCH(D1668,catNom,0)),"⚠ Categoría no existe",IF(E1668="","⚠ Falta cuenta",IF(ISNA(MATCH(E1668,ctaNom,0)),"⚠ Cuenta no existe",IF(AND(OR(I1668="Transferencia",I1668="Pago tarjeta"),G1668=""),"⚠ Indica la cuenta «Hacia»",IF(AND(G1668&lt;&gt;"",G1668=E1668),"⚠ «Hacia» igual a la cuenta",IF(AND(G1668&lt;&gt;"",ISNA(MATCH(G1668,ctaNom,0))),"⚠ «Hacia» no existe",IF(AND(I1668="Pago tarjeta",IFERROR(INDEX(ctaTipo,MATCH(G1668,ctaNom,0)),"")&lt;&gt;"Tarjeta de crédito"),"⚠ «Hacia» debe ser la tarjeta",IF(AND(I1668="Trading",IFERROR(INDEX(ctaTipo,MATCH(E1668,ctaNom,0)),"")&lt;&gt;"Cuenta de trading"),"⚠ Usa la cuenta de trading","✓"))))))))))))</f>
        <v/>
      </c>
      <c r="I1668" s="19">
        <f>IF(OR(B1668="",C1668="",D1668=""),"",IFERROR(INDEX(catTipo,MATCH(D1668,catNom,0))&amp;"",""))</f>
        <v/>
      </c>
      <c r="J1668" s="19">
        <f>IF(I1668="","",IFERROR(INDEX(catGrupo,MATCH(D1668,catNom,0))&amp;"",""))</f>
        <v/>
      </c>
      <c r="K1668" s="19">
        <f>IF(I1668="Gasto",IF(IFERROR(INDEX(catClas,MATCH(D1668,catNom,0))&amp;"","")="","Variable",IFERROR(INDEX(catClas,MATCH(D1668,catNom,0))&amp;"","")),"")</f>
        <v/>
      </c>
      <c r="L1668" s="19">
        <f>IF(I1668="","",IFERROR(INDEX(catAlim,MATCH(D1668,catNom,0))&amp;"",""))</f>
        <v/>
      </c>
      <c r="M1668" s="19">
        <f>IF(I1668="","",IFERROR(INDEX(catComida,MATCH(D1668,catNom,0))&amp;"",""))</f>
        <v/>
      </c>
      <c r="N1668" s="19">
        <f>IF(I1668="","",IFERROR(INDEX(ctaMon,MATCH(E1668,ctaNom,0))&amp;"","DOP"))</f>
        <v/>
      </c>
      <c r="O1668" s="20">
        <f>IF(I1668="","",C1668*IF(N1668="USD",TasaUSD,1))</f>
        <v/>
      </c>
      <c r="P1668" s="20">
        <f>IF(I1668="","",IF(I1668="Gasto",O1668,0))</f>
        <v/>
      </c>
      <c r="Q1668" s="20">
        <f>IF(I1668="","",IF(I1668="Ingreso",O1668,0))</f>
        <v/>
      </c>
      <c r="R1668" s="20">
        <f>IF(I1668="","",IF(I1668="Trading",O1668,0))</f>
        <v/>
      </c>
      <c r="S1668" s="19">
        <f>IF(I1668="","",IF(AND(I1668="Gasto",K1668="Variable",J1668&lt;&gt;"Trading",O1668&gt;0,O1668&lt;=Umbral),1,0))</f>
        <v/>
      </c>
      <c r="T1668" s="20">
        <f>IF(OR(I1668="",E1668=""),"",IF(OR(I1668="Gasto",I1668="Transferencia",I1668="Pago tarjeta"),-1,1)*C1668)</f>
        <v/>
      </c>
      <c r="U1668" s="20">
        <f>IF(OR(G1668="",AND(I1668&lt;&gt;"Transferencia",I1668&lt;&gt;"Pago tarjeta")),"",IF(IFERROR(INDEX(ctaMon,MATCH(G1668,ctaNom,0))&amp;"","DOP")=N1668,C1668,IF(N1668="USD",C1668*TasaUSD,C1668/TasaUSD)))</f>
        <v/>
      </c>
      <c r="V1668" s="20">
        <f>IF(I1668="","",IF(IFERROR(INDEX(ctaLiq,MATCH(E1668,ctaNom,0))="Sí",FALSE),IF(OR(I1668="Gasto",I1668="Transferencia",I1668="Pago tarjeta"),-1,1)*O1668,0)+IF(AND(U1668&lt;&gt;"",IFERROR(INDEX(ctaLiq,MATCH(G1668,ctaNom,0))="Sí",FALSE)),O1668,0))</f>
        <v/>
      </c>
      <c r="W1668" s="19">
        <f>IF(OR(F1668="",I1668=""),"",IF(COUNTIFS(F$6:F1668,F1668,I$6:I1668,"?*")=1,MAX(W$5:W1667)+1,""))</f>
        <v/>
      </c>
    </row>
    <row r="1669">
      <c r="B1669" s="15" t="n"/>
      <c r="C1669" s="16" t="n"/>
      <c r="D1669" s="17" t="n"/>
      <c r="E1669" s="17" t="n"/>
      <c r="F1669" s="17" t="n"/>
      <c r="G1669" s="17" t="n"/>
      <c r="H1669" s="18">
        <f>IF(AND(B1669="",C1669="",D1669="",E1669=""),"",IF(B1669="","⚠ Falta fecha",IF(C1669="","⚠ Falta monto",IF(D1669="","⚠ Falta categoría",IF(ISNA(MATCH(D1669,catNom,0)),"⚠ Categoría no existe",IF(E1669="","⚠ Falta cuenta",IF(ISNA(MATCH(E1669,ctaNom,0)),"⚠ Cuenta no existe",IF(AND(OR(I1669="Transferencia",I1669="Pago tarjeta"),G1669=""),"⚠ Indica la cuenta «Hacia»",IF(AND(G1669&lt;&gt;"",G1669=E1669),"⚠ «Hacia» igual a la cuenta",IF(AND(G1669&lt;&gt;"",ISNA(MATCH(G1669,ctaNom,0))),"⚠ «Hacia» no existe",IF(AND(I1669="Pago tarjeta",IFERROR(INDEX(ctaTipo,MATCH(G1669,ctaNom,0)),"")&lt;&gt;"Tarjeta de crédito"),"⚠ «Hacia» debe ser la tarjeta",IF(AND(I1669="Trading",IFERROR(INDEX(ctaTipo,MATCH(E1669,ctaNom,0)),"")&lt;&gt;"Cuenta de trading"),"⚠ Usa la cuenta de trading","✓"))))))))))))</f>
        <v/>
      </c>
      <c r="I1669" s="19">
        <f>IF(OR(B1669="",C1669="",D1669=""),"",IFERROR(INDEX(catTipo,MATCH(D1669,catNom,0))&amp;"",""))</f>
        <v/>
      </c>
      <c r="J1669" s="19">
        <f>IF(I1669="","",IFERROR(INDEX(catGrupo,MATCH(D1669,catNom,0))&amp;"",""))</f>
        <v/>
      </c>
      <c r="K1669" s="19">
        <f>IF(I1669="Gasto",IF(IFERROR(INDEX(catClas,MATCH(D1669,catNom,0))&amp;"","")="","Variable",IFERROR(INDEX(catClas,MATCH(D1669,catNom,0))&amp;"","")),"")</f>
        <v/>
      </c>
      <c r="L1669" s="19">
        <f>IF(I1669="","",IFERROR(INDEX(catAlim,MATCH(D1669,catNom,0))&amp;"",""))</f>
        <v/>
      </c>
      <c r="M1669" s="19">
        <f>IF(I1669="","",IFERROR(INDEX(catComida,MATCH(D1669,catNom,0))&amp;"",""))</f>
        <v/>
      </c>
      <c r="N1669" s="19">
        <f>IF(I1669="","",IFERROR(INDEX(ctaMon,MATCH(E1669,ctaNom,0))&amp;"","DOP"))</f>
        <v/>
      </c>
      <c r="O1669" s="20">
        <f>IF(I1669="","",C1669*IF(N1669="USD",TasaUSD,1))</f>
        <v/>
      </c>
      <c r="P1669" s="20">
        <f>IF(I1669="","",IF(I1669="Gasto",O1669,0))</f>
        <v/>
      </c>
      <c r="Q1669" s="20">
        <f>IF(I1669="","",IF(I1669="Ingreso",O1669,0))</f>
        <v/>
      </c>
      <c r="R1669" s="20">
        <f>IF(I1669="","",IF(I1669="Trading",O1669,0))</f>
        <v/>
      </c>
      <c r="S1669" s="19">
        <f>IF(I1669="","",IF(AND(I1669="Gasto",K1669="Variable",J1669&lt;&gt;"Trading",O1669&gt;0,O1669&lt;=Umbral),1,0))</f>
        <v/>
      </c>
      <c r="T1669" s="20">
        <f>IF(OR(I1669="",E1669=""),"",IF(OR(I1669="Gasto",I1669="Transferencia",I1669="Pago tarjeta"),-1,1)*C1669)</f>
        <v/>
      </c>
      <c r="U1669" s="20">
        <f>IF(OR(G1669="",AND(I1669&lt;&gt;"Transferencia",I1669&lt;&gt;"Pago tarjeta")),"",IF(IFERROR(INDEX(ctaMon,MATCH(G1669,ctaNom,0))&amp;"","DOP")=N1669,C1669,IF(N1669="USD",C1669*TasaUSD,C1669/TasaUSD)))</f>
        <v/>
      </c>
      <c r="V1669" s="20">
        <f>IF(I1669="","",IF(IFERROR(INDEX(ctaLiq,MATCH(E1669,ctaNom,0))="Sí",FALSE),IF(OR(I1669="Gasto",I1669="Transferencia",I1669="Pago tarjeta"),-1,1)*O1669,0)+IF(AND(U1669&lt;&gt;"",IFERROR(INDEX(ctaLiq,MATCH(G1669,ctaNom,0))="Sí",FALSE)),O1669,0))</f>
        <v/>
      </c>
      <c r="W1669" s="19">
        <f>IF(OR(F1669="",I1669=""),"",IF(COUNTIFS(F$6:F1669,F1669,I$6:I1669,"?*")=1,MAX(W$5:W1668)+1,""))</f>
        <v/>
      </c>
    </row>
    <row r="1670">
      <c r="B1670" s="15" t="n"/>
      <c r="C1670" s="16" t="n"/>
      <c r="D1670" s="17" t="n"/>
      <c r="E1670" s="17" t="n"/>
      <c r="F1670" s="17" t="n"/>
      <c r="G1670" s="17" t="n"/>
      <c r="H1670" s="18">
        <f>IF(AND(B1670="",C1670="",D1670="",E1670=""),"",IF(B1670="","⚠ Falta fecha",IF(C1670="","⚠ Falta monto",IF(D1670="","⚠ Falta categoría",IF(ISNA(MATCH(D1670,catNom,0)),"⚠ Categoría no existe",IF(E1670="","⚠ Falta cuenta",IF(ISNA(MATCH(E1670,ctaNom,0)),"⚠ Cuenta no existe",IF(AND(OR(I1670="Transferencia",I1670="Pago tarjeta"),G1670=""),"⚠ Indica la cuenta «Hacia»",IF(AND(G1670&lt;&gt;"",G1670=E1670),"⚠ «Hacia» igual a la cuenta",IF(AND(G1670&lt;&gt;"",ISNA(MATCH(G1670,ctaNom,0))),"⚠ «Hacia» no existe",IF(AND(I1670="Pago tarjeta",IFERROR(INDEX(ctaTipo,MATCH(G1670,ctaNom,0)),"")&lt;&gt;"Tarjeta de crédito"),"⚠ «Hacia» debe ser la tarjeta",IF(AND(I1670="Trading",IFERROR(INDEX(ctaTipo,MATCH(E1670,ctaNom,0)),"")&lt;&gt;"Cuenta de trading"),"⚠ Usa la cuenta de trading","✓"))))))))))))</f>
        <v/>
      </c>
      <c r="I1670" s="19">
        <f>IF(OR(B1670="",C1670="",D1670=""),"",IFERROR(INDEX(catTipo,MATCH(D1670,catNom,0))&amp;"",""))</f>
        <v/>
      </c>
      <c r="J1670" s="19">
        <f>IF(I1670="","",IFERROR(INDEX(catGrupo,MATCH(D1670,catNom,0))&amp;"",""))</f>
        <v/>
      </c>
      <c r="K1670" s="19">
        <f>IF(I1670="Gasto",IF(IFERROR(INDEX(catClas,MATCH(D1670,catNom,0))&amp;"","")="","Variable",IFERROR(INDEX(catClas,MATCH(D1670,catNom,0))&amp;"","")),"")</f>
        <v/>
      </c>
      <c r="L1670" s="19">
        <f>IF(I1670="","",IFERROR(INDEX(catAlim,MATCH(D1670,catNom,0))&amp;"",""))</f>
        <v/>
      </c>
      <c r="M1670" s="19">
        <f>IF(I1670="","",IFERROR(INDEX(catComida,MATCH(D1670,catNom,0))&amp;"",""))</f>
        <v/>
      </c>
      <c r="N1670" s="19">
        <f>IF(I1670="","",IFERROR(INDEX(ctaMon,MATCH(E1670,ctaNom,0))&amp;"","DOP"))</f>
        <v/>
      </c>
      <c r="O1670" s="20">
        <f>IF(I1670="","",C1670*IF(N1670="USD",TasaUSD,1))</f>
        <v/>
      </c>
      <c r="P1670" s="20">
        <f>IF(I1670="","",IF(I1670="Gasto",O1670,0))</f>
        <v/>
      </c>
      <c r="Q1670" s="20">
        <f>IF(I1670="","",IF(I1670="Ingreso",O1670,0))</f>
        <v/>
      </c>
      <c r="R1670" s="20">
        <f>IF(I1670="","",IF(I1670="Trading",O1670,0))</f>
        <v/>
      </c>
      <c r="S1670" s="19">
        <f>IF(I1670="","",IF(AND(I1670="Gasto",K1670="Variable",J1670&lt;&gt;"Trading",O1670&gt;0,O1670&lt;=Umbral),1,0))</f>
        <v/>
      </c>
      <c r="T1670" s="20">
        <f>IF(OR(I1670="",E1670=""),"",IF(OR(I1670="Gasto",I1670="Transferencia",I1670="Pago tarjeta"),-1,1)*C1670)</f>
        <v/>
      </c>
      <c r="U1670" s="20">
        <f>IF(OR(G1670="",AND(I1670&lt;&gt;"Transferencia",I1670&lt;&gt;"Pago tarjeta")),"",IF(IFERROR(INDEX(ctaMon,MATCH(G1670,ctaNom,0))&amp;"","DOP")=N1670,C1670,IF(N1670="USD",C1670*TasaUSD,C1670/TasaUSD)))</f>
        <v/>
      </c>
      <c r="V1670" s="20">
        <f>IF(I1670="","",IF(IFERROR(INDEX(ctaLiq,MATCH(E1670,ctaNom,0))="Sí",FALSE),IF(OR(I1670="Gasto",I1670="Transferencia",I1670="Pago tarjeta"),-1,1)*O1670,0)+IF(AND(U1670&lt;&gt;"",IFERROR(INDEX(ctaLiq,MATCH(G1670,ctaNom,0))="Sí",FALSE)),O1670,0))</f>
        <v/>
      </c>
      <c r="W1670" s="19">
        <f>IF(OR(F1670="",I1670=""),"",IF(COUNTIFS(F$6:F1670,F1670,I$6:I1670,"?*")=1,MAX(W$5:W1669)+1,""))</f>
        <v/>
      </c>
    </row>
    <row r="1671">
      <c r="B1671" s="15" t="n"/>
      <c r="C1671" s="16" t="n"/>
      <c r="D1671" s="17" t="n"/>
      <c r="E1671" s="17" t="n"/>
      <c r="F1671" s="17" t="n"/>
      <c r="G1671" s="17" t="n"/>
      <c r="H1671" s="18">
        <f>IF(AND(B1671="",C1671="",D1671="",E1671=""),"",IF(B1671="","⚠ Falta fecha",IF(C1671="","⚠ Falta monto",IF(D1671="","⚠ Falta categoría",IF(ISNA(MATCH(D1671,catNom,0)),"⚠ Categoría no existe",IF(E1671="","⚠ Falta cuenta",IF(ISNA(MATCH(E1671,ctaNom,0)),"⚠ Cuenta no existe",IF(AND(OR(I1671="Transferencia",I1671="Pago tarjeta"),G1671=""),"⚠ Indica la cuenta «Hacia»",IF(AND(G1671&lt;&gt;"",G1671=E1671),"⚠ «Hacia» igual a la cuenta",IF(AND(G1671&lt;&gt;"",ISNA(MATCH(G1671,ctaNom,0))),"⚠ «Hacia» no existe",IF(AND(I1671="Pago tarjeta",IFERROR(INDEX(ctaTipo,MATCH(G1671,ctaNom,0)),"")&lt;&gt;"Tarjeta de crédito"),"⚠ «Hacia» debe ser la tarjeta",IF(AND(I1671="Trading",IFERROR(INDEX(ctaTipo,MATCH(E1671,ctaNom,0)),"")&lt;&gt;"Cuenta de trading"),"⚠ Usa la cuenta de trading","✓"))))))))))))</f>
        <v/>
      </c>
      <c r="I1671" s="19">
        <f>IF(OR(B1671="",C1671="",D1671=""),"",IFERROR(INDEX(catTipo,MATCH(D1671,catNom,0))&amp;"",""))</f>
        <v/>
      </c>
      <c r="J1671" s="19">
        <f>IF(I1671="","",IFERROR(INDEX(catGrupo,MATCH(D1671,catNom,0))&amp;"",""))</f>
        <v/>
      </c>
      <c r="K1671" s="19">
        <f>IF(I1671="Gasto",IF(IFERROR(INDEX(catClas,MATCH(D1671,catNom,0))&amp;"","")="","Variable",IFERROR(INDEX(catClas,MATCH(D1671,catNom,0))&amp;"","")),"")</f>
        <v/>
      </c>
      <c r="L1671" s="19">
        <f>IF(I1671="","",IFERROR(INDEX(catAlim,MATCH(D1671,catNom,0))&amp;"",""))</f>
        <v/>
      </c>
      <c r="M1671" s="19">
        <f>IF(I1671="","",IFERROR(INDEX(catComida,MATCH(D1671,catNom,0))&amp;"",""))</f>
        <v/>
      </c>
      <c r="N1671" s="19">
        <f>IF(I1671="","",IFERROR(INDEX(ctaMon,MATCH(E1671,ctaNom,0))&amp;"","DOP"))</f>
        <v/>
      </c>
      <c r="O1671" s="20">
        <f>IF(I1671="","",C1671*IF(N1671="USD",TasaUSD,1))</f>
        <v/>
      </c>
      <c r="P1671" s="20">
        <f>IF(I1671="","",IF(I1671="Gasto",O1671,0))</f>
        <v/>
      </c>
      <c r="Q1671" s="20">
        <f>IF(I1671="","",IF(I1671="Ingreso",O1671,0))</f>
        <v/>
      </c>
      <c r="R1671" s="20">
        <f>IF(I1671="","",IF(I1671="Trading",O1671,0))</f>
        <v/>
      </c>
      <c r="S1671" s="19">
        <f>IF(I1671="","",IF(AND(I1671="Gasto",K1671="Variable",J1671&lt;&gt;"Trading",O1671&gt;0,O1671&lt;=Umbral),1,0))</f>
        <v/>
      </c>
      <c r="T1671" s="20">
        <f>IF(OR(I1671="",E1671=""),"",IF(OR(I1671="Gasto",I1671="Transferencia",I1671="Pago tarjeta"),-1,1)*C1671)</f>
        <v/>
      </c>
      <c r="U1671" s="20">
        <f>IF(OR(G1671="",AND(I1671&lt;&gt;"Transferencia",I1671&lt;&gt;"Pago tarjeta")),"",IF(IFERROR(INDEX(ctaMon,MATCH(G1671,ctaNom,0))&amp;"","DOP")=N1671,C1671,IF(N1671="USD",C1671*TasaUSD,C1671/TasaUSD)))</f>
        <v/>
      </c>
      <c r="V1671" s="20">
        <f>IF(I1671="","",IF(IFERROR(INDEX(ctaLiq,MATCH(E1671,ctaNom,0))="Sí",FALSE),IF(OR(I1671="Gasto",I1671="Transferencia",I1671="Pago tarjeta"),-1,1)*O1671,0)+IF(AND(U1671&lt;&gt;"",IFERROR(INDEX(ctaLiq,MATCH(G1671,ctaNom,0))="Sí",FALSE)),O1671,0))</f>
        <v/>
      </c>
      <c r="W1671" s="19">
        <f>IF(OR(F1671="",I1671=""),"",IF(COUNTIFS(F$6:F1671,F1671,I$6:I1671,"?*")=1,MAX(W$5:W1670)+1,""))</f>
        <v/>
      </c>
    </row>
    <row r="1672">
      <c r="B1672" s="15" t="n"/>
      <c r="C1672" s="16" t="n"/>
      <c r="D1672" s="17" t="n"/>
      <c r="E1672" s="17" t="n"/>
      <c r="F1672" s="17" t="n"/>
      <c r="G1672" s="17" t="n"/>
      <c r="H1672" s="18">
        <f>IF(AND(B1672="",C1672="",D1672="",E1672=""),"",IF(B1672="","⚠ Falta fecha",IF(C1672="","⚠ Falta monto",IF(D1672="","⚠ Falta categoría",IF(ISNA(MATCH(D1672,catNom,0)),"⚠ Categoría no existe",IF(E1672="","⚠ Falta cuenta",IF(ISNA(MATCH(E1672,ctaNom,0)),"⚠ Cuenta no existe",IF(AND(OR(I1672="Transferencia",I1672="Pago tarjeta"),G1672=""),"⚠ Indica la cuenta «Hacia»",IF(AND(G1672&lt;&gt;"",G1672=E1672),"⚠ «Hacia» igual a la cuenta",IF(AND(G1672&lt;&gt;"",ISNA(MATCH(G1672,ctaNom,0))),"⚠ «Hacia» no existe",IF(AND(I1672="Pago tarjeta",IFERROR(INDEX(ctaTipo,MATCH(G1672,ctaNom,0)),"")&lt;&gt;"Tarjeta de crédito"),"⚠ «Hacia» debe ser la tarjeta",IF(AND(I1672="Trading",IFERROR(INDEX(ctaTipo,MATCH(E1672,ctaNom,0)),"")&lt;&gt;"Cuenta de trading"),"⚠ Usa la cuenta de trading","✓"))))))))))))</f>
        <v/>
      </c>
      <c r="I1672" s="19">
        <f>IF(OR(B1672="",C1672="",D1672=""),"",IFERROR(INDEX(catTipo,MATCH(D1672,catNom,0))&amp;"",""))</f>
        <v/>
      </c>
      <c r="J1672" s="19">
        <f>IF(I1672="","",IFERROR(INDEX(catGrupo,MATCH(D1672,catNom,0))&amp;"",""))</f>
        <v/>
      </c>
      <c r="K1672" s="19">
        <f>IF(I1672="Gasto",IF(IFERROR(INDEX(catClas,MATCH(D1672,catNom,0))&amp;"","")="","Variable",IFERROR(INDEX(catClas,MATCH(D1672,catNom,0))&amp;"","")),"")</f>
        <v/>
      </c>
      <c r="L1672" s="19">
        <f>IF(I1672="","",IFERROR(INDEX(catAlim,MATCH(D1672,catNom,0))&amp;"",""))</f>
        <v/>
      </c>
      <c r="M1672" s="19">
        <f>IF(I1672="","",IFERROR(INDEX(catComida,MATCH(D1672,catNom,0))&amp;"",""))</f>
        <v/>
      </c>
      <c r="N1672" s="19">
        <f>IF(I1672="","",IFERROR(INDEX(ctaMon,MATCH(E1672,ctaNom,0))&amp;"","DOP"))</f>
        <v/>
      </c>
      <c r="O1672" s="20">
        <f>IF(I1672="","",C1672*IF(N1672="USD",TasaUSD,1))</f>
        <v/>
      </c>
      <c r="P1672" s="20">
        <f>IF(I1672="","",IF(I1672="Gasto",O1672,0))</f>
        <v/>
      </c>
      <c r="Q1672" s="20">
        <f>IF(I1672="","",IF(I1672="Ingreso",O1672,0))</f>
        <v/>
      </c>
      <c r="R1672" s="20">
        <f>IF(I1672="","",IF(I1672="Trading",O1672,0))</f>
        <v/>
      </c>
      <c r="S1672" s="19">
        <f>IF(I1672="","",IF(AND(I1672="Gasto",K1672="Variable",J1672&lt;&gt;"Trading",O1672&gt;0,O1672&lt;=Umbral),1,0))</f>
        <v/>
      </c>
      <c r="T1672" s="20">
        <f>IF(OR(I1672="",E1672=""),"",IF(OR(I1672="Gasto",I1672="Transferencia",I1672="Pago tarjeta"),-1,1)*C1672)</f>
        <v/>
      </c>
      <c r="U1672" s="20">
        <f>IF(OR(G1672="",AND(I1672&lt;&gt;"Transferencia",I1672&lt;&gt;"Pago tarjeta")),"",IF(IFERROR(INDEX(ctaMon,MATCH(G1672,ctaNom,0))&amp;"","DOP")=N1672,C1672,IF(N1672="USD",C1672*TasaUSD,C1672/TasaUSD)))</f>
        <v/>
      </c>
      <c r="V1672" s="20">
        <f>IF(I1672="","",IF(IFERROR(INDEX(ctaLiq,MATCH(E1672,ctaNom,0))="Sí",FALSE),IF(OR(I1672="Gasto",I1672="Transferencia",I1672="Pago tarjeta"),-1,1)*O1672,0)+IF(AND(U1672&lt;&gt;"",IFERROR(INDEX(ctaLiq,MATCH(G1672,ctaNom,0))="Sí",FALSE)),O1672,0))</f>
        <v/>
      </c>
      <c r="W1672" s="19">
        <f>IF(OR(F1672="",I1672=""),"",IF(COUNTIFS(F$6:F1672,F1672,I$6:I1672,"?*")=1,MAX(W$5:W1671)+1,""))</f>
        <v/>
      </c>
    </row>
    <row r="1673">
      <c r="B1673" s="15" t="n"/>
      <c r="C1673" s="16" t="n"/>
      <c r="D1673" s="17" t="n"/>
      <c r="E1673" s="17" t="n"/>
      <c r="F1673" s="17" t="n"/>
      <c r="G1673" s="17" t="n"/>
      <c r="H1673" s="18">
        <f>IF(AND(B1673="",C1673="",D1673="",E1673=""),"",IF(B1673="","⚠ Falta fecha",IF(C1673="","⚠ Falta monto",IF(D1673="","⚠ Falta categoría",IF(ISNA(MATCH(D1673,catNom,0)),"⚠ Categoría no existe",IF(E1673="","⚠ Falta cuenta",IF(ISNA(MATCH(E1673,ctaNom,0)),"⚠ Cuenta no existe",IF(AND(OR(I1673="Transferencia",I1673="Pago tarjeta"),G1673=""),"⚠ Indica la cuenta «Hacia»",IF(AND(G1673&lt;&gt;"",G1673=E1673),"⚠ «Hacia» igual a la cuenta",IF(AND(G1673&lt;&gt;"",ISNA(MATCH(G1673,ctaNom,0))),"⚠ «Hacia» no existe",IF(AND(I1673="Pago tarjeta",IFERROR(INDEX(ctaTipo,MATCH(G1673,ctaNom,0)),"")&lt;&gt;"Tarjeta de crédito"),"⚠ «Hacia» debe ser la tarjeta",IF(AND(I1673="Trading",IFERROR(INDEX(ctaTipo,MATCH(E1673,ctaNom,0)),"")&lt;&gt;"Cuenta de trading"),"⚠ Usa la cuenta de trading","✓"))))))))))))</f>
        <v/>
      </c>
      <c r="I1673" s="19">
        <f>IF(OR(B1673="",C1673="",D1673=""),"",IFERROR(INDEX(catTipo,MATCH(D1673,catNom,0))&amp;"",""))</f>
        <v/>
      </c>
      <c r="J1673" s="19">
        <f>IF(I1673="","",IFERROR(INDEX(catGrupo,MATCH(D1673,catNom,0))&amp;"",""))</f>
        <v/>
      </c>
      <c r="K1673" s="19">
        <f>IF(I1673="Gasto",IF(IFERROR(INDEX(catClas,MATCH(D1673,catNom,0))&amp;"","")="","Variable",IFERROR(INDEX(catClas,MATCH(D1673,catNom,0))&amp;"","")),"")</f>
        <v/>
      </c>
      <c r="L1673" s="19">
        <f>IF(I1673="","",IFERROR(INDEX(catAlim,MATCH(D1673,catNom,0))&amp;"",""))</f>
        <v/>
      </c>
      <c r="M1673" s="19">
        <f>IF(I1673="","",IFERROR(INDEX(catComida,MATCH(D1673,catNom,0))&amp;"",""))</f>
        <v/>
      </c>
      <c r="N1673" s="19">
        <f>IF(I1673="","",IFERROR(INDEX(ctaMon,MATCH(E1673,ctaNom,0))&amp;"","DOP"))</f>
        <v/>
      </c>
      <c r="O1673" s="20">
        <f>IF(I1673="","",C1673*IF(N1673="USD",TasaUSD,1))</f>
        <v/>
      </c>
      <c r="P1673" s="20">
        <f>IF(I1673="","",IF(I1673="Gasto",O1673,0))</f>
        <v/>
      </c>
      <c r="Q1673" s="20">
        <f>IF(I1673="","",IF(I1673="Ingreso",O1673,0))</f>
        <v/>
      </c>
      <c r="R1673" s="20">
        <f>IF(I1673="","",IF(I1673="Trading",O1673,0))</f>
        <v/>
      </c>
      <c r="S1673" s="19">
        <f>IF(I1673="","",IF(AND(I1673="Gasto",K1673="Variable",J1673&lt;&gt;"Trading",O1673&gt;0,O1673&lt;=Umbral),1,0))</f>
        <v/>
      </c>
      <c r="T1673" s="20">
        <f>IF(OR(I1673="",E1673=""),"",IF(OR(I1673="Gasto",I1673="Transferencia",I1673="Pago tarjeta"),-1,1)*C1673)</f>
        <v/>
      </c>
      <c r="U1673" s="20">
        <f>IF(OR(G1673="",AND(I1673&lt;&gt;"Transferencia",I1673&lt;&gt;"Pago tarjeta")),"",IF(IFERROR(INDEX(ctaMon,MATCH(G1673,ctaNom,0))&amp;"","DOP")=N1673,C1673,IF(N1673="USD",C1673*TasaUSD,C1673/TasaUSD)))</f>
        <v/>
      </c>
      <c r="V1673" s="20">
        <f>IF(I1673="","",IF(IFERROR(INDEX(ctaLiq,MATCH(E1673,ctaNom,0))="Sí",FALSE),IF(OR(I1673="Gasto",I1673="Transferencia",I1673="Pago tarjeta"),-1,1)*O1673,0)+IF(AND(U1673&lt;&gt;"",IFERROR(INDEX(ctaLiq,MATCH(G1673,ctaNom,0))="Sí",FALSE)),O1673,0))</f>
        <v/>
      </c>
      <c r="W1673" s="19">
        <f>IF(OR(F1673="",I1673=""),"",IF(COUNTIFS(F$6:F1673,F1673,I$6:I1673,"?*")=1,MAX(W$5:W1672)+1,""))</f>
        <v/>
      </c>
    </row>
    <row r="1674">
      <c r="B1674" s="15" t="n"/>
      <c r="C1674" s="16" t="n"/>
      <c r="D1674" s="17" t="n"/>
      <c r="E1674" s="17" t="n"/>
      <c r="F1674" s="17" t="n"/>
      <c r="G1674" s="17" t="n"/>
      <c r="H1674" s="18">
        <f>IF(AND(B1674="",C1674="",D1674="",E1674=""),"",IF(B1674="","⚠ Falta fecha",IF(C1674="","⚠ Falta monto",IF(D1674="","⚠ Falta categoría",IF(ISNA(MATCH(D1674,catNom,0)),"⚠ Categoría no existe",IF(E1674="","⚠ Falta cuenta",IF(ISNA(MATCH(E1674,ctaNom,0)),"⚠ Cuenta no existe",IF(AND(OR(I1674="Transferencia",I1674="Pago tarjeta"),G1674=""),"⚠ Indica la cuenta «Hacia»",IF(AND(G1674&lt;&gt;"",G1674=E1674),"⚠ «Hacia» igual a la cuenta",IF(AND(G1674&lt;&gt;"",ISNA(MATCH(G1674,ctaNom,0))),"⚠ «Hacia» no existe",IF(AND(I1674="Pago tarjeta",IFERROR(INDEX(ctaTipo,MATCH(G1674,ctaNom,0)),"")&lt;&gt;"Tarjeta de crédito"),"⚠ «Hacia» debe ser la tarjeta",IF(AND(I1674="Trading",IFERROR(INDEX(ctaTipo,MATCH(E1674,ctaNom,0)),"")&lt;&gt;"Cuenta de trading"),"⚠ Usa la cuenta de trading","✓"))))))))))))</f>
        <v/>
      </c>
      <c r="I1674" s="19">
        <f>IF(OR(B1674="",C1674="",D1674=""),"",IFERROR(INDEX(catTipo,MATCH(D1674,catNom,0))&amp;"",""))</f>
        <v/>
      </c>
      <c r="J1674" s="19">
        <f>IF(I1674="","",IFERROR(INDEX(catGrupo,MATCH(D1674,catNom,0))&amp;"",""))</f>
        <v/>
      </c>
      <c r="K1674" s="19">
        <f>IF(I1674="Gasto",IF(IFERROR(INDEX(catClas,MATCH(D1674,catNom,0))&amp;"","")="","Variable",IFERROR(INDEX(catClas,MATCH(D1674,catNom,0))&amp;"","")),"")</f>
        <v/>
      </c>
      <c r="L1674" s="19">
        <f>IF(I1674="","",IFERROR(INDEX(catAlim,MATCH(D1674,catNom,0))&amp;"",""))</f>
        <v/>
      </c>
      <c r="M1674" s="19">
        <f>IF(I1674="","",IFERROR(INDEX(catComida,MATCH(D1674,catNom,0))&amp;"",""))</f>
        <v/>
      </c>
      <c r="N1674" s="19">
        <f>IF(I1674="","",IFERROR(INDEX(ctaMon,MATCH(E1674,ctaNom,0))&amp;"","DOP"))</f>
        <v/>
      </c>
      <c r="O1674" s="20">
        <f>IF(I1674="","",C1674*IF(N1674="USD",TasaUSD,1))</f>
        <v/>
      </c>
      <c r="P1674" s="20">
        <f>IF(I1674="","",IF(I1674="Gasto",O1674,0))</f>
        <v/>
      </c>
      <c r="Q1674" s="20">
        <f>IF(I1674="","",IF(I1674="Ingreso",O1674,0))</f>
        <v/>
      </c>
      <c r="R1674" s="20">
        <f>IF(I1674="","",IF(I1674="Trading",O1674,0))</f>
        <v/>
      </c>
      <c r="S1674" s="19">
        <f>IF(I1674="","",IF(AND(I1674="Gasto",K1674="Variable",J1674&lt;&gt;"Trading",O1674&gt;0,O1674&lt;=Umbral),1,0))</f>
        <v/>
      </c>
      <c r="T1674" s="20">
        <f>IF(OR(I1674="",E1674=""),"",IF(OR(I1674="Gasto",I1674="Transferencia",I1674="Pago tarjeta"),-1,1)*C1674)</f>
        <v/>
      </c>
      <c r="U1674" s="20">
        <f>IF(OR(G1674="",AND(I1674&lt;&gt;"Transferencia",I1674&lt;&gt;"Pago tarjeta")),"",IF(IFERROR(INDEX(ctaMon,MATCH(G1674,ctaNom,0))&amp;"","DOP")=N1674,C1674,IF(N1674="USD",C1674*TasaUSD,C1674/TasaUSD)))</f>
        <v/>
      </c>
      <c r="V1674" s="20">
        <f>IF(I1674="","",IF(IFERROR(INDEX(ctaLiq,MATCH(E1674,ctaNom,0))="Sí",FALSE),IF(OR(I1674="Gasto",I1674="Transferencia",I1674="Pago tarjeta"),-1,1)*O1674,0)+IF(AND(U1674&lt;&gt;"",IFERROR(INDEX(ctaLiq,MATCH(G1674,ctaNom,0))="Sí",FALSE)),O1674,0))</f>
        <v/>
      </c>
      <c r="W1674" s="19">
        <f>IF(OR(F1674="",I1674=""),"",IF(COUNTIFS(F$6:F1674,F1674,I$6:I1674,"?*")=1,MAX(W$5:W1673)+1,""))</f>
        <v/>
      </c>
    </row>
    <row r="1675">
      <c r="B1675" s="15" t="n"/>
      <c r="C1675" s="16" t="n"/>
      <c r="D1675" s="17" t="n"/>
      <c r="E1675" s="17" t="n"/>
      <c r="F1675" s="17" t="n"/>
      <c r="G1675" s="17" t="n"/>
      <c r="H1675" s="18">
        <f>IF(AND(B1675="",C1675="",D1675="",E1675=""),"",IF(B1675="","⚠ Falta fecha",IF(C1675="","⚠ Falta monto",IF(D1675="","⚠ Falta categoría",IF(ISNA(MATCH(D1675,catNom,0)),"⚠ Categoría no existe",IF(E1675="","⚠ Falta cuenta",IF(ISNA(MATCH(E1675,ctaNom,0)),"⚠ Cuenta no existe",IF(AND(OR(I1675="Transferencia",I1675="Pago tarjeta"),G1675=""),"⚠ Indica la cuenta «Hacia»",IF(AND(G1675&lt;&gt;"",G1675=E1675),"⚠ «Hacia» igual a la cuenta",IF(AND(G1675&lt;&gt;"",ISNA(MATCH(G1675,ctaNom,0))),"⚠ «Hacia» no existe",IF(AND(I1675="Pago tarjeta",IFERROR(INDEX(ctaTipo,MATCH(G1675,ctaNom,0)),"")&lt;&gt;"Tarjeta de crédito"),"⚠ «Hacia» debe ser la tarjeta",IF(AND(I1675="Trading",IFERROR(INDEX(ctaTipo,MATCH(E1675,ctaNom,0)),"")&lt;&gt;"Cuenta de trading"),"⚠ Usa la cuenta de trading","✓"))))))))))))</f>
        <v/>
      </c>
      <c r="I1675" s="19">
        <f>IF(OR(B1675="",C1675="",D1675=""),"",IFERROR(INDEX(catTipo,MATCH(D1675,catNom,0))&amp;"",""))</f>
        <v/>
      </c>
      <c r="J1675" s="19">
        <f>IF(I1675="","",IFERROR(INDEX(catGrupo,MATCH(D1675,catNom,0))&amp;"",""))</f>
        <v/>
      </c>
      <c r="K1675" s="19">
        <f>IF(I1675="Gasto",IF(IFERROR(INDEX(catClas,MATCH(D1675,catNom,0))&amp;"","")="","Variable",IFERROR(INDEX(catClas,MATCH(D1675,catNom,0))&amp;"","")),"")</f>
        <v/>
      </c>
      <c r="L1675" s="19">
        <f>IF(I1675="","",IFERROR(INDEX(catAlim,MATCH(D1675,catNom,0))&amp;"",""))</f>
        <v/>
      </c>
      <c r="M1675" s="19">
        <f>IF(I1675="","",IFERROR(INDEX(catComida,MATCH(D1675,catNom,0))&amp;"",""))</f>
        <v/>
      </c>
      <c r="N1675" s="19">
        <f>IF(I1675="","",IFERROR(INDEX(ctaMon,MATCH(E1675,ctaNom,0))&amp;"","DOP"))</f>
        <v/>
      </c>
      <c r="O1675" s="20">
        <f>IF(I1675="","",C1675*IF(N1675="USD",TasaUSD,1))</f>
        <v/>
      </c>
      <c r="P1675" s="20">
        <f>IF(I1675="","",IF(I1675="Gasto",O1675,0))</f>
        <v/>
      </c>
      <c r="Q1675" s="20">
        <f>IF(I1675="","",IF(I1675="Ingreso",O1675,0))</f>
        <v/>
      </c>
      <c r="R1675" s="20">
        <f>IF(I1675="","",IF(I1675="Trading",O1675,0))</f>
        <v/>
      </c>
      <c r="S1675" s="19">
        <f>IF(I1675="","",IF(AND(I1675="Gasto",K1675="Variable",J1675&lt;&gt;"Trading",O1675&gt;0,O1675&lt;=Umbral),1,0))</f>
        <v/>
      </c>
      <c r="T1675" s="20">
        <f>IF(OR(I1675="",E1675=""),"",IF(OR(I1675="Gasto",I1675="Transferencia",I1675="Pago tarjeta"),-1,1)*C1675)</f>
        <v/>
      </c>
      <c r="U1675" s="20">
        <f>IF(OR(G1675="",AND(I1675&lt;&gt;"Transferencia",I1675&lt;&gt;"Pago tarjeta")),"",IF(IFERROR(INDEX(ctaMon,MATCH(G1675,ctaNom,0))&amp;"","DOP")=N1675,C1675,IF(N1675="USD",C1675*TasaUSD,C1675/TasaUSD)))</f>
        <v/>
      </c>
      <c r="V1675" s="20">
        <f>IF(I1675="","",IF(IFERROR(INDEX(ctaLiq,MATCH(E1675,ctaNom,0))="Sí",FALSE),IF(OR(I1675="Gasto",I1675="Transferencia",I1675="Pago tarjeta"),-1,1)*O1675,0)+IF(AND(U1675&lt;&gt;"",IFERROR(INDEX(ctaLiq,MATCH(G1675,ctaNom,0))="Sí",FALSE)),O1675,0))</f>
        <v/>
      </c>
      <c r="W1675" s="19">
        <f>IF(OR(F1675="",I1675=""),"",IF(COUNTIFS(F$6:F1675,F1675,I$6:I1675,"?*")=1,MAX(W$5:W1674)+1,""))</f>
        <v/>
      </c>
    </row>
    <row r="1676">
      <c r="B1676" s="15" t="n"/>
      <c r="C1676" s="16" t="n"/>
      <c r="D1676" s="17" t="n"/>
      <c r="E1676" s="17" t="n"/>
      <c r="F1676" s="17" t="n"/>
      <c r="G1676" s="17" t="n"/>
      <c r="H1676" s="18">
        <f>IF(AND(B1676="",C1676="",D1676="",E1676=""),"",IF(B1676="","⚠ Falta fecha",IF(C1676="","⚠ Falta monto",IF(D1676="","⚠ Falta categoría",IF(ISNA(MATCH(D1676,catNom,0)),"⚠ Categoría no existe",IF(E1676="","⚠ Falta cuenta",IF(ISNA(MATCH(E1676,ctaNom,0)),"⚠ Cuenta no existe",IF(AND(OR(I1676="Transferencia",I1676="Pago tarjeta"),G1676=""),"⚠ Indica la cuenta «Hacia»",IF(AND(G1676&lt;&gt;"",G1676=E1676),"⚠ «Hacia» igual a la cuenta",IF(AND(G1676&lt;&gt;"",ISNA(MATCH(G1676,ctaNom,0))),"⚠ «Hacia» no existe",IF(AND(I1676="Pago tarjeta",IFERROR(INDEX(ctaTipo,MATCH(G1676,ctaNom,0)),"")&lt;&gt;"Tarjeta de crédito"),"⚠ «Hacia» debe ser la tarjeta",IF(AND(I1676="Trading",IFERROR(INDEX(ctaTipo,MATCH(E1676,ctaNom,0)),"")&lt;&gt;"Cuenta de trading"),"⚠ Usa la cuenta de trading","✓"))))))))))))</f>
        <v/>
      </c>
      <c r="I1676" s="19">
        <f>IF(OR(B1676="",C1676="",D1676=""),"",IFERROR(INDEX(catTipo,MATCH(D1676,catNom,0))&amp;"",""))</f>
        <v/>
      </c>
      <c r="J1676" s="19">
        <f>IF(I1676="","",IFERROR(INDEX(catGrupo,MATCH(D1676,catNom,0))&amp;"",""))</f>
        <v/>
      </c>
      <c r="K1676" s="19">
        <f>IF(I1676="Gasto",IF(IFERROR(INDEX(catClas,MATCH(D1676,catNom,0))&amp;"","")="","Variable",IFERROR(INDEX(catClas,MATCH(D1676,catNom,0))&amp;"","")),"")</f>
        <v/>
      </c>
      <c r="L1676" s="19">
        <f>IF(I1676="","",IFERROR(INDEX(catAlim,MATCH(D1676,catNom,0))&amp;"",""))</f>
        <v/>
      </c>
      <c r="M1676" s="19">
        <f>IF(I1676="","",IFERROR(INDEX(catComida,MATCH(D1676,catNom,0))&amp;"",""))</f>
        <v/>
      </c>
      <c r="N1676" s="19">
        <f>IF(I1676="","",IFERROR(INDEX(ctaMon,MATCH(E1676,ctaNom,0))&amp;"","DOP"))</f>
        <v/>
      </c>
      <c r="O1676" s="20">
        <f>IF(I1676="","",C1676*IF(N1676="USD",TasaUSD,1))</f>
        <v/>
      </c>
      <c r="P1676" s="20">
        <f>IF(I1676="","",IF(I1676="Gasto",O1676,0))</f>
        <v/>
      </c>
      <c r="Q1676" s="20">
        <f>IF(I1676="","",IF(I1676="Ingreso",O1676,0))</f>
        <v/>
      </c>
      <c r="R1676" s="20">
        <f>IF(I1676="","",IF(I1676="Trading",O1676,0))</f>
        <v/>
      </c>
      <c r="S1676" s="19">
        <f>IF(I1676="","",IF(AND(I1676="Gasto",K1676="Variable",J1676&lt;&gt;"Trading",O1676&gt;0,O1676&lt;=Umbral),1,0))</f>
        <v/>
      </c>
      <c r="T1676" s="20">
        <f>IF(OR(I1676="",E1676=""),"",IF(OR(I1676="Gasto",I1676="Transferencia",I1676="Pago tarjeta"),-1,1)*C1676)</f>
        <v/>
      </c>
      <c r="U1676" s="20">
        <f>IF(OR(G1676="",AND(I1676&lt;&gt;"Transferencia",I1676&lt;&gt;"Pago tarjeta")),"",IF(IFERROR(INDEX(ctaMon,MATCH(G1676,ctaNom,0))&amp;"","DOP")=N1676,C1676,IF(N1676="USD",C1676*TasaUSD,C1676/TasaUSD)))</f>
        <v/>
      </c>
      <c r="V1676" s="20">
        <f>IF(I1676="","",IF(IFERROR(INDEX(ctaLiq,MATCH(E1676,ctaNom,0))="Sí",FALSE),IF(OR(I1676="Gasto",I1676="Transferencia",I1676="Pago tarjeta"),-1,1)*O1676,0)+IF(AND(U1676&lt;&gt;"",IFERROR(INDEX(ctaLiq,MATCH(G1676,ctaNom,0))="Sí",FALSE)),O1676,0))</f>
        <v/>
      </c>
      <c r="W1676" s="19">
        <f>IF(OR(F1676="",I1676=""),"",IF(COUNTIFS(F$6:F1676,F1676,I$6:I1676,"?*")=1,MAX(W$5:W1675)+1,""))</f>
        <v/>
      </c>
    </row>
    <row r="1677">
      <c r="B1677" s="15" t="n"/>
      <c r="C1677" s="16" t="n"/>
      <c r="D1677" s="17" t="n"/>
      <c r="E1677" s="17" t="n"/>
      <c r="F1677" s="17" t="n"/>
      <c r="G1677" s="17" t="n"/>
      <c r="H1677" s="18">
        <f>IF(AND(B1677="",C1677="",D1677="",E1677=""),"",IF(B1677="","⚠ Falta fecha",IF(C1677="","⚠ Falta monto",IF(D1677="","⚠ Falta categoría",IF(ISNA(MATCH(D1677,catNom,0)),"⚠ Categoría no existe",IF(E1677="","⚠ Falta cuenta",IF(ISNA(MATCH(E1677,ctaNom,0)),"⚠ Cuenta no existe",IF(AND(OR(I1677="Transferencia",I1677="Pago tarjeta"),G1677=""),"⚠ Indica la cuenta «Hacia»",IF(AND(G1677&lt;&gt;"",G1677=E1677),"⚠ «Hacia» igual a la cuenta",IF(AND(G1677&lt;&gt;"",ISNA(MATCH(G1677,ctaNom,0))),"⚠ «Hacia» no existe",IF(AND(I1677="Pago tarjeta",IFERROR(INDEX(ctaTipo,MATCH(G1677,ctaNom,0)),"")&lt;&gt;"Tarjeta de crédito"),"⚠ «Hacia» debe ser la tarjeta",IF(AND(I1677="Trading",IFERROR(INDEX(ctaTipo,MATCH(E1677,ctaNom,0)),"")&lt;&gt;"Cuenta de trading"),"⚠ Usa la cuenta de trading","✓"))))))))))))</f>
        <v/>
      </c>
      <c r="I1677" s="19">
        <f>IF(OR(B1677="",C1677="",D1677=""),"",IFERROR(INDEX(catTipo,MATCH(D1677,catNom,0))&amp;"",""))</f>
        <v/>
      </c>
      <c r="J1677" s="19">
        <f>IF(I1677="","",IFERROR(INDEX(catGrupo,MATCH(D1677,catNom,0))&amp;"",""))</f>
        <v/>
      </c>
      <c r="K1677" s="19">
        <f>IF(I1677="Gasto",IF(IFERROR(INDEX(catClas,MATCH(D1677,catNom,0))&amp;"","")="","Variable",IFERROR(INDEX(catClas,MATCH(D1677,catNom,0))&amp;"","")),"")</f>
        <v/>
      </c>
      <c r="L1677" s="19">
        <f>IF(I1677="","",IFERROR(INDEX(catAlim,MATCH(D1677,catNom,0))&amp;"",""))</f>
        <v/>
      </c>
      <c r="M1677" s="19">
        <f>IF(I1677="","",IFERROR(INDEX(catComida,MATCH(D1677,catNom,0))&amp;"",""))</f>
        <v/>
      </c>
      <c r="N1677" s="19">
        <f>IF(I1677="","",IFERROR(INDEX(ctaMon,MATCH(E1677,ctaNom,0))&amp;"","DOP"))</f>
        <v/>
      </c>
      <c r="O1677" s="20">
        <f>IF(I1677="","",C1677*IF(N1677="USD",TasaUSD,1))</f>
        <v/>
      </c>
      <c r="P1677" s="20">
        <f>IF(I1677="","",IF(I1677="Gasto",O1677,0))</f>
        <v/>
      </c>
      <c r="Q1677" s="20">
        <f>IF(I1677="","",IF(I1677="Ingreso",O1677,0))</f>
        <v/>
      </c>
      <c r="R1677" s="20">
        <f>IF(I1677="","",IF(I1677="Trading",O1677,0))</f>
        <v/>
      </c>
      <c r="S1677" s="19">
        <f>IF(I1677="","",IF(AND(I1677="Gasto",K1677="Variable",J1677&lt;&gt;"Trading",O1677&gt;0,O1677&lt;=Umbral),1,0))</f>
        <v/>
      </c>
      <c r="T1677" s="20">
        <f>IF(OR(I1677="",E1677=""),"",IF(OR(I1677="Gasto",I1677="Transferencia",I1677="Pago tarjeta"),-1,1)*C1677)</f>
        <v/>
      </c>
      <c r="U1677" s="20">
        <f>IF(OR(G1677="",AND(I1677&lt;&gt;"Transferencia",I1677&lt;&gt;"Pago tarjeta")),"",IF(IFERROR(INDEX(ctaMon,MATCH(G1677,ctaNom,0))&amp;"","DOP")=N1677,C1677,IF(N1677="USD",C1677*TasaUSD,C1677/TasaUSD)))</f>
        <v/>
      </c>
      <c r="V1677" s="20">
        <f>IF(I1677="","",IF(IFERROR(INDEX(ctaLiq,MATCH(E1677,ctaNom,0))="Sí",FALSE),IF(OR(I1677="Gasto",I1677="Transferencia",I1677="Pago tarjeta"),-1,1)*O1677,0)+IF(AND(U1677&lt;&gt;"",IFERROR(INDEX(ctaLiq,MATCH(G1677,ctaNom,0))="Sí",FALSE)),O1677,0))</f>
        <v/>
      </c>
      <c r="W1677" s="19">
        <f>IF(OR(F1677="",I1677=""),"",IF(COUNTIFS(F$6:F1677,F1677,I$6:I1677,"?*")=1,MAX(W$5:W1676)+1,""))</f>
        <v/>
      </c>
    </row>
    <row r="1678">
      <c r="B1678" s="15" t="n"/>
      <c r="C1678" s="16" t="n"/>
      <c r="D1678" s="17" t="n"/>
      <c r="E1678" s="17" t="n"/>
      <c r="F1678" s="17" t="n"/>
      <c r="G1678" s="17" t="n"/>
      <c r="H1678" s="18">
        <f>IF(AND(B1678="",C1678="",D1678="",E1678=""),"",IF(B1678="","⚠ Falta fecha",IF(C1678="","⚠ Falta monto",IF(D1678="","⚠ Falta categoría",IF(ISNA(MATCH(D1678,catNom,0)),"⚠ Categoría no existe",IF(E1678="","⚠ Falta cuenta",IF(ISNA(MATCH(E1678,ctaNom,0)),"⚠ Cuenta no existe",IF(AND(OR(I1678="Transferencia",I1678="Pago tarjeta"),G1678=""),"⚠ Indica la cuenta «Hacia»",IF(AND(G1678&lt;&gt;"",G1678=E1678),"⚠ «Hacia» igual a la cuenta",IF(AND(G1678&lt;&gt;"",ISNA(MATCH(G1678,ctaNom,0))),"⚠ «Hacia» no existe",IF(AND(I1678="Pago tarjeta",IFERROR(INDEX(ctaTipo,MATCH(G1678,ctaNom,0)),"")&lt;&gt;"Tarjeta de crédito"),"⚠ «Hacia» debe ser la tarjeta",IF(AND(I1678="Trading",IFERROR(INDEX(ctaTipo,MATCH(E1678,ctaNom,0)),"")&lt;&gt;"Cuenta de trading"),"⚠ Usa la cuenta de trading","✓"))))))))))))</f>
        <v/>
      </c>
      <c r="I1678" s="19">
        <f>IF(OR(B1678="",C1678="",D1678=""),"",IFERROR(INDEX(catTipo,MATCH(D1678,catNom,0))&amp;"",""))</f>
        <v/>
      </c>
      <c r="J1678" s="19">
        <f>IF(I1678="","",IFERROR(INDEX(catGrupo,MATCH(D1678,catNom,0))&amp;"",""))</f>
        <v/>
      </c>
      <c r="K1678" s="19">
        <f>IF(I1678="Gasto",IF(IFERROR(INDEX(catClas,MATCH(D1678,catNom,0))&amp;"","")="","Variable",IFERROR(INDEX(catClas,MATCH(D1678,catNom,0))&amp;"","")),"")</f>
        <v/>
      </c>
      <c r="L1678" s="19">
        <f>IF(I1678="","",IFERROR(INDEX(catAlim,MATCH(D1678,catNom,0))&amp;"",""))</f>
        <v/>
      </c>
      <c r="M1678" s="19">
        <f>IF(I1678="","",IFERROR(INDEX(catComida,MATCH(D1678,catNom,0))&amp;"",""))</f>
        <v/>
      </c>
      <c r="N1678" s="19">
        <f>IF(I1678="","",IFERROR(INDEX(ctaMon,MATCH(E1678,ctaNom,0))&amp;"","DOP"))</f>
        <v/>
      </c>
      <c r="O1678" s="20">
        <f>IF(I1678="","",C1678*IF(N1678="USD",TasaUSD,1))</f>
        <v/>
      </c>
      <c r="P1678" s="20">
        <f>IF(I1678="","",IF(I1678="Gasto",O1678,0))</f>
        <v/>
      </c>
      <c r="Q1678" s="20">
        <f>IF(I1678="","",IF(I1678="Ingreso",O1678,0))</f>
        <v/>
      </c>
      <c r="R1678" s="20">
        <f>IF(I1678="","",IF(I1678="Trading",O1678,0))</f>
        <v/>
      </c>
      <c r="S1678" s="19">
        <f>IF(I1678="","",IF(AND(I1678="Gasto",K1678="Variable",J1678&lt;&gt;"Trading",O1678&gt;0,O1678&lt;=Umbral),1,0))</f>
        <v/>
      </c>
      <c r="T1678" s="20">
        <f>IF(OR(I1678="",E1678=""),"",IF(OR(I1678="Gasto",I1678="Transferencia",I1678="Pago tarjeta"),-1,1)*C1678)</f>
        <v/>
      </c>
      <c r="U1678" s="20">
        <f>IF(OR(G1678="",AND(I1678&lt;&gt;"Transferencia",I1678&lt;&gt;"Pago tarjeta")),"",IF(IFERROR(INDEX(ctaMon,MATCH(G1678,ctaNom,0))&amp;"","DOP")=N1678,C1678,IF(N1678="USD",C1678*TasaUSD,C1678/TasaUSD)))</f>
        <v/>
      </c>
      <c r="V1678" s="20">
        <f>IF(I1678="","",IF(IFERROR(INDEX(ctaLiq,MATCH(E1678,ctaNom,0))="Sí",FALSE),IF(OR(I1678="Gasto",I1678="Transferencia",I1678="Pago tarjeta"),-1,1)*O1678,0)+IF(AND(U1678&lt;&gt;"",IFERROR(INDEX(ctaLiq,MATCH(G1678,ctaNom,0))="Sí",FALSE)),O1678,0))</f>
        <v/>
      </c>
      <c r="W1678" s="19">
        <f>IF(OR(F1678="",I1678=""),"",IF(COUNTIFS(F$6:F1678,F1678,I$6:I1678,"?*")=1,MAX(W$5:W1677)+1,""))</f>
        <v/>
      </c>
    </row>
    <row r="1679">
      <c r="B1679" s="15" t="n"/>
      <c r="C1679" s="16" t="n"/>
      <c r="D1679" s="17" t="n"/>
      <c r="E1679" s="17" t="n"/>
      <c r="F1679" s="17" t="n"/>
      <c r="G1679" s="17" t="n"/>
      <c r="H1679" s="18">
        <f>IF(AND(B1679="",C1679="",D1679="",E1679=""),"",IF(B1679="","⚠ Falta fecha",IF(C1679="","⚠ Falta monto",IF(D1679="","⚠ Falta categoría",IF(ISNA(MATCH(D1679,catNom,0)),"⚠ Categoría no existe",IF(E1679="","⚠ Falta cuenta",IF(ISNA(MATCH(E1679,ctaNom,0)),"⚠ Cuenta no existe",IF(AND(OR(I1679="Transferencia",I1679="Pago tarjeta"),G1679=""),"⚠ Indica la cuenta «Hacia»",IF(AND(G1679&lt;&gt;"",G1679=E1679),"⚠ «Hacia» igual a la cuenta",IF(AND(G1679&lt;&gt;"",ISNA(MATCH(G1679,ctaNom,0))),"⚠ «Hacia» no existe",IF(AND(I1679="Pago tarjeta",IFERROR(INDEX(ctaTipo,MATCH(G1679,ctaNom,0)),"")&lt;&gt;"Tarjeta de crédito"),"⚠ «Hacia» debe ser la tarjeta",IF(AND(I1679="Trading",IFERROR(INDEX(ctaTipo,MATCH(E1679,ctaNom,0)),"")&lt;&gt;"Cuenta de trading"),"⚠ Usa la cuenta de trading","✓"))))))))))))</f>
        <v/>
      </c>
      <c r="I1679" s="19">
        <f>IF(OR(B1679="",C1679="",D1679=""),"",IFERROR(INDEX(catTipo,MATCH(D1679,catNom,0))&amp;"",""))</f>
        <v/>
      </c>
      <c r="J1679" s="19">
        <f>IF(I1679="","",IFERROR(INDEX(catGrupo,MATCH(D1679,catNom,0))&amp;"",""))</f>
        <v/>
      </c>
      <c r="K1679" s="19">
        <f>IF(I1679="Gasto",IF(IFERROR(INDEX(catClas,MATCH(D1679,catNom,0))&amp;"","")="","Variable",IFERROR(INDEX(catClas,MATCH(D1679,catNom,0))&amp;"","")),"")</f>
        <v/>
      </c>
      <c r="L1679" s="19">
        <f>IF(I1679="","",IFERROR(INDEX(catAlim,MATCH(D1679,catNom,0))&amp;"",""))</f>
        <v/>
      </c>
      <c r="M1679" s="19">
        <f>IF(I1679="","",IFERROR(INDEX(catComida,MATCH(D1679,catNom,0))&amp;"",""))</f>
        <v/>
      </c>
      <c r="N1679" s="19">
        <f>IF(I1679="","",IFERROR(INDEX(ctaMon,MATCH(E1679,ctaNom,0))&amp;"","DOP"))</f>
        <v/>
      </c>
      <c r="O1679" s="20">
        <f>IF(I1679="","",C1679*IF(N1679="USD",TasaUSD,1))</f>
        <v/>
      </c>
      <c r="P1679" s="20">
        <f>IF(I1679="","",IF(I1679="Gasto",O1679,0))</f>
        <v/>
      </c>
      <c r="Q1679" s="20">
        <f>IF(I1679="","",IF(I1679="Ingreso",O1679,0))</f>
        <v/>
      </c>
      <c r="R1679" s="20">
        <f>IF(I1679="","",IF(I1679="Trading",O1679,0))</f>
        <v/>
      </c>
      <c r="S1679" s="19">
        <f>IF(I1679="","",IF(AND(I1679="Gasto",K1679="Variable",J1679&lt;&gt;"Trading",O1679&gt;0,O1679&lt;=Umbral),1,0))</f>
        <v/>
      </c>
      <c r="T1679" s="20">
        <f>IF(OR(I1679="",E1679=""),"",IF(OR(I1679="Gasto",I1679="Transferencia",I1679="Pago tarjeta"),-1,1)*C1679)</f>
        <v/>
      </c>
      <c r="U1679" s="20">
        <f>IF(OR(G1679="",AND(I1679&lt;&gt;"Transferencia",I1679&lt;&gt;"Pago tarjeta")),"",IF(IFERROR(INDEX(ctaMon,MATCH(G1679,ctaNom,0))&amp;"","DOP")=N1679,C1679,IF(N1679="USD",C1679*TasaUSD,C1679/TasaUSD)))</f>
        <v/>
      </c>
      <c r="V1679" s="20">
        <f>IF(I1679="","",IF(IFERROR(INDEX(ctaLiq,MATCH(E1679,ctaNom,0))="Sí",FALSE),IF(OR(I1679="Gasto",I1679="Transferencia",I1679="Pago tarjeta"),-1,1)*O1679,0)+IF(AND(U1679&lt;&gt;"",IFERROR(INDEX(ctaLiq,MATCH(G1679,ctaNom,0))="Sí",FALSE)),O1679,0))</f>
        <v/>
      </c>
      <c r="W1679" s="19">
        <f>IF(OR(F1679="",I1679=""),"",IF(COUNTIFS(F$6:F1679,F1679,I$6:I1679,"?*")=1,MAX(W$5:W1678)+1,""))</f>
        <v/>
      </c>
    </row>
    <row r="1680">
      <c r="B1680" s="15" t="n"/>
      <c r="C1680" s="16" t="n"/>
      <c r="D1680" s="17" t="n"/>
      <c r="E1680" s="17" t="n"/>
      <c r="F1680" s="17" t="n"/>
      <c r="G1680" s="17" t="n"/>
      <c r="H1680" s="18">
        <f>IF(AND(B1680="",C1680="",D1680="",E1680=""),"",IF(B1680="","⚠ Falta fecha",IF(C1680="","⚠ Falta monto",IF(D1680="","⚠ Falta categoría",IF(ISNA(MATCH(D1680,catNom,0)),"⚠ Categoría no existe",IF(E1680="","⚠ Falta cuenta",IF(ISNA(MATCH(E1680,ctaNom,0)),"⚠ Cuenta no existe",IF(AND(OR(I1680="Transferencia",I1680="Pago tarjeta"),G1680=""),"⚠ Indica la cuenta «Hacia»",IF(AND(G1680&lt;&gt;"",G1680=E1680),"⚠ «Hacia» igual a la cuenta",IF(AND(G1680&lt;&gt;"",ISNA(MATCH(G1680,ctaNom,0))),"⚠ «Hacia» no existe",IF(AND(I1680="Pago tarjeta",IFERROR(INDEX(ctaTipo,MATCH(G1680,ctaNom,0)),"")&lt;&gt;"Tarjeta de crédito"),"⚠ «Hacia» debe ser la tarjeta",IF(AND(I1680="Trading",IFERROR(INDEX(ctaTipo,MATCH(E1680,ctaNom,0)),"")&lt;&gt;"Cuenta de trading"),"⚠ Usa la cuenta de trading","✓"))))))))))))</f>
        <v/>
      </c>
      <c r="I1680" s="19">
        <f>IF(OR(B1680="",C1680="",D1680=""),"",IFERROR(INDEX(catTipo,MATCH(D1680,catNom,0))&amp;"",""))</f>
        <v/>
      </c>
      <c r="J1680" s="19">
        <f>IF(I1680="","",IFERROR(INDEX(catGrupo,MATCH(D1680,catNom,0))&amp;"",""))</f>
        <v/>
      </c>
      <c r="K1680" s="19">
        <f>IF(I1680="Gasto",IF(IFERROR(INDEX(catClas,MATCH(D1680,catNom,0))&amp;"","")="","Variable",IFERROR(INDEX(catClas,MATCH(D1680,catNom,0))&amp;"","")),"")</f>
        <v/>
      </c>
      <c r="L1680" s="19">
        <f>IF(I1680="","",IFERROR(INDEX(catAlim,MATCH(D1680,catNom,0))&amp;"",""))</f>
        <v/>
      </c>
      <c r="M1680" s="19">
        <f>IF(I1680="","",IFERROR(INDEX(catComida,MATCH(D1680,catNom,0))&amp;"",""))</f>
        <v/>
      </c>
      <c r="N1680" s="19">
        <f>IF(I1680="","",IFERROR(INDEX(ctaMon,MATCH(E1680,ctaNom,0))&amp;"","DOP"))</f>
        <v/>
      </c>
      <c r="O1680" s="20">
        <f>IF(I1680="","",C1680*IF(N1680="USD",TasaUSD,1))</f>
        <v/>
      </c>
      <c r="P1680" s="20">
        <f>IF(I1680="","",IF(I1680="Gasto",O1680,0))</f>
        <v/>
      </c>
      <c r="Q1680" s="20">
        <f>IF(I1680="","",IF(I1680="Ingreso",O1680,0))</f>
        <v/>
      </c>
      <c r="R1680" s="20">
        <f>IF(I1680="","",IF(I1680="Trading",O1680,0))</f>
        <v/>
      </c>
      <c r="S1680" s="19">
        <f>IF(I1680="","",IF(AND(I1680="Gasto",K1680="Variable",J1680&lt;&gt;"Trading",O1680&gt;0,O1680&lt;=Umbral),1,0))</f>
        <v/>
      </c>
      <c r="T1680" s="20">
        <f>IF(OR(I1680="",E1680=""),"",IF(OR(I1680="Gasto",I1680="Transferencia",I1680="Pago tarjeta"),-1,1)*C1680)</f>
        <v/>
      </c>
      <c r="U1680" s="20">
        <f>IF(OR(G1680="",AND(I1680&lt;&gt;"Transferencia",I1680&lt;&gt;"Pago tarjeta")),"",IF(IFERROR(INDEX(ctaMon,MATCH(G1680,ctaNom,0))&amp;"","DOP")=N1680,C1680,IF(N1680="USD",C1680*TasaUSD,C1680/TasaUSD)))</f>
        <v/>
      </c>
      <c r="V1680" s="20">
        <f>IF(I1680="","",IF(IFERROR(INDEX(ctaLiq,MATCH(E1680,ctaNom,0))="Sí",FALSE),IF(OR(I1680="Gasto",I1680="Transferencia",I1680="Pago tarjeta"),-1,1)*O1680,0)+IF(AND(U1680&lt;&gt;"",IFERROR(INDEX(ctaLiq,MATCH(G1680,ctaNom,0))="Sí",FALSE)),O1680,0))</f>
        <v/>
      </c>
      <c r="W1680" s="19">
        <f>IF(OR(F1680="",I1680=""),"",IF(COUNTIFS(F$6:F1680,F1680,I$6:I1680,"?*")=1,MAX(W$5:W1679)+1,""))</f>
        <v/>
      </c>
    </row>
    <row r="1681">
      <c r="B1681" s="15" t="n"/>
      <c r="C1681" s="16" t="n"/>
      <c r="D1681" s="17" t="n"/>
      <c r="E1681" s="17" t="n"/>
      <c r="F1681" s="17" t="n"/>
      <c r="G1681" s="17" t="n"/>
      <c r="H1681" s="18">
        <f>IF(AND(B1681="",C1681="",D1681="",E1681=""),"",IF(B1681="","⚠ Falta fecha",IF(C1681="","⚠ Falta monto",IF(D1681="","⚠ Falta categoría",IF(ISNA(MATCH(D1681,catNom,0)),"⚠ Categoría no existe",IF(E1681="","⚠ Falta cuenta",IF(ISNA(MATCH(E1681,ctaNom,0)),"⚠ Cuenta no existe",IF(AND(OR(I1681="Transferencia",I1681="Pago tarjeta"),G1681=""),"⚠ Indica la cuenta «Hacia»",IF(AND(G1681&lt;&gt;"",G1681=E1681),"⚠ «Hacia» igual a la cuenta",IF(AND(G1681&lt;&gt;"",ISNA(MATCH(G1681,ctaNom,0))),"⚠ «Hacia» no existe",IF(AND(I1681="Pago tarjeta",IFERROR(INDEX(ctaTipo,MATCH(G1681,ctaNom,0)),"")&lt;&gt;"Tarjeta de crédito"),"⚠ «Hacia» debe ser la tarjeta",IF(AND(I1681="Trading",IFERROR(INDEX(ctaTipo,MATCH(E1681,ctaNom,0)),"")&lt;&gt;"Cuenta de trading"),"⚠ Usa la cuenta de trading","✓"))))))))))))</f>
        <v/>
      </c>
      <c r="I1681" s="19">
        <f>IF(OR(B1681="",C1681="",D1681=""),"",IFERROR(INDEX(catTipo,MATCH(D1681,catNom,0))&amp;"",""))</f>
        <v/>
      </c>
      <c r="J1681" s="19">
        <f>IF(I1681="","",IFERROR(INDEX(catGrupo,MATCH(D1681,catNom,0))&amp;"",""))</f>
        <v/>
      </c>
      <c r="K1681" s="19">
        <f>IF(I1681="Gasto",IF(IFERROR(INDEX(catClas,MATCH(D1681,catNom,0))&amp;"","")="","Variable",IFERROR(INDEX(catClas,MATCH(D1681,catNom,0))&amp;"","")),"")</f>
        <v/>
      </c>
      <c r="L1681" s="19">
        <f>IF(I1681="","",IFERROR(INDEX(catAlim,MATCH(D1681,catNom,0))&amp;"",""))</f>
        <v/>
      </c>
      <c r="M1681" s="19">
        <f>IF(I1681="","",IFERROR(INDEX(catComida,MATCH(D1681,catNom,0))&amp;"",""))</f>
        <v/>
      </c>
      <c r="N1681" s="19">
        <f>IF(I1681="","",IFERROR(INDEX(ctaMon,MATCH(E1681,ctaNom,0))&amp;"","DOP"))</f>
        <v/>
      </c>
      <c r="O1681" s="20">
        <f>IF(I1681="","",C1681*IF(N1681="USD",TasaUSD,1))</f>
        <v/>
      </c>
      <c r="P1681" s="20">
        <f>IF(I1681="","",IF(I1681="Gasto",O1681,0))</f>
        <v/>
      </c>
      <c r="Q1681" s="20">
        <f>IF(I1681="","",IF(I1681="Ingreso",O1681,0))</f>
        <v/>
      </c>
      <c r="R1681" s="20">
        <f>IF(I1681="","",IF(I1681="Trading",O1681,0))</f>
        <v/>
      </c>
      <c r="S1681" s="19">
        <f>IF(I1681="","",IF(AND(I1681="Gasto",K1681="Variable",J1681&lt;&gt;"Trading",O1681&gt;0,O1681&lt;=Umbral),1,0))</f>
        <v/>
      </c>
      <c r="T1681" s="20">
        <f>IF(OR(I1681="",E1681=""),"",IF(OR(I1681="Gasto",I1681="Transferencia",I1681="Pago tarjeta"),-1,1)*C1681)</f>
        <v/>
      </c>
      <c r="U1681" s="20">
        <f>IF(OR(G1681="",AND(I1681&lt;&gt;"Transferencia",I1681&lt;&gt;"Pago tarjeta")),"",IF(IFERROR(INDEX(ctaMon,MATCH(G1681,ctaNom,0))&amp;"","DOP")=N1681,C1681,IF(N1681="USD",C1681*TasaUSD,C1681/TasaUSD)))</f>
        <v/>
      </c>
      <c r="V1681" s="20">
        <f>IF(I1681="","",IF(IFERROR(INDEX(ctaLiq,MATCH(E1681,ctaNom,0))="Sí",FALSE),IF(OR(I1681="Gasto",I1681="Transferencia",I1681="Pago tarjeta"),-1,1)*O1681,0)+IF(AND(U1681&lt;&gt;"",IFERROR(INDEX(ctaLiq,MATCH(G1681,ctaNom,0))="Sí",FALSE)),O1681,0))</f>
        <v/>
      </c>
      <c r="W1681" s="19">
        <f>IF(OR(F1681="",I1681=""),"",IF(COUNTIFS(F$6:F1681,F1681,I$6:I1681,"?*")=1,MAX(W$5:W1680)+1,""))</f>
        <v/>
      </c>
    </row>
    <row r="1682">
      <c r="B1682" s="15" t="n"/>
      <c r="C1682" s="16" t="n"/>
      <c r="D1682" s="17" t="n"/>
      <c r="E1682" s="17" t="n"/>
      <c r="F1682" s="17" t="n"/>
      <c r="G1682" s="17" t="n"/>
      <c r="H1682" s="18">
        <f>IF(AND(B1682="",C1682="",D1682="",E1682=""),"",IF(B1682="","⚠ Falta fecha",IF(C1682="","⚠ Falta monto",IF(D1682="","⚠ Falta categoría",IF(ISNA(MATCH(D1682,catNom,0)),"⚠ Categoría no existe",IF(E1682="","⚠ Falta cuenta",IF(ISNA(MATCH(E1682,ctaNom,0)),"⚠ Cuenta no existe",IF(AND(OR(I1682="Transferencia",I1682="Pago tarjeta"),G1682=""),"⚠ Indica la cuenta «Hacia»",IF(AND(G1682&lt;&gt;"",G1682=E1682),"⚠ «Hacia» igual a la cuenta",IF(AND(G1682&lt;&gt;"",ISNA(MATCH(G1682,ctaNom,0))),"⚠ «Hacia» no existe",IF(AND(I1682="Pago tarjeta",IFERROR(INDEX(ctaTipo,MATCH(G1682,ctaNom,0)),"")&lt;&gt;"Tarjeta de crédito"),"⚠ «Hacia» debe ser la tarjeta",IF(AND(I1682="Trading",IFERROR(INDEX(ctaTipo,MATCH(E1682,ctaNom,0)),"")&lt;&gt;"Cuenta de trading"),"⚠ Usa la cuenta de trading","✓"))))))))))))</f>
        <v/>
      </c>
      <c r="I1682" s="19">
        <f>IF(OR(B1682="",C1682="",D1682=""),"",IFERROR(INDEX(catTipo,MATCH(D1682,catNom,0))&amp;"",""))</f>
        <v/>
      </c>
      <c r="J1682" s="19">
        <f>IF(I1682="","",IFERROR(INDEX(catGrupo,MATCH(D1682,catNom,0))&amp;"",""))</f>
        <v/>
      </c>
      <c r="K1682" s="19">
        <f>IF(I1682="Gasto",IF(IFERROR(INDEX(catClas,MATCH(D1682,catNom,0))&amp;"","")="","Variable",IFERROR(INDEX(catClas,MATCH(D1682,catNom,0))&amp;"","")),"")</f>
        <v/>
      </c>
      <c r="L1682" s="19">
        <f>IF(I1682="","",IFERROR(INDEX(catAlim,MATCH(D1682,catNom,0))&amp;"",""))</f>
        <v/>
      </c>
      <c r="M1682" s="19">
        <f>IF(I1682="","",IFERROR(INDEX(catComida,MATCH(D1682,catNom,0))&amp;"",""))</f>
        <v/>
      </c>
      <c r="N1682" s="19">
        <f>IF(I1682="","",IFERROR(INDEX(ctaMon,MATCH(E1682,ctaNom,0))&amp;"","DOP"))</f>
        <v/>
      </c>
      <c r="O1682" s="20">
        <f>IF(I1682="","",C1682*IF(N1682="USD",TasaUSD,1))</f>
        <v/>
      </c>
      <c r="P1682" s="20">
        <f>IF(I1682="","",IF(I1682="Gasto",O1682,0))</f>
        <v/>
      </c>
      <c r="Q1682" s="20">
        <f>IF(I1682="","",IF(I1682="Ingreso",O1682,0))</f>
        <v/>
      </c>
      <c r="R1682" s="20">
        <f>IF(I1682="","",IF(I1682="Trading",O1682,0))</f>
        <v/>
      </c>
      <c r="S1682" s="19">
        <f>IF(I1682="","",IF(AND(I1682="Gasto",K1682="Variable",J1682&lt;&gt;"Trading",O1682&gt;0,O1682&lt;=Umbral),1,0))</f>
        <v/>
      </c>
      <c r="T1682" s="20">
        <f>IF(OR(I1682="",E1682=""),"",IF(OR(I1682="Gasto",I1682="Transferencia",I1682="Pago tarjeta"),-1,1)*C1682)</f>
        <v/>
      </c>
      <c r="U1682" s="20">
        <f>IF(OR(G1682="",AND(I1682&lt;&gt;"Transferencia",I1682&lt;&gt;"Pago tarjeta")),"",IF(IFERROR(INDEX(ctaMon,MATCH(G1682,ctaNom,0))&amp;"","DOP")=N1682,C1682,IF(N1682="USD",C1682*TasaUSD,C1682/TasaUSD)))</f>
        <v/>
      </c>
      <c r="V1682" s="20">
        <f>IF(I1682="","",IF(IFERROR(INDEX(ctaLiq,MATCH(E1682,ctaNom,0))="Sí",FALSE),IF(OR(I1682="Gasto",I1682="Transferencia",I1682="Pago tarjeta"),-1,1)*O1682,0)+IF(AND(U1682&lt;&gt;"",IFERROR(INDEX(ctaLiq,MATCH(G1682,ctaNom,0))="Sí",FALSE)),O1682,0))</f>
        <v/>
      </c>
      <c r="W1682" s="19">
        <f>IF(OR(F1682="",I1682=""),"",IF(COUNTIFS(F$6:F1682,F1682,I$6:I1682,"?*")=1,MAX(W$5:W1681)+1,""))</f>
        <v/>
      </c>
    </row>
    <row r="1683">
      <c r="B1683" s="15" t="n"/>
      <c r="C1683" s="16" t="n"/>
      <c r="D1683" s="17" t="n"/>
      <c r="E1683" s="17" t="n"/>
      <c r="F1683" s="17" t="n"/>
      <c r="G1683" s="17" t="n"/>
      <c r="H1683" s="18">
        <f>IF(AND(B1683="",C1683="",D1683="",E1683=""),"",IF(B1683="","⚠ Falta fecha",IF(C1683="","⚠ Falta monto",IF(D1683="","⚠ Falta categoría",IF(ISNA(MATCH(D1683,catNom,0)),"⚠ Categoría no existe",IF(E1683="","⚠ Falta cuenta",IF(ISNA(MATCH(E1683,ctaNom,0)),"⚠ Cuenta no existe",IF(AND(OR(I1683="Transferencia",I1683="Pago tarjeta"),G1683=""),"⚠ Indica la cuenta «Hacia»",IF(AND(G1683&lt;&gt;"",G1683=E1683),"⚠ «Hacia» igual a la cuenta",IF(AND(G1683&lt;&gt;"",ISNA(MATCH(G1683,ctaNom,0))),"⚠ «Hacia» no existe",IF(AND(I1683="Pago tarjeta",IFERROR(INDEX(ctaTipo,MATCH(G1683,ctaNom,0)),"")&lt;&gt;"Tarjeta de crédito"),"⚠ «Hacia» debe ser la tarjeta",IF(AND(I1683="Trading",IFERROR(INDEX(ctaTipo,MATCH(E1683,ctaNom,0)),"")&lt;&gt;"Cuenta de trading"),"⚠ Usa la cuenta de trading","✓"))))))))))))</f>
        <v/>
      </c>
      <c r="I1683" s="19">
        <f>IF(OR(B1683="",C1683="",D1683=""),"",IFERROR(INDEX(catTipo,MATCH(D1683,catNom,0))&amp;"",""))</f>
        <v/>
      </c>
      <c r="J1683" s="19">
        <f>IF(I1683="","",IFERROR(INDEX(catGrupo,MATCH(D1683,catNom,0))&amp;"",""))</f>
        <v/>
      </c>
      <c r="K1683" s="19">
        <f>IF(I1683="Gasto",IF(IFERROR(INDEX(catClas,MATCH(D1683,catNom,0))&amp;"","")="","Variable",IFERROR(INDEX(catClas,MATCH(D1683,catNom,0))&amp;"","")),"")</f>
        <v/>
      </c>
      <c r="L1683" s="19">
        <f>IF(I1683="","",IFERROR(INDEX(catAlim,MATCH(D1683,catNom,0))&amp;"",""))</f>
        <v/>
      </c>
      <c r="M1683" s="19">
        <f>IF(I1683="","",IFERROR(INDEX(catComida,MATCH(D1683,catNom,0))&amp;"",""))</f>
        <v/>
      </c>
      <c r="N1683" s="19">
        <f>IF(I1683="","",IFERROR(INDEX(ctaMon,MATCH(E1683,ctaNom,0))&amp;"","DOP"))</f>
        <v/>
      </c>
      <c r="O1683" s="20">
        <f>IF(I1683="","",C1683*IF(N1683="USD",TasaUSD,1))</f>
        <v/>
      </c>
      <c r="P1683" s="20">
        <f>IF(I1683="","",IF(I1683="Gasto",O1683,0))</f>
        <v/>
      </c>
      <c r="Q1683" s="20">
        <f>IF(I1683="","",IF(I1683="Ingreso",O1683,0))</f>
        <v/>
      </c>
      <c r="R1683" s="20">
        <f>IF(I1683="","",IF(I1683="Trading",O1683,0))</f>
        <v/>
      </c>
      <c r="S1683" s="19">
        <f>IF(I1683="","",IF(AND(I1683="Gasto",K1683="Variable",J1683&lt;&gt;"Trading",O1683&gt;0,O1683&lt;=Umbral),1,0))</f>
        <v/>
      </c>
      <c r="T1683" s="20">
        <f>IF(OR(I1683="",E1683=""),"",IF(OR(I1683="Gasto",I1683="Transferencia",I1683="Pago tarjeta"),-1,1)*C1683)</f>
        <v/>
      </c>
      <c r="U1683" s="20">
        <f>IF(OR(G1683="",AND(I1683&lt;&gt;"Transferencia",I1683&lt;&gt;"Pago tarjeta")),"",IF(IFERROR(INDEX(ctaMon,MATCH(G1683,ctaNom,0))&amp;"","DOP")=N1683,C1683,IF(N1683="USD",C1683*TasaUSD,C1683/TasaUSD)))</f>
        <v/>
      </c>
      <c r="V1683" s="20">
        <f>IF(I1683="","",IF(IFERROR(INDEX(ctaLiq,MATCH(E1683,ctaNom,0))="Sí",FALSE),IF(OR(I1683="Gasto",I1683="Transferencia",I1683="Pago tarjeta"),-1,1)*O1683,0)+IF(AND(U1683&lt;&gt;"",IFERROR(INDEX(ctaLiq,MATCH(G1683,ctaNom,0))="Sí",FALSE)),O1683,0))</f>
        <v/>
      </c>
      <c r="W1683" s="19">
        <f>IF(OR(F1683="",I1683=""),"",IF(COUNTIFS(F$6:F1683,F1683,I$6:I1683,"?*")=1,MAX(W$5:W1682)+1,""))</f>
        <v/>
      </c>
    </row>
    <row r="1684">
      <c r="B1684" s="15" t="n"/>
      <c r="C1684" s="16" t="n"/>
      <c r="D1684" s="17" t="n"/>
      <c r="E1684" s="17" t="n"/>
      <c r="F1684" s="17" t="n"/>
      <c r="G1684" s="17" t="n"/>
      <c r="H1684" s="18">
        <f>IF(AND(B1684="",C1684="",D1684="",E1684=""),"",IF(B1684="","⚠ Falta fecha",IF(C1684="","⚠ Falta monto",IF(D1684="","⚠ Falta categoría",IF(ISNA(MATCH(D1684,catNom,0)),"⚠ Categoría no existe",IF(E1684="","⚠ Falta cuenta",IF(ISNA(MATCH(E1684,ctaNom,0)),"⚠ Cuenta no existe",IF(AND(OR(I1684="Transferencia",I1684="Pago tarjeta"),G1684=""),"⚠ Indica la cuenta «Hacia»",IF(AND(G1684&lt;&gt;"",G1684=E1684),"⚠ «Hacia» igual a la cuenta",IF(AND(G1684&lt;&gt;"",ISNA(MATCH(G1684,ctaNom,0))),"⚠ «Hacia» no existe",IF(AND(I1684="Pago tarjeta",IFERROR(INDEX(ctaTipo,MATCH(G1684,ctaNom,0)),"")&lt;&gt;"Tarjeta de crédito"),"⚠ «Hacia» debe ser la tarjeta",IF(AND(I1684="Trading",IFERROR(INDEX(ctaTipo,MATCH(E1684,ctaNom,0)),"")&lt;&gt;"Cuenta de trading"),"⚠ Usa la cuenta de trading","✓"))))))))))))</f>
        <v/>
      </c>
      <c r="I1684" s="19">
        <f>IF(OR(B1684="",C1684="",D1684=""),"",IFERROR(INDEX(catTipo,MATCH(D1684,catNom,0))&amp;"",""))</f>
        <v/>
      </c>
      <c r="J1684" s="19">
        <f>IF(I1684="","",IFERROR(INDEX(catGrupo,MATCH(D1684,catNom,0))&amp;"",""))</f>
        <v/>
      </c>
      <c r="K1684" s="19">
        <f>IF(I1684="Gasto",IF(IFERROR(INDEX(catClas,MATCH(D1684,catNom,0))&amp;"","")="","Variable",IFERROR(INDEX(catClas,MATCH(D1684,catNom,0))&amp;"","")),"")</f>
        <v/>
      </c>
      <c r="L1684" s="19">
        <f>IF(I1684="","",IFERROR(INDEX(catAlim,MATCH(D1684,catNom,0))&amp;"",""))</f>
        <v/>
      </c>
      <c r="M1684" s="19">
        <f>IF(I1684="","",IFERROR(INDEX(catComida,MATCH(D1684,catNom,0))&amp;"",""))</f>
        <v/>
      </c>
      <c r="N1684" s="19">
        <f>IF(I1684="","",IFERROR(INDEX(ctaMon,MATCH(E1684,ctaNom,0))&amp;"","DOP"))</f>
        <v/>
      </c>
      <c r="O1684" s="20">
        <f>IF(I1684="","",C1684*IF(N1684="USD",TasaUSD,1))</f>
        <v/>
      </c>
      <c r="P1684" s="20">
        <f>IF(I1684="","",IF(I1684="Gasto",O1684,0))</f>
        <v/>
      </c>
      <c r="Q1684" s="20">
        <f>IF(I1684="","",IF(I1684="Ingreso",O1684,0))</f>
        <v/>
      </c>
      <c r="R1684" s="20">
        <f>IF(I1684="","",IF(I1684="Trading",O1684,0))</f>
        <v/>
      </c>
      <c r="S1684" s="19">
        <f>IF(I1684="","",IF(AND(I1684="Gasto",K1684="Variable",J1684&lt;&gt;"Trading",O1684&gt;0,O1684&lt;=Umbral),1,0))</f>
        <v/>
      </c>
      <c r="T1684" s="20">
        <f>IF(OR(I1684="",E1684=""),"",IF(OR(I1684="Gasto",I1684="Transferencia",I1684="Pago tarjeta"),-1,1)*C1684)</f>
        <v/>
      </c>
      <c r="U1684" s="20">
        <f>IF(OR(G1684="",AND(I1684&lt;&gt;"Transferencia",I1684&lt;&gt;"Pago tarjeta")),"",IF(IFERROR(INDEX(ctaMon,MATCH(G1684,ctaNom,0))&amp;"","DOP")=N1684,C1684,IF(N1684="USD",C1684*TasaUSD,C1684/TasaUSD)))</f>
        <v/>
      </c>
      <c r="V1684" s="20">
        <f>IF(I1684="","",IF(IFERROR(INDEX(ctaLiq,MATCH(E1684,ctaNom,0))="Sí",FALSE),IF(OR(I1684="Gasto",I1684="Transferencia",I1684="Pago tarjeta"),-1,1)*O1684,0)+IF(AND(U1684&lt;&gt;"",IFERROR(INDEX(ctaLiq,MATCH(G1684,ctaNom,0))="Sí",FALSE)),O1684,0))</f>
        <v/>
      </c>
      <c r="W1684" s="19">
        <f>IF(OR(F1684="",I1684=""),"",IF(COUNTIFS(F$6:F1684,F1684,I$6:I1684,"?*")=1,MAX(W$5:W1683)+1,""))</f>
        <v/>
      </c>
    </row>
    <row r="1685">
      <c r="B1685" s="15" t="n"/>
      <c r="C1685" s="16" t="n"/>
      <c r="D1685" s="17" t="n"/>
      <c r="E1685" s="17" t="n"/>
      <c r="F1685" s="17" t="n"/>
      <c r="G1685" s="17" t="n"/>
      <c r="H1685" s="18">
        <f>IF(AND(B1685="",C1685="",D1685="",E1685=""),"",IF(B1685="","⚠ Falta fecha",IF(C1685="","⚠ Falta monto",IF(D1685="","⚠ Falta categoría",IF(ISNA(MATCH(D1685,catNom,0)),"⚠ Categoría no existe",IF(E1685="","⚠ Falta cuenta",IF(ISNA(MATCH(E1685,ctaNom,0)),"⚠ Cuenta no existe",IF(AND(OR(I1685="Transferencia",I1685="Pago tarjeta"),G1685=""),"⚠ Indica la cuenta «Hacia»",IF(AND(G1685&lt;&gt;"",G1685=E1685),"⚠ «Hacia» igual a la cuenta",IF(AND(G1685&lt;&gt;"",ISNA(MATCH(G1685,ctaNom,0))),"⚠ «Hacia» no existe",IF(AND(I1685="Pago tarjeta",IFERROR(INDEX(ctaTipo,MATCH(G1685,ctaNom,0)),"")&lt;&gt;"Tarjeta de crédito"),"⚠ «Hacia» debe ser la tarjeta",IF(AND(I1685="Trading",IFERROR(INDEX(ctaTipo,MATCH(E1685,ctaNom,0)),"")&lt;&gt;"Cuenta de trading"),"⚠ Usa la cuenta de trading","✓"))))))))))))</f>
        <v/>
      </c>
      <c r="I1685" s="19">
        <f>IF(OR(B1685="",C1685="",D1685=""),"",IFERROR(INDEX(catTipo,MATCH(D1685,catNom,0))&amp;"",""))</f>
        <v/>
      </c>
      <c r="J1685" s="19">
        <f>IF(I1685="","",IFERROR(INDEX(catGrupo,MATCH(D1685,catNom,0))&amp;"",""))</f>
        <v/>
      </c>
      <c r="K1685" s="19">
        <f>IF(I1685="Gasto",IF(IFERROR(INDEX(catClas,MATCH(D1685,catNom,0))&amp;"","")="","Variable",IFERROR(INDEX(catClas,MATCH(D1685,catNom,0))&amp;"","")),"")</f>
        <v/>
      </c>
      <c r="L1685" s="19">
        <f>IF(I1685="","",IFERROR(INDEX(catAlim,MATCH(D1685,catNom,0))&amp;"",""))</f>
        <v/>
      </c>
      <c r="M1685" s="19">
        <f>IF(I1685="","",IFERROR(INDEX(catComida,MATCH(D1685,catNom,0))&amp;"",""))</f>
        <v/>
      </c>
      <c r="N1685" s="19">
        <f>IF(I1685="","",IFERROR(INDEX(ctaMon,MATCH(E1685,ctaNom,0))&amp;"","DOP"))</f>
        <v/>
      </c>
      <c r="O1685" s="20">
        <f>IF(I1685="","",C1685*IF(N1685="USD",TasaUSD,1))</f>
        <v/>
      </c>
      <c r="P1685" s="20">
        <f>IF(I1685="","",IF(I1685="Gasto",O1685,0))</f>
        <v/>
      </c>
      <c r="Q1685" s="20">
        <f>IF(I1685="","",IF(I1685="Ingreso",O1685,0))</f>
        <v/>
      </c>
      <c r="R1685" s="20">
        <f>IF(I1685="","",IF(I1685="Trading",O1685,0))</f>
        <v/>
      </c>
      <c r="S1685" s="19">
        <f>IF(I1685="","",IF(AND(I1685="Gasto",K1685="Variable",J1685&lt;&gt;"Trading",O1685&gt;0,O1685&lt;=Umbral),1,0))</f>
        <v/>
      </c>
      <c r="T1685" s="20">
        <f>IF(OR(I1685="",E1685=""),"",IF(OR(I1685="Gasto",I1685="Transferencia",I1685="Pago tarjeta"),-1,1)*C1685)</f>
        <v/>
      </c>
      <c r="U1685" s="20">
        <f>IF(OR(G1685="",AND(I1685&lt;&gt;"Transferencia",I1685&lt;&gt;"Pago tarjeta")),"",IF(IFERROR(INDEX(ctaMon,MATCH(G1685,ctaNom,0))&amp;"","DOP")=N1685,C1685,IF(N1685="USD",C1685*TasaUSD,C1685/TasaUSD)))</f>
        <v/>
      </c>
      <c r="V1685" s="20">
        <f>IF(I1685="","",IF(IFERROR(INDEX(ctaLiq,MATCH(E1685,ctaNom,0))="Sí",FALSE),IF(OR(I1685="Gasto",I1685="Transferencia",I1685="Pago tarjeta"),-1,1)*O1685,0)+IF(AND(U1685&lt;&gt;"",IFERROR(INDEX(ctaLiq,MATCH(G1685,ctaNom,0))="Sí",FALSE)),O1685,0))</f>
        <v/>
      </c>
      <c r="W1685" s="19">
        <f>IF(OR(F1685="",I1685=""),"",IF(COUNTIFS(F$6:F1685,F1685,I$6:I1685,"?*")=1,MAX(W$5:W1684)+1,""))</f>
        <v/>
      </c>
    </row>
    <row r="1686">
      <c r="B1686" s="15" t="n"/>
      <c r="C1686" s="16" t="n"/>
      <c r="D1686" s="17" t="n"/>
      <c r="E1686" s="17" t="n"/>
      <c r="F1686" s="17" t="n"/>
      <c r="G1686" s="17" t="n"/>
      <c r="H1686" s="18">
        <f>IF(AND(B1686="",C1686="",D1686="",E1686=""),"",IF(B1686="","⚠ Falta fecha",IF(C1686="","⚠ Falta monto",IF(D1686="","⚠ Falta categoría",IF(ISNA(MATCH(D1686,catNom,0)),"⚠ Categoría no existe",IF(E1686="","⚠ Falta cuenta",IF(ISNA(MATCH(E1686,ctaNom,0)),"⚠ Cuenta no existe",IF(AND(OR(I1686="Transferencia",I1686="Pago tarjeta"),G1686=""),"⚠ Indica la cuenta «Hacia»",IF(AND(G1686&lt;&gt;"",G1686=E1686),"⚠ «Hacia» igual a la cuenta",IF(AND(G1686&lt;&gt;"",ISNA(MATCH(G1686,ctaNom,0))),"⚠ «Hacia» no existe",IF(AND(I1686="Pago tarjeta",IFERROR(INDEX(ctaTipo,MATCH(G1686,ctaNom,0)),"")&lt;&gt;"Tarjeta de crédito"),"⚠ «Hacia» debe ser la tarjeta",IF(AND(I1686="Trading",IFERROR(INDEX(ctaTipo,MATCH(E1686,ctaNom,0)),"")&lt;&gt;"Cuenta de trading"),"⚠ Usa la cuenta de trading","✓"))))))))))))</f>
        <v/>
      </c>
      <c r="I1686" s="19">
        <f>IF(OR(B1686="",C1686="",D1686=""),"",IFERROR(INDEX(catTipo,MATCH(D1686,catNom,0))&amp;"",""))</f>
        <v/>
      </c>
      <c r="J1686" s="19">
        <f>IF(I1686="","",IFERROR(INDEX(catGrupo,MATCH(D1686,catNom,0))&amp;"",""))</f>
        <v/>
      </c>
      <c r="K1686" s="19">
        <f>IF(I1686="Gasto",IF(IFERROR(INDEX(catClas,MATCH(D1686,catNom,0))&amp;"","")="","Variable",IFERROR(INDEX(catClas,MATCH(D1686,catNom,0))&amp;"","")),"")</f>
        <v/>
      </c>
      <c r="L1686" s="19">
        <f>IF(I1686="","",IFERROR(INDEX(catAlim,MATCH(D1686,catNom,0))&amp;"",""))</f>
        <v/>
      </c>
      <c r="M1686" s="19">
        <f>IF(I1686="","",IFERROR(INDEX(catComida,MATCH(D1686,catNom,0))&amp;"",""))</f>
        <v/>
      </c>
      <c r="N1686" s="19">
        <f>IF(I1686="","",IFERROR(INDEX(ctaMon,MATCH(E1686,ctaNom,0))&amp;"","DOP"))</f>
        <v/>
      </c>
      <c r="O1686" s="20">
        <f>IF(I1686="","",C1686*IF(N1686="USD",TasaUSD,1))</f>
        <v/>
      </c>
      <c r="P1686" s="20">
        <f>IF(I1686="","",IF(I1686="Gasto",O1686,0))</f>
        <v/>
      </c>
      <c r="Q1686" s="20">
        <f>IF(I1686="","",IF(I1686="Ingreso",O1686,0))</f>
        <v/>
      </c>
      <c r="R1686" s="20">
        <f>IF(I1686="","",IF(I1686="Trading",O1686,0))</f>
        <v/>
      </c>
      <c r="S1686" s="19">
        <f>IF(I1686="","",IF(AND(I1686="Gasto",K1686="Variable",J1686&lt;&gt;"Trading",O1686&gt;0,O1686&lt;=Umbral),1,0))</f>
        <v/>
      </c>
      <c r="T1686" s="20">
        <f>IF(OR(I1686="",E1686=""),"",IF(OR(I1686="Gasto",I1686="Transferencia",I1686="Pago tarjeta"),-1,1)*C1686)</f>
        <v/>
      </c>
      <c r="U1686" s="20">
        <f>IF(OR(G1686="",AND(I1686&lt;&gt;"Transferencia",I1686&lt;&gt;"Pago tarjeta")),"",IF(IFERROR(INDEX(ctaMon,MATCH(G1686,ctaNom,0))&amp;"","DOP")=N1686,C1686,IF(N1686="USD",C1686*TasaUSD,C1686/TasaUSD)))</f>
        <v/>
      </c>
      <c r="V1686" s="20">
        <f>IF(I1686="","",IF(IFERROR(INDEX(ctaLiq,MATCH(E1686,ctaNom,0))="Sí",FALSE),IF(OR(I1686="Gasto",I1686="Transferencia",I1686="Pago tarjeta"),-1,1)*O1686,0)+IF(AND(U1686&lt;&gt;"",IFERROR(INDEX(ctaLiq,MATCH(G1686,ctaNom,0))="Sí",FALSE)),O1686,0))</f>
        <v/>
      </c>
      <c r="W1686" s="19">
        <f>IF(OR(F1686="",I1686=""),"",IF(COUNTIFS(F$6:F1686,F1686,I$6:I1686,"?*")=1,MAX(W$5:W1685)+1,""))</f>
        <v/>
      </c>
    </row>
    <row r="1687">
      <c r="B1687" s="15" t="n"/>
      <c r="C1687" s="16" t="n"/>
      <c r="D1687" s="17" t="n"/>
      <c r="E1687" s="17" t="n"/>
      <c r="F1687" s="17" t="n"/>
      <c r="G1687" s="17" t="n"/>
      <c r="H1687" s="18">
        <f>IF(AND(B1687="",C1687="",D1687="",E1687=""),"",IF(B1687="","⚠ Falta fecha",IF(C1687="","⚠ Falta monto",IF(D1687="","⚠ Falta categoría",IF(ISNA(MATCH(D1687,catNom,0)),"⚠ Categoría no existe",IF(E1687="","⚠ Falta cuenta",IF(ISNA(MATCH(E1687,ctaNom,0)),"⚠ Cuenta no existe",IF(AND(OR(I1687="Transferencia",I1687="Pago tarjeta"),G1687=""),"⚠ Indica la cuenta «Hacia»",IF(AND(G1687&lt;&gt;"",G1687=E1687),"⚠ «Hacia» igual a la cuenta",IF(AND(G1687&lt;&gt;"",ISNA(MATCH(G1687,ctaNom,0))),"⚠ «Hacia» no existe",IF(AND(I1687="Pago tarjeta",IFERROR(INDEX(ctaTipo,MATCH(G1687,ctaNom,0)),"")&lt;&gt;"Tarjeta de crédito"),"⚠ «Hacia» debe ser la tarjeta",IF(AND(I1687="Trading",IFERROR(INDEX(ctaTipo,MATCH(E1687,ctaNom,0)),"")&lt;&gt;"Cuenta de trading"),"⚠ Usa la cuenta de trading","✓"))))))))))))</f>
        <v/>
      </c>
      <c r="I1687" s="19">
        <f>IF(OR(B1687="",C1687="",D1687=""),"",IFERROR(INDEX(catTipo,MATCH(D1687,catNom,0))&amp;"",""))</f>
        <v/>
      </c>
      <c r="J1687" s="19">
        <f>IF(I1687="","",IFERROR(INDEX(catGrupo,MATCH(D1687,catNom,0))&amp;"",""))</f>
        <v/>
      </c>
      <c r="K1687" s="19">
        <f>IF(I1687="Gasto",IF(IFERROR(INDEX(catClas,MATCH(D1687,catNom,0))&amp;"","")="","Variable",IFERROR(INDEX(catClas,MATCH(D1687,catNom,0))&amp;"","")),"")</f>
        <v/>
      </c>
      <c r="L1687" s="19">
        <f>IF(I1687="","",IFERROR(INDEX(catAlim,MATCH(D1687,catNom,0))&amp;"",""))</f>
        <v/>
      </c>
      <c r="M1687" s="19">
        <f>IF(I1687="","",IFERROR(INDEX(catComida,MATCH(D1687,catNom,0))&amp;"",""))</f>
        <v/>
      </c>
      <c r="N1687" s="19">
        <f>IF(I1687="","",IFERROR(INDEX(ctaMon,MATCH(E1687,ctaNom,0))&amp;"","DOP"))</f>
        <v/>
      </c>
      <c r="O1687" s="20">
        <f>IF(I1687="","",C1687*IF(N1687="USD",TasaUSD,1))</f>
        <v/>
      </c>
      <c r="P1687" s="20">
        <f>IF(I1687="","",IF(I1687="Gasto",O1687,0))</f>
        <v/>
      </c>
      <c r="Q1687" s="20">
        <f>IF(I1687="","",IF(I1687="Ingreso",O1687,0))</f>
        <v/>
      </c>
      <c r="R1687" s="20">
        <f>IF(I1687="","",IF(I1687="Trading",O1687,0))</f>
        <v/>
      </c>
      <c r="S1687" s="19">
        <f>IF(I1687="","",IF(AND(I1687="Gasto",K1687="Variable",J1687&lt;&gt;"Trading",O1687&gt;0,O1687&lt;=Umbral),1,0))</f>
        <v/>
      </c>
      <c r="T1687" s="20">
        <f>IF(OR(I1687="",E1687=""),"",IF(OR(I1687="Gasto",I1687="Transferencia",I1687="Pago tarjeta"),-1,1)*C1687)</f>
        <v/>
      </c>
      <c r="U1687" s="20">
        <f>IF(OR(G1687="",AND(I1687&lt;&gt;"Transferencia",I1687&lt;&gt;"Pago tarjeta")),"",IF(IFERROR(INDEX(ctaMon,MATCH(G1687,ctaNom,0))&amp;"","DOP")=N1687,C1687,IF(N1687="USD",C1687*TasaUSD,C1687/TasaUSD)))</f>
        <v/>
      </c>
      <c r="V1687" s="20">
        <f>IF(I1687="","",IF(IFERROR(INDEX(ctaLiq,MATCH(E1687,ctaNom,0))="Sí",FALSE),IF(OR(I1687="Gasto",I1687="Transferencia",I1687="Pago tarjeta"),-1,1)*O1687,0)+IF(AND(U1687&lt;&gt;"",IFERROR(INDEX(ctaLiq,MATCH(G1687,ctaNom,0))="Sí",FALSE)),O1687,0))</f>
        <v/>
      </c>
      <c r="W1687" s="19">
        <f>IF(OR(F1687="",I1687=""),"",IF(COUNTIFS(F$6:F1687,F1687,I$6:I1687,"?*")=1,MAX(W$5:W1686)+1,""))</f>
        <v/>
      </c>
    </row>
    <row r="1688">
      <c r="B1688" s="15" t="n"/>
      <c r="C1688" s="16" t="n"/>
      <c r="D1688" s="17" t="n"/>
      <c r="E1688" s="17" t="n"/>
      <c r="F1688" s="17" t="n"/>
      <c r="G1688" s="17" t="n"/>
      <c r="H1688" s="18">
        <f>IF(AND(B1688="",C1688="",D1688="",E1688=""),"",IF(B1688="","⚠ Falta fecha",IF(C1688="","⚠ Falta monto",IF(D1688="","⚠ Falta categoría",IF(ISNA(MATCH(D1688,catNom,0)),"⚠ Categoría no existe",IF(E1688="","⚠ Falta cuenta",IF(ISNA(MATCH(E1688,ctaNom,0)),"⚠ Cuenta no existe",IF(AND(OR(I1688="Transferencia",I1688="Pago tarjeta"),G1688=""),"⚠ Indica la cuenta «Hacia»",IF(AND(G1688&lt;&gt;"",G1688=E1688),"⚠ «Hacia» igual a la cuenta",IF(AND(G1688&lt;&gt;"",ISNA(MATCH(G1688,ctaNom,0))),"⚠ «Hacia» no existe",IF(AND(I1688="Pago tarjeta",IFERROR(INDEX(ctaTipo,MATCH(G1688,ctaNom,0)),"")&lt;&gt;"Tarjeta de crédito"),"⚠ «Hacia» debe ser la tarjeta",IF(AND(I1688="Trading",IFERROR(INDEX(ctaTipo,MATCH(E1688,ctaNom,0)),"")&lt;&gt;"Cuenta de trading"),"⚠ Usa la cuenta de trading","✓"))))))))))))</f>
        <v/>
      </c>
      <c r="I1688" s="19">
        <f>IF(OR(B1688="",C1688="",D1688=""),"",IFERROR(INDEX(catTipo,MATCH(D1688,catNom,0))&amp;"",""))</f>
        <v/>
      </c>
      <c r="J1688" s="19">
        <f>IF(I1688="","",IFERROR(INDEX(catGrupo,MATCH(D1688,catNom,0))&amp;"",""))</f>
        <v/>
      </c>
      <c r="K1688" s="19">
        <f>IF(I1688="Gasto",IF(IFERROR(INDEX(catClas,MATCH(D1688,catNom,0))&amp;"","")="","Variable",IFERROR(INDEX(catClas,MATCH(D1688,catNom,0))&amp;"","")),"")</f>
        <v/>
      </c>
      <c r="L1688" s="19">
        <f>IF(I1688="","",IFERROR(INDEX(catAlim,MATCH(D1688,catNom,0))&amp;"",""))</f>
        <v/>
      </c>
      <c r="M1688" s="19">
        <f>IF(I1688="","",IFERROR(INDEX(catComida,MATCH(D1688,catNom,0))&amp;"",""))</f>
        <v/>
      </c>
      <c r="N1688" s="19">
        <f>IF(I1688="","",IFERROR(INDEX(ctaMon,MATCH(E1688,ctaNom,0))&amp;"","DOP"))</f>
        <v/>
      </c>
      <c r="O1688" s="20">
        <f>IF(I1688="","",C1688*IF(N1688="USD",TasaUSD,1))</f>
        <v/>
      </c>
      <c r="P1688" s="20">
        <f>IF(I1688="","",IF(I1688="Gasto",O1688,0))</f>
        <v/>
      </c>
      <c r="Q1688" s="20">
        <f>IF(I1688="","",IF(I1688="Ingreso",O1688,0))</f>
        <v/>
      </c>
      <c r="R1688" s="20">
        <f>IF(I1688="","",IF(I1688="Trading",O1688,0))</f>
        <v/>
      </c>
      <c r="S1688" s="19">
        <f>IF(I1688="","",IF(AND(I1688="Gasto",K1688="Variable",J1688&lt;&gt;"Trading",O1688&gt;0,O1688&lt;=Umbral),1,0))</f>
        <v/>
      </c>
      <c r="T1688" s="20">
        <f>IF(OR(I1688="",E1688=""),"",IF(OR(I1688="Gasto",I1688="Transferencia",I1688="Pago tarjeta"),-1,1)*C1688)</f>
        <v/>
      </c>
      <c r="U1688" s="20">
        <f>IF(OR(G1688="",AND(I1688&lt;&gt;"Transferencia",I1688&lt;&gt;"Pago tarjeta")),"",IF(IFERROR(INDEX(ctaMon,MATCH(G1688,ctaNom,0))&amp;"","DOP")=N1688,C1688,IF(N1688="USD",C1688*TasaUSD,C1688/TasaUSD)))</f>
        <v/>
      </c>
      <c r="V1688" s="20">
        <f>IF(I1688="","",IF(IFERROR(INDEX(ctaLiq,MATCH(E1688,ctaNom,0))="Sí",FALSE),IF(OR(I1688="Gasto",I1688="Transferencia",I1688="Pago tarjeta"),-1,1)*O1688,0)+IF(AND(U1688&lt;&gt;"",IFERROR(INDEX(ctaLiq,MATCH(G1688,ctaNom,0))="Sí",FALSE)),O1688,0))</f>
        <v/>
      </c>
      <c r="W1688" s="19">
        <f>IF(OR(F1688="",I1688=""),"",IF(COUNTIFS(F$6:F1688,F1688,I$6:I1688,"?*")=1,MAX(W$5:W1687)+1,""))</f>
        <v/>
      </c>
    </row>
    <row r="1689">
      <c r="B1689" s="15" t="n"/>
      <c r="C1689" s="16" t="n"/>
      <c r="D1689" s="17" t="n"/>
      <c r="E1689" s="17" t="n"/>
      <c r="F1689" s="17" t="n"/>
      <c r="G1689" s="17" t="n"/>
      <c r="H1689" s="18">
        <f>IF(AND(B1689="",C1689="",D1689="",E1689=""),"",IF(B1689="","⚠ Falta fecha",IF(C1689="","⚠ Falta monto",IF(D1689="","⚠ Falta categoría",IF(ISNA(MATCH(D1689,catNom,0)),"⚠ Categoría no existe",IF(E1689="","⚠ Falta cuenta",IF(ISNA(MATCH(E1689,ctaNom,0)),"⚠ Cuenta no existe",IF(AND(OR(I1689="Transferencia",I1689="Pago tarjeta"),G1689=""),"⚠ Indica la cuenta «Hacia»",IF(AND(G1689&lt;&gt;"",G1689=E1689),"⚠ «Hacia» igual a la cuenta",IF(AND(G1689&lt;&gt;"",ISNA(MATCH(G1689,ctaNom,0))),"⚠ «Hacia» no existe",IF(AND(I1689="Pago tarjeta",IFERROR(INDEX(ctaTipo,MATCH(G1689,ctaNom,0)),"")&lt;&gt;"Tarjeta de crédito"),"⚠ «Hacia» debe ser la tarjeta",IF(AND(I1689="Trading",IFERROR(INDEX(ctaTipo,MATCH(E1689,ctaNom,0)),"")&lt;&gt;"Cuenta de trading"),"⚠ Usa la cuenta de trading","✓"))))))))))))</f>
        <v/>
      </c>
      <c r="I1689" s="19">
        <f>IF(OR(B1689="",C1689="",D1689=""),"",IFERROR(INDEX(catTipo,MATCH(D1689,catNom,0))&amp;"",""))</f>
        <v/>
      </c>
      <c r="J1689" s="19">
        <f>IF(I1689="","",IFERROR(INDEX(catGrupo,MATCH(D1689,catNom,0))&amp;"",""))</f>
        <v/>
      </c>
      <c r="K1689" s="19">
        <f>IF(I1689="Gasto",IF(IFERROR(INDEX(catClas,MATCH(D1689,catNom,0))&amp;"","")="","Variable",IFERROR(INDEX(catClas,MATCH(D1689,catNom,0))&amp;"","")),"")</f>
        <v/>
      </c>
      <c r="L1689" s="19">
        <f>IF(I1689="","",IFERROR(INDEX(catAlim,MATCH(D1689,catNom,0))&amp;"",""))</f>
        <v/>
      </c>
      <c r="M1689" s="19">
        <f>IF(I1689="","",IFERROR(INDEX(catComida,MATCH(D1689,catNom,0))&amp;"",""))</f>
        <v/>
      </c>
      <c r="N1689" s="19">
        <f>IF(I1689="","",IFERROR(INDEX(ctaMon,MATCH(E1689,ctaNom,0))&amp;"","DOP"))</f>
        <v/>
      </c>
      <c r="O1689" s="20">
        <f>IF(I1689="","",C1689*IF(N1689="USD",TasaUSD,1))</f>
        <v/>
      </c>
      <c r="P1689" s="20">
        <f>IF(I1689="","",IF(I1689="Gasto",O1689,0))</f>
        <v/>
      </c>
      <c r="Q1689" s="20">
        <f>IF(I1689="","",IF(I1689="Ingreso",O1689,0))</f>
        <v/>
      </c>
      <c r="R1689" s="20">
        <f>IF(I1689="","",IF(I1689="Trading",O1689,0))</f>
        <v/>
      </c>
      <c r="S1689" s="19">
        <f>IF(I1689="","",IF(AND(I1689="Gasto",K1689="Variable",J1689&lt;&gt;"Trading",O1689&gt;0,O1689&lt;=Umbral),1,0))</f>
        <v/>
      </c>
      <c r="T1689" s="20">
        <f>IF(OR(I1689="",E1689=""),"",IF(OR(I1689="Gasto",I1689="Transferencia",I1689="Pago tarjeta"),-1,1)*C1689)</f>
        <v/>
      </c>
      <c r="U1689" s="20">
        <f>IF(OR(G1689="",AND(I1689&lt;&gt;"Transferencia",I1689&lt;&gt;"Pago tarjeta")),"",IF(IFERROR(INDEX(ctaMon,MATCH(G1689,ctaNom,0))&amp;"","DOP")=N1689,C1689,IF(N1689="USD",C1689*TasaUSD,C1689/TasaUSD)))</f>
        <v/>
      </c>
      <c r="V1689" s="20">
        <f>IF(I1689="","",IF(IFERROR(INDEX(ctaLiq,MATCH(E1689,ctaNom,0))="Sí",FALSE),IF(OR(I1689="Gasto",I1689="Transferencia",I1689="Pago tarjeta"),-1,1)*O1689,0)+IF(AND(U1689&lt;&gt;"",IFERROR(INDEX(ctaLiq,MATCH(G1689,ctaNom,0))="Sí",FALSE)),O1689,0))</f>
        <v/>
      </c>
      <c r="W1689" s="19">
        <f>IF(OR(F1689="",I1689=""),"",IF(COUNTIFS(F$6:F1689,F1689,I$6:I1689,"?*")=1,MAX(W$5:W1688)+1,""))</f>
        <v/>
      </c>
    </row>
    <row r="1690">
      <c r="B1690" s="15" t="n"/>
      <c r="C1690" s="16" t="n"/>
      <c r="D1690" s="17" t="n"/>
      <c r="E1690" s="17" t="n"/>
      <c r="F1690" s="17" t="n"/>
      <c r="G1690" s="17" t="n"/>
      <c r="H1690" s="18">
        <f>IF(AND(B1690="",C1690="",D1690="",E1690=""),"",IF(B1690="","⚠ Falta fecha",IF(C1690="","⚠ Falta monto",IF(D1690="","⚠ Falta categoría",IF(ISNA(MATCH(D1690,catNom,0)),"⚠ Categoría no existe",IF(E1690="","⚠ Falta cuenta",IF(ISNA(MATCH(E1690,ctaNom,0)),"⚠ Cuenta no existe",IF(AND(OR(I1690="Transferencia",I1690="Pago tarjeta"),G1690=""),"⚠ Indica la cuenta «Hacia»",IF(AND(G1690&lt;&gt;"",G1690=E1690),"⚠ «Hacia» igual a la cuenta",IF(AND(G1690&lt;&gt;"",ISNA(MATCH(G1690,ctaNom,0))),"⚠ «Hacia» no existe",IF(AND(I1690="Pago tarjeta",IFERROR(INDEX(ctaTipo,MATCH(G1690,ctaNom,0)),"")&lt;&gt;"Tarjeta de crédito"),"⚠ «Hacia» debe ser la tarjeta",IF(AND(I1690="Trading",IFERROR(INDEX(ctaTipo,MATCH(E1690,ctaNom,0)),"")&lt;&gt;"Cuenta de trading"),"⚠ Usa la cuenta de trading","✓"))))))))))))</f>
        <v/>
      </c>
      <c r="I1690" s="19">
        <f>IF(OR(B1690="",C1690="",D1690=""),"",IFERROR(INDEX(catTipo,MATCH(D1690,catNom,0))&amp;"",""))</f>
        <v/>
      </c>
      <c r="J1690" s="19">
        <f>IF(I1690="","",IFERROR(INDEX(catGrupo,MATCH(D1690,catNom,0))&amp;"",""))</f>
        <v/>
      </c>
      <c r="K1690" s="19">
        <f>IF(I1690="Gasto",IF(IFERROR(INDEX(catClas,MATCH(D1690,catNom,0))&amp;"","")="","Variable",IFERROR(INDEX(catClas,MATCH(D1690,catNom,0))&amp;"","")),"")</f>
        <v/>
      </c>
      <c r="L1690" s="19">
        <f>IF(I1690="","",IFERROR(INDEX(catAlim,MATCH(D1690,catNom,0))&amp;"",""))</f>
        <v/>
      </c>
      <c r="M1690" s="19">
        <f>IF(I1690="","",IFERROR(INDEX(catComida,MATCH(D1690,catNom,0))&amp;"",""))</f>
        <v/>
      </c>
      <c r="N1690" s="19">
        <f>IF(I1690="","",IFERROR(INDEX(ctaMon,MATCH(E1690,ctaNom,0))&amp;"","DOP"))</f>
        <v/>
      </c>
      <c r="O1690" s="20">
        <f>IF(I1690="","",C1690*IF(N1690="USD",TasaUSD,1))</f>
        <v/>
      </c>
      <c r="P1690" s="20">
        <f>IF(I1690="","",IF(I1690="Gasto",O1690,0))</f>
        <v/>
      </c>
      <c r="Q1690" s="20">
        <f>IF(I1690="","",IF(I1690="Ingreso",O1690,0))</f>
        <v/>
      </c>
      <c r="R1690" s="20">
        <f>IF(I1690="","",IF(I1690="Trading",O1690,0))</f>
        <v/>
      </c>
      <c r="S1690" s="19">
        <f>IF(I1690="","",IF(AND(I1690="Gasto",K1690="Variable",J1690&lt;&gt;"Trading",O1690&gt;0,O1690&lt;=Umbral),1,0))</f>
        <v/>
      </c>
      <c r="T1690" s="20">
        <f>IF(OR(I1690="",E1690=""),"",IF(OR(I1690="Gasto",I1690="Transferencia",I1690="Pago tarjeta"),-1,1)*C1690)</f>
        <v/>
      </c>
      <c r="U1690" s="20">
        <f>IF(OR(G1690="",AND(I1690&lt;&gt;"Transferencia",I1690&lt;&gt;"Pago tarjeta")),"",IF(IFERROR(INDEX(ctaMon,MATCH(G1690,ctaNom,0))&amp;"","DOP")=N1690,C1690,IF(N1690="USD",C1690*TasaUSD,C1690/TasaUSD)))</f>
        <v/>
      </c>
      <c r="V1690" s="20">
        <f>IF(I1690="","",IF(IFERROR(INDEX(ctaLiq,MATCH(E1690,ctaNom,0))="Sí",FALSE),IF(OR(I1690="Gasto",I1690="Transferencia",I1690="Pago tarjeta"),-1,1)*O1690,0)+IF(AND(U1690&lt;&gt;"",IFERROR(INDEX(ctaLiq,MATCH(G1690,ctaNom,0))="Sí",FALSE)),O1690,0))</f>
        <v/>
      </c>
      <c r="W1690" s="19">
        <f>IF(OR(F1690="",I1690=""),"",IF(COUNTIFS(F$6:F1690,F1690,I$6:I1690,"?*")=1,MAX(W$5:W1689)+1,""))</f>
        <v/>
      </c>
    </row>
    <row r="1691">
      <c r="B1691" s="15" t="n"/>
      <c r="C1691" s="16" t="n"/>
      <c r="D1691" s="17" t="n"/>
      <c r="E1691" s="17" t="n"/>
      <c r="F1691" s="17" t="n"/>
      <c r="G1691" s="17" t="n"/>
      <c r="H1691" s="18">
        <f>IF(AND(B1691="",C1691="",D1691="",E1691=""),"",IF(B1691="","⚠ Falta fecha",IF(C1691="","⚠ Falta monto",IF(D1691="","⚠ Falta categoría",IF(ISNA(MATCH(D1691,catNom,0)),"⚠ Categoría no existe",IF(E1691="","⚠ Falta cuenta",IF(ISNA(MATCH(E1691,ctaNom,0)),"⚠ Cuenta no existe",IF(AND(OR(I1691="Transferencia",I1691="Pago tarjeta"),G1691=""),"⚠ Indica la cuenta «Hacia»",IF(AND(G1691&lt;&gt;"",G1691=E1691),"⚠ «Hacia» igual a la cuenta",IF(AND(G1691&lt;&gt;"",ISNA(MATCH(G1691,ctaNom,0))),"⚠ «Hacia» no existe",IF(AND(I1691="Pago tarjeta",IFERROR(INDEX(ctaTipo,MATCH(G1691,ctaNom,0)),"")&lt;&gt;"Tarjeta de crédito"),"⚠ «Hacia» debe ser la tarjeta",IF(AND(I1691="Trading",IFERROR(INDEX(ctaTipo,MATCH(E1691,ctaNom,0)),"")&lt;&gt;"Cuenta de trading"),"⚠ Usa la cuenta de trading","✓"))))))))))))</f>
        <v/>
      </c>
      <c r="I1691" s="19">
        <f>IF(OR(B1691="",C1691="",D1691=""),"",IFERROR(INDEX(catTipo,MATCH(D1691,catNom,0))&amp;"",""))</f>
        <v/>
      </c>
      <c r="J1691" s="19">
        <f>IF(I1691="","",IFERROR(INDEX(catGrupo,MATCH(D1691,catNom,0))&amp;"",""))</f>
        <v/>
      </c>
      <c r="K1691" s="19">
        <f>IF(I1691="Gasto",IF(IFERROR(INDEX(catClas,MATCH(D1691,catNom,0))&amp;"","")="","Variable",IFERROR(INDEX(catClas,MATCH(D1691,catNom,0))&amp;"","")),"")</f>
        <v/>
      </c>
      <c r="L1691" s="19">
        <f>IF(I1691="","",IFERROR(INDEX(catAlim,MATCH(D1691,catNom,0))&amp;"",""))</f>
        <v/>
      </c>
      <c r="M1691" s="19">
        <f>IF(I1691="","",IFERROR(INDEX(catComida,MATCH(D1691,catNom,0))&amp;"",""))</f>
        <v/>
      </c>
      <c r="N1691" s="19">
        <f>IF(I1691="","",IFERROR(INDEX(ctaMon,MATCH(E1691,ctaNom,0))&amp;"","DOP"))</f>
        <v/>
      </c>
      <c r="O1691" s="20">
        <f>IF(I1691="","",C1691*IF(N1691="USD",TasaUSD,1))</f>
        <v/>
      </c>
      <c r="P1691" s="20">
        <f>IF(I1691="","",IF(I1691="Gasto",O1691,0))</f>
        <v/>
      </c>
      <c r="Q1691" s="20">
        <f>IF(I1691="","",IF(I1691="Ingreso",O1691,0))</f>
        <v/>
      </c>
      <c r="R1691" s="20">
        <f>IF(I1691="","",IF(I1691="Trading",O1691,0))</f>
        <v/>
      </c>
      <c r="S1691" s="19">
        <f>IF(I1691="","",IF(AND(I1691="Gasto",K1691="Variable",J1691&lt;&gt;"Trading",O1691&gt;0,O1691&lt;=Umbral),1,0))</f>
        <v/>
      </c>
      <c r="T1691" s="20">
        <f>IF(OR(I1691="",E1691=""),"",IF(OR(I1691="Gasto",I1691="Transferencia",I1691="Pago tarjeta"),-1,1)*C1691)</f>
        <v/>
      </c>
      <c r="U1691" s="20">
        <f>IF(OR(G1691="",AND(I1691&lt;&gt;"Transferencia",I1691&lt;&gt;"Pago tarjeta")),"",IF(IFERROR(INDEX(ctaMon,MATCH(G1691,ctaNom,0))&amp;"","DOP")=N1691,C1691,IF(N1691="USD",C1691*TasaUSD,C1691/TasaUSD)))</f>
        <v/>
      </c>
      <c r="V1691" s="20">
        <f>IF(I1691="","",IF(IFERROR(INDEX(ctaLiq,MATCH(E1691,ctaNom,0))="Sí",FALSE),IF(OR(I1691="Gasto",I1691="Transferencia",I1691="Pago tarjeta"),-1,1)*O1691,0)+IF(AND(U1691&lt;&gt;"",IFERROR(INDEX(ctaLiq,MATCH(G1691,ctaNom,0))="Sí",FALSE)),O1691,0))</f>
        <v/>
      </c>
      <c r="W1691" s="19">
        <f>IF(OR(F1691="",I1691=""),"",IF(COUNTIFS(F$6:F1691,F1691,I$6:I1691,"?*")=1,MAX(W$5:W1690)+1,""))</f>
        <v/>
      </c>
    </row>
    <row r="1692">
      <c r="B1692" s="15" t="n"/>
      <c r="C1692" s="16" t="n"/>
      <c r="D1692" s="17" t="n"/>
      <c r="E1692" s="17" t="n"/>
      <c r="F1692" s="17" t="n"/>
      <c r="G1692" s="17" t="n"/>
      <c r="H1692" s="18">
        <f>IF(AND(B1692="",C1692="",D1692="",E1692=""),"",IF(B1692="","⚠ Falta fecha",IF(C1692="","⚠ Falta monto",IF(D1692="","⚠ Falta categoría",IF(ISNA(MATCH(D1692,catNom,0)),"⚠ Categoría no existe",IF(E1692="","⚠ Falta cuenta",IF(ISNA(MATCH(E1692,ctaNom,0)),"⚠ Cuenta no existe",IF(AND(OR(I1692="Transferencia",I1692="Pago tarjeta"),G1692=""),"⚠ Indica la cuenta «Hacia»",IF(AND(G1692&lt;&gt;"",G1692=E1692),"⚠ «Hacia» igual a la cuenta",IF(AND(G1692&lt;&gt;"",ISNA(MATCH(G1692,ctaNom,0))),"⚠ «Hacia» no existe",IF(AND(I1692="Pago tarjeta",IFERROR(INDEX(ctaTipo,MATCH(G1692,ctaNom,0)),"")&lt;&gt;"Tarjeta de crédito"),"⚠ «Hacia» debe ser la tarjeta",IF(AND(I1692="Trading",IFERROR(INDEX(ctaTipo,MATCH(E1692,ctaNom,0)),"")&lt;&gt;"Cuenta de trading"),"⚠ Usa la cuenta de trading","✓"))))))))))))</f>
        <v/>
      </c>
      <c r="I1692" s="19">
        <f>IF(OR(B1692="",C1692="",D1692=""),"",IFERROR(INDEX(catTipo,MATCH(D1692,catNom,0))&amp;"",""))</f>
        <v/>
      </c>
      <c r="J1692" s="19">
        <f>IF(I1692="","",IFERROR(INDEX(catGrupo,MATCH(D1692,catNom,0))&amp;"",""))</f>
        <v/>
      </c>
      <c r="K1692" s="19">
        <f>IF(I1692="Gasto",IF(IFERROR(INDEX(catClas,MATCH(D1692,catNom,0))&amp;"","")="","Variable",IFERROR(INDEX(catClas,MATCH(D1692,catNom,0))&amp;"","")),"")</f>
        <v/>
      </c>
      <c r="L1692" s="19">
        <f>IF(I1692="","",IFERROR(INDEX(catAlim,MATCH(D1692,catNom,0))&amp;"",""))</f>
        <v/>
      </c>
      <c r="M1692" s="19">
        <f>IF(I1692="","",IFERROR(INDEX(catComida,MATCH(D1692,catNom,0))&amp;"",""))</f>
        <v/>
      </c>
      <c r="N1692" s="19">
        <f>IF(I1692="","",IFERROR(INDEX(ctaMon,MATCH(E1692,ctaNom,0))&amp;"","DOP"))</f>
        <v/>
      </c>
      <c r="O1692" s="20">
        <f>IF(I1692="","",C1692*IF(N1692="USD",TasaUSD,1))</f>
        <v/>
      </c>
      <c r="P1692" s="20">
        <f>IF(I1692="","",IF(I1692="Gasto",O1692,0))</f>
        <v/>
      </c>
      <c r="Q1692" s="20">
        <f>IF(I1692="","",IF(I1692="Ingreso",O1692,0))</f>
        <v/>
      </c>
      <c r="R1692" s="20">
        <f>IF(I1692="","",IF(I1692="Trading",O1692,0))</f>
        <v/>
      </c>
      <c r="S1692" s="19">
        <f>IF(I1692="","",IF(AND(I1692="Gasto",K1692="Variable",J1692&lt;&gt;"Trading",O1692&gt;0,O1692&lt;=Umbral),1,0))</f>
        <v/>
      </c>
      <c r="T1692" s="20">
        <f>IF(OR(I1692="",E1692=""),"",IF(OR(I1692="Gasto",I1692="Transferencia",I1692="Pago tarjeta"),-1,1)*C1692)</f>
        <v/>
      </c>
      <c r="U1692" s="20">
        <f>IF(OR(G1692="",AND(I1692&lt;&gt;"Transferencia",I1692&lt;&gt;"Pago tarjeta")),"",IF(IFERROR(INDEX(ctaMon,MATCH(G1692,ctaNom,0))&amp;"","DOP")=N1692,C1692,IF(N1692="USD",C1692*TasaUSD,C1692/TasaUSD)))</f>
        <v/>
      </c>
      <c r="V1692" s="20">
        <f>IF(I1692="","",IF(IFERROR(INDEX(ctaLiq,MATCH(E1692,ctaNom,0))="Sí",FALSE),IF(OR(I1692="Gasto",I1692="Transferencia",I1692="Pago tarjeta"),-1,1)*O1692,0)+IF(AND(U1692&lt;&gt;"",IFERROR(INDEX(ctaLiq,MATCH(G1692,ctaNom,0))="Sí",FALSE)),O1692,0))</f>
        <v/>
      </c>
      <c r="W1692" s="19">
        <f>IF(OR(F1692="",I1692=""),"",IF(COUNTIFS(F$6:F1692,F1692,I$6:I1692,"?*")=1,MAX(W$5:W1691)+1,""))</f>
        <v/>
      </c>
    </row>
    <row r="1693">
      <c r="B1693" s="15" t="n"/>
      <c r="C1693" s="16" t="n"/>
      <c r="D1693" s="17" t="n"/>
      <c r="E1693" s="17" t="n"/>
      <c r="F1693" s="17" t="n"/>
      <c r="G1693" s="17" t="n"/>
      <c r="H1693" s="18">
        <f>IF(AND(B1693="",C1693="",D1693="",E1693=""),"",IF(B1693="","⚠ Falta fecha",IF(C1693="","⚠ Falta monto",IF(D1693="","⚠ Falta categoría",IF(ISNA(MATCH(D1693,catNom,0)),"⚠ Categoría no existe",IF(E1693="","⚠ Falta cuenta",IF(ISNA(MATCH(E1693,ctaNom,0)),"⚠ Cuenta no existe",IF(AND(OR(I1693="Transferencia",I1693="Pago tarjeta"),G1693=""),"⚠ Indica la cuenta «Hacia»",IF(AND(G1693&lt;&gt;"",G1693=E1693),"⚠ «Hacia» igual a la cuenta",IF(AND(G1693&lt;&gt;"",ISNA(MATCH(G1693,ctaNom,0))),"⚠ «Hacia» no existe",IF(AND(I1693="Pago tarjeta",IFERROR(INDEX(ctaTipo,MATCH(G1693,ctaNom,0)),"")&lt;&gt;"Tarjeta de crédito"),"⚠ «Hacia» debe ser la tarjeta",IF(AND(I1693="Trading",IFERROR(INDEX(ctaTipo,MATCH(E1693,ctaNom,0)),"")&lt;&gt;"Cuenta de trading"),"⚠ Usa la cuenta de trading","✓"))))))))))))</f>
        <v/>
      </c>
      <c r="I1693" s="19">
        <f>IF(OR(B1693="",C1693="",D1693=""),"",IFERROR(INDEX(catTipo,MATCH(D1693,catNom,0))&amp;"",""))</f>
        <v/>
      </c>
      <c r="J1693" s="19">
        <f>IF(I1693="","",IFERROR(INDEX(catGrupo,MATCH(D1693,catNom,0))&amp;"",""))</f>
        <v/>
      </c>
      <c r="K1693" s="19">
        <f>IF(I1693="Gasto",IF(IFERROR(INDEX(catClas,MATCH(D1693,catNom,0))&amp;"","")="","Variable",IFERROR(INDEX(catClas,MATCH(D1693,catNom,0))&amp;"","")),"")</f>
        <v/>
      </c>
      <c r="L1693" s="19">
        <f>IF(I1693="","",IFERROR(INDEX(catAlim,MATCH(D1693,catNom,0))&amp;"",""))</f>
        <v/>
      </c>
      <c r="M1693" s="19">
        <f>IF(I1693="","",IFERROR(INDEX(catComida,MATCH(D1693,catNom,0))&amp;"",""))</f>
        <v/>
      </c>
      <c r="N1693" s="19">
        <f>IF(I1693="","",IFERROR(INDEX(ctaMon,MATCH(E1693,ctaNom,0))&amp;"","DOP"))</f>
        <v/>
      </c>
      <c r="O1693" s="20">
        <f>IF(I1693="","",C1693*IF(N1693="USD",TasaUSD,1))</f>
        <v/>
      </c>
      <c r="P1693" s="20">
        <f>IF(I1693="","",IF(I1693="Gasto",O1693,0))</f>
        <v/>
      </c>
      <c r="Q1693" s="20">
        <f>IF(I1693="","",IF(I1693="Ingreso",O1693,0))</f>
        <v/>
      </c>
      <c r="R1693" s="20">
        <f>IF(I1693="","",IF(I1693="Trading",O1693,0))</f>
        <v/>
      </c>
      <c r="S1693" s="19">
        <f>IF(I1693="","",IF(AND(I1693="Gasto",K1693="Variable",J1693&lt;&gt;"Trading",O1693&gt;0,O1693&lt;=Umbral),1,0))</f>
        <v/>
      </c>
      <c r="T1693" s="20">
        <f>IF(OR(I1693="",E1693=""),"",IF(OR(I1693="Gasto",I1693="Transferencia",I1693="Pago tarjeta"),-1,1)*C1693)</f>
        <v/>
      </c>
      <c r="U1693" s="20">
        <f>IF(OR(G1693="",AND(I1693&lt;&gt;"Transferencia",I1693&lt;&gt;"Pago tarjeta")),"",IF(IFERROR(INDEX(ctaMon,MATCH(G1693,ctaNom,0))&amp;"","DOP")=N1693,C1693,IF(N1693="USD",C1693*TasaUSD,C1693/TasaUSD)))</f>
        <v/>
      </c>
      <c r="V1693" s="20">
        <f>IF(I1693="","",IF(IFERROR(INDEX(ctaLiq,MATCH(E1693,ctaNom,0))="Sí",FALSE),IF(OR(I1693="Gasto",I1693="Transferencia",I1693="Pago tarjeta"),-1,1)*O1693,0)+IF(AND(U1693&lt;&gt;"",IFERROR(INDEX(ctaLiq,MATCH(G1693,ctaNom,0))="Sí",FALSE)),O1693,0))</f>
        <v/>
      </c>
      <c r="W1693" s="19">
        <f>IF(OR(F1693="",I1693=""),"",IF(COUNTIFS(F$6:F1693,F1693,I$6:I1693,"?*")=1,MAX(W$5:W1692)+1,""))</f>
        <v/>
      </c>
    </row>
    <row r="1694">
      <c r="B1694" s="15" t="n"/>
      <c r="C1694" s="16" t="n"/>
      <c r="D1694" s="17" t="n"/>
      <c r="E1694" s="17" t="n"/>
      <c r="F1694" s="17" t="n"/>
      <c r="G1694" s="17" t="n"/>
      <c r="H1694" s="18">
        <f>IF(AND(B1694="",C1694="",D1694="",E1694=""),"",IF(B1694="","⚠ Falta fecha",IF(C1694="","⚠ Falta monto",IF(D1694="","⚠ Falta categoría",IF(ISNA(MATCH(D1694,catNom,0)),"⚠ Categoría no existe",IF(E1694="","⚠ Falta cuenta",IF(ISNA(MATCH(E1694,ctaNom,0)),"⚠ Cuenta no existe",IF(AND(OR(I1694="Transferencia",I1694="Pago tarjeta"),G1694=""),"⚠ Indica la cuenta «Hacia»",IF(AND(G1694&lt;&gt;"",G1694=E1694),"⚠ «Hacia» igual a la cuenta",IF(AND(G1694&lt;&gt;"",ISNA(MATCH(G1694,ctaNom,0))),"⚠ «Hacia» no existe",IF(AND(I1694="Pago tarjeta",IFERROR(INDEX(ctaTipo,MATCH(G1694,ctaNom,0)),"")&lt;&gt;"Tarjeta de crédito"),"⚠ «Hacia» debe ser la tarjeta",IF(AND(I1694="Trading",IFERROR(INDEX(ctaTipo,MATCH(E1694,ctaNom,0)),"")&lt;&gt;"Cuenta de trading"),"⚠ Usa la cuenta de trading","✓"))))))))))))</f>
        <v/>
      </c>
      <c r="I1694" s="19">
        <f>IF(OR(B1694="",C1694="",D1694=""),"",IFERROR(INDEX(catTipo,MATCH(D1694,catNom,0))&amp;"",""))</f>
        <v/>
      </c>
      <c r="J1694" s="19">
        <f>IF(I1694="","",IFERROR(INDEX(catGrupo,MATCH(D1694,catNom,0))&amp;"",""))</f>
        <v/>
      </c>
      <c r="K1694" s="19">
        <f>IF(I1694="Gasto",IF(IFERROR(INDEX(catClas,MATCH(D1694,catNom,0))&amp;"","")="","Variable",IFERROR(INDEX(catClas,MATCH(D1694,catNom,0))&amp;"","")),"")</f>
        <v/>
      </c>
      <c r="L1694" s="19">
        <f>IF(I1694="","",IFERROR(INDEX(catAlim,MATCH(D1694,catNom,0))&amp;"",""))</f>
        <v/>
      </c>
      <c r="M1694" s="19">
        <f>IF(I1694="","",IFERROR(INDEX(catComida,MATCH(D1694,catNom,0))&amp;"",""))</f>
        <v/>
      </c>
      <c r="N1694" s="19">
        <f>IF(I1694="","",IFERROR(INDEX(ctaMon,MATCH(E1694,ctaNom,0))&amp;"","DOP"))</f>
        <v/>
      </c>
      <c r="O1694" s="20">
        <f>IF(I1694="","",C1694*IF(N1694="USD",TasaUSD,1))</f>
        <v/>
      </c>
      <c r="P1694" s="20">
        <f>IF(I1694="","",IF(I1694="Gasto",O1694,0))</f>
        <v/>
      </c>
      <c r="Q1694" s="20">
        <f>IF(I1694="","",IF(I1694="Ingreso",O1694,0))</f>
        <v/>
      </c>
      <c r="R1694" s="20">
        <f>IF(I1694="","",IF(I1694="Trading",O1694,0))</f>
        <v/>
      </c>
      <c r="S1694" s="19">
        <f>IF(I1694="","",IF(AND(I1694="Gasto",K1694="Variable",J1694&lt;&gt;"Trading",O1694&gt;0,O1694&lt;=Umbral),1,0))</f>
        <v/>
      </c>
      <c r="T1694" s="20">
        <f>IF(OR(I1694="",E1694=""),"",IF(OR(I1694="Gasto",I1694="Transferencia",I1694="Pago tarjeta"),-1,1)*C1694)</f>
        <v/>
      </c>
      <c r="U1694" s="20">
        <f>IF(OR(G1694="",AND(I1694&lt;&gt;"Transferencia",I1694&lt;&gt;"Pago tarjeta")),"",IF(IFERROR(INDEX(ctaMon,MATCH(G1694,ctaNom,0))&amp;"","DOP")=N1694,C1694,IF(N1694="USD",C1694*TasaUSD,C1694/TasaUSD)))</f>
        <v/>
      </c>
      <c r="V1694" s="20">
        <f>IF(I1694="","",IF(IFERROR(INDEX(ctaLiq,MATCH(E1694,ctaNom,0))="Sí",FALSE),IF(OR(I1694="Gasto",I1694="Transferencia",I1694="Pago tarjeta"),-1,1)*O1694,0)+IF(AND(U1694&lt;&gt;"",IFERROR(INDEX(ctaLiq,MATCH(G1694,ctaNom,0))="Sí",FALSE)),O1694,0))</f>
        <v/>
      </c>
      <c r="W1694" s="19">
        <f>IF(OR(F1694="",I1694=""),"",IF(COUNTIFS(F$6:F1694,F1694,I$6:I1694,"?*")=1,MAX(W$5:W1693)+1,""))</f>
        <v/>
      </c>
    </row>
    <row r="1695">
      <c r="B1695" s="15" t="n"/>
      <c r="C1695" s="16" t="n"/>
      <c r="D1695" s="17" t="n"/>
      <c r="E1695" s="17" t="n"/>
      <c r="F1695" s="17" t="n"/>
      <c r="G1695" s="17" t="n"/>
      <c r="H1695" s="18">
        <f>IF(AND(B1695="",C1695="",D1695="",E1695=""),"",IF(B1695="","⚠ Falta fecha",IF(C1695="","⚠ Falta monto",IF(D1695="","⚠ Falta categoría",IF(ISNA(MATCH(D1695,catNom,0)),"⚠ Categoría no existe",IF(E1695="","⚠ Falta cuenta",IF(ISNA(MATCH(E1695,ctaNom,0)),"⚠ Cuenta no existe",IF(AND(OR(I1695="Transferencia",I1695="Pago tarjeta"),G1695=""),"⚠ Indica la cuenta «Hacia»",IF(AND(G1695&lt;&gt;"",G1695=E1695),"⚠ «Hacia» igual a la cuenta",IF(AND(G1695&lt;&gt;"",ISNA(MATCH(G1695,ctaNom,0))),"⚠ «Hacia» no existe",IF(AND(I1695="Pago tarjeta",IFERROR(INDEX(ctaTipo,MATCH(G1695,ctaNom,0)),"")&lt;&gt;"Tarjeta de crédito"),"⚠ «Hacia» debe ser la tarjeta",IF(AND(I1695="Trading",IFERROR(INDEX(ctaTipo,MATCH(E1695,ctaNom,0)),"")&lt;&gt;"Cuenta de trading"),"⚠ Usa la cuenta de trading","✓"))))))))))))</f>
        <v/>
      </c>
      <c r="I1695" s="19">
        <f>IF(OR(B1695="",C1695="",D1695=""),"",IFERROR(INDEX(catTipo,MATCH(D1695,catNom,0))&amp;"",""))</f>
        <v/>
      </c>
      <c r="J1695" s="19">
        <f>IF(I1695="","",IFERROR(INDEX(catGrupo,MATCH(D1695,catNom,0))&amp;"",""))</f>
        <v/>
      </c>
      <c r="K1695" s="19">
        <f>IF(I1695="Gasto",IF(IFERROR(INDEX(catClas,MATCH(D1695,catNom,0))&amp;"","")="","Variable",IFERROR(INDEX(catClas,MATCH(D1695,catNom,0))&amp;"","")),"")</f>
        <v/>
      </c>
      <c r="L1695" s="19">
        <f>IF(I1695="","",IFERROR(INDEX(catAlim,MATCH(D1695,catNom,0))&amp;"",""))</f>
        <v/>
      </c>
      <c r="M1695" s="19">
        <f>IF(I1695="","",IFERROR(INDEX(catComida,MATCH(D1695,catNom,0))&amp;"",""))</f>
        <v/>
      </c>
      <c r="N1695" s="19">
        <f>IF(I1695="","",IFERROR(INDEX(ctaMon,MATCH(E1695,ctaNom,0))&amp;"","DOP"))</f>
        <v/>
      </c>
      <c r="O1695" s="20">
        <f>IF(I1695="","",C1695*IF(N1695="USD",TasaUSD,1))</f>
        <v/>
      </c>
      <c r="P1695" s="20">
        <f>IF(I1695="","",IF(I1695="Gasto",O1695,0))</f>
        <v/>
      </c>
      <c r="Q1695" s="20">
        <f>IF(I1695="","",IF(I1695="Ingreso",O1695,0))</f>
        <v/>
      </c>
      <c r="R1695" s="20">
        <f>IF(I1695="","",IF(I1695="Trading",O1695,0))</f>
        <v/>
      </c>
      <c r="S1695" s="19">
        <f>IF(I1695="","",IF(AND(I1695="Gasto",K1695="Variable",J1695&lt;&gt;"Trading",O1695&gt;0,O1695&lt;=Umbral),1,0))</f>
        <v/>
      </c>
      <c r="T1695" s="20">
        <f>IF(OR(I1695="",E1695=""),"",IF(OR(I1695="Gasto",I1695="Transferencia",I1695="Pago tarjeta"),-1,1)*C1695)</f>
        <v/>
      </c>
      <c r="U1695" s="20">
        <f>IF(OR(G1695="",AND(I1695&lt;&gt;"Transferencia",I1695&lt;&gt;"Pago tarjeta")),"",IF(IFERROR(INDEX(ctaMon,MATCH(G1695,ctaNom,0))&amp;"","DOP")=N1695,C1695,IF(N1695="USD",C1695*TasaUSD,C1695/TasaUSD)))</f>
        <v/>
      </c>
      <c r="V1695" s="20">
        <f>IF(I1695="","",IF(IFERROR(INDEX(ctaLiq,MATCH(E1695,ctaNom,0))="Sí",FALSE),IF(OR(I1695="Gasto",I1695="Transferencia",I1695="Pago tarjeta"),-1,1)*O1695,0)+IF(AND(U1695&lt;&gt;"",IFERROR(INDEX(ctaLiq,MATCH(G1695,ctaNom,0))="Sí",FALSE)),O1695,0))</f>
        <v/>
      </c>
      <c r="W1695" s="19">
        <f>IF(OR(F1695="",I1695=""),"",IF(COUNTIFS(F$6:F1695,F1695,I$6:I1695,"?*")=1,MAX(W$5:W1694)+1,""))</f>
        <v/>
      </c>
    </row>
    <row r="1696">
      <c r="B1696" s="15" t="n"/>
      <c r="C1696" s="16" t="n"/>
      <c r="D1696" s="17" t="n"/>
      <c r="E1696" s="17" t="n"/>
      <c r="F1696" s="17" t="n"/>
      <c r="G1696" s="17" t="n"/>
      <c r="H1696" s="18">
        <f>IF(AND(B1696="",C1696="",D1696="",E1696=""),"",IF(B1696="","⚠ Falta fecha",IF(C1696="","⚠ Falta monto",IF(D1696="","⚠ Falta categoría",IF(ISNA(MATCH(D1696,catNom,0)),"⚠ Categoría no existe",IF(E1696="","⚠ Falta cuenta",IF(ISNA(MATCH(E1696,ctaNom,0)),"⚠ Cuenta no existe",IF(AND(OR(I1696="Transferencia",I1696="Pago tarjeta"),G1696=""),"⚠ Indica la cuenta «Hacia»",IF(AND(G1696&lt;&gt;"",G1696=E1696),"⚠ «Hacia» igual a la cuenta",IF(AND(G1696&lt;&gt;"",ISNA(MATCH(G1696,ctaNom,0))),"⚠ «Hacia» no existe",IF(AND(I1696="Pago tarjeta",IFERROR(INDEX(ctaTipo,MATCH(G1696,ctaNom,0)),"")&lt;&gt;"Tarjeta de crédito"),"⚠ «Hacia» debe ser la tarjeta",IF(AND(I1696="Trading",IFERROR(INDEX(ctaTipo,MATCH(E1696,ctaNom,0)),"")&lt;&gt;"Cuenta de trading"),"⚠ Usa la cuenta de trading","✓"))))))))))))</f>
        <v/>
      </c>
      <c r="I1696" s="19">
        <f>IF(OR(B1696="",C1696="",D1696=""),"",IFERROR(INDEX(catTipo,MATCH(D1696,catNom,0))&amp;"",""))</f>
        <v/>
      </c>
      <c r="J1696" s="19">
        <f>IF(I1696="","",IFERROR(INDEX(catGrupo,MATCH(D1696,catNom,0))&amp;"",""))</f>
        <v/>
      </c>
      <c r="K1696" s="19">
        <f>IF(I1696="Gasto",IF(IFERROR(INDEX(catClas,MATCH(D1696,catNom,0))&amp;"","")="","Variable",IFERROR(INDEX(catClas,MATCH(D1696,catNom,0))&amp;"","")),"")</f>
        <v/>
      </c>
      <c r="L1696" s="19">
        <f>IF(I1696="","",IFERROR(INDEX(catAlim,MATCH(D1696,catNom,0))&amp;"",""))</f>
        <v/>
      </c>
      <c r="M1696" s="19">
        <f>IF(I1696="","",IFERROR(INDEX(catComida,MATCH(D1696,catNom,0))&amp;"",""))</f>
        <v/>
      </c>
      <c r="N1696" s="19">
        <f>IF(I1696="","",IFERROR(INDEX(ctaMon,MATCH(E1696,ctaNom,0))&amp;"","DOP"))</f>
        <v/>
      </c>
      <c r="O1696" s="20">
        <f>IF(I1696="","",C1696*IF(N1696="USD",TasaUSD,1))</f>
        <v/>
      </c>
      <c r="P1696" s="20">
        <f>IF(I1696="","",IF(I1696="Gasto",O1696,0))</f>
        <v/>
      </c>
      <c r="Q1696" s="20">
        <f>IF(I1696="","",IF(I1696="Ingreso",O1696,0))</f>
        <v/>
      </c>
      <c r="R1696" s="20">
        <f>IF(I1696="","",IF(I1696="Trading",O1696,0))</f>
        <v/>
      </c>
      <c r="S1696" s="19">
        <f>IF(I1696="","",IF(AND(I1696="Gasto",K1696="Variable",J1696&lt;&gt;"Trading",O1696&gt;0,O1696&lt;=Umbral),1,0))</f>
        <v/>
      </c>
      <c r="T1696" s="20">
        <f>IF(OR(I1696="",E1696=""),"",IF(OR(I1696="Gasto",I1696="Transferencia",I1696="Pago tarjeta"),-1,1)*C1696)</f>
        <v/>
      </c>
      <c r="U1696" s="20">
        <f>IF(OR(G1696="",AND(I1696&lt;&gt;"Transferencia",I1696&lt;&gt;"Pago tarjeta")),"",IF(IFERROR(INDEX(ctaMon,MATCH(G1696,ctaNom,0))&amp;"","DOP")=N1696,C1696,IF(N1696="USD",C1696*TasaUSD,C1696/TasaUSD)))</f>
        <v/>
      </c>
      <c r="V1696" s="20">
        <f>IF(I1696="","",IF(IFERROR(INDEX(ctaLiq,MATCH(E1696,ctaNom,0))="Sí",FALSE),IF(OR(I1696="Gasto",I1696="Transferencia",I1696="Pago tarjeta"),-1,1)*O1696,0)+IF(AND(U1696&lt;&gt;"",IFERROR(INDEX(ctaLiq,MATCH(G1696,ctaNom,0))="Sí",FALSE)),O1696,0))</f>
        <v/>
      </c>
      <c r="W1696" s="19">
        <f>IF(OR(F1696="",I1696=""),"",IF(COUNTIFS(F$6:F1696,F1696,I$6:I1696,"?*")=1,MAX(W$5:W1695)+1,""))</f>
        <v/>
      </c>
    </row>
    <row r="1697">
      <c r="B1697" s="15" t="n"/>
      <c r="C1697" s="16" t="n"/>
      <c r="D1697" s="17" t="n"/>
      <c r="E1697" s="17" t="n"/>
      <c r="F1697" s="17" t="n"/>
      <c r="G1697" s="17" t="n"/>
      <c r="H1697" s="18">
        <f>IF(AND(B1697="",C1697="",D1697="",E1697=""),"",IF(B1697="","⚠ Falta fecha",IF(C1697="","⚠ Falta monto",IF(D1697="","⚠ Falta categoría",IF(ISNA(MATCH(D1697,catNom,0)),"⚠ Categoría no existe",IF(E1697="","⚠ Falta cuenta",IF(ISNA(MATCH(E1697,ctaNom,0)),"⚠ Cuenta no existe",IF(AND(OR(I1697="Transferencia",I1697="Pago tarjeta"),G1697=""),"⚠ Indica la cuenta «Hacia»",IF(AND(G1697&lt;&gt;"",G1697=E1697),"⚠ «Hacia» igual a la cuenta",IF(AND(G1697&lt;&gt;"",ISNA(MATCH(G1697,ctaNom,0))),"⚠ «Hacia» no existe",IF(AND(I1697="Pago tarjeta",IFERROR(INDEX(ctaTipo,MATCH(G1697,ctaNom,0)),"")&lt;&gt;"Tarjeta de crédito"),"⚠ «Hacia» debe ser la tarjeta",IF(AND(I1697="Trading",IFERROR(INDEX(ctaTipo,MATCH(E1697,ctaNom,0)),"")&lt;&gt;"Cuenta de trading"),"⚠ Usa la cuenta de trading","✓"))))))))))))</f>
        <v/>
      </c>
      <c r="I1697" s="19">
        <f>IF(OR(B1697="",C1697="",D1697=""),"",IFERROR(INDEX(catTipo,MATCH(D1697,catNom,0))&amp;"",""))</f>
        <v/>
      </c>
      <c r="J1697" s="19">
        <f>IF(I1697="","",IFERROR(INDEX(catGrupo,MATCH(D1697,catNom,0))&amp;"",""))</f>
        <v/>
      </c>
      <c r="K1697" s="19">
        <f>IF(I1697="Gasto",IF(IFERROR(INDEX(catClas,MATCH(D1697,catNom,0))&amp;"","")="","Variable",IFERROR(INDEX(catClas,MATCH(D1697,catNom,0))&amp;"","")),"")</f>
        <v/>
      </c>
      <c r="L1697" s="19">
        <f>IF(I1697="","",IFERROR(INDEX(catAlim,MATCH(D1697,catNom,0))&amp;"",""))</f>
        <v/>
      </c>
      <c r="M1697" s="19">
        <f>IF(I1697="","",IFERROR(INDEX(catComida,MATCH(D1697,catNom,0))&amp;"",""))</f>
        <v/>
      </c>
      <c r="N1697" s="19">
        <f>IF(I1697="","",IFERROR(INDEX(ctaMon,MATCH(E1697,ctaNom,0))&amp;"","DOP"))</f>
        <v/>
      </c>
      <c r="O1697" s="20">
        <f>IF(I1697="","",C1697*IF(N1697="USD",TasaUSD,1))</f>
        <v/>
      </c>
      <c r="P1697" s="20">
        <f>IF(I1697="","",IF(I1697="Gasto",O1697,0))</f>
        <v/>
      </c>
      <c r="Q1697" s="20">
        <f>IF(I1697="","",IF(I1697="Ingreso",O1697,0))</f>
        <v/>
      </c>
      <c r="R1697" s="20">
        <f>IF(I1697="","",IF(I1697="Trading",O1697,0))</f>
        <v/>
      </c>
      <c r="S1697" s="19">
        <f>IF(I1697="","",IF(AND(I1697="Gasto",K1697="Variable",J1697&lt;&gt;"Trading",O1697&gt;0,O1697&lt;=Umbral),1,0))</f>
        <v/>
      </c>
      <c r="T1697" s="20">
        <f>IF(OR(I1697="",E1697=""),"",IF(OR(I1697="Gasto",I1697="Transferencia",I1697="Pago tarjeta"),-1,1)*C1697)</f>
        <v/>
      </c>
      <c r="U1697" s="20">
        <f>IF(OR(G1697="",AND(I1697&lt;&gt;"Transferencia",I1697&lt;&gt;"Pago tarjeta")),"",IF(IFERROR(INDEX(ctaMon,MATCH(G1697,ctaNom,0))&amp;"","DOP")=N1697,C1697,IF(N1697="USD",C1697*TasaUSD,C1697/TasaUSD)))</f>
        <v/>
      </c>
      <c r="V1697" s="20">
        <f>IF(I1697="","",IF(IFERROR(INDEX(ctaLiq,MATCH(E1697,ctaNom,0))="Sí",FALSE),IF(OR(I1697="Gasto",I1697="Transferencia",I1697="Pago tarjeta"),-1,1)*O1697,0)+IF(AND(U1697&lt;&gt;"",IFERROR(INDEX(ctaLiq,MATCH(G1697,ctaNom,0))="Sí",FALSE)),O1697,0))</f>
        <v/>
      </c>
      <c r="W1697" s="19">
        <f>IF(OR(F1697="",I1697=""),"",IF(COUNTIFS(F$6:F1697,F1697,I$6:I1697,"?*")=1,MAX(W$5:W1696)+1,""))</f>
        <v/>
      </c>
    </row>
    <row r="1698">
      <c r="B1698" s="15" t="n"/>
      <c r="C1698" s="16" t="n"/>
      <c r="D1698" s="17" t="n"/>
      <c r="E1698" s="17" t="n"/>
      <c r="F1698" s="17" t="n"/>
      <c r="G1698" s="17" t="n"/>
      <c r="H1698" s="18">
        <f>IF(AND(B1698="",C1698="",D1698="",E1698=""),"",IF(B1698="","⚠ Falta fecha",IF(C1698="","⚠ Falta monto",IF(D1698="","⚠ Falta categoría",IF(ISNA(MATCH(D1698,catNom,0)),"⚠ Categoría no existe",IF(E1698="","⚠ Falta cuenta",IF(ISNA(MATCH(E1698,ctaNom,0)),"⚠ Cuenta no existe",IF(AND(OR(I1698="Transferencia",I1698="Pago tarjeta"),G1698=""),"⚠ Indica la cuenta «Hacia»",IF(AND(G1698&lt;&gt;"",G1698=E1698),"⚠ «Hacia» igual a la cuenta",IF(AND(G1698&lt;&gt;"",ISNA(MATCH(G1698,ctaNom,0))),"⚠ «Hacia» no existe",IF(AND(I1698="Pago tarjeta",IFERROR(INDEX(ctaTipo,MATCH(G1698,ctaNom,0)),"")&lt;&gt;"Tarjeta de crédito"),"⚠ «Hacia» debe ser la tarjeta",IF(AND(I1698="Trading",IFERROR(INDEX(ctaTipo,MATCH(E1698,ctaNom,0)),"")&lt;&gt;"Cuenta de trading"),"⚠ Usa la cuenta de trading","✓"))))))))))))</f>
        <v/>
      </c>
      <c r="I1698" s="19">
        <f>IF(OR(B1698="",C1698="",D1698=""),"",IFERROR(INDEX(catTipo,MATCH(D1698,catNom,0))&amp;"",""))</f>
        <v/>
      </c>
      <c r="J1698" s="19">
        <f>IF(I1698="","",IFERROR(INDEX(catGrupo,MATCH(D1698,catNom,0))&amp;"",""))</f>
        <v/>
      </c>
      <c r="K1698" s="19">
        <f>IF(I1698="Gasto",IF(IFERROR(INDEX(catClas,MATCH(D1698,catNom,0))&amp;"","")="","Variable",IFERROR(INDEX(catClas,MATCH(D1698,catNom,0))&amp;"","")),"")</f>
        <v/>
      </c>
      <c r="L1698" s="19">
        <f>IF(I1698="","",IFERROR(INDEX(catAlim,MATCH(D1698,catNom,0))&amp;"",""))</f>
        <v/>
      </c>
      <c r="M1698" s="19">
        <f>IF(I1698="","",IFERROR(INDEX(catComida,MATCH(D1698,catNom,0))&amp;"",""))</f>
        <v/>
      </c>
      <c r="N1698" s="19">
        <f>IF(I1698="","",IFERROR(INDEX(ctaMon,MATCH(E1698,ctaNom,0))&amp;"","DOP"))</f>
        <v/>
      </c>
      <c r="O1698" s="20">
        <f>IF(I1698="","",C1698*IF(N1698="USD",TasaUSD,1))</f>
        <v/>
      </c>
      <c r="P1698" s="20">
        <f>IF(I1698="","",IF(I1698="Gasto",O1698,0))</f>
        <v/>
      </c>
      <c r="Q1698" s="20">
        <f>IF(I1698="","",IF(I1698="Ingreso",O1698,0))</f>
        <v/>
      </c>
      <c r="R1698" s="20">
        <f>IF(I1698="","",IF(I1698="Trading",O1698,0))</f>
        <v/>
      </c>
      <c r="S1698" s="19">
        <f>IF(I1698="","",IF(AND(I1698="Gasto",K1698="Variable",J1698&lt;&gt;"Trading",O1698&gt;0,O1698&lt;=Umbral),1,0))</f>
        <v/>
      </c>
      <c r="T1698" s="20">
        <f>IF(OR(I1698="",E1698=""),"",IF(OR(I1698="Gasto",I1698="Transferencia",I1698="Pago tarjeta"),-1,1)*C1698)</f>
        <v/>
      </c>
      <c r="U1698" s="20">
        <f>IF(OR(G1698="",AND(I1698&lt;&gt;"Transferencia",I1698&lt;&gt;"Pago tarjeta")),"",IF(IFERROR(INDEX(ctaMon,MATCH(G1698,ctaNom,0))&amp;"","DOP")=N1698,C1698,IF(N1698="USD",C1698*TasaUSD,C1698/TasaUSD)))</f>
        <v/>
      </c>
      <c r="V1698" s="20">
        <f>IF(I1698="","",IF(IFERROR(INDEX(ctaLiq,MATCH(E1698,ctaNom,0))="Sí",FALSE),IF(OR(I1698="Gasto",I1698="Transferencia",I1698="Pago tarjeta"),-1,1)*O1698,0)+IF(AND(U1698&lt;&gt;"",IFERROR(INDEX(ctaLiq,MATCH(G1698,ctaNom,0))="Sí",FALSE)),O1698,0))</f>
        <v/>
      </c>
      <c r="W1698" s="19">
        <f>IF(OR(F1698="",I1698=""),"",IF(COUNTIFS(F$6:F1698,F1698,I$6:I1698,"?*")=1,MAX(W$5:W1697)+1,""))</f>
        <v/>
      </c>
    </row>
    <row r="1699">
      <c r="B1699" s="15" t="n"/>
      <c r="C1699" s="16" t="n"/>
      <c r="D1699" s="17" t="n"/>
      <c r="E1699" s="17" t="n"/>
      <c r="F1699" s="17" t="n"/>
      <c r="G1699" s="17" t="n"/>
      <c r="H1699" s="18">
        <f>IF(AND(B1699="",C1699="",D1699="",E1699=""),"",IF(B1699="","⚠ Falta fecha",IF(C1699="","⚠ Falta monto",IF(D1699="","⚠ Falta categoría",IF(ISNA(MATCH(D1699,catNom,0)),"⚠ Categoría no existe",IF(E1699="","⚠ Falta cuenta",IF(ISNA(MATCH(E1699,ctaNom,0)),"⚠ Cuenta no existe",IF(AND(OR(I1699="Transferencia",I1699="Pago tarjeta"),G1699=""),"⚠ Indica la cuenta «Hacia»",IF(AND(G1699&lt;&gt;"",G1699=E1699),"⚠ «Hacia» igual a la cuenta",IF(AND(G1699&lt;&gt;"",ISNA(MATCH(G1699,ctaNom,0))),"⚠ «Hacia» no existe",IF(AND(I1699="Pago tarjeta",IFERROR(INDEX(ctaTipo,MATCH(G1699,ctaNom,0)),"")&lt;&gt;"Tarjeta de crédito"),"⚠ «Hacia» debe ser la tarjeta",IF(AND(I1699="Trading",IFERROR(INDEX(ctaTipo,MATCH(E1699,ctaNom,0)),"")&lt;&gt;"Cuenta de trading"),"⚠ Usa la cuenta de trading","✓"))))))))))))</f>
        <v/>
      </c>
      <c r="I1699" s="19">
        <f>IF(OR(B1699="",C1699="",D1699=""),"",IFERROR(INDEX(catTipo,MATCH(D1699,catNom,0))&amp;"",""))</f>
        <v/>
      </c>
      <c r="J1699" s="19">
        <f>IF(I1699="","",IFERROR(INDEX(catGrupo,MATCH(D1699,catNom,0))&amp;"",""))</f>
        <v/>
      </c>
      <c r="K1699" s="19">
        <f>IF(I1699="Gasto",IF(IFERROR(INDEX(catClas,MATCH(D1699,catNom,0))&amp;"","")="","Variable",IFERROR(INDEX(catClas,MATCH(D1699,catNom,0))&amp;"","")),"")</f>
        <v/>
      </c>
      <c r="L1699" s="19">
        <f>IF(I1699="","",IFERROR(INDEX(catAlim,MATCH(D1699,catNom,0))&amp;"",""))</f>
        <v/>
      </c>
      <c r="M1699" s="19">
        <f>IF(I1699="","",IFERROR(INDEX(catComida,MATCH(D1699,catNom,0))&amp;"",""))</f>
        <v/>
      </c>
      <c r="N1699" s="19">
        <f>IF(I1699="","",IFERROR(INDEX(ctaMon,MATCH(E1699,ctaNom,0))&amp;"","DOP"))</f>
        <v/>
      </c>
      <c r="O1699" s="20">
        <f>IF(I1699="","",C1699*IF(N1699="USD",TasaUSD,1))</f>
        <v/>
      </c>
      <c r="P1699" s="20">
        <f>IF(I1699="","",IF(I1699="Gasto",O1699,0))</f>
        <v/>
      </c>
      <c r="Q1699" s="20">
        <f>IF(I1699="","",IF(I1699="Ingreso",O1699,0))</f>
        <v/>
      </c>
      <c r="R1699" s="20">
        <f>IF(I1699="","",IF(I1699="Trading",O1699,0))</f>
        <v/>
      </c>
      <c r="S1699" s="19">
        <f>IF(I1699="","",IF(AND(I1699="Gasto",K1699="Variable",J1699&lt;&gt;"Trading",O1699&gt;0,O1699&lt;=Umbral),1,0))</f>
        <v/>
      </c>
      <c r="T1699" s="20">
        <f>IF(OR(I1699="",E1699=""),"",IF(OR(I1699="Gasto",I1699="Transferencia",I1699="Pago tarjeta"),-1,1)*C1699)</f>
        <v/>
      </c>
      <c r="U1699" s="20">
        <f>IF(OR(G1699="",AND(I1699&lt;&gt;"Transferencia",I1699&lt;&gt;"Pago tarjeta")),"",IF(IFERROR(INDEX(ctaMon,MATCH(G1699,ctaNom,0))&amp;"","DOP")=N1699,C1699,IF(N1699="USD",C1699*TasaUSD,C1699/TasaUSD)))</f>
        <v/>
      </c>
      <c r="V1699" s="20">
        <f>IF(I1699="","",IF(IFERROR(INDEX(ctaLiq,MATCH(E1699,ctaNom,0))="Sí",FALSE),IF(OR(I1699="Gasto",I1699="Transferencia",I1699="Pago tarjeta"),-1,1)*O1699,0)+IF(AND(U1699&lt;&gt;"",IFERROR(INDEX(ctaLiq,MATCH(G1699,ctaNom,0))="Sí",FALSE)),O1699,0))</f>
        <v/>
      </c>
      <c r="W1699" s="19">
        <f>IF(OR(F1699="",I1699=""),"",IF(COUNTIFS(F$6:F1699,F1699,I$6:I1699,"?*")=1,MAX(W$5:W1698)+1,""))</f>
        <v/>
      </c>
    </row>
    <row r="1700">
      <c r="B1700" s="15" t="n"/>
      <c r="C1700" s="16" t="n"/>
      <c r="D1700" s="17" t="n"/>
      <c r="E1700" s="17" t="n"/>
      <c r="F1700" s="17" t="n"/>
      <c r="G1700" s="17" t="n"/>
      <c r="H1700" s="18">
        <f>IF(AND(B1700="",C1700="",D1700="",E1700=""),"",IF(B1700="","⚠ Falta fecha",IF(C1700="","⚠ Falta monto",IF(D1700="","⚠ Falta categoría",IF(ISNA(MATCH(D1700,catNom,0)),"⚠ Categoría no existe",IF(E1700="","⚠ Falta cuenta",IF(ISNA(MATCH(E1700,ctaNom,0)),"⚠ Cuenta no existe",IF(AND(OR(I1700="Transferencia",I1700="Pago tarjeta"),G1700=""),"⚠ Indica la cuenta «Hacia»",IF(AND(G1700&lt;&gt;"",G1700=E1700),"⚠ «Hacia» igual a la cuenta",IF(AND(G1700&lt;&gt;"",ISNA(MATCH(G1700,ctaNom,0))),"⚠ «Hacia» no existe",IF(AND(I1700="Pago tarjeta",IFERROR(INDEX(ctaTipo,MATCH(G1700,ctaNom,0)),"")&lt;&gt;"Tarjeta de crédito"),"⚠ «Hacia» debe ser la tarjeta",IF(AND(I1700="Trading",IFERROR(INDEX(ctaTipo,MATCH(E1700,ctaNom,0)),"")&lt;&gt;"Cuenta de trading"),"⚠ Usa la cuenta de trading","✓"))))))))))))</f>
        <v/>
      </c>
      <c r="I1700" s="19">
        <f>IF(OR(B1700="",C1700="",D1700=""),"",IFERROR(INDEX(catTipo,MATCH(D1700,catNom,0))&amp;"",""))</f>
        <v/>
      </c>
      <c r="J1700" s="19">
        <f>IF(I1700="","",IFERROR(INDEX(catGrupo,MATCH(D1700,catNom,0))&amp;"",""))</f>
        <v/>
      </c>
      <c r="K1700" s="19">
        <f>IF(I1700="Gasto",IF(IFERROR(INDEX(catClas,MATCH(D1700,catNom,0))&amp;"","")="","Variable",IFERROR(INDEX(catClas,MATCH(D1700,catNom,0))&amp;"","")),"")</f>
        <v/>
      </c>
      <c r="L1700" s="19">
        <f>IF(I1700="","",IFERROR(INDEX(catAlim,MATCH(D1700,catNom,0))&amp;"",""))</f>
        <v/>
      </c>
      <c r="M1700" s="19">
        <f>IF(I1700="","",IFERROR(INDEX(catComida,MATCH(D1700,catNom,0))&amp;"",""))</f>
        <v/>
      </c>
      <c r="N1700" s="19">
        <f>IF(I1700="","",IFERROR(INDEX(ctaMon,MATCH(E1700,ctaNom,0))&amp;"","DOP"))</f>
        <v/>
      </c>
      <c r="O1700" s="20">
        <f>IF(I1700="","",C1700*IF(N1700="USD",TasaUSD,1))</f>
        <v/>
      </c>
      <c r="P1700" s="20">
        <f>IF(I1700="","",IF(I1700="Gasto",O1700,0))</f>
        <v/>
      </c>
      <c r="Q1700" s="20">
        <f>IF(I1700="","",IF(I1700="Ingreso",O1700,0))</f>
        <v/>
      </c>
      <c r="R1700" s="20">
        <f>IF(I1700="","",IF(I1700="Trading",O1700,0))</f>
        <v/>
      </c>
      <c r="S1700" s="19">
        <f>IF(I1700="","",IF(AND(I1700="Gasto",K1700="Variable",J1700&lt;&gt;"Trading",O1700&gt;0,O1700&lt;=Umbral),1,0))</f>
        <v/>
      </c>
      <c r="T1700" s="20">
        <f>IF(OR(I1700="",E1700=""),"",IF(OR(I1700="Gasto",I1700="Transferencia",I1700="Pago tarjeta"),-1,1)*C1700)</f>
        <v/>
      </c>
      <c r="U1700" s="20">
        <f>IF(OR(G1700="",AND(I1700&lt;&gt;"Transferencia",I1700&lt;&gt;"Pago tarjeta")),"",IF(IFERROR(INDEX(ctaMon,MATCH(G1700,ctaNom,0))&amp;"","DOP")=N1700,C1700,IF(N1700="USD",C1700*TasaUSD,C1700/TasaUSD)))</f>
        <v/>
      </c>
      <c r="V1700" s="20">
        <f>IF(I1700="","",IF(IFERROR(INDEX(ctaLiq,MATCH(E1700,ctaNom,0))="Sí",FALSE),IF(OR(I1700="Gasto",I1700="Transferencia",I1700="Pago tarjeta"),-1,1)*O1700,0)+IF(AND(U1700&lt;&gt;"",IFERROR(INDEX(ctaLiq,MATCH(G1700,ctaNom,0))="Sí",FALSE)),O1700,0))</f>
        <v/>
      </c>
      <c r="W1700" s="19">
        <f>IF(OR(F1700="",I1700=""),"",IF(COUNTIFS(F$6:F1700,F1700,I$6:I1700,"?*")=1,MAX(W$5:W1699)+1,""))</f>
        <v/>
      </c>
    </row>
    <row r="1701">
      <c r="B1701" s="15" t="n"/>
      <c r="C1701" s="16" t="n"/>
      <c r="D1701" s="17" t="n"/>
      <c r="E1701" s="17" t="n"/>
      <c r="F1701" s="17" t="n"/>
      <c r="G1701" s="17" t="n"/>
      <c r="H1701" s="18">
        <f>IF(AND(B1701="",C1701="",D1701="",E1701=""),"",IF(B1701="","⚠ Falta fecha",IF(C1701="","⚠ Falta monto",IF(D1701="","⚠ Falta categoría",IF(ISNA(MATCH(D1701,catNom,0)),"⚠ Categoría no existe",IF(E1701="","⚠ Falta cuenta",IF(ISNA(MATCH(E1701,ctaNom,0)),"⚠ Cuenta no existe",IF(AND(OR(I1701="Transferencia",I1701="Pago tarjeta"),G1701=""),"⚠ Indica la cuenta «Hacia»",IF(AND(G1701&lt;&gt;"",G1701=E1701),"⚠ «Hacia» igual a la cuenta",IF(AND(G1701&lt;&gt;"",ISNA(MATCH(G1701,ctaNom,0))),"⚠ «Hacia» no existe",IF(AND(I1701="Pago tarjeta",IFERROR(INDEX(ctaTipo,MATCH(G1701,ctaNom,0)),"")&lt;&gt;"Tarjeta de crédito"),"⚠ «Hacia» debe ser la tarjeta",IF(AND(I1701="Trading",IFERROR(INDEX(ctaTipo,MATCH(E1701,ctaNom,0)),"")&lt;&gt;"Cuenta de trading"),"⚠ Usa la cuenta de trading","✓"))))))))))))</f>
        <v/>
      </c>
      <c r="I1701" s="19">
        <f>IF(OR(B1701="",C1701="",D1701=""),"",IFERROR(INDEX(catTipo,MATCH(D1701,catNom,0))&amp;"",""))</f>
        <v/>
      </c>
      <c r="J1701" s="19">
        <f>IF(I1701="","",IFERROR(INDEX(catGrupo,MATCH(D1701,catNom,0))&amp;"",""))</f>
        <v/>
      </c>
      <c r="K1701" s="19">
        <f>IF(I1701="Gasto",IF(IFERROR(INDEX(catClas,MATCH(D1701,catNom,0))&amp;"","")="","Variable",IFERROR(INDEX(catClas,MATCH(D1701,catNom,0))&amp;"","")),"")</f>
        <v/>
      </c>
      <c r="L1701" s="19">
        <f>IF(I1701="","",IFERROR(INDEX(catAlim,MATCH(D1701,catNom,0))&amp;"",""))</f>
        <v/>
      </c>
      <c r="M1701" s="19">
        <f>IF(I1701="","",IFERROR(INDEX(catComida,MATCH(D1701,catNom,0))&amp;"",""))</f>
        <v/>
      </c>
      <c r="N1701" s="19">
        <f>IF(I1701="","",IFERROR(INDEX(ctaMon,MATCH(E1701,ctaNom,0))&amp;"","DOP"))</f>
        <v/>
      </c>
      <c r="O1701" s="20">
        <f>IF(I1701="","",C1701*IF(N1701="USD",TasaUSD,1))</f>
        <v/>
      </c>
      <c r="P1701" s="20">
        <f>IF(I1701="","",IF(I1701="Gasto",O1701,0))</f>
        <v/>
      </c>
      <c r="Q1701" s="20">
        <f>IF(I1701="","",IF(I1701="Ingreso",O1701,0))</f>
        <v/>
      </c>
      <c r="R1701" s="20">
        <f>IF(I1701="","",IF(I1701="Trading",O1701,0))</f>
        <v/>
      </c>
      <c r="S1701" s="19">
        <f>IF(I1701="","",IF(AND(I1701="Gasto",K1701="Variable",J1701&lt;&gt;"Trading",O1701&gt;0,O1701&lt;=Umbral),1,0))</f>
        <v/>
      </c>
      <c r="T1701" s="20">
        <f>IF(OR(I1701="",E1701=""),"",IF(OR(I1701="Gasto",I1701="Transferencia",I1701="Pago tarjeta"),-1,1)*C1701)</f>
        <v/>
      </c>
      <c r="U1701" s="20">
        <f>IF(OR(G1701="",AND(I1701&lt;&gt;"Transferencia",I1701&lt;&gt;"Pago tarjeta")),"",IF(IFERROR(INDEX(ctaMon,MATCH(G1701,ctaNom,0))&amp;"","DOP")=N1701,C1701,IF(N1701="USD",C1701*TasaUSD,C1701/TasaUSD)))</f>
        <v/>
      </c>
      <c r="V1701" s="20">
        <f>IF(I1701="","",IF(IFERROR(INDEX(ctaLiq,MATCH(E1701,ctaNom,0))="Sí",FALSE),IF(OR(I1701="Gasto",I1701="Transferencia",I1701="Pago tarjeta"),-1,1)*O1701,0)+IF(AND(U1701&lt;&gt;"",IFERROR(INDEX(ctaLiq,MATCH(G1701,ctaNom,0))="Sí",FALSE)),O1701,0))</f>
        <v/>
      </c>
      <c r="W1701" s="19">
        <f>IF(OR(F1701="",I1701=""),"",IF(COUNTIFS(F$6:F1701,F1701,I$6:I1701,"?*")=1,MAX(W$5:W1700)+1,""))</f>
        <v/>
      </c>
    </row>
    <row r="1702">
      <c r="B1702" s="15" t="n"/>
      <c r="C1702" s="16" t="n"/>
      <c r="D1702" s="17" t="n"/>
      <c r="E1702" s="17" t="n"/>
      <c r="F1702" s="17" t="n"/>
      <c r="G1702" s="17" t="n"/>
      <c r="H1702" s="18">
        <f>IF(AND(B1702="",C1702="",D1702="",E1702=""),"",IF(B1702="","⚠ Falta fecha",IF(C1702="","⚠ Falta monto",IF(D1702="","⚠ Falta categoría",IF(ISNA(MATCH(D1702,catNom,0)),"⚠ Categoría no existe",IF(E1702="","⚠ Falta cuenta",IF(ISNA(MATCH(E1702,ctaNom,0)),"⚠ Cuenta no existe",IF(AND(OR(I1702="Transferencia",I1702="Pago tarjeta"),G1702=""),"⚠ Indica la cuenta «Hacia»",IF(AND(G1702&lt;&gt;"",G1702=E1702),"⚠ «Hacia» igual a la cuenta",IF(AND(G1702&lt;&gt;"",ISNA(MATCH(G1702,ctaNom,0))),"⚠ «Hacia» no existe",IF(AND(I1702="Pago tarjeta",IFERROR(INDEX(ctaTipo,MATCH(G1702,ctaNom,0)),"")&lt;&gt;"Tarjeta de crédito"),"⚠ «Hacia» debe ser la tarjeta",IF(AND(I1702="Trading",IFERROR(INDEX(ctaTipo,MATCH(E1702,ctaNom,0)),"")&lt;&gt;"Cuenta de trading"),"⚠ Usa la cuenta de trading","✓"))))))))))))</f>
        <v/>
      </c>
      <c r="I1702" s="19">
        <f>IF(OR(B1702="",C1702="",D1702=""),"",IFERROR(INDEX(catTipo,MATCH(D1702,catNom,0))&amp;"",""))</f>
        <v/>
      </c>
      <c r="J1702" s="19">
        <f>IF(I1702="","",IFERROR(INDEX(catGrupo,MATCH(D1702,catNom,0))&amp;"",""))</f>
        <v/>
      </c>
      <c r="K1702" s="19">
        <f>IF(I1702="Gasto",IF(IFERROR(INDEX(catClas,MATCH(D1702,catNom,0))&amp;"","")="","Variable",IFERROR(INDEX(catClas,MATCH(D1702,catNom,0))&amp;"","")),"")</f>
        <v/>
      </c>
      <c r="L1702" s="19">
        <f>IF(I1702="","",IFERROR(INDEX(catAlim,MATCH(D1702,catNom,0))&amp;"",""))</f>
        <v/>
      </c>
      <c r="M1702" s="19">
        <f>IF(I1702="","",IFERROR(INDEX(catComida,MATCH(D1702,catNom,0))&amp;"",""))</f>
        <v/>
      </c>
      <c r="N1702" s="19">
        <f>IF(I1702="","",IFERROR(INDEX(ctaMon,MATCH(E1702,ctaNom,0))&amp;"","DOP"))</f>
        <v/>
      </c>
      <c r="O1702" s="20">
        <f>IF(I1702="","",C1702*IF(N1702="USD",TasaUSD,1))</f>
        <v/>
      </c>
      <c r="P1702" s="20">
        <f>IF(I1702="","",IF(I1702="Gasto",O1702,0))</f>
        <v/>
      </c>
      <c r="Q1702" s="20">
        <f>IF(I1702="","",IF(I1702="Ingreso",O1702,0))</f>
        <v/>
      </c>
      <c r="R1702" s="20">
        <f>IF(I1702="","",IF(I1702="Trading",O1702,0))</f>
        <v/>
      </c>
      <c r="S1702" s="19">
        <f>IF(I1702="","",IF(AND(I1702="Gasto",K1702="Variable",J1702&lt;&gt;"Trading",O1702&gt;0,O1702&lt;=Umbral),1,0))</f>
        <v/>
      </c>
      <c r="T1702" s="20">
        <f>IF(OR(I1702="",E1702=""),"",IF(OR(I1702="Gasto",I1702="Transferencia",I1702="Pago tarjeta"),-1,1)*C1702)</f>
        <v/>
      </c>
      <c r="U1702" s="20">
        <f>IF(OR(G1702="",AND(I1702&lt;&gt;"Transferencia",I1702&lt;&gt;"Pago tarjeta")),"",IF(IFERROR(INDEX(ctaMon,MATCH(G1702,ctaNom,0))&amp;"","DOP")=N1702,C1702,IF(N1702="USD",C1702*TasaUSD,C1702/TasaUSD)))</f>
        <v/>
      </c>
      <c r="V1702" s="20">
        <f>IF(I1702="","",IF(IFERROR(INDEX(ctaLiq,MATCH(E1702,ctaNom,0))="Sí",FALSE),IF(OR(I1702="Gasto",I1702="Transferencia",I1702="Pago tarjeta"),-1,1)*O1702,0)+IF(AND(U1702&lt;&gt;"",IFERROR(INDEX(ctaLiq,MATCH(G1702,ctaNom,0))="Sí",FALSE)),O1702,0))</f>
        <v/>
      </c>
      <c r="W1702" s="19">
        <f>IF(OR(F1702="",I1702=""),"",IF(COUNTIFS(F$6:F1702,F1702,I$6:I1702,"?*")=1,MAX(W$5:W1701)+1,""))</f>
        <v/>
      </c>
    </row>
    <row r="1703">
      <c r="B1703" s="15" t="n"/>
      <c r="C1703" s="16" t="n"/>
      <c r="D1703" s="17" t="n"/>
      <c r="E1703" s="17" t="n"/>
      <c r="F1703" s="17" t="n"/>
      <c r="G1703" s="17" t="n"/>
      <c r="H1703" s="18">
        <f>IF(AND(B1703="",C1703="",D1703="",E1703=""),"",IF(B1703="","⚠ Falta fecha",IF(C1703="","⚠ Falta monto",IF(D1703="","⚠ Falta categoría",IF(ISNA(MATCH(D1703,catNom,0)),"⚠ Categoría no existe",IF(E1703="","⚠ Falta cuenta",IF(ISNA(MATCH(E1703,ctaNom,0)),"⚠ Cuenta no existe",IF(AND(OR(I1703="Transferencia",I1703="Pago tarjeta"),G1703=""),"⚠ Indica la cuenta «Hacia»",IF(AND(G1703&lt;&gt;"",G1703=E1703),"⚠ «Hacia» igual a la cuenta",IF(AND(G1703&lt;&gt;"",ISNA(MATCH(G1703,ctaNom,0))),"⚠ «Hacia» no existe",IF(AND(I1703="Pago tarjeta",IFERROR(INDEX(ctaTipo,MATCH(G1703,ctaNom,0)),"")&lt;&gt;"Tarjeta de crédito"),"⚠ «Hacia» debe ser la tarjeta",IF(AND(I1703="Trading",IFERROR(INDEX(ctaTipo,MATCH(E1703,ctaNom,0)),"")&lt;&gt;"Cuenta de trading"),"⚠ Usa la cuenta de trading","✓"))))))))))))</f>
        <v/>
      </c>
      <c r="I1703" s="19">
        <f>IF(OR(B1703="",C1703="",D1703=""),"",IFERROR(INDEX(catTipo,MATCH(D1703,catNom,0))&amp;"",""))</f>
        <v/>
      </c>
      <c r="J1703" s="19">
        <f>IF(I1703="","",IFERROR(INDEX(catGrupo,MATCH(D1703,catNom,0))&amp;"",""))</f>
        <v/>
      </c>
      <c r="K1703" s="19">
        <f>IF(I1703="Gasto",IF(IFERROR(INDEX(catClas,MATCH(D1703,catNom,0))&amp;"","")="","Variable",IFERROR(INDEX(catClas,MATCH(D1703,catNom,0))&amp;"","")),"")</f>
        <v/>
      </c>
      <c r="L1703" s="19">
        <f>IF(I1703="","",IFERROR(INDEX(catAlim,MATCH(D1703,catNom,0))&amp;"",""))</f>
        <v/>
      </c>
      <c r="M1703" s="19">
        <f>IF(I1703="","",IFERROR(INDEX(catComida,MATCH(D1703,catNom,0))&amp;"",""))</f>
        <v/>
      </c>
      <c r="N1703" s="19">
        <f>IF(I1703="","",IFERROR(INDEX(ctaMon,MATCH(E1703,ctaNom,0))&amp;"","DOP"))</f>
        <v/>
      </c>
      <c r="O1703" s="20">
        <f>IF(I1703="","",C1703*IF(N1703="USD",TasaUSD,1))</f>
        <v/>
      </c>
      <c r="P1703" s="20">
        <f>IF(I1703="","",IF(I1703="Gasto",O1703,0))</f>
        <v/>
      </c>
      <c r="Q1703" s="20">
        <f>IF(I1703="","",IF(I1703="Ingreso",O1703,0))</f>
        <v/>
      </c>
      <c r="R1703" s="20">
        <f>IF(I1703="","",IF(I1703="Trading",O1703,0))</f>
        <v/>
      </c>
      <c r="S1703" s="19">
        <f>IF(I1703="","",IF(AND(I1703="Gasto",K1703="Variable",J1703&lt;&gt;"Trading",O1703&gt;0,O1703&lt;=Umbral),1,0))</f>
        <v/>
      </c>
      <c r="T1703" s="20">
        <f>IF(OR(I1703="",E1703=""),"",IF(OR(I1703="Gasto",I1703="Transferencia",I1703="Pago tarjeta"),-1,1)*C1703)</f>
        <v/>
      </c>
      <c r="U1703" s="20">
        <f>IF(OR(G1703="",AND(I1703&lt;&gt;"Transferencia",I1703&lt;&gt;"Pago tarjeta")),"",IF(IFERROR(INDEX(ctaMon,MATCH(G1703,ctaNom,0))&amp;"","DOP")=N1703,C1703,IF(N1703="USD",C1703*TasaUSD,C1703/TasaUSD)))</f>
        <v/>
      </c>
      <c r="V1703" s="20">
        <f>IF(I1703="","",IF(IFERROR(INDEX(ctaLiq,MATCH(E1703,ctaNom,0))="Sí",FALSE),IF(OR(I1703="Gasto",I1703="Transferencia",I1703="Pago tarjeta"),-1,1)*O1703,0)+IF(AND(U1703&lt;&gt;"",IFERROR(INDEX(ctaLiq,MATCH(G1703,ctaNom,0))="Sí",FALSE)),O1703,0))</f>
        <v/>
      </c>
      <c r="W1703" s="19">
        <f>IF(OR(F1703="",I1703=""),"",IF(COUNTIFS(F$6:F1703,F1703,I$6:I1703,"?*")=1,MAX(W$5:W1702)+1,""))</f>
        <v/>
      </c>
    </row>
    <row r="1704">
      <c r="B1704" s="15" t="n"/>
      <c r="C1704" s="16" t="n"/>
      <c r="D1704" s="17" t="n"/>
      <c r="E1704" s="17" t="n"/>
      <c r="F1704" s="17" t="n"/>
      <c r="G1704" s="17" t="n"/>
      <c r="H1704" s="18">
        <f>IF(AND(B1704="",C1704="",D1704="",E1704=""),"",IF(B1704="","⚠ Falta fecha",IF(C1704="","⚠ Falta monto",IF(D1704="","⚠ Falta categoría",IF(ISNA(MATCH(D1704,catNom,0)),"⚠ Categoría no existe",IF(E1704="","⚠ Falta cuenta",IF(ISNA(MATCH(E1704,ctaNom,0)),"⚠ Cuenta no existe",IF(AND(OR(I1704="Transferencia",I1704="Pago tarjeta"),G1704=""),"⚠ Indica la cuenta «Hacia»",IF(AND(G1704&lt;&gt;"",G1704=E1704),"⚠ «Hacia» igual a la cuenta",IF(AND(G1704&lt;&gt;"",ISNA(MATCH(G1704,ctaNom,0))),"⚠ «Hacia» no existe",IF(AND(I1704="Pago tarjeta",IFERROR(INDEX(ctaTipo,MATCH(G1704,ctaNom,0)),"")&lt;&gt;"Tarjeta de crédito"),"⚠ «Hacia» debe ser la tarjeta",IF(AND(I1704="Trading",IFERROR(INDEX(ctaTipo,MATCH(E1704,ctaNom,0)),"")&lt;&gt;"Cuenta de trading"),"⚠ Usa la cuenta de trading","✓"))))))))))))</f>
        <v/>
      </c>
      <c r="I1704" s="19">
        <f>IF(OR(B1704="",C1704="",D1704=""),"",IFERROR(INDEX(catTipo,MATCH(D1704,catNom,0))&amp;"",""))</f>
        <v/>
      </c>
      <c r="J1704" s="19">
        <f>IF(I1704="","",IFERROR(INDEX(catGrupo,MATCH(D1704,catNom,0))&amp;"",""))</f>
        <v/>
      </c>
      <c r="K1704" s="19">
        <f>IF(I1704="Gasto",IF(IFERROR(INDEX(catClas,MATCH(D1704,catNom,0))&amp;"","")="","Variable",IFERROR(INDEX(catClas,MATCH(D1704,catNom,0))&amp;"","")),"")</f>
        <v/>
      </c>
      <c r="L1704" s="19">
        <f>IF(I1704="","",IFERROR(INDEX(catAlim,MATCH(D1704,catNom,0))&amp;"",""))</f>
        <v/>
      </c>
      <c r="M1704" s="19">
        <f>IF(I1704="","",IFERROR(INDEX(catComida,MATCH(D1704,catNom,0))&amp;"",""))</f>
        <v/>
      </c>
      <c r="N1704" s="19">
        <f>IF(I1704="","",IFERROR(INDEX(ctaMon,MATCH(E1704,ctaNom,0))&amp;"","DOP"))</f>
        <v/>
      </c>
      <c r="O1704" s="20">
        <f>IF(I1704="","",C1704*IF(N1704="USD",TasaUSD,1))</f>
        <v/>
      </c>
      <c r="P1704" s="20">
        <f>IF(I1704="","",IF(I1704="Gasto",O1704,0))</f>
        <v/>
      </c>
      <c r="Q1704" s="20">
        <f>IF(I1704="","",IF(I1704="Ingreso",O1704,0))</f>
        <v/>
      </c>
      <c r="R1704" s="20">
        <f>IF(I1704="","",IF(I1704="Trading",O1704,0))</f>
        <v/>
      </c>
      <c r="S1704" s="19">
        <f>IF(I1704="","",IF(AND(I1704="Gasto",K1704="Variable",J1704&lt;&gt;"Trading",O1704&gt;0,O1704&lt;=Umbral),1,0))</f>
        <v/>
      </c>
      <c r="T1704" s="20">
        <f>IF(OR(I1704="",E1704=""),"",IF(OR(I1704="Gasto",I1704="Transferencia",I1704="Pago tarjeta"),-1,1)*C1704)</f>
        <v/>
      </c>
      <c r="U1704" s="20">
        <f>IF(OR(G1704="",AND(I1704&lt;&gt;"Transferencia",I1704&lt;&gt;"Pago tarjeta")),"",IF(IFERROR(INDEX(ctaMon,MATCH(G1704,ctaNom,0))&amp;"","DOP")=N1704,C1704,IF(N1704="USD",C1704*TasaUSD,C1704/TasaUSD)))</f>
        <v/>
      </c>
      <c r="V1704" s="20">
        <f>IF(I1704="","",IF(IFERROR(INDEX(ctaLiq,MATCH(E1704,ctaNom,0))="Sí",FALSE),IF(OR(I1704="Gasto",I1704="Transferencia",I1704="Pago tarjeta"),-1,1)*O1704,0)+IF(AND(U1704&lt;&gt;"",IFERROR(INDEX(ctaLiq,MATCH(G1704,ctaNom,0))="Sí",FALSE)),O1704,0))</f>
        <v/>
      </c>
      <c r="W1704" s="19">
        <f>IF(OR(F1704="",I1704=""),"",IF(COUNTIFS(F$6:F1704,F1704,I$6:I1704,"?*")=1,MAX(W$5:W1703)+1,""))</f>
        <v/>
      </c>
    </row>
    <row r="1705">
      <c r="B1705" s="15" t="n"/>
      <c r="C1705" s="16" t="n"/>
      <c r="D1705" s="17" t="n"/>
      <c r="E1705" s="17" t="n"/>
      <c r="F1705" s="17" t="n"/>
      <c r="G1705" s="17" t="n"/>
      <c r="H1705" s="18">
        <f>IF(AND(B1705="",C1705="",D1705="",E1705=""),"",IF(B1705="","⚠ Falta fecha",IF(C1705="","⚠ Falta monto",IF(D1705="","⚠ Falta categoría",IF(ISNA(MATCH(D1705,catNom,0)),"⚠ Categoría no existe",IF(E1705="","⚠ Falta cuenta",IF(ISNA(MATCH(E1705,ctaNom,0)),"⚠ Cuenta no existe",IF(AND(OR(I1705="Transferencia",I1705="Pago tarjeta"),G1705=""),"⚠ Indica la cuenta «Hacia»",IF(AND(G1705&lt;&gt;"",G1705=E1705),"⚠ «Hacia» igual a la cuenta",IF(AND(G1705&lt;&gt;"",ISNA(MATCH(G1705,ctaNom,0))),"⚠ «Hacia» no existe",IF(AND(I1705="Pago tarjeta",IFERROR(INDEX(ctaTipo,MATCH(G1705,ctaNom,0)),"")&lt;&gt;"Tarjeta de crédito"),"⚠ «Hacia» debe ser la tarjeta",IF(AND(I1705="Trading",IFERROR(INDEX(ctaTipo,MATCH(E1705,ctaNom,0)),"")&lt;&gt;"Cuenta de trading"),"⚠ Usa la cuenta de trading","✓"))))))))))))</f>
        <v/>
      </c>
      <c r="I1705" s="19">
        <f>IF(OR(B1705="",C1705="",D1705=""),"",IFERROR(INDEX(catTipo,MATCH(D1705,catNom,0))&amp;"",""))</f>
        <v/>
      </c>
      <c r="J1705" s="19">
        <f>IF(I1705="","",IFERROR(INDEX(catGrupo,MATCH(D1705,catNom,0))&amp;"",""))</f>
        <v/>
      </c>
      <c r="K1705" s="19">
        <f>IF(I1705="Gasto",IF(IFERROR(INDEX(catClas,MATCH(D1705,catNom,0))&amp;"","")="","Variable",IFERROR(INDEX(catClas,MATCH(D1705,catNom,0))&amp;"","")),"")</f>
        <v/>
      </c>
      <c r="L1705" s="19">
        <f>IF(I1705="","",IFERROR(INDEX(catAlim,MATCH(D1705,catNom,0))&amp;"",""))</f>
        <v/>
      </c>
      <c r="M1705" s="19">
        <f>IF(I1705="","",IFERROR(INDEX(catComida,MATCH(D1705,catNom,0))&amp;"",""))</f>
        <v/>
      </c>
      <c r="N1705" s="19">
        <f>IF(I1705="","",IFERROR(INDEX(ctaMon,MATCH(E1705,ctaNom,0))&amp;"","DOP"))</f>
        <v/>
      </c>
      <c r="O1705" s="20">
        <f>IF(I1705="","",C1705*IF(N1705="USD",TasaUSD,1))</f>
        <v/>
      </c>
      <c r="P1705" s="20">
        <f>IF(I1705="","",IF(I1705="Gasto",O1705,0))</f>
        <v/>
      </c>
      <c r="Q1705" s="20">
        <f>IF(I1705="","",IF(I1705="Ingreso",O1705,0))</f>
        <v/>
      </c>
      <c r="R1705" s="20">
        <f>IF(I1705="","",IF(I1705="Trading",O1705,0))</f>
        <v/>
      </c>
      <c r="S1705" s="19">
        <f>IF(I1705="","",IF(AND(I1705="Gasto",K1705="Variable",J1705&lt;&gt;"Trading",O1705&gt;0,O1705&lt;=Umbral),1,0))</f>
        <v/>
      </c>
      <c r="T1705" s="20">
        <f>IF(OR(I1705="",E1705=""),"",IF(OR(I1705="Gasto",I1705="Transferencia",I1705="Pago tarjeta"),-1,1)*C1705)</f>
        <v/>
      </c>
      <c r="U1705" s="20">
        <f>IF(OR(G1705="",AND(I1705&lt;&gt;"Transferencia",I1705&lt;&gt;"Pago tarjeta")),"",IF(IFERROR(INDEX(ctaMon,MATCH(G1705,ctaNom,0))&amp;"","DOP")=N1705,C1705,IF(N1705="USD",C1705*TasaUSD,C1705/TasaUSD)))</f>
        <v/>
      </c>
      <c r="V1705" s="20">
        <f>IF(I1705="","",IF(IFERROR(INDEX(ctaLiq,MATCH(E1705,ctaNom,0))="Sí",FALSE),IF(OR(I1705="Gasto",I1705="Transferencia",I1705="Pago tarjeta"),-1,1)*O1705,0)+IF(AND(U1705&lt;&gt;"",IFERROR(INDEX(ctaLiq,MATCH(G1705,ctaNom,0))="Sí",FALSE)),O1705,0))</f>
        <v/>
      </c>
      <c r="W1705" s="19">
        <f>IF(OR(F1705="",I1705=""),"",IF(COUNTIFS(F$6:F1705,F1705,I$6:I1705,"?*")=1,MAX(W$5:W1704)+1,""))</f>
        <v/>
      </c>
    </row>
    <row r="1706">
      <c r="B1706" s="15" t="n"/>
      <c r="C1706" s="16" t="n"/>
      <c r="D1706" s="17" t="n"/>
      <c r="E1706" s="17" t="n"/>
      <c r="F1706" s="17" t="n"/>
      <c r="G1706" s="17" t="n"/>
      <c r="H1706" s="18">
        <f>IF(AND(B1706="",C1706="",D1706="",E1706=""),"",IF(B1706="","⚠ Falta fecha",IF(C1706="","⚠ Falta monto",IF(D1706="","⚠ Falta categoría",IF(ISNA(MATCH(D1706,catNom,0)),"⚠ Categoría no existe",IF(E1706="","⚠ Falta cuenta",IF(ISNA(MATCH(E1706,ctaNom,0)),"⚠ Cuenta no existe",IF(AND(OR(I1706="Transferencia",I1706="Pago tarjeta"),G1706=""),"⚠ Indica la cuenta «Hacia»",IF(AND(G1706&lt;&gt;"",G1706=E1706),"⚠ «Hacia» igual a la cuenta",IF(AND(G1706&lt;&gt;"",ISNA(MATCH(G1706,ctaNom,0))),"⚠ «Hacia» no existe",IF(AND(I1706="Pago tarjeta",IFERROR(INDEX(ctaTipo,MATCH(G1706,ctaNom,0)),"")&lt;&gt;"Tarjeta de crédito"),"⚠ «Hacia» debe ser la tarjeta",IF(AND(I1706="Trading",IFERROR(INDEX(ctaTipo,MATCH(E1706,ctaNom,0)),"")&lt;&gt;"Cuenta de trading"),"⚠ Usa la cuenta de trading","✓"))))))))))))</f>
        <v/>
      </c>
      <c r="I1706" s="19">
        <f>IF(OR(B1706="",C1706="",D1706=""),"",IFERROR(INDEX(catTipo,MATCH(D1706,catNom,0))&amp;"",""))</f>
        <v/>
      </c>
      <c r="J1706" s="19">
        <f>IF(I1706="","",IFERROR(INDEX(catGrupo,MATCH(D1706,catNom,0))&amp;"",""))</f>
        <v/>
      </c>
      <c r="K1706" s="19">
        <f>IF(I1706="Gasto",IF(IFERROR(INDEX(catClas,MATCH(D1706,catNom,0))&amp;"","")="","Variable",IFERROR(INDEX(catClas,MATCH(D1706,catNom,0))&amp;"","")),"")</f>
        <v/>
      </c>
      <c r="L1706" s="19">
        <f>IF(I1706="","",IFERROR(INDEX(catAlim,MATCH(D1706,catNom,0))&amp;"",""))</f>
        <v/>
      </c>
      <c r="M1706" s="19">
        <f>IF(I1706="","",IFERROR(INDEX(catComida,MATCH(D1706,catNom,0))&amp;"",""))</f>
        <v/>
      </c>
      <c r="N1706" s="19">
        <f>IF(I1706="","",IFERROR(INDEX(ctaMon,MATCH(E1706,ctaNom,0))&amp;"","DOP"))</f>
        <v/>
      </c>
      <c r="O1706" s="20">
        <f>IF(I1706="","",C1706*IF(N1706="USD",TasaUSD,1))</f>
        <v/>
      </c>
      <c r="P1706" s="20">
        <f>IF(I1706="","",IF(I1706="Gasto",O1706,0))</f>
        <v/>
      </c>
      <c r="Q1706" s="20">
        <f>IF(I1706="","",IF(I1706="Ingreso",O1706,0))</f>
        <v/>
      </c>
      <c r="R1706" s="20">
        <f>IF(I1706="","",IF(I1706="Trading",O1706,0))</f>
        <v/>
      </c>
      <c r="S1706" s="19">
        <f>IF(I1706="","",IF(AND(I1706="Gasto",K1706="Variable",J1706&lt;&gt;"Trading",O1706&gt;0,O1706&lt;=Umbral),1,0))</f>
        <v/>
      </c>
      <c r="T1706" s="20">
        <f>IF(OR(I1706="",E1706=""),"",IF(OR(I1706="Gasto",I1706="Transferencia",I1706="Pago tarjeta"),-1,1)*C1706)</f>
        <v/>
      </c>
      <c r="U1706" s="20">
        <f>IF(OR(G1706="",AND(I1706&lt;&gt;"Transferencia",I1706&lt;&gt;"Pago tarjeta")),"",IF(IFERROR(INDEX(ctaMon,MATCH(G1706,ctaNom,0))&amp;"","DOP")=N1706,C1706,IF(N1706="USD",C1706*TasaUSD,C1706/TasaUSD)))</f>
        <v/>
      </c>
      <c r="V1706" s="20">
        <f>IF(I1706="","",IF(IFERROR(INDEX(ctaLiq,MATCH(E1706,ctaNom,0))="Sí",FALSE),IF(OR(I1706="Gasto",I1706="Transferencia",I1706="Pago tarjeta"),-1,1)*O1706,0)+IF(AND(U1706&lt;&gt;"",IFERROR(INDEX(ctaLiq,MATCH(G1706,ctaNom,0))="Sí",FALSE)),O1706,0))</f>
        <v/>
      </c>
      <c r="W1706" s="19">
        <f>IF(OR(F1706="",I1706=""),"",IF(COUNTIFS(F$6:F1706,F1706,I$6:I1706,"?*")=1,MAX(W$5:W1705)+1,""))</f>
        <v/>
      </c>
    </row>
    <row r="1707">
      <c r="B1707" s="15" t="n"/>
      <c r="C1707" s="16" t="n"/>
      <c r="D1707" s="17" t="n"/>
      <c r="E1707" s="17" t="n"/>
      <c r="F1707" s="17" t="n"/>
      <c r="G1707" s="17" t="n"/>
      <c r="H1707" s="18">
        <f>IF(AND(B1707="",C1707="",D1707="",E1707=""),"",IF(B1707="","⚠ Falta fecha",IF(C1707="","⚠ Falta monto",IF(D1707="","⚠ Falta categoría",IF(ISNA(MATCH(D1707,catNom,0)),"⚠ Categoría no existe",IF(E1707="","⚠ Falta cuenta",IF(ISNA(MATCH(E1707,ctaNom,0)),"⚠ Cuenta no existe",IF(AND(OR(I1707="Transferencia",I1707="Pago tarjeta"),G1707=""),"⚠ Indica la cuenta «Hacia»",IF(AND(G1707&lt;&gt;"",G1707=E1707),"⚠ «Hacia» igual a la cuenta",IF(AND(G1707&lt;&gt;"",ISNA(MATCH(G1707,ctaNom,0))),"⚠ «Hacia» no existe",IF(AND(I1707="Pago tarjeta",IFERROR(INDEX(ctaTipo,MATCH(G1707,ctaNom,0)),"")&lt;&gt;"Tarjeta de crédito"),"⚠ «Hacia» debe ser la tarjeta",IF(AND(I1707="Trading",IFERROR(INDEX(ctaTipo,MATCH(E1707,ctaNom,0)),"")&lt;&gt;"Cuenta de trading"),"⚠ Usa la cuenta de trading","✓"))))))))))))</f>
        <v/>
      </c>
      <c r="I1707" s="19">
        <f>IF(OR(B1707="",C1707="",D1707=""),"",IFERROR(INDEX(catTipo,MATCH(D1707,catNom,0))&amp;"",""))</f>
        <v/>
      </c>
      <c r="J1707" s="19">
        <f>IF(I1707="","",IFERROR(INDEX(catGrupo,MATCH(D1707,catNom,0))&amp;"",""))</f>
        <v/>
      </c>
      <c r="K1707" s="19">
        <f>IF(I1707="Gasto",IF(IFERROR(INDEX(catClas,MATCH(D1707,catNom,0))&amp;"","")="","Variable",IFERROR(INDEX(catClas,MATCH(D1707,catNom,0))&amp;"","")),"")</f>
        <v/>
      </c>
      <c r="L1707" s="19">
        <f>IF(I1707="","",IFERROR(INDEX(catAlim,MATCH(D1707,catNom,0))&amp;"",""))</f>
        <v/>
      </c>
      <c r="M1707" s="19">
        <f>IF(I1707="","",IFERROR(INDEX(catComida,MATCH(D1707,catNom,0))&amp;"",""))</f>
        <v/>
      </c>
      <c r="N1707" s="19">
        <f>IF(I1707="","",IFERROR(INDEX(ctaMon,MATCH(E1707,ctaNom,0))&amp;"","DOP"))</f>
        <v/>
      </c>
      <c r="O1707" s="20">
        <f>IF(I1707="","",C1707*IF(N1707="USD",TasaUSD,1))</f>
        <v/>
      </c>
      <c r="P1707" s="20">
        <f>IF(I1707="","",IF(I1707="Gasto",O1707,0))</f>
        <v/>
      </c>
      <c r="Q1707" s="20">
        <f>IF(I1707="","",IF(I1707="Ingreso",O1707,0))</f>
        <v/>
      </c>
      <c r="R1707" s="20">
        <f>IF(I1707="","",IF(I1707="Trading",O1707,0))</f>
        <v/>
      </c>
      <c r="S1707" s="19">
        <f>IF(I1707="","",IF(AND(I1707="Gasto",K1707="Variable",J1707&lt;&gt;"Trading",O1707&gt;0,O1707&lt;=Umbral),1,0))</f>
        <v/>
      </c>
      <c r="T1707" s="20">
        <f>IF(OR(I1707="",E1707=""),"",IF(OR(I1707="Gasto",I1707="Transferencia",I1707="Pago tarjeta"),-1,1)*C1707)</f>
        <v/>
      </c>
      <c r="U1707" s="20">
        <f>IF(OR(G1707="",AND(I1707&lt;&gt;"Transferencia",I1707&lt;&gt;"Pago tarjeta")),"",IF(IFERROR(INDEX(ctaMon,MATCH(G1707,ctaNom,0))&amp;"","DOP")=N1707,C1707,IF(N1707="USD",C1707*TasaUSD,C1707/TasaUSD)))</f>
        <v/>
      </c>
      <c r="V1707" s="20">
        <f>IF(I1707="","",IF(IFERROR(INDEX(ctaLiq,MATCH(E1707,ctaNom,0))="Sí",FALSE),IF(OR(I1707="Gasto",I1707="Transferencia",I1707="Pago tarjeta"),-1,1)*O1707,0)+IF(AND(U1707&lt;&gt;"",IFERROR(INDEX(ctaLiq,MATCH(G1707,ctaNom,0))="Sí",FALSE)),O1707,0))</f>
        <v/>
      </c>
      <c r="W1707" s="19">
        <f>IF(OR(F1707="",I1707=""),"",IF(COUNTIFS(F$6:F1707,F1707,I$6:I1707,"?*")=1,MAX(W$5:W1706)+1,""))</f>
        <v/>
      </c>
    </row>
    <row r="1708">
      <c r="B1708" s="15" t="n"/>
      <c r="C1708" s="16" t="n"/>
      <c r="D1708" s="17" t="n"/>
      <c r="E1708" s="17" t="n"/>
      <c r="F1708" s="17" t="n"/>
      <c r="G1708" s="17" t="n"/>
      <c r="H1708" s="18">
        <f>IF(AND(B1708="",C1708="",D1708="",E1708=""),"",IF(B1708="","⚠ Falta fecha",IF(C1708="","⚠ Falta monto",IF(D1708="","⚠ Falta categoría",IF(ISNA(MATCH(D1708,catNom,0)),"⚠ Categoría no existe",IF(E1708="","⚠ Falta cuenta",IF(ISNA(MATCH(E1708,ctaNom,0)),"⚠ Cuenta no existe",IF(AND(OR(I1708="Transferencia",I1708="Pago tarjeta"),G1708=""),"⚠ Indica la cuenta «Hacia»",IF(AND(G1708&lt;&gt;"",G1708=E1708),"⚠ «Hacia» igual a la cuenta",IF(AND(G1708&lt;&gt;"",ISNA(MATCH(G1708,ctaNom,0))),"⚠ «Hacia» no existe",IF(AND(I1708="Pago tarjeta",IFERROR(INDEX(ctaTipo,MATCH(G1708,ctaNom,0)),"")&lt;&gt;"Tarjeta de crédito"),"⚠ «Hacia» debe ser la tarjeta",IF(AND(I1708="Trading",IFERROR(INDEX(ctaTipo,MATCH(E1708,ctaNom,0)),"")&lt;&gt;"Cuenta de trading"),"⚠ Usa la cuenta de trading","✓"))))))))))))</f>
        <v/>
      </c>
      <c r="I1708" s="19">
        <f>IF(OR(B1708="",C1708="",D1708=""),"",IFERROR(INDEX(catTipo,MATCH(D1708,catNom,0))&amp;"",""))</f>
        <v/>
      </c>
      <c r="J1708" s="19">
        <f>IF(I1708="","",IFERROR(INDEX(catGrupo,MATCH(D1708,catNom,0))&amp;"",""))</f>
        <v/>
      </c>
      <c r="K1708" s="19">
        <f>IF(I1708="Gasto",IF(IFERROR(INDEX(catClas,MATCH(D1708,catNom,0))&amp;"","")="","Variable",IFERROR(INDEX(catClas,MATCH(D1708,catNom,0))&amp;"","")),"")</f>
        <v/>
      </c>
      <c r="L1708" s="19">
        <f>IF(I1708="","",IFERROR(INDEX(catAlim,MATCH(D1708,catNom,0))&amp;"",""))</f>
        <v/>
      </c>
      <c r="M1708" s="19">
        <f>IF(I1708="","",IFERROR(INDEX(catComida,MATCH(D1708,catNom,0))&amp;"",""))</f>
        <v/>
      </c>
      <c r="N1708" s="19">
        <f>IF(I1708="","",IFERROR(INDEX(ctaMon,MATCH(E1708,ctaNom,0))&amp;"","DOP"))</f>
        <v/>
      </c>
      <c r="O1708" s="20">
        <f>IF(I1708="","",C1708*IF(N1708="USD",TasaUSD,1))</f>
        <v/>
      </c>
      <c r="P1708" s="20">
        <f>IF(I1708="","",IF(I1708="Gasto",O1708,0))</f>
        <v/>
      </c>
      <c r="Q1708" s="20">
        <f>IF(I1708="","",IF(I1708="Ingreso",O1708,0))</f>
        <v/>
      </c>
      <c r="R1708" s="20">
        <f>IF(I1708="","",IF(I1708="Trading",O1708,0))</f>
        <v/>
      </c>
      <c r="S1708" s="19">
        <f>IF(I1708="","",IF(AND(I1708="Gasto",K1708="Variable",J1708&lt;&gt;"Trading",O1708&gt;0,O1708&lt;=Umbral),1,0))</f>
        <v/>
      </c>
      <c r="T1708" s="20">
        <f>IF(OR(I1708="",E1708=""),"",IF(OR(I1708="Gasto",I1708="Transferencia",I1708="Pago tarjeta"),-1,1)*C1708)</f>
        <v/>
      </c>
      <c r="U1708" s="20">
        <f>IF(OR(G1708="",AND(I1708&lt;&gt;"Transferencia",I1708&lt;&gt;"Pago tarjeta")),"",IF(IFERROR(INDEX(ctaMon,MATCH(G1708,ctaNom,0))&amp;"","DOP")=N1708,C1708,IF(N1708="USD",C1708*TasaUSD,C1708/TasaUSD)))</f>
        <v/>
      </c>
      <c r="V1708" s="20">
        <f>IF(I1708="","",IF(IFERROR(INDEX(ctaLiq,MATCH(E1708,ctaNom,0))="Sí",FALSE),IF(OR(I1708="Gasto",I1708="Transferencia",I1708="Pago tarjeta"),-1,1)*O1708,0)+IF(AND(U1708&lt;&gt;"",IFERROR(INDEX(ctaLiq,MATCH(G1708,ctaNom,0))="Sí",FALSE)),O1708,0))</f>
        <v/>
      </c>
      <c r="W1708" s="19">
        <f>IF(OR(F1708="",I1708=""),"",IF(COUNTIFS(F$6:F1708,F1708,I$6:I1708,"?*")=1,MAX(W$5:W1707)+1,""))</f>
        <v/>
      </c>
    </row>
    <row r="1709">
      <c r="B1709" s="15" t="n"/>
      <c r="C1709" s="16" t="n"/>
      <c r="D1709" s="17" t="n"/>
      <c r="E1709" s="17" t="n"/>
      <c r="F1709" s="17" t="n"/>
      <c r="G1709" s="17" t="n"/>
      <c r="H1709" s="18">
        <f>IF(AND(B1709="",C1709="",D1709="",E1709=""),"",IF(B1709="","⚠ Falta fecha",IF(C1709="","⚠ Falta monto",IF(D1709="","⚠ Falta categoría",IF(ISNA(MATCH(D1709,catNom,0)),"⚠ Categoría no existe",IF(E1709="","⚠ Falta cuenta",IF(ISNA(MATCH(E1709,ctaNom,0)),"⚠ Cuenta no existe",IF(AND(OR(I1709="Transferencia",I1709="Pago tarjeta"),G1709=""),"⚠ Indica la cuenta «Hacia»",IF(AND(G1709&lt;&gt;"",G1709=E1709),"⚠ «Hacia» igual a la cuenta",IF(AND(G1709&lt;&gt;"",ISNA(MATCH(G1709,ctaNom,0))),"⚠ «Hacia» no existe",IF(AND(I1709="Pago tarjeta",IFERROR(INDEX(ctaTipo,MATCH(G1709,ctaNom,0)),"")&lt;&gt;"Tarjeta de crédito"),"⚠ «Hacia» debe ser la tarjeta",IF(AND(I1709="Trading",IFERROR(INDEX(ctaTipo,MATCH(E1709,ctaNom,0)),"")&lt;&gt;"Cuenta de trading"),"⚠ Usa la cuenta de trading","✓"))))))))))))</f>
        <v/>
      </c>
      <c r="I1709" s="19">
        <f>IF(OR(B1709="",C1709="",D1709=""),"",IFERROR(INDEX(catTipo,MATCH(D1709,catNom,0))&amp;"",""))</f>
        <v/>
      </c>
      <c r="J1709" s="19">
        <f>IF(I1709="","",IFERROR(INDEX(catGrupo,MATCH(D1709,catNom,0))&amp;"",""))</f>
        <v/>
      </c>
      <c r="K1709" s="19">
        <f>IF(I1709="Gasto",IF(IFERROR(INDEX(catClas,MATCH(D1709,catNom,0))&amp;"","")="","Variable",IFERROR(INDEX(catClas,MATCH(D1709,catNom,0))&amp;"","")),"")</f>
        <v/>
      </c>
      <c r="L1709" s="19">
        <f>IF(I1709="","",IFERROR(INDEX(catAlim,MATCH(D1709,catNom,0))&amp;"",""))</f>
        <v/>
      </c>
      <c r="M1709" s="19">
        <f>IF(I1709="","",IFERROR(INDEX(catComida,MATCH(D1709,catNom,0))&amp;"",""))</f>
        <v/>
      </c>
      <c r="N1709" s="19">
        <f>IF(I1709="","",IFERROR(INDEX(ctaMon,MATCH(E1709,ctaNom,0))&amp;"","DOP"))</f>
        <v/>
      </c>
      <c r="O1709" s="20">
        <f>IF(I1709="","",C1709*IF(N1709="USD",TasaUSD,1))</f>
        <v/>
      </c>
      <c r="P1709" s="20">
        <f>IF(I1709="","",IF(I1709="Gasto",O1709,0))</f>
        <v/>
      </c>
      <c r="Q1709" s="20">
        <f>IF(I1709="","",IF(I1709="Ingreso",O1709,0))</f>
        <v/>
      </c>
      <c r="R1709" s="20">
        <f>IF(I1709="","",IF(I1709="Trading",O1709,0))</f>
        <v/>
      </c>
      <c r="S1709" s="19">
        <f>IF(I1709="","",IF(AND(I1709="Gasto",K1709="Variable",J1709&lt;&gt;"Trading",O1709&gt;0,O1709&lt;=Umbral),1,0))</f>
        <v/>
      </c>
      <c r="T1709" s="20">
        <f>IF(OR(I1709="",E1709=""),"",IF(OR(I1709="Gasto",I1709="Transferencia",I1709="Pago tarjeta"),-1,1)*C1709)</f>
        <v/>
      </c>
      <c r="U1709" s="20">
        <f>IF(OR(G1709="",AND(I1709&lt;&gt;"Transferencia",I1709&lt;&gt;"Pago tarjeta")),"",IF(IFERROR(INDEX(ctaMon,MATCH(G1709,ctaNom,0))&amp;"","DOP")=N1709,C1709,IF(N1709="USD",C1709*TasaUSD,C1709/TasaUSD)))</f>
        <v/>
      </c>
      <c r="V1709" s="20">
        <f>IF(I1709="","",IF(IFERROR(INDEX(ctaLiq,MATCH(E1709,ctaNom,0))="Sí",FALSE),IF(OR(I1709="Gasto",I1709="Transferencia",I1709="Pago tarjeta"),-1,1)*O1709,0)+IF(AND(U1709&lt;&gt;"",IFERROR(INDEX(ctaLiq,MATCH(G1709,ctaNom,0))="Sí",FALSE)),O1709,0))</f>
        <v/>
      </c>
      <c r="W1709" s="19">
        <f>IF(OR(F1709="",I1709=""),"",IF(COUNTIFS(F$6:F1709,F1709,I$6:I1709,"?*")=1,MAX(W$5:W1708)+1,""))</f>
        <v/>
      </c>
    </row>
    <row r="1710">
      <c r="B1710" s="15" t="n"/>
      <c r="C1710" s="16" t="n"/>
      <c r="D1710" s="17" t="n"/>
      <c r="E1710" s="17" t="n"/>
      <c r="F1710" s="17" t="n"/>
      <c r="G1710" s="17" t="n"/>
      <c r="H1710" s="18">
        <f>IF(AND(B1710="",C1710="",D1710="",E1710=""),"",IF(B1710="","⚠ Falta fecha",IF(C1710="","⚠ Falta monto",IF(D1710="","⚠ Falta categoría",IF(ISNA(MATCH(D1710,catNom,0)),"⚠ Categoría no existe",IF(E1710="","⚠ Falta cuenta",IF(ISNA(MATCH(E1710,ctaNom,0)),"⚠ Cuenta no existe",IF(AND(OR(I1710="Transferencia",I1710="Pago tarjeta"),G1710=""),"⚠ Indica la cuenta «Hacia»",IF(AND(G1710&lt;&gt;"",G1710=E1710),"⚠ «Hacia» igual a la cuenta",IF(AND(G1710&lt;&gt;"",ISNA(MATCH(G1710,ctaNom,0))),"⚠ «Hacia» no existe",IF(AND(I1710="Pago tarjeta",IFERROR(INDEX(ctaTipo,MATCH(G1710,ctaNom,0)),"")&lt;&gt;"Tarjeta de crédito"),"⚠ «Hacia» debe ser la tarjeta",IF(AND(I1710="Trading",IFERROR(INDEX(ctaTipo,MATCH(E1710,ctaNom,0)),"")&lt;&gt;"Cuenta de trading"),"⚠ Usa la cuenta de trading","✓"))))))))))))</f>
        <v/>
      </c>
      <c r="I1710" s="19">
        <f>IF(OR(B1710="",C1710="",D1710=""),"",IFERROR(INDEX(catTipo,MATCH(D1710,catNom,0))&amp;"",""))</f>
        <v/>
      </c>
      <c r="J1710" s="19">
        <f>IF(I1710="","",IFERROR(INDEX(catGrupo,MATCH(D1710,catNom,0))&amp;"",""))</f>
        <v/>
      </c>
      <c r="K1710" s="19">
        <f>IF(I1710="Gasto",IF(IFERROR(INDEX(catClas,MATCH(D1710,catNom,0))&amp;"","")="","Variable",IFERROR(INDEX(catClas,MATCH(D1710,catNom,0))&amp;"","")),"")</f>
        <v/>
      </c>
      <c r="L1710" s="19">
        <f>IF(I1710="","",IFERROR(INDEX(catAlim,MATCH(D1710,catNom,0))&amp;"",""))</f>
        <v/>
      </c>
      <c r="M1710" s="19">
        <f>IF(I1710="","",IFERROR(INDEX(catComida,MATCH(D1710,catNom,0))&amp;"",""))</f>
        <v/>
      </c>
      <c r="N1710" s="19">
        <f>IF(I1710="","",IFERROR(INDEX(ctaMon,MATCH(E1710,ctaNom,0))&amp;"","DOP"))</f>
        <v/>
      </c>
      <c r="O1710" s="20">
        <f>IF(I1710="","",C1710*IF(N1710="USD",TasaUSD,1))</f>
        <v/>
      </c>
      <c r="P1710" s="20">
        <f>IF(I1710="","",IF(I1710="Gasto",O1710,0))</f>
        <v/>
      </c>
      <c r="Q1710" s="20">
        <f>IF(I1710="","",IF(I1710="Ingreso",O1710,0))</f>
        <v/>
      </c>
      <c r="R1710" s="20">
        <f>IF(I1710="","",IF(I1710="Trading",O1710,0))</f>
        <v/>
      </c>
      <c r="S1710" s="19">
        <f>IF(I1710="","",IF(AND(I1710="Gasto",K1710="Variable",J1710&lt;&gt;"Trading",O1710&gt;0,O1710&lt;=Umbral),1,0))</f>
        <v/>
      </c>
      <c r="T1710" s="20">
        <f>IF(OR(I1710="",E1710=""),"",IF(OR(I1710="Gasto",I1710="Transferencia",I1710="Pago tarjeta"),-1,1)*C1710)</f>
        <v/>
      </c>
      <c r="U1710" s="20">
        <f>IF(OR(G1710="",AND(I1710&lt;&gt;"Transferencia",I1710&lt;&gt;"Pago tarjeta")),"",IF(IFERROR(INDEX(ctaMon,MATCH(G1710,ctaNom,0))&amp;"","DOP")=N1710,C1710,IF(N1710="USD",C1710*TasaUSD,C1710/TasaUSD)))</f>
        <v/>
      </c>
      <c r="V1710" s="20">
        <f>IF(I1710="","",IF(IFERROR(INDEX(ctaLiq,MATCH(E1710,ctaNom,0))="Sí",FALSE),IF(OR(I1710="Gasto",I1710="Transferencia",I1710="Pago tarjeta"),-1,1)*O1710,0)+IF(AND(U1710&lt;&gt;"",IFERROR(INDEX(ctaLiq,MATCH(G1710,ctaNom,0))="Sí",FALSE)),O1710,0))</f>
        <v/>
      </c>
      <c r="W1710" s="19">
        <f>IF(OR(F1710="",I1710=""),"",IF(COUNTIFS(F$6:F1710,F1710,I$6:I1710,"?*")=1,MAX(W$5:W1709)+1,""))</f>
        <v/>
      </c>
    </row>
    <row r="1711">
      <c r="B1711" s="15" t="n"/>
      <c r="C1711" s="16" t="n"/>
      <c r="D1711" s="17" t="n"/>
      <c r="E1711" s="17" t="n"/>
      <c r="F1711" s="17" t="n"/>
      <c r="G1711" s="17" t="n"/>
      <c r="H1711" s="18">
        <f>IF(AND(B1711="",C1711="",D1711="",E1711=""),"",IF(B1711="","⚠ Falta fecha",IF(C1711="","⚠ Falta monto",IF(D1711="","⚠ Falta categoría",IF(ISNA(MATCH(D1711,catNom,0)),"⚠ Categoría no existe",IF(E1711="","⚠ Falta cuenta",IF(ISNA(MATCH(E1711,ctaNom,0)),"⚠ Cuenta no existe",IF(AND(OR(I1711="Transferencia",I1711="Pago tarjeta"),G1711=""),"⚠ Indica la cuenta «Hacia»",IF(AND(G1711&lt;&gt;"",G1711=E1711),"⚠ «Hacia» igual a la cuenta",IF(AND(G1711&lt;&gt;"",ISNA(MATCH(G1711,ctaNom,0))),"⚠ «Hacia» no existe",IF(AND(I1711="Pago tarjeta",IFERROR(INDEX(ctaTipo,MATCH(G1711,ctaNom,0)),"")&lt;&gt;"Tarjeta de crédito"),"⚠ «Hacia» debe ser la tarjeta",IF(AND(I1711="Trading",IFERROR(INDEX(ctaTipo,MATCH(E1711,ctaNom,0)),"")&lt;&gt;"Cuenta de trading"),"⚠ Usa la cuenta de trading","✓"))))))))))))</f>
        <v/>
      </c>
      <c r="I1711" s="19">
        <f>IF(OR(B1711="",C1711="",D1711=""),"",IFERROR(INDEX(catTipo,MATCH(D1711,catNom,0))&amp;"",""))</f>
        <v/>
      </c>
      <c r="J1711" s="19">
        <f>IF(I1711="","",IFERROR(INDEX(catGrupo,MATCH(D1711,catNom,0))&amp;"",""))</f>
        <v/>
      </c>
      <c r="K1711" s="19">
        <f>IF(I1711="Gasto",IF(IFERROR(INDEX(catClas,MATCH(D1711,catNom,0))&amp;"","")="","Variable",IFERROR(INDEX(catClas,MATCH(D1711,catNom,0))&amp;"","")),"")</f>
        <v/>
      </c>
      <c r="L1711" s="19">
        <f>IF(I1711="","",IFERROR(INDEX(catAlim,MATCH(D1711,catNom,0))&amp;"",""))</f>
        <v/>
      </c>
      <c r="M1711" s="19">
        <f>IF(I1711="","",IFERROR(INDEX(catComida,MATCH(D1711,catNom,0))&amp;"",""))</f>
        <v/>
      </c>
      <c r="N1711" s="19">
        <f>IF(I1711="","",IFERROR(INDEX(ctaMon,MATCH(E1711,ctaNom,0))&amp;"","DOP"))</f>
        <v/>
      </c>
      <c r="O1711" s="20">
        <f>IF(I1711="","",C1711*IF(N1711="USD",TasaUSD,1))</f>
        <v/>
      </c>
      <c r="P1711" s="20">
        <f>IF(I1711="","",IF(I1711="Gasto",O1711,0))</f>
        <v/>
      </c>
      <c r="Q1711" s="20">
        <f>IF(I1711="","",IF(I1711="Ingreso",O1711,0))</f>
        <v/>
      </c>
      <c r="R1711" s="20">
        <f>IF(I1711="","",IF(I1711="Trading",O1711,0))</f>
        <v/>
      </c>
      <c r="S1711" s="19">
        <f>IF(I1711="","",IF(AND(I1711="Gasto",K1711="Variable",J1711&lt;&gt;"Trading",O1711&gt;0,O1711&lt;=Umbral),1,0))</f>
        <v/>
      </c>
      <c r="T1711" s="20">
        <f>IF(OR(I1711="",E1711=""),"",IF(OR(I1711="Gasto",I1711="Transferencia",I1711="Pago tarjeta"),-1,1)*C1711)</f>
        <v/>
      </c>
      <c r="U1711" s="20">
        <f>IF(OR(G1711="",AND(I1711&lt;&gt;"Transferencia",I1711&lt;&gt;"Pago tarjeta")),"",IF(IFERROR(INDEX(ctaMon,MATCH(G1711,ctaNom,0))&amp;"","DOP")=N1711,C1711,IF(N1711="USD",C1711*TasaUSD,C1711/TasaUSD)))</f>
        <v/>
      </c>
      <c r="V1711" s="20">
        <f>IF(I1711="","",IF(IFERROR(INDEX(ctaLiq,MATCH(E1711,ctaNom,0))="Sí",FALSE),IF(OR(I1711="Gasto",I1711="Transferencia",I1711="Pago tarjeta"),-1,1)*O1711,0)+IF(AND(U1711&lt;&gt;"",IFERROR(INDEX(ctaLiq,MATCH(G1711,ctaNom,0))="Sí",FALSE)),O1711,0))</f>
        <v/>
      </c>
      <c r="W1711" s="19">
        <f>IF(OR(F1711="",I1711=""),"",IF(COUNTIFS(F$6:F1711,F1711,I$6:I1711,"?*")=1,MAX(W$5:W1710)+1,""))</f>
        <v/>
      </c>
    </row>
    <row r="1712">
      <c r="B1712" s="15" t="n"/>
      <c r="C1712" s="16" t="n"/>
      <c r="D1712" s="17" t="n"/>
      <c r="E1712" s="17" t="n"/>
      <c r="F1712" s="17" t="n"/>
      <c r="G1712" s="17" t="n"/>
      <c r="H1712" s="18">
        <f>IF(AND(B1712="",C1712="",D1712="",E1712=""),"",IF(B1712="","⚠ Falta fecha",IF(C1712="","⚠ Falta monto",IF(D1712="","⚠ Falta categoría",IF(ISNA(MATCH(D1712,catNom,0)),"⚠ Categoría no existe",IF(E1712="","⚠ Falta cuenta",IF(ISNA(MATCH(E1712,ctaNom,0)),"⚠ Cuenta no existe",IF(AND(OR(I1712="Transferencia",I1712="Pago tarjeta"),G1712=""),"⚠ Indica la cuenta «Hacia»",IF(AND(G1712&lt;&gt;"",G1712=E1712),"⚠ «Hacia» igual a la cuenta",IF(AND(G1712&lt;&gt;"",ISNA(MATCH(G1712,ctaNom,0))),"⚠ «Hacia» no existe",IF(AND(I1712="Pago tarjeta",IFERROR(INDEX(ctaTipo,MATCH(G1712,ctaNom,0)),"")&lt;&gt;"Tarjeta de crédito"),"⚠ «Hacia» debe ser la tarjeta",IF(AND(I1712="Trading",IFERROR(INDEX(ctaTipo,MATCH(E1712,ctaNom,0)),"")&lt;&gt;"Cuenta de trading"),"⚠ Usa la cuenta de trading","✓"))))))))))))</f>
        <v/>
      </c>
      <c r="I1712" s="19">
        <f>IF(OR(B1712="",C1712="",D1712=""),"",IFERROR(INDEX(catTipo,MATCH(D1712,catNom,0))&amp;"",""))</f>
        <v/>
      </c>
      <c r="J1712" s="19">
        <f>IF(I1712="","",IFERROR(INDEX(catGrupo,MATCH(D1712,catNom,0))&amp;"",""))</f>
        <v/>
      </c>
      <c r="K1712" s="19">
        <f>IF(I1712="Gasto",IF(IFERROR(INDEX(catClas,MATCH(D1712,catNom,0))&amp;"","")="","Variable",IFERROR(INDEX(catClas,MATCH(D1712,catNom,0))&amp;"","")),"")</f>
        <v/>
      </c>
      <c r="L1712" s="19">
        <f>IF(I1712="","",IFERROR(INDEX(catAlim,MATCH(D1712,catNom,0))&amp;"",""))</f>
        <v/>
      </c>
      <c r="M1712" s="19">
        <f>IF(I1712="","",IFERROR(INDEX(catComida,MATCH(D1712,catNom,0))&amp;"",""))</f>
        <v/>
      </c>
      <c r="N1712" s="19">
        <f>IF(I1712="","",IFERROR(INDEX(ctaMon,MATCH(E1712,ctaNom,0))&amp;"","DOP"))</f>
        <v/>
      </c>
      <c r="O1712" s="20">
        <f>IF(I1712="","",C1712*IF(N1712="USD",TasaUSD,1))</f>
        <v/>
      </c>
      <c r="P1712" s="20">
        <f>IF(I1712="","",IF(I1712="Gasto",O1712,0))</f>
        <v/>
      </c>
      <c r="Q1712" s="20">
        <f>IF(I1712="","",IF(I1712="Ingreso",O1712,0))</f>
        <v/>
      </c>
      <c r="R1712" s="20">
        <f>IF(I1712="","",IF(I1712="Trading",O1712,0))</f>
        <v/>
      </c>
      <c r="S1712" s="19">
        <f>IF(I1712="","",IF(AND(I1712="Gasto",K1712="Variable",J1712&lt;&gt;"Trading",O1712&gt;0,O1712&lt;=Umbral),1,0))</f>
        <v/>
      </c>
      <c r="T1712" s="20">
        <f>IF(OR(I1712="",E1712=""),"",IF(OR(I1712="Gasto",I1712="Transferencia",I1712="Pago tarjeta"),-1,1)*C1712)</f>
        <v/>
      </c>
      <c r="U1712" s="20">
        <f>IF(OR(G1712="",AND(I1712&lt;&gt;"Transferencia",I1712&lt;&gt;"Pago tarjeta")),"",IF(IFERROR(INDEX(ctaMon,MATCH(G1712,ctaNom,0))&amp;"","DOP")=N1712,C1712,IF(N1712="USD",C1712*TasaUSD,C1712/TasaUSD)))</f>
        <v/>
      </c>
      <c r="V1712" s="20">
        <f>IF(I1712="","",IF(IFERROR(INDEX(ctaLiq,MATCH(E1712,ctaNom,0))="Sí",FALSE),IF(OR(I1712="Gasto",I1712="Transferencia",I1712="Pago tarjeta"),-1,1)*O1712,0)+IF(AND(U1712&lt;&gt;"",IFERROR(INDEX(ctaLiq,MATCH(G1712,ctaNom,0))="Sí",FALSE)),O1712,0))</f>
        <v/>
      </c>
      <c r="W1712" s="19">
        <f>IF(OR(F1712="",I1712=""),"",IF(COUNTIFS(F$6:F1712,F1712,I$6:I1712,"?*")=1,MAX(W$5:W1711)+1,""))</f>
        <v/>
      </c>
    </row>
    <row r="1713">
      <c r="B1713" s="15" t="n"/>
      <c r="C1713" s="16" t="n"/>
      <c r="D1713" s="17" t="n"/>
      <c r="E1713" s="17" t="n"/>
      <c r="F1713" s="17" t="n"/>
      <c r="G1713" s="17" t="n"/>
      <c r="H1713" s="18">
        <f>IF(AND(B1713="",C1713="",D1713="",E1713=""),"",IF(B1713="","⚠ Falta fecha",IF(C1713="","⚠ Falta monto",IF(D1713="","⚠ Falta categoría",IF(ISNA(MATCH(D1713,catNom,0)),"⚠ Categoría no existe",IF(E1713="","⚠ Falta cuenta",IF(ISNA(MATCH(E1713,ctaNom,0)),"⚠ Cuenta no existe",IF(AND(OR(I1713="Transferencia",I1713="Pago tarjeta"),G1713=""),"⚠ Indica la cuenta «Hacia»",IF(AND(G1713&lt;&gt;"",G1713=E1713),"⚠ «Hacia» igual a la cuenta",IF(AND(G1713&lt;&gt;"",ISNA(MATCH(G1713,ctaNom,0))),"⚠ «Hacia» no existe",IF(AND(I1713="Pago tarjeta",IFERROR(INDEX(ctaTipo,MATCH(G1713,ctaNom,0)),"")&lt;&gt;"Tarjeta de crédito"),"⚠ «Hacia» debe ser la tarjeta",IF(AND(I1713="Trading",IFERROR(INDEX(ctaTipo,MATCH(E1713,ctaNom,0)),"")&lt;&gt;"Cuenta de trading"),"⚠ Usa la cuenta de trading","✓"))))))))))))</f>
        <v/>
      </c>
      <c r="I1713" s="19">
        <f>IF(OR(B1713="",C1713="",D1713=""),"",IFERROR(INDEX(catTipo,MATCH(D1713,catNom,0))&amp;"",""))</f>
        <v/>
      </c>
      <c r="J1713" s="19">
        <f>IF(I1713="","",IFERROR(INDEX(catGrupo,MATCH(D1713,catNom,0))&amp;"",""))</f>
        <v/>
      </c>
      <c r="K1713" s="19">
        <f>IF(I1713="Gasto",IF(IFERROR(INDEX(catClas,MATCH(D1713,catNom,0))&amp;"","")="","Variable",IFERROR(INDEX(catClas,MATCH(D1713,catNom,0))&amp;"","")),"")</f>
        <v/>
      </c>
      <c r="L1713" s="19">
        <f>IF(I1713="","",IFERROR(INDEX(catAlim,MATCH(D1713,catNom,0))&amp;"",""))</f>
        <v/>
      </c>
      <c r="M1713" s="19">
        <f>IF(I1713="","",IFERROR(INDEX(catComida,MATCH(D1713,catNom,0))&amp;"",""))</f>
        <v/>
      </c>
      <c r="N1713" s="19">
        <f>IF(I1713="","",IFERROR(INDEX(ctaMon,MATCH(E1713,ctaNom,0))&amp;"","DOP"))</f>
        <v/>
      </c>
      <c r="O1713" s="20">
        <f>IF(I1713="","",C1713*IF(N1713="USD",TasaUSD,1))</f>
        <v/>
      </c>
      <c r="P1713" s="20">
        <f>IF(I1713="","",IF(I1713="Gasto",O1713,0))</f>
        <v/>
      </c>
      <c r="Q1713" s="20">
        <f>IF(I1713="","",IF(I1713="Ingreso",O1713,0))</f>
        <v/>
      </c>
      <c r="R1713" s="20">
        <f>IF(I1713="","",IF(I1713="Trading",O1713,0))</f>
        <v/>
      </c>
      <c r="S1713" s="19">
        <f>IF(I1713="","",IF(AND(I1713="Gasto",K1713="Variable",J1713&lt;&gt;"Trading",O1713&gt;0,O1713&lt;=Umbral),1,0))</f>
        <v/>
      </c>
      <c r="T1713" s="20">
        <f>IF(OR(I1713="",E1713=""),"",IF(OR(I1713="Gasto",I1713="Transferencia",I1713="Pago tarjeta"),-1,1)*C1713)</f>
        <v/>
      </c>
      <c r="U1713" s="20">
        <f>IF(OR(G1713="",AND(I1713&lt;&gt;"Transferencia",I1713&lt;&gt;"Pago tarjeta")),"",IF(IFERROR(INDEX(ctaMon,MATCH(G1713,ctaNom,0))&amp;"","DOP")=N1713,C1713,IF(N1713="USD",C1713*TasaUSD,C1713/TasaUSD)))</f>
        <v/>
      </c>
      <c r="V1713" s="20">
        <f>IF(I1713="","",IF(IFERROR(INDEX(ctaLiq,MATCH(E1713,ctaNom,0))="Sí",FALSE),IF(OR(I1713="Gasto",I1713="Transferencia",I1713="Pago tarjeta"),-1,1)*O1713,0)+IF(AND(U1713&lt;&gt;"",IFERROR(INDEX(ctaLiq,MATCH(G1713,ctaNom,0))="Sí",FALSE)),O1713,0))</f>
        <v/>
      </c>
      <c r="W1713" s="19">
        <f>IF(OR(F1713="",I1713=""),"",IF(COUNTIFS(F$6:F1713,F1713,I$6:I1713,"?*")=1,MAX(W$5:W1712)+1,""))</f>
        <v/>
      </c>
    </row>
    <row r="1714">
      <c r="B1714" s="15" t="n"/>
      <c r="C1714" s="16" t="n"/>
      <c r="D1714" s="17" t="n"/>
      <c r="E1714" s="17" t="n"/>
      <c r="F1714" s="17" t="n"/>
      <c r="G1714" s="17" t="n"/>
      <c r="H1714" s="18">
        <f>IF(AND(B1714="",C1714="",D1714="",E1714=""),"",IF(B1714="","⚠ Falta fecha",IF(C1714="","⚠ Falta monto",IF(D1714="","⚠ Falta categoría",IF(ISNA(MATCH(D1714,catNom,0)),"⚠ Categoría no existe",IF(E1714="","⚠ Falta cuenta",IF(ISNA(MATCH(E1714,ctaNom,0)),"⚠ Cuenta no existe",IF(AND(OR(I1714="Transferencia",I1714="Pago tarjeta"),G1714=""),"⚠ Indica la cuenta «Hacia»",IF(AND(G1714&lt;&gt;"",G1714=E1714),"⚠ «Hacia» igual a la cuenta",IF(AND(G1714&lt;&gt;"",ISNA(MATCH(G1714,ctaNom,0))),"⚠ «Hacia» no existe",IF(AND(I1714="Pago tarjeta",IFERROR(INDEX(ctaTipo,MATCH(G1714,ctaNom,0)),"")&lt;&gt;"Tarjeta de crédito"),"⚠ «Hacia» debe ser la tarjeta",IF(AND(I1714="Trading",IFERROR(INDEX(ctaTipo,MATCH(E1714,ctaNom,0)),"")&lt;&gt;"Cuenta de trading"),"⚠ Usa la cuenta de trading","✓"))))))))))))</f>
        <v/>
      </c>
      <c r="I1714" s="19">
        <f>IF(OR(B1714="",C1714="",D1714=""),"",IFERROR(INDEX(catTipo,MATCH(D1714,catNom,0))&amp;"",""))</f>
        <v/>
      </c>
      <c r="J1714" s="19">
        <f>IF(I1714="","",IFERROR(INDEX(catGrupo,MATCH(D1714,catNom,0))&amp;"",""))</f>
        <v/>
      </c>
      <c r="K1714" s="19">
        <f>IF(I1714="Gasto",IF(IFERROR(INDEX(catClas,MATCH(D1714,catNom,0))&amp;"","")="","Variable",IFERROR(INDEX(catClas,MATCH(D1714,catNom,0))&amp;"","")),"")</f>
        <v/>
      </c>
      <c r="L1714" s="19">
        <f>IF(I1714="","",IFERROR(INDEX(catAlim,MATCH(D1714,catNom,0))&amp;"",""))</f>
        <v/>
      </c>
      <c r="M1714" s="19">
        <f>IF(I1714="","",IFERROR(INDEX(catComida,MATCH(D1714,catNom,0))&amp;"",""))</f>
        <v/>
      </c>
      <c r="N1714" s="19">
        <f>IF(I1714="","",IFERROR(INDEX(ctaMon,MATCH(E1714,ctaNom,0))&amp;"","DOP"))</f>
        <v/>
      </c>
      <c r="O1714" s="20">
        <f>IF(I1714="","",C1714*IF(N1714="USD",TasaUSD,1))</f>
        <v/>
      </c>
      <c r="P1714" s="20">
        <f>IF(I1714="","",IF(I1714="Gasto",O1714,0))</f>
        <v/>
      </c>
      <c r="Q1714" s="20">
        <f>IF(I1714="","",IF(I1714="Ingreso",O1714,0))</f>
        <v/>
      </c>
      <c r="R1714" s="20">
        <f>IF(I1714="","",IF(I1714="Trading",O1714,0))</f>
        <v/>
      </c>
      <c r="S1714" s="19">
        <f>IF(I1714="","",IF(AND(I1714="Gasto",K1714="Variable",J1714&lt;&gt;"Trading",O1714&gt;0,O1714&lt;=Umbral),1,0))</f>
        <v/>
      </c>
      <c r="T1714" s="20">
        <f>IF(OR(I1714="",E1714=""),"",IF(OR(I1714="Gasto",I1714="Transferencia",I1714="Pago tarjeta"),-1,1)*C1714)</f>
        <v/>
      </c>
      <c r="U1714" s="20">
        <f>IF(OR(G1714="",AND(I1714&lt;&gt;"Transferencia",I1714&lt;&gt;"Pago tarjeta")),"",IF(IFERROR(INDEX(ctaMon,MATCH(G1714,ctaNom,0))&amp;"","DOP")=N1714,C1714,IF(N1714="USD",C1714*TasaUSD,C1714/TasaUSD)))</f>
        <v/>
      </c>
      <c r="V1714" s="20">
        <f>IF(I1714="","",IF(IFERROR(INDEX(ctaLiq,MATCH(E1714,ctaNom,0))="Sí",FALSE),IF(OR(I1714="Gasto",I1714="Transferencia",I1714="Pago tarjeta"),-1,1)*O1714,0)+IF(AND(U1714&lt;&gt;"",IFERROR(INDEX(ctaLiq,MATCH(G1714,ctaNom,0))="Sí",FALSE)),O1714,0))</f>
        <v/>
      </c>
      <c r="W1714" s="19">
        <f>IF(OR(F1714="",I1714=""),"",IF(COUNTIFS(F$6:F1714,F1714,I$6:I1714,"?*")=1,MAX(W$5:W1713)+1,""))</f>
        <v/>
      </c>
    </row>
    <row r="1715">
      <c r="B1715" s="15" t="n"/>
      <c r="C1715" s="16" t="n"/>
      <c r="D1715" s="17" t="n"/>
      <c r="E1715" s="17" t="n"/>
      <c r="F1715" s="17" t="n"/>
      <c r="G1715" s="17" t="n"/>
      <c r="H1715" s="18">
        <f>IF(AND(B1715="",C1715="",D1715="",E1715=""),"",IF(B1715="","⚠ Falta fecha",IF(C1715="","⚠ Falta monto",IF(D1715="","⚠ Falta categoría",IF(ISNA(MATCH(D1715,catNom,0)),"⚠ Categoría no existe",IF(E1715="","⚠ Falta cuenta",IF(ISNA(MATCH(E1715,ctaNom,0)),"⚠ Cuenta no existe",IF(AND(OR(I1715="Transferencia",I1715="Pago tarjeta"),G1715=""),"⚠ Indica la cuenta «Hacia»",IF(AND(G1715&lt;&gt;"",G1715=E1715),"⚠ «Hacia» igual a la cuenta",IF(AND(G1715&lt;&gt;"",ISNA(MATCH(G1715,ctaNom,0))),"⚠ «Hacia» no existe",IF(AND(I1715="Pago tarjeta",IFERROR(INDEX(ctaTipo,MATCH(G1715,ctaNom,0)),"")&lt;&gt;"Tarjeta de crédito"),"⚠ «Hacia» debe ser la tarjeta",IF(AND(I1715="Trading",IFERROR(INDEX(ctaTipo,MATCH(E1715,ctaNom,0)),"")&lt;&gt;"Cuenta de trading"),"⚠ Usa la cuenta de trading","✓"))))))))))))</f>
        <v/>
      </c>
      <c r="I1715" s="19">
        <f>IF(OR(B1715="",C1715="",D1715=""),"",IFERROR(INDEX(catTipo,MATCH(D1715,catNom,0))&amp;"",""))</f>
        <v/>
      </c>
      <c r="J1715" s="19">
        <f>IF(I1715="","",IFERROR(INDEX(catGrupo,MATCH(D1715,catNom,0))&amp;"",""))</f>
        <v/>
      </c>
      <c r="K1715" s="19">
        <f>IF(I1715="Gasto",IF(IFERROR(INDEX(catClas,MATCH(D1715,catNom,0))&amp;"","")="","Variable",IFERROR(INDEX(catClas,MATCH(D1715,catNom,0))&amp;"","")),"")</f>
        <v/>
      </c>
      <c r="L1715" s="19">
        <f>IF(I1715="","",IFERROR(INDEX(catAlim,MATCH(D1715,catNom,0))&amp;"",""))</f>
        <v/>
      </c>
      <c r="M1715" s="19">
        <f>IF(I1715="","",IFERROR(INDEX(catComida,MATCH(D1715,catNom,0))&amp;"",""))</f>
        <v/>
      </c>
      <c r="N1715" s="19">
        <f>IF(I1715="","",IFERROR(INDEX(ctaMon,MATCH(E1715,ctaNom,0))&amp;"","DOP"))</f>
        <v/>
      </c>
      <c r="O1715" s="20">
        <f>IF(I1715="","",C1715*IF(N1715="USD",TasaUSD,1))</f>
        <v/>
      </c>
      <c r="P1715" s="20">
        <f>IF(I1715="","",IF(I1715="Gasto",O1715,0))</f>
        <v/>
      </c>
      <c r="Q1715" s="20">
        <f>IF(I1715="","",IF(I1715="Ingreso",O1715,0))</f>
        <v/>
      </c>
      <c r="R1715" s="20">
        <f>IF(I1715="","",IF(I1715="Trading",O1715,0))</f>
        <v/>
      </c>
      <c r="S1715" s="19">
        <f>IF(I1715="","",IF(AND(I1715="Gasto",K1715="Variable",J1715&lt;&gt;"Trading",O1715&gt;0,O1715&lt;=Umbral),1,0))</f>
        <v/>
      </c>
      <c r="T1715" s="20">
        <f>IF(OR(I1715="",E1715=""),"",IF(OR(I1715="Gasto",I1715="Transferencia",I1715="Pago tarjeta"),-1,1)*C1715)</f>
        <v/>
      </c>
      <c r="U1715" s="20">
        <f>IF(OR(G1715="",AND(I1715&lt;&gt;"Transferencia",I1715&lt;&gt;"Pago tarjeta")),"",IF(IFERROR(INDEX(ctaMon,MATCH(G1715,ctaNom,0))&amp;"","DOP")=N1715,C1715,IF(N1715="USD",C1715*TasaUSD,C1715/TasaUSD)))</f>
        <v/>
      </c>
      <c r="V1715" s="20">
        <f>IF(I1715="","",IF(IFERROR(INDEX(ctaLiq,MATCH(E1715,ctaNom,0))="Sí",FALSE),IF(OR(I1715="Gasto",I1715="Transferencia",I1715="Pago tarjeta"),-1,1)*O1715,0)+IF(AND(U1715&lt;&gt;"",IFERROR(INDEX(ctaLiq,MATCH(G1715,ctaNom,0))="Sí",FALSE)),O1715,0))</f>
        <v/>
      </c>
      <c r="W1715" s="19">
        <f>IF(OR(F1715="",I1715=""),"",IF(COUNTIFS(F$6:F1715,F1715,I$6:I1715,"?*")=1,MAX(W$5:W1714)+1,""))</f>
        <v/>
      </c>
    </row>
    <row r="1716">
      <c r="B1716" s="15" t="n"/>
      <c r="C1716" s="16" t="n"/>
      <c r="D1716" s="17" t="n"/>
      <c r="E1716" s="17" t="n"/>
      <c r="F1716" s="17" t="n"/>
      <c r="G1716" s="17" t="n"/>
      <c r="H1716" s="18">
        <f>IF(AND(B1716="",C1716="",D1716="",E1716=""),"",IF(B1716="","⚠ Falta fecha",IF(C1716="","⚠ Falta monto",IF(D1716="","⚠ Falta categoría",IF(ISNA(MATCH(D1716,catNom,0)),"⚠ Categoría no existe",IF(E1716="","⚠ Falta cuenta",IF(ISNA(MATCH(E1716,ctaNom,0)),"⚠ Cuenta no existe",IF(AND(OR(I1716="Transferencia",I1716="Pago tarjeta"),G1716=""),"⚠ Indica la cuenta «Hacia»",IF(AND(G1716&lt;&gt;"",G1716=E1716),"⚠ «Hacia» igual a la cuenta",IF(AND(G1716&lt;&gt;"",ISNA(MATCH(G1716,ctaNom,0))),"⚠ «Hacia» no existe",IF(AND(I1716="Pago tarjeta",IFERROR(INDEX(ctaTipo,MATCH(G1716,ctaNom,0)),"")&lt;&gt;"Tarjeta de crédito"),"⚠ «Hacia» debe ser la tarjeta",IF(AND(I1716="Trading",IFERROR(INDEX(ctaTipo,MATCH(E1716,ctaNom,0)),"")&lt;&gt;"Cuenta de trading"),"⚠ Usa la cuenta de trading","✓"))))))))))))</f>
        <v/>
      </c>
      <c r="I1716" s="19">
        <f>IF(OR(B1716="",C1716="",D1716=""),"",IFERROR(INDEX(catTipo,MATCH(D1716,catNom,0))&amp;"",""))</f>
        <v/>
      </c>
      <c r="J1716" s="19">
        <f>IF(I1716="","",IFERROR(INDEX(catGrupo,MATCH(D1716,catNom,0))&amp;"",""))</f>
        <v/>
      </c>
      <c r="K1716" s="19">
        <f>IF(I1716="Gasto",IF(IFERROR(INDEX(catClas,MATCH(D1716,catNom,0))&amp;"","")="","Variable",IFERROR(INDEX(catClas,MATCH(D1716,catNom,0))&amp;"","")),"")</f>
        <v/>
      </c>
      <c r="L1716" s="19">
        <f>IF(I1716="","",IFERROR(INDEX(catAlim,MATCH(D1716,catNom,0))&amp;"",""))</f>
        <v/>
      </c>
      <c r="M1716" s="19">
        <f>IF(I1716="","",IFERROR(INDEX(catComida,MATCH(D1716,catNom,0))&amp;"",""))</f>
        <v/>
      </c>
      <c r="N1716" s="19">
        <f>IF(I1716="","",IFERROR(INDEX(ctaMon,MATCH(E1716,ctaNom,0))&amp;"","DOP"))</f>
        <v/>
      </c>
      <c r="O1716" s="20">
        <f>IF(I1716="","",C1716*IF(N1716="USD",TasaUSD,1))</f>
        <v/>
      </c>
      <c r="P1716" s="20">
        <f>IF(I1716="","",IF(I1716="Gasto",O1716,0))</f>
        <v/>
      </c>
      <c r="Q1716" s="20">
        <f>IF(I1716="","",IF(I1716="Ingreso",O1716,0))</f>
        <v/>
      </c>
      <c r="R1716" s="20">
        <f>IF(I1716="","",IF(I1716="Trading",O1716,0))</f>
        <v/>
      </c>
      <c r="S1716" s="19">
        <f>IF(I1716="","",IF(AND(I1716="Gasto",K1716="Variable",J1716&lt;&gt;"Trading",O1716&gt;0,O1716&lt;=Umbral),1,0))</f>
        <v/>
      </c>
      <c r="T1716" s="20">
        <f>IF(OR(I1716="",E1716=""),"",IF(OR(I1716="Gasto",I1716="Transferencia",I1716="Pago tarjeta"),-1,1)*C1716)</f>
        <v/>
      </c>
      <c r="U1716" s="20">
        <f>IF(OR(G1716="",AND(I1716&lt;&gt;"Transferencia",I1716&lt;&gt;"Pago tarjeta")),"",IF(IFERROR(INDEX(ctaMon,MATCH(G1716,ctaNom,0))&amp;"","DOP")=N1716,C1716,IF(N1716="USD",C1716*TasaUSD,C1716/TasaUSD)))</f>
        <v/>
      </c>
      <c r="V1716" s="20">
        <f>IF(I1716="","",IF(IFERROR(INDEX(ctaLiq,MATCH(E1716,ctaNom,0))="Sí",FALSE),IF(OR(I1716="Gasto",I1716="Transferencia",I1716="Pago tarjeta"),-1,1)*O1716,0)+IF(AND(U1716&lt;&gt;"",IFERROR(INDEX(ctaLiq,MATCH(G1716,ctaNom,0))="Sí",FALSE)),O1716,0))</f>
        <v/>
      </c>
      <c r="W1716" s="19">
        <f>IF(OR(F1716="",I1716=""),"",IF(COUNTIFS(F$6:F1716,F1716,I$6:I1716,"?*")=1,MAX(W$5:W1715)+1,""))</f>
        <v/>
      </c>
    </row>
    <row r="1717">
      <c r="B1717" s="15" t="n"/>
      <c r="C1717" s="16" t="n"/>
      <c r="D1717" s="17" t="n"/>
      <c r="E1717" s="17" t="n"/>
      <c r="F1717" s="17" t="n"/>
      <c r="G1717" s="17" t="n"/>
      <c r="H1717" s="18">
        <f>IF(AND(B1717="",C1717="",D1717="",E1717=""),"",IF(B1717="","⚠ Falta fecha",IF(C1717="","⚠ Falta monto",IF(D1717="","⚠ Falta categoría",IF(ISNA(MATCH(D1717,catNom,0)),"⚠ Categoría no existe",IF(E1717="","⚠ Falta cuenta",IF(ISNA(MATCH(E1717,ctaNom,0)),"⚠ Cuenta no existe",IF(AND(OR(I1717="Transferencia",I1717="Pago tarjeta"),G1717=""),"⚠ Indica la cuenta «Hacia»",IF(AND(G1717&lt;&gt;"",G1717=E1717),"⚠ «Hacia» igual a la cuenta",IF(AND(G1717&lt;&gt;"",ISNA(MATCH(G1717,ctaNom,0))),"⚠ «Hacia» no existe",IF(AND(I1717="Pago tarjeta",IFERROR(INDEX(ctaTipo,MATCH(G1717,ctaNom,0)),"")&lt;&gt;"Tarjeta de crédito"),"⚠ «Hacia» debe ser la tarjeta",IF(AND(I1717="Trading",IFERROR(INDEX(ctaTipo,MATCH(E1717,ctaNom,0)),"")&lt;&gt;"Cuenta de trading"),"⚠ Usa la cuenta de trading","✓"))))))))))))</f>
        <v/>
      </c>
      <c r="I1717" s="19">
        <f>IF(OR(B1717="",C1717="",D1717=""),"",IFERROR(INDEX(catTipo,MATCH(D1717,catNom,0))&amp;"",""))</f>
        <v/>
      </c>
      <c r="J1717" s="19">
        <f>IF(I1717="","",IFERROR(INDEX(catGrupo,MATCH(D1717,catNom,0))&amp;"",""))</f>
        <v/>
      </c>
      <c r="K1717" s="19">
        <f>IF(I1717="Gasto",IF(IFERROR(INDEX(catClas,MATCH(D1717,catNom,0))&amp;"","")="","Variable",IFERROR(INDEX(catClas,MATCH(D1717,catNom,0))&amp;"","")),"")</f>
        <v/>
      </c>
      <c r="L1717" s="19">
        <f>IF(I1717="","",IFERROR(INDEX(catAlim,MATCH(D1717,catNom,0))&amp;"",""))</f>
        <v/>
      </c>
      <c r="M1717" s="19">
        <f>IF(I1717="","",IFERROR(INDEX(catComida,MATCH(D1717,catNom,0))&amp;"",""))</f>
        <v/>
      </c>
      <c r="N1717" s="19">
        <f>IF(I1717="","",IFERROR(INDEX(ctaMon,MATCH(E1717,ctaNom,0))&amp;"","DOP"))</f>
        <v/>
      </c>
      <c r="O1717" s="20">
        <f>IF(I1717="","",C1717*IF(N1717="USD",TasaUSD,1))</f>
        <v/>
      </c>
      <c r="P1717" s="20">
        <f>IF(I1717="","",IF(I1717="Gasto",O1717,0))</f>
        <v/>
      </c>
      <c r="Q1717" s="20">
        <f>IF(I1717="","",IF(I1717="Ingreso",O1717,0))</f>
        <v/>
      </c>
      <c r="R1717" s="20">
        <f>IF(I1717="","",IF(I1717="Trading",O1717,0))</f>
        <v/>
      </c>
      <c r="S1717" s="19">
        <f>IF(I1717="","",IF(AND(I1717="Gasto",K1717="Variable",J1717&lt;&gt;"Trading",O1717&gt;0,O1717&lt;=Umbral),1,0))</f>
        <v/>
      </c>
      <c r="T1717" s="20">
        <f>IF(OR(I1717="",E1717=""),"",IF(OR(I1717="Gasto",I1717="Transferencia",I1717="Pago tarjeta"),-1,1)*C1717)</f>
        <v/>
      </c>
      <c r="U1717" s="20">
        <f>IF(OR(G1717="",AND(I1717&lt;&gt;"Transferencia",I1717&lt;&gt;"Pago tarjeta")),"",IF(IFERROR(INDEX(ctaMon,MATCH(G1717,ctaNom,0))&amp;"","DOP")=N1717,C1717,IF(N1717="USD",C1717*TasaUSD,C1717/TasaUSD)))</f>
        <v/>
      </c>
      <c r="V1717" s="20">
        <f>IF(I1717="","",IF(IFERROR(INDEX(ctaLiq,MATCH(E1717,ctaNom,0))="Sí",FALSE),IF(OR(I1717="Gasto",I1717="Transferencia",I1717="Pago tarjeta"),-1,1)*O1717,0)+IF(AND(U1717&lt;&gt;"",IFERROR(INDEX(ctaLiq,MATCH(G1717,ctaNom,0))="Sí",FALSE)),O1717,0))</f>
        <v/>
      </c>
      <c r="W1717" s="19">
        <f>IF(OR(F1717="",I1717=""),"",IF(COUNTIFS(F$6:F1717,F1717,I$6:I1717,"?*")=1,MAX(W$5:W1716)+1,""))</f>
        <v/>
      </c>
    </row>
    <row r="1718">
      <c r="B1718" s="15" t="n"/>
      <c r="C1718" s="16" t="n"/>
      <c r="D1718" s="17" t="n"/>
      <c r="E1718" s="17" t="n"/>
      <c r="F1718" s="17" t="n"/>
      <c r="G1718" s="17" t="n"/>
      <c r="H1718" s="18">
        <f>IF(AND(B1718="",C1718="",D1718="",E1718=""),"",IF(B1718="","⚠ Falta fecha",IF(C1718="","⚠ Falta monto",IF(D1718="","⚠ Falta categoría",IF(ISNA(MATCH(D1718,catNom,0)),"⚠ Categoría no existe",IF(E1718="","⚠ Falta cuenta",IF(ISNA(MATCH(E1718,ctaNom,0)),"⚠ Cuenta no existe",IF(AND(OR(I1718="Transferencia",I1718="Pago tarjeta"),G1718=""),"⚠ Indica la cuenta «Hacia»",IF(AND(G1718&lt;&gt;"",G1718=E1718),"⚠ «Hacia» igual a la cuenta",IF(AND(G1718&lt;&gt;"",ISNA(MATCH(G1718,ctaNom,0))),"⚠ «Hacia» no existe",IF(AND(I1718="Pago tarjeta",IFERROR(INDEX(ctaTipo,MATCH(G1718,ctaNom,0)),"")&lt;&gt;"Tarjeta de crédito"),"⚠ «Hacia» debe ser la tarjeta",IF(AND(I1718="Trading",IFERROR(INDEX(ctaTipo,MATCH(E1718,ctaNom,0)),"")&lt;&gt;"Cuenta de trading"),"⚠ Usa la cuenta de trading","✓"))))))))))))</f>
        <v/>
      </c>
      <c r="I1718" s="19">
        <f>IF(OR(B1718="",C1718="",D1718=""),"",IFERROR(INDEX(catTipo,MATCH(D1718,catNom,0))&amp;"",""))</f>
        <v/>
      </c>
      <c r="J1718" s="19">
        <f>IF(I1718="","",IFERROR(INDEX(catGrupo,MATCH(D1718,catNom,0))&amp;"",""))</f>
        <v/>
      </c>
      <c r="K1718" s="19">
        <f>IF(I1718="Gasto",IF(IFERROR(INDEX(catClas,MATCH(D1718,catNom,0))&amp;"","")="","Variable",IFERROR(INDEX(catClas,MATCH(D1718,catNom,0))&amp;"","")),"")</f>
        <v/>
      </c>
      <c r="L1718" s="19">
        <f>IF(I1718="","",IFERROR(INDEX(catAlim,MATCH(D1718,catNom,0))&amp;"",""))</f>
        <v/>
      </c>
      <c r="M1718" s="19">
        <f>IF(I1718="","",IFERROR(INDEX(catComida,MATCH(D1718,catNom,0))&amp;"",""))</f>
        <v/>
      </c>
      <c r="N1718" s="19">
        <f>IF(I1718="","",IFERROR(INDEX(ctaMon,MATCH(E1718,ctaNom,0))&amp;"","DOP"))</f>
        <v/>
      </c>
      <c r="O1718" s="20">
        <f>IF(I1718="","",C1718*IF(N1718="USD",TasaUSD,1))</f>
        <v/>
      </c>
      <c r="P1718" s="20">
        <f>IF(I1718="","",IF(I1718="Gasto",O1718,0))</f>
        <v/>
      </c>
      <c r="Q1718" s="20">
        <f>IF(I1718="","",IF(I1718="Ingreso",O1718,0))</f>
        <v/>
      </c>
      <c r="R1718" s="20">
        <f>IF(I1718="","",IF(I1718="Trading",O1718,0))</f>
        <v/>
      </c>
      <c r="S1718" s="19">
        <f>IF(I1718="","",IF(AND(I1718="Gasto",K1718="Variable",J1718&lt;&gt;"Trading",O1718&gt;0,O1718&lt;=Umbral),1,0))</f>
        <v/>
      </c>
      <c r="T1718" s="20">
        <f>IF(OR(I1718="",E1718=""),"",IF(OR(I1718="Gasto",I1718="Transferencia",I1718="Pago tarjeta"),-1,1)*C1718)</f>
        <v/>
      </c>
      <c r="U1718" s="20">
        <f>IF(OR(G1718="",AND(I1718&lt;&gt;"Transferencia",I1718&lt;&gt;"Pago tarjeta")),"",IF(IFERROR(INDEX(ctaMon,MATCH(G1718,ctaNom,0))&amp;"","DOP")=N1718,C1718,IF(N1718="USD",C1718*TasaUSD,C1718/TasaUSD)))</f>
        <v/>
      </c>
      <c r="V1718" s="20">
        <f>IF(I1718="","",IF(IFERROR(INDEX(ctaLiq,MATCH(E1718,ctaNom,0))="Sí",FALSE),IF(OR(I1718="Gasto",I1718="Transferencia",I1718="Pago tarjeta"),-1,1)*O1718,0)+IF(AND(U1718&lt;&gt;"",IFERROR(INDEX(ctaLiq,MATCH(G1718,ctaNom,0))="Sí",FALSE)),O1718,0))</f>
        <v/>
      </c>
      <c r="W1718" s="19">
        <f>IF(OR(F1718="",I1718=""),"",IF(COUNTIFS(F$6:F1718,F1718,I$6:I1718,"?*")=1,MAX(W$5:W1717)+1,""))</f>
        <v/>
      </c>
    </row>
    <row r="1719">
      <c r="B1719" s="15" t="n"/>
      <c r="C1719" s="16" t="n"/>
      <c r="D1719" s="17" t="n"/>
      <c r="E1719" s="17" t="n"/>
      <c r="F1719" s="17" t="n"/>
      <c r="G1719" s="17" t="n"/>
      <c r="H1719" s="18">
        <f>IF(AND(B1719="",C1719="",D1719="",E1719=""),"",IF(B1719="","⚠ Falta fecha",IF(C1719="","⚠ Falta monto",IF(D1719="","⚠ Falta categoría",IF(ISNA(MATCH(D1719,catNom,0)),"⚠ Categoría no existe",IF(E1719="","⚠ Falta cuenta",IF(ISNA(MATCH(E1719,ctaNom,0)),"⚠ Cuenta no existe",IF(AND(OR(I1719="Transferencia",I1719="Pago tarjeta"),G1719=""),"⚠ Indica la cuenta «Hacia»",IF(AND(G1719&lt;&gt;"",G1719=E1719),"⚠ «Hacia» igual a la cuenta",IF(AND(G1719&lt;&gt;"",ISNA(MATCH(G1719,ctaNom,0))),"⚠ «Hacia» no existe",IF(AND(I1719="Pago tarjeta",IFERROR(INDEX(ctaTipo,MATCH(G1719,ctaNom,0)),"")&lt;&gt;"Tarjeta de crédito"),"⚠ «Hacia» debe ser la tarjeta",IF(AND(I1719="Trading",IFERROR(INDEX(ctaTipo,MATCH(E1719,ctaNom,0)),"")&lt;&gt;"Cuenta de trading"),"⚠ Usa la cuenta de trading","✓"))))))))))))</f>
        <v/>
      </c>
      <c r="I1719" s="19">
        <f>IF(OR(B1719="",C1719="",D1719=""),"",IFERROR(INDEX(catTipo,MATCH(D1719,catNom,0))&amp;"",""))</f>
        <v/>
      </c>
      <c r="J1719" s="19">
        <f>IF(I1719="","",IFERROR(INDEX(catGrupo,MATCH(D1719,catNom,0))&amp;"",""))</f>
        <v/>
      </c>
      <c r="K1719" s="19">
        <f>IF(I1719="Gasto",IF(IFERROR(INDEX(catClas,MATCH(D1719,catNom,0))&amp;"","")="","Variable",IFERROR(INDEX(catClas,MATCH(D1719,catNom,0))&amp;"","")),"")</f>
        <v/>
      </c>
      <c r="L1719" s="19">
        <f>IF(I1719="","",IFERROR(INDEX(catAlim,MATCH(D1719,catNom,0))&amp;"",""))</f>
        <v/>
      </c>
      <c r="M1719" s="19">
        <f>IF(I1719="","",IFERROR(INDEX(catComida,MATCH(D1719,catNom,0))&amp;"",""))</f>
        <v/>
      </c>
      <c r="N1719" s="19">
        <f>IF(I1719="","",IFERROR(INDEX(ctaMon,MATCH(E1719,ctaNom,0))&amp;"","DOP"))</f>
        <v/>
      </c>
      <c r="O1719" s="20">
        <f>IF(I1719="","",C1719*IF(N1719="USD",TasaUSD,1))</f>
        <v/>
      </c>
      <c r="P1719" s="20">
        <f>IF(I1719="","",IF(I1719="Gasto",O1719,0))</f>
        <v/>
      </c>
      <c r="Q1719" s="20">
        <f>IF(I1719="","",IF(I1719="Ingreso",O1719,0))</f>
        <v/>
      </c>
      <c r="R1719" s="20">
        <f>IF(I1719="","",IF(I1719="Trading",O1719,0))</f>
        <v/>
      </c>
      <c r="S1719" s="19">
        <f>IF(I1719="","",IF(AND(I1719="Gasto",K1719="Variable",J1719&lt;&gt;"Trading",O1719&gt;0,O1719&lt;=Umbral),1,0))</f>
        <v/>
      </c>
      <c r="T1719" s="20">
        <f>IF(OR(I1719="",E1719=""),"",IF(OR(I1719="Gasto",I1719="Transferencia",I1719="Pago tarjeta"),-1,1)*C1719)</f>
        <v/>
      </c>
      <c r="U1719" s="20">
        <f>IF(OR(G1719="",AND(I1719&lt;&gt;"Transferencia",I1719&lt;&gt;"Pago tarjeta")),"",IF(IFERROR(INDEX(ctaMon,MATCH(G1719,ctaNom,0))&amp;"","DOP")=N1719,C1719,IF(N1719="USD",C1719*TasaUSD,C1719/TasaUSD)))</f>
        <v/>
      </c>
      <c r="V1719" s="20">
        <f>IF(I1719="","",IF(IFERROR(INDEX(ctaLiq,MATCH(E1719,ctaNom,0))="Sí",FALSE),IF(OR(I1719="Gasto",I1719="Transferencia",I1719="Pago tarjeta"),-1,1)*O1719,0)+IF(AND(U1719&lt;&gt;"",IFERROR(INDEX(ctaLiq,MATCH(G1719,ctaNom,0))="Sí",FALSE)),O1719,0))</f>
        <v/>
      </c>
      <c r="W1719" s="19">
        <f>IF(OR(F1719="",I1719=""),"",IF(COUNTIFS(F$6:F1719,F1719,I$6:I1719,"?*")=1,MAX(W$5:W1718)+1,""))</f>
        <v/>
      </c>
    </row>
    <row r="1720">
      <c r="B1720" s="15" t="n"/>
      <c r="C1720" s="16" t="n"/>
      <c r="D1720" s="17" t="n"/>
      <c r="E1720" s="17" t="n"/>
      <c r="F1720" s="17" t="n"/>
      <c r="G1720" s="17" t="n"/>
      <c r="H1720" s="18">
        <f>IF(AND(B1720="",C1720="",D1720="",E1720=""),"",IF(B1720="","⚠ Falta fecha",IF(C1720="","⚠ Falta monto",IF(D1720="","⚠ Falta categoría",IF(ISNA(MATCH(D1720,catNom,0)),"⚠ Categoría no existe",IF(E1720="","⚠ Falta cuenta",IF(ISNA(MATCH(E1720,ctaNom,0)),"⚠ Cuenta no existe",IF(AND(OR(I1720="Transferencia",I1720="Pago tarjeta"),G1720=""),"⚠ Indica la cuenta «Hacia»",IF(AND(G1720&lt;&gt;"",G1720=E1720),"⚠ «Hacia» igual a la cuenta",IF(AND(G1720&lt;&gt;"",ISNA(MATCH(G1720,ctaNom,0))),"⚠ «Hacia» no existe",IF(AND(I1720="Pago tarjeta",IFERROR(INDEX(ctaTipo,MATCH(G1720,ctaNom,0)),"")&lt;&gt;"Tarjeta de crédito"),"⚠ «Hacia» debe ser la tarjeta",IF(AND(I1720="Trading",IFERROR(INDEX(ctaTipo,MATCH(E1720,ctaNom,0)),"")&lt;&gt;"Cuenta de trading"),"⚠ Usa la cuenta de trading","✓"))))))))))))</f>
        <v/>
      </c>
      <c r="I1720" s="19">
        <f>IF(OR(B1720="",C1720="",D1720=""),"",IFERROR(INDEX(catTipo,MATCH(D1720,catNom,0))&amp;"",""))</f>
        <v/>
      </c>
      <c r="J1720" s="19">
        <f>IF(I1720="","",IFERROR(INDEX(catGrupo,MATCH(D1720,catNom,0))&amp;"",""))</f>
        <v/>
      </c>
      <c r="K1720" s="19">
        <f>IF(I1720="Gasto",IF(IFERROR(INDEX(catClas,MATCH(D1720,catNom,0))&amp;"","")="","Variable",IFERROR(INDEX(catClas,MATCH(D1720,catNom,0))&amp;"","")),"")</f>
        <v/>
      </c>
      <c r="L1720" s="19">
        <f>IF(I1720="","",IFERROR(INDEX(catAlim,MATCH(D1720,catNom,0))&amp;"",""))</f>
        <v/>
      </c>
      <c r="M1720" s="19">
        <f>IF(I1720="","",IFERROR(INDEX(catComida,MATCH(D1720,catNom,0))&amp;"",""))</f>
        <v/>
      </c>
      <c r="N1720" s="19">
        <f>IF(I1720="","",IFERROR(INDEX(ctaMon,MATCH(E1720,ctaNom,0))&amp;"","DOP"))</f>
        <v/>
      </c>
      <c r="O1720" s="20">
        <f>IF(I1720="","",C1720*IF(N1720="USD",TasaUSD,1))</f>
        <v/>
      </c>
      <c r="P1720" s="20">
        <f>IF(I1720="","",IF(I1720="Gasto",O1720,0))</f>
        <v/>
      </c>
      <c r="Q1720" s="20">
        <f>IF(I1720="","",IF(I1720="Ingreso",O1720,0))</f>
        <v/>
      </c>
      <c r="R1720" s="20">
        <f>IF(I1720="","",IF(I1720="Trading",O1720,0))</f>
        <v/>
      </c>
      <c r="S1720" s="19">
        <f>IF(I1720="","",IF(AND(I1720="Gasto",K1720="Variable",J1720&lt;&gt;"Trading",O1720&gt;0,O1720&lt;=Umbral),1,0))</f>
        <v/>
      </c>
      <c r="T1720" s="20">
        <f>IF(OR(I1720="",E1720=""),"",IF(OR(I1720="Gasto",I1720="Transferencia",I1720="Pago tarjeta"),-1,1)*C1720)</f>
        <v/>
      </c>
      <c r="U1720" s="20">
        <f>IF(OR(G1720="",AND(I1720&lt;&gt;"Transferencia",I1720&lt;&gt;"Pago tarjeta")),"",IF(IFERROR(INDEX(ctaMon,MATCH(G1720,ctaNom,0))&amp;"","DOP")=N1720,C1720,IF(N1720="USD",C1720*TasaUSD,C1720/TasaUSD)))</f>
        <v/>
      </c>
      <c r="V1720" s="20">
        <f>IF(I1720="","",IF(IFERROR(INDEX(ctaLiq,MATCH(E1720,ctaNom,0))="Sí",FALSE),IF(OR(I1720="Gasto",I1720="Transferencia",I1720="Pago tarjeta"),-1,1)*O1720,0)+IF(AND(U1720&lt;&gt;"",IFERROR(INDEX(ctaLiq,MATCH(G1720,ctaNom,0))="Sí",FALSE)),O1720,0))</f>
        <v/>
      </c>
      <c r="W1720" s="19">
        <f>IF(OR(F1720="",I1720=""),"",IF(COUNTIFS(F$6:F1720,F1720,I$6:I1720,"?*")=1,MAX(W$5:W1719)+1,""))</f>
        <v/>
      </c>
    </row>
    <row r="1721">
      <c r="B1721" s="15" t="n"/>
      <c r="C1721" s="16" t="n"/>
      <c r="D1721" s="17" t="n"/>
      <c r="E1721" s="17" t="n"/>
      <c r="F1721" s="17" t="n"/>
      <c r="G1721" s="17" t="n"/>
      <c r="H1721" s="18">
        <f>IF(AND(B1721="",C1721="",D1721="",E1721=""),"",IF(B1721="","⚠ Falta fecha",IF(C1721="","⚠ Falta monto",IF(D1721="","⚠ Falta categoría",IF(ISNA(MATCH(D1721,catNom,0)),"⚠ Categoría no existe",IF(E1721="","⚠ Falta cuenta",IF(ISNA(MATCH(E1721,ctaNom,0)),"⚠ Cuenta no existe",IF(AND(OR(I1721="Transferencia",I1721="Pago tarjeta"),G1721=""),"⚠ Indica la cuenta «Hacia»",IF(AND(G1721&lt;&gt;"",G1721=E1721),"⚠ «Hacia» igual a la cuenta",IF(AND(G1721&lt;&gt;"",ISNA(MATCH(G1721,ctaNom,0))),"⚠ «Hacia» no existe",IF(AND(I1721="Pago tarjeta",IFERROR(INDEX(ctaTipo,MATCH(G1721,ctaNom,0)),"")&lt;&gt;"Tarjeta de crédito"),"⚠ «Hacia» debe ser la tarjeta",IF(AND(I1721="Trading",IFERROR(INDEX(ctaTipo,MATCH(E1721,ctaNom,0)),"")&lt;&gt;"Cuenta de trading"),"⚠ Usa la cuenta de trading","✓"))))))))))))</f>
        <v/>
      </c>
      <c r="I1721" s="19">
        <f>IF(OR(B1721="",C1721="",D1721=""),"",IFERROR(INDEX(catTipo,MATCH(D1721,catNom,0))&amp;"",""))</f>
        <v/>
      </c>
      <c r="J1721" s="19">
        <f>IF(I1721="","",IFERROR(INDEX(catGrupo,MATCH(D1721,catNom,0))&amp;"",""))</f>
        <v/>
      </c>
      <c r="K1721" s="19">
        <f>IF(I1721="Gasto",IF(IFERROR(INDEX(catClas,MATCH(D1721,catNom,0))&amp;"","")="","Variable",IFERROR(INDEX(catClas,MATCH(D1721,catNom,0))&amp;"","")),"")</f>
        <v/>
      </c>
      <c r="L1721" s="19">
        <f>IF(I1721="","",IFERROR(INDEX(catAlim,MATCH(D1721,catNom,0))&amp;"",""))</f>
        <v/>
      </c>
      <c r="M1721" s="19">
        <f>IF(I1721="","",IFERROR(INDEX(catComida,MATCH(D1721,catNom,0))&amp;"",""))</f>
        <v/>
      </c>
      <c r="N1721" s="19">
        <f>IF(I1721="","",IFERROR(INDEX(ctaMon,MATCH(E1721,ctaNom,0))&amp;"","DOP"))</f>
        <v/>
      </c>
      <c r="O1721" s="20">
        <f>IF(I1721="","",C1721*IF(N1721="USD",TasaUSD,1))</f>
        <v/>
      </c>
      <c r="P1721" s="20">
        <f>IF(I1721="","",IF(I1721="Gasto",O1721,0))</f>
        <v/>
      </c>
      <c r="Q1721" s="20">
        <f>IF(I1721="","",IF(I1721="Ingreso",O1721,0))</f>
        <v/>
      </c>
      <c r="R1721" s="20">
        <f>IF(I1721="","",IF(I1721="Trading",O1721,0))</f>
        <v/>
      </c>
      <c r="S1721" s="19">
        <f>IF(I1721="","",IF(AND(I1721="Gasto",K1721="Variable",J1721&lt;&gt;"Trading",O1721&gt;0,O1721&lt;=Umbral),1,0))</f>
        <v/>
      </c>
      <c r="T1721" s="20">
        <f>IF(OR(I1721="",E1721=""),"",IF(OR(I1721="Gasto",I1721="Transferencia",I1721="Pago tarjeta"),-1,1)*C1721)</f>
        <v/>
      </c>
      <c r="U1721" s="20">
        <f>IF(OR(G1721="",AND(I1721&lt;&gt;"Transferencia",I1721&lt;&gt;"Pago tarjeta")),"",IF(IFERROR(INDEX(ctaMon,MATCH(G1721,ctaNom,0))&amp;"","DOP")=N1721,C1721,IF(N1721="USD",C1721*TasaUSD,C1721/TasaUSD)))</f>
        <v/>
      </c>
      <c r="V1721" s="20">
        <f>IF(I1721="","",IF(IFERROR(INDEX(ctaLiq,MATCH(E1721,ctaNom,0))="Sí",FALSE),IF(OR(I1721="Gasto",I1721="Transferencia",I1721="Pago tarjeta"),-1,1)*O1721,0)+IF(AND(U1721&lt;&gt;"",IFERROR(INDEX(ctaLiq,MATCH(G1721,ctaNom,0))="Sí",FALSE)),O1721,0))</f>
        <v/>
      </c>
      <c r="W1721" s="19">
        <f>IF(OR(F1721="",I1721=""),"",IF(COUNTIFS(F$6:F1721,F1721,I$6:I1721,"?*")=1,MAX(W$5:W1720)+1,""))</f>
        <v/>
      </c>
    </row>
    <row r="1722">
      <c r="B1722" s="15" t="n"/>
      <c r="C1722" s="16" t="n"/>
      <c r="D1722" s="17" t="n"/>
      <c r="E1722" s="17" t="n"/>
      <c r="F1722" s="17" t="n"/>
      <c r="G1722" s="17" t="n"/>
      <c r="H1722" s="18">
        <f>IF(AND(B1722="",C1722="",D1722="",E1722=""),"",IF(B1722="","⚠ Falta fecha",IF(C1722="","⚠ Falta monto",IF(D1722="","⚠ Falta categoría",IF(ISNA(MATCH(D1722,catNom,0)),"⚠ Categoría no existe",IF(E1722="","⚠ Falta cuenta",IF(ISNA(MATCH(E1722,ctaNom,0)),"⚠ Cuenta no existe",IF(AND(OR(I1722="Transferencia",I1722="Pago tarjeta"),G1722=""),"⚠ Indica la cuenta «Hacia»",IF(AND(G1722&lt;&gt;"",G1722=E1722),"⚠ «Hacia» igual a la cuenta",IF(AND(G1722&lt;&gt;"",ISNA(MATCH(G1722,ctaNom,0))),"⚠ «Hacia» no existe",IF(AND(I1722="Pago tarjeta",IFERROR(INDEX(ctaTipo,MATCH(G1722,ctaNom,0)),"")&lt;&gt;"Tarjeta de crédito"),"⚠ «Hacia» debe ser la tarjeta",IF(AND(I1722="Trading",IFERROR(INDEX(ctaTipo,MATCH(E1722,ctaNom,0)),"")&lt;&gt;"Cuenta de trading"),"⚠ Usa la cuenta de trading","✓"))))))))))))</f>
        <v/>
      </c>
      <c r="I1722" s="19">
        <f>IF(OR(B1722="",C1722="",D1722=""),"",IFERROR(INDEX(catTipo,MATCH(D1722,catNom,0))&amp;"",""))</f>
        <v/>
      </c>
      <c r="J1722" s="19">
        <f>IF(I1722="","",IFERROR(INDEX(catGrupo,MATCH(D1722,catNom,0))&amp;"",""))</f>
        <v/>
      </c>
      <c r="K1722" s="19">
        <f>IF(I1722="Gasto",IF(IFERROR(INDEX(catClas,MATCH(D1722,catNom,0))&amp;"","")="","Variable",IFERROR(INDEX(catClas,MATCH(D1722,catNom,0))&amp;"","")),"")</f>
        <v/>
      </c>
      <c r="L1722" s="19">
        <f>IF(I1722="","",IFERROR(INDEX(catAlim,MATCH(D1722,catNom,0))&amp;"",""))</f>
        <v/>
      </c>
      <c r="M1722" s="19">
        <f>IF(I1722="","",IFERROR(INDEX(catComida,MATCH(D1722,catNom,0))&amp;"",""))</f>
        <v/>
      </c>
      <c r="N1722" s="19">
        <f>IF(I1722="","",IFERROR(INDEX(ctaMon,MATCH(E1722,ctaNom,0))&amp;"","DOP"))</f>
        <v/>
      </c>
      <c r="O1722" s="20">
        <f>IF(I1722="","",C1722*IF(N1722="USD",TasaUSD,1))</f>
        <v/>
      </c>
      <c r="P1722" s="20">
        <f>IF(I1722="","",IF(I1722="Gasto",O1722,0))</f>
        <v/>
      </c>
      <c r="Q1722" s="20">
        <f>IF(I1722="","",IF(I1722="Ingreso",O1722,0))</f>
        <v/>
      </c>
      <c r="R1722" s="20">
        <f>IF(I1722="","",IF(I1722="Trading",O1722,0))</f>
        <v/>
      </c>
      <c r="S1722" s="19">
        <f>IF(I1722="","",IF(AND(I1722="Gasto",K1722="Variable",J1722&lt;&gt;"Trading",O1722&gt;0,O1722&lt;=Umbral),1,0))</f>
        <v/>
      </c>
      <c r="T1722" s="20">
        <f>IF(OR(I1722="",E1722=""),"",IF(OR(I1722="Gasto",I1722="Transferencia",I1722="Pago tarjeta"),-1,1)*C1722)</f>
        <v/>
      </c>
      <c r="U1722" s="20">
        <f>IF(OR(G1722="",AND(I1722&lt;&gt;"Transferencia",I1722&lt;&gt;"Pago tarjeta")),"",IF(IFERROR(INDEX(ctaMon,MATCH(G1722,ctaNom,0))&amp;"","DOP")=N1722,C1722,IF(N1722="USD",C1722*TasaUSD,C1722/TasaUSD)))</f>
        <v/>
      </c>
      <c r="V1722" s="20">
        <f>IF(I1722="","",IF(IFERROR(INDEX(ctaLiq,MATCH(E1722,ctaNom,0))="Sí",FALSE),IF(OR(I1722="Gasto",I1722="Transferencia",I1722="Pago tarjeta"),-1,1)*O1722,0)+IF(AND(U1722&lt;&gt;"",IFERROR(INDEX(ctaLiq,MATCH(G1722,ctaNom,0))="Sí",FALSE)),O1722,0))</f>
        <v/>
      </c>
      <c r="W1722" s="19">
        <f>IF(OR(F1722="",I1722=""),"",IF(COUNTIFS(F$6:F1722,F1722,I$6:I1722,"?*")=1,MAX(W$5:W1721)+1,""))</f>
        <v/>
      </c>
    </row>
    <row r="1723">
      <c r="B1723" s="15" t="n"/>
      <c r="C1723" s="16" t="n"/>
      <c r="D1723" s="17" t="n"/>
      <c r="E1723" s="17" t="n"/>
      <c r="F1723" s="17" t="n"/>
      <c r="G1723" s="17" t="n"/>
      <c r="H1723" s="18">
        <f>IF(AND(B1723="",C1723="",D1723="",E1723=""),"",IF(B1723="","⚠ Falta fecha",IF(C1723="","⚠ Falta monto",IF(D1723="","⚠ Falta categoría",IF(ISNA(MATCH(D1723,catNom,0)),"⚠ Categoría no existe",IF(E1723="","⚠ Falta cuenta",IF(ISNA(MATCH(E1723,ctaNom,0)),"⚠ Cuenta no existe",IF(AND(OR(I1723="Transferencia",I1723="Pago tarjeta"),G1723=""),"⚠ Indica la cuenta «Hacia»",IF(AND(G1723&lt;&gt;"",G1723=E1723),"⚠ «Hacia» igual a la cuenta",IF(AND(G1723&lt;&gt;"",ISNA(MATCH(G1723,ctaNom,0))),"⚠ «Hacia» no existe",IF(AND(I1723="Pago tarjeta",IFERROR(INDEX(ctaTipo,MATCH(G1723,ctaNom,0)),"")&lt;&gt;"Tarjeta de crédito"),"⚠ «Hacia» debe ser la tarjeta",IF(AND(I1723="Trading",IFERROR(INDEX(ctaTipo,MATCH(E1723,ctaNom,0)),"")&lt;&gt;"Cuenta de trading"),"⚠ Usa la cuenta de trading","✓"))))))))))))</f>
        <v/>
      </c>
      <c r="I1723" s="19">
        <f>IF(OR(B1723="",C1723="",D1723=""),"",IFERROR(INDEX(catTipo,MATCH(D1723,catNom,0))&amp;"",""))</f>
        <v/>
      </c>
      <c r="J1723" s="19">
        <f>IF(I1723="","",IFERROR(INDEX(catGrupo,MATCH(D1723,catNom,0))&amp;"",""))</f>
        <v/>
      </c>
      <c r="K1723" s="19">
        <f>IF(I1723="Gasto",IF(IFERROR(INDEX(catClas,MATCH(D1723,catNom,0))&amp;"","")="","Variable",IFERROR(INDEX(catClas,MATCH(D1723,catNom,0))&amp;"","")),"")</f>
        <v/>
      </c>
      <c r="L1723" s="19">
        <f>IF(I1723="","",IFERROR(INDEX(catAlim,MATCH(D1723,catNom,0))&amp;"",""))</f>
        <v/>
      </c>
      <c r="M1723" s="19">
        <f>IF(I1723="","",IFERROR(INDEX(catComida,MATCH(D1723,catNom,0))&amp;"",""))</f>
        <v/>
      </c>
      <c r="N1723" s="19">
        <f>IF(I1723="","",IFERROR(INDEX(ctaMon,MATCH(E1723,ctaNom,0))&amp;"","DOP"))</f>
        <v/>
      </c>
      <c r="O1723" s="20">
        <f>IF(I1723="","",C1723*IF(N1723="USD",TasaUSD,1))</f>
        <v/>
      </c>
      <c r="P1723" s="20">
        <f>IF(I1723="","",IF(I1723="Gasto",O1723,0))</f>
        <v/>
      </c>
      <c r="Q1723" s="20">
        <f>IF(I1723="","",IF(I1723="Ingreso",O1723,0))</f>
        <v/>
      </c>
      <c r="R1723" s="20">
        <f>IF(I1723="","",IF(I1723="Trading",O1723,0))</f>
        <v/>
      </c>
      <c r="S1723" s="19">
        <f>IF(I1723="","",IF(AND(I1723="Gasto",K1723="Variable",J1723&lt;&gt;"Trading",O1723&gt;0,O1723&lt;=Umbral),1,0))</f>
        <v/>
      </c>
      <c r="T1723" s="20">
        <f>IF(OR(I1723="",E1723=""),"",IF(OR(I1723="Gasto",I1723="Transferencia",I1723="Pago tarjeta"),-1,1)*C1723)</f>
        <v/>
      </c>
      <c r="U1723" s="20">
        <f>IF(OR(G1723="",AND(I1723&lt;&gt;"Transferencia",I1723&lt;&gt;"Pago tarjeta")),"",IF(IFERROR(INDEX(ctaMon,MATCH(G1723,ctaNom,0))&amp;"","DOP")=N1723,C1723,IF(N1723="USD",C1723*TasaUSD,C1723/TasaUSD)))</f>
        <v/>
      </c>
      <c r="V1723" s="20">
        <f>IF(I1723="","",IF(IFERROR(INDEX(ctaLiq,MATCH(E1723,ctaNom,0))="Sí",FALSE),IF(OR(I1723="Gasto",I1723="Transferencia",I1723="Pago tarjeta"),-1,1)*O1723,0)+IF(AND(U1723&lt;&gt;"",IFERROR(INDEX(ctaLiq,MATCH(G1723,ctaNom,0))="Sí",FALSE)),O1723,0))</f>
        <v/>
      </c>
      <c r="W1723" s="19">
        <f>IF(OR(F1723="",I1723=""),"",IF(COUNTIFS(F$6:F1723,F1723,I$6:I1723,"?*")=1,MAX(W$5:W1722)+1,""))</f>
        <v/>
      </c>
    </row>
    <row r="1724">
      <c r="B1724" s="15" t="n"/>
      <c r="C1724" s="16" t="n"/>
      <c r="D1724" s="17" t="n"/>
      <c r="E1724" s="17" t="n"/>
      <c r="F1724" s="17" t="n"/>
      <c r="G1724" s="17" t="n"/>
      <c r="H1724" s="18">
        <f>IF(AND(B1724="",C1724="",D1724="",E1724=""),"",IF(B1724="","⚠ Falta fecha",IF(C1724="","⚠ Falta monto",IF(D1724="","⚠ Falta categoría",IF(ISNA(MATCH(D1724,catNom,0)),"⚠ Categoría no existe",IF(E1724="","⚠ Falta cuenta",IF(ISNA(MATCH(E1724,ctaNom,0)),"⚠ Cuenta no existe",IF(AND(OR(I1724="Transferencia",I1724="Pago tarjeta"),G1724=""),"⚠ Indica la cuenta «Hacia»",IF(AND(G1724&lt;&gt;"",G1724=E1724),"⚠ «Hacia» igual a la cuenta",IF(AND(G1724&lt;&gt;"",ISNA(MATCH(G1724,ctaNom,0))),"⚠ «Hacia» no existe",IF(AND(I1724="Pago tarjeta",IFERROR(INDEX(ctaTipo,MATCH(G1724,ctaNom,0)),"")&lt;&gt;"Tarjeta de crédito"),"⚠ «Hacia» debe ser la tarjeta",IF(AND(I1724="Trading",IFERROR(INDEX(ctaTipo,MATCH(E1724,ctaNom,0)),"")&lt;&gt;"Cuenta de trading"),"⚠ Usa la cuenta de trading","✓"))))))))))))</f>
        <v/>
      </c>
      <c r="I1724" s="19">
        <f>IF(OR(B1724="",C1724="",D1724=""),"",IFERROR(INDEX(catTipo,MATCH(D1724,catNom,0))&amp;"",""))</f>
        <v/>
      </c>
      <c r="J1724" s="19">
        <f>IF(I1724="","",IFERROR(INDEX(catGrupo,MATCH(D1724,catNom,0))&amp;"",""))</f>
        <v/>
      </c>
      <c r="K1724" s="19">
        <f>IF(I1724="Gasto",IF(IFERROR(INDEX(catClas,MATCH(D1724,catNom,0))&amp;"","")="","Variable",IFERROR(INDEX(catClas,MATCH(D1724,catNom,0))&amp;"","")),"")</f>
        <v/>
      </c>
      <c r="L1724" s="19">
        <f>IF(I1724="","",IFERROR(INDEX(catAlim,MATCH(D1724,catNom,0))&amp;"",""))</f>
        <v/>
      </c>
      <c r="M1724" s="19">
        <f>IF(I1724="","",IFERROR(INDEX(catComida,MATCH(D1724,catNom,0))&amp;"",""))</f>
        <v/>
      </c>
      <c r="N1724" s="19">
        <f>IF(I1724="","",IFERROR(INDEX(ctaMon,MATCH(E1724,ctaNom,0))&amp;"","DOP"))</f>
        <v/>
      </c>
      <c r="O1724" s="20">
        <f>IF(I1724="","",C1724*IF(N1724="USD",TasaUSD,1))</f>
        <v/>
      </c>
      <c r="P1724" s="20">
        <f>IF(I1724="","",IF(I1724="Gasto",O1724,0))</f>
        <v/>
      </c>
      <c r="Q1724" s="20">
        <f>IF(I1724="","",IF(I1724="Ingreso",O1724,0))</f>
        <v/>
      </c>
      <c r="R1724" s="20">
        <f>IF(I1724="","",IF(I1724="Trading",O1724,0))</f>
        <v/>
      </c>
      <c r="S1724" s="19">
        <f>IF(I1724="","",IF(AND(I1724="Gasto",K1724="Variable",J1724&lt;&gt;"Trading",O1724&gt;0,O1724&lt;=Umbral),1,0))</f>
        <v/>
      </c>
      <c r="T1724" s="20">
        <f>IF(OR(I1724="",E1724=""),"",IF(OR(I1724="Gasto",I1724="Transferencia",I1724="Pago tarjeta"),-1,1)*C1724)</f>
        <v/>
      </c>
      <c r="U1724" s="20">
        <f>IF(OR(G1724="",AND(I1724&lt;&gt;"Transferencia",I1724&lt;&gt;"Pago tarjeta")),"",IF(IFERROR(INDEX(ctaMon,MATCH(G1724,ctaNom,0))&amp;"","DOP")=N1724,C1724,IF(N1724="USD",C1724*TasaUSD,C1724/TasaUSD)))</f>
        <v/>
      </c>
      <c r="V1724" s="20">
        <f>IF(I1724="","",IF(IFERROR(INDEX(ctaLiq,MATCH(E1724,ctaNom,0))="Sí",FALSE),IF(OR(I1724="Gasto",I1724="Transferencia",I1724="Pago tarjeta"),-1,1)*O1724,0)+IF(AND(U1724&lt;&gt;"",IFERROR(INDEX(ctaLiq,MATCH(G1724,ctaNom,0))="Sí",FALSE)),O1724,0))</f>
        <v/>
      </c>
      <c r="W1724" s="19">
        <f>IF(OR(F1724="",I1724=""),"",IF(COUNTIFS(F$6:F1724,F1724,I$6:I1724,"?*")=1,MAX(W$5:W1723)+1,""))</f>
        <v/>
      </c>
    </row>
    <row r="1725">
      <c r="B1725" s="15" t="n"/>
      <c r="C1725" s="16" t="n"/>
      <c r="D1725" s="17" t="n"/>
      <c r="E1725" s="17" t="n"/>
      <c r="F1725" s="17" t="n"/>
      <c r="G1725" s="17" t="n"/>
      <c r="H1725" s="18">
        <f>IF(AND(B1725="",C1725="",D1725="",E1725=""),"",IF(B1725="","⚠ Falta fecha",IF(C1725="","⚠ Falta monto",IF(D1725="","⚠ Falta categoría",IF(ISNA(MATCH(D1725,catNom,0)),"⚠ Categoría no existe",IF(E1725="","⚠ Falta cuenta",IF(ISNA(MATCH(E1725,ctaNom,0)),"⚠ Cuenta no existe",IF(AND(OR(I1725="Transferencia",I1725="Pago tarjeta"),G1725=""),"⚠ Indica la cuenta «Hacia»",IF(AND(G1725&lt;&gt;"",G1725=E1725),"⚠ «Hacia» igual a la cuenta",IF(AND(G1725&lt;&gt;"",ISNA(MATCH(G1725,ctaNom,0))),"⚠ «Hacia» no existe",IF(AND(I1725="Pago tarjeta",IFERROR(INDEX(ctaTipo,MATCH(G1725,ctaNom,0)),"")&lt;&gt;"Tarjeta de crédito"),"⚠ «Hacia» debe ser la tarjeta",IF(AND(I1725="Trading",IFERROR(INDEX(ctaTipo,MATCH(E1725,ctaNom,0)),"")&lt;&gt;"Cuenta de trading"),"⚠ Usa la cuenta de trading","✓"))))))))))))</f>
        <v/>
      </c>
      <c r="I1725" s="19">
        <f>IF(OR(B1725="",C1725="",D1725=""),"",IFERROR(INDEX(catTipo,MATCH(D1725,catNom,0))&amp;"",""))</f>
        <v/>
      </c>
      <c r="J1725" s="19">
        <f>IF(I1725="","",IFERROR(INDEX(catGrupo,MATCH(D1725,catNom,0))&amp;"",""))</f>
        <v/>
      </c>
      <c r="K1725" s="19">
        <f>IF(I1725="Gasto",IF(IFERROR(INDEX(catClas,MATCH(D1725,catNom,0))&amp;"","")="","Variable",IFERROR(INDEX(catClas,MATCH(D1725,catNom,0))&amp;"","")),"")</f>
        <v/>
      </c>
      <c r="L1725" s="19">
        <f>IF(I1725="","",IFERROR(INDEX(catAlim,MATCH(D1725,catNom,0))&amp;"",""))</f>
        <v/>
      </c>
      <c r="M1725" s="19">
        <f>IF(I1725="","",IFERROR(INDEX(catComida,MATCH(D1725,catNom,0))&amp;"",""))</f>
        <v/>
      </c>
      <c r="N1725" s="19">
        <f>IF(I1725="","",IFERROR(INDEX(ctaMon,MATCH(E1725,ctaNom,0))&amp;"","DOP"))</f>
        <v/>
      </c>
      <c r="O1725" s="20">
        <f>IF(I1725="","",C1725*IF(N1725="USD",TasaUSD,1))</f>
        <v/>
      </c>
      <c r="P1725" s="20">
        <f>IF(I1725="","",IF(I1725="Gasto",O1725,0))</f>
        <v/>
      </c>
      <c r="Q1725" s="20">
        <f>IF(I1725="","",IF(I1725="Ingreso",O1725,0))</f>
        <v/>
      </c>
      <c r="R1725" s="20">
        <f>IF(I1725="","",IF(I1725="Trading",O1725,0))</f>
        <v/>
      </c>
      <c r="S1725" s="19">
        <f>IF(I1725="","",IF(AND(I1725="Gasto",K1725="Variable",J1725&lt;&gt;"Trading",O1725&gt;0,O1725&lt;=Umbral),1,0))</f>
        <v/>
      </c>
      <c r="T1725" s="20">
        <f>IF(OR(I1725="",E1725=""),"",IF(OR(I1725="Gasto",I1725="Transferencia",I1725="Pago tarjeta"),-1,1)*C1725)</f>
        <v/>
      </c>
      <c r="U1725" s="20">
        <f>IF(OR(G1725="",AND(I1725&lt;&gt;"Transferencia",I1725&lt;&gt;"Pago tarjeta")),"",IF(IFERROR(INDEX(ctaMon,MATCH(G1725,ctaNom,0))&amp;"","DOP")=N1725,C1725,IF(N1725="USD",C1725*TasaUSD,C1725/TasaUSD)))</f>
        <v/>
      </c>
      <c r="V1725" s="20">
        <f>IF(I1725="","",IF(IFERROR(INDEX(ctaLiq,MATCH(E1725,ctaNom,0))="Sí",FALSE),IF(OR(I1725="Gasto",I1725="Transferencia",I1725="Pago tarjeta"),-1,1)*O1725,0)+IF(AND(U1725&lt;&gt;"",IFERROR(INDEX(ctaLiq,MATCH(G1725,ctaNom,0))="Sí",FALSE)),O1725,0))</f>
        <v/>
      </c>
      <c r="W1725" s="19">
        <f>IF(OR(F1725="",I1725=""),"",IF(COUNTIFS(F$6:F1725,F1725,I$6:I1725,"?*")=1,MAX(W$5:W1724)+1,""))</f>
        <v/>
      </c>
    </row>
    <row r="1726">
      <c r="B1726" s="15" t="n"/>
      <c r="C1726" s="16" t="n"/>
      <c r="D1726" s="17" t="n"/>
      <c r="E1726" s="17" t="n"/>
      <c r="F1726" s="17" t="n"/>
      <c r="G1726" s="17" t="n"/>
      <c r="H1726" s="18">
        <f>IF(AND(B1726="",C1726="",D1726="",E1726=""),"",IF(B1726="","⚠ Falta fecha",IF(C1726="","⚠ Falta monto",IF(D1726="","⚠ Falta categoría",IF(ISNA(MATCH(D1726,catNom,0)),"⚠ Categoría no existe",IF(E1726="","⚠ Falta cuenta",IF(ISNA(MATCH(E1726,ctaNom,0)),"⚠ Cuenta no existe",IF(AND(OR(I1726="Transferencia",I1726="Pago tarjeta"),G1726=""),"⚠ Indica la cuenta «Hacia»",IF(AND(G1726&lt;&gt;"",G1726=E1726),"⚠ «Hacia» igual a la cuenta",IF(AND(G1726&lt;&gt;"",ISNA(MATCH(G1726,ctaNom,0))),"⚠ «Hacia» no existe",IF(AND(I1726="Pago tarjeta",IFERROR(INDEX(ctaTipo,MATCH(G1726,ctaNom,0)),"")&lt;&gt;"Tarjeta de crédito"),"⚠ «Hacia» debe ser la tarjeta",IF(AND(I1726="Trading",IFERROR(INDEX(ctaTipo,MATCH(E1726,ctaNom,0)),"")&lt;&gt;"Cuenta de trading"),"⚠ Usa la cuenta de trading","✓"))))))))))))</f>
        <v/>
      </c>
      <c r="I1726" s="19">
        <f>IF(OR(B1726="",C1726="",D1726=""),"",IFERROR(INDEX(catTipo,MATCH(D1726,catNom,0))&amp;"",""))</f>
        <v/>
      </c>
      <c r="J1726" s="19">
        <f>IF(I1726="","",IFERROR(INDEX(catGrupo,MATCH(D1726,catNom,0))&amp;"",""))</f>
        <v/>
      </c>
      <c r="K1726" s="19">
        <f>IF(I1726="Gasto",IF(IFERROR(INDEX(catClas,MATCH(D1726,catNom,0))&amp;"","")="","Variable",IFERROR(INDEX(catClas,MATCH(D1726,catNom,0))&amp;"","")),"")</f>
        <v/>
      </c>
      <c r="L1726" s="19">
        <f>IF(I1726="","",IFERROR(INDEX(catAlim,MATCH(D1726,catNom,0))&amp;"",""))</f>
        <v/>
      </c>
      <c r="M1726" s="19">
        <f>IF(I1726="","",IFERROR(INDEX(catComida,MATCH(D1726,catNom,0))&amp;"",""))</f>
        <v/>
      </c>
      <c r="N1726" s="19">
        <f>IF(I1726="","",IFERROR(INDEX(ctaMon,MATCH(E1726,ctaNom,0))&amp;"","DOP"))</f>
        <v/>
      </c>
      <c r="O1726" s="20">
        <f>IF(I1726="","",C1726*IF(N1726="USD",TasaUSD,1))</f>
        <v/>
      </c>
      <c r="P1726" s="20">
        <f>IF(I1726="","",IF(I1726="Gasto",O1726,0))</f>
        <v/>
      </c>
      <c r="Q1726" s="20">
        <f>IF(I1726="","",IF(I1726="Ingreso",O1726,0))</f>
        <v/>
      </c>
      <c r="R1726" s="20">
        <f>IF(I1726="","",IF(I1726="Trading",O1726,0))</f>
        <v/>
      </c>
      <c r="S1726" s="19">
        <f>IF(I1726="","",IF(AND(I1726="Gasto",K1726="Variable",J1726&lt;&gt;"Trading",O1726&gt;0,O1726&lt;=Umbral),1,0))</f>
        <v/>
      </c>
      <c r="T1726" s="20">
        <f>IF(OR(I1726="",E1726=""),"",IF(OR(I1726="Gasto",I1726="Transferencia",I1726="Pago tarjeta"),-1,1)*C1726)</f>
        <v/>
      </c>
      <c r="U1726" s="20">
        <f>IF(OR(G1726="",AND(I1726&lt;&gt;"Transferencia",I1726&lt;&gt;"Pago tarjeta")),"",IF(IFERROR(INDEX(ctaMon,MATCH(G1726,ctaNom,0))&amp;"","DOP")=N1726,C1726,IF(N1726="USD",C1726*TasaUSD,C1726/TasaUSD)))</f>
        <v/>
      </c>
      <c r="V1726" s="20">
        <f>IF(I1726="","",IF(IFERROR(INDEX(ctaLiq,MATCH(E1726,ctaNom,0))="Sí",FALSE),IF(OR(I1726="Gasto",I1726="Transferencia",I1726="Pago tarjeta"),-1,1)*O1726,0)+IF(AND(U1726&lt;&gt;"",IFERROR(INDEX(ctaLiq,MATCH(G1726,ctaNom,0))="Sí",FALSE)),O1726,0))</f>
        <v/>
      </c>
      <c r="W1726" s="19">
        <f>IF(OR(F1726="",I1726=""),"",IF(COUNTIFS(F$6:F1726,F1726,I$6:I1726,"?*")=1,MAX(W$5:W1725)+1,""))</f>
        <v/>
      </c>
    </row>
    <row r="1727">
      <c r="B1727" s="15" t="n"/>
      <c r="C1727" s="16" t="n"/>
      <c r="D1727" s="17" t="n"/>
      <c r="E1727" s="17" t="n"/>
      <c r="F1727" s="17" t="n"/>
      <c r="G1727" s="17" t="n"/>
      <c r="H1727" s="18">
        <f>IF(AND(B1727="",C1727="",D1727="",E1727=""),"",IF(B1727="","⚠ Falta fecha",IF(C1727="","⚠ Falta monto",IF(D1727="","⚠ Falta categoría",IF(ISNA(MATCH(D1727,catNom,0)),"⚠ Categoría no existe",IF(E1727="","⚠ Falta cuenta",IF(ISNA(MATCH(E1727,ctaNom,0)),"⚠ Cuenta no existe",IF(AND(OR(I1727="Transferencia",I1727="Pago tarjeta"),G1727=""),"⚠ Indica la cuenta «Hacia»",IF(AND(G1727&lt;&gt;"",G1727=E1727),"⚠ «Hacia» igual a la cuenta",IF(AND(G1727&lt;&gt;"",ISNA(MATCH(G1727,ctaNom,0))),"⚠ «Hacia» no existe",IF(AND(I1727="Pago tarjeta",IFERROR(INDEX(ctaTipo,MATCH(G1727,ctaNom,0)),"")&lt;&gt;"Tarjeta de crédito"),"⚠ «Hacia» debe ser la tarjeta",IF(AND(I1727="Trading",IFERROR(INDEX(ctaTipo,MATCH(E1727,ctaNom,0)),"")&lt;&gt;"Cuenta de trading"),"⚠ Usa la cuenta de trading","✓"))))))))))))</f>
        <v/>
      </c>
      <c r="I1727" s="19">
        <f>IF(OR(B1727="",C1727="",D1727=""),"",IFERROR(INDEX(catTipo,MATCH(D1727,catNom,0))&amp;"",""))</f>
        <v/>
      </c>
      <c r="J1727" s="19">
        <f>IF(I1727="","",IFERROR(INDEX(catGrupo,MATCH(D1727,catNom,0))&amp;"",""))</f>
        <v/>
      </c>
      <c r="K1727" s="19">
        <f>IF(I1727="Gasto",IF(IFERROR(INDEX(catClas,MATCH(D1727,catNom,0))&amp;"","")="","Variable",IFERROR(INDEX(catClas,MATCH(D1727,catNom,0))&amp;"","")),"")</f>
        <v/>
      </c>
      <c r="L1727" s="19">
        <f>IF(I1727="","",IFERROR(INDEX(catAlim,MATCH(D1727,catNom,0))&amp;"",""))</f>
        <v/>
      </c>
      <c r="M1727" s="19">
        <f>IF(I1727="","",IFERROR(INDEX(catComida,MATCH(D1727,catNom,0))&amp;"",""))</f>
        <v/>
      </c>
      <c r="N1727" s="19">
        <f>IF(I1727="","",IFERROR(INDEX(ctaMon,MATCH(E1727,ctaNom,0))&amp;"","DOP"))</f>
        <v/>
      </c>
      <c r="O1727" s="20">
        <f>IF(I1727="","",C1727*IF(N1727="USD",TasaUSD,1))</f>
        <v/>
      </c>
      <c r="P1727" s="20">
        <f>IF(I1727="","",IF(I1727="Gasto",O1727,0))</f>
        <v/>
      </c>
      <c r="Q1727" s="20">
        <f>IF(I1727="","",IF(I1727="Ingreso",O1727,0))</f>
        <v/>
      </c>
      <c r="R1727" s="20">
        <f>IF(I1727="","",IF(I1727="Trading",O1727,0))</f>
        <v/>
      </c>
      <c r="S1727" s="19">
        <f>IF(I1727="","",IF(AND(I1727="Gasto",K1727="Variable",J1727&lt;&gt;"Trading",O1727&gt;0,O1727&lt;=Umbral),1,0))</f>
        <v/>
      </c>
      <c r="T1727" s="20">
        <f>IF(OR(I1727="",E1727=""),"",IF(OR(I1727="Gasto",I1727="Transferencia",I1727="Pago tarjeta"),-1,1)*C1727)</f>
        <v/>
      </c>
      <c r="U1727" s="20">
        <f>IF(OR(G1727="",AND(I1727&lt;&gt;"Transferencia",I1727&lt;&gt;"Pago tarjeta")),"",IF(IFERROR(INDEX(ctaMon,MATCH(G1727,ctaNom,0))&amp;"","DOP")=N1727,C1727,IF(N1727="USD",C1727*TasaUSD,C1727/TasaUSD)))</f>
        <v/>
      </c>
      <c r="V1727" s="20">
        <f>IF(I1727="","",IF(IFERROR(INDEX(ctaLiq,MATCH(E1727,ctaNom,0))="Sí",FALSE),IF(OR(I1727="Gasto",I1727="Transferencia",I1727="Pago tarjeta"),-1,1)*O1727,0)+IF(AND(U1727&lt;&gt;"",IFERROR(INDEX(ctaLiq,MATCH(G1727,ctaNom,0))="Sí",FALSE)),O1727,0))</f>
        <v/>
      </c>
      <c r="W1727" s="19">
        <f>IF(OR(F1727="",I1727=""),"",IF(COUNTIFS(F$6:F1727,F1727,I$6:I1727,"?*")=1,MAX(W$5:W1726)+1,""))</f>
        <v/>
      </c>
    </row>
    <row r="1728">
      <c r="B1728" s="15" t="n"/>
      <c r="C1728" s="16" t="n"/>
      <c r="D1728" s="17" t="n"/>
      <c r="E1728" s="17" t="n"/>
      <c r="F1728" s="17" t="n"/>
      <c r="G1728" s="17" t="n"/>
      <c r="H1728" s="18">
        <f>IF(AND(B1728="",C1728="",D1728="",E1728=""),"",IF(B1728="","⚠ Falta fecha",IF(C1728="","⚠ Falta monto",IF(D1728="","⚠ Falta categoría",IF(ISNA(MATCH(D1728,catNom,0)),"⚠ Categoría no existe",IF(E1728="","⚠ Falta cuenta",IF(ISNA(MATCH(E1728,ctaNom,0)),"⚠ Cuenta no existe",IF(AND(OR(I1728="Transferencia",I1728="Pago tarjeta"),G1728=""),"⚠ Indica la cuenta «Hacia»",IF(AND(G1728&lt;&gt;"",G1728=E1728),"⚠ «Hacia» igual a la cuenta",IF(AND(G1728&lt;&gt;"",ISNA(MATCH(G1728,ctaNom,0))),"⚠ «Hacia» no existe",IF(AND(I1728="Pago tarjeta",IFERROR(INDEX(ctaTipo,MATCH(G1728,ctaNom,0)),"")&lt;&gt;"Tarjeta de crédito"),"⚠ «Hacia» debe ser la tarjeta",IF(AND(I1728="Trading",IFERROR(INDEX(ctaTipo,MATCH(E1728,ctaNom,0)),"")&lt;&gt;"Cuenta de trading"),"⚠ Usa la cuenta de trading","✓"))))))))))))</f>
        <v/>
      </c>
      <c r="I1728" s="19">
        <f>IF(OR(B1728="",C1728="",D1728=""),"",IFERROR(INDEX(catTipo,MATCH(D1728,catNom,0))&amp;"",""))</f>
        <v/>
      </c>
      <c r="J1728" s="19">
        <f>IF(I1728="","",IFERROR(INDEX(catGrupo,MATCH(D1728,catNom,0))&amp;"",""))</f>
        <v/>
      </c>
      <c r="K1728" s="19">
        <f>IF(I1728="Gasto",IF(IFERROR(INDEX(catClas,MATCH(D1728,catNom,0))&amp;"","")="","Variable",IFERROR(INDEX(catClas,MATCH(D1728,catNom,0))&amp;"","")),"")</f>
        <v/>
      </c>
      <c r="L1728" s="19">
        <f>IF(I1728="","",IFERROR(INDEX(catAlim,MATCH(D1728,catNom,0))&amp;"",""))</f>
        <v/>
      </c>
      <c r="M1728" s="19">
        <f>IF(I1728="","",IFERROR(INDEX(catComida,MATCH(D1728,catNom,0))&amp;"",""))</f>
        <v/>
      </c>
      <c r="N1728" s="19">
        <f>IF(I1728="","",IFERROR(INDEX(ctaMon,MATCH(E1728,ctaNom,0))&amp;"","DOP"))</f>
        <v/>
      </c>
      <c r="O1728" s="20">
        <f>IF(I1728="","",C1728*IF(N1728="USD",TasaUSD,1))</f>
        <v/>
      </c>
      <c r="P1728" s="20">
        <f>IF(I1728="","",IF(I1728="Gasto",O1728,0))</f>
        <v/>
      </c>
      <c r="Q1728" s="20">
        <f>IF(I1728="","",IF(I1728="Ingreso",O1728,0))</f>
        <v/>
      </c>
      <c r="R1728" s="20">
        <f>IF(I1728="","",IF(I1728="Trading",O1728,0))</f>
        <v/>
      </c>
      <c r="S1728" s="19">
        <f>IF(I1728="","",IF(AND(I1728="Gasto",K1728="Variable",J1728&lt;&gt;"Trading",O1728&gt;0,O1728&lt;=Umbral),1,0))</f>
        <v/>
      </c>
      <c r="T1728" s="20">
        <f>IF(OR(I1728="",E1728=""),"",IF(OR(I1728="Gasto",I1728="Transferencia",I1728="Pago tarjeta"),-1,1)*C1728)</f>
        <v/>
      </c>
      <c r="U1728" s="20">
        <f>IF(OR(G1728="",AND(I1728&lt;&gt;"Transferencia",I1728&lt;&gt;"Pago tarjeta")),"",IF(IFERROR(INDEX(ctaMon,MATCH(G1728,ctaNom,0))&amp;"","DOP")=N1728,C1728,IF(N1728="USD",C1728*TasaUSD,C1728/TasaUSD)))</f>
        <v/>
      </c>
      <c r="V1728" s="20">
        <f>IF(I1728="","",IF(IFERROR(INDEX(ctaLiq,MATCH(E1728,ctaNom,0))="Sí",FALSE),IF(OR(I1728="Gasto",I1728="Transferencia",I1728="Pago tarjeta"),-1,1)*O1728,0)+IF(AND(U1728&lt;&gt;"",IFERROR(INDEX(ctaLiq,MATCH(G1728,ctaNom,0))="Sí",FALSE)),O1728,0))</f>
        <v/>
      </c>
      <c r="W1728" s="19">
        <f>IF(OR(F1728="",I1728=""),"",IF(COUNTIFS(F$6:F1728,F1728,I$6:I1728,"?*")=1,MAX(W$5:W1727)+1,""))</f>
        <v/>
      </c>
    </row>
    <row r="1729">
      <c r="B1729" s="15" t="n"/>
      <c r="C1729" s="16" t="n"/>
      <c r="D1729" s="17" t="n"/>
      <c r="E1729" s="17" t="n"/>
      <c r="F1729" s="17" t="n"/>
      <c r="G1729" s="17" t="n"/>
      <c r="H1729" s="18">
        <f>IF(AND(B1729="",C1729="",D1729="",E1729=""),"",IF(B1729="","⚠ Falta fecha",IF(C1729="","⚠ Falta monto",IF(D1729="","⚠ Falta categoría",IF(ISNA(MATCH(D1729,catNom,0)),"⚠ Categoría no existe",IF(E1729="","⚠ Falta cuenta",IF(ISNA(MATCH(E1729,ctaNom,0)),"⚠ Cuenta no existe",IF(AND(OR(I1729="Transferencia",I1729="Pago tarjeta"),G1729=""),"⚠ Indica la cuenta «Hacia»",IF(AND(G1729&lt;&gt;"",G1729=E1729),"⚠ «Hacia» igual a la cuenta",IF(AND(G1729&lt;&gt;"",ISNA(MATCH(G1729,ctaNom,0))),"⚠ «Hacia» no existe",IF(AND(I1729="Pago tarjeta",IFERROR(INDEX(ctaTipo,MATCH(G1729,ctaNom,0)),"")&lt;&gt;"Tarjeta de crédito"),"⚠ «Hacia» debe ser la tarjeta",IF(AND(I1729="Trading",IFERROR(INDEX(ctaTipo,MATCH(E1729,ctaNom,0)),"")&lt;&gt;"Cuenta de trading"),"⚠ Usa la cuenta de trading","✓"))))))))))))</f>
        <v/>
      </c>
      <c r="I1729" s="19">
        <f>IF(OR(B1729="",C1729="",D1729=""),"",IFERROR(INDEX(catTipo,MATCH(D1729,catNom,0))&amp;"",""))</f>
        <v/>
      </c>
      <c r="J1729" s="19">
        <f>IF(I1729="","",IFERROR(INDEX(catGrupo,MATCH(D1729,catNom,0))&amp;"",""))</f>
        <v/>
      </c>
      <c r="K1729" s="19">
        <f>IF(I1729="Gasto",IF(IFERROR(INDEX(catClas,MATCH(D1729,catNom,0))&amp;"","")="","Variable",IFERROR(INDEX(catClas,MATCH(D1729,catNom,0))&amp;"","")),"")</f>
        <v/>
      </c>
      <c r="L1729" s="19">
        <f>IF(I1729="","",IFERROR(INDEX(catAlim,MATCH(D1729,catNom,0))&amp;"",""))</f>
        <v/>
      </c>
      <c r="M1729" s="19">
        <f>IF(I1729="","",IFERROR(INDEX(catComida,MATCH(D1729,catNom,0))&amp;"",""))</f>
        <v/>
      </c>
      <c r="N1729" s="19">
        <f>IF(I1729="","",IFERROR(INDEX(ctaMon,MATCH(E1729,ctaNom,0))&amp;"","DOP"))</f>
        <v/>
      </c>
      <c r="O1729" s="20">
        <f>IF(I1729="","",C1729*IF(N1729="USD",TasaUSD,1))</f>
        <v/>
      </c>
      <c r="P1729" s="20">
        <f>IF(I1729="","",IF(I1729="Gasto",O1729,0))</f>
        <v/>
      </c>
      <c r="Q1729" s="20">
        <f>IF(I1729="","",IF(I1729="Ingreso",O1729,0))</f>
        <v/>
      </c>
      <c r="R1729" s="20">
        <f>IF(I1729="","",IF(I1729="Trading",O1729,0))</f>
        <v/>
      </c>
      <c r="S1729" s="19">
        <f>IF(I1729="","",IF(AND(I1729="Gasto",K1729="Variable",J1729&lt;&gt;"Trading",O1729&gt;0,O1729&lt;=Umbral),1,0))</f>
        <v/>
      </c>
      <c r="T1729" s="20">
        <f>IF(OR(I1729="",E1729=""),"",IF(OR(I1729="Gasto",I1729="Transferencia",I1729="Pago tarjeta"),-1,1)*C1729)</f>
        <v/>
      </c>
      <c r="U1729" s="20">
        <f>IF(OR(G1729="",AND(I1729&lt;&gt;"Transferencia",I1729&lt;&gt;"Pago tarjeta")),"",IF(IFERROR(INDEX(ctaMon,MATCH(G1729,ctaNom,0))&amp;"","DOP")=N1729,C1729,IF(N1729="USD",C1729*TasaUSD,C1729/TasaUSD)))</f>
        <v/>
      </c>
      <c r="V1729" s="20">
        <f>IF(I1729="","",IF(IFERROR(INDEX(ctaLiq,MATCH(E1729,ctaNom,0))="Sí",FALSE),IF(OR(I1729="Gasto",I1729="Transferencia",I1729="Pago tarjeta"),-1,1)*O1729,0)+IF(AND(U1729&lt;&gt;"",IFERROR(INDEX(ctaLiq,MATCH(G1729,ctaNom,0))="Sí",FALSE)),O1729,0))</f>
        <v/>
      </c>
      <c r="W1729" s="19">
        <f>IF(OR(F1729="",I1729=""),"",IF(COUNTIFS(F$6:F1729,F1729,I$6:I1729,"?*")=1,MAX(W$5:W1728)+1,""))</f>
        <v/>
      </c>
    </row>
    <row r="1730">
      <c r="B1730" s="15" t="n"/>
      <c r="C1730" s="16" t="n"/>
      <c r="D1730" s="17" t="n"/>
      <c r="E1730" s="17" t="n"/>
      <c r="F1730" s="17" t="n"/>
      <c r="G1730" s="17" t="n"/>
      <c r="H1730" s="18">
        <f>IF(AND(B1730="",C1730="",D1730="",E1730=""),"",IF(B1730="","⚠ Falta fecha",IF(C1730="","⚠ Falta monto",IF(D1730="","⚠ Falta categoría",IF(ISNA(MATCH(D1730,catNom,0)),"⚠ Categoría no existe",IF(E1730="","⚠ Falta cuenta",IF(ISNA(MATCH(E1730,ctaNom,0)),"⚠ Cuenta no existe",IF(AND(OR(I1730="Transferencia",I1730="Pago tarjeta"),G1730=""),"⚠ Indica la cuenta «Hacia»",IF(AND(G1730&lt;&gt;"",G1730=E1730),"⚠ «Hacia» igual a la cuenta",IF(AND(G1730&lt;&gt;"",ISNA(MATCH(G1730,ctaNom,0))),"⚠ «Hacia» no existe",IF(AND(I1730="Pago tarjeta",IFERROR(INDEX(ctaTipo,MATCH(G1730,ctaNom,0)),"")&lt;&gt;"Tarjeta de crédito"),"⚠ «Hacia» debe ser la tarjeta",IF(AND(I1730="Trading",IFERROR(INDEX(ctaTipo,MATCH(E1730,ctaNom,0)),"")&lt;&gt;"Cuenta de trading"),"⚠ Usa la cuenta de trading","✓"))))))))))))</f>
        <v/>
      </c>
      <c r="I1730" s="19">
        <f>IF(OR(B1730="",C1730="",D1730=""),"",IFERROR(INDEX(catTipo,MATCH(D1730,catNom,0))&amp;"",""))</f>
        <v/>
      </c>
      <c r="J1730" s="19">
        <f>IF(I1730="","",IFERROR(INDEX(catGrupo,MATCH(D1730,catNom,0))&amp;"",""))</f>
        <v/>
      </c>
      <c r="K1730" s="19">
        <f>IF(I1730="Gasto",IF(IFERROR(INDEX(catClas,MATCH(D1730,catNom,0))&amp;"","")="","Variable",IFERROR(INDEX(catClas,MATCH(D1730,catNom,0))&amp;"","")),"")</f>
        <v/>
      </c>
      <c r="L1730" s="19">
        <f>IF(I1730="","",IFERROR(INDEX(catAlim,MATCH(D1730,catNom,0))&amp;"",""))</f>
        <v/>
      </c>
      <c r="M1730" s="19">
        <f>IF(I1730="","",IFERROR(INDEX(catComida,MATCH(D1730,catNom,0))&amp;"",""))</f>
        <v/>
      </c>
      <c r="N1730" s="19">
        <f>IF(I1730="","",IFERROR(INDEX(ctaMon,MATCH(E1730,ctaNom,0))&amp;"","DOP"))</f>
        <v/>
      </c>
      <c r="O1730" s="20">
        <f>IF(I1730="","",C1730*IF(N1730="USD",TasaUSD,1))</f>
        <v/>
      </c>
      <c r="P1730" s="20">
        <f>IF(I1730="","",IF(I1730="Gasto",O1730,0))</f>
        <v/>
      </c>
      <c r="Q1730" s="20">
        <f>IF(I1730="","",IF(I1730="Ingreso",O1730,0))</f>
        <v/>
      </c>
      <c r="R1730" s="20">
        <f>IF(I1730="","",IF(I1730="Trading",O1730,0))</f>
        <v/>
      </c>
      <c r="S1730" s="19">
        <f>IF(I1730="","",IF(AND(I1730="Gasto",K1730="Variable",J1730&lt;&gt;"Trading",O1730&gt;0,O1730&lt;=Umbral),1,0))</f>
        <v/>
      </c>
      <c r="T1730" s="20">
        <f>IF(OR(I1730="",E1730=""),"",IF(OR(I1730="Gasto",I1730="Transferencia",I1730="Pago tarjeta"),-1,1)*C1730)</f>
        <v/>
      </c>
      <c r="U1730" s="20">
        <f>IF(OR(G1730="",AND(I1730&lt;&gt;"Transferencia",I1730&lt;&gt;"Pago tarjeta")),"",IF(IFERROR(INDEX(ctaMon,MATCH(G1730,ctaNom,0))&amp;"","DOP")=N1730,C1730,IF(N1730="USD",C1730*TasaUSD,C1730/TasaUSD)))</f>
        <v/>
      </c>
      <c r="V1730" s="20">
        <f>IF(I1730="","",IF(IFERROR(INDEX(ctaLiq,MATCH(E1730,ctaNom,0))="Sí",FALSE),IF(OR(I1730="Gasto",I1730="Transferencia",I1730="Pago tarjeta"),-1,1)*O1730,0)+IF(AND(U1730&lt;&gt;"",IFERROR(INDEX(ctaLiq,MATCH(G1730,ctaNom,0))="Sí",FALSE)),O1730,0))</f>
        <v/>
      </c>
      <c r="W1730" s="19">
        <f>IF(OR(F1730="",I1730=""),"",IF(COUNTIFS(F$6:F1730,F1730,I$6:I1730,"?*")=1,MAX(W$5:W1729)+1,""))</f>
        <v/>
      </c>
    </row>
    <row r="1731">
      <c r="B1731" s="15" t="n"/>
      <c r="C1731" s="16" t="n"/>
      <c r="D1731" s="17" t="n"/>
      <c r="E1731" s="17" t="n"/>
      <c r="F1731" s="17" t="n"/>
      <c r="G1731" s="17" t="n"/>
      <c r="H1731" s="18">
        <f>IF(AND(B1731="",C1731="",D1731="",E1731=""),"",IF(B1731="","⚠ Falta fecha",IF(C1731="","⚠ Falta monto",IF(D1731="","⚠ Falta categoría",IF(ISNA(MATCH(D1731,catNom,0)),"⚠ Categoría no existe",IF(E1731="","⚠ Falta cuenta",IF(ISNA(MATCH(E1731,ctaNom,0)),"⚠ Cuenta no existe",IF(AND(OR(I1731="Transferencia",I1731="Pago tarjeta"),G1731=""),"⚠ Indica la cuenta «Hacia»",IF(AND(G1731&lt;&gt;"",G1731=E1731),"⚠ «Hacia» igual a la cuenta",IF(AND(G1731&lt;&gt;"",ISNA(MATCH(G1731,ctaNom,0))),"⚠ «Hacia» no existe",IF(AND(I1731="Pago tarjeta",IFERROR(INDEX(ctaTipo,MATCH(G1731,ctaNom,0)),"")&lt;&gt;"Tarjeta de crédito"),"⚠ «Hacia» debe ser la tarjeta",IF(AND(I1731="Trading",IFERROR(INDEX(ctaTipo,MATCH(E1731,ctaNom,0)),"")&lt;&gt;"Cuenta de trading"),"⚠ Usa la cuenta de trading","✓"))))))))))))</f>
        <v/>
      </c>
      <c r="I1731" s="19">
        <f>IF(OR(B1731="",C1731="",D1731=""),"",IFERROR(INDEX(catTipo,MATCH(D1731,catNom,0))&amp;"",""))</f>
        <v/>
      </c>
      <c r="J1731" s="19">
        <f>IF(I1731="","",IFERROR(INDEX(catGrupo,MATCH(D1731,catNom,0))&amp;"",""))</f>
        <v/>
      </c>
      <c r="K1731" s="19">
        <f>IF(I1731="Gasto",IF(IFERROR(INDEX(catClas,MATCH(D1731,catNom,0))&amp;"","")="","Variable",IFERROR(INDEX(catClas,MATCH(D1731,catNom,0))&amp;"","")),"")</f>
        <v/>
      </c>
      <c r="L1731" s="19">
        <f>IF(I1731="","",IFERROR(INDEX(catAlim,MATCH(D1731,catNom,0))&amp;"",""))</f>
        <v/>
      </c>
      <c r="M1731" s="19">
        <f>IF(I1731="","",IFERROR(INDEX(catComida,MATCH(D1731,catNom,0))&amp;"",""))</f>
        <v/>
      </c>
      <c r="N1731" s="19">
        <f>IF(I1731="","",IFERROR(INDEX(ctaMon,MATCH(E1731,ctaNom,0))&amp;"","DOP"))</f>
        <v/>
      </c>
      <c r="O1731" s="20">
        <f>IF(I1731="","",C1731*IF(N1731="USD",TasaUSD,1))</f>
        <v/>
      </c>
      <c r="P1731" s="20">
        <f>IF(I1731="","",IF(I1731="Gasto",O1731,0))</f>
        <v/>
      </c>
      <c r="Q1731" s="20">
        <f>IF(I1731="","",IF(I1731="Ingreso",O1731,0))</f>
        <v/>
      </c>
      <c r="R1731" s="20">
        <f>IF(I1731="","",IF(I1731="Trading",O1731,0))</f>
        <v/>
      </c>
      <c r="S1731" s="19">
        <f>IF(I1731="","",IF(AND(I1731="Gasto",K1731="Variable",J1731&lt;&gt;"Trading",O1731&gt;0,O1731&lt;=Umbral),1,0))</f>
        <v/>
      </c>
      <c r="T1731" s="20">
        <f>IF(OR(I1731="",E1731=""),"",IF(OR(I1731="Gasto",I1731="Transferencia",I1731="Pago tarjeta"),-1,1)*C1731)</f>
        <v/>
      </c>
      <c r="U1731" s="20">
        <f>IF(OR(G1731="",AND(I1731&lt;&gt;"Transferencia",I1731&lt;&gt;"Pago tarjeta")),"",IF(IFERROR(INDEX(ctaMon,MATCH(G1731,ctaNom,0))&amp;"","DOP")=N1731,C1731,IF(N1731="USD",C1731*TasaUSD,C1731/TasaUSD)))</f>
        <v/>
      </c>
      <c r="V1731" s="20">
        <f>IF(I1731="","",IF(IFERROR(INDEX(ctaLiq,MATCH(E1731,ctaNom,0))="Sí",FALSE),IF(OR(I1731="Gasto",I1731="Transferencia",I1731="Pago tarjeta"),-1,1)*O1731,0)+IF(AND(U1731&lt;&gt;"",IFERROR(INDEX(ctaLiq,MATCH(G1731,ctaNom,0))="Sí",FALSE)),O1731,0))</f>
        <v/>
      </c>
      <c r="W1731" s="19">
        <f>IF(OR(F1731="",I1731=""),"",IF(COUNTIFS(F$6:F1731,F1731,I$6:I1731,"?*")=1,MAX(W$5:W1730)+1,""))</f>
        <v/>
      </c>
    </row>
    <row r="1732">
      <c r="B1732" s="15" t="n"/>
      <c r="C1732" s="16" t="n"/>
      <c r="D1732" s="17" t="n"/>
      <c r="E1732" s="17" t="n"/>
      <c r="F1732" s="17" t="n"/>
      <c r="G1732" s="17" t="n"/>
      <c r="H1732" s="18">
        <f>IF(AND(B1732="",C1732="",D1732="",E1732=""),"",IF(B1732="","⚠ Falta fecha",IF(C1732="","⚠ Falta monto",IF(D1732="","⚠ Falta categoría",IF(ISNA(MATCH(D1732,catNom,0)),"⚠ Categoría no existe",IF(E1732="","⚠ Falta cuenta",IF(ISNA(MATCH(E1732,ctaNom,0)),"⚠ Cuenta no existe",IF(AND(OR(I1732="Transferencia",I1732="Pago tarjeta"),G1732=""),"⚠ Indica la cuenta «Hacia»",IF(AND(G1732&lt;&gt;"",G1732=E1732),"⚠ «Hacia» igual a la cuenta",IF(AND(G1732&lt;&gt;"",ISNA(MATCH(G1732,ctaNom,0))),"⚠ «Hacia» no existe",IF(AND(I1732="Pago tarjeta",IFERROR(INDEX(ctaTipo,MATCH(G1732,ctaNom,0)),"")&lt;&gt;"Tarjeta de crédito"),"⚠ «Hacia» debe ser la tarjeta",IF(AND(I1732="Trading",IFERROR(INDEX(ctaTipo,MATCH(E1732,ctaNom,0)),"")&lt;&gt;"Cuenta de trading"),"⚠ Usa la cuenta de trading","✓"))))))))))))</f>
        <v/>
      </c>
      <c r="I1732" s="19">
        <f>IF(OR(B1732="",C1732="",D1732=""),"",IFERROR(INDEX(catTipo,MATCH(D1732,catNom,0))&amp;"",""))</f>
        <v/>
      </c>
      <c r="J1732" s="19">
        <f>IF(I1732="","",IFERROR(INDEX(catGrupo,MATCH(D1732,catNom,0))&amp;"",""))</f>
        <v/>
      </c>
      <c r="K1732" s="19">
        <f>IF(I1732="Gasto",IF(IFERROR(INDEX(catClas,MATCH(D1732,catNom,0))&amp;"","")="","Variable",IFERROR(INDEX(catClas,MATCH(D1732,catNom,0))&amp;"","")),"")</f>
        <v/>
      </c>
      <c r="L1732" s="19">
        <f>IF(I1732="","",IFERROR(INDEX(catAlim,MATCH(D1732,catNom,0))&amp;"",""))</f>
        <v/>
      </c>
      <c r="M1732" s="19">
        <f>IF(I1732="","",IFERROR(INDEX(catComida,MATCH(D1732,catNom,0))&amp;"",""))</f>
        <v/>
      </c>
      <c r="N1732" s="19">
        <f>IF(I1732="","",IFERROR(INDEX(ctaMon,MATCH(E1732,ctaNom,0))&amp;"","DOP"))</f>
        <v/>
      </c>
      <c r="O1732" s="20">
        <f>IF(I1732="","",C1732*IF(N1732="USD",TasaUSD,1))</f>
        <v/>
      </c>
      <c r="P1732" s="20">
        <f>IF(I1732="","",IF(I1732="Gasto",O1732,0))</f>
        <v/>
      </c>
      <c r="Q1732" s="20">
        <f>IF(I1732="","",IF(I1732="Ingreso",O1732,0))</f>
        <v/>
      </c>
      <c r="R1732" s="20">
        <f>IF(I1732="","",IF(I1732="Trading",O1732,0))</f>
        <v/>
      </c>
      <c r="S1732" s="19">
        <f>IF(I1732="","",IF(AND(I1732="Gasto",K1732="Variable",J1732&lt;&gt;"Trading",O1732&gt;0,O1732&lt;=Umbral),1,0))</f>
        <v/>
      </c>
      <c r="T1732" s="20">
        <f>IF(OR(I1732="",E1732=""),"",IF(OR(I1732="Gasto",I1732="Transferencia",I1732="Pago tarjeta"),-1,1)*C1732)</f>
        <v/>
      </c>
      <c r="U1732" s="20">
        <f>IF(OR(G1732="",AND(I1732&lt;&gt;"Transferencia",I1732&lt;&gt;"Pago tarjeta")),"",IF(IFERROR(INDEX(ctaMon,MATCH(G1732,ctaNom,0))&amp;"","DOP")=N1732,C1732,IF(N1732="USD",C1732*TasaUSD,C1732/TasaUSD)))</f>
        <v/>
      </c>
      <c r="V1732" s="20">
        <f>IF(I1732="","",IF(IFERROR(INDEX(ctaLiq,MATCH(E1732,ctaNom,0))="Sí",FALSE),IF(OR(I1732="Gasto",I1732="Transferencia",I1732="Pago tarjeta"),-1,1)*O1732,0)+IF(AND(U1732&lt;&gt;"",IFERROR(INDEX(ctaLiq,MATCH(G1732,ctaNom,0))="Sí",FALSE)),O1732,0))</f>
        <v/>
      </c>
      <c r="W1732" s="19">
        <f>IF(OR(F1732="",I1732=""),"",IF(COUNTIFS(F$6:F1732,F1732,I$6:I1732,"?*")=1,MAX(W$5:W1731)+1,""))</f>
        <v/>
      </c>
    </row>
    <row r="1733">
      <c r="B1733" s="15" t="n"/>
      <c r="C1733" s="16" t="n"/>
      <c r="D1733" s="17" t="n"/>
      <c r="E1733" s="17" t="n"/>
      <c r="F1733" s="17" t="n"/>
      <c r="G1733" s="17" t="n"/>
      <c r="H1733" s="18">
        <f>IF(AND(B1733="",C1733="",D1733="",E1733=""),"",IF(B1733="","⚠ Falta fecha",IF(C1733="","⚠ Falta monto",IF(D1733="","⚠ Falta categoría",IF(ISNA(MATCH(D1733,catNom,0)),"⚠ Categoría no existe",IF(E1733="","⚠ Falta cuenta",IF(ISNA(MATCH(E1733,ctaNom,0)),"⚠ Cuenta no existe",IF(AND(OR(I1733="Transferencia",I1733="Pago tarjeta"),G1733=""),"⚠ Indica la cuenta «Hacia»",IF(AND(G1733&lt;&gt;"",G1733=E1733),"⚠ «Hacia» igual a la cuenta",IF(AND(G1733&lt;&gt;"",ISNA(MATCH(G1733,ctaNom,0))),"⚠ «Hacia» no existe",IF(AND(I1733="Pago tarjeta",IFERROR(INDEX(ctaTipo,MATCH(G1733,ctaNom,0)),"")&lt;&gt;"Tarjeta de crédito"),"⚠ «Hacia» debe ser la tarjeta",IF(AND(I1733="Trading",IFERROR(INDEX(ctaTipo,MATCH(E1733,ctaNom,0)),"")&lt;&gt;"Cuenta de trading"),"⚠ Usa la cuenta de trading","✓"))))))))))))</f>
        <v/>
      </c>
      <c r="I1733" s="19">
        <f>IF(OR(B1733="",C1733="",D1733=""),"",IFERROR(INDEX(catTipo,MATCH(D1733,catNom,0))&amp;"",""))</f>
        <v/>
      </c>
      <c r="J1733" s="19">
        <f>IF(I1733="","",IFERROR(INDEX(catGrupo,MATCH(D1733,catNom,0))&amp;"",""))</f>
        <v/>
      </c>
      <c r="K1733" s="19">
        <f>IF(I1733="Gasto",IF(IFERROR(INDEX(catClas,MATCH(D1733,catNom,0))&amp;"","")="","Variable",IFERROR(INDEX(catClas,MATCH(D1733,catNom,0))&amp;"","")),"")</f>
        <v/>
      </c>
      <c r="L1733" s="19">
        <f>IF(I1733="","",IFERROR(INDEX(catAlim,MATCH(D1733,catNom,0))&amp;"",""))</f>
        <v/>
      </c>
      <c r="M1733" s="19">
        <f>IF(I1733="","",IFERROR(INDEX(catComida,MATCH(D1733,catNom,0))&amp;"",""))</f>
        <v/>
      </c>
      <c r="N1733" s="19">
        <f>IF(I1733="","",IFERROR(INDEX(ctaMon,MATCH(E1733,ctaNom,0))&amp;"","DOP"))</f>
        <v/>
      </c>
      <c r="O1733" s="20">
        <f>IF(I1733="","",C1733*IF(N1733="USD",TasaUSD,1))</f>
        <v/>
      </c>
      <c r="P1733" s="20">
        <f>IF(I1733="","",IF(I1733="Gasto",O1733,0))</f>
        <v/>
      </c>
      <c r="Q1733" s="20">
        <f>IF(I1733="","",IF(I1733="Ingreso",O1733,0))</f>
        <v/>
      </c>
      <c r="R1733" s="20">
        <f>IF(I1733="","",IF(I1733="Trading",O1733,0))</f>
        <v/>
      </c>
      <c r="S1733" s="19">
        <f>IF(I1733="","",IF(AND(I1733="Gasto",K1733="Variable",J1733&lt;&gt;"Trading",O1733&gt;0,O1733&lt;=Umbral),1,0))</f>
        <v/>
      </c>
      <c r="T1733" s="20">
        <f>IF(OR(I1733="",E1733=""),"",IF(OR(I1733="Gasto",I1733="Transferencia",I1733="Pago tarjeta"),-1,1)*C1733)</f>
        <v/>
      </c>
      <c r="U1733" s="20">
        <f>IF(OR(G1733="",AND(I1733&lt;&gt;"Transferencia",I1733&lt;&gt;"Pago tarjeta")),"",IF(IFERROR(INDEX(ctaMon,MATCH(G1733,ctaNom,0))&amp;"","DOP")=N1733,C1733,IF(N1733="USD",C1733*TasaUSD,C1733/TasaUSD)))</f>
        <v/>
      </c>
      <c r="V1733" s="20">
        <f>IF(I1733="","",IF(IFERROR(INDEX(ctaLiq,MATCH(E1733,ctaNom,0))="Sí",FALSE),IF(OR(I1733="Gasto",I1733="Transferencia",I1733="Pago tarjeta"),-1,1)*O1733,0)+IF(AND(U1733&lt;&gt;"",IFERROR(INDEX(ctaLiq,MATCH(G1733,ctaNom,0))="Sí",FALSE)),O1733,0))</f>
        <v/>
      </c>
      <c r="W1733" s="19">
        <f>IF(OR(F1733="",I1733=""),"",IF(COUNTIFS(F$6:F1733,F1733,I$6:I1733,"?*")=1,MAX(W$5:W1732)+1,""))</f>
        <v/>
      </c>
    </row>
    <row r="1734">
      <c r="B1734" s="15" t="n"/>
      <c r="C1734" s="16" t="n"/>
      <c r="D1734" s="17" t="n"/>
      <c r="E1734" s="17" t="n"/>
      <c r="F1734" s="17" t="n"/>
      <c r="G1734" s="17" t="n"/>
      <c r="H1734" s="18">
        <f>IF(AND(B1734="",C1734="",D1734="",E1734=""),"",IF(B1734="","⚠ Falta fecha",IF(C1734="","⚠ Falta monto",IF(D1734="","⚠ Falta categoría",IF(ISNA(MATCH(D1734,catNom,0)),"⚠ Categoría no existe",IF(E1734="","⚠ Falta cuenta",IF(ISNA(MATCH(E1734,ctaNom,0)),"⚠ Cuenta no existe",IF(AND(OR(I1734="Transferencia",I1734="Pago tarjeta"),G1734=""),"⚠ Indica la cuenta «Hacia»",IF(AND(G1734&lt;&gt;"",G1734=E1734),"⚠ «Hacia» igual a la cuenta",IF(AND(G1734&lt;&gt;"",ISNA(MATCH(G1734,ctaNom,0))),"⚠ «Hacia» no existe",IF(AND(I1734="Pago tarjeta",IFERROR(INDEX(ctaTipo,MATCH(G1734,ctaNom,0)),"")&lt;&gt;"Tarjeta de crédito"),"⚠ «Hacia» debe ser la tarjeta",IF(AND(I1734="Trading",IFERROR(INDEX(ctaTipo,MATCH(E1734,ctaNom,0)),"")&lt;&gt;"Cuenta de trading"),"⚠ Usa la cuenta de trading","✓"))))))))))))</f>
        <v/>
      </c>
      <c r="I1734" s="19">
        <f>IF(OR(B1734="",C1734="",D1734=""),"",IFERROR(INDEX(catTipo,MATCH(D1734,catNom,0))&amp;"",""))</f>
        <v/>
      </c>
      <c r="J1734" s="19">
        <f>IF(I1734="","",IFERROR(INDEX(catGrupo,MATCH(D1734,catNom,0))&amp;"",""))</f>
        <v/>
      </c>
      <c r="K1734" s="19">
        <f>IF(I1734="Gasto",IF(IFERROR(INDEX(catClas,MATCH(D1734,catNom,0))&amp;"","")="","Variable",IFERROR(INDEX(catClas,MATCH(D1734,catNom,0))&amp;"","")),"")</f>
        <v/>
      </c>
      <c r="L1734" s="19">
        <f>IF(I1734="","",IFERROR(INDEX(catAlim,MATCH(D1734,catNom,0))&amp;"",""))</f>
        <v/>
      </c>
      <c r="M1734" s="19">
        <f>IF(I1734="","",IFERROR(INDEX(catComida,MATCH(D1734,catNom,0))&amp;"",""))</f>
        <v/>
      </c>
      <c r="N1734" s="19">
        <f>IF(I1734="","",IFERROR(INDEX(ctaMon,MATCH(E1734,ctaNom,0))&amp;"","DOP"))</f>
        <v/>
      </c>
      <c r="O1734" s="20">
        <f>IF(I1734="","",C1734*IF(N1734="USD",TasaUSD,1))</f>
        <v/>
      </c>
      <c r="P1734" s="20">
        <f>IF(I1734="","",IF(I1734="Gasto",O1734,0))</f>
        <v/>
      </c>
      <c r="Q1734" s="20">
        <f>IF(I1734="","",IF(I1734="Ingreso",O1734,0))</f>
        <v/>
      </c>
      <c r="R1734" s="20">
        <f>IF(I1734="","",IF(I1734="Trading",O1734,0))</f>
        <v/>
      </c>
      <c r="S1734" s="19">
        <f>IF(I1734="","",IF(AND(I1734="Gasto",K1734="Variable",J1734&lt;&gt;"Trading",O1734&gt;0,O1734&lt;=Umbral),1,0))</f>
        <v/>
      </c>
      <c r="T1734" s="20">
        <f>IF(OR(I1734="",E1734=""),"",IF(OR(I1734="Gasto",I1734="Transferencia",I1734="Pago tarjeta"),-1,1)*C1734)</f>
        <v/>
      </c>
      <c r="U1734" s="20">
        <f>IF(OR(G1734="",AND(I1734&lt;&gt;"Transferencia",I1734&lt;&gt;"Pago tarjeta")),"",IF(IFERROR(INDEX(ctaMon,MATCH(G1734,ctaNom,0))&amp;"","DOP")=N1734,C1734,IF(N1734="USD",C1734*TasaUSD,C1734/TasaUSD)))</f>
        <v/>
      </c>
      <c r="V1734" s="20">
        <f>IF(I1734="","",IF(IFERROR(INDEX(ctaLiq,MATCH(E1734,ctaNom,0))="Sí",FALSE),IF(OR(I1734="Gasto",I1734="Transferencia",I1734="Pago tarjeta"),-1,1)*O1734,0)+IF(AND(U1734&lt;&gt;"",IFERROR(INDEX(ctaLiq,MATCH(G1734,ctaNom,0))="Sí",FALSE)),O1734,0))</f>
        <v/>
      </c>
      <c r="W1734" s="19">
        <f>IF(OR(F1734="",I1734=""),"",IF(COUNTIFS(F$6:F1734,F1734,I$6:I1734,"?*")=1,MAX(W$5:W1733)+1,""))</f>
        <v/>
      </c>
    </row>
    <row r="1735">
      <c r="B1735" s="15" t="n"/>
      <c r="C1735" s="16" t="n"/>
      <c r="D1735" s="17" t="n"/>
      <c r="E1735" s="17" t="n"/>
      <c r="F1735" s="17" t="n"/>
      <c r="G1735" s="17" t="n"/>
      <c r="H1735" s="18">
        <f>IF(AND(B1735="",C1735="",D1735="",E1735=""),"",IF(B1735="","⚠ Falta fecha",IF(C1735="","⚠ Falta monto",IF(D1735="","⚠ Falta categoría",IF(ISNA(MATCH(D1735,catNom,0)),"⚠ Categoría no existe",IF(E1735="","⚠ Falta cuenta",IF(ISNA(MATCH(E1735,ctaNom,0)),"⚠ Cuenta no existe",IF(AND(OR(I1735="Transferencia",I1735="Pago tarjeta"),G1735=""),"⚠ Indica la cuenta «Hacia»",IF(AND(G1735&lt;&gt;"",G1735=E1735),"⚠ «Hacia» igual a la cuenta",IF(AND(G1735&lt;&gt;"",ISNA(MATCH(G1735,ctaNom,0))),"⚠ «Hacia» no existe",IF(AND(I1735="Pago tarjeta",IFERROR(INDEX(ctaTipo,MATCH(G1735,ctaNom,0)),"")&lt;&gt;"Tarjeta de crédito"),"⚠ «Hacia» debe ser la tarjeta",IF(AND(I1735="Trading",IFERROR(INDEX(ctaTipo,MATCH(E1735,ctaNom,0)),"")&lt;&gt;"Cuenta de trading"),"⚠ Usa la cuenta de trading","✓"))))))))))))</f>
        <v/>
      </c>
      <c r="I1735" s="19">
        <f>IF(OR(B1735="",C1735="",D1735=""),"",IFERROR(INDEX(catTipo,MATCH(D1735,catNom,0))&amp;"",""))</f>
        <v/>
      </c>
      <c r="J1735" s="19">
        <f>IF(I1735="","",IFERROR(INDEX(catGrupo,MATCH(D1735,catNom,0))&amp;"",""))</f>
        <v/>
      </c>
      <c r="K1735" s="19">
        <f>IF(I1735="Gasto",IF(IFERROR(INDEX(catClas,MATCH(D1735,catNom,0))&amp;"","")="","Variable",IFERROR(INDEX(catClas,MATCH(D1735,catNom,0))&amp;"","")),"")</f>
        <v/>
      </c>
      <c r="L1735" s="19">
        <f>IF(I1735="","",IFERROR(INDEX(catAlim,MATCH(D1735,catNom,0))&amp;"",""))</f>
        <v/>
      </c>
      <c r="M1735" s="19">
        <f>IF(I1735="","",IFERROR(INDEX(catComida,MATCH(D1735,catNom,0))&amp;"",""))</f>
        <v/>
      </c>
      <c r="N1735" s="19">
        <f>IF(I1735="","",IFERROR(INDEX(ctaMon,MATCH(E1735,ctaNom,0))&amp;"","DOP"))</f>
        <v/>
      </c>
      <c r="O1735" s="20">
        <f>IF(I1735="","",C1735*IF(N1735="USD",TasaUSD,1))</f>
        <v/>
      </c>
      <c r="P1735" s="20">
        <f>IF(I1735="","",IF(I1735="Gasto",O1735,0))</f>
        <v/>
      </c>
      <c r="Q1735" s="20">
        <f>IF(I1735="","",IF(I1735="Ingreso",O1735,0))</f>
        <v/>
      </c>
      <c r="R1735" s="20">
        <f>IF(I1735="","",IF(I1735="Trading",O1735,0))</f>
        <v/>
      </c>
      <c r="S1735" s="19">
        <f>IF(I1735="","",IF(AND(I1735="Gasto",K1735="Variable",J1735&lt;&gt;"Trading",O1735&gt;0,O1735&lt;=Umbral),1,0))</f>
        <v/>
      </c>
      <c r="T1735" s="20">
        <f>IF(OR(I1735="",E1735=""),"",IF(OR(I1735="Gasto",I1735="Transferencia",I1735="Pago tarjeta"),-1,1)*C1735)</f>
        <v/>
      </c>
      <c r="U1735" s="20">
        <f>IF(OR(G1735="",AND(I1735&lt;&gt;"Transferencia",I1735&lt;&gt;"Pago tarjeta")),"",IF(IFERROR(INDEX(ctaMon,MATCH(G1735,ctaNom,0))&amp;"","DOP")=N1735,C1735,IF(N1735="USD",C1735*TasaUSD,C1735/TasaUSD)))</f>
        <v/>
      </c>
      <c r="V1735" s="20">
        <f>IF(I1735="","",IF(IFERROR(INDEX(ctaLiq,MATCH(E1735,ctaNom,0))="Sí",FALSE),IF(OR(I1735="Gasto",I1735="Transferencia",I1735="Pago tarjeta"),-1,1)*O1735,0)+IF(AND(U1735&lt;&gt;"",IFERROR(INDEX(ctaLiq,MATCH(G1735,ctaNom,0))="Sí",FALSE)),O1735,0))</f>
        <v/>
      </c>
      <c r="W1735" s="19">
        <f>IF(OR(F1735="",I1735=""),"",IF(COUNTIFS(F$6:F1735,F1735,I$6:I1735,"?*")=1,MAX(W$5:W1734)+1,""))</f>
        <v/>
      </c>
    </row>
    <row r="1736">
      <c r="B1736" s="15" t="n"/>
      <c r="C1736" s="16" t="n"/>
      <c r="D1736" s="17" t="n"/>
      <c r="E1736" s="17" t="n"/>
      <c r="F1736" s="17" t="n"/>
      <c r="G1736" s="17" t="n"/>
      <c r="H1736" s="18">
        <f>IF(AND(B1736="",C1736="",D1736="",E1736=""),"",IF(B1736="","⚠ Falta fecha",IF(C1736="","⚠ Falta monto",IF(D1736="","⚠ Falta categoría",IF(ISNA(MATCH(D1736,catNom,0)),"⚠ Categoría no existe",IF(E1736="","⚠ Falta cuenta",IF(ISNA(MATCH(E1736,ctaNom,0)),"⚠ Cuenta no existe",IF(AND(OR(I1736="Transferencia",I1736="Pago tarjeta"),G1736=""),"⚠ Indica la cuenta «Hacia»",IF(AND(G1736&lt;&gt;"",G1736=E1736),"⚠ «Hacia» igual a la cuenta",IF(AND(G1736&lt;&gt;"",ISNA(MATCH(G1736,ctaNom,0))),"⚠ «Hacia» no existe",IF(AND(I1736="Pago tarjeta",IFERROR(INDEX(ctaTipo,MATCH(G1736,ctaNom,0)),"")&lt;&gt;"Tarjeta de crédito"),"⚠ «Hacia» debe ser la tarjeta",IF(AND(I1736="Trading",IFERROR(INDEX(ctaTipo,MATCH(E1736,ctaNom,0)),"")&lt;&gt;"Cuenta de trading"),"⚠ Usa la cuenta de trading","✓"))))))))))))</f>
        <v/>
      </c>
      <c r="I1736" s="19">
        <f>IF(OR(B1736="",C1736="",D1736=""),"",IFERROR(INDEX(catTipo,MATCH(D1736,catNom,0))&amp;"",""))</f>
        <v/>
      </c>
      <c r="J1736" s="19">
        <f>IF(I1736="","",IFERROR(INDEX(catGrupo,MATCH(D1736,catNom,0))&amp;"",""))</f>
        <v/>
      </c>
      <c r="K1736" s="19">
        <f>IF(I1736="Gasto",IF(IFERROR(INDEX(catClas,MATCH(D1736,catNom,0))&amp;"","")="","Variable",IFERROR(INDEX(catClas,MATCH(D1736,catNom,0))&amp;"","")),"")</f>
        <v/>
      </c>
      <c r="L1736" s="19">
        <f>IF(I1736="","",IFERROR(INDEX(catAlim,MATCH(D1736,catNom,0))&amp;"",""))</f>
        <v/>
      </c>
      <c r="M1736" s="19">
        <f>IF(I1736="","",IFERROR(INDEX(catComida,MATCH(D1736,catNom,0))&amp;"",""))</f>
        <v/>
      </c>
      <c r="N1736" s="19">
        <f>IF(I1736="","",IFERROR(INDEX(ctaMon,MATCH(E1736,ctaNom,0))&amp;"","DOP"))</f>
        <v/>
      </c>
      <c r="O1736" s="20">
        <f>IF(I1736="","",C1736*IF(N1736="USD",TasaUSD,1))</f>
        <v/>
      </c>
      <c r="P1736" s="20">
        <f>IF(I1736="","",IF(I1736="Gasto",O1736,0))</f>
        <v/>
      </c>
      <c r="Q1736" s="20">
        <f>IF(I1736="","",IF(I1736="Ingreso",O1736,0))</f>
        <v/>
      </c>
      <c r="R1736" s="20">
        <f>IF(I1736="","",IF(I1736="Trading",O1736,0))</f>
        <v/>
      </c>
      <c r="S1736" s="19">
        <f>IF(I1736="","",IF(AND(I1736="Gasto",K1736="Variable",J1736&lt;&gt;"Trading",O1736&gt;0,O1736&lt;=Umbral),1,0))</f>
        <v/>
      </c>
      <c r="T1736" s="20">
        <f>IF(OR(I1736="",E1736=""),"",IF(OR(I1736="Gasto",I1736="Transferencia",I1736="Pago tarjeta"),-1,1)*C1736)</f>
        <v/>
      </c>
      <c r="U1736" s="20">
        <f>IF(OR(G1736="",AND(I1736&lt;&gt;"Transferencia",I1736&lt;&gt;"Pago tarjeta")),"",IF(IFERROR(INDEX(ctaMon,MATCH(G1736,ctaNom,0))&amp;"","DOP")=N1736,C1736,IF(N1736="USD",C1736*TasaUSD,C1736/TasaUSD)))</f>
        <v/>
      </c>
      <c r="V1736" s="20">
        <f>IF(I1736="","",IF(IFERROR(INDEX(ctaLiq,MATCH(E1736,ctaNom,0))="Sí",FALSE),IF(OR(I1736="Gasto",I1736="Transferencia",I1736="Pago tarjeta"),-1,1)*O1736,0)+IF(AND(U1736&lt;&gt;"",IFERROR(INDEX(ctaLiq,MATCH(G1736,ctaNom,0))="Sí",FALSE)),O1736,0))</f>
        <v/>
      </c>
      <c r="W1736" s="19">
        <f>IF(OR(F1736="",I1736=""),"",IF(COUNTIFS(F$6:F1736,F1736,I$6:I1736,"?*")=1,MAX(W$5:W1735)+1,""))</f>
        <v/>
      </c>
    </row>
    <row r="1737">
      <c r="B1737" s="15" t="n"/>
      <c r="C1737" s="16" t="n"/>
      <c r="D1737" s="17" t="n"/>
      <c r="E1737" s="17" t="n"/>
      <c r="F1737" s="17" t="n"/>
      <c r="G1737" s="17" t="n"/>
      <c r="H1737" s="18">
        <f>IF(AND(B1737="",C1737="",D1737="",E1737=""),"",IF(B1737="","⚠ Falta fecha",IF(C1737="","⚠ Falta monto",IF(D1737="","⚠ Falta categoría",IF(ISNA(MATCH(D1737,catNom,0)),"⚠ Categoría no existe",IF(E1737="","⚠ Falta cuenta",IF(ISNA(MATCH(E1737,ctaNom,0)),"⚠ Cuenta no existe",IF(AND(OR(I1737="Transferencia",I1737="Pago tarjeta"),G1737=""),"⚠ Indica la cuenta «Hacia»",IF(AND(G1737&lt;&gt;"",G1737=E1737),"⚠ «Hacia» igual a la cuenta",IF(AND(G1737&lt;&gt;"",ISNA(MATCH(G1737,ctaNom,0))),"⚠ «Hacia» no existe",IF(AND(I1737="Pago tarjeta",IFERROR(INDEX(ctaTipo,MATCH(G1737,ctaNom,0)),"")&lt;&gt;"Tarjeta de crédito"),"⚠ «Hacia» debe ser la tarjeta",IF(AND(I1737="Trading",IFERROR(INDEX(ctaTipo,MATCH(E1737,ctaNom,0)),"")&lt;&gt;"Cuenta de trading"),"⚠ Usa la cuenta de trading","✓"))))))))))))</f>
        <v/>
      </c>
      <c r="I1737" s="19">
        <f>IF(OR(B1737="",C1737="",D1737=""),"",IFERROR(INDEX(catTipo,MATCH(D1737,catNom,0))&amp;"",""))</f>
        <v/>
      </c>
      <c r="J1737" s="19">
        <f>IF(I1737="","",IFERROR(INDEX(catGrupo,MATCH(D1737,catNom,0))&amp;"",""))</f>
        <v/>
      </c>
      <c r="K1737" s="19">
        <f>IF(I1737="Gasto",IF(IFERROR(INDEX(catClas,MATCH(D1737,catNom,0))&amp;"","")="","Variable",IFERROR(INDEX(catClas,MATCH(D1737,catNom,0))&amp;"","")),"")</f>
        <v/>
      </c>
      <c r="L1737" s="19">
        <f>IF(I1737="","",IFERROR(INDEX(catAlim,MATCH(D1737,catNom,0))&amp;"",""))</f>
        <v/>
      </c>
      <c r="M1737" s="19">
        <f>IF(I1737="","",IFERROR(INDEX(catComida,MATCH(D1737,catNom,0))&amp;"",""))</f>
        <v/>
      </c>
      <c r="N1737" s="19">
        <f>IF(I1737="","",IFERROR(INDEX(ctaMon,MATCH(E1737,ctaNom,0))&amp;"","DOP"))</f>
        <v/>
      </c>
      <c r="O1737" s="20">
        <f>IF(I1737="","",C1737*IF(N1737="USD",TasaUSD,1))</f>
        <v/>
      </c>
      <c r="P1737" s="20">
        <f>IF(I1737="","",IF(I1737="Gasto",O1737,0))</f>
        <v/>
      </c>
      <c r="Q1737" s="20">
        <f>IF(I1737="","",IF(I1737="Ingreso",O1737,0))</f>
        <v/>
      </c>
      <c r="R1737" s="20">
        <f>IF(I1737="","",IF(I1737="Trading",O1737,0))</f>
        <v/>
      </c>
      <c r="S1737" s="19">
        <f>IF(I1737="","",IF(AND(I1737="Gasto",K1737="Variable",J1737&lt;&gt;"Trading",O1737&gt;0,O1737&lt;=Umbral),1,0))</f>
        <v/>
      </c>
      <c r="T1737" s="20">
        <f>IF(OR(I1737="",E1737=""),"",IF(OR(I1737="Gasto",I1737="Transferencia",I1737="Pago tarjeta"),-1,1)*C1737)</f>
        <v/>
      </c>
      <c r="U1737" s="20">
        <f>IF(OR(G1737="",AND(I1737&lt;&gt;"Transferencia",I1737&lt;&gt;"Pago tarjeta")),"",IF(IFERROR(INDEX(ctaMon,MATCH(G1737,ctaNom,0))&amp;"","DOP")=N1737,C1737,IF(N1737="USD",C1737*TasaUSD,C1737/TasaUSD)))</f>
        <v/>
      </c>
      <c r="V1737" s="20">
        <f>IF(I1737="","",IF(IFERROR(INDEX(ctaLiq,MATCH(E1737,ctaNom,0))="Sí",FALSE),IF(OR(I1737="Gasto",I1737="Transferencia",I1737="Pago tarjeta"),-1,1)*O1737,0)+IF(AND(U1737&lt;&gt;"",IFERROR(INDEX(ctaLiq,MATCH(G1737,ctaNom,0))="Sí",FALSE)),O1737,0))</f>
        <v/>
      </c>
      <c r="W1737" s="19">
        <f>IF(OR(F1737="",I1737=""),"",IF(COUNTIFS(F$6:F1737,F1737,I$6:I1737,"?*")=1,MAX(W$5:W1736)+1,""))</f>
        <v/>
      </c>
    </row>
    <row r="1738">
      <c r="B1738" s="15" t="n"/>
      <c r="C1738" s="16" t="n"/>
      <c r="D1738" s="17" t="n"/>
      <c r="E1738" s="17" t="n"/>
      <c r="F1738" s="17" t="n"/>
      <c r="G1738" s="17" t="n"/>
      <c r="H1738" s="18">
        <f>IF(AND(B1738="",C1738="",D1738="",E1738=""),"",IF(B1738="","⚠ Falta fecha",IF(C1738="","⚠ Falta monto",IF(D1738="","⚠ Falta categoría",IF(ISNA(MATCH(D1738,catNom,0)),"⚠ Categoría no existe",IF(E1738="","⚠ Falta cuenta",IF(ISNA(MATCH(E1738,ctaNom,0)),"⚠ Cuenta no existe",IF(AND(OR(I1738="Transferencia",I1738="Pago tarjeta"),G1738=""),"⚠ Indica la cuenta «Hacia»",IF(AND(G1738&lt;&gt;"",G1738=E1738),"⚠ «Hacia» igual a la cuenta",IF(AND(G1738&lt;&gt;"",ISNA(MATCH(G1738,ctaNom,0))),"⚠ «Hacia» no existe",IF(AND(I1738="Pago tarjeta",IFERROR(INDEX(ctaTipo,MATCH(G1738,ctaNom,0)),"")&lt;&gt;"Tarjeta de crédito"),"⚠ «Hacia» debe ser la tarjeta",IF(AND(I1738="Trading",IFERROR(INDEX(ctaTipo,MATCH(E1738,ctaNom,0)),"")&lt;&gt;"Cuenta de trading"),"⚠ Usa la cuenta de trading","✓"))))))))))))</f>
        <v/>
      </c>
      <c r="I1738" s="19">
        <f>IF(OR(B1738="",C1738="",D1738=""),"",IFERROR(INDEX(catTipo,MATCH(D1738,catNom,0))&amp;"",""))</f>
        <v/>
      </c>
      <c r="J1738" s="19">
        <f>IF(I1738="","",IFERROR(INDEX(catGrupo,MATCH(D1738,catNom,0))&amp;"",""))</f>
        <v/>
      </c>
      <c r="K1738" s="19">
        <f>IF(I1738="Gasto",IF(IFERROR(INDEX(catClas,MATCH(D1738,catNom,0))&amp;"","")="","Variable",IFERROR(INDEX(catClas,MATCH(D1738,catNom,0))&amp;"","")),"")</f>
        <v/>
      </c>
      <c r="L1738" s="19">
        <f>IF(I1738="","",IFERROR(INDEX(catAlim,MATCH(D1738,catNom,0))&amp;"",""))</f>
        <v/>
      </c>
      <c r="M1738" s="19">
        <f>IF(I1738="","",IFERROR(INDEX(catComida,MATCH(D1738,catNom,0))&amp;"",""))</f>
        <v/>
      </c>
      <c r="N1738" s="19">
        <f>IF(I1738="","",IFERROR(INDEX(ctaMon,MATCH(E1738,ctaNom,0))&amp;"","DOP"))</f>
        <v/>
      </c>
      <c r="O1738" s="20">
        <f>IF(I1738="","",C1738*IF(N1738="USD",TasaUSD,1))</f>
        <v/>
      </c>
      <c r="P1738" s="20">
        <f>IF(I1738="","",IF(I1738="Gasto",O1738,0))</f>
        <v/>
      </c>
      <c r="Q1738" s="20">
        <f>IF(I1738="","",IF(I1738="Ingreso",O1738,0))</f>
        <v/>
      </c>
      <c r="R1738" s="20">
        <f>IF(I1738="","",IF(I1738="Trading",O1738,0))</f>
        <v/>
      </c>
      <c r="S1738" s="19">
        <f>IF(I1738="","",IF(AND(I1738="Gasto",K1738="Variable",J1738&lt;&gt;"Trading",O1738&gt;0,O1738&lt;=Umbral),1,0))</f>
        <v/>
      </c>
      <c r="T1738" s="20">
        <f>IF(OR(I1738="",E1738=""),"",IF(OR(I1738="Gasto",I1738="Transferencia",I1738="Pago tarjeta"),-1,1)*C1738)</f>
        <v/>
      </c>
      <c r="U1738" s="20">
        <f>IF(OR(G1738="",AND(I1738&lt;&gt;"Transferencia",I1738&lt;&gt;"Pago tarjeta")),"",IF(IFERROR(INDEX(ctaMon,MATCH(G1738,ctaNom,0))&amp;"","DOP")=N1738,C1738,IF(N1738="USD",C1738*TasaUSD,C1738/TasaUSD)))</f>
        <v/>
      </c>
      <c r="V1738" s="20">
        <f>IF(I1738="","",IF(IFERROR(INDEX(ctaLiq,MATCH(E1738,ctaNom,0))="Sí",FALSE),IF(OR(I1738="Gasto",I1738="Transferencia",I1738="Pago tarjeta"),-1,1)*O1738,0)+IF(AND(U1738&lt;&gt;"",IFERROR(INDEX(ctaLiq,MATCH(G1738,ctaNom,0))="Sí",FALSE)),O1738,0))</f>
        <v/>
      </c>
      <c r="W1738" s="19">
        <f>IF(OR(F1738="",I1738=""),"",IF(COUNTIFS(F$6:F1738,F1738,I$6:I1738,"?*")=1,MAX(W$5:W1737)+1,""))</f>
        <v/>
      </c>
    </row>
    <row r="1739">
      <c r="B1739" s="15" t="n"/>
      <c r="C1739" s="16" t="n"/>
      <c r="D1739" s="17" t="n"/>
      <c r="E1739" s="17" t="n"/>
      <c r="F1739" s="17" t="n"/>
      <c r="G1739" s="17" t="n"/>
      <c r="H1739" s="18">
        <f>IF(AND(B1739="",C1739="",D1739="",E1739=""),"",IF(B1739="","⚠ Falta fecha",IF(C1739="","⚠ Falta monto",IF(D1739="","⚠ Falta categoría",IF(ISNA(MATCH(D1739,catNom,0)),"⚠ Categoría no existe",IF(E1739="","⚠ Falta cuenta",IF(ISNA(MATCH(E1739,ctaNom,0)),"⚠ Cuenta no existe",IF(AND(OR(I1739="Transferencia",I1739="Pago tarjeta"),G1739=""),"⚠ Indica la cuenta «Hacia»",IF(AND(G1739&lt;&gt;"",G1739=E1739),"⚠ «Hacia» igual a la cuenta",IF(AND(G1739&lt;&gt;"",ISNA(MATCH(G1739,ctaNom,0))),"⚠ «Hacia» no existe",IF(AND(I1739="Pago tarjeta",IFERROR(INDEX(ctaTipo,MATCH(G1739,ctaNom,0)),"")&lt;&gt;"Tarjeta de crédito"),"⚠ «Hacia» debe ser la tarjeta",IF(AND(I1739="Trading",IFERROR(INDEX(ctaTipo,MATCH(E1739,ctaNom,0)),"")&lt;&gt;"Cuenta de trading"),"⚠ Usa la cuenta de trading","✓"))))))))))))</f>
        <v/>
      </c>
      <c r="I1739" s="19">
        <f>IF(OR(B1739="",C1739="",D1739=""),"",IFERROR(INDEX(catTipo,MATCH(D1739,catNom,0))&amp;"",""))</f>
        <v/>
      </c>
      <c r="J1739" s="19">
        <f>IF(I1739="","",IFERROR(INDEX(catGrupo,MATCH(D1739,catNom,0))&amp;"",""))</f>
        <v/>
      </c>
      <c r="K1739" s="19">
        <f>IF(I1739="Gasto",IF(IFERROR(INDEX(catClas,MATCH(D1739,catNom,0))&amp;"","")="","Variable",IFERROR(INDEX(catClas,MATCH(D1739,catNom,0))&amp;"","")),"")</f>
        <v/>
      </c>
      <c r="L1739" s="19">
        <f>IF(I1739="","",IFERROR(INDEX(catAlim,MATCH(D1739,catNom,0))&amp;"",""))</f>
        <v/>
      </c>
      <c r="M1739" s="19">
        <f>IF(I1739="","",IFERROR(INDEX(catComida,MATCH(D1739,catNom,0))&amp;"",""))</f>
        <v/>
      </c>
      <c r="N1739" s="19">
        <f>IF(I1739="","",IFERROR(INDEX(ctaMon,MATCH(E1739,ctaNom,0))&amp;"","DOP"))</f>
        <v/>
      </c>
      <c r="O1739" s="20">
        <f>IF(I1739="","",C1739*IF(N1739="USD",TasaUSD,1))</f>
        <v/>
      </c>
      <c r="P1739" s="20">
        <f>IF(I1739="","",IF(I1739="Gasto",O1739,0))</f>
        <v/>
      </c>
      <c r="Q1739" s="20">
        <f>IF(I1739="","",IF(I1739="Ingreso",O1739,0))</f>
        <v/>
      </c>
      <c r="R1739" s="20">
        <f>IF(I1739="","",IF(I1739="Trading",O1739,0))</f>
        <v/>
      </c>
      <c r="S1739" s="19">
        <f>IF(I1739="","",IF(AND(I1739="Gasto",K1739="Variable",J1739&lt;&gt;"Trading",O1739&gt;0,O1739&lt;=Umbral),1,0))</f>
        <v/>
      </c>
      <c r="T1739" s="20">
        <f>IF(OR(I1739="",E1739=""),"",IF(OR(I1739="Gasto",I1739="Transferencia",I1739="Pago tarjeta"),-1,1)*C1739)</f>
        <v/>
      </c>
      <c r="U1739" s="20">
        <f>IF(OR(G1739="",AND(I1739&lt;&gt;"Transferencia",I1739&lt;&gt;"Pago tarjeta")),"",IF(IFERROR(INDEX(ctaMon,MATCH(G1739,ctaNom,0))&amp;"","DOP")=N1739,C1739,IF(N1739="USD",C1739*TasaUSD,C1739/TasaUSD)))</f>
        <v/>
      </c>
      <c r="V1739" s="20">
        <f>IF(I1739="","",IF(IFERROR(INDEX(ctaLiq,MATCH(E1739,ctaNom,0))="Sí",FALSE),IF(OR(I1739="Gasto",I1739="Transferencia",I1739="Pago tarjeta"),-1,1)*O1739,0)+IF(AND(U1739&lt;&gt;"",IFERROR(INDEX(ctaLiq,MATCH(G1739,ctaNom,0))="Sí",FALSE)),O1739,0))</f>
        <v/>
      </c>
      <c r="W1739" s="19">
        <f>IF(OR(F1739="",I1739=""),"",IF(COUNTIFS(F$6:F1739,F1739,I$6:I1739,"?*")=1,MAX(W$5:W1738)+1,""))</f>
        <v/>
      </c>
    </row>
    <row r="1740">
      <c r="B1740" s="15" t="n"/>
      <c r="C1740" s="16" t="n"/>
      <c r="D1740" s="17" t="n"/>
      <c r="E1740" s="17" t="n"/>
      <c r="F1740" s="17" t="n"/>
      <c r="G1740" s="17" t="n"/>
      <c r="H1740" s="18">
        <f>IF(AND(B1740="",C1740="",D1740="",E1740=""),"",IF(B1740="","⚠ Falta fecha",IF(C1740="","⚠ Falta monto",IF(D1740="","⚠ Falta categoría",IF(ISNA(MATCH(D1740,catNom,0)),"⚠ Categoría no existe",IF(E1740="","⚠ Falta cuenta",IF(ISNA(MATCH(E1740,ctaNom,0)),"⚠ Cuenta no existe",IF(AND(OR(I1740="Transferencia",I1740="Pago tarjeta"),G1740=""),"⚠ Indica la cuenta «Hacia»",IF(AND(G1740&lt;&gt;"",G1740=E1740),"⚠ «Hacia» igual a la cuenta",IF(AND(G1740&lt;&gt;"",ISNA(MATCH(G1740,ctaNom,0))),"⚠ «Hacia» no existe",IF(AND(I1740="Pago tarjeta",IFERROR(INDEX(ctaTipo,MATCH(G1740,ctaNom,0)),"")&lt;&gt;"Tarjeta de crédito"),"⚠ «Hacia» debe ser la tarjeta",IF(AND(I1740="Trading",IFERROR(INDEX(ctaTipo,MATCH(E1740,ctaNom,0)),"")&lt;&gt;"Cuenta de trading"),"⚠ Usa la cuenta de trading","✓"))))))))))))</f>
        <v/>
      </c>
      <c r="I1740" s="19">
        <f>IF(OR(B1740="",C1740="",D1740=""),"",IFERROR(INDEX(catTipo,MATCH(D1740,catNom,0))&amp;"",""))</f>
        <v/>
      </c>
      <c r="J1740" s="19">
        <f>IF(I1740="","",IFERROR(INDEX(catGrupo,MATCH(D1740,catNom,0))&amp;"",""))</f>
        <v/>
      </c>
      <c r="K1740" s="19">
        <f>IF(I1740="Gasto",IF(IFERROR(INDEX(catClas,MATCH(D1740,catNom,0))&amp;"","")="","Variable",IFERROR(INDEX(catClas,MATCH(D1740,catNom,0))&amp;"","")),"")</f>
        <v/>
      </c>
      <c r="L1740" s="19">
        <f>IF(I1740="","",IFERROR(INDEX(catAlim,MATCH(D1740,catNom,0))&amp;"",""))</f>
        <v/>
      </c>
      <c r="M1740" s="19">
        <f>IF(I1740="","",IFERROR(INDEX(catComida,MATCH(D1740,catNom,0))&amp;"",""))</f>
        <v/>
      </c>
      <c r="N1740" s="19">
        <f>IF(I1740="","",IFERROR(INDEX(ctaMon,MATCH(E1740,ctaNom,0))&amp;"","DOP"))</f>
        <v/>
      </c>
      <c r="O1740" s="20">
        <f>IF(I1740="","",C1740*IF(N1740="USD",TasaUSD,1))</f>
        <v/>
      </c>
      <c r="P1740" s="20">
        <f>IF(I1740="","",IF(I1740="Gasto",O1740,0))</f>
        <v/>
      </c>
      <c r="Q1740" s="20">
        <f>IF(I1740="","",IF(I1740="Ingreso",O1740,0))</f>
        <v/>
      </c>
      <c r="R1740" s="20">
        <f>IF(I1740="","",IF(I1740="Trading",O1740,0))</f>
        <v/>
      </c>
      <c r="S1740" s="19">
        <f>IF(I1740="","",IF(AND(I1740="Gasto",K1740="Variable",J1740&lt;&gt;"Trading",O1740&gt;0,O1740&lt;=Umbral),1,0))</f>
        <v/>
      </c>
      <c r="T1740" s="20">
        <f>IF(OR(I1740="",E1740=""),"",IF(OR(I1740="Gasto",I1740="Transferencia",I1740="Pago tarjeta"),-1,1)*C1740)</f>
        <v/>
      </c>
      <c r="U1740" s="20">
        <f>IF(OR(G1740="",AND(I1740&lt;&gt;"Transferencia",I1740&lt;&gt;"Pago tarjeta")),"",IF(IFERROR(INDEX(ctaMon,MATCH(G1740,ctaNom,0))&amp;"","DOP")=N1740,C1740,IF(N1740="USD",C1740*TasaUSD,C1740/TasaUSD)))</f>
        <v/>
      </c>
      <c r="V1740" s="20">
        <f>IF(I1740="","",IF(IFERROR(INDEX(ctaLiq,MATCH(E1740,ctaNom,0))="Sí",FALSE),IF(OR(I1740="Gasto",I1740="Transferencia",I1740="Pago tarjeta"),-1,1)*O1740,0)+IF(AND(U1740&lt;&gt;"",IFERROR(INDEX(ctaLiq,MATCH(G1740,ctaNom,0))="Sí",FALSE)),O1740,0))</f>
        <v/>
      </c>
      <c r="W1740" s="19">
        <f>IF(OR(F1740="",I1740=""),"",IF(COUNTIFS(F$6:F1740,F1740,I$6:I1740,"?*")=1,MAX(W$5:W1739)+1,""))</f>
        <v/>
      </c>
    </row>
    <row r="1741">
      <c r="B1741" s="15" t="n"/>
      <c r="C1741" s="16" t="n"/>
      <c r="D1741" s="17" t="n"/>
      <c r="E1741" s="17" t="n"/>
      <c r="F1741" s="17" t="n"/>
      <c r="G1741" s="17" t="n"/>
      <c r="H1741" s="18">
        <f>IF(AND(B1741="",C1741="",D1741="",E1741=""),"",IF(B1741="","⚠ Falta fecha",IF(C1741="","⚠ Falta monto",IF(D1741="","⚠ Falta categoría",IF(ISNA(MATCH(D1741,catNom,0)),"⚠ Categoría no existe",IF(E1741="","⚠ Falta cuenta",IF(ISNA(MATCH(E1741,ctaNom,0)),"⚠ Cuenta no existe",IF(AND(OR(I1741="Transferencia",I1741="Pago tarjeta"),G1741=""),"⚠ Indica la cuenta «Hacia»",IF(AND(G1741&lt;&gt;"",G1741=E1741),"⚠ «Hacia» igual a la cuenta",IF(AND(G1741&lt;&gt;"",ISNA(MATCH(G1741,ctaNom,0))),"⚠ «Hacia» no existe",IF(AND(I1741="Pago tarjeta",IFERROR(INDEX(ctaTipo,MATCH(G1741,ctaNom,0)),"")&lt;&gt;"Tarjeta de crédito"),"⚠ «Hacia» debe ser la tarjeta",IF(AND(I1741="Trading",IFERROR(INDEX(ctaTipo,MATCH(E1741,ctaNom,0)),"")&lt;&gt;"Cuenta de trading"),"⚠ Usa la cuenta de trading","✓"))))))))))))</f>
        <v/>
      </c>
      <c r="I1741" s="19">
        <f>IF(OR(B1741="",C1741="",D1741=""),"",IFERROR(INDEX(catTipo,MATCH(D1741,catNom,0))&amp;"",""))</f>
        <v/>
      </c>
      <c r="J1741" s="19">
        <f>IF(I1741="","",IFERROR(INDEX(catGrupo,MATCH(D1741,catNom,0))&amp;"",""))</f>
        <v/>
      </c>
      <c r="K1741" s="19">
        <f>IF(I1741="Gasto",IF(IFERROR(INDEX(catClas,MATCH(D1741,catNom,0))&amp;"","")="","Variable",IFERROR(INDEX(catClas,MATCH(D1741,catNom,0))&amp;"","")),"")</f>
        <v/>
      </c>
      <c r="L1741" s="19">
        <f>IF(I1741="","",IFERROR(INDEX(catAlim,MATCH(D1741,catNom,0))&amp;"",""))</f>
        <v/>
      </c>
      <c r="M1741" s="19">
        <f>IF(I1741="","",IFERROR(INDEX(catComida,MATCH(D1741,catNom,0))&amp;"",""))</f>
        <v/>
      </c>
      <c r="N1741" s="19">
        <f>IF(I1741="","",IFERROR(INDEX(ctaMon,MATCH(E1741,ctaNom,0))&amp;"","DOP"))</f>
        <v/>
      </c>
      <c r="O1741" s="20">
        <f>IF(I1741="","",C1741*IF(N1741="USD",TasaUSD,1))</f>
        <v/>
      </c>
      <c r="P1741" s="20">
        <f>IF(I1741="","",IF(I1741="Gasto",O1741,0))</f>
        <v/>
      </c>
      <c r="Q1741" s="20">
        <f>IF(I1741="","",IF(I1741="Ingreso",O1741,0))</f>
        <v/>
      </c>
      <c r="R1741" s="20">
        <f>IF(I1741="","",IF(I1741="Trading",O1741,0))</f>
        <v/>
      </c>
      <c r="S1741" s="19">
        <f>IF(I1741="","",IF(AND(I1741="Gasto",K1741="Variable",J1741&lt;&gt;"Trading",O1741&gt;0,O1741&lt;=Umbral),1,0))</f>
        <v/>
      </c>
      <c r="T1741" s="20">
        <f>IF(OR(I1741="",E1741=""),"",IF(OR(I1741="Gasto",I1741="Transferencia",I1741="Pago tarjeta"),-1,1)*C1741)</f>
        <v/>
      </c>
      <c r="U1741" s="20">
        <f>IF(OR(G1741="",AND(I1741&lt;&gt;"Transferencia",I1741&lt;&gt;"Pago tarjeta")),"",IF(IFERROR(INDEX(ctaMon,MATCH(G1741,ctaNom,0))&amp;"","DOP")=N1741,C1741,IF(N1741="USD",C1741*TasaUSD,C1741/TasaUSD)))</f>
        <v/>
      </c>
      <c r="V1741" s="20">
        <f>IF(I1741="","",IF(IFERROR(INDEX(ctaLiq,MATCH(E1741,ctaNom,0))="Sí",FALSE),IF(OR(I1741="Gasto",I1741="Transferencia",I1741="Pago tarjeta"),-1,1)*O1741,0)+IF(AND(U1741&lt;&gt;"",IFERROR(INDEX(ctaLiq,MATCH(G1741,ctaNom,0))="Sí",FALSE)),O1741,0))</f>
        <v/>
      </c>
      <c r="W1741" s="19">
        <f>IF(OR(F1741="",I1741=""),"",IF(COUNTIFS(F$6:F1741,F1741,I$6:I1741,"?*")=1,MAX(W$5:W1740)+1,""))</f>
        <v/>
      </c>
    </row>
    <row r="1742">
      <c r="B1742" s="15" t="n"/>
      <c r="C1742" s="16" t="n"/>
      <c r="D1742" s="17" t="n"/>
      <c r="E1742" s="17" t="n"/>
      <c r="F1742" s="17" t="n"/>
      <c r="G1742" s="17" t="n"/>
      <c r="H1742" s="18">
        <f>IF(AND(B1742="",C1742="",D1742="",E1742=""),"",IF(B1742="","⚠ Falta fecha",IF(C1742="","⚠ Falta monto",IF(D1742="","⚠ Falta categoría",IF(ISNA(MATCH(D1742,catNom,0)),"⚠ Categoría no existe",IF(E1742="","⚠ Falta cuenta",IF(ISNA(MATCH(E1742,ctaNom,0)),"⚠ Cuenta no existe",IF(AND(OR(I1742="Transferencia",I1742="Pago tarjeta"),G1742=""),"⚠ Indica la cuenta «Hacia»",IF(AND(G1742&lt;&gt;"",G1742=E1742),"⚠ «Hacia» igual a la cuenta",IF(AND(G1742&lt;&gt;"",ISNA(MATCH(G1742,ctaNom,0))),"⚠ «Hacia» no existe",IF(AND(I1742="Pago tarjeta",IFERROR(INDEX(ctaTipo,MATCH(G1742,ctaNom,0)),"")&lt;&gt;"Tarjeta de crédito"),"⚠ «Hacia» debe ser la tarjeta",IF(AND(I1742="Trading",IFERROR(INDEX(ctaTipo,MATCH(E1742,ctaNom,0)),"")&lt;&gt;"Cuenta de trading"),"⚠ Usa la cuenta de trading","✓"))))))))))))</f>
        <v/>
      </c>
      <c r="I1742" s="19">
        <f>IF(OR(B1742="",C1742="",D1742=""),"",IFERROR(INDEX(catTipo,MATCH(D1742,catNom,0))&amp;"",""))</f>
        <v/>
      </c>
      <c r="J1742" s="19">
        <f>IF(I1742="","",IFERROR(INDEX(catGrupo,MATCH(D1742,catNom,0))&amp;"",""))</f>
        <v/>
      </c>
      <c r="K1742" s="19">
        <f>IF(I1742="Gasto",IF(IFERROR(INDEX(catClas,MATCH(D1742,catNom,0))&amp;"","")="","Variable",IFERROR(INDEX(catClas,MATCH(D1742,catNom,0))&amp;"","")),"")</f>
        <v/>
      </c>
      <c r="L1742" s="19">
        <f>IF(I1742="","",IFERROR(INDEX(catAlim,MATCH(D1742,catNom,0))&amp;"",""))</f>
        <v/>
      </c>
      <c r="M1742" s="19">
        <f>IF(I1742="","",IFERROR(INDEX(catComida,MATCH(D1742,catNom,0))&amp;"",""))</f>
        <v/>
      </c>
      <c r="N1742" s="19">
        <f>IF(I1742="","",IFERROR(INDEX(ctaMon,MATCH(E1742,ctaNom,0))&amp;"","DOP"))</f>
        <v/>
      </c>
      <c r="O1742" s="20">
        <f>IF(I1742="","",C1742*IF(N1742="USD",TasaUSD,1))</f>
        <v/>
      </c>
      <c r="P1742" s="20">
        <f>IF(I1742="","",IF(I1742="Gasto",O1742,0))</f>
        <v/>
      </c>
      <c r="Q1742" s="20">
        <f>IF(I1742="","",IF(I1742="Ingreso",O1742,0))</f>
        <v/>
      </c>
      <c r="R1742" s="20">
        <f>IF(I1742="","",IF(I1742="Trading",O1742,0))</f>
        <v/>
      </c>
      <c r="S1742" s="19">
        <f>IF(I1742="","",IF(AND(I1742="Gasto",K1742="Variable",J1742&lt;&gt;"Trading",O1742&gt;0,O1742&lt;=Umbral),1,0))</f>
        <v/>
      </c>
      <c r="T1742" s="20">
        <f>IF(OR(I1742="",E1742=""),"",IF(OR(I1742="Gasto",I1742="Transferencia",I1742="Pago tarjeta"),-1,1)*C1742)</f>
        <v/>
      </c>
      <c r="U1742" s="20">
        <f>IF(OR(G1742="",AND(I1742&lt;&gt;"Transferencia",I1742&lt;&gt;"Pago tarjeta")),"",IF(IFERROR(INDEX(ctaMon,MATCH(G1742,ctaNom,0))&amp;"","DOP")=N1742,C1742,IF(N1742="USD",C1742*TasaUSD,C1742/TasaUSD)))</f>
        <v/>
      </c>
      <c r="V1742" s="20">
        <f>IF(I1742="","",IF(IFERROR(INDEX(ctaLiq,MATCH(E1742,ctaNom,0))="Sí",FALSE),IF(OR(I1742="Gasto",I1742="Transferencia",I1742="Pago tarjeta"),-1,1)*O1742,0)+IF(AND(U1742&lt;&gt;"",IFERROR(INDEX(ctaLiq,MATCH(G1742,ctaNom,0))="Sí",FALSE)),O1742,0))</f>
        <v/>
      </c>
      <c r="W1742" s="19">
        <f>IF(OR(F1742="",I1742=""),"",IF(COUNTIFS(F$6:F1742,F1742,I$6:I1742,"?*")=1,MAX(W$5:W1741)+1,""))</f>
        <v/>
      </c>
    </row>
    <row r="1743">
      <c r="B1743" s="15" t="n"/>
      <c r="C1743" s="16" t="n"/>
      <c r="D1743" s="17" t="n"/>
      <c r="E1743" s="17" t="n"/>
      <c r="F1743" s="17" t="n"/>
      <c r="G1743" s="17" t="n"/>
      <c r="H1743" s="18">
        <f>IF(AND(B1743="",C1743="",D1743="",E1743=""),"",IF(B1743="","⚠ Falta fecha",IF(C1743="","⚠ Falta monto",IF(D1743="","⚠ Falta categoría",IF(ISNA(MATCH(D1743,catNom,0)),"⚠ Categoría no existe",IF(E1743="","⚠ Falta cuenta",IF(ISNA(MATCH(E1743,ctaNom,0)),"⚠ Cuenta no existe",IF(AND(OR(I1743="Transferencia",I1743="Pago tarjeta"),G1743=""),"⚠ Indica la cuenta «Hacia»",IF(AND(G1743&lt;&gt;"",G1743=E1743),"⚠ «Hacia» igual a la cuenta",IF(AND(G1743&lt;&gt;"",ISNA(MATCH(G1743,ctaNom,0))),"⚠ «Hacia» no existe",IF(AND(I1743="Pago tarjeta",IFERROR(INDEX(ctaTipo,MATCH(G1743,ctaNom,0)),"")&lt;&gt;"Tarjeta de crédito"),"⚠ «Hacia» debe ser la tarjeta",IF(AND(I1743="Trading",IFERROR(INDEX(ctaTipo,MATCH(E1743,ctaNom,0)),"")&lt;&gt;"Cuenta de trading"),"⚠ Usa la cuenta de trading","✓"))))))))))))</f>
        <v/>
      </c>
      <c r="I1743" s="19">
        <f>IF(OR(B1743="",C1743="",D1743=""),"",IFERROR(INDEX(catTipo,MATCH(D1743,catNom,0))&amp;"",""))</f>
        <v/>
      </c>
      <c r="J1743" s="19">
        <f>IF(I1743="","",IFERROR(INDEX(catGrupo,MATCH(D1743,catNom,0))&amp;"",""))</f>
        <v/>
      </c>
      <c r="K1743" s="19">
        <f>IF(I1743="Gasto",IF(IFERROR(INDEX(catClas,MATCH(D1743,catNom,0))&amp;"","")="","Variable",IFERROR(INDEX(catClas,MATCH(D1743,catNom,0))&amp;"","")),"")</f>
        <v/>
      </c>
      <c r="L1743" s="19">
        <f>IF(I1743="","",IFERROR(INDEX(catAlim,MATCH(D1743,catNom,0))&amp;"",""))</f>
        <v/>
      </c>
      <c r="M1743" s="19">
        <f>IF(I1743="","",IFERROR(INDEX(catComida,MATCH(D1743,catNom,0))&amp;"",""))</f>
        <v/>
      </c>
      <c r="N1743" s="19">
        <f>IF(I1743="","",IFERROR(INDEX(ctaMon,MATCH(E1743,ctaNom,0))&amp;"","DOP"))</f>
        <v/>
      </c>
      <c r="O1743" s="20">
        <f>IF(I1743="","",C1743*IF(N1743="USD",TasaUSD,1))</f>
        <v/>
      </c>
      <c r="P1743" s="20">
        <f>IF(I1743="","",IF(I1743="Gasto",O1743,0))</f>
        <v/>
      </c>
      <c r="Q1743" s="20">
        <f>IF(I1743="","",IF(I1743="Ingreso",O1743,0))</f>
        <v/>
      </c>
      <c r="R1743" s="20">
        <f>IF(I1743="","",IF(I1743="Trading",O1743,0))</f>
        <v/>
      </c>
      <c r="S1743" s="19">
        <f>IF(I1743="","",IF(AND(I1743="Gasto",K1743="Variable",J1743&lt;&gt;"Trading",O1743&gt;0,O1743&lt;=Umbral),1,0))</f>
        <v/>
      </c>
      <c r="T1743" s="20">
        <f>IF(OR(I1743="",E1743=""),"",IF(OR(I1743="Gasto",I1743="Transferencia",I1743="Pago tarjeta"),-1,1)*C1743)</f>
        <v/>
      </c>
      <c r="U1743" s="20">
        <f>IF(OR(G1743="",AND(I1743&lt;&gt;"Transferencia",I1743&lt;&gt;"Pago tarjeta")),"",IF(IFERROR(INDEX(ctaMon,MATCH(G1743,ctaNom,0))&amp;"","DOP")=N1743,C1743,IF(N1743="USD",C1743*TasaUSD,C1743/TasaUSD)))</f>
        <v/>
      </c>
      <c r="V1743" s="20">
        <f>IF(I1743="","",IF(IFERROR(INDEX(ctaLiq,MATCH(E1743,ctaNom,0))="Sí",FALSE),IF(OR(I1743="Gasto",I1743="Transferencia",I1743="Pago tarjeta"),-1,1)*O1743,0)+IF(AND(U1743&lt;&gt;"",IFERROR(INDEX(ctaLiq,MATCH(G1743,ctaNom,0))="Sí",FALSE)),O1743,0))</f>
        <v/>
      </c>
      <c r="W1743" s="19">
        <f>IF(OR(F1743="",I1743=""),"",IF(COUNTIFS(F$6:F1743,F1743,I$6:I1743,"?*")=1,MAX(W$5:W1742)+1,""))</f>
        <v/>
      </c>
    </row>
    <row r="1744">
      <c r="B1744" s="15" t="n"/>
      <c r="C1744" s="16" t="n"/>
      <c r="D1744" s="17" t="n"/>
      <c r="E1744" s="17" t="n"/>
      <c r="F1744" s="17" t="n"/>
      <c r="G1744" s="17" t="n"/>
      <c r="H1744" s="18">
        <f>IF(AND(B1744="",C1744="",D1744="",E1744=""),"",IF(B1744="","⚠ Falta fecha",IF(C1744="","⚠ Falta monto",IF(D1744="","⚠ Falta categoría",IF(ISNA(MATCH(D1744,catNom,0)),"⚠ Categoría no existe",IF(E1744="","⚠ Falta cuenta",IF(ISNA(MATCH(E1744,ctaNom,0)),"⚠ Cuenta no existe",IF(AND(OR(I1744="Transferencia",I1744="Pago tarjeta"),G1744=""),"⚠ Indica la cuenta «Hacia»",IF(AND(G1744&lt;&gt;"",G1744=E1744),"⚠ «Hacia» igual a la cuenta",IF(AND(G1744&lt;&gt;"",ISNA(MATCH(G1744,ctaNom,0))),"⚠ «Hacia» no existe",IF(AND(I1744="Pago tarjeta",IFERROR(INDEX(ctaTipo,MATCH(G1744,ctaNom,0)),"")&lt;&gt;"Tarjeta de crédito"),"⚠ «Hacia» debe ser la tarjeta",IF(AND(I1744="Trading",IFERROR(INDEX(ctaTipo,MATCH(E1744,ctaNom,0)),"")&lt;&gt;"Cuenta de trading"),"⚠ Usa la cuenta de trading","✓"))))))))))))</f>
        <v/>
      </c>
      <c r="I1744" s="19">
        <f>IF(OR(B1744="",C1744="",D1744=""),"",IFERROR(INDEX(catTipo,MATCH(D1744,catNom,0))&amp;"",""))</f>
        <v/>
      </c>
      <c r="J1744" s="19">
        <f>IF(I1744="","",IFERROR(INDEX(catGrupo,MATCH(D1744,catNom,0))&amp;"",""))</f>
        <v/>
      </c>
      <c r="K1744" s="19">
        <f>IF(I1744="Gasto",IF(IFERROR(INDEX(catClas,MATCH(D1744,catNom,0))&amp;"","")="","Variable",IFERROR(INDEX(catClas,MATCH(D1744,catNom,0))&amp;"","")),"")</f>
        <v/>
      </c>
      <c r="L1744" s="19">
        <f>IF(I1744="","",IFERROR(INDEX(catAlim,MATCH(D1744,catNom,0))&amp;"",""))</f>
        <v/>
      </c>
      <c r="M1744" s="19">
        <f>IF(I1744="","",IFERROR(INDEX(catComida,MATCH(D1744,catNom,0))&amp;"",""))</f>
        <v/>
      </c>
      <c r="N1744" s="19">
        <f>IF(I1744="","",IFERROR(INDEX(ctaMon,MATCH(E1744,ctaNom,0))&amp;"","DOP"))</f>
        <v/>
      </c>
      <c r="O1744" s="20">
        <f>IF(I1744="","",C1744*IF(N1744="USD",TasaUSD,1))</f>
        <v/>
      </c>
      <c r="P1744" s="20">
        <f>IF(I1744="","",IF(I1744="Gasto",O1744,0))</f>
        <v/>
      </c>
      <c r="Q1744" s="20">
        <f>IF(I1744="","",IF(I1744="Ingreso",O1744,0))</f>
        <v/>
      </c>
      <c r="R1744" s="20">
        <f>IF(I1744="","",IF(I1744="Trading",O1744,0))</f>
        <v/>
      </c>
      <c r="S1744" s="19">
        <f>IF(I1744="","",IF(AND(I1744="Gasto",K1744="Variable",J1744&lt;&gt;"Trading",O1744&gt;0,O1744&lt;=Umbral),1,0))</f>
        <v/>
      </c>
      <c r="T1744" s="20">
        <f>IF(OR(I1744="",E1744=""),"",IF(OR(I1744="Gasto",I1744="Transferencia",I1744="Pago tarjeta"),-1,1)*C1744)</f>
        <v/>
      </c>
      <c r="U1744" s="20">
        <f>IF(OR(G1744="",AND(I1744&lt;&gt;"Transferencia",I1744&lt;&gt;"Pago tarjeta")),"",IF(IFERROR(INDEX(ctaMon,MATCH(G1744,ctaNom,0))&amp;"","DOP")=N1744,C1744,IF(N1744="USD",C1744*TasaUSD,C1744/TasaUSD)))</f>
        <v/>
      </c>
      <c r="V1744" s="20">
        <f>IF(I1744="","",IF(IFERROR(INDEX(ctaLiq,MATCH(E1744,ctaNom,0))="Sí",FALSE),IF(OR(I1744="Gasto",I1744="Transferencia",I1744="Pago tarjeta"),-1,1)*O1744,0)+IF(AND(U1744&lt;&gt;"",IFERROR(INDEX(ctaLiq,MATCH(G1744,ctaNom,0))="Sí",FALSE)),O1744,0))</f>
        <v/>
      </c>
      <c r="W1744" s="19">
        <f>IF(OR(F1744="",I1744=""),"",IF(COUNTIFS(F$6:F1744,F1744,I$6:I1744,"?*")=1,MAX(W$5:W1743)+1,""))</f>
        <v/>
      </c>
    </row>
    <row r="1745">
      <c r="B1745" s="15" t="n"/>
      <c r="C1745" s="16" t="n"/>
      <c r="D1745" s="17" t="n"/>
      <c r="E1745" s="17" t="n"/>
      <c r="F1745" s="17" t="n"/>
      <c r="G1745" s="17" t="n"/>
      <c r="H1745" s="18">
        <f>IF(AND(B1745="",C1745="",D1745="",E1745=""),"",IF(B1745="","⚠ Falta fecha",IF(C1745="","⚠ Falta monto",IF(D1745="","⚠ Falta categoría",IF(ISNA(MATCH(D1745,catNom,0)),"⚠ Categoría no existe",IF(E1745="","⚠ Falta cuenta",IF(ISNA(MATCH(E1745,ctaNom,0)),"⚠ Cuenta no existe",IF(AND(OR(I1745="Transferencia",I1745="Pago tarjeta"),G1745=""),"⚠ Indica la cuenta «Hacia»",IF(AND(G1745&lt;&gt;"",G1745=E1745),"⚠ «Hacia» igual a la cuenta",IF(AND(G1745&lt;&gt;"",ISNA(MATCH(G1745,ctaNom,0))),"⚠ «Hacia» no existe",IF(AND(I1745="Pago tarjeta",IFERROR(INDEX(ctaTipo,MATCH(G1745,ctaNom,0)),"")&lt;&gt;"Tarjeta de crédito"),"⚠ «Hacia» debe ser la tarjeta",IF(AND(I1745="Trading",IFERROR(INDEX(ctaTipo,MATCH(E1745,ctaNom,0)),"")&lt;&gt;"Cuenta de trading"),"⚠ Usa la cuenta de trading","✓"))))))))))))</f>
        <v/>
      </c>
      <c r="I1745" s="19">
        <f>IF(OR(B1745="",C1745="",D1745=""),"",IFERROR(INDEX(catTipo,MATCH(D1745,catNom,0))&amp;"",""))</f>
        <v/>
      </c>
      <c r="J1745" s="19">
        <f>IF(I1745="","",IFERROR(INDEX(catGrupo,MATCH(D1745,catNom,0))&amp;"",""))</f>
        <v/>
      </c>
      <c r="K1745" s="19">
        <f>IF(I1745="Gasto",IF(IFERROR(INDEX(catClas,MATCH(D1745,catNom,0))&amp;"","")="","Variable",IFERROR(INDEX(catClas,MATCH(D1745,catNom,0))&amp;"","")),"")</f>
        <v/>
      </c>
      <c r="L1745" s="19">
        <f>IF(I1745="","",IFERROR(INDEX(catAlim,MATCH(D1745,catNom,0))&amp;"",""))</f>
        <v/>
      </c>
      <c r="M1745" s="19">
        <f>IF(I1745="","",IFERROR(INDEX(catComida,MATCH(D1745,catNom,0))&amp;"",""))</f>
        <v/>
      </c>
      <c r="N1745" s="19">
        <f>IF(I1745="","",IFERROR(INDEX(ctaMon,MATCH(E1745,ctaNom,0))&amp;"","DOP"))</f>
        <v/>
      </c>
      <c r="O1745" s="20">
        <f>IF(I1745="","",C1745*IF(N1745="USD",TasaUSD,1))</f>
        <v/>
      </c>
      <c r="P1745" s="20">
        <f>IF(I1745="","",IF(I1745="Gasto",O1745,0))</f>
        <v/>
      </c>
      <c r="Q1745" s="20">
        <f>IF(I1745="","",IF(I1745="Ingreso",O1745,0))</f>
        <v/>
      </c>
      <c r="R1745" s="20">
        <f>IF(I1745="","",IF(I1745="Trading",O1745,0))</f>
        <v/>
      </c>
      <c r="S1745" s="19">
        <f>IF(I1745="","",IF(AND(I1745="Gasto",K1745="Variable",J1745&lt;&gt;"Trading",O1745&gt;0,O1745&lt;=Umbral),1,0))</f>
        <v/>
      </c>
      <c r="T1745" s="20">
        <f>IF(OR(I1745="",E1745=""),"",IF(OR(I1745="Gasto",I1745="Transferencia",I1745="Pago tarjeta"),-1,1)*C1745)</f>
        <v/>
      </c>
      <c r="U1745" s="20">
        <f>IF(OR(G1745="",AND(I1745&lt;&gt;"Transferencia",I1745&lt;&gt;"Pago tarjeta")),"",IF(IFERROR(INDEX(ctaMon,MATCH(G1745,ctaNom,0))&amp;"","DOP")=N1745,C1745,IF(N1745="USD",C1745*TasaUSD,C1745/TasaUSD)))</f>
        <v/>
      </c>
      <c r="V1745" s="20">
        <f>IF(I1745="","",IF(IFERROR(INDEX(ctaLiq,MATCH(E1745,ctaNom,0))="Sí",FALSE),IF(OR(I1745="Gasto",I1745="Transferencia",I1745="Pago tarjeta"),-1,1)*O1745,0)+IF(AND(U1745&lt;&gt;"",IFERROR(INDEX(ctaLiq,MATCH(G1745,ctaNom,0))="Sí",FALSE)),O1745,0))</f>
        <v/>
      </c>
      <c r="W1745" s="19">
        <f>IF(OR(F1745="",I1745=""),"",IF(COUNTIFS(F$6:F1745,F1745,I$6:I1745,"?*")=1,MAX(W$5:W1744)+1,""))</f>
        <v/>
      </c>
    </row>
    <row r="1746">
      <c r="B1746" s="15" t="n"/>
      <c r="C1746" s="16" t="n"/>
      <c r="D1746" s="17" t="n"/>
      <c r="E1746" s="17" t="n"/>
      <c r="F1746" s="17" t="n"/>
      <c r="G1746" s="17" t="n"/>
      <c r="H1746" s="18">
        <f>IF(AND(B1746="",C1746="",D1746="",E1746=""),"",IF(B1746="","⚠ Falta fecha",IF(C1746="","⚠ Falta monto",IF(D1746="","⚠ Falta categoría",IF(ISNA(MATCH(D1746,catNom,0)),"⚠ Categoría no existe",IF(E1746="","⚠ Falta cuenta",IF(ISNA(MATCH(E1746,ctaNom,0)),"⚠ Cuenta no existe",IF(AND(OR(I1746="Transferencia",I1746="Pago tarjeta"),G1746=""),"⚠ Indica la cuenta «Hacia»",IF(AND(G1746&lt;&gt;"",G1746=E1746),"⚠ «Hacia» igual a la cuenta",IF(AND(G1746&lt;&gt;"",ISNA(MATCH(G1746,ctaNom,0))),"⚠ «Hacia» no existe",IF(AND(I1746="Pago tarjeta",IFERROR(INDEX(ctaTipo,MATCH(G1746,ctaNom,0)),"")&lt;&gt;"Tarjeta de crédito"),"⚠ «Hacia» debe ser la tarjeta",IF(AND(I1746="Trading",IFERROR(INDEX(ctaTipo,MATCH(E1746,ctaNom,0)),"")&lt;&gt;"Cuenta de trading"),"⚠ Usa la cuenta de trading","✓"))))))))))))</f>
        <v/>
      </c>
      <c r="I1746" s="19">
        <f>IF(OR(B1746="",C1746="",D1746=""),"",IFERROR(INDEX(catTipo,MATCH(D1746,catNom,0))&amp;"",""))</f>
        <v/>
      </c>
      <c r="J1746" s="19">
        <f>IF(I1746="","",IFERROR(INDEX(catGrupo,MATCH(D1746,catNom,0))&amp;"",""))</f>
        <v/>
      </c>
      <c r="K1746" s="19">
        <f>IF(I1746="Gasto",IF(IFERROR(INDEX(catClas,MATCH(D1746,catNom,0))&amp;"","")="","Variable",IFERROR(INDEX(catClas,MATCH(D1746,catNom,0))&amp;"","")),"")</f>
        <v/>
      </c>
      <c r="L1746" s="19">
        <f>IF(I1746="","",IFERROR(INDEX(catAlim,MATCH(D1746,catNom,0))&amp;"",""))</f>
        <v/>
      </c>
      <c r="M1746" s="19">
        <f>IF(I1746="","",IFERROR(INDEX(catComida,MATCH(D1746,catNom,0))&amp;"",""))</f>
        <v/>
      </c>
      <c r="N1746" s="19">
        <f>IF(I1746="","",IFERROR(INDEX(ctaMon,MATCH(E1746,ctaNom,0))&amp;"","DOP"))</f>
        <v/>
      </c>
      <c r="O1746" s="20">
        <f>IF(I1746="","",C1746*IF(N1746="USD",TasaUSD,1))</f>
        <v/>
      </c>
      <c r="P1746" s="20">
        <f>IF(I1746="","",IF(I1746="Gasto",O1746,0))</f>
        <v/>
      </c>
      <c r="Q1746" s="20">
        <f>IF(I1746="","",IF(I1746="Ingreso",O1746,0))</f>
        <v/>
      </c>
      <c r="R1746" s="20">
        <f>IF(I1746="","",IF(I1746="Trading",O1746,0))</f>
        <v/>
      </c>
      <c r="S1746" s="19">
        <f>IF(I1746="","",IF(AND(I1746="Gasto",K1746="Variable",J1746&lt;&gt;"Trading",O1746&gt;0,O1746&lt;=Umbral),1,0))</f>
        <v/>
      </c>
      <c r="T1746" s="20">
        <f>IF(OR(I1746="",E1746=""),"",IF(OR(I1746="Gasto",I1746="Transferencia",I1746="Pago tarjeta"),-1,1)*C1746)</f>
        <v/>
      </c>
      <c r="U1746" s="20">
        <f>IF(OR(G1746="",AND(I1746&lt;&gt;"Transferencia",I1746&lt;&gt;"Pago tarjeta")),"",IF(IFERROR(INDEX(ctaMon,MATCH(G1746,ctaNom,0))&amp;"","DOP")=N1746,C1746,IF(N1746="USD",C1746*TasaUSD,C1746/TasaUSD)))</f>
        <v/>
      </c>
      <c r="V1746" s="20">
        <f>IF(I1746="","",IF(IFERROR(INDEX(ctaLiq,MATCH(E1746,ctaNom,0))="Sí",FALSE),IF(OR(I1746="Gasto",I1746="Transferencia",I1746="Pago tarjeta"),-1,1)*O1746,0)+IF(AND(U1746&lt;&gt;"",IFERROR(INDEX(ctaLiq,MATCH(G1746,ctaNom,0))="Sí",FALSE)),O1746,0))</f>
        <v/>
      </c>
      <c r="W1746" s="19">
        <f>IF(OR(F1746="",I1746=""),"",IF(COUNTIFS(F$6:F1746,F1746,I$6:I1746,"?*")=1,MAX(W$5:W1745)+1,""))</f>
        <v/>
      </c>
    </row>
    <row r="1747">
      <c r="B1747" s="15" t="n"/>
      <c r="C1747" s="16" t="n"/>
      <c r="D1747" s="17" t="n"/>
      <c r="E1747" s="17" t="n"/>
      <c r="F1747" s="17" t="n"/>
      <c r="G1747" s="17" t="n"/>
      <c r="H1747" s="18">
        <f>IF(AND(B1747="",C1747="",D1747="",E1747=""),"",IF(B1747="","⚠ Falta fecha",IF(C1747="","⚠ Falta monto",IF(D1747="","⚠ Falta categoría",IF(ISNA(MATCH(D1747,catNom,0)),"⚠ Categoría no existe",IF(E1747="","⚠ Falta cuenta",IF(ISNA(MATCH(E1747,ctaNom,0)),"⚠ Cuenta no existe",IF(AND(OR(I1747="Transferencia",I1747="Pago tarjeta"),G1747=""),"⚠ Indica la cuenta «Hacia»",IF(AND(G1747&lt;&gt;"",G1747=E1747),"⚠ «Hacia» igual a la cuenta",IF(AND(G1747&lt;&gt;"",ISNA(MATCH(G1747,ctaNom,0))),"⚠ «Hacia» no existe",IF(AND(I1747="Pago tarjeta",IFERROR(INDEX(ctaTipo,MATCH(G1747,ctaNom,0)),"")&lt;&gt;"Tarjeta de crédito"),"⚠ «Hacia» debe ser la tarjeta",IF(AND(I1747="Trading",IFERROR(INDEX(ctaTipo,MATCH(E1747,ctaNom,0)),"")&lt;&gt;"Cuenta de trading"),"⚠ Usa la cuenta de trading","✓"))))))))))))</f>
        <v/>
      </c>
      <c r="I1747" s="19">
        <f>IF(OR(B1747="",C1747="",D1747=""),"",IFERROR(INDEX(catTipo,MATCH(D1747,catNom,0))&amp;"",""))</f>
        <v/>
      </c>
      <c r="J1747" s="19">
        <f>IF(I1747="","",IFERROR(INDEX(catGrupo,MATCH(D1747,catNom,0))&amp;"",""))</f>
        <v/>
      </c>
      <c r="K1747" s="19">
        <f>IF(I1747="Gasto",IF(IFERROR(INDEX(catClas,MATCH(D1747,catNom,0))&amp;"","")="","Variable",IFERROR(INDEX(catClas,MATCH(D1747,catNom,0))&amp;"","")),"")</f>
        <v/>
      </c>
      <c r="L1747" s="19">
        <f>IF(I1747="","",IFERROR(INDEX(catAlim,MATCH(D1747,catNom,0))&amp;"",""))</f>
        <v/>
      </c>
      <c r="M1747" s="19">
        <f>IF(I1747="","",IFERROR(INDEX(catComida,MATCH(D1747,catNom,0))&amp;"",""))</f>
        <v/>
      </c>
      <c r="N1747" s="19">
        <f>IF(I1747="","",IFERROR(INDEX(ctaMon,MATCH(E1747,ctaNom,0))&amp;"","DOP"))</f>
        <v/>
      </c>
      <c r="O1747" s="20">
        <f>IF(I1747="","",C1747*IF(N1747="USD",TasaUSD,1))</f>
        <v/>
      </c>
      <c r="P1747" s="20">
        <f>IF(I1747="","",IF(I1747="Gasto",O1747,0))</f>
        <v/>
      </c>
      <c r="Q1747" s="20">
        <f>IF(I1747="","",IF(I1747="Ingreso",O1747,0))</f>
        <v/>
      </c>
      <c r="R1747" s="20">
        <f>IF(I1747="","",IF(I1747="Trading",O1747,0))</f>
        <v/>
      </c>
      <c r="S1747" s="19">
        <f>IF(I1747="","",IF(AND(I1747="Gasto",K1747="Variable",J1747&lt;&gt;"Trading",O1747&gt;0,O1747&lt;=Umbral),1,0))</f>
        <v/>
      </c>
      <c r="T1747" s="20">
        <f>IF(OR(I1747="",E1747=""),"",IF(OR(I1747="Gasto",I1747="Transferencia",I1747="Pago tarjeta"),-1,1)*C1747)</f>
        <v/>
      </c>
      <c r="U1747" s="20">
        <f>IF(OR(G1747="",AND(I1747&lt;&gt;"Transferencia",I1747&lt;&gt;"Pago tarjeta")),"",IF(IFERROR(INDEX(ctaMon,MATCH(G1747,ctaNom,0))&amp;"","DOP")=N1747,C1747,IF(N1747="USD",C1747*TasaUSD,C1747/TasaUSD)))</f>
        <v/>
      </c>
      <c r="V1747" s="20">
        <f>IF(I1747="","",IF(IFERROR(INDEX(ctaLiq,MATCH(E1747,ctaNom,0))="Sí",FALSE),IF(OR(I1747="Gasto",I1747="Transferencia",I1747="Pago tarjeta"),-1,1)*O1747,0)+IF(AND(U1747&lt;&gt;"",IFERROR(INDEX(ctaLiq,MATCH(G1747,ctaNom,0))="Sí",FALSE)),O1747,0))</f>
        <v/>
      </c>
      <c r="W1747" s="19">
        <f>IF(OR(F1747="",I1747=""),"",IF(COUNTIFS(F$6:F1747,F1747,I$6:I1747,"?*")=1,MAX(W$5:W1746)+1,""))</f>
        <v/>
      </c>
    </row>
    <row r="1748">
      <c r="B1748" s="15" t="n"/>
      <c r="C1748" s="16" t="n"/>
      <c r="D1748" s="17" t="n"/>
      <c r="E1748" s="17" t="n"/>
      <c r="F1748" s="17" t="n"/>
      <c r="G1748" s="17" t="n"/>
      <c r="H1748" s="18">
        <f>IF(AND(B1748="",C1748="",D1748="",E1748=""),"",IF(B1748="","⚠ Falta fecha",IF(C1748="","⚠ Falta monto",IF(D1748="","⚠ Falta categoría",IF(ISNA(MATCH(D1748,catNom,0)),"⚠ Categoría no existe",IF(E1748="","⚠ Falta cuenta",IF(ISNA(MATCH(E1748,ctaNom,0)),"⚠ Cuenta no existe",IF(AND(OR(I1748="Transferencia",I1748="Pago tarjeta"),G1748=""),"⚠ Indica la cuenta «Hacia»",IF(AND(G1748&lt;&gt;"",G1748=E1748),"⚠ «Hacia» igual a la cuenta",IF(AND(G1748&lt;&gt;"",ISNA(MATCH(G1748,ctaNom,0))),"⚠ «Hacia» no existe",IF(AND(I1748="Pago tarjeta",IFERROR(INDEX(ctaTipo,MATCH(G1748,ctaNom,0)),"")&lt;&gt;"Tarjeta de crédito"),"⚠ «Hacia» debe ser la tarjeta",IF(AND(I1748="Trading",IFERROR(INDEX(ctaTipo,MATCH(E1748,ctaNom,0)),"")&lt;&gt;"Cuenta de trading"),"⚠ Usa la cuenta de trading","✓"))))))))))))</f>
        <v/>
      </c>
      <c r="I1748" s="19">
        <f>IF(OR(B1748="",C1748="",D1748=""),"",IFERROR(INDEX(catTipo,MATCH(D1748,catNom,0))&amp;"",""))</f>
        <v/>
      </c>
      <c r="J1748" s="19">
        <f>IF(I1748="","",IFERROR(INDEX(catGrupo,MATCH(D1748,catNom,0))&amp;"",""))</f>
        <v/>
      </c>
      <c r="K1748" s="19">
        <f>IF(I1748="Gasto",IF(IFERROR(INDEX(catClas,MATCH(D1748,catNom,0))&amp;"","")="","Variable",IFERROR(INDEX(catClas,MATCH(D1748,catNom,0))&amp;"","")),"")</f>
        <v/>
      </c>
      <c r="L1748" s="19">
        <f>IF(I1748="","",IFERROR(INDEX(catAlim,MATCH(D1748,catNom,0))&amp;"",""))</f>
        <v/>
      </c>
      <c r="M1748" s="19">
        <f>IF(I1748="","",IFERROR(INDEX(catComida,MATCH(D1748,catNom,0))&amp;"",""))</f>
        <v/>
      </c>
      <c r="N1748" s="19">
        <f>IF(I1748="","",IFERROR(INDEX(ctaMon,MATCH(E1748,ctaNom,0))&amp;"","DOP"))</f>
        <v/>
      </c>
      <c r="O1748" s="20">
        <f>IF(I1748="","",C1748*IF(N1748="USD",TasaUSD,1))</f>
        <v/>
      </c>
      <c r="P1748" s="20">
        <f>IF(I1748="","",IF(I1748="Gasto",O1748,0))</f>
        <v/>
      </c>
      <c r="Q1748" s="20">
        <f>IF(I1748="","",IF(I1748="Ingreso",O1748,0))</f>
        <v/>
      </c>
      <c r="R1748" s="20">
        <f>IF(I1748="","",IF(I1748="Trading",O1748,0))</f>
        <v/>
      </c>
      <c r="S1748" s="19">
        <f>IF(I1748="","",IF(AND(I1748="Gasto",K1748="Variable",J1748&lt;&gt;"Trading",O1748&gt;0,O1748&lt;=Umbral),1,0))</f>
        <v/>
      </c>
      <c r="T1748" s="20">
        <f>IF(OR(I1748="",E1748=""),"",IF(OR(I1748="Gasto",I1748="Transferencia",I1748="Pago tarjeta"),-1,1)*C1748)</f>
        <v/>
      </c>
      <c r="U1748" s="20">
        <f>IF(OR(G1748="",AND(I1748&lt;&gt;"Transferencia",I1748&lt;&gt;"Pago tarjeta")),"",IF(IFERROR(INDEX(ctaMon,MATCH(G1748,ctaNom,0))&amp;"","DOP")=N1748,C1748,IF(N1748="USD",C1748*TasaUSD,C1748/TasaUSD)))</f>
        <v/>
      </c>
      <c r="V1748" s="20">
        <f>IF(I1748="","",IF(IFERROR(INDEX(ctaLiq,MATCH(E1748,ctaNom,0))="Sí",FALSE),IF(OR(I1748="Gasto",I1748="Transferencia",I1748="Pago tarjeta"),-1,1)*O1748,0)+IF(AND(U1748&lt;&gt;"",IFERROR(INDEX(ctaLiq,MATCH(G1748,ctaNom,0))="Sí",FALSE)),O1748,0))</f>
        <v/>
      </c>
      <c r="W1748" s="19">
        <f>IF(OR(F1748="",I1748=""),"",IF(COUNTIFS(F$6:F1748,F1748,I$6:I1748,"?*")=1,MAX(W$5:W1747)+1,""))</f>
        <v/>
      </c>
    </row>
    <row r="1749">
      <c r="B1749" s="15" t="n"/>
      <c r="C1749" s="16" t="n"/>
      <c r="D1749" s="17" t="n"/>
      <c r="E1749" s="17" t="n"/>
      <c r="F1749" s="17" t="n"/>
      <c r="G1749" s="17" t="n"/>
      <c r="H1749" s="18">
        <f>IF(AND(B1749="",C1749="",D1749="",E1749=""),"",IF(B1749="","⚠ Falta fecha",IF(C1749="","⚠ Falta monto",IF(D1749="","⚠ Falta categoría",IF(ISNA(MATCH(D1749,catNom,0)),"⚠ Categoría no existe",IF(E1749="","⚠ Falta cuenta",IF(ISNA(MATCH(E1749,ctaNom,0)),"⚠ Cuenta no existe",IF(AND(OR(I1749="Transferencia",I1749="Pago tarjeta"),G1749=""),"⚠ Indica la cuenta «Hacia»",IF(AND(G1749&lt;&gt;"",G1749=E1749),"⚠ «Hacia» igual a la cuenta",IF(AND(G1749&lt;&gt;"",ISNA(MATCH(G1749,ctaNom,0))),"⚠ «Hacia» no existe",IF(AND(I1749="Pago tarjeta",IFERROR(INDEX(ctaTipo,MATCH(G1749,ctaNom,0)),"")&lt;&gt;"Tarjeta de crédito"),"⚠ «Hacia» debe ser la tarjeta",IF(AND(I1749="Trading",IFERROR(INDEX(ctaTipo,MATCH(E1749,ctaNom,0)),"")&lt;&gt;"Cuenta de trading"),"⚠ Usa la cuenta de trading","✓"))))))))))))</f>
        <v/>
      </c>
      <c r="I1749" s="19">
        <f>IF(OR(B1749="",C1749="",D1749=""),"",IFERROR(INDEX(catTipo,MATCH(D1749,catNom,0))&amp;"",""))</f>
        <v/>
      </c>
      <c r="J1749" s="19">
        <f>IF(I1749="","",IFERROR(INDEX(catGrupo,MATCH(D1749,catNom,0))&amp;"",""))</f>
        <v/>
      </c>
      <c r="K1749" s="19">
        <f>IF(I1749="Gasto",IF(IFERROR(INDEX(catClas,MATCH(D1749,catNom,0))&amp;"","")="","Variable",IFERROR(INDEX(catClas,MATCH(D1749,catNom,0))&amp;"","")),"")</f>
        <v/>
      </c>
      <c r="L1749" s="19">
        <f>IF(I1749="","",IFERROR(INDEX(catAlim,MATCH(D1749,catNom,0))&amp;"",""))</f>
        <v/>
      </c>
      <c r="M1749" s="19">
        <f>IF(I1749="","",IFERROR(INDEX(catComida,MATCH(D1749,catNom,0))&amp;"",""))</f>
        <v/>
      </c>
      <c r="N1749" s="19">
        <f>IF(I1749="","",IFERROR(INDEX(ctaMon,MATCH(E1749,ctaNom,0))&amp;"","DOP"))</f>
        <v/>
      </c>
      <c r="O1749" s="20">
        <f>IF(I1749="","",C1749*IF(N1749="USD",TasaUSD,1))</f>
        <v/>
      </c>
      <c r="P1749" s="20">
        <f>IF(I1749="","",IF(I1749="Gasto",O1749,0))</f>
        <v/>
      </c>
      <c r="Q1749" s="20">
        <f>IF(I1749="","",IF(I1749="Ingreso",O1749,0))</f>
        <v/>
      </c>
      <c r="R1749" s="20">
        <f>IF(I1749="","",IF(I1749="Trading",O1749,0))</f>
        <v/>
      </c>
      <c r="S1749" s="19">
        <f>IF(I1749="","",IF(AND(I1749="Gasto",K1749="Variable",J1749&lt;&gt;"Trading",O1749&gt;0,O1749&lt;=Umbral),1,0))</f>
        <v/>
      </c>
      <c r="T1749" s="20">
        <f>IF(OR(I1749="",E1749=""),"",IF(OR(I1749="Gasto",I1749="Transferencia",I1749="Pago tarjeta"),-1,1)*C1749)</f>
        <v/>
      </c>
      <c r="U1749" s="20">
        <f>IF(OR(G1749="",AND(I1749&lt;&gt;"Transferencia",I1749&lt;&gt;"Pago tarjeta")),"",IF(IFERROR(INDEX(ctaMon,MATCH(G1749,ctaNom,0))&amp;"","DOP")=N1749,C1749,IF(N1749="USD",C1749*TasaUSD,C1749/TasaUSD)))</f>
        <v/>
      </c>
      <c r="V1749" s="20">
        <f>IF(I1749="","",IF(IFERROR(INDEX(ctaLiq,MATCH(E1749,ctaNom,0))="Sí",FALSE),IF(OR(I1749="Gasto",I1749="Transferencia",I1749="Pago tarjeta"),-1,1)*O1749,0)+IF(AND(U1749&lt;&gt;"",IFERROR(INDEX(ctaLiq,MATCH(G1749,ctaNom,0))="Sí",FALSE)),O1749,0))</f>
        <v/>
      </c>
      <c r="W1749" s="19">
        <f>IF(OR(F1749="",I1749=""),"",IF(COUNTIFS(F$6:F1749,F1749,I$6:I1749,"?*")=1,MAX(W$5:W1748)+1,""))</f>
        <v/>
      </c>
    </row>
    <row r="1750">
      <c r="B1750" s="15" t="n"/>
      <c r="C1750" s="16" t="n"/>
      <c r="D1750" s="17" t="n"/>
      <c r="E1750" s="17" t="n"/>
      <c r="F1750" s="17" t="n"/>
      <c r="G1750" s="17" t="n"/>
      <c r="H1750" s="18">
        <f>IF(AND(B1750="",C1750="",D1750="",E1750=""),"",IF(B1750="","⚠ Falta fecha",IF(C1750="","⚠ Falta monto",IF(D1750="","⚠ Falta categoría",IF(ISNA(MATCH(D1750,catNom,0)),"⚠ Categoría no existe",IF(E1750="","⚠ Falta cuenta",IF(ISNA(MATCH(E1750,ctaNom,0)),"⚠ Cuenta no existe",IF(AND(OR(I1750="Transferencia",I1750="Pago tarjeta"),G1750=""),"⚠ Indica la cuenta «Hacia»",IF(AND(G1750&lt;&gt;"",G1750=E1750),"⚠ «Hacia» igual a la cuenta",IF(AND(G1750&lt;&gt;"",ISNA(MATCH(G1750,ctaNom,0))),"⚠ «Hacia» no existe",IF(AND(I1750="Pago tarjeta",IFERROR(INDEX(ctaTipo,MATCH(G1750,ctaNom,0)),"")&lt;&gt;"Tarjeta de crédito"),"⚠ «Hacia» debe ser la tarjeta",IF(AND(I1750="Trading",IFERROR(INDEX(ctaTipo,MATCH(E1750,ctaNom,0)),"")&lt;&gt;"Cuenta de trading"),"⚠ Usa la cuenta de trading","✓"))))))))))))</f>
        <v/>
      </c>
      <c r="I1750" s="19">
        <f>IF(OR(B1750="",C1750="",D1750=""),"",IFERROR(INDEX(catTipo,MATCH(D1750,catNom,0))&amp;"",""))</f>
        <v/>
      </c>
      <c r="J1750" s="19">
        <f>IF(I1750="","",IFERROR(INDEX(catGrupo,MATCH(D1750,catNom,0))&amp;"",""))</f>
        <v/>
      </c>
      <c r="K1750" s="19">
        <f>IF(I1750="Gasto",IF(IFERROR(INDEX(catClas,MATCH(D1750,catNom,0))&amp;"","")="","Variable",IFERROR(INDEX(catClas,MATCH(D1750,catNom,0))&amp;"","")),"")</f>
        <v/>
      </c>
      <c r="L1750" s="19">
        <f>IF(I1750="","",IFERROR(INDEX(catAlim,MATCH(D1750,catNom,0))&amp;"",""))</f>
        <v/>
      </c>
      <c r="M1750" s="19">
        <f>IF(I1750="","",IFERROR(INDEX(catComida,MATCH(D1750,catNom,0))&amp;"",""))</f>
        <v/>
      </c>
      <c r="N1750" s="19">
        <f>IF(I1750="","",IFERROR(INDEX(ctaMon,MATCH(E1750,ctaNom,0))&amp;"","DOP"))</f>
        <v/>
      </c>
      <c r="O1750" s="20">
        <f>IF(I1750="","",C1750*IF(N1750="USD",TasaUSD,1))</f>
        <v/>
      </c>
      <c r="P1750" s="20">
        <f>IF(I1750="","",IF(I1750="Gasto",O1750,0))</f>
        <v/>
      </c>
      <c r="Q1750" s="20">
        <f>IF(I1750="","",IF(I1750="Ingreso",O1750,0))</f>
        <v/>
      </c>
      <c r="R1750" s="20">
        <f>IF(I1750="","",IF(I1750="Trading",O1750,0))</f>
        <v/>
      </c>
      <c r="S1750" s="19">
        <f>IF(I1750="","",IF(AND(I1750="Gasto",K1750="Variable",J1750&lt;&gt;"Trading",O1750&gt;0,O1750&lt;=Umbral),1,0))</f>
        <v/>
      </c>
      <c r="T1750" s="20">
        <f>IF(OR(I1750="",E1750=""),"",IF(OR(I1750="Gasto",I1750="Transferencia",I1750="Pago tarjeta"),-1,1)*C1750)</f>
        <v/>
      </c>
      <c r="U1750" s="20">
        <f>IF(OR(G1750="",AND(I1750&lt;&gt;"Transferencia",I1750&lt;&gt;"Pago tarjeta")),"",IF(IFERROR(INDEX(ctaMon,MATCH(G1750,ctaNom,0))&amp;"","DOP")=N1750,C1750,IF(N1750="USD",C1750*TasaUSD,C1750/TasaUSD)))</f>
        <v/>
      </c>
      <c r="V1750" s="20">
        <f>IF(I1750="","",IF(IFERROR(INDEX(ctaLiq,MATCH(E1750,ctaNom,0))="Sí",FALSE),IF(OR(I1750="Gasto",I1750="Transferencia",I1750="Pago tarjeta"),-1,1)*O1750,0)+IF(AND(U1750&lt;&gt;"",IFERROR(INDEX(ctaLiq,MATCH(G1750,ctaNom,0))="Sí",FALSE)),O1750,0))</f>
        <v/>
      </c>
      <c r="W1750" s="19">
        <f>IF(OR(F1750="",I1750=""),"",IF(COUNTIFS(F$6:F1750,F1750,I$6:I1750,"?*")=1,MAX(W$5:W1749)+1,""))</f>
        <v/>
      </c>
    </row>
    <row r="1751">
      <c r="B1751" s="15" t="n"/>
      <c r="C1751" s="16" t="n"/>
      <c r="D1751" s="17" t="n"/>
      <c r="E1751" s="17" t="n"/>
      <c r="F1751" s="17" t="n"/>
      <c r="G1751" s="17" t="n"/>
      <c r="H1751" s="18">
        <f>IF(AND(B1751="",C1751="",D1751="",E1751=""),"",IF(B1751="","⚠ Falta fecha",IF(C1751="","⚠ Falta monto",IF(D1751="","⚠ Falta categoría",IF(ISNA(MATCH(D1751,catNom,0)),"⚠ Categoría no existe",IF(E1751="","⚠ Falta cuenta",IF(ISNA(MATCH(E1751,ctaNom,0)),"⚠ Cuenta no existe",IF(AND(OR(I1751="Transferencia",I1751="Pago tarjeta"),G1751=""),"⚠ Indica la cuenta «Hacia»",IF(AND(G1751&lt;&gt;"",G1751=E1751),"⚠ «Hacia» igual a la cuenta",IF(AND(G1751&lt;&gt;"",ISNA(MATCH(G1751,ctaNom,0))),"⚠ «Hacia» no existe",IF(AND(I1751="Pago tarjeta",IFERROR(INDEX(ctaTipo,MATCH(G1751,ctaNom,0)),"")&lt;&gt;"Tarjeta de crédito"),"⚠ «Hacia» debe ser la tarjeta",IF(AND(I1751="Trading",IFERROR(INDEX(ctaTipo,MATCH(E1751,ctaNom,0)),"")&lt;&gt;"Cuenta de trading"),"⚠ Usa la cuenta de trading","✓"))))))))))))</f>
        <v/>
      </c>
      <c r="I1751" s="19">
        <f>IF(OR(B1751="",C1751="",D1751=""),"",IFERROR(INDEX(catTipo,MATCH(D1751,catNom,0))&amp;"",""))</f>
        <v/>
      </c>
      <c r="J1751" s="19">
        <f>IF(I1751="","",IFERROR(INDEX(catGrupo,MATCH(D1751,catNom,0))&amp;"",""))</f>
        <v/>
      </c>
      <c r="K1751" s="19">
        <f>IF(I1751="Gasto",IF(IFERROR(INDEX(catClas,MATCH(D1751,catNom,0))&amp;"","")="","Variable",IFERROR(INDEX(catClas,MATCH(D1751,catNom,0))&amp;"","")),"")</f>
        <v/>
      </c>
      <c r="L1751" s="19">
        <f>IF(I1751="","",IFERROR(INDEX(catAlim,MATCH(D1751,catNom,0))&amp;"",""))</f>
        <v/>
      </c>
      <c r="M1751" s="19">
        <f>IF(I1751="","",IFERROR(INDEX(catComida,MATCH(D1751,catNom,0))&amp;"",""))</f>
        <v/>
      </c>
      <c r="N1751" s="19">
        <f>IF(I1751="","",IFERROR(INDEX(ctaMon,MATCH(E1751,ctaNom,0))&amp;"","DOP"))</f>
        <v/>
      </c>
      <c r="O1751" s="20">
        <f>IF(I1751="","",C1751*IF(N1751="USD",TasaUSD,1))</f>
        <v/>
      </c>
      <c r="P1751" s="20">
        <f>IF(I1751="","",IF(I1751="Gasto",O1751,0))</f>
        <v/>
      </c>
      <c r="Q1751" s="20">
        <f>IF(I1751="","",IF(I1751="Ingreso",O1751,0))</f>
        <v/>
      </c>
      <c r="R1751" s="20">
        <f>IF(I1751="","",IF(I1751="Trading",O1751,0))</f>
        <v/>
      </c>
      <c r="S1751" s="19">
        <f>IF(I1751="","",IF(AND(I1751="Gasto",K1751="Variable",J1751&lt;&gt;"Trading",O1751&gt;0,O1751&lt;=Umbral),1,0))</f>
        <v/>
      </c>
      <c r="T1751" s="20">
        <f>IF(OR(I1751="",E1751=""),"",IF(OR(I1751="Gasto",I1751="Transferencia",I1751="Pago tarjeta"),-1,1)*C1751)</f>
        <v/>
      </c>
      <c r="U1751" s="20">
        <f>IF(OR(G1751="",AND(I1751&lt;&gt;"Transferencia",I1751&lt;&gt;"Pago tarjeta")),"",IF(IFERROR(INDEX(ctaMon,MATCH(G1751,ctaNom,0))&amp;"","DOP")=N1751,C1751,IF(N1751="USD",C1751*TasaUSD,C1751/TasaUSD)))</f>
        <v/>
      </c>
      <c r="V1751" s="20">
        <f>IF(I1751="","",IF(IFERROR(INDEX(ctaLiq,MATCH(E1751,ctaNom,0))="Sí",FALSE),IF(OR(I1751="Gasto",I1751="Transferencia",I1751="Pago tarjeta"),-1,1)*O1751,0)+IF(AND(U1751&lt;&gt;"",IFERROR(INDEX(ctaLiq,MATCH(G1751,ctaNom,0))="Sí",FALSE)),O1751,0))</f>
        <v/>
      </c>
      <c r="W1751" s="19">
        <f>IF(OR(F1751="",I1751=""),"",IF(COUNTIFS(F$6:F1751,F1751,I$6:I1751,"?*")=1,MAX(W$5:W1750)+1,""))</f>
        <v/>
      </c>
    </row>
    <row r="1752">
      <c r="B1752" s="15" t="n"/>
      <c r="C1752" s="16" t="n"/>
      <c r="D1752" s="17" t="n"/>
      <c r="E1752" s="17" t="n"/>
      <c r="F1752" s="17" t="n"/>
      <c r="G1752" s="17" t="n"/>
      <c r="H1752" s="18">
        <f>IF(AND(B1752="",C1752="",D1752="",E1752=""),"",IF(B1752="","⚠ Falta fecha",IF(C1752="","⚠ Falta monto",IF(D1752="","⚠ Falta categoría",IF(ISNA(MATCH(D1752,catNom,0)),"⚠ Categoría no existe",IF(E1752="","⚠ Falta cuenta",IF(ISNA(MATCH(E1752,ctaNom,0)),"⚠ Cuenta no existe",IF(AND(OR(I1752="Transferencia",I1752="Pago tarjeta"),G1752=""),"⚠ Indica la cuenta «Hacia»",IF(AND(G1752&lt;&gt;"",G1752=E1752),"⚠ «Hacia» igual a la cuenta",IF(AND(G1752&lt;&gt;"",ISNA(MATCH(G1752,ctaNom,0))),"⚠ «Hacia» no existe",IF(AND(I1752="Pago tarjeta",IFERROR(INDEX(ctaTipo,MATCH(G1752,ctaNom,0)),"")&lt;&gt;"Tarjeta de crédito"),"⚠ «Hacia» debe ser la tarjeta",IF(AND(I1752="Trading",IFERROR(INDEX(ctaTipo,MATCH(E1752,ctaNom,0)),"")&lt;&gt;"Cuenta de trading"),"⚠ Usa la cuenta de trading","✓"))))))))))))</f>
        <v/>
      </c>
      <c r="I1752" s="19">
        <f>IF(OR(B1752="",C1752="",D1752=""),"",IFERROR(INDEX(catTipo,MATCH(D1752,catNom,0))&amp;"",""))</f>
        <v/>
      </c>
      <c r="J1752" s="19">
        <f>IF(I1752="","",IFERROR(INDEX(catGrupo,MATCH(D1752,catNom,0))&amp;"",""))</f>
        <v/>
      </c>
      <c r="K1752" s="19">
        <f>IF(I1752="Gasto",IF(IFERROR(INDEX(catClas,MATCH(D1752,catNom,0))&amp;"","")="","Variable",IFERROR(INDEX(catClas,MATCH(D1752,catNom,0))&amp;"","")),"")</f>
        <v/>
      </c>
      <c r="L1752" s="19">
        <f>IF(I1752="","",IFERROR(INDEX(catAlim,MATCH(D1752,catNom,0))&amp;"",""))</f>
        <v/>
      </c>
      <c r="M1752" s="19">
        <f>IF(I1752="","",IFERROR(INDEX(catComida,MATCH(D1752,catNom,0))&amp;"",""))</f>
        <v/>
      </c>
      <c r="N1752" s="19">
        <f>IF(I1752="","",IFERROR(INDEX(ctaMon,MATCH(E1752,ctaNom,0))&amp;"","DOP"))</f>
        <v/>
      </c>
      <c r="O1752" s="20">
        <f>IF(I1752="","",C1752*IF(N1752="USD",TasaUSD,1))</f>
        <v/>
      </c>
      <c r="P1752" s="20">
        <f>IF(I1752="","",IF(I1752="Gasto",O1752,0))</f>
        <v/>
      </c>
      <c r="Q1752" s="20">
        <f>IF(I1752="","",IF(I1752="Ingreso",O1752,0))</f>
        <v/>
      </c>
      <c r="R1752" s="20">
        <f>IF(I1752="","",IF(I1752="Trading",O1752,0))</f>
        <v/>
      </c>
      <c r="S1752" s="19">
        <f>IF(I1752="","",IF(AND(I1752="Gasto",K1752="Variable",J1752&lt;&gt;"Trading",O1752&gt;0,O1752&lt;=Umbral),1,0))</f>
        <v/>
      </c>
      <c r="T1752" s="20">
        <f>IF(OR(I1752="",E1752=""),"",IF(OR(I1752="Gasto",I1752="Transferencia",I1752="Pago tarjeta"),-1,1)*C1752)</f>
        <v/>
      </c>
      <c r="U1752" s="20">
        <f>IF(OR(G1752="",AND(I1752&lt;&gt;"Transferencia",I1752&lt;&gt;"Pago tarjeta")),"",IF(IFERROR(INDEX(ctaMon,MATCH(G1752,ctaNom,0))&amp;"","DOP")=N1752,C1752,IF(N1752="USD",C1752*TasaUSD,C1752/TasaUSD)))</f>
        <v/>
      </c>
      <c r="V1752" s="20">
        <f>IF(I1752="","",IF(IFERROR(INDEX(ctaLiq,MATCH(E1752,ctaNom,0))="Sí",FALSE),IF(OR(I1752="Gasto",I1752="Transferencia",I1752="Pago tarjeta"),-1,1)*O1752,0)+IF(AND(U1752&lt;&gt;"",IFERROR(INDEX(ctaLiq,MATCH(G1752,ctaNom,0))="Sí",FALSE)),O1752,0))</f>
        <v/>
      </c>
      <c r="W1752" s="19">
        <f>IF(OR(F1752="",I1752=""),"",IF(COUNTIFS(F$6:F1752,F1752,I$6:I1752,"?*")=1,MAX(W$5:W1751)+1,""))</f>
        <v/>
      </c>
    </row>
    <row r="1753">
      <c r="B1753" s="15" t="n"/>
      <c r="C1753" s="16" t="n"/>
      <c r="D1753" s="17" t="n"/>
      <c r="E1753" s="17" t="n"/>
      <c r="F1753" s="17" t="n"/>
      <c r="G1753" s="17" t="n"/>
      <c r="H1753" s="18">
        <f>IF(AND(B1753="",C1753="",D1753="",E1753=""),"",IF(B1753="","⚠ Falta fecha",IF(C1753="","⚠ Falta monto",IF(D1753="","⚠ Falta categoría",IF(ISNA(MATCH(D1753,catNom,0)),"⚠ Categoría no existe",IF(E1753="","⚠ Falta cuenta",IF(ISNA(MATCH(E1753,ctaNom,0)),"⚠ Cuenta no existe",IF(AND(OR(I1753="Transferencia",I1753="Pago tarjeta"),G1753=""),"⚠ Indica la cuenta «Hacia»",IF(AND(G1753&lt;&gt;"",G1753=E1753),"⚠ «Hacia» igual a la cuenta",IF(AND(G1753&lt;&gt;"",ISNA(MATCH(G1753,ctaNom,0))),"⚠ «Hacia» no existe",IF(AND(I1753="Pago tarjeta",IFERROR(INDEX(ctaTipo,MATCH(G1753,ctaNom,0)),"")&lt;&gt;"Tarjeta de crédito"),"⚠ «Hacia» debe ser la tarjeta",IF(AND(I1753="Trading",IFERROR(INDEX(ctaTipo,MATCH(E1753,ctaNom,0)),"")&lt;&gt;"Cuenta de trading"),"⚠ Usa la cuenta de trading","✓"))))))))))))</f>
        <v/>
      </c>
      <c r="I1753" s="19">
        <f>IF(OR(B1753="",C1753="",D1753=""),"",IFERROR(INDEX(catTipo,MATCH(D1753,catNom,0))&amp;"",""))</f>
        <v/>
      </c>
      <c r="J1753" s="19">
        <f>IF(I1753="","",IFERROR(INDEX(catGrupo,MATCH(D1753,catNom,0))&amp;"",""))</f>
        <v/>
      </c>
      <c r="K1753" s="19">
        <f>IF(I1753="Gasto",IF(IFERROR(INDEX(catClas,MATCH(D1753,catNom,0))&amp;"","")="","Variable",IFERROR(INDEX(catClas,MATCH(D1753,catNom,0))&amp;"","")),"")</f>
        <v/>
      </c>
      <c r="L1753" s="19">
        <f>IF(I1753="","",IFERROR(INDEX(catAlim,MATCH(D1753,catNom,0))&amp;"",""))</f>
        <v/>
      </c>
      <c r="M1753" s="19">
        <f>IF(I1753="","",IFERROR(INDEX(catComida,MATCH(D1753,catNom,0))&amp;"",""))</f>
        <v/>
      </c>
      <c r="N1753" s="19">
        <f>IF(I1753="","",IFERROR(INDEX(ctaMon,MATCH(E1753,ctaNom,0))&amp;"","DOP"))</f>
        <v/>
      </c>
      <c r="O1753" s="20">
        <f>IF(I1753="","",C1753*IF(N1753="USD",TasaUSD,1))</f>
        <v/>
      </c>
      <c r="P1753" s="20">
        <f>IF(I1753="","",IF(I1753="Gasto",O1753,0))</f>
        <v/>
      </c>
      <c r="Q1753" s="20">
        <f>IF(I1753="","",IF(I1753="Ingreso",O1753,0))</f>
        <v/>
      </c>
      <c r="R1753" s="20">
        <f>IF(I1753="","",IF(I1753="Trading",O1753,0))</f>
        <v/>
      </c>
      <c r="S1753" s="19">
        <f>IF(I1753="","",IF(AND(I1753="Gasto",K1753="Variable",J1753&lt;&gt;"Trading",O1753&gt;0,O1753&lt;=Umbral),1,0))</f>
        <v/>
      </c>
      <c r="T1753" s="20">
        <f>IF(OR(I1753="",E1753=""),"",IF(OR(I1753="Gasto",I1753="Transferencia",I1753="Pago tarjeta"),-1,1)*C1753)</f>
        <v/>
      </c>
      <c r="U1753" s="20">
        <f>IF(OR(G1753="",AND(I1753&lt;&gt;"Transferencia",I1753&lt;&gt;"Pago tarjeta")),"",IF(IFERROR(INDEX(ctaMon,MATCH(G1753,ctaNom,0))&amp;"","DOP")=N1753,C1753,IF(N1753="USD",C1753*TasaUSD,C1753/TasaUSD)))</f>
        <v/>
      </c>
      <c r="V1753" s="20">
        <f>IF(I1753="","",IF(IFERROR(INDEX(ctaLiq,MATCH(E1753,ctaNom,0))="Sí",FALSE),IF(OR(I1753="Gasto",I1753="Transferencia",I1753="Pago tarjeta"),-1,1)*O1753,0)+IF(AND(U1753&lt;&gt;"",IFERROR(INDEX(ctaLiq,MATCH(G1753,ctaNom,0))="Sí",FALSE)),O1753,0))</f>
        <v/>
      </c>
      <c r="W1753" s="19">
        <f>IF(OR(F1753="",I1753=""),"",IF(COUNTIFS(F$6:F1753,F1753,I$6:I1753,"?*")=1,MAX(W$5:W1752)+1,""))</f>
        <v/>
      </c>
    </row>
    <row r="1754">
      <c r="B1754" s="15" t="n"/>
      <c r="C1754" s="16" t="n"/>
      <c r="D1754" s="17" t="n"/>
      <c r="E1754" s="17" t="n"/>
      <c r="F1754" s="17" t="n"/>
      <c r="G1754" s="17" t="n"/>
      <c r="H1754" s="18">
        <f>IF(AND(B1754="",C1754="",D1754="",E1754=""),"",IF(B1754="","⚠ Falta fecha",IF(C1754="","⚠ Falta monto",IF(D1754="","⚠ Falta categoría",IF(ISNA(MATCH(D1754,catNom,0)),"⚠ Categoría no existe",IF(E1754="","⚠ Falta cuenta",IF(ISNA(MATCH(E1754,ctaNom,0)),"⚠ Cuenta no existe",IF(AND(OR(I1754="Transferencia",I1754="Pago tarjeta"),G1754=""),"⚠ Indica la cuenta «Hacia»",IF(AND(G1754&lt;&gt;"",G1754=E1754),"⚠ «Hacia» igual a la cuenta",IF(AND(G1754&lt;&gt;"",ISNA(MATCH(G1754,ctaNom,0))),"⚠ «Hacia» no existe",IF(AND(I1754="Pago tarjeta",IFERROR(INDEX(ctaTipo,MATCH(G1754,ctaNom,0)),"")&lt;&gt;"Tarjeta de crédito"),"⚠ «Hacia» debe ser la tarjeta",IF(AND(I1754="Trading",IFERROR(INDEX(ctaTipo,MATCH(E1754,ctaNom,0)),"")&lt;&gt;"Cuenta de trading"),"⚠ Usa la cuenta de trading","✓"))))))))))))</f>
        <v/>
      </c>
      <c r="I1754" s="19">
        <f>IF(OR(B1754="",C1754="",D1754=""),"",IFERROR(INDEX(catTipo,MATCH(D1754,catNom,0))&amp;"",""))</f>
        <v/>
      </c>
      <c r="J1754" s="19">
        <f>IF(I1754="","",IFERROR(INDEX(catGrupo,MATCH(D1754,catNom,0))&amp;"",""))</f>
        <v/>
      </c>
      <c r="K1754" s="19">
        <f>IF(I1754="Gasto",IF(IFERROR(INDEX(catClas,MATCH(D1754,catNom,0))&amp;"","")="","Variable",IFERROR(INDEX(catClas,MATCH(D1754,catNom,0))&amp;"","")),"")</f>
        <v/>
      </c>
      <c r="L1754" s="19">
        <f>IF(I1754="","",IFERROR(INDEX(catAlim,MATCH(D1754,catNom,0))&amp;"",""))</f>
        <v/>
      </c>
      <c r="M1754" s="19">
        <f>IF(I1754="","",IFERROR(INDEX(catComida,MATCH(D1754,catNom,0))&amp;"",""))</f>
        <v/>
      </c>
      <c r="N1754" s="19">
        <f>IF(I1754="","",IFERROR(INDEX(ctaMon,MATCH(E1754,ctaNom,0))&amp;"","DOP"))</f>
        <v/>
      </c>
      <c r="O1754" s="20">
        <f>IF(I1754="","",C1754*IF(N1754="USD",TasaUSD,1))</f>
        <v/>
      </c>
      <c r="P1754" s="20">
        <f>IF(I1754="","",IF(I1754="Gasto",O1754,0))</f>
        <v/>
      </c>
      <c r="Q1754" s="20">
        <f>IF(I1754="","",IF(I1754="Ingreso",O1754,0))</f>
        <v/>
      </c>
      <c r="R1754" s="20">
        <f>IF(I1754="","",IF(I1754="Trading",O1754,0))</f>
        <v/>
      </c>
      <c r="S1754" s="19">
        <f>IF(I1754="","",IF(AND(I1754="Gasto",K1754="Variable",J1754&lt;&gt;"Trading",O1754&gt;0,O1754&lt;=Umbral),1,0))</f>
        <v/>
      </c>
      <c r="T1754" s="20">
        <f>IF(OR(I1754="",E1754=""),"",IF(OR(I1754="Gasto",I1754="Transferencia",I1754="Pago tarjeta"),-1,1)*C1754)</f>
        <v/>
      </c>
      <c r="U1754" s="20">
        <f>IF(OR(G1754="",AND(I1754&lt;&gt;"Transferencia",I1754&lt;&gt;"Pago tarjeta")),"",IF(IFERROR(INDEX(ctaMon,MATCH(G1754,ctaNom,0))&amp;"","DOP")=N1754,C1754,IF(N1754="USD",C1754*TasaUSD,C1754/TasaUSD)))</f>
        <v/>
      </c>
      <c r="V1754" s="20">
        <f>IF(I1754="","",IF(IFERROR(INDEX(ctaLiq,MATCH(E1754,ctaNom,0))="Sí",FALSE),IF(OR(I1754="Gasto",I1754="Transferencia",I1754="Pago tarjeta"),-1,1)*O1754,0)+IF(AND(U1754&lt;&gt;"",IFERROR(INDEX(ctaLiq,MATCH(G1754,ctaNom,0))="Sí",FALSE)),O1754,0))</f>
        <v/>
      </c>
      <c r="W1754" s="19">
        <f>IF(OR(F1754="",I1754=""),"",IF(COUNTIFS(F$6:F1754,F1754,I$6:I1754,"?*")=1,MAX(W$5:W1753)+1,""))</f>
        <v/>
      </c>
    </row>
    <row r="1755">
      <c r="B1755" s="15" t="n"/>
      <c r="C1755" s="16" t="n"/>
      <c r="D1755" s="17" t="n"/>
      <c r="E1755" s="17" t="n"/>
      <c r="F1755" s="17" t="n"/>
      <c r="G1755" s="17" t="n"/>
      <c r="H1755" s="18">
        <f>IF(AND(B1755="",C1755="",D1755="",E1755=""),"",IF(B1755="","⚠ Falta fecha",IF(C1755="","⚠ Falta monto",IF(D1755="","⚠ Falta categoría",IF(ISNA(MATCH(D1755,catNom,0)),"⚠ Categoría no existe",IF(E1755="","⚠ Falta cuenta",IF(ISNA(MATCH(E1755,ctaNom,0)),"⚠ Cuenta no existe",IF(AND(OR(I1755="Transferencia",I1755="Pago tarjeta"),G1755=""),"⚠ Indica la cuenta «Hacia»",IF(AND(G1755&lt;&gt;"",G1755=E1755),"⚠ «Hacia» igual a la cuenta",IF(AND(G1755&lt;&gt;"",ISNA(MATCH(G1755,ctaNom,0))),"⚠ «Hacia» no existe",IF(AND(I1755="Pago tarjeta",IFERROR(INDEX(ctaTipo,MATCH(G1755,ctaNom,0)),"")&lt;&gt;"Tarjeta de crédito"),"⚠ «Hacia» debe ser la tarjeta",IF(AND(I1755="Trading",IFERROR(INDEX(ctaTipo,MATCH(E1755,ctaNom,0)),"")&lt;&gt;"Cuenta de trading"),"⚠ Usa la cuenta de trading","✓"))))))))))))</f>
        <v/>
      </c>
      <c r="I1755" s="19">
        <f>IF(OR(B1755="",C1755="",D1755=""),"",IFERROR(INDEX(catTipo,MATCH(D1755,catNom,0))&amp;"",""))</f>
        <v/>
      </c>
      <c r="J1755" s="19">
        <f>IF(I1755="","",IFERROR(INDEX(catGrupo,MATCH(D1755,catNom,0))&amp;"",""))</f>
        <v/>
      </c>
      <c r="K1755" s="19">
        <f>IF(I1755="Gasto",IF(IFERROR(INDEX(catClas,MATCH(D1755,catNom,0))&amp;"","")="","Variable",IFERROR(INDEX(catClas,MATCH(D1755,catNom,0))&amp;"","")),"")</f>
        <v/>
      </c>
      <c r="L1755" s="19">
        <f>IF(I1755="","",IFERROR(INDEX(catAlim,MATCH(D1755,catNom,0))&amp;"",""))</f>
        <v/>
      </c>
      <c r="M1755" s="19">
        <f>IF(I1755="","",IFERROR(INDEX(catComida,MATCH(D1755,catNom,0))&amp;"",""))</f>
        <v/>
      </c>
      <c r="N1755" s="19">
        <f>IF(I1755="","",IFERROR(INDEX(ctaMon,MATCH(E1755,ctaNom,0))&amp;"","DOP"))</f>
        <v/>
      </c>
      <c r="O1755" s="20">
        <f>IF(I1755="","",C1755*IF(N1755="USD",TasaUSD,1))</f>
        <v/>
      </c>
      <c r="P1755" s="20">
        <f>IF(I1755="","",IF(I1755="Gasto",O1755,0))</f>
        <v/>
      </c>
      <c r="Q1755" s="20">
        <f>IF(I1755="","",IF(I1755="Ingreso",O1755,0))</f>
        <v/>
      </c>
      <c r="R1755" s="20">
        <f>IF(I1755="","",IF(I1755="Trading",O1755,0))</f>
        <v/>
      </c>
      <c r="S1755" s="19">
        <f>IF(I1755="","",IF(AND(I1755="Gasto",K1755="Variable",J1755&lt;&gt;"Trading",O1755&gt;0,O1755&lt;=Umbral),1,0))</f>
        <v/>
      </c>
      <c r="T1755" s="20">
        <f>IF(OR(I1755="",E1755=""),"",IF(OR(I1755="Gasto",I1755="Transferencia",I1755="Pago tarjeta"),-1,1)*C1755)</f>
        <v/>
      </c>
      <c r="U1755" s="20">
        <f>IF(OR(G1755="",AND(I1755&lt;&gt;"Transferencia",I1755&lt;&gt;"Pago tarjeta")),"",IF(IFERROR(INDEX(ctaMon,MATCH(G1755,ctaNom,0))&amp;"","DOP")=N1755,C1755,IF(N1755="USD",C1755*TasaUSD,C1755/TasaUSD)))</f>
        <v/>
      </c>
      <c r="V1755" s="20">
        <f>IF(I1755="","",IF(IFERROR(INDEX(ctaLiq,MATCH(E1755,ctaNom,0))="Sí",FALSE),IF(OR(I1755="Gasto",I1755="Transferencia",I1755="Pago tarjeta"),-1,1)*O1755,0)+IF(AND(U1755&lt;&gt;"",IFERROR(INDEX(ctaLiq,MATCH(G1755,ctaNom,0))="Sí",FALSE)),O1755,0))</f>
        <v/>
      </c>
      <c r="W1755" s="19">
        <f>IF(OR(F1755="",I1755=""),"",IF(COUNTIFS(F$6:F1755,F1755,I$6:I1755,"?*")=1,MAX(W$5:W1754)+1,""))</f>
        <v/>
      </c>
    </row>
    <row r="1756">
      <c r="B1756" s="15" t="n"/>
      <c r="C1756" s="16" t="n"/>
      <c r="D1756" s="17" t="n"/>
      <c r="E1756" s="17" t="n"/>
      <c r="F1756" s="17" t="n"/>
      <c r="G1756" s="17" t="n"/>
      <c r="H1756" s="18">
        <f>IF(AND(B1756="",C1756="",D1756="",E1756=""),"",IF(B1756="","⚠ Falta fecha",IF(C1756="","⚠ Falta monto",IF(D1756="","⚠ Falta categoría",IF(ISNA(MATCH(D1756,catNom,0)),"⚠ Categoría no existe",IF(E1756="","⚠ Falta cuenta",IF(ISNA(MATCH(E1756,ctaNom,0)),"⚠ Cuenta no existe",IF(AND(OR(I1756="Transferencia",I1756="Pago tarjeta"),G1756=""),"⚠ Indica la cuenta «Hacia»",IF(AND(G1756&lt;&gt;"",G1756=E1756),"⚠ «Hacia» igual a la cuenta",IF(AND(G1756&lt;&gt;"",ISNA(MATCH(G1756,ctaNom,0))),"⚠ «Hacia» no existe",IF(AND(I1756="Pago tarjeta",IFERROR(INDEX(ctaTipo,MATCH(G1756,ctaNom,0)),"")&lt;&gt;"Tarjeta de crédito"),"⚠ «Hacia» debe ser la tarjeta",IF(AND(I1756="Trading",IFERROR(INDEX(ctaTipo,MATCH(E1756,ctaNom,0)),"")&lt;&gt;"Cuenta de trading"),"⚠ Usa la cuenta de trading","✓"))))))))))))</f>
        <v/>
      </c>
      <c r="I1756" s="19">
        <f>IF(OR(B1756="",C1756="",D1756=""),"",IFERROR(INDEX(catTipo,MATCH(D1756,catNom,0))&amp;"",""))</f>
        <v/>
      </c>
      <c r="J1756" s="19">
        <f>IF(I1756="","",IFERROR(INDEX(catGrupo,MATCH(D1756,catNom,0))&amp;"",""))</f>
        <v/>
      </c>
      <c r="K1756" s="19">
        <f>IF(I1756="Gasto",IF(IFERROR(INDEX(catClas,MATCH(D1756,catNom,0))&amp;"","")="","Variable",IFERROR(INDEX(catClas,MATCH(D1756,catNom,0))&amp;"","")),"")</f>
        <v/>
      </c>
      <c r="L1756" s="19">
        <f>IF(I1756="","",IFERROR(INDEX(catAlim,MATCH(D1756,catNom,0))&amp;"",""))</f>
        <v/>
      </c>
      <c r="M1756" s="19">
        <f>IF(I1756="","",IFERROR(INDEX(catComida,MATCH(D1756,catNom,0))&amp;"",""))</f>
        <v/>
      </c>
      <c r="N1756" s="19">
        <f>IF(I1756="","",IFERROR(INDEX(ctaMon,MATCH(E1756,ctaNom,0))&amp;"","DOP"))</f>
        <v/>
      </c>
      <c r="O1756" s="20">
        <f>IF(I1756="","",C1756*IF(N1756="USD",TasaUSD,1))</f>
        <v/>
      </c>
      <c r="P1756" s="20">
        <f>IF(I1756="","",IF(I1756="Gasto",O1756,0))</f>
        <v/>
      </c>
      <c r="Q1756" s="20">
        <f>IF(I1756="","",IF(I1756="Ingreso",O1756,0))</f>
        <v/>
      </c>
      <c r="R1756" s="20">
        <f>IF(I1756="","",IF(I1756="Trading",O1756,0))</f>
        <v/>
      </c>
      <c r="S1756" s="19">
        <f>IF(I1756="","",IF(AND(I1756="Gasto",K1756="Variable",J1756&lt;&gt;"Trading",O1756&gt;0,O1756&lt;=Umbral),1,0))</f>
        <v/>
      </c>
      <c r="T1756" s="20">
        <f>IF(OR(I1756="",E1756=""),"",IF(OR(I1756="Gasto",I1756="Transferencia",I1756="Pago tarjeta"),-1,1)*C1756)</f>
        <v/>
      </c>
      <c r="U1756" s="20">
        <f>IF(OR(G1756="",AND(I1756&lt;&gt;"Transferencia",I1756&lt;&gt;"Pago tarjeta")),"",IF(IFERROR(INDEX(ctaMon,MATCH(G1756,ctaNom,0))&amp;"","DOP")=N1756,C1756,IF(N1756="USD",C1756*TasaUSD,C1756/TasaUSD)))</f>
        <v/>
      </c>
      <c r="V1756" s="20">
        <f>IF(I1756="","",IF(IFERROR(INDEX(ctaLiq,MATCH(E1756,ctaNom,0))="Sí",FALSE),IF(OR(I1756="Gasto",I1756="Transferencia",I1756="Pago tarjeta"),-1,1)*O1756,0)+IF(AND(U1756&lt;&gt;"",IFERROR(INDEX(ctaLiq,MATCH(G1756,ctaNom,0))="Sí",FALSE)),O1756,0))</f>
        <v/>
      </c>
      <c r="W1756" s="19">
        <f>IF(OR(F1756="",I1756=""),"",IF(COUNTIFS(F$6:F1756,F1756,I$6:I1756,"?*")=1,MAX(W$5:W1755)+1,""))</f>
        <v/>
      </c>
    </row>
    <row r="1757">
      <c r="B1757" s="15" t="n"/>
      <c r="C1757" s="16" t="n"/>
      <c r="D1757" s="17" t="n"/>
      <c r="E1757" s="17" t="n"/>
      <c r="F1757" s="17" t="n"/>
      <c r="G1757" s="17" t="n"/>
      <c r="H1757" s="18">
        <f>IF(AND(B1757="",C1757="",D1757="",E1757=""),"",IF(B1757="","⚠ Falta fecha",IF(C1757="","⚠ Falta monto",IF(D1757="","⚠ Falta categoría",IF(ISNA(MATCH(D1757,catNom,0)),"⚠ Categoría no existe",IF(E1757="","⚠ Falta cuenta",IF(ISNA(MATCH(E1757,ctaNom,0)),"⚠ Cuenta no existe",IF(AND(OR(I1757="Transferencia",I1757="Pago tarjeta"),G1757=""),"⚠ Indica la cuenta «Hacia»",IF(AND(G1757&lt;&gt;"",G1757=E1757),"⚠ «Hacia» igual a la cuenta",IF(AND(G1757&lt;&gt;"",ISNA(MATCH(G1757,ctaNom,0))),"⚠ «Hacia» no existe",IF(AND(I1757="Pago tarjeta",IFERROR(INDEX(ctaTipo,MATCH(G1757,ctaNom,0)),"")&lt;&gt;"Tarjeta de crédito"),"⚠ «Hacia» debe ser la tarjeta",IF(AND(I1757="Trading",IFERROR(INDEX(ctaTipo,MATCH(E1757,ctaNom,0)),"")&lt;&gt;"Cuenta de trading"),"⚠ Usa la cuenta de trading","✓"))))))))))))</f>
        <v/>
      </c>
      <c r="I1757" s="19">
        <f>IF(OR(B1757="",C1757="",D1757=""),"",IFERROR(INDEX(catTipo,MATCH(D1757,catNom,0))&amp;"",""))</f>
        <v/>
      </c>
      <c r="J1757" s="19">
        <f>IF(I1757="","",IFERROR(INDEX(catGrupo,MATCH(D1757,catNom,0))&amp;"",""))</f>
        <v/>
      </c>
      <c r="K1757" s="19">
        <f>IF(I1757="Gasto",IF(IFERROR(INDEX(catClas,MATCH(D1757,catNom,0))&amp;"","")="","Variable",IFERROR(INDEX(catClas,MATCH(D1757,catNom,0))&amp;"","")),"")</f>
        <v/>
      </c>
      <c r="L1757" s="19">
        <f>IF(I1757="","",IFERROR(INDEX(catAlim,MATCH(D1757,catNom,0))&amp;"",""))</f>
        <v/>
      </c>
      <c r="M1757" s="19">
        <f>IF(I1757="","",IFERROR(INDEX(catComida,MATCH(D1757,catNom,0))&amp;"",""))</f>
        <v/>
      </c>
      <c r="N1757" s="19">
        <f>IF(I1757="","",IFERROR(INDEX(ctaMon,MATCH(E1757,ctaNom,0))&amp;"","DOP"))</f>
        <v/>
      </c>
      <c r="O1757" s="20">
        <f>IF(I1757="","",C1757*IF(N1757="USD",TasaUSD,1))</f>
        <v/>
      </c>
      <c r="P1757" s="20">
        <f>IF(I1757="","",IF(I1757="Gasto",O1757,0))</f>
        <v/>
      </c>
      <c r="Q1757" s="20">
        <f>IF(I1757="","",IF(I1757="Ingreso",O1757,0))</f>
        <v/>
      </c>
      <c r="R1757" s="20">
        <f>IF(I1757="","",IF(I1757="Trading",O1757,0))</f>
        <v/>
      </c>
      <c r="S1757" s="19">
        <f>IF(I1757="","",IF(AND(I1757="Gasto",K1757="Variable",J1757&lt;&gt;"Trading",O1757&gt;0,O1757&lt;=Umbral),1,0))</f>
        <v/>
      </c>
      <c r="T1757" s="20">
        <f>IF(OR(I1757="",E1757=""),"",IF(OR(I1757="Gasto",I1757="Transferencia",I1757="Pago tarjeta"),-1,1)*C1757)</f>
        <v/>
      </c>
      <c r="U1757" s="20">
        <f>IF(OR(G1757="",AND(I1757&lt;&gt;"Transferencia",I1757&lt;&gt;"Pago tarjeta")),"",IF(IFERROR(INDEX(ctaMon,MATCH(G1757,ctaNom,0))&amp;"","DOP")=N1757,C1757,IF(N1757="USD",C1757*TasaUSD,C1757/TasaUSD)))</f>
        <v/>
      </c>
      <c r="V1757" s="20">
        <f>IF(I1757="","",IF(IFERROR(INDEX(ctaLiq,MATCH(E1757,ctaNom,0))="Sí",FALSE),IF(OR(I1757="Gasto",I1757="Transferencia",I1757="Pago tarjeta"),-1,1)*O1757,0)+IF(AND(U1757&lt;&gt;"",IFERROR(INDEX(ctaLiq,MATCH(G1757,ctaNom,0))="Sí",FALSE)),O1757,0))</f>
        <v/>
      </c>
      <c r="W1757" s="19">
        <f>IF(OR(F1757="",I1757=""),"",IF(COUNTIFS(F$6:F1757,F1757,I$6:I1757,"?*")=1,MAX(W$5:W1756)+1,""))</f>
        <v/>
      </c>
    </row>
    <row r="1758">
      <c r="B1758" s="15" t="n"/>
      <c r="C1758" s="16" t="n"/>
      <c r="D1758" s="17" t="n"/>
      <c r="E1758" s="17" t="n"/>
      <c r="F1758" s="17" t="n"/>
      <c r="G1758" s="17" t="n"/>
      <c r="H1758" s="18">
        <f>IF(AND(B1758="",C1758="",D1758="",E1758=""),"",IF(B1758="","⚠ Falta fecha",IF(C1758="","⚠ Falta monto",IF(D1758="","⚠ Falta categoría",IF(ISNA(MATCH(D1758,catNom,0)),"⚠ Categoría no existe",IF(E1758="","⚠ Falta cuenta",IF(ISNA(MATCH(E1758,ctaNom,0)),"⚠ Cuenta no existe",IF(AND(OR(I1758="Transferencia",I1758="Pago tarjeta"),G1758=""),"⚠ Indica la cuenta «Hacia»",IF(AND(G1758&lt;&gt;"",G1758=E1758),"⚠ «Hacia» igual a la cuenta",IF(AND(G1758&lt;&gt;"",ISNA(MATCH(G1758,ctaNom,0))),"⚠ «Hacia» no existe",IF(AND(I1758="Pago tarjeta",IFERROR(INDEX(ctaTipo,MATCH(G1758,ctaNom,0)),"")&lt;&gt;"Tarjeta de crédito"),"⚠ «Hacia» debe ser la tarjeta",IF(AND(I1758="Trading",IFERROR(INDEX(ctaTipo,MATCH(E1758,ctaNom,0)),"")&lt;&gt;"Cuenta de trading"),"⚠ Usa la cuenta de trading","✓"))))))))))))</f>
        <v/>
      </c>
      <c r="I1758" s="19">
        <f>IF(OR(B1758="",C1758="",D1758=""),"",IFERROR(INDEX(catTipo,MATCH(D1758,catNom,0))&amp;"",""))</f>
        <v/>
      </c>
      <c r="J1758" s="19">
        <f>IF(I1758="","",IFERROR(INDEX(catGrupo,MATCH(D1758,catNom,0))&amp;"",""))</f>
        <v/>
      </c>
      <c r="K1758" s="19">
        <f>IF(I1758="Gasto",IF(IFERROR(INDEX(catClas,MATCH(D1758,catNom,0))&amp;"","")="","Variable",IFERROR(INDEX(catClas,MATCH(D1758,catNom,0))&amp;"","")),"")</f>
        <v/>
      </c>
      <c r="L1758" s="19">
        <f>IF(I1758="","",IFERROR(INDEX(catAlim,MATCH(D1758,catNom,0))&amp;"",""))</f>
        <v/>
      </c>
      <c r="M1758" s="19">
        <f>IF(I1758="","",IFERROR(INDEX(catComida,MATCH(D1758,catNom,0))&amp;"",""))</f>
        <v/>
      </c>
      <c r="N1758" s="19">
        <f>IF(I1758="","",IFERROR(INDEX(ctaMon,MATCH(E1758,ctaNom,0))&amp;"","DOP"))</f>
        <v/>
      </c>
      <c r="O1758" s="20">
        <f>IF(I1758="","",C1758*IF(N1758="USD",TasaUSD,1))</f>
        <v/>
      </c>
      <c r="P1758" s="20">
        <f>IF(I1758="","",IF(I1758="Gasto",O1758,0))</f>
        <v/>
      </c>
      <c r="Q1758" s="20">
        <f>IF(I1758="","",IF(I1758="Ingreso",O1758,0))</f>
        <v/>
      </c>
      <c r="R1758" s="20">
        <f>IF(I1758="","",IF(I1758="Trading",O1758,0))</f>
        <v/>
      </c>
      <c r="S1758" s="19">
        <f>IF(I1758="","",IF(AND(I1758="Gasto",K1758="Variable",J1758&lt;&gt;"Trading",O1758&gt;0,O1758&lt;=Umbral),1,0))</f>
        <v/>
      </c>
      <c r="T1758" s="20">
        <f>IF(OR(I1758="",E1758=""),"",IF(OR(I1758="Gasto",I1758="Transferencia",I1758="Pago tarjeta"),-1,1)*C1758)</f>
        <v/>
      </c>
      <c r="U1758" s="20">
        <f>IF(OR(G1758="",AND(I1758&lt;&gt;"Transferencia",I1758&lt;&gt;"Pago tarjeta")),"",IF(IFERROR(INDEX(ctaMon,MATCH(G1758,ctaNom,0))&amp;"","DOP")=N1758,C1758,IF(N1758="USD",C1758*TasaUSD,C1758/TasaUSD)))</f>
        <v/>
      </c>
      <c r="V1758" s="20">
        <f>IF(I1758="","",IF(IFERROR(INDEX(ctaLiq,MATCH(E1758,ctaNom,0))="Sí",FALSE),IF(OR(I1758="Gasto",I1758="Transferencia",I1758="Pago tarjeta"),-1,1)*O1758,0)+IF(AND(U1758&lt;&gt;"",IFERROR(INDEX(ctaLiq,MATCH(G1758,ctaNom,0))="Sí",FALSE)),O1758,0))</f>
        <v/>
      </c>
      <c r="W1758" s="19">
        <f>IF(OR(F1758="",I1758=""),"",IF(COUNTIFS(F$6:F1758,F1758,I$6:I1758,"?*")=1,MAX(W$5:W1757)+1,""))</f>
        <v/>
      </c>
    </row>
    <row r="1759">
      <c r="B1759" s="15" t="n"/>
      <c r="C1759" s="16" t="n"/>
      <c r="D1759" s="17" t="n"/>
      <c r="E1759" s="17" t="n"/>
      <c r="F1759" s="17" t="n"/>
      <c r="G1759" s="17" t="n"/>
      <c r="H1759" s="18">
        <f>IF(AND(B1759="",C1759="",D1759="",E1759=""),"",IF(B1759="","⚠ Falta fecha",IF(C1759="","⚠ Falta monto",IF(D1759="","⚠ Falta categoría",IF(ISNA(MATCH(D1759,catNom,0)),"⚠ Categoría no existe",IF(E1759="","⚠ Falta cuenta",IF(ISNA(MATCH(E1759,ctaNom,0)),"⚠ Cuenta no existe",IF(AND(OR(I1759="Transferencia",I1759="Pago tarjeta"),G1759=""),"⚠ Indica la cuenta «Hacia»",IF(AND(G1759&lt;&gt;"",G1759=E1759),"⚠ «Hacia» igual a la cuenta",IF(AND(G1759&lt;&gt;"",ISNA(MATCH(G1759,ctaNom,0))),"⚠ «Hacia» no existe",IF(AND(I1759="Pago tarjeta",IFERROR(INDEX(ctaTipo,MATCH(G1759,ctaNom,0)),"")&lt;&gt;"Tarjeta de crédito"),"⚠ «Hacia» debe ser la tarjeta",IF(AND(I1759="Trading",IFERROR(INDEX(ctaTipo,MATCH(E1759,ctaNom,0)),"")&lt;&gt;"Cuenta de trading"),"⚠ Usa la cuenta de trading","✓"))))))))))))</f>
        <v/>
      </c>
      <c r="I1759" s="19">
        <f>IF(OR(B1759="",C1759="",D1759=""),"",IFERROR(INDEX(catTipo,MATCH(D1759,catNom,0))&amp;"",""))</f>
        <v/>
      </c>
      <c r="J1759" s="19">
        <f>IF(I1759="","",IFERROR(INDEX(catGrupo,MATCH(D1759,catNom,0))&amp;"",""))</f>
        <v/>
      </c>
      <c r="K1759" s="19">
        <f>IF(I1759="Gasto",IF(IFERROR(INDEX(catClas,MATCH(D1759,catNom,0))&amp;"","")="","Variable",IFERROR(INDEX(catClas,MATCH(D1759,catNom,0))&amp;"","")),"")</f>
        <v/>
      </c>
      <c r="L1759" s="19">
        <f>IF(I1759="","",IFERROR(INDEX(catAlim,MATCH(D1759,catNom,0))&amp;"",""))</f>
        <v/>
      </c>
      <c r="M1759" s="19">
        <f>IF(I1759="","",IFERROR(INDEX(catComida,MATCH(D1759,catNom,0))&amp;"",""))</f>
        <v/>
      </c>
      <c r="N1759" s="19">
        <f>IF(I1759="","",IFERROR(INDEX(ctaMon,MATCH(E1759,ctaNom,0))&amp;"","DOP"))</f>
        <v/>
      </c>
      <c r="O1759" s="20">
        <f>IF(I1759="","",C1759*IF(N1759="USD",TasaUSD,1))</f>
        <v/>
      </c>
      <c r="P1759" s="20">
        <f>IF(I1759="","",IF(I1759="Gasto",O1759,0))</f>
        <v/>
      </c>
      <c r="Q1759" s="20">
        <f>IF(I1759="","",IF(I1759="Ingreso",O1759,0))</f>
        <v/>
      </c>
      <c r="R1759" s="20">
        <f>IF(I1759="","",IF(I1759="Trading",O1759,0))</f>
        <v/>
      </c>
      <c r="S1759" s="19">
        <f>IF(I1759="","",IF(AND(I1759="Gasto",K1759="Variable",J1759&lt;&gt;"Trading",O1759&gt;0,O1759&lt;=Umbral),1,0))</f>
        <v/>
      </c>
      <c r="T1759" s="20">
        <f>IF(OR(I1759="",E1759=""),"",IF(OR(I1759="Gasto",I1759="Transferencia",I1759="Pago tarjeta"),-1,1)*C1759)</f>
        <v/>
      </c>
      <c r="U1759" s="20">
        <f>IF(OR(G1759="",AND(I1759&lt;&gt;"Transferencia",I1759&lt;&gt;"Pago tarjeta")),"",IF(IFERROR(INDEX(ctaMon,MATCH(G1759,ctaNom,0))&amp;"","DOP")=N1759,C1759,IF(N1759="USD",C1759*TasaUSD,C1759/TasaUSD)))</f>
        <v/>
      </c>
      <c r="V1759" s="20">
        <f>IF(I1759="","",IF(IFERROR(INDEX(ctaLiq,MATCH(E1759,ctaNom,0))="Sí",FALSE),IF(OR(I1759="Gasto",I1759="Transferencia",I1759="Pago tarjeta"),-1,1)*O1759,0)+IF(AND(U1759&lt;&gt;"",IFERROR(INDEX(ctaLiq,MATCH(G1759,ctaNom,0))="Sí",FALSE)),O1759,0))</f>
        <v/>
      </c>
      <c r="W1759" s="19">
        <f>IF(OR(F1759="",I1759=""),"",IF(COUNTIFS(F$6:F1759,F1759,I$6:I1759,"?*")=1,MAX(W$5:W1758)+1,""))</f>
        <v/>
      </c>
    </row>
    <row r="1760">
      <c r="B1760" s="15" t="n"/>
      <c r="C1760" s="16" t="n"/>
      <c r="D1760" s="17" t="n"/>
      <c r="E1760" s="17" t="n"/>
      <c r="F1760" s="17" t="n"/>
      <c r="G1760" s="17" t="n"/>
      <c r="H1760" s="18">
        <f>IF(AND(B1760="",C1760="",D1760="",E1760=""),"",IF(B1760="","⚠ Falta fecha",IF(C1760="","⚠ Falta monto",IF(D1760="","⚠ Falta categoría",IF(ISNA(MATCH(D1760,catNom,0)),"⚠ Categoría no existe",IF(E1760="","⚠ Falta cuenta",IF(ISNA(MATCH(E1760,ctaNom,0)),"⚠ Cuenta no existe",IF(AND(OR(I1760="Transferencia",I1760="Pago tarjeta"),G1760=""),"⚠ Indica la cuenta «Hacia»",IF(AND(G1760&lt;&gt;"",G1760=E1760),"⚠ «Hacia» igual a la cuenta",IF(AND(G1760&lt;&gt;"",ISNA(MATCH(G1760,ctaNom,0))),"⚠ «Hacia» no existe",IF(AND(I1760="Pago tarjeta",IFERROR(INDEX(ctaTipo,MATCH(G1760,ctaNom,0)),"")&lt;&gt;"Tarjeta de crédito"),"⚠ «Hacia» debe ser la tarjeta",IF(AND(I1760="Trading",IFERROR(INDEX(ctaTipo,MATCH(E1760,ctaNom,0)),"")&lt;&gt;"Cuenta de trading"),"⚠ Usa la cuenta de trading","✓"))))))))))))</f>
        <v/>
      </c>
      <c r="I1760" s="19">
        <f>IF(OR(B1760="",C1760="",D1760=""),"",IFERROR(INDEX(catTipo,MATCH(D1760,catNom,0))&amp;"",""))</f>
        <v/>
      </c>
      <c r="J1760" s="19">
        <f>IF(I1760="","",IFERROR(INDEX(catGrupo,MATCH(D1760,catNom,0))&amp;"",""))</f>
        <v/>
      </c>
      <c r="K1760" s="19">
        <f>IF(I1760="Gasto",IF(IFERROR(INDEX(catClas,MATCH(D1760,catNom,0))&amp;"","")="","Variable",IFERROR(INDEX(catClas,MATCH(D1760,catNom,0))&amp;"","")),"")</f>
        <v/>
      </c>
      <c r="L1760" s="19">
        <f>IF(I1760="","",IFERROR(INDEX(catAlim,MATCH(D1760,catNom,0))&amp;"",""))</f>
        <v/>
      </c>
      <c r="M1760" s="19">
        <f>IF(I1760="","",IFERROR(INDEX(catComida,MATCH(D1760,catNom,0))&amp;"",""))</f>
        <v/>
      </c>
      <c r="N1760" s="19">
        <f>IF(I1760="","",IFERROR(INDEX(ctaMon,MATCH(E1760,ctaNom,0))&amp;"","DOP"))</f>
        <v/>
      </c>
      <c r="O1760" s="20">
        <f>IF(I1760="","",C1760*IF(N1760="USD",TasaUSD,1))</f>
        <v/>
      </c>
      <c r="P1760" s="20">
        <f>IF(I1760="","",IF(I1760="Gasto",O1760,0))</f>
        <v/>
      </c>
      <c r="Q1760" s="20">
        <f>IF(I1760="","",IF(I1760="Ingreso",O1760,0))</f>
        <v/>
      </c>
      <c r="R1760" s="20">
        <f>IF(I1760="","",IF(I1760="Trading",O1760,0))</f>
        <v/>
      </c>
      <c r="S1760" s="19">
        <f>IF(I1760="","",IF(AND(I1760="Gasto",K1760="Variable",J1760&lt;&gt;"Trading",O1760&gt;0,O1760&lt;=Umbral),1,0))</f>
        <v/>
      </c>
      <c r="T1760" s="20">
        <f>IF(OR(I1760="",E1760=""),"",IF(OR(I1760="Gasto",I1760="Transferencia",I1760="Pago tarjeta"),-1,1)*C1760)</f>
        <v/>
      </c>
      <c r="U1760" s="20">
        <f>IF(OR(G1760="",AND(I1760&lt;&gt;"Transferencia",I1760&lt;&gt;"Pago tarjeta")),"",IF(IFERROR(INDEX(ctaMon,MATCH(G1760,ctaNom,0))&amp;"","DOP")=N1760,C1760,IF(N1760="USD",C1760*TasaUSD,C1760/TasaUSD)))</f>
        <v/>
      </c>
      <c r="V1760" s="20">
        <f>IF(I1760="","",IF(IFERROR(INDEX(ctaLiq,MATCH(E1760,ctaNom,0))="Sí",FALSE),IF(OR(I1760="Gasto",I1760="Transferencia",I1760="Pago tarjeta"),-1,1)*O1760,0)+IF(AND(U1760&lt;&gt;"",IFERROR(INDEX(ctaLiq,MATCH(G1760,ctaNom,0))="Sí",FALSE)),O1760,0))</f>
        <v/>
      </c>
      <c r="W1760" s="19">
        <f>IF(OR(F1760="",I1760=""),"",IF(COUNTIFS(F$6:F1760,F1760,I$6:I1760,"?*")=1,MAX(W$5:W1759)+1,""))</f>
        <v/>
      </c>
    </row>
    <row r="1761">
      <c r="B1761" s="15" t="n"/>
      <c r="C1761" s="16" t="n"/>
      <c r="D1761" s="17" t="n"/>
      <c r="E1761" s="17" t="n"/>
      <c r="F1761" s="17" t="n"/>
      <c r="G1761" s="17" t="n"/>
      <c r="H1761" s="18">
        <f>IF(AND(B1761="",C1761="",D1761="",E1761=""),"",IF(B1761="","⚠ Falta fecha",IF(C1761="","⚠ Falta monto",IF(D1761="","⚠ Falta categoría",IF(ISNA(MATCH(D1761,catNom,0)),"⚠ Categoría no existe",IF(E1761="","⚠ Falta cuenta",IF(ISNA(MATCH(E1761,ctaNom,0)),"⚠ Cuenta no existe",IF(AND(OR(I1761="Transferencia",I1761="Pago tarjeta"),G1761=""),"⚠ Indica la cuenta «Hacia»",IF(AND(G1761&lt;&gt;"",G1761=E1761),"⚠ «Hacia» igual a la cuenta",IF(AND(G1761&lt;&gt;"",ISNA(MATCH(G1761,ctaNom,0))),"⚠ «Hacia» no existe",IF(AND(I1761="Pago tarjeta",IFERROR(INDEX(ctaTipo,MATCH(G1761,ctaNom,0)),"")&lt;&gt;"Tarjeta de crédito"),"⚠ «Hacia» debe ser la tarjeta",IF(AND(I1761="Trading",IFERROR(INDEX(ctaTipo,MATCH(E1761,ctaNom,0)),"")&lt;&gt;"Cuenta de trading"),"⚠ Usa la cuenta de trading","✓"))))))))))))</f>
        <v/>
      </c>
      <c r="I1761" s="19">
        <f>IF(OR(B1761="",C1761="",D1761=""),"",IFERROR(INDEX(catTipo,MATCH(D1761,catNom,0))&amp;"",""))</f>
        <v/>
      </c>
      <c r="J1761" s="19">
        <f>IF(I1761="","",IFERROR(INDEX(catGrupo,MATCH(D1761,catNom,0))&amp;"",""))</f>
        <v/>
      </c>
      <c r="K1761" s="19">
        <f>IF(I1761="Gasto",IF(IFERROR(INDEX(catClas,MATCH(D1761,catNom,0))&amp;"","")="","Variable",IFERROR(INDEX(catClas,MATCH(D1761,catNom,0))&amp;"","")),"")</f>
        <v/>
      </c>
      <c r="L1761" s="19">
        <f>IF(I1761="","",IFERROR(INDEX(catAlim,MATCH(D1761,catNom,0))&amp;"",""))</f>
        <v/>
      </c>
      <c r="M1761" s="19">
        <f>IF(I1761="","",IFERROR(INDEX(catComida,MATCH(D1761,catNom,0))&amp;"",""))</f>
        <v/>
      </c>
      <c r="N1761" s="19">
        <f>IF(I1761="","",IFERROR(INDEX(ctaMon,MATCH(E1761,ctaNom,0))&amp;"","DOP"))</f>
        <v/>
      </c>
      <c r="O1761" s="20">
        <f>IF(I1761="","",C1761*IF(N1761="USD",TasaUSD,1))</f>
        <v/>
      </c>
      <c r="P1761" s="20">
        <f>IF(I1761="","",IF(I1761="Gasto",O1761,0))</f>
        <v/>
      </c>
      <c r="Q1761" s="20">
        <f>IF(I1761="","",IF(I1761="Ingreso",O1761,0))</f>
        <v/>
      </c>
      <c r="R1761" s="20">
        <f>IF(I1761="","",IF(I1761="Trading",O1761,0))</f>
        <v/>
      </c>
      <c r="S1761" s="19">
        <f>IF(I1761="","",IF(AND(I1761="Gasto",K1761="Variable",J1761&lt;&gt;"Trading",O1761&gt;0,O1761&lt;=Umbral),1,0))</f>
        <v/>
      </c>
      <c r="T1761" s="20">
        <f>IF(OR(I1761="",E1761=""),"",IF(OR(I1761="Gasto",I1761="Transferencia",I1761="Pago tarjeta"),-1,1)*C1761)</f>
        <v/>
      </c>
      <c r="U1761" s="20">
        <f>IF(OR(G1761="",AND(I1761&lt;&gt;"Transferencia",I1761&lt;&gt;"Pago tarjeta")),"",IF(IFERROR(INDEX(ctaMon,MATCH(G1761,ctaNom,0))&amp;"","DOP")=N1761,C1761,IF(N1761="USD",C1761*TasaUSD,C1761/TasaUSD)))</f>
        <v/>
      </c>
      <c r="V1761" s="20">
        <f>IF(I1761="","",IF(IFERROR(INDEX(ctaLiq,MATCH(E1761,ctaNom,0))="Sí",FALSE),IF(OR(I1761="Gasto",I1761="Transferencia",I1761="Pago tarjeta"),-1,1)*O1761,0)+IF(AND(U1761&lt;&gt;"",IFERROR(INDEX(ctaLiq,MATCH(G1761,ctaNom,0))="Sí",FALSE)),O1761,0))</f>
        <v/>
      </c>
      <c r="W1761" s="19">
        <f>IF(OR(F1761="",I1761=""),"",IF(COUNTIFS(F$6:F1761,F1761,I$6:I1761,"?*")=1,MAX(W$5:W1760)+1,""))</f>
        <v/>
      </c>
    </row>
    <row r="1762">
      <c r="B1762" s="15" t="n"/>
      <c r="C1762" s="16" t="n"/>
      <c r="D1762" s="17" t="n"/>
      <c r="E1762" s="17" t="n"/>
      <c r="F1762" s="17" t="n"/>
      <c r="G1762" s="17" t="n"/>
      <c r="H1762" s="18">
        <f>IF(AND(B1762="",C1762="",D1762="",E1762=""),"",IF(B1762="","⚠ Falta fecha",IF(C1762="","⚠ Falta monto",IF(D1762="","⚠ Falta categoría",IF(ISNA(MATCH(D1762,catNom,0)),"⚠ Categoría no existe",IF(E1762="","⚠ Falta cuenta",IF(ISNA(MATCH(E1762,ctaNom,0)),"⚠ Cuenta no existe",IF(AND(OR(I1762="Transferencia",I1762="Pago tarjeta"),G1762=""),"⚠ Indica la cuenta «Hacia»",IF(AND(G1762&lt;&gt;"",G1762=E1762),"⚠ «Hacia» igual a la cuenta",IF(AND(G1762&lt;&gt;"",ISNA(MATCH(G1762,ctaNom,0))),"⚠ «Hacia» no existe",IF(AND(I1762="Pago tarjeta",IFERROR(INDEX(ctaTipo,MATCH(G1762,ctaNom,0)),"")&lt;&gt;"Tarjeta de crédito"),"⚠ «Hacia» debe ser la tarjeta",IF(AND(I1762="Trading",IFERROR(INDEX(ctaTipo,MATCH(E1762,ctaNom,0)),"")&lt;&gt;"Cuenta de trading"),"⚠ Usa la cuenta de trading","✓"))))))))))))</f>
        <v/>
      </c>
      <c r="I1762" s="19">
        <f>IF(OR(B1762="",C1762="",D1762=""),"",IFERROR(INDEX(catTipo,MATCH(D1762,catNom,0))&amp;"",""))</f>
        <v/>
      </c>
      <c r="J1762" s="19">
        <f>IF(I1762="","",IFERROR(INDEX(catGrupo,MATCH(D1762,catNom,0))&amp;"",""))</f>
        <v/>
      </c>
      <c r="K1762" s="19">
        <f>IF(I1762="Gasto",IF(IFERROR(INDEX(catClas,MATCH(D1762,catNom,0))&amp;"","")="","Variable",IFERROR(INDEX(catClas,MATCH(D1762,catNom,0))&amp;"","")),"")</f>
        <v/>
      </c>
      <c r="L1762" s="19">
        <f>IF(I1762="","",IFERROR(INDEX(catAlim,MATCH(D1762,catNom,0))&amp;"",""))</f>
        <v/>
      </c>
      <c r="M1762" s="19">
        <f>IF(I1762="","",IFERROR(INDEX(catComida,MATCH(D1762,catNom,0))&amp;"",""))</f>
        <v/>
      </c>
      <c r="N1762" s="19">
        <f>IF(I1762="","",IFERROR(INDEX(ctaMon,MATCH(E1762,ctaNom,0))&amp;"","DOP"))</f>
        <v/>
      </c>
      <c r="O1762" s="20">
        <f>IF(I1762="","",C1762*IF(N1762="USD",TasaUSD,1))</f>
        <v/>
      </c>
      <c r="P1762" s="20">
        <f>IF(I1762="","",IF(I1762="Gasto",O1762,0))</f>
        <v/>
      </c>
      <c r="Q1762" s="20">
        <f>IF(I1762="","",IF(I1762="Ingreso",O1762,0))</f>
        <v/>
      </c>
      <c r="R1762" s="20">
        <f>IF(I1762="","",IF(I1762="Trading",O1762,0))</f>
        <v/>
      </c>
      <c r="S1762" s="19">
        <f>IF(I1762="","",IF(AND(I1762="Gasto",K1762="Variable",J1762&lt;&gt;"Trading",O1762&gt;0,O1762&lt;=Umbral),1,0))</f>
        <v/>
      </c>
      <c r="T1762" s="20">
        <f>IF(OR(I1762="",E1762=""),"",IF(OR(I1762="Gasto",I1762="Transferencia",I1762="Pago tarjeta"),-1,1)*C1762)</f>
        <v/>
      </c>
      <c r="U1762" s="20">
        <f>IF(OR(G1762="",AND(I1762&lt;&gt;"Transferencia",I1762&lt;&gt;"Pago tarjeta")),"",IF(IFERROR(INDEX(ctaMon,MATCH(G1762,ctaNom,0))&amp;"","DOP")=N1762,C1762,IF(N1762="USD",C1762*TasaUSD,C1762/TasaUSD)))</f>
        <v/>
      </c>
      <c r="V1762" s="20">
        <f>IF(I1762="","",IF(IFERROR(INDEX(ctaLiq,MATCH(E1762,ctaNom,0))="Sí",FALSE),IF(OR(I1762="Gasto",I1762="Transferencia",I1762="Pago tarjeta"),-1,1)*O1762,0)+IF(AND(U1762&lt;&gt;"",IFERROR(INDEX(ctaLiq,MATCH(G1762,ctaNom,0))="Sí",FALSE)),O1762,0))</f>
        <v/>
      </c>
      <c r="W1762" s="19">
        <f>IF(OR(F1762="",I1762=""),"",IF(COUNTIFS(F$6:F1762,F1762,I$6:I1762,"?*")=1,MAX(W$5:W1761)+1,""))</f>
        <v/>
      </c>
    </row>
    <row r="1763">
      <c r="B1763" s="15" t="n"/>
      <c r="C1763" s="16" t="n"/>
      <c r="D1763" s="17" t="n"/>
      <c r="E1763" s="17" t="n"/>
      <c r="F1763" s="17" t="n"/>
      <c r="G1763" s="17" t="n"/>
      <c r="H1763" s="18">
        <f>IF(AND(B1763="",C1763="",D1763="",E1763=""),"",IF(B1763="","⚠ Falta fecha",IF(C1763="","⚠ Falta monto",IF(D1763="","⚠ Falta categoría",IF(ISNA(MATCH(D1763,catNom,0)),"⚠ Categoría no existe",IF(E1763="","⚠ Falta cuenta",IF(ISNA(MATCH(E1763,ctaNom,0)),"⚠ Cuenta no existe",IF(AND(OR(I1763="Transferencia",I1763="Pago tarjeta"),G1763=""),"⚠ Indica la cuenta «Hacia»",IF(AND(G1763&lt;&gt;"",G1763=E1763),"⚠ «Hacia» igual a la cuenta",IF(AND(G1763&lt;&gt;"",ISNA(MATCH(G1763,ctaNom,0))),"⚠ «Hacia» no existe",IF(AND(I1763="Pago tarjeta",IFERROR(INDEX(ctaTipo,MATCH(G1763,ctaNom,0)),"")&lt;&gt;"Tarjeta de crédito"),"⚠ «Hacia» debe ser la tarjeta",IF(AND(I1763="Trading",IFERROR(INDEX(ctaTipo,MATCH(E1763,ctaNom,0)),"")&lt;&gt;"Cuenta de trading"),"⚠ Usa la cuenta de trading","✓"))))))))))))</f>
        <v/>
      </c>
      <c r="I1763" s="19">
        <f>IF(OR(B1763="",C1763="",D1763=""),"",IFERROR(INDEX(catTipo,MATCH(D1763,catNom,0))&amp;"",""))</f>
        <v/>
      </c>
      <c r="J1763" s="19">
        <f>IF(I1763="","",IFERROR(INDEX(catGrupo,MATCH(D1763,catNom,0))&amp;"",""))</f>
        <v/>
      </c>
      <c r="K1763" s="19">
        <f>IF(I1763="Gasto",IF(IFERROR(INDEX(catClas,MATCH(D1763,catNom,0))&amp;"","")="","Variable",IFERROR(INDEX(catClas,MATCH(D1763,catNom,0))&amp;"","")),"")</f>
        <v/>
      </c>
      <c r="L1763" s="19">
        <f>IF(I1763="","",IFERROR(INDEX(catAlim,MATCH(D1763,catNom,0))&amp;"",""))</f>
        <v/>
      </c>
      <c r="M1763" s="19">
        <f>IF(I1763="","",IFERROR(INDEX(catComida,MATCH(D1763,catNom,0))&amp;"",""))</f>
        <v/>
      </c>
      <c r="N1763" s="19">
        <f>IF(I1763="","",IFERROR(INDEX(ctaMon,MATCH(E1763,ctaNom,0))&amp;"","DOP"))</f>
        <v/>
      </c>
      <c r="O1763" s="20">
        <f>IF(I1763="","",C1763*IF(N1763="USD",TasaUSD,1))</f>
        <v/>
      </c>
      <c r="P1763" s="20">
        <f>IF(I1763="","",IF(I1763="Gasto",O1763,0))</f>
        <v/>
      </c>
      <c r="Q1763" s="20">
        <f>IF(I1763="","",IF(I1763="Ingreso",O1763,0))</f>
        <v/>
      </c>
      <c r="R1763" s="20">
        <f>IF(I1763="","",IF(I1763="Trading",O1763,0))</f>
        <v/>
      </c>
      <c r="S1763" s="19">
        <f>IF(I1763="","",IF(AND(I1763="Gasto",K1763="Variable",J1763&lt;&gt;"Trading",O1763&gt;0,O1763&lt;=Umbral),1,0))</f>
        <v/>
      </c>
      <c r="T1763" s="20">
        <f>IF(OR(I1763="",E1763=""),"",IF(OR(I1763="Gasto",I1763="Transferencia",I1763="Pago tarjeta"),-1,1)*C1763)</f>
        <v/>
      </c>
      <c r="U1763" s="20">
        <f>IF(OR(G1763="",AND(I1763&lt;&gt;"Transferencia",I1763&lt;&gt;"Pago tarjeta")),"",IF(IFERROR(INDEX(ctaMon,MATCH(G1763,ctaNom,0))&amp;"","DOP")=N1763,C1763,IF(N1763="USD",C1763*TasaUSD,C1763/TasaUSD)))</f>
        <v/>
      </c>
      <c r="V1763" s="20">
        <f>IF(I1763="","",IF(IFERROR(INDEX(ctaLiq,MATCH(E1763,ctaNom,0))="Sí",FALSE),IF(OR(I1763="Gasto",I1763="Transferencia",I1763="Pago tarjeta"),-1,1)*O1763,0)+IF(AND(U1763&lt;&gt;"",IFERROR(INDEX(ctaLiq,MATCH(G1763,ctaNom,0))="Sí",FALSE)),O1763,0))</f>
        <v/>
      </c>
      <c r="W1763" s="19">
        <f>IF(OR(F1763="",I1763=""),"",IF(COUNTIFS(F$6:F1763,F1763,I$6:I1763,"?*")=1,MAX(W$5:W1762)+1,""))</f>
        <v/>
      </c>
    </row>
    <row r="1764">
      <c r="B1764" s="15" t="n"/>
      <c r="C1764" s="16" t="n"/>
      <c r="D1764" s="17" t="n"/>
      <c r="E1764" s="17" t="n"/>
      <c r="F1764" s="17" t="n"/>
      <c r="G1764" s="17" t="n"/>
      <c r="H1764" s="18">
        <f>IF(AND(B1764="",C1764="",D1764="",E1764=""),"",IF(B1764="","⚠ Falta fecha",IF(C1764="","⚠ Falta monto",IF(D1764="","⚠ Falta categoría",IF(ISNA(MATCH(D1764,catNom,0)),"⚠ Categoría no existe",IF(E1764="","⚠ Falta cuenta",IF(ISNA(MATCH(E1764,ctaNom,0)),"⚠ Cuenta no existe",IF(AND(OR(I1764="Transferencia",I1764="Pago tarjeta"),G1764=""),"⚠ Indica la cuenta «Hacia»",IF(AND(G1764&lt;&gt;"",G1764=E1764),"⚠ «Hacia» igual a la cuenta",IF(AND(G1764&lt;&gt;"",ISNA(MATCH(G1764,ctaNom,0))),"⚠ «Hacia» no existe",IF(AND(I1764="Pago tarjeta",IFERROR(INDEX(ctaTipo,MATCH(G1764,ctaNom,0)),"")&lt;&gt;"Tarjeta de crédito"),"⚠ «Hacia» debe ser la tarjeta",IF(AND(I1764="Trading",IFERROR(INDEX(ctaTipo,MATCH(E1764,ctaNom,0)),"")&lt;&gt;"Cuenta de trading"),"⚠ Usa la cuenta de trading","✓"))))))))))))</f>
        <v/>
      </c>
      <c r="I1764" s="19">
        <f>IF(OR(B1764="",C1764="",D1764=""),"",IFERROR(INDEX(catTipo,MATCH(D1764,catNom,0))&amp;"",""))</f>
        <v/>
      </c>
      <c r="J1764" s="19">
        <f>IF(I1764="","",IFERROR(INDEX(catGrupo,MATCH(D1764,catNom,0))&amp;"",""))</f>
        <v/>
      </c>
      <c r="K1764" s="19">
        <f>IF(I1764="Gasto",IF(IFERROR(INDEX(catClas,MATCH(D1764,catNom,0))&amp;"","")="","Variable",IFERROR(INDEX(catClas,MATCH(D1764,catNom,0))&amp;"","")),"")</f>
        <v/>
      </c>
      <c r="L1764" s="19">
        <f>IF(I1764="","",IFERROR(INDEX(catAlim,MATCH(D1764,catNom,0))&amp;"",""))</f>
        <v/>
      </c>
      <c r="M1764" s="19">
        <f>IF(I1764="","",IFERROR(INDEX(catComida,MATCH(D1764,catNom,0))&amp;"",""))</f>
        <v/>
      </c>
      <c r="N1764" s="19">
        <f>IF(I1764="","",IFERROR(INDEX(ctaMon,MATCH(E1764,ctaNom,0))&amp;"","DOP"))</f>
        <v/>
      </c>
      <c r="O1764" s="20">
        <f>IF(I1764="","",C1764*IF(N1764="USD",TasaUSD,1))</f>
        <v/>
      </c>
      <c r="P1764" s="20">
        <f>IF(I1764="","",IF(I1764="Gasto",O1764,0))</f>
        <v/>
      </c>
      <c r="Q1764" s="20">
        <f>IF(I1764="","",IF(I1764="Ingreso",O1764,0))</f>
        <v/>
      </c>
      <c r="R1764" s="20">
        <f>IF(I1764="","",IF(I1764="Trading",O1764,0))</f>
        <v/>
      </c>
      <c r="S1764" s="19">
        <f>IF(I1764="","",IF(AND(I1764="Gasto",K1764="Variable",J1764&lt;&gt;"Trading",O1764&gt;0,O1764&lt;=Umbral),1,0))</f>
        <v/>
      </c>
      <c r="T1764" s="20">
        <f>IF(OR(I1764="",E1764=""),"",IF(OR(I1764="Gasto",I1764="Transferencia",I1764="Pago tarjeta"),-1,1)*C1764)</f>
        <v/>
      </c>
      <c r="U1764" s="20">
        <f>IF(OR(G1764="",AND(I1764&lt;&gt;"Transferencia",I1764&lt;&gt;"Pago tarjeta")),"",IF(IFERROR(INDEX(ctaMon,MATCH(G1764,ctaNom,0))&amp;"","DOP")=N1764,C1764,IF(N1764="USD",C1764*TasaUSD,C1764/TasaUSD)))</f>
        <v/>
      </c>
      <c r="V1764" s="20">
        <f>IF(I1764="","",IF(IFERROR(INDEX(ctaLiq,MATCH(E1764,ctaNom,0))="Sí",FALSE),IF(OR(I1764="Gasto",I1764="Transferencia",I1764="Pago tarjeta"),-1,1)*O1764,0)+IF(AND(U1764&lt;&gt;"",IFERROR(INDEX(ctaLiq,MATCH(G1764,ctaNom,0))="Sí",FALSE)),O1764,0))</f>
        <v/>
      </c>
      <c r="W1764" s="19">
        <f>IF(OR(F1764="",I1764=""),"",IF(COUNTIFS(F$6:F1764,F1764,I$6:I1764,"?*")=1,MAX(W$5:W1763)+1,""))</f>
        <v/>
      </c>
    </row>
    <row r="1765">
      <c r="B1765" s="15" t="n"/>
      <c r="C1765" s="16" t="n"/>
      <c r="D1765" s="17" t="n"/>
      <c r="E1765" s="17" t="n"/>
      <c r="F1765" s="17" t="n"/>
      <c r="G1765" s="17" t="n"/>
      <c r="H1765" s="18">
        <f>IF(AND(B1765="",C1765="",D1765="",E1765=""),"",IF(B1765="","⚠ Falta fecha",IF(C1765="","⚠ Falta monto",IF(D1765="","⚠ Falta categoría",IF(ISNA(MATCH(D1765,catNom,0)),"⚠ Categoría no existe",IF(E1765="","⚠ Falta cuenta",IF(ISNA(MATCH(E1765,ctaNom,0)),"⚠ Cuenta no existe",IF(AND(OR(I1765="Transferencia",I1765="Pago tarjeta"),G1765=""),"⚠ Indica la cuenta «Hacia»",IF(AND(G1765&lt;&gt;"",G1765=E1765),"⚠ «Hacia» igual a la cuenta",IF(AND(G1765&lt;&gt;"",ISNA(MATCH(G1765,ctaNom,0))),"⚠ «Hacia» no existe",IF(AND(I1765="Pago tarjeta",IFERROR(INDEX(ctaTipo,MATCH(G1765,ctaNom,0)),"")&lt;&gt;"Tarjeta de crédito"),"⚠ «Hacia» debe ser la tarjeta",IF(AND(I1765="Trading",IFERROR(INDEX(ctaTipo,MATCH(E1765,ctaNom,0)),"")&lt;&gt;"Cuenta de trading"),"⚠ Usa la cuenta de trading","✓"))))))))))))</f>
        <v/>
      </c>
      <c r="I1765" s="19">
        <f>IF(OR(B1765="",C1765="",D1765=""),"",IFERROR(INDEX(catTipo,MATCH(D1765,catNom,0))&amp;"",""))</f>
        <v/>
      </c>
      <c r="J1765" s="19">
        <f>IF(I1765="","",IFERROR(INDEX(catGrupo,MATCH(D1765,catNom,0))&amp;"",""))</f>
        <v/>
      </c>
      <c r="K1765" s="19">
        <f>IF(I1765="Gasto",IF(IFERROR(INDEX(catClas,MATCH(D1765,catNom,0))&amp;"","")="","Variable",IFERROR(INDEX(catClas,MATCH(D1765,catNom,0))&amp;"","")),"")</f>
        <v/>
      </c>
      <c r="L1765" s="19">
        <f>IF(I1765="","",IFERROR(INDEX(catAlim,MATCH(D1765,catNom,0))&amp;"",""))</f>
        <v/>
      </c>
      <c r="M1765" s="19">
        <f>IF(I1765="","",IFERROR(INDEX(catComida,MATCH(D1765,catNom,0))&amp;"",""))</f>
        <v/>
      </c>
      <c r="N1765" s="19">
        <f>IF(I1765="","",IFERROR(INDEX(ctaMon,MATCH(E1765,ctaNom,0))&amp;"","DOP"))</f>
        <v/>
      </c>
      <c r="O1765" s="20">
        <f>IF(I1765="","",C1765*IF(N1765="USD",TasaUSD,1))</f>
        <v/>
      </c>
      <c r="P1765" s="20">
        <f>IF(I1765="","",IF(I1765="Gasto",O1765,0))</f>
        <v/>
      </c>
      <c r="Q1765" s="20">
        <f>IF(I1765="","",IF(I1765="Ingreso",O1765,0))</f>
        <v/>
      </c>
      <c r="R1765" s="20">
        <f>IF(I1765="","",IF(I1765="Trading",O1765,0))</f>
        <v/>
      </c>
      <c r="S1765" s="19">
        <f>IF(I1765="","",IF(AND(I1765="Gasto",K1765="Variable",J1765&lt;&gt;"Trading",O1765&gt;0,O1765&lt;=Umbral),1,0))</f>
        <v/>
      </c>
      <c r="T1765" s="20">
        <f>IF(OR(I1765="",E1765=""),"",IF(OR(I1765="Gasto",I1765="Transferencia",I1765="Pago tarjeta"),-1,1)*C1765)</f>
        <v/>
      </c>
      <c r="U1765" s="20">
        <f>IF(OR(G1765="",AND(I1765&lt;&gt;"Transferencia",I1765&lt;&gt;"Pago tarjeta")),"",IF(IFERROR(INDEX(ctaMon,MATCH(G1765,ctaNom,0))&amp;"","DOP")=N1765,C1765,IF(N1765="USD",C1765*TasaUSD,C1765/TasaUSD)))</f>
        <v/>
      </c>
      <c r="V1765" s="20">
        <f>IF(I1765="","",IF(IFERROR(INDEX(ctaLiq,MATCH(E1765,ctaNom,0))="Sí",FALSE),IF(OR(I1765="Gasto",I1765="Transferencia",I1765="Pago tarjeta"),-1,1)*O1765,0)+IF(AND(U1765&lt;&gt;"",IFERROR(INDEX(ctaLiq,MATCH(G1765,ctaNom,0))="Sí",FALSE)),O1765,0))</f>
        <v/>
      </c>
      <c r="W1765" s="19">
        <f>IF(OR(F1765="",I1765=""),"",IF(COUNTIFS(F$6:F1765,F1765,I$6:I1765,"?*")=1,MAX(W$5:W1764)+1,""))</f>
        <v/>
      </c>
    </row>
    <row r="1766">
      <c r="B1766" s="15" t="n"/>
      <c r="C1766" s="16" t="n"/>
      <c r="D1766" s="17" t="n"/>
      <c r="E1766" s="17" t="n"/>
      <c r="F1766" s="17" t="n"/>
      <c r="G1766" s="17" t="n"/>
      <c r="H1766" s="18">
        <f>IF(AND(B1766="",C1766="",D1766="",E1766=""),"",IF(B1766="","⚠ Falta fecha",IF(C1766="","⚠ Falta monto",IF(D1766="","⚠ Falta categoría",IF(ISNA(MATCH(D1766,catNom,0)),"⚠ Categoría no existe",IF(E1766="","⚠ Falta cuenta",IF(ISNA(MATCH(E1766,ctaNom,0)),"⚠ Cuenta no existe",IF(AND(OR(I1766="Transferencia",I1766="Pago tarjeta"),G1766=""),"⚠ Indica la cuenta «Hacia»",IF(AND(G1766&lt;&gt;"",G1766=E1766),"⚠ «Hacia» igual a la cuenta",IF(AND(G1766&lt;&gt;"",ISNA(MATCH(G1766,ctaNom,0))),"⚠ «Hacia» no existe",IF(AND(I1766="Pago tarjeta",IFERROR(INDEX(ctaTipo,MATCH(G1766,ctaNom,0)),"")&lt;&gt;"Tarjeta de crédito"),"⚠ «Hacia» debe ser la tarjeta",IF(AND(I1766="Trading",IFERROR(INDEX(ctaTipo,MATCH(E1766,ctaNom,0)),"")&lt;&gt;"Cuenta de trading"),"⚠ Usa la cuenta de trading","✓"))))))))))))</f>
        <v/>
      </c>
      <c r="I1766" s="19">
        <f>IF(OR(B1766="",C1766="",D1766=""),"",IFERROR(INDEX(catTipo,MATCH(D1766,catNom,0))&amp;"",""))</f>
        <v/>
      </c>
      <c r="J1766" s="19">
        <f>IF(I1766="","",IFERROR(INDEX(catGrupo,MATCH(D1766,catNom,0))&amp;"",""))</f>
        <v/>
      </c>
      <c r="K1766" s="19">
        <f>IF(I1766="Gasto",IF(IFERROR(INDEX(catClas,MATCH(D1766,catNom,0))&amp;"","")="","Variable",IFERROR(INDEX(catClas,MATCH(D1766,catNom,0))&amp;"","")),"")</f>
        <v/>
      </c>
      <c r="L1766" s="19">
        <f>IF(I1766="","",IFERROR(INDEX(catAlim,MATCH(D1766,catNom,0))&amp;"",""))</f>
        <v/>
      </c>
      <c r="M1766" s="19">
        <f>IF(I1766="","",IFERROR(INDEX(catComida,MATCH(D1766,catNom,0))&amp;"",""))</f>
        <v/>
      </c>
      <c r="N1766" s="19">
        <f>IF(I1766="","",IFERROR(INDEX(ctaMon,MATCH(E1766,ctaNom,0))&amp;"","DOP"))</f>
        <v/>
      </c>
      <c r="O1766" s="20">
        <f>IF(I1766="","",C1766*IF(N1766="USD",TasaUSD,1))</f>
        <v/>
      </c>
      <c r="P1766" s="20">
        <f>IF(I1766="","",IF(I1766="Gasto",O1766,0))</f>
        <v/>
      </c>
      <c r="Q1766" s="20">
        <f>IF(I1766="","",IF(I1766="Ingreso",O1766,0))</f>
        <v/>
      </c>
      <c r="R1766" s="20">
        <f>IF(I1766="","",IF(I1766="Trading",O1766,0))</f>
        <v/>
      </c>
      <c r="S1766" s="19">
        <f>IF(I1766="","",IF(AND(I1766="Gasto",K1766="Variable",J1766&lt;&gt;"Trading",O1766&gt;0,O1766&lt;=Umbral),1,0))</f>
        <v/>
      </c>
      <c r="T1766" s="20">
        <f>IF(OR(I1766="",E1766=""),"",IF(OR(I1766="Gasto",I1766="Transferencia",I1766="Pago tarjeta"),-1,1)*C1766)</f>
        <v/>
      </c>
      <c r="U1766" s="20">
        <f>IF(OR(G1766="",AND(I1766&lt;&gt;"Transferencia",I1766&lt;&gt;"Pago tarjeta")),"",IF(IFERROR(INDEX(ctaMon,MATCH(G1766,ctaNom,0))&amp;"","DOP")=N1766,C1766,IF(N1766="USD",C1766*TasaUSD,C1766/TasaUSD)))</f>
        <v/>
      </c>
      <c r="V1766" s="20">
        <f>IF(I1766="","",IF(IFERROR(INDEX(ctaLiq,MATCH(E1766,ctaNom,0))="Sí",FALSE),IF(OR(I1766="Gasto",I1766="Transferencia",I1766="Pago tarjeta"),-1,1)*O1766,0)+IF(AND(U1766&lt;&gt;"",IFERROR(INDEX(ctaLiq,MATCH(G1766,ctaNom,0))="Sí",FALSE)),O1766,0))</f>
        <v/>
      </c>
      <c r="W1766" s="19">
        <f>IF(OR(F1766="",I1766=""),"",IF(COUNTIFS(F$6:F1766,F1766,I$6:I1766,"?*")=1,MAX(W$5:W1765)+1,""))</f>
        <v/>
      </c>
    </row>
    <row r="1767">
      <c r="B1767" s="15" t="n"/>
      <c r="C1767" s="16" t="n"/>
      <c r="D1767" s="17" t="n"/>
      <c r="E1767" s="17" t="n"/>
      <c r="F1767" s="17" t="n"/>
      <c r="G1767" s="17" t="n"/>
      <c r="H1767" s="18">
        <f>IF(AND(B1767="",C1767="",D1767="",E1767=""),"",IF(B1767="","⚠ Falta fecha",IF(C1767="","⚠ Falta monto",IF(D1767="","⚠ Falta categoría",IF(ISNA(MATCH(D1767,catNom,0)),"⚠ Categoría no existe",IF(E1767="","⚠ Falta cuenta",IF(ISNA(MATCH(E1767,ctaNom,0)),"⚠ Cuenta no existe",IF(AND(OR(I1767="Transferencia",I1767="Pago tarjeta"),G1767=""),"⚠ Indica la cuenta «Hacia»",IF(AND(G1767&lt;&gt;"",G1767=E1767),"⚠ «Hacia» igual a la cuenta",IF(AND(G1767&lt;&gt;"",ISNA(MATCH(G1767,ctaNom,0))),"⚠ «Hacia» no existe",IF(AND(I1767="Pago tarjeta",IFERROR(INDEX(ctaTipo,MATCH(G1767,ctaNom,0)),"")&lt;&gt;"Tarjeta de crédito"),"⚠ «Hacia» debe ser la tarjeta",IF(AND(I1767="Trading",IFERROR(INDEX(ctaTipo,MATCH(E1767,ctaNom,0)),"")&lt;&gt;"Cuenta de trading"),"⚠ Usa la cuenta de trading","✓"))))))))))))</f>
        <v/>
      </c>
      <c r="I1767" s="19">
        <f>IF(OR(B1767="",C1767="",D1767=""),"",IFERROR(INDEX(catTipo,MATCH(D1767,catNom,0))&amp;"",""))</f>
        <v/>
      </c>
      <c r="J1767" s="19">
        <f>IF(I1767="","",IFERROR(INDEX(catGrupo,MATCH(D1767,catNom,0))&amp;"",""))</f>
        <v/>
      </c>
      <c r="K1767" s="19">
        <f>IF(I1767="Gasto",IF(IFERROR(INDEX(catClas,MATCH(D1767,catNom,0))&amp;"","")="","Variable",IFERROR(INDEX(catClas,MATCH(D1767,catNom,0))&amp;"","")),"")</f>
        <v/>
      </c>
      <c r="L1767" s="19">
        <f>IF(I1767="","",IFERROR(INDEX(catAlim,MATCH(D1767,catNom,0))&amp;"",""))</f>
        <v/>
      </c>
      <c r="M1767" s="19">
        <f>IF(I1767="","",IFERROR(INDEX(catComida,MATCH(D1767,catNom,0))&amp;"",""))</f>
        <v/>
      </c>
      <c r="N1767" s="19">
        <f>IF(I1767="","",IFERROR(INDEX(ctaMon,MATCH(E1767,ctaNom,0))&amp;"","DOP"))</f>
        <v/>
      </c>
      <c r="O1767" s="20">
        <f>IF(I1767="","",C1767*IF(N1767="USD",TasaUSD,1))</f>
        <v/>
      </c>
      <c r="P1767" s="20">
        <f>IF(I1767="","",IF(I1767="Gasto",O1767,0))</f>
        <v/>
      </c>
      <c r="Q1767" s="20">
        <f>IF(I1767="","",IF(I1767="Ingreso",O1767,0))</f>
        <v/>
      </c>
      <c r="R1767" s="20">
        <f>IF(I1767="","",IF(I1767="Trading",O1767,0))</f>
        <v/>
      </c>
      <c r="S1767" s="19">
        <f>IF(I1767="","",IF(AND(I1767="Gasto",K1767="Variable",J1767&lt;&gt;"Trading",O1767&gt;0,O1767&lt;=Umbral),1,0))</f>
        <v/>
      </c>
      <c r="T1767" s="20">
        <f>IF(OR(I1767="",E1767=""),"",IF(OR(I1767="Gasto",I1767="Transferencia",I1767="Pago tarjeta"),-1,1)*C1767)</f>
        <v/>
      </c>
      <c r="U1767" s="20">
        <f>IF(OR(G1767="",AND(I1767&lt;&gt;"Transferencia",I1767&lt;&gt;"Pago tarjeta")),"",IF(IFERROR(INDEX(ctaMon,MATCH(G1767,ctaNom,0))&amp;"","DOP")=N1767,C1767,IF(N1767="USD",C1767*TasaUSD,C1767/TasaUSD)))</f>
        <v/>
      </c>
      <c r="V1767" s="20">
        <f>IF(I1767="","",IF(IFERROR(INDEX(ctaLiq,MATCH(E1767,ctaNom,0))="Sí",FALSE),IF(OR(I1767="Gasto",I1767="Transferencia",I1767="Pago tarjeta"),-1,1)*O1767,0)+IF(AND(U1767&lt;&gt;"",IFERROR(INDEX(ctaLiq,MATCH(G1767,ctaNom,0))="Sí",FALSE)),O1767,0))</f>
        <v/>
      </c>
      <c r="W1767" s="19">
        <f>IF(OR(F1767="",I1767=""),"",IF(COUNTIFS(F$6:F1767,F1767,I$6:I1767,"?*")=1,MAX(W$5:W1766)+1,""))</f>
        <v/>
      </c>
    </row>
    <row r="1768">
      <c r="B1768" s="15" t="n"/>
      <c r="C1768" s="16" t="n"/>
      <c r="D1768" s="17" t="n"/>
      <c r="E1768" s="17" t="n"/>
      <c r="F1768" s="17" t="n"/>
      <c r="G1768" s="17" t="n"/>
      <c r="H1768" s="18">
        <f>IF(AND(B1768="",C1768="",D1768="",E1768=""),"",IF(B1768="","⚠ Falta fecha",IF(C1768="","⚠ Falta monto",IF(D1768="","⚠ Falta categoría",IF(ISNA(MATCH(D1768,catNom,0)),"⚠ Categoría no existe",IF(E1768="","⚠ Falta cuenta",IF(ISNA(MATCH(E1768,ctaNom,0)),"⚠ Cuenta no existe",IF(AND(OR(I1768="Transferencia",I1768="Pago tarjeta"),G1768=""),"⚠ Indica la cuenta «Hacia»",IF(AND(G1768&lt;&gt;"",G1768=E1768),"⚠ «Hacia» igual a la cuenta",IF(AND(G1768&lt;&gt;"",ISNA(MATCH(G1768,ctaNom,0))),"⚠ «Hacia» no existe",IF(AND(I1768="Pago tarjeta",IFERROR(INDEX(ctaTipo,MATCH(G1768,ctaNom,0)),"")&lt;&gt;"Tarjeta de crédito"),"⚠ «Hacia» debe ser la tarjeta",IF(AND(I1768="Trading",IFERROR(INDEX(ctaTipo,MATCH(E1768,ctaNom,0)),"")&lt;&gt;"Cuenta de trading"),"⚠ Usa la cuenta de trading","✓"))))))))))))</f>
        <v/>
      </c>
      <c r="I1768" s="19">
        <f>IF(OR(B1768="",C1768="",D1768=""),"",IFERROR(INDEX(catTipo,MATCH(D1768,catNom,0))&amp;"",""))</f>
        <v/>
      </c>
      <c r="J1768" s="19">
        <f>IF(I1768="","",IFERROR(INDEX(catGrupo,MATCH(D1768,catNom,0))&amp;"",""))</f>
        <v/>
      </c>
      <c r="K1768" s="19">
        <f>IF(I1768="Gasto",IF(IFERROR(INDEX(catClas,MATCH(D1768,catNom,0))&amp;"","")="","Variable",IFERROR(INDEX(catClas,MATCH(D1768,catNom,0))&amp;"","")),"")</f>
        <v/>
      </c>
      <c r="L1768" s="19">
        <f>IF(I1768="","",IFERROR(INDEX(catAlim,MATCH(D1768,catNom,0))&amp;"",""))</f>
        <v/>
      </c>
      <c r="M1768" s="19">
        <f>IF(I1768="","",IFERROR(INDEX(catComida,MATCH(D1768,catNom,0))&amp;"",""))</f>
        <v/>
      </c>
      <c r="N1768" s="19">
        <f>IF(I1768="","",IFERROR(INDEX(ctaMon,MATCH(E1768,ctaNom,0))&amp;"","DOP"))</f>
        <v/>
      </c>
      <c r="O1768" s="20">
        <f>IF(I1768="","",C1768*IF(N1768="USD",TasaUSD,1))</f>
        <v/>
      </c>
      <c r="P1768" s="20">
        <f>IF(I1768="","",IF(I1768="Gasto",O1768,0))</f>
        <v/>
      </c>
      <c r="Q1768" s="20">
        <f>IF(I1768="","",IF(I1768="Ingreso",O1768,0))</f>
        <v/>
      </c>
      <c r="R1768" s="20">
        <f>IF(I1768="","",IF(I1768="Trading",O1768,0))</f>
        <v/>
      </c>
      <c r="S1768" s="19">
        <f>IF(I1768="","",IF(AND(I1768="Gasto",K1768="Variable",J1768&lt;&gt;"Trading",O1768&gt;0,O1768&lt;=Umbral),1,0))</f>
        <v/>
      </c>
      <c r="T1768" s="20">
        <f>IF(OR(I1768="",E1768=""),"",IF(OR(I1768="Gasto",I1768="Transferencia",I1768="Pago tarjeta"),-1,1)*C1768)</f>
        <v/>
      </c>
      <c r="U1768" s="20">
        <f>IF(OR(G1768="",AND(I1768&lt;&gt;"Transferencia",I1768&lt;&gt;"Pago tarjeta")),"",IF(IFERROR(INDEX(ctaMon,MATCH(G1768,ctaNom,0))&amp;"","DOP")=N1768,C1768,IF(N1768="USD",C1768*TasaUSD,C1768/TasaUSD)))</f>
        <v/>
      </c>
      <c r="V1768" s="20">
        <f>IF(I1768="","",IF(IFERROR(INDEX(ctaLiq,MATCH(E1768,ctaNom,0))="Sí",FALSE),IF(OR(I1768="Gasto",I1768="Transferencia",I1768="Pago tarjeta"),-1,1)*O1768,0)+IF(AND(U1768&lt;&gt;"",IFERROR(INDEX(ctaLiq,MATCH(G1768,ctaNom,0))="Sí",FALSE)),O1768,0))</f>
        <v/>
      </c>
      <c r="W1768" s="19">
        <f>IF(OR(F1768="",I1768=""),"",IF(COUNTIFS(F$6:F1768,F1768,I$6:I1768,"?*")=1,MAX(W$5:W1767)+1,""))</f>
        <v/>
      </c>
    </row>
    <row r="1769">
      <c r="B1769" s="15" t="n"/>
      <c r="C1769" s="16" t="n"/>
      <c r="D1769" s="17" t="n"/>
      <c r="E1769" s="17" t="n"/>
      <c r="F1769" s="17" t="n"/>
      <c r="G1769" s="17" t="n"/>
      <c r="H1769" s="18">
        <f>IF(AND(B1769="",C1769="",D1769="",E1769=""),"",IF(B1769="","⚠ Falta fecha",IF(C1769="","⚠ Falta monto",IF(D1769="","⚠ Falta categoría",IF(ISNA(MATCH(D1769,catNom,0)),"⚠ Categoría no existe",IF(E1769="","⚠ Falta cuenta",IF(ISNA(MATCH(E1769,ctaNom,0)),"⚠ Cuenta no existe",IF(AND(OR(I1769="Transferencia",I1769="Pago tarjeta"),G1769=""),"⚠ Indica la cuenta «Hacia»",IF(AND(G1769&lt;&gt;"",G1769=E1769),"⚠ «Hacia» igual a la cuenta",IF(AND(G1769&lt;&gt;"",ISNA(MATCH(G1769,ctaNom,0))),"⚠ «Hacia» no existe",IF(AND(I1769="Pago tarjeta",IFERROR(INDEX(ctaTipo,MATCH(G1769,ctaNom,0)),"")&lt;&gt;"Tarjeta de crédito"),"⚠ «Hacia» debe ser la tarjeta",IF(AND(I1769="Trading",IFERROR(INDEX(ctaTipo,MATCH(E1769,ctaNom,0)),"")&lt;&gt;"Cuenta de trading"),"⚠ Usa la cuenta de trading","✓"))))))))))))</f>
        <v/>
      </c>
      <c r="I1769" s="19">
        <f>IF(OR(B1769="",C1769="",D1769=""),"",IFERROR(INDEX(catTipo,MATCH(D1769,catNom,0))&amp;"",""))</f>
        <v/>
      </c>
      <c r="J1769" s="19">
        <f>IF(I1769="","",IFERROR(INDEX(catGrupo,MATCH(D1769,catNom,0))&amp;"",""))</f>
        <v/>
      </c>
      <c r="K1769" s="19">
        <f>IF(I1769="Gasto",IF(IFERROR(INDEX(catClas,MATCH(D1769,catNom,0))&amp;"","")="","Variable",IFERROR(INDEX(catClas,MATCH(D1769,catNom,0))&amp;"","")),"")</f>
        <v/>
      </c>
      <c r="L1769" s="19">
        <f>IF(I1769="","",IFERROR(INDEX(catAlim,MATCH(D1769,catNom,0))&amp;"",""))</f>
        <v/>
      </c>
      <c r="M1769" s="19">
        <f>IF(I1769="","",IFERROR(INDEX(catComida,MATCH(D1769,catNom,0))&amp;"",""))</f>
        <v/>
      </c>
      <c r="N1769" s="19">
        <f>IF(I1769="","",IFERROR(INDEX(ctaMon,MATCH(E1769,ctaNom,0))&amp;"","DOP"))</f>
        <v/>
      </c>
      <c r="O1769" s="20">
        <f>IF(I1769="","",C1769*IF(N1769="USD",TasaUSD,1))</f>
        <v/>
      </c>
      <c r="P1769" s="20">
        <f>IF(I1769="","",IF(I1769="Gasto",O1769,0))</f>
        <v/>
      </c>
      <c r="Q1769" s="20">
        <f>IF(I1769="","",IF(I1769="Ingreso",O1769,0))</f>
        <v/>
      </c>
      <c r="R1769" s="20">
        <f>IF(I1769="","",IF(I1769="Trading",O1769,0))</f>
        <v/>
      </c>
      <c r="S1769" s="19">
        <f>IF(I1769="","",IF(AND(I1769="Gasto",K1769="Variable",J1769&lt;&gt;"Trading",O1769&gt;0,O1769&lt;=Umbral),1,0))</f>
        <v/>
      </c>
      <c r="T1769" s="20">
        <f>IF(OR(I1769="",E1769=""),"",IF(OR(I1769="Gasto",I1769="Transferencia",I1769="Pago tarjeta"),-1,1)*C1769)</f>
        <v/>
      </c>
      <c r="U1769" s="20">
        <f>IF(OR(G1769="",AND(I1769&lt;&gt;"Transferencia",I1769&lt;&gt;"Pago tarjeta")),"",IF(IFERROR(INDEX(ctaMon,MATCH(G1769,ctaNom,0))&amp;"","DOP")=N1769,C1769,IF(N1769="USD",C1769*TasaUSD,C1769/TasaUSD)))</f>
        <v/>
      </c>
      <c r="V1769" s="20">
        <f>IF(I1769="","",IF(IFERROR(INDEX(ctaLiq,MATCH(E1769,ctaNom,0))="Sí",FALSE),IF(OR(I1769="Gasto",I1769="Transferencia",I1769="Pago tarjeta"),-1,1)*O1769,0)+IF(AND(U1769&lt;&gt;"",IFERROR(INDEX(ctaLiq,MATCH(G1769,ctaNom,0))="Sí",FALSE)),O1769,0))</f>
        <v/>
      </c>
      <c r="W1769" s="19">
        <f>IF(OR(F1769="",I1769=""),"",IF(COUNTIFS(F$6:F1769,F1769,I$6:I1769,"?*")=1,MAX(W$5:W1768)+1,""))</f>
        <v/>
      </c>
    </row>
    <row r="1770">
      <c r="B1770" s="15" t="n"/>
      <c r="C1770" s="16" t="n"/>
      <c r="D1770" s="17" t="n"/>
      <c r="E1770" s="17" t="n"/>
      <c r="F1770" s="17" t="n"/>
      <c r="G1770" s="17" t="n"/>
      <c r="H1770" s="18">
        <f>IF(AND(B1770="",C1770="",D1770="",E1770=""),"",IF(B1770="","⚠ Falta fecha",IF(C1770="","⚠ Falta monto",IF(D1770="","⚠ Falta categoría",IF(ISNA(MATCH(D1770,catNom,0)),"⚠ Categoría no existe",IF(E1770="","⚠ Falta cuenta",IF(ISNA(MATCH(E1770,ctaNom,0)),"⚠ Cuenta no existe",IF(AND(OR(I1770="Transferencia",I1770="Pago tarjeta"),G1770=""),"⚠ Indica la cuenta «Hacia»",IF(AND(G1770&lt;&gt;"",G1770=E1770),"⚠ «Hacia» igual a la cuenta",IF(AND(G1770&lt;&gt;"",ISNA(MATCH(G1770,ctaNom,0))),"⚠ «Hacia» no existe",IF(AND(I1770="Pago tarjeta",IFERROR(INDEX(ctaTipo,MATCH(G1770,ctaNom,0)),"")&lt;&gt;"Tarjeta de crédito"),"⚠ «Hacia» debe ser la tarjeta",IF(AND(I1770="Trading",IFERROR(INDEX(ctaTipo,MATCH(E1770,ctaNom,0)),"")&lt;&gt;"Cuenta de trading"),"⚠ Usa la cuenta de trading","✓"))))))))))))</f>
        <v/>
      </c>
      <c r="I1770" s="19">
        <f>IF(OR(B1770="",C1770="",D1770=""),"",IFERROR(INDEX(catTipo,MATCH(D1770,catNom,0))&amp;"",""))</f>
        <v/>
      </c>
      <c r="J1770" s="19">
        <f>IF(I1770="","",IFERROR(INDEX(catGrupo,MATCH(D1770,catNom,0))&amp;"",""))</f>
        <v/>
      </c>
      <c r="K1770" s="19">
        <f>IF(I1770="Gasto",IF(IFERROR(INDEX(catClas,MATCH(D1770,catNom,0))&amp;"","")="","Variable",IFERROR(INDEX(catClas,MATCH(D1770,catNom,0))&amp;"","")),"")</f>
        <v/>
      </c>
      <c r="L1770" s="19">
        <f>IF(I1770="","",IFERROR(INDEX(catAlim,MATCH(D1770,catNom,0))&amp;"",""))</f>
        <v/>
      </c>
      <c r="M1770" s="19">
        <f>IF(I1770="","",IFERROR(INDEX(catComida,MATCH(D1770,catNom,0))&amp;"",""))</f>
        <v/>
      </c>
      <c r="N1770" s="19">
        <f>IF(I1770="","",IFERROR(INDEX(ctaMon,MATCH(E1770,ctaNom,0))&amp;"","DOP"))</f>
        <v/>
      </c>
      <c r="O1770" s="20">
        <f>IF(I1770="","",C1770*IF(N1770="USD",TasaUSD,1))</f>
        <v/>
      </c>
      <c r="P1770" s="20">
        <f>IF(I1770="","",IF(I1770="Gasto",O1770,0))</f>
        <v/>
      </c>
      <c r="Q1770" s="20">
        <f>IF(I1770="","",IF(I1770="Ingreso",O1770,0))</f>
        <v/>
      </c>
      <c r="R1770" s="20">
        <f>IF(I1770="","",IF(I1770="Trading",O1770,0))</f>
        <v/>
      </c>
      <c r="S1770" s="19">
        <f>IF(I1770="","",IF(AND(I1770="Gasto",K1770="Variable",J1770&lt;&gt;"Trading",O1770&gt;0,O1770&lt;=Umbral),1,0))</f>
        <v/>
      </c>
      <c r="T1770" s="20">
        <f>IF(OR(I1770="",E1770=""),"",IF(OR(I1770="Gasto",I1770="Transferencia",I1770="Pago tarjeta"),-1,1)*C1770)</f>
        <v/>
      </c>
      <c r="U1770" s="20">
        <f>IF(OR(G1770="",AND(I1770&lt;&gt;"Transferencia",I1770&lt;&gt;"Pago tarjeta")),"",IF(IFERROR(INDEX(ctaMon,MATCH(G1770,ctaNom,0))&amp;"","DOP")=N1770,C1770,IF(N1770="USD",C1770*TasaUSD,C1770/TasaUSD)))</f>
        <v/>
      </c>
      <c r="V1770" s="20">
        <f>IF(I1770="","",IF(IFERROR(INDEX(ctaLiq,MATCH(E1770,ctaNom,0))="Sí",FALSE),IF(OR(I1770="Gasto",I1770="Transferencia",I1770="Pago tarjeta"),-1,1)*O1770,0)+IF(AND(U1770&lt;&gt;"",IFERROR(INDEX(ctaLiq,MATCH(G1770,ctaNom,0))="Sí",FALSE)),O1770,0))</f>
        <v/>
      </c>
      <c r="W1770" s="19">
        <f>IF(OR(F1770="",I1770=""),"",IF(COUNTIFS(F$6:F1770,F1770,I$6:I1770,"?*")=1,MAX(W$5:W1769)+1,""))</f>
        <v/>
      </c>
    </row>
    <row r="1771">
      <c r="B1771" s="15" t="n"/>
      <c r="C1771" s="16" t="n"/>
      <c r="D1771" s="17" t="n"/>
      <c r="E1771" s="17" t="n"/>
      <c r="F1771" s="17" t="n"/>
      <c r="G1771" s="17" t="n"/>
      <c r="H1771" s="18">
        <f>IF(AND(B1771="",C1771="",D1771="",E1771=""),"",IF(B1771="","⚠ Falta fecha",IF(C1771="","⚠ Falta monto",IF(D1771="","⚠ Falta categoría",IF(ISNA(MATCH(D1771,catNom,0)),"⚠ Categoría no existe",IF(E1771="","⚠ Falta cuenta",IF(ISNA(MATCH(E1771,ctaNom,0)),"⚠ Cuenta no existe",IF(AND(OR(I1771="Transferencia",I1771="Pago tarjeta"),G1771=""),"⚠ Indica la cuenta «Hacia»",IF(AND(G1771&lt;&gt;"",G1771=E1771),"⚠ «Hacia» igual a la cuenta",IF(AND(G1771&lt;&gt;"",ISNA(MATCH(G1771,ctaNom,0))),"⚠ «Hacia» no existe",IF(AND(I1771="Pago tarjeta",IFERROR(INDEX(ctaTipo,MATCH(G1771,ctaNom,0)),"")&lt;&gt;"Tarjeta de crédito"),"⚠ «Hacia» debe ser la tarjeta",IF(AND(I1771="Trading",IFERROR(INDEX(ctaTipo,MATCH(E1771,ctaNom,0)),"")&lt;&gt;"Cuenta de trading"),"⚠ Usa la cuenta de trading","✓"))))))))))))</f>
        <v/>
      </c>
      <c r="I1771" s="19">
        <f>IF(OR(B1771="",C1771="",D1771=""),"",IFERROR(INDEX(catTipo,MATCH(D1771,catNom,0))&amp;"",""))</f>
        <v/>
      </c>
      <c r="J1771" s="19">
        <f>IF(I1771="","",IFERROR(INDEX(catGrupo,MATCH(D1771,catNom,0))&amp;"",""))</f>
        <v/>
      </c>
      <c r="K1771" s="19">
        <f>IF(I1771="Gasto",IF(IFERROR(INDEX(catClas,MATCH(D1771,catNom,0))&amp;"","")="","Variable",IFERROR(INDEX(catClas,MATCH(D1771,catNom,0))&amp;"","")),"")</f>
        <v/>
      </c>
      <c r="L1771" s="19">
        <f>IF(I1771="","",IFERROR(INDEX(catAlim,MATCH(D1771,catNom,0))&amp;"",""))</f>
        <v/>
      </c>
      <c r="M1771" s="19">
        <f>IF(I1771="","",IFERROR(INDEX(catComida,MATCH(D1771,catNom,0))&amp;"",""))</f>
        <v/>
      </c>
      <c r="N1771" s="19">
        <f>IF(I1771="","",IFERROR(INDEX(ctaMon,MATCH(E1771,ctaNom,0))&amp;"","DOP"))</f>
        <v/>
      </c>
      <c r="O1771" s="20">
        <f>IF(I1771="","",C1771*IF(N1771="USD",TasaUSD,1))</f>
        <v/>
      </c>
      <c r="P1771" s="20">
        <f>IF(I1771="","",IF(I1771="Gasto",O1771,0))</f>
        <v/>
      </c>
      <c r="Q1771" s="20">
        <f>IF(I1771="","",IF(I1771="Ingreso",O1771,0))</f>
        <v/>
      </c>
      <c r="R1771" s="20">
        <f>IF(I1771="","",IF(I1771="Trading",O1771,0))</f>
        <v/>
      </c>
      <c r="S1771" s="19">
        <f>IF(I1771="","",IF(AND(I1771="Gasto",K1771="Variable",J1771&lt;&gt;"Trading",O1771&gt;0,O1771&lt;=Umbral),1,0))</f>
        <v/>
      </c>
      <c r="T1771" s="20">
        <f>IF(OR(I1771="",E1771=""),"",IF(OR(I1771="Gasto",I1771="Transferencia",I1771="Pago tarjeta"),-1,1)*C1771)</f>
        <v/>
      </c>
      <c r="U1771" s="20">
        <f>IF(OR(G1771="",AND(I1771&lt;&gt;"Transferencia",I1771&lt;&gt;"Pago tarjeta")),"",IF(IFERROR(INDEX(ctaMon,MATCH(G1771,ctaNom,0))&amp;"","DOP")=N1771,C1771,IF(N1771="USD",C1771*TasaUSD,C1771/TasaUSD)))</f>
        <v/>
      </c>
      <c r="V1771" s="20">
        <f>IF(I1771="","",IF(IFERROR(INDEX(ctaLiq,MATCH(E1771,ctaNom,0))="Sí",FALSE),IF(OR(I1771="Gasto",I1771="Transferencia",I1771="Pago tarjeta"),-1,1)*O1771,0)+IF(AND(U1771&lt;&gt;"",IFERROR(INDEX(ctaLiq,MATCH(G1771,ctaNom,0))="Sí",FALSE)),O1771,0))</f>
        <v/>
      </c>
      <c r="W1771" s="19">
        <f>IF(OR(F1771="",I1771=""),"",IF(COUNTIFS(F$6:F1771,F1771,I$6:I1771,"?*")=1,MAX(W$5:W1770)+1,""))</f>
        <v/>
      </c>
    </row>
    <row r="1772">
      <c r="B1772" s="15" t="n"/>
      <c r="C1772" s="16" t="n"/>
      <c r="D1772" s="17" t="n"/>
      <c r="E1772" s="17" t="n"/>
      <c r="F1772" s="17" t="n"/>
      <c r="G1772" s="17" t="n"/>
      <c r="H1772" s="18">
        <f>IF(AND(B1772="",C1772="",D1772="",E1772=""),"",IF(B1772="","⚠ Falta fecha",IF(C1772="","⚠ Falta monto",IF(D1772="","⚠ Falta categoría",IF(ISNA(MATCH(D1772,catNom,0)),"⚠ Categoría no existe",IF(E1772="","⚠ Falta cuenta",IF(ISNA(MATCH(E1772,ctaNom,0)),"⚠ Cuenta no existe",IF(AND(OR(I1772="Transferencia",I1772="Pago tarjeta"),G1772=""),"⚠ Indica la cuenta «Hacia»",IF(AND(G1772&lt;&gt;"",G1772=E1772),"⚠ «Hacia» igual a la cuenta",IF(AND(G1772&lt;&gt;"",ISNA(MATCH(G1772,ctaNom,0))),"⚠ «Hacia» no existe",IF(AND(I1772="Pago tarjeta",IFERROR(INDEX(ctaTipo,MATCH(G1772,ctaNom,0)),"")&lt;&gt;"Tarjeta de crédito"),"⚠ «Hacia» debe ser la tarjeta",IF(AND(I1772="Trading",IFERROR(INDEX(ctaTipo,MATCH(E1772,ctaNom,0)),"")&lt;&gt;"Cuenta de trading"),"⚠ Usa la cuenta de trading","✓"))))))))))))</f>
        <v/>
      </c>
      <c r="I1772" s="19">
        <f>IF(OR(B1772="",C1772="",D1772=""),"",IFERROR(INDEX(catTipo,MATCH(D1772,catNom,0))&amp;"",""))</f>
        <v/>
      </c>
      <c r="J1772" s="19">
        <f>IF(I1772="","",IFERROR(INDEX(catGrupo,MATCH(D1772,catNom,0))&amp;"",""))</f>
        <v/>
      </c>
      <c r="K1772" s="19">
        <f>IF(I1772="Gasto",IF(IFERROR(INDEX(catClas,MATCH(D1772,catNom,0))&amp;"","")="","Variable",IFERROR(INDEX(catClas,MATCH(D1772,catNom,0))&amp;"","")),"")</f>
        <v/>
      </c>
      <c r="L1772" s="19">
        <f>IF(I1772="","",IFERROR(INDEX(catAlim,MATCH(D1772,catNom,0))&amp;"",""))</f>
        <v/>
      </c>
      <c r="M1772" s="19">
        <f>IF(I1772="","",IFERROR(INDEX(catComida,MATCH(D1772,catNom,0))&amp;"",""))</f>
        <v/>
      </c>
      <c r="N1772" s="19">
        <f>IF(I1772="","",IFERROR(INDEX(ctaMon,MATCH(E1772,ctaNom,0))&amp;"","DOP"))</f>
        <v/>
      </c>
      <c r="O1772" s="20">
        <f>IF(I1772="","",C1772*IF(N1772="USD",TasaUSD,1))</f>
        <v/>
      </c>
      <c r="P1772" s="20">
        <f>IF(I1772="","",IF(I1772="Gasto",O1772,0))</f>
        <v/>
      </c>
      <c r="Q1772" s="20">
        <f>IF(I1772="","",IF(I1772="Ingreso",O1772,0))</f>
        <v/>
      </c>
      <c r="R1772" s="20">
        <f>IF(I1772="","",IF(I1772="Trading",O1772,0))</f>
        <v/>
      </c>
      <c r="S1772" s="19">
        <f>IF(I1772="","",IF(AND(I1772="Gasto",K1772="Variable",J1772&lt;&gt;"Trading",O1772&gt;0,O1772&lt;=Umbral),1,0))</f>
        <v/>
      </c>
      <c r="T1772" s="20">
        <f>IF(OR(I1772="",E1772=""),"",IF(OR(I1772="Gasto",I1772="Transferencia",I1772="Pago tarjeta"),-1,1)*C1772)</f>
        <v/>
      </c>
      <c r="U1772" s="20">
        <f>IF(OR(G1772="",AND(I1772&lt;&gt;"Transferencia",I1772&lt;&gt;"Pago tarjeta")),"",IF(IFERROR(INDEX(ctaMon,MATCH(G1772,ctaNom,0))&amp;"","DOP")=N1772,C1772,IF(N1772="USD",C1772*TasaUSD,C1772/TasaUSD)))</f>
        <v/>
      </c>
      <c r="V1772" s="20">
        <f>IF(I1772="","",IF(IFERROR(INDEX(ctaLiq,MATCH(E1772,ctaNom,0))="Sí",FALSE),IF(OR(I1772="Gasto",I1772="Transferencia",I1772="Pago tarjeta"),-1,1)*O1772,0)+IF(AND(U1772&lt;&gt;"",IFERROR(INDEX(ctaLiq,MATCH(G1772,ctaNom,0))="Sí",FALSE)),O1772,0))</f>
        <v/>
      </c>
      <c r="W1772" s="19">
        <f>IF(OR(F1772="",I1772=""),"",IF(COUNTIFS(F$6:F1772,F1772,I$6:I1772,"?*")=1,MAX(W$5:W1771)+1,""))</f>
        <v/>
      </c>
    </row>
    <row r="1773">
      <c r="B1773" s="15" t="n"/>
      <c r="C1773" s="16" t="n"/>
      <c r="D1773" s="17" t="n"/>
      <c r="E1773" s="17" t="n"/>
      <c r="F1773" s="17" t="n"/>
      <c r="G1773" s="17" t="n"/>
      <c r="H1773" s="18">
        <f>IF(AND(B1773="",C1773="",D1773="",E1773=""),"",IF(B1773="","⚠ Falta fecha",IF(C1773="","⚠ Falta monto",IF(D1773="","⚠ Falta categoría",IF(ISNA(MATCH(D1773,catNom,0)),"⚠ Categoría no existe",IF(E1773="","⚠ Falta cuenta",IF(ISNA(MATCH(E1773,ctaNom,0)),"⚠ Cuenta no existe",IF(AND(OR(I1773="Transferencia",I1773="Pago tarjeta"),G1773=""),"⚠ Indica la cuenta «Hacia»",IF(AND(G1773&lt;&gt;"",G1773=E1773),"⚠ «Hacia» igual a la cuenta",IF(AND(G1773&lt;&gt;"",ISNA(MATCH(G1773,ctaNom,0))),"⚠ «Hacia» no existe",IF(AND(I1773="Pago tarjeta",IFERROR(INDEX(ctaTipo,MATCH(G1773,ctaNom,0)),"")&lt;&gt;"Tarjeta de crédito"),"⚠ «Hacia» debe ser la tarjeta",IF(AND(I1773="Trading",IFERROR(INDEX(ctaTipo,MATCH(E1773,ctaNom,0)),"")&lt;&gt;"Cuenta de trading"),"⚠ Usa la cuenta de trading","✓"))))))))))))</f>
        <v/>
      </c>
      <c r="I1773" s="19">
        <f>IF(OR(B1773="",C1773="",D1773=""),"",IFERROR(INDEX(catTipo,MATCH(D1773,catNom,0))&amp;"",""))</f>
        <v/>
      </c>
      <c r="J1773" s="19">
        <f>IF(I1773="","",IFERROR(INDEX(catGrupo,MATCH(D1773,catNom,0))&amp;"",""))</f>
        <v/>
      </c>
      <c r="K1773" s="19">
        <f>IF(I1773="Gasto",IF(IFERROR(INDEX(catClas,MATCH(D1773,catNom,0))&amp;"","")="","Variable",IFERROR(INDEX(catClas,MATCH(D1773,catNom,0))&amp;"","")),"")</f>
        <v/>
      </c>
      <c r="L1773" s="19">
        <f>IF(I1773="","",IFERROR(INDEX(catAlim,MATCH(D1773,catNom,0))&amp;"",""))</f>
        <v/>
      </c>
      <c r="M1773" s="19">
        <f>IF(I1773="","",IFERROR(INDEX(catComida,MATCH(D1773,catNom,0))&amp;"",""))</f>
        <v/>
      </c>
      <c r="N1773" s="19">
        <f>IF(I1773="","",IFERROR(INDEX(ctaMon,MATCH(E1773,ctaNom,0))&amp;"","DOP"))</f>
        <v/>
      </c>
      <c r="O1773" s="20">
        <f>IF(I1773="","",C1773*IF(N1773="USD",TasaUSD,1))</f>
        <v/>
      </c>
      <c r="P1773" s="20">
        <f>IF(I1773="","",IF(I1773="Gasto",O1773,0))</f>
        <v/>
      </c>
      <c r="Q1773" s="20">
        <f>IF(I1773="","",IF(I1773="Ingreso",O1773,0))</f>
        <v/>
      </c>
      <c r="R1773" s="20">
        <f>IF(I1773="","",IF(I1773="Trading",O1773,0))</f>
        <v/>
      </c>
      <c r="S1773" s="19">
        <f>IF(I1773="","",IF(AND(I1773="Gasto",K1773="Variable",J1773&lt;&gt;"Trading",O1773&gt;0,O1773&lt;=Umbral),1,0))</f>
        <v/>
      </c>
      <c r="T1773" s="20">
        <f>IF(OR(I1773="",E1773=""),"",IF(OR(I1773="Gasto",I1773="Transferencia",I1773="Pago tarjeta"),-1,1)*C1773)</f>
        <v/>
      </c>
      <c r="U1773" s="20">
        <f>IF(OR(G1773="",AND(I1773&lt;&gt;"Transferencia",I1773&lt;&gt;"Pago tarjeta")),"",IF(IFERROR(INDEX(ctaMon,MATCH(G1773,ctaNom,0))&amp;"","DOP")=N1773,C1773,IF(N1773="USD",C1773*TasaUSD,C1773/TasaUSD)))</f>
        <v/>
      </c>
      <c r="V1773" s="20">
        <f>IF(I1773="","",IF(IFERROR(INDEX(ctaLiq,MATCH(E1773,ctaNom,0))="Sí",FALSE),IF(OR(I1773="Gasto",I1773="Transferencia",I1773="Pago tarjeta"),-1,1)*O1773,0)+IF(AND(U1773&lt;&gt;"",IFERROR(INDEX(ctaLiq,MATCH(G1773,ctaNom,0))="Sí",FALSE)),O1773,0))</f>
        <v/>
      </c>
      <c r="W1773" s="19">
        <f>IF(OR(F1773="",I1773=""),"",IF(COUNTIFS(F$6:F1773,F1773,I$6:I1773,"?*")=1,MAX(W$5:W1772)+1,""))</f>
        <v/>
      </c>
    </row>
    <row r="1774">
      <c r="B1774" s="15" t="n"/>
      <c r="C1774" s="16" t="n"/>
      <c r="D1774" s="17" t="n"/>
      <c r="E1774" s="17" t="n"/>
      <c r="F1774" s="17" t="n"/>
      <c r="G1774" s="17" t="n"/>
      <c r="H1774" s="18">
        <f>IF(AND(B1774="",C1774="",D1774="",E1774=""),"",IF(B1774="","⚠ Falta fecha",IF(C1774="","⚠ Falta monto",IF(D1774="","⚠ Falta categoría",IF(ISNA(MATCH(D1774,catNom,0)),"⚠ Categoría no existe",IF(E1774="","⚠ Falta cuenta",IF(ISNA(MATCH(E1774,ctaNom,0)),"⚠ Cuenta no existe",IF(AND(OR(I1774="Transferencia",I1774="Pago tarjeta"),G1774=""),"⚠ Indica la cuenta «Hacia»",IF(AND(G1774&lt;&gt;"",G1774=E1774),"⚠ «Hacia» igual a la cuenta",IF(AND(G1774&lt;&gt;"",ISNA(MATCH(G1774,ctaNom,0))),"⚠ «Hacia» no existe",IF(AND(I1774="Pago tarjeta",IFERROR(INDEX(ctaTipo,MATCH(G1774,ctaNom,0)),"")&lt;&gt;"Tarjeta de crédito"),"⚠ «Hacia» debe ser la tarjeta",IF(AND(I1774="Trading",IFERROR(INDEX(ctaTipo,MATCH(E1774,ctaNom,0)),"")&lt;&gt;"Cuenta de trading"),"⚠ Usa la cuenta de trading","✓"))))))))))))</f>
        <v/>
      </c>
      <c r="I1774" s="19">
        <f>IF(OR(B1774="",C1774="",D1774=""),"",IFERROR(INDEX(catTipo,MATCH(D1774,catNom,0))&amp;"",""))</f>
        <v/>
      </c>
      <c r="J1774" s="19">
        <f>IF(I1774="","",IFERROR(INDEX(catGrupo,MATCH(D1774,catNom,0))&amp;"",""))</f>
        <v/>
      </c>
      <c r="K1774" s="19">
        <f>IF(I1774="Gasto",IF(IFERROR(INDEX(catClas,MATCH(D1774,catNom,0))&amp;"","")="","Variable",IFERROR(INDEX(catClas,MATCH(D1774,catNom,0))&amp;"","")),"")</f>
        <v/>
      </c>
      <c r="L1774" s="19">
        <f>IF(I1774="","",IFERROR(INDEX(catAlim,MATCH(D1774,catNom,0))&amp;"",""))</f>
        <v/>
      </c>
      <c r="M1774" s="19">
        <f>IF(I1774="","",IFERROR(INDEX(catComida,MATCH(D1774,catNom,0))&amp;"",""))</f>
        <v/>
      </c>
      <c r="N1774" s="19">
        <f>IF(I1774="","",IFERROR(INDEX(ctaMon,MATCH(E1774,ctaNom,0))&amp;"","DOP"))</f>
        <v/>
      </c>
      <c r="O1774" s="20">
        <f>IF(I1774="","",C1774*IF(N1774="USD",TasaUSD,1))</f>
        <v/>
      </c>
      <c r="P1774" s="20">
        <f>IF(I1774="","",IF(I1774="Gasto",O1774,0))</f>
        <v/>
      </c>
      <c r="Q1774" s="20">
        <f>IF(I1774="","",IF(I1774="Ingreso",O1774,0))</f>
        <v/>
      </c>
      <c r="R1774" s="20">
        <f>IF(I1774="","",IF(I1774="Trading",O1774,0))</f>
        <v/>
      </c>
      <c r="S1774" s="19">
        <f>IF(I1774="","",IF(AND(I1774="Gasto",K1774="Variable",J1774&lt;&gt;"Trading",O1774&gt;0,O1774&lt;=Umbral),1,0))</f>
        <v/>
      </c>
      <c r="T1774" s="20">
        <f>IF(OR(I1774="",E1774=""),"",IF(OR(I1774="Gasto",I1774="Transferencia",I1774="Pago tarjeta"),-1,1)*C1774)</f>
        <v/>
      </c>
      <c r="U1774" s="20">
        <f>IF(OR(G1774="",AND(I1774&lt;&gt;"Transferencia",I1774&lt;&gt;"Pago tarjeta")),"",IF(IFERROR(INDEX(ctaMon,MATCH(G1774,ctaNom,0))&amp;"","DOP")=N1774,C1774,IF(N1774="USD",C1774*TasaUSD,C1774/TasaUSD)))</f>
        <v/>
      </c>
      <c r="V1774" s="20">
        <f>IF(I1774="","",IF(IFERROR(INDEX(ctaLiq,MATCH(E1774,ctaNom,0))="Sí",FALSE),IF(OR(I1774="Gasto",I1774="Transferencia",I1774="Pago tarjeta"),-1,1)*O1774,0)+IF(AND(U1774&lt;&gt;"",IFERROR(INDEX(ctaLiq,MATCH(G1774,ctaNom,0))="Sí",FALSE)),O1774,0))</f>
        <v/>
      </c>
      <c r="W1774" s="19">
        <f>IF(OR(F1774="",I1774=""),"",IF(COUNTIFS(F$6:F1774,F1774,I$6:I1774,"?*")=1,MAX(W$5:W1773)+1,""))</f>
        <v/>
      </c>
    </row>
    <row r="1775">
      <c r="B1775" s="15" t="n"/>
      <c r="C1775" s="16" t="n"/>
      <c r="D1775" s="17" t="n"/>
      <c r="E1775" s="17" t="n"/>
      <c r="F1775" s="17" t="n"/>
      <c r="G1775" s="17" t="n"/>
      <c r="H1775" s="18">
        <f>IF(AND(B1775="",C1775="",D1775="",E1775=""),"",IF(B1775="","⚠ Falta fecha",IF(C1775="","⚠ Falta monto",IF(D1775="","⚠ Falta categoría",IF(ISNA(MATCH(D1775,catNom,0)),"⚠ Categoría no existe",IF(E1775="","⚠ Falta cuenta",IF(ISNA(MATCH(E1775,ctaNom,0)),"⚠ Cuenta no existe",IF(AND(OR(I1775="Transferencia",I1775="Pago tarjeta"),G1775=""),"⚠ Indica la cuenta «Hacia»",IF(AND(G1775&lt;&gt;"",G1775=E1775),"⚠ «Hacia» igual a la cuenta",IF(AND(G1775&lt;&gt;"",ISNA(MATCH(G1775,ctaNom,0))),"⚠ «Hacia» no existe",IF(AND(I1775="Pago tarjeta",IFERROR(INDEX(ctaTipo,MATCH(G1775,ctaNom,0)),"")&lt;&gt;"Tarjeta de crédito"),"⚠ «Hacia» debe ser la tarjeta",IF(AND(I1775="Trading",IFERROR(INDEX(ctaTipo,MATCH(E1775,ctaNom,0)),"")&lt;&gt;"Cuenta de trading"),"⚠ Usa la cuenta de trading","✓"))))))))))))</f>
        <v/>
      </c>
      <c r="I1775" s="19">
        <f>IF(OR(B1775="",C1775="",D1775=""),"",IFERROR(INDEX(catTipo,MATCH(D1775,catNom,0))&amp;"",""))</f>
        <v/>
      </c>
      <c r="J1775" s="19">
        <f>IF(I1775="","",IFERROR(INDEX(catGrupo,MATCH(D1775,catNom,0))&amp;"",""))</f>
        <v/>
      </c>
      <c r="K1775" s="19">
        <f>IF(I1775="Gasto",IF(IFERROR(INDEX(catClas,MATCH(D1775,catNom,0))&amp;"","")="","Variable",IFERROR(INDEX(catClas,MATCH(D1775,catNom,0))&amp;"","")),"")</f>
        <v/>
      </c>
      <c r="L1775" s="19">
        <f>IF(I1775="","",IFERROR(INDEX(catAlim,MATCH(D1775,catNom,0))&amp;"",""))</f>
        <v/>
      </c>
      <c r="M1775" s="19">
        <f>IF(I1775="","",IFERROR(INDEX(catComida,MATCH(D1775,catNom,0))&amp;"",""))</f>
        <v/>
      </c>
      <c r="N1775" s="19">
        <f>IF(I1775="","",IFERROR(INDEX(ctaMon,MATCH(E1775,ctaNom,0))&amp;"","DOP"))</f>
        <v/>
      </c>
      <c r="O1775" s="20">
        <f>IF(I1775="","",C1775*IF(N1775="USD",TasaUSD,1))</f>
        <v/>
      </c>
      <c r="P1775" s="20">
        <f>IF(I1775="","",IF(I1775="Gasto",O1775,0))</f>
        <v/>
      </c>
      <c r="Q1775" s="20">
        <f>IF(I1775="","",IF(I1775="Ingreso",O1775,0))</f>
        <v/>
      </c>
      <c r="R1775" s="20">
        <f>IF(I1775="","",IF(I1775="Trading",O1775,0))</f>
        <v/>
      </c>
      <c r="S1775" s="19">
        <f>IF(I1775="","",IF(AND(I1775="Gasto",K1775="Variable",J1775&lt;&gt;"Trading",O1775&gt;0,O1775&lt;=Umbral),1,0))</f>
        <v/>
      </c>
      <c r="T1775" s="20">
        <f>IF(OR(I1775="",E1775=""),"",IF(OR(I1775="Gasto",I1775="Transferencia",I1775="Pago tarjeta"),-1,1)*C1775)</f>
        <v/>
      </c>
      <c r="U1775" s="20">
        <f>IF(OR(G1775="",AND(I1775&lt;&gt;"Transferencia",I1775&lt;&gt;"Pago tarjeta")),"",IF(IFERROR(INDEX(ctaMon,MATCH(G1775,ctaNom,0))&amp;"","DOP")=N1775,C1775,IF(N1775="USD",C1775*TasaUSD,C1775/TasaUSD)))</f>
        <v/>
      </c>
      <c r="V1775" s="20">
        <f>IF(I1775="","",IF(IFERROR(INDEX(ctaLiq,MATCH(E1775,ctaNom,0))="Sí",FALSE),IF(OR(I1775="Gasto",I1775="Transferencia",I1775="Pago tarjeta"),-1,1)*O1775,0)+IF(AND(U1775&lt;&gt;"",IFERROR(INDEX(ctaLiq,MATCH(G1775,ctaNom,0))="Sí",FALSE)),O1775,0))</f>
        <v/>
      </c>
      <c r="W1775" s="19">
        <f>IF(OR(F1775="",I1775=""),"",IF(COUNTIFS(F$6:F1775,F1775,I$6:I1775,"?*")=1,MAX(W$5:W1774)+1,""))</f>
        <v/>
      </c>
    </row>
    <row r="1776">
      <c r="B1776" s="15" t="n"/>
      <c r="C1776" s="16" t="n"/>
      <c r="D1776" s="17" t="n"/>
      <c r="E1776" s="17" t="n"/>
      <c r="F1776" s="17" t="n"/>
      <c r="G1776" s="17" t="n"/>
      <c r="H1776" s="18">
        <f>IF(AND(B1776="",C1776="",D1776="",E1776=""),"",IF(B1776="","⚠ Falta fecha",IF(C1776="","⚠ Falta monto",IF(D1776="","⚠ Falta categoría",IF(ISNA(MATCH(D1776,catNom,0)),"⚠ Categoría no existe",IF(E1776="","⚠ Falta cuenta",IF(ISNA(MATCH(E1776,ctaNom,0)),"⚠ Cuenta no existe",IF(AND(OR(I1776="Transferencia",I1776="Pago tarjeta"),G1776=""),"⚠ Indica la cuenta «Hacia»",IF(AND(G1776&lt;&gt;"",G1776=E1776),"⚠ «Hacia» igual a la cuenta",IF(AND(G1776&lt;&gt;"",ISNA(MATCH(G1776,ctaNom,0))),"⚠ «Hacia» no existe",IF(AND(I1776="Pago tarjeta",IFERROR(INDEX(ctaTipo,MATCH(G1776,ctaNom,0)),"")&lt;&gt;"Tarjeta de crédito"),"⚠ «Hacia» debe ser la tarjeta",IF(AND(I1776="Trading",IFERROR(INDEX(ctaTipo,MATCH(E1776,ctaNom,0)),"")&lt;&gt;"Cuenta de trading"),"⚠ Usa la cuenta de trading","✓"))))))))))))</f>
        <v/>
      </c>
      <c r="I1776" s="19">
        <f>IF(OR(B1776="",C1776="",D1776=""),"",IFERROR(INDEX(catTipo,MATCH(D1776,catNom,0))&amp;"",""))</f>
        <v/>
      </c>
      <c r="J1776" s="19">
        <f>IF(I1776="","",IFERROR(INDEX(catGrupo,MATCH(D1776,catNom,0))&amp;"",""))</f>
        <v/>
      </c>
      <c r="K1776" s="19">
        <f>IF(I1776="Gasto",IF(IFERROR(INDEX(catClas,MATCH(D1776,catNom,0))&amp;"","")="","Variable",IFERROR(INDEX(catClas,MATCH(D1776,catNom,0))&amp;"","")),"")</f>
        <v/>
      </c>
      <c r="L1776" s="19">
        <f>IF(I1776="","",IFERROR(INDEX(catAlim,MATCH(D1776,catNom,0))&amp;"",""))</f>
        <v/>
      </c>
      <c r="M1776" s="19">
        <f>IF(I1776="","",IFERROR(INDEX(catComida,MATCH(D1776,catNom,0))&amp;"",""))</f>
        <v/>
      </c>
      <c r="N1776" s="19">
        <f>IF(I1776="","",IFERROR(INDEX(ctaMon,MATCH(E1776,ctaNom,0))&amp;"","DOP"))</f>
        <v/>
      </c>
      <c r="O1776" s="20">
        <f>IF(I1776="","",C1776*IF(N1776="USD",TasaUSD,1))</f>
        <v/>
      </c>
      <c r="P1776" s="20">
        <f>IF(I1776="","",IF(I1776="Gasto",O1776,0))</f>
        <v/>
      </c>
      <c r="Q1776" s="20">
        <f>IF(I1776="","",IF(I1776="Ingreso",O1776,0))</f>
        <v/>
      </c>
      <c r="R1776" s="20">
        <f>IF(I1776="","",IF(I1776="Trading",O1776,0))</f>
        <v/>
      </c>
      <c r="S1776" s="19">
        <f>IF(I1776="","",IF(AND(I1776="Gasto",K1776="Variable",J1776&lt;&gt;"Trading",O1776&gt;0,O1776&lt;=Umbral),1,0))</f>
        <v/>
      </c>
      <c r="T1776" s="20">
        <f>IF(OR(I1776="",E1776=""),"",IF(OR(I1776="Gasto",I1776="Transferencia",I1776="Pago tarjeta"),-1,1)*C1776)</f>
        <v/>
      </c>
      <c r="U1776" s="20">
        <f>IF(OR(G1776="",AND(I1776&lt;&gt;"Transferencia",I1776&lt;&gt;"Pago tarjeta")),"",IF(IFERROR(INDEX(ctaMon,MATCH(G1776,ctaNom,0))&amp;"","DOP")=N1776,C1776,IF(N1776="USD",C1776*TasaUSD,C1776/TasaUSD)))</f>
        <v/>
      </c>
      <c r="V1776" s="20">
        <f>IF(I1776="","",IF(IFERROR(INDEX(ctaLiq,MATCH(E1776,ctaNom,0))="Sí",FALSE),IF(OR(I1776="Gasto",I1776="Transferencia",I1776="Pago tarjeta"),-1,1)*O1776,0)+IF(AND(U1776&lt;&gt;"",IFERROR(INDEX(ctaLiq,MATCH(G1776,ctaNom,0))="Sí",FALSE)),O1776,0))</f>
        <v/>
      </c>
      <c r="W1776" s="19">
        <f>IF(OR(F1776="",I1776=""),"",IF(COUNTIFS(F$6:F1776,F1776,I$6:I1776,"?*")=1,MAX(W$5:W1775)+1,""))</f>
        <v/>
      </c>
    </row>
    <row r="1777">
      <c r="B1777" s="15" t="n"/>
      <c r="C1777" s="16" t="n"/>
      <c r="D1777" s="17" t="n"/>
      <c r="E1777" s="17" t="n"/>
      <c r="F1777" s="17" t="n"/>
      <c r="G1777" s="17" t="n"/>
      <c r="H1777" s="18">
        <f>IF(AND(B1777="",C1777="",D1777="",E1777=""),"",IF(B1777="","⚠ Falta fecha",IF(C1777="","⚠ Falta monto",IF(D1777="","⚠ Falta categoría",IF(ISNA(MATCH(D1777,catNom,0)),"⚠ Categoría no existe",IF(E1777="","⚠ Falta cuenta",IF(ISNA(MATCH(E1777,ctaNom,0)),"⚠ Cuenta no existe",IF(AND(OR(I1777="Transferencia",I1777="Pago tarjeta"),G1777=""),"⚠ Indica la cuenta «Hacia»",IF(AND(G1777&lt;&gt;"",G1777=E1777),"⚠ «Hacia» igual a la cuenta",IF(AND(G1777&lt;&gt;"",ISNA(MATCH(G1777,ctaNom,0))),"⚠ «Hacia» no existe",IF(AND(I1777="Pago tarjeta",IFERROR(INDEX(ctaTipo,MATCH(G1777,ctaNom,0)),"")&lt;&gt;"Tarjeta de crédito"),"⚠ «Hacia» debe ser la tarjeta",IF(AND(I1777="Trading",IFERROR(INDEX(ctaTipo,MATCH(E1777,ctaNom,0)),"")&lt;&gt;"Cuenta de trading"),"⚠ Usa la cuenta de trading","✓"))))))))))))</f>
        <v/>
      </c>
      <c r="I1777" s="19">
        <f>IF(OR(B1777="",C1777="",D1777=""),"",IFERROR(INDEX(catTipo,MATCH(D1777,catNom,0))&amp;"",""))</f>
        <v/>
      </c>
      <c r="J1777" s="19">
        <f>IF(I1777="","",IFERROR(INDEX(catGrupo,MATCH(D1777,catNom,0))&amp;"",""))</f>
        <v/>
      </c>
      <c r="K1777" s="19">
        <f>IF(I1777="Gasto",IF(IFERROR(INDEX(catClas,MATCH(D1777,catNom,0))&amp;"","")="","Variable",IFERROR(INDEX(catClas,MATCH(D1777,catNom,0))&amp;"","")),"")</f>
        <v/>
      </c>
      <c r="L1777" s="19">
        <f>IF(I1777="","",IFERROR(INDEX(catAlim,MATCH(D1777,catNom,0))&amp;"",""))</f>
        <v/>
      </c>
      <c r="M1777" s="19">
        <f>IF(I1777="","",IFERROR(INDEX(catComida,MATCH(D1777,catNom,0))&amp;"",""))</f>
        <v/>
      </c>
      <c r="N1777" s="19">
        <f>IF(I1777="","",IFERROR(INDEX(ctaMon,MATCH(E1777,ctaNom,0))&amp;"","DOP"))</f>
        <v/>
      </c>
      <c r="O1777" s="20">
        <f>IF(I1777="","",C1777*IF(N1777="USD",TasaUSD,1))</f>
        <v/>
      </c>
      <c r="P1777" s="20">
        <f>IF(I1777="","",IF(I1777="Gasto",O1777,0))</f>
        <v/>
      </c>
      <c r="Q1777" s="20">
        <f>IF(I1777="","",IF(I1777="Ingreso",O1777,0))</f>
        <v/>
      </c>
      <c r="R1777" s="20">
        <f>IF(I1777="","",IF(I1777="Trading",O1777,0))</f>
        <v/>
      </c>
      <c r="S1777" s="19">
        <f>IF(I1777="","",IF(AND(I1777="Gasto",K1777="Variable",J1777&lt;&gt;"Trading",O1777&gt;0,O1777&lt;=Umbral),1,0))</f>
        <v/>
      </c>
      <c r="T1777" s="20">
        <f>IF(OR(I1777="",E1777=""),"",IF(OR(I1777="Gasto",I1777="Transferencia",I1777="Pago tarjeta"),-1,1)*C1777)</f>
        <v/>
      </c>
      <c r="U1777" s="20">
        <f>IF(OR(G1777="",AND(I1777&lt;&gt;"Transferencia",I1777&lt;&gt;"Pago tarjeta")),"",IF(IFERROR(INDEX(ctaMon,MATCH(G1777,ctaNom,0))&amp;"","DOP")=N1777,C1777,IF(N1777="USD",C1777*TasaUSD,C1777/TasaUSD)))</f>
        <v/>
      </c>
      <c r="V1777" s="20">
        <f>IF(I1777="","",IF(IFERROR(INDEX(ctaLiq,MATCH(E1777,ctaNom,0))="Sí",FALSE),IF(OR(I1777="Gasto",I1777="Transferencia",I1777="Pago tarjeta"),-1,1)*O1777,0)+IF(AND(U1777&lt;&gt;"",IFERROR(INDEX(ctaLiq,MATCH(G1777,ctaNom,0))="Sí",FALSE)),O1777,0))</f>
        <v/>
      </c>
      <c r="W1777" s="19">
        <f>IF(OR(F1777="",I1777=""),"",IF(COUNTIFS(F$6:F1777,F1777,I$6:I1777,"?*")=1,MAX(W$5:W1776)+1,""))</f>
        <v/>
      </c>
    </row>
    <row r="1778">
      <c r="B1778" s="15" t="n"/>
      <c r="C1778" s="16" t="n"/>
      <c r="D1778" s="17" t="n"/>
      <c r="E1778" s="17" t="n"/>
      <c r="F1778" s="17" t="n"/>
      <c r="G1778" s="17" t="n"/>
      <c r="H1778" s="18">
        <f>IF(AND(B1778="",C1778="",D1778="",E1778=""),"",IF(B1778="","⚠ Falta fecha",IF(C1778="","⚠ Falta monto",IF(D1778="","⚠ Falta categoría",IF(ISNA(MATCH(D1778,catNom,0)),"⚠ Categoría no existe",IF(E1778="","⚠ Falta cuenta",IF(ISNA(MATCH(E1778,ctaNom,0)),"⚠ Cuenta no existe",IF(AND(OR(I1778="Transferencia",I1778="Pago tarjeta"),G1778=""),"⚠ Indica la cuenta «Hacia»",IF(AND(G1778&lt;&gt;"",G1778=E1778),"⚠ «Hacia» igual a la cuenta",IF(AND(G1778&lt;&gt;"",ISNA(MATCH(G1778,ctaNom,0))),"⚠ «Hacia» no existe",IF(AND(I1778="Pago tarjeta",IFERROR(INDEX(ctaTipo,MATCH(G1778,ctaNom,0)),"")&lt;&gt;"Tarjeta de crédito"),"⚠ «Hacia» debe ser la tarjeta",IF(AND(I1778="Trading",IFERROR(INDEX(ctaTipo,MATCH(E1778,ctaNom,0)),"")&lt;&gt;"Cuenta de trading"),"⚠ Usa la cuenta de trading","✓"))))))))))))</f>
        <v/>
      </c>
      <c r="I1778" s="19">
        <f>IF(OR(B1778="",C1778="",D1778=""),"",IFERROR(INDEX(catTipo,MATCH(D1778,catNom,0))&amp;"",""))</f>
        <v/>
      </c>
      <c r="J1778" s="19">
        <f>IF(I1778="","",IFERROR(INDEX(catGrupo,MATCH(D1778,catNom,0))&amp;"",""))</f>
        <v/>
      </c>
      <c r="K1778" s="19">
        <f>IF(I1778="Gasto",IF(IFERROR(INDEX(catClas,MATCH(D1778,catNom,0))&amp;"","")="","Variable",IFERROR(INDEX(catClas,MATCH(D1778,catNom,0))&amp;"","")),"")</f>
        <v/>
      </c>
      <c r="L1778" s="19">
        <f>IF(I1778="","",IFERROR(INDEX(catAlim,MATCH(D1778,catNom,0))&amp;"",""))</f>
        <v/>
      </c>
      <c r="M1778" s="19">
        <f>IF(I1778="","",IFERROR(INDEX(catComida,MATCH(D1778,catNom,0))&amp;"",""))</f>
        <v/>
      </c>
      <c r="N1778" s="19">
        <f>IF(I1778="","",IFERROR(INDEX(ctaMon,MATCH(E1778,ctaNom,0))&amp;"","DOP"))</f>
        <v/>
      </c>
      <c r="O1778" s="20">
        <f>IF(I1778="","",C1778*IF(N1778="USD",TasaUSD,1))</f>
        <v/>
      </c>
      <c r="P1778" s="20">
        <f>IF(I1778="","",IF(I1778="Gasto",O1778,0))</f>
        <v/>
      </c>
      <c r="Q1778" s="20">
        <f>IF(I1778="","",IF(I1778="Ingreso",O1778,0))</f>
        <v/>
      </c>
      <c r="R1778" s="20">
        <f>IF(I1778="","",IF(I1778="Trading",O1778,0))</f>
        <v/>
      </c>
      <c r="S1778" s="19">
        <f>IF(I1778="","",IF(AND(I1778="Gasto",K1778="Variable",J1778&lt;&gt;"Trading",O1778&gt;0,O1778&lt;=Umbral),1,0))</f>
        <v/>
      </c>
      <c r="T1778" s="20">
        <f>IF(OR(I1778="",E1778=""),"",IF(OR(I1778="Gasto",I1778="Transferencia",I1778="Pago tarjeta"),-1,1)*C1778)</f>
        <v/>
      </c>
      <c r="U1778" s="20">
        <f>IF(OR(G1778="",AND(I1778&lt;&gt;"Transferencia",I1778&lt;&gt;"Pago tarjeta")),"",IF(IFERROR(INDEX(ctaMon,MATCH(G1778,ctaNom,0))&amp;"","DOP")=N1778,C1778,IF(N1778="USD",C1778*TasaUSD,C1778/TasaUSD)))</f>
        <v/>
      </c>
      <c r="V1778" s="20">
        <f>IF(I1778="","",IF(IFERROR(INDEX(ctaLiq,MATCH(E1778,ctaNom,0))="Sí",FALSE),IF(OR(I1778="Gasto",I1778="Transferencia",I1778="Pago tarjeta"),-1,1)*O1778,0)+IF(AND(U1778&lt;&gt;"",IFERROR(INDEX(ctaLiq,MATCH(G1778,ctaNom,0))="Sí",FALSE)),O1778,0))</f>
        <v/>
      </c>
      <c r="W1778" s="19">
        <f>IF(OR(F1778="",I1778=""),"",IF(COUNTIFS(F$6:F1778,F1778,I$6:I1778,"?*")=1,MAX(W$5:W1777)+1,""))</f>
        <v/>
      </c>
    </row>
    <row r="1779">
      <c r="B1779" s="15" t="n"/>
      <c r="C1779" s="16" t="n"/>
      <c r="D1779" s="17" t="n"/>
      <c r="E1779" s="17" t="n"/>
      <c r="F1779" s="17" t="n"/>
      <c r="G1779" s="17" t="n"/>
      <c r="H1779" s="18">
        <f>IF(AND(B1779="",C1779="",D1779="",E1779=""),"",IF(B1779="","⚠ Falta fecha",IF(C1779="","⚠ Falta monto",IF(D1779="","⚠ Falta categoría",IF(ISNA(MATCH(D1779,catNom,0)),"⚠ Categoría no existe",IF(E1779="","⚠ Falta cuenta",IF(ISNA(MATCH(E1779,ctaNom,0)),"⚠ Cuenta no existe",IF(AND(OR(I1779="Transferencia",I1779="Pago tarjeta"),G1779=""),"⚠ Indica la cuenta «Hacia»",IF(AND(G1779&lt;&gt;"",G1779=E1779),"⚠ «Hacia» igual a la cuenta",IF(AND(G1779&lt;&gt;"",ISNA(MATCH(G1779,ctaNom,0))),"⚠ «Hacia» no existe",IF(AND(I1779="Pago tarjeta",IFERROR(INDEX(ctaTipo,MATCH(G1779,ctaNom,0)),"")&lt;&gt;"Tarjeta de crédito"),"⚠ «Hacia» debe ser la tarjeta",IF(AND(I1779="Trading",IFERROR(INDEX(ctaTipo,MATCH(E1779,ctaNom,0)),"")&lt;&gt;"Cuenta de trading"),"⚠ Usa la cuenta de trading","✓"))))))))))))</f>
        <v/>
      </c>
      <c r="I1779" s="19">
        <f>IF(OR(B1779="",C1779="",D1779=""),"",IFERROR(INDEX(catTipo,MATCH(D1779,catNom,0))&amp;"",""))</f>
        <v/>
      </c>
      <c r="J1779" s="19">
        <f>IF(I1779="","",IFERROR(INDEX(catGrupo,MATCH(D1779,catNom,0))&amp;"",""))</f>
        <v/>
      </c>
      <c r="K1779" s="19">
        <f>IF(I1779="Gasto",IF(IFERROR(INDEX(catClas,MATCH(D1779,catNom,0))&amp;"","")="","Variable",IFERROR(INDEX(catClas,MATCH(D1779,catNom,0))&amp;"","")),"")</f>
        <v/>
      </c>
      <c r="L1779" s="19">
        <f>IF(I1779="","",IFERROR(INDEX(catAlim,MATCH(D1779,catNom,0))&amp;"",""))</f>
        <v/>
      </c>
      <c r="M1779" s="19">
        <f>IF(I1779="","",IFERROR(INDEX(catComida,MATCH(D1779,catNom,0))&amp;"",""))</f>
        <v/>
      </c>
      <c r="N1779" s="19">
        <f>IF(I1779="","",IFERROR(INDEX(ctaMon,MATCH(E1779,ctaNom,0))&amp;"","DOP"))</f>
        <v/>
      </c>
      <c r="O1779" s="20">
        <f>IF(I1779="","",C1779*IF(N1779="USD",TasaUSD,1))</f>
        <v/>
      </c>
      <c r="P1779" s="20">
        <f>IF(I1779="","",IF(I1779="Gasto",O1779,0))</f>
        <v/>
      </c>
      <c r="Q1779" s="20">
        <f>IF(I1779="","",IF(I1779="Ingreso",O1779,0))</f>
        <v/>
      </c>
      <c r="R1779" s="20">
        <f>IF(I1779="","",IF(I1779="Trading",O1779,0))</f>
        <v/>
      </c>
      <c r="S1779" s="19">
        <f>IF(I1779="","",IF(AND(I1779="Gasto",K1779="Variable",J1779&lt;&gt;"Trading",O1779&gt;0,O1779&lt;=Umbral),1,0))</f>
        <v/>
      </c>
      <c r="T1779" s="20">
        <f>IF(OR(I1779="",E1779=""),"",IF(OR(I1779="Gasto",I1779="Transferencia",I1779="Pago tarjeta"),-1,1)*C1779)</f>
        <v/>
      </c>
      <c r="U1779" s="20">
        <f>IF(OR(G1779="",AND(I1779&lt;&gt;"Transferencia",I1779&lt;&gt;"Pago tarjeta")),"",IF(IFERROR(INDEX(ctaMon,MATCH(G1779,ctaNom,0))&amp;"","DOP")=N1779,C1779,IF(N1779="USD",C1779*TasaUSD,C1779/TasaUSD)))</f>
        <v/>
      </c>
      <c r="V1779" s="20">
        <f>IF(I1779="","",IF(IFERROR(INDEX(ctaLiq,MATCH(E1779,ctaNom,0))="Sí",FALSE),IF(OR(I1779="Gasto",I1779="Transferencia",I1779="Pago tarjeta"),-1,1)*O1779,0)+IF(AND(U1779&lt;&gt;"",IFERROR(INDEX(ctaLiq,MATCH(G1779,ctaNom,0))="Sí",FALSE)),O1779,0))</f>
        <v/>
      </c>
      <c r="W1779" s="19">
        <f>IF(OR(F1779="",I1779=""),"",IF(COUNTIFS(F$6:F1779,F1779,I$6:I1779,"?*")=1,MAX(W$5:W1778)+1,""))</f>
        <v/>
      </c>
    </row>
    <row r="1780">
      <c r="B1780" s="15" t="n"/>
      <c r="C1780" s="16" t="n"/>
      <c r="D1780" s="17" t="n"/>
      <c r="E1780" s="17" t="n"/>
      <c r="F1780" s="17" t="n"/>
      <c r="G1780" s="17" t="n"/>
      <c r="H1780" s="18">
        <f>IF(AND(B1780="",C1780="",D1780="",E1780=""),"",IF(B1780="","⚠ Falta fecha",IF(C1780="","⚠ Falta monto",IF(D1780="","⚠ Falta categoría",IF(ISNA(MATCH(D1780,catNom,0)),"⚠ Categoría no existe",IF(E1780="","⚠ Falta cuenta",IF(ISNA(MATCH(E1780,ctaNom,0)),"⚠ Cuenta no existe",IF(AND(OR(I1780="Transferencia",I1780="Pago tarjeta"),G1780=""),"⚠ Indica la cuenta «Hacia»",IF(AND(G1780&lt;&gt;"",G1780=E1780),"⚠ «Hacia» igual a la cuenta",IF(AND(G1780&lt;&gt;"",ISNA(MATCH(G1780,ctaNom,0))),"⚠ «Hacia» no existe",IF(AND(I1780="Pago tarjeta",IFERROR(INDEX(ctaTipo,MATCH(G1780,ctaNom,0)),"")&lt;&gt;"Tarjeta de crédito"),"⚠ «Hacia» debe ser la tarjeta",IF(AND(I1780="Trading",IFERROR(INDEX(ctaTipo,MATCH(E1780,ctaNom,0)),"")&lt;&gt;"Cuenta de trading"),"⚠ Usa la cuenta de trading","✓"))))))))))))</f>
        <v/>
      </c>
      <c r="I1780" s="19">
        <f>IF(OR(B1780="",C1780="",D1780=""),"",IFERROR(INDEX(catTipo,MATCH(D1780,catNom,0))&amp;"",""))</f>
        <v/>
      </c>
      <c r="J1780" s="19">
        <f>IF(I1780="","",IFERROR(INDEX(catGrupo,MATCH(D1780,catNom,0))&amp;"",""))</f>
        <v/>
      </c>
      <c r="K1780" s="19">
        <f>IF(I1780="Gasto",IF(IFERROR(INDEX(catClas,MATCH(D1780,catNom,0))&amp;"","")="","Variable",IFERROR(INDEX(catClas,MATCH(D1780,catNom,0))&amp;"","")),"")</f>
        <v/>
      </c>
      <c r="L1780" s="19">
        <f>IF(I1780="","",IFERROR(INDEX(catAlim,MATCH(D1780,catNom,0))&amp;"",""))</f>
        <v/>
      </c>
      <c r="M1780" s="19">
        <f>IF(I1780="","",IFERROR(INDEX(catComida,MATCH(D1780,catNom,0))&amp;"",""))</f>
        <v/>
      </c>
      <c r="N1780" s="19">
        <f>IF(I1780="","",IFERROR(INDEX(ctaMon,MATCH(E1780,ctaNom,0))&amp;"","DOP"))</f>
        <v/>
      </c>
      <c r="O1780" s="20">
        <f>IF(I1780="","",C1780*IF(N1780="USD",TasaUSD,1))</f>
        <v/>
      </c>
      <c r="P1780" s="20">
        <f>IF(I1780="","",IF(I1780="Gasto",O1780,0))</f>
        <v/>
      </c>
      <c r="Q1780" s="20">
        <f>IF(I1780="","",IF(I1780="Ingreso",O1780,0))</f>
        <v/>
      </c>
      <c r="R1780" s="20">
        <f>IF(I1780="","",IF(I1780="Trading",O1780,0))</f>
        <v/>
      </c>
      <c r="S1780" s="19">
        <f>IF(I1780="","",IF(AND(I1780="Gasto",K1780="Variable",J1780&lt;&gt;"Trading",O1780&gt;0,O1780&lt;=Umbral),1,0))</f>
        <v/>
      </c>
      <c r="T1780" s="20">
        <f>IF(OR(I1780="",E1780=""),"",IF(OR(I1780="Gasto",I1780="Transferencia",I1780="Pago tarjeta"),-1,1)*C1780)</f>
        <v/>
      </c>
      <c r="U1780" s="20">
        <f>IF(OR(G1780="",AND(I1780&lt;&gt;"Transferencia",I1780&lt;&gt;"Pago tarjeta")),"",IF(IFERROR(INDEX(ctaMon,MATCH(G1780,ctaNom,0))&amp;"","DOP")=N1780,C1780,IF(N1780="USD",C1780*TasaUSD,C1780/TasaUSD)))</f>
        <v/>
      </c>
      <c r="V1780" s="20">
        <f>IF(I1780="","",IF(IFERROR(INDEX(ctaLiq,MATCH(E1780,ctaNom,0))="Sí",FALSE),IF(OR(I1780="Gasto",I1780="Transferencia",I1780="Pago tarjeta"),-1,1)*O1780,0)+IF(AND(U1780&lt;&gt;"",IFERROR(INDEX(ctaLiq,MATCH(G1780,ctaNom,0))="Sí",FALSE)),O1780,0))</f>
        <v/>
      </c>
      <c r="W1780" s="19">
        <f>IF(OR(F1780="",I1780=""),"",IF(COUNTIFS(F$6:F1780,F1780,I$6:I1780,"?*")=1,MAX(W$5:W1779)+1,""))</f>
        <v/>
      </c>
    </row>
    <row r="1781">
      <c r="B1781" s="15" t="n"/>
      <c r="C1781" s="16" t="n"/>
      <c r="D1781" s="17" t="n"/>
      <c r="E1781" s="17" t="n"/>
      <c r="F1781" s="17" t="n"/>
      <c r="G1781" s="17" t="n"/>
      <c r="H1781" s="18">
        <f>IF(AND(B1781="",C1781="",D1781="",E1781=""),"",IF(B1781="","⚠ Falta fecha",IF(C1781="","⚠ Falta monto",IF(D1781="","⚠ Falta categoría",IF(ISNA(MATCH(D1781,catNom,0)),"⚠ Categoría no existe",IF(E1781="","⚠ Falta cuenta",IF(ISNA(MATCH(E1781,ctaNom,0)),"⚠ Cuenta no existe",IF(AND(OR(I1781="Transferencia",I1781="Pago tarjeta"),G1781=""),"⚠ Indica la cuenta «Hacia»",IF(AND(G1781&lt;&gt;"",G1781=E1781),"⚠ «Hacia» igual a la cuenta",IF(AND(G1781&lt;&gt;"",ISNA(MATCH(G1781,ctaNom,0))),"⚠ «Hacia» no existe",IF(AND(I1781="Pago tarjeta",IFERROR(INDEX(ctaTipo,MATCH(G1781,ctaNom,0)),"")&lt;&gt;"Tarjeta de crédito"),"⚠ «Hacia» debe ser la tarjeta",IF(AND(I1781="Trading",IFERROR(INDEX(ctaTipo,MATCH(E1781,ctaNom,0)),"")&lt;&gt;"Cuenta de trading"),"⚠ Usa la cuenta de trading","✓"))))))))))))</f>
        <v/>
      </c>
      <c r="I1781" s="19">
        <f>IF(OR(B1781="",C1781="",D1781=""),"",IFERROR(INDEX(catTipo,MATCH(D1781,catNom,0))&amp;"",""))</f>
        <v/>
      </c>
      <c r="J1781" s="19">
        <f>IF(I1781="","",IFERROR(INDEX(catGrupo,MATCH(D1781,catNom,0))&amp;"",""))</f>
        <v/>
      </c>
      <c r="K1781" s="19">
        <f>IF(I1781="Gasto",IF(IFERROR(INDEX(catClas,MATCH(D1781,catNom,0))&amp;"","")="","Variable",IFERROR(INDEX(catClas,MATCH(D1781,catNom,0))&amp;"","")),"")</f>
        <v/>
      </c>
      <c r="L1781" s="19">
        <f>IF(I1781="","",IFERROR(INDEX(catAlim,MATCH(D1781,catNom,0))&amp;"",""))</f>
        <v/>
      </c>
      <c r="M1781" s="19">
        <f>IF(I1781="","",IFERROR(INDEX(catComida,MATCH(D1781,catNom,0))&amp;"",""))</f>
        <v/>
      </c>
      <c r="N1781" s="19">
        <f>IF(I1781="","",IFERROR(INDEX(ctaMon,MATCH(E1781,ctaNom,0))&amp;"","DOP"))</f>
        <v/>
      </c>
      <c r="O1781" s="20">
        <f>IF(I1781="","",C1781*IF(N1781="USD",TasaUSD,1))</f>
        <v/>
      </c>
      <c r="P1781" s="20">
        <f>IF(I1781="","",IF(I1781="Gasto",O1781,0))</f>
        <v/>
      </c>
      <c r="Q1781" s="20">
        <f>IF(I1781="","",IF(I1781="Ingreso",O1781,0))</f>
        <v/>
      </c>
      <c r="R1781" s="20">
        <f>IF(I1781="","",IF(I1781="Trading",O1781,0))</f>
        <v/>
      </c>
      <c r="S1781" s="19">
        <f>IF(I1781="","",IF(AND(I1781="Gasto",K1781="Variable",J1781&lt;&gt;"Trading",O1781&gt;0,O1781&lt;=Umbral),1,0))</f>
        <v/>
      </c>
      <c r="T1781" s="20">
        <f>IF(OR(I1781="",E1781=""),"",IF(OR(I1781="Gasto",I1781="Transferencia",I1781="Pago tarjeta"),-1,1)*C1781)</f>
        <v/>
      </c>
      <c r="U1781" s="20">
        <f>IF(OR(G1781="",AND(I1781&lt;&gt;"Transferencia",I1781&lt;&gt;"Pago tarjeta")),"",IF(IFERROR(INDEX(ctaMon,MATCH(G1781,ctaNom,0))&amp;"","DOP")=N1781,C1781,IF(N1781="USD",C1781*TasaUSD,C1781/TasaUSD)))</f>
        <v/>
      </c>
      <c r="V1781" s="20">
        <f>IF(I1781="","",IF(IFERROR(INDEX(ctaLiq,MATCH(E1781,ctaNom,0))="Sí",FALSE),IF(OR(I1781="Gasto",I1781="Transferencia",I1781="Pago tarjeta"),-1,1)*O1781,0)+IF(AND(U1781&lt;&gt;"",IFERROR(INDEX(ctaLiq,MATCH(G1781,ctaNom,0))="Sí",FALSE)),O1781,0))</f>
        <v/>
      </c>
      <c r="W1781" s="19">
        <f>IF(OR(F1781="",I1781=""),"",IF(COUNTIFS(F$6:F1781,F1781,I$6:I1781,"?*")=1,MAX(W$5:W1780)+1,""))</f>
        <v/>
      </c>
    </row>
    <row r="1782">
      <c r="B1782" s="15" t="n"/>
      <c r="C1782" s="16" t="n"/>
      <c r="D1782" s="17" t="n"/>
      <c r="E1782" s="17" t="n"/>
      <c r="F1782" s="17" t="n"/>
      <c r="G1782" s="17" t="n"/>
      <c r="H1782" s="18">
        <f>IF(AND(B1782="",C1782="",D1782="",E1782=""),"",IF(B1782="","⚠ Falta fecha",IF(C1782="","⚠ Falta monto",IF(D1782="","⚠ Falta categoría",IF(ISNA(MATCH(D1782,catNom,0)),"⚠ Categoría no existe",IF(E1782="","⚠ Falta cuenta",IF(ISNA(MATCH(E1782,ctaNom,0)),"⚠ Cuenta no existe",IF(AND(OR(I1782="Transferencia",I1782="Pago tarjeta"),G1782=""),"⚠ Indica la cuenta «Hacia»",IF(AND(G1782&lt;&gt;"",G1782=E1782),"⚠ «Hacia» igual a la cuenta",IF(AND(G1782&lt;&gt;"",ISNA(MATCH(G1782,ctaNom,0))),"⚠ «Hacia» no existe",IF(AND(I1782="Pago tarjeta",IFERROR(INDEX(ctaTipo,MATCH(G1782,ctaNom,0)),"")&lt;&gt;"Tarjeta de crédito"),"⚠ «Hacia» debe ser la tarjeta",IF(AND(I1782="Trading",IFERROR(INDEX(ctaTipo,MATCH(E1782,ctaNom,0)),"")&lt;&gt;"Cuenta de trading"),"⚠ Usa la cuenta de trading","✓"))))))))))))</f>
        <v/>
      </c>
      <c r="I1782" s="19">
        <f>IF(OR(B1782="",C1782="",D1782=""),"",IFERROR(INDEX(catTipo,MATCH(D1782,catNom,0))&amp;"",""))</f>
        <v/>
      </c>
      <c r="J1782" s="19">
        <f>IF(I1782="","",IFERROR(INDEX(catGrupo,MATCH(D1782,catNom,0))&amp;"",""))</f>
        <v/>
      </c>
      <c r="K1782" s="19">
        <f>IF(I1782="Gasto",IF(IFERROR(INDEX(catClas,MATCH(D1782,catNom,0))&amp;"","")="","Variable",IFERROR(INDEX(catClas,MATCH(D1782,catNom,0))&amp;"","")),"")</f>
        <v/>
      </c>
      <c r="L1782" s="19">
        <f>IF(I1782="","",IFERROR(INDEX(catAlim,MATCH(D1782,catNom,0))&amp;"",""))</f>
        <v/>
      </c>
      <c r="M1782" s="19">
        <f>IF(I1782="","",IFERROR(INDEX(catComida,MATCH(D1782,catNom,0))&amp;"",""))</f>
        <v/>
      </c>
      <c r="N1782" s="19">
        <f>IF(I1782="","",IFERROR(INDEX(ctaMon,MATCH(E1782,ctaNom,0))&amp;"","DOP"))</f>
        <v/>
      </c>
      <c r="O1782" s="20">
        <f>IF(I1782="","",C1782*IF(N1782="USD",TasaUSD,1))</f>
        <v/>
      </c>
      <c r="P1782" s="20">
        <f>IF(I1782="","",IF(I1782="Gasto",O1782,0))</f>
        <v/>
      </c>
      <c r="Q1782" s="20">
        <f>IF(I1782="","",IF(I1782="Ingreso",O1782,0))</f>
        <v/>
      </c>
      <c r="R1782" s="20">
        <f>IF(I1782="","",IF(I1782="Trading",O1782,0))</f>
        <v/>
      </c>
      <c r="S1782" s="19">
        <f>IF(I1782="","",IF(AND(I1782="Gasto",K1782="Variable",J1782&lt;&gt;"Trading",O1782&gt;0,O1782&lt;=Umbral),1,0))</f>
        <v/>
      </c>
      <c r="T1782" s="20">
        <f>IF(OR(I1782="",E1782=""),"",IF(OR(I1782="Gasto",I1782="Transferencia",I1782="Pago tarjeta"),-1,1)*C1782)</f>
        <v/>
      </c>
      <c r="U1782" s="20">
        <f>IF(OR(G1782="",AND(I1782&lt;&gt;"Transferencia",I1782&lt;&gt;"Pago tarjeta")),"",IF(IFERROR(INDEX(ctaMon,MATCH(G1782,ctaNom,0))&amp;"","DOP")=N1782,C1782,IF(N1782="USD",C1782*TasaUSD,C1782/TasaUSD)))</f>
        <v/>
      </c>
      <c r="V1782" s="20">
        <f>IF(I1782="","",IF(IFERROR(INDEX(ctaLiq,MATCH(E1782,ctaNom,0))="Sí",FALSE),IF(OR(I1782="Gasto",I1782="Transferencia",I1782="Pago tarjeta"),-1,1)*O1782,0)+IF(AND(U1782&lt;&gt;"",IFERROR(INDEX(ctaLiq,MATCH(G1782,ctaNom,0))="Sí",FALSE)),O1782,0))</f>
        <v/>
      </c>
      <c r="W1782" s="19">
        <f>IF(OR(F1782="",I1782=""),"",IF(COUNTIFS(F$6:F1782,F1782,I$6:I1782,"?*")=1,MAX(W$5:W1781)+1,""))</f>
        <v/>
      </c>
    </row>
    <row r="1783">
      <c r="B1783" s="15" t="n"/>
      <c r="C1783" s="16" t="n"/>
      <c r="D1783" s="17" t="n"/>
      <c r="E1783" s="17" t="n"/>
      <c r="F1783" s="17" t="n"/>
      <c r="G1783" s="17" t="n"/>
      <c r="H1783" s="18">
        <f>IF(AND(B1783="",C1783="",D1783="",E1783=""),"",IF(B1783="","⚠ Falta fecha",IF(C1783="","⚠ Falta monto",IF(D1783="","⚠ Falta categoría",IF(ISNA(MATCH(D1783,catNom,0)),"⚠ Categoría no existe",IF(E1783="","⚠ Falta cuenta",IF(ISNA(MATCH(E1783,ctaNom,0)),"⚠ Cuenta no existe",IF(AND(OR(I1783="Transferencia",I1783="Pago tarjeta"),G1783=""),"⚠ Indica la cuenta «Hacia»",IF(AND(G1783&lt;&gt;"",G1783=E1783),"⚠ «Hacia» igual a la cuenta",IF(AND(G1783&lt;&gt;"",ISNA(MATCH(G1783,ctaNom,0))),"⚠ «Hacia» no existe",IF(AND(I1783="Pago tarjeta",IFERROR(INDEX(ctaTipo,MATCH(G1783,ctaNom,0)),"")&lt;&gt;"Tarjeta de crédito"),"⚠ «Hacia» debe ser la tarjeta",IF(AND(I1783="Trading",IFERROR(INDEX(ctaTipo,MATCH(E1783,ctaNom,0)),"")&lt;&gt;"Cuenta de trading"),"⚠ Usa la cuenta de trading","✓"))))))))))))</f>
        <v/>
      </c>
      <c r="I1783" s="19">
        <f>IF(OR(B1783="",C1783="",D1783=""),"",IFERROR(INDEX(catTipo,MATCH(D1783,catNom,0))&amp;"",""))</f>
        <v/>
      </c>
      <c r="J1783" s="19">
        <f>IF(I1783="","",IFERROR(INDEX(catGrupo,MATCH(D1783,catNom,0))&amp;"",""))</f>
        <v/>
      </c>
      <c r="K1783" s="19">
        <f>IF(I1783="Gasto",IF(IFERROR(INDEX(catClas,MATCH(D1783,catNom,0))&amp;"","")="","Variable",IFERROR(INDEX(catClas,MATCH(D1783,catNom,0))&amp;"","")),"")</f>
        <v/>
      </c>
      <c r="L1783" s="19">
        <f>IF(I1783="","",IFERROR(INDEX(catAlim,MATCH(D1783,catNom,0))&amp;"",""))</f>
        <v/>
      </c>
      <c r="M1783" s="19">
        <f>IF(I1783="","",IFERROR(INDEX(catComida,MATCH(D1783,catNom,0))&amp;"",""))</f>
        <v/>
      </c>
      <c r="N1783" s="19">
        <f>IF(I1783="","",IFERROR(INDEX(ctaMon,MATCH(E1783,ctaNom,0))&amp;"","DOP"))</f>
        <v/>
      </c>
      <c r="O1783" s="20">
        <f>IF(I1783="","",C1783*IF(N1783="USD",TasaUSD,1))</f>
        <v/>
      </c>
      <c r="P1783" s="20">
        <f>IF(I1783="","",IF(I1783="Gasto",O1783,0))</f>
        <v/>
      </c>
      <c r="Q1783" s="20">
        <f>IF(I1783="","",IF(I1783="Ingreso",O1783,0))</f>
        <v/>
      </c>
      <c r="R1783" s="20">
        <f>IF(I1783="","",IF(I1783="Trading",O1783,0))</f>
        <v/>
      </c>
      <c r="S1783" s="19">
        <f>IF(I1783="","",IF(AND(I1783="Gasto",K1783="Variable",J1783&lt;&gt;"Trading",O1783&gt;0,O1783&lt;=Umbral),1,0))</f>
        <v/>
      </c>
      <c r="T1783" s="20">
        <f>IF(OR(I1783="",E1783=""),"",IF(OR(I1783="Gasto",I1783="Transferencia",I1783="Pago tarjeta"),-1,1)*C1783)</f>
        <v/>
      </c>
      <c r="U1783" s="20">
        <f>IF(OR(G1783="",AND(I1783&lt;&gt;"Transferencia",I1783&lt;&gt;"Pago tarjeta")),"",IF(IFERROR(INDEX(ctaMon,MATCH(G1783,ctaNom,0))&amp;"","DOP")=N1783,C1783,IF(N1783="USD",C1783*TasaUSD,C1783/TasaUSD)))</f>
        <v/>
      </c>
      <c r="V1783" s="20">
        <f>IF(I1783="","",IF(IFERROR(INDEX(ctaLiq,MATCH(E1783,ctaNom,0))="Sí",FALSE),IF(OR(I1783="Gasto",I1783="Transferencia",I1783="Pago tarjeta"),-1,1)*O1783,0)+IF(AND(U1783&lt;&gt;"",IFERROR(INDEX(ctaLiq,MATCH(G1783,ctaNom,0))="Sí",FALSE)),O1783,0))</f>
        <v/>
      </c>
      <c r="W1783" s="19">
        <f>IF(OR(F1783="",I1783=""),"",IF(COUNTIFS(F$6:F1783,F1783,I$6:I1783,"?*")=1,MAX(W$5:W1782)+1,""))</f>
        <v/>
      </c>
    </row>
    <row r="1784">
      <c r="B1784" s="15" t="n"/>
      <c r="C1784" s="16" t="n"/>
      <c r="D1784" s="17" t="n"/>
      <c r="E1784" s="17" t="n"/>
      <c r="F1784" s="17" t="n"/>
      <c r="G1784" s="17" t="n"/>
      <c r="H1784" s="18">
        <f>IF(AND(B1784="",C1784="",D1784="",E1784=""),"",IF(B1784="","⚠ Falta fecha",IF(C1784="","⚠ Falta monto",IF(D1784="","⚠ Falta categoría",IF(ISNA(MATCH(D1784,catNom,0)),"⚠ Categoría no existe",IF(E1784="","⚠ Falta cuenta",IF(ISNA(MATCH(E1784,ctaNom,0)),"⚠ Cuenta no existe",IF(AND(OR(I1784="Transferencia",I1784="Pago tarjeta"),G1784=""),"⚠ Indica la cuenta «Hacia»",IF(AND(G1784&lt;&gt;"",G1784=E1784),"⚠ «Hacia» igual a la cuenta",IF(AND(G1784&lt;&gt;"",ISNA(MATCH(G1784,ctaNom,0))),"⚠ «Hacia» no existe",IF(AND(I1784="Pago tarjeta",IFERROR(INDEX(ctaTipo,MATCH(G1784,ctaNom,0)),"")&lt;&gt;"Tarjeta de crédito"),"⚠ «Hacia» debe ser la tarjeta",IF(AND(I1784="Trading",IFERROR(INDEX(ctaTipo,MATCH(E1784,ctaNom,0)),"")&lt;&gt;"Cuenta de trading"),"⚠ Usa la cuenta de trading","✓"))))))))))))</f>
        <v/>
      </c>
      <c r="I1784" s="19">
        <f>IF(OR(B1784="",C1784="",D1784=""),"",IFERROR(INDEX(catTipo,MATCH(D1784,catNom,0))&amp;"",""))</f>
        <v/>
      </c>
      <c r="J1784" s="19">
        <f>IF(I1784="","",IFERROR(INDEX(catGrupo,MATCH(D1784,catNom,0))&amp;"",""))</f>
        <v/>
      </c>
      <c r="K1784" s="19">
        <f>IF(I1784="Gasto",IF(IFERROR(INDEX(catClas,MATCH(D1784,catNom,0))&amp;"","")="","Variable",IFERROR(INDEX(catClas,MATCH(D1784,catNom,0))&amp;"","")),"")</f>
        <v/>
      </c>
      <c r="L1784" s="19">
        <f>IF(I1784="","",IFERROR(INDEX(catAlim,MATCH(D1784,catNom,0))&amp;"",""))</f>
        <v/>
      </c>
      <c r="M1784" s="19">
        <f>IF(I1784="","",IFERROR(INDEX(catComida,MATCH(D1784,catNom,0))&amp;"",""))</f>
        <v/>
      </c>
      <c r="N1784" s="19">
        <f>IF(I1784="","",IFERROR(INDEX(ctaMon,MATCH(E1784,ctaNom,0))&amp;"","DOP"))</f>
        <v/>
      </c>
      <c r="O1784" s="20">
        <f>IF(I1784="","",C1784*IF(N1784="USD",TasaUSD,1))</f>
        <v/>
      </c>
      <c r="P1784" s="20">
        <f>IF(I1784="","",IF(I1784="Gasto",O1784,0))</f>
        <v/>
      </c>
      <c r="Q1784" s="20">
        <f>IF(I1784="","",IF(I1784="Ingreso",O1784,0))</f>
        <v/>
      </c>
      <c r="R1784" s="20">
        <f>IF(I1784="","",IF(I1784="Trading",O1784,0))</f>
        <v/>
      </c>
      <c r="S1784" s="19">
        <f>IF(I1784="","",IF(AND(I1784="Gasto",K1784="Variable",J1784&lt;&gt;"Trading",O1784&gt;0,O1784&lt;=Umbral),1,0))</f>
        <v/>
      </c>
      <c r="T1784" s="20">
        <f>IF(OR(I1784="",E1784=""),"",IF(OR(I1784="Gasto",I1784="Transferencia",I1784="Pago tarjeta"),-1,1)*C1784)</f>
        <v/>
      </c>
      <c r="U1784" s="20">
        <f>IF(OR(G1784="",AND(I1784&lt;&gt;"Transferencia",I1784&lt;&gt;"Pago tarjeta")),"",IF(IFERROR(INDEX(ctaMon,MATCH(G1784,ctaNom,0))&amp;"","DOP")=N1784,C1784,IF(N1784="USD",C1784*TasaUSD,C1784/TasaUSD)))</f>
        <v/>
      </c>
      <c r="V1784" s="20">
        <f>IF(I1784="","",IF(IFERROR(INDEX(ctaLiq,MATCH(E1784,ctaNom,0))="Sí",FALSE),IF(OR(I1784="Gasto",I1784="Transferencia",I1784="Pago tarjeta"),-1,1)*O1784,0)+IF(AND(U1784&lt;&gt;"",IFERROR(INDEX(ctaLiq,MATCH(G1784,ctaNom,0))="Sí",FALSE)),O1784,0))</f>
        <v/>
      </c>
      <c r="W1784" s="19">
        <f>IF(OR(F1784="",I1784=""),"",IF(COUNTIFS(F$6:F1784,F1784,I$6:I1784,"?*")=1,MAX(W$5:W1783)+1,""))</f>
        <v/>
      </c>
    </row>
    <row r="1785">
      <c r="B1785" s="15" t="n"/>
      <c r="C1785" s="16" t="n"/>
      <c r="D1785" s="17" t="n"/>
      <c r="E1785" s="17" t="n"/>
      <c r="F1785" s="17" t="n"/>
      <c r="G1785" s="17" t="n"/>
      <c r="H1785" s="18">
        <f>IF(AND(B1785="",C1785="",D1785="",E1785=""),"",IF(B1785="","⚠ Falta fecha",IF(C1785="","⚠ Falta monto",IF(D1785="","⚠ Falta categoría",IF(ISNA(MATCH(D1785,catNom,0)),"⚠ Categoría no existe",IF(E1785="","⚠ Falta cuenta",IF(ISNA(MATCH(E1785,ctaNom,0)),"⚠ Cuenta no existe",IF(AND(OR(I1785="Transferencia",I1785="Pago tarjeta"),G1785=""),"⚠ Indica la cuenta «Hacia»",IF(AND(G1785&lt;&gt;"",G1785=E1785),"⚠ «Hacia» igual a la cuenta",IF(AND(G1785&lt;&gt;"",ISNA(MATCH(G1785,ctaNom,0))),"⚠ «Hacia» no existe",IF(AND(I1785="Pago tarjeta",IFERROR(INDEX(ctaTipo,MATCH(G1785,ctaNom,0)),"")&lt;&gt;"Tarjeta de crédito"),"⚠ «Hacia» debe ser la tarjeta",IF(AND(I1785="Trading",IFERROR(INDEX(ctaTipo,MATCH(E1785,ctaNom,0)),"")&lt;&gt;"Cuenta de trading"),"⚠ Usa la cuenta de trading","✓"))))))))))))</f>
        <v/>
      </c>
      <c r="I1785" s="19">
        <f>IF(OR(B1785="",C1785="",D1785=""),"",IFERROR(INDEX(catTipo,MATCH(D1785,catNom,0))&amp;"",""))</f>
        <v/>
      </c>
      <c r="J1785" s="19">
        <f>IF(I1785="","",IFERROR(INDEX(catGrupo,MATCH(D1785,catNom,0))&amp;"",""))</f>
        <v/>
      </c>
      <c r="K1785" s="19">
        <f>IF(I1785="Gasto",IF(IFERROR(INDEX(catClas,MATCH(D1785,catNom,0))&amp;"","")="","Variable",IFERROR(INDEX(catClas,MATCH(D1785,catNom,0))&amp;"","")),"")</f>
        <v/>
      </c>
      <c r="L1785" s="19">
        <f>IF(I1785="","",IFERROR(INDEX(catAlim,MATCH(D1785,catNom,0))&amp;"",""))</f>
        <v/>
      </c>
      <c r="M1785" s="19">
        <f>IF(I1785="","",IFERROR(INDEX(catComida,MATCH(D1785,catNom,0))&amp;"",""))</f>
        <v/>
      </c>
      <c r="N1785" s="19">
        <f>IF(I1785="","",IFERROR(INDEX(ctaMon,MATCH(E1785,ctaNom,0))&amp;"","DOP"))</f>
        <v/>
      </c>
      <c r="O1785" s="20">
        <f>IF(I1785="","",C1785*IF(N1785="USD",TasaUSD,1))</f>
        <v/>
      </c>
      <c r="P1785" s="20">
        <f>IF(I1785="","",IF(I1785="Gasto",O1785,0))</f>
        <v/>
      </c>
      <c r="Q1785" s="20">
        <f>IF(I1785="","",IF(I1785="Ingreso",O1785,0))</f>
        <v/>
      </c>
      <c r="R1785" s="20">
        <f>IF(I1785="","",IF(I1785="Trading",O1785,0))</f>
        <v/>
      </c>
      <c r="S1785" s="19">
        <f>IF(I1785="","",IF(AND(I1785="Gasto",K1785="Variable",J1785&lt;&gt;"Trading",O1785&gt;0,O1785&lt;=Umbral),1,0))</f>
        <v/>
      </c>
      <c r="T1785" s="20">
        <f>IF(OR(I1785="",E1785=""),"",IF(OR(I1785="Gasto",I1785="Transferencia",I1785="Pago tarjeta"),-1,1)*C1785)</f>
        <v/>
      </c>
      <c r="U1785" s="20">
        <f>IF(OR(G1785="",AND(I1785&lt;&gt;"Transferencia",I1785&lt;&gt;"Pago tarjeta")),"",IF(IFERROR(INDEX(ctaMon,MATCH(G1785,ctaNom,0))&amp;"","DOP")=N1785,C1785,IF(N1785="USD",C1785*TasaUSD,C1785/TasaUSD)))</f>
        <v/>
      </c>
      <c r="V1785" s="20">
        <f>IF(I1785="","",IF(IFERROR(INDEX(ctaLiq,MATCH(E1785,ctaNom,0))="Sí",FALSE),IF(OR(I1785="Gasto",I1785="Transferencia",I1785="Pago tarjeta"),-1,1)*O1785,0)+IF(AND(U1785&lt;&gt;"",IFERROR(INDEX(ctaLiq,MATCH(G1785,ctaNom,0))="Sí",FALSE)),O1785,0))</f>
        <v/>
      </c>
      <c r="W1785" s="19">
        <f>IF(OR(F1785="",I1785=""),"",IF(COUNTIFS(F$6:F1785,F1785,I$6:I1785,"?*")=1,MAX(W$5:W1784)+1,""))</f>
        <v/>
      </c>
    </row>
    <row r="1786">
      <c r="B1786" s="15" t="n"/>
      <c r="C1786" s="16" t="n"/>
      <c r="D1786" s="17" t="n"/>
      <c r="E1786" s="17" t="n"/>
      <c r="F1786" s="17" t="n"/>
      <c r="G1786" s="17" t="n"/>
      <c r="H1786" s="18">
        <f>IF(AND(B1786="",C1786="",D1786="",E1786=""),"",IF(B1786="","⚠ Falta fecha",IF(C1786="","⚠ Falta monto",IF(D1786="","⚠ Falta categoría",IF(ISNA(MATCH(D1786,catNom,0)),"⚠ Categoría no existe",IF(E1786="","⚠ Falta cuenta",IF(ISNA(MATCH(E1786,ctaNom,0)),"⚠ Cuenta no existe",IF(AND(OR(I1786="Transferencia",I1786="Pago tarjeta"),G1786=""),"⚠ Indica la cuenta «Hacia»",IF(AND(G1786&lt;&gt;"",G1786=E1786),"⚠ «Hacia» igual a la cuenta",IF(AND(G1786&lt;&gt;"",ISNA(MATCH(G1786,ctaNom,0))),"⚠ «Hacia» no existe",IF(AND(I1786="Pago tarjeta",IFERROR(INDEX(ctaTipo,MATCH(G1786,ctaNom,0)),"")&lt;&gt;"Tarjeta de crédito"),"⚠ «Hacia» debe ser la tarjeta",IF(AND(I1786="Trading",IFERROR(INDEX(ctaTipo,MATCH(E1786,ctaNom,0)),"")&lt;&gt;"Cuenta de trading"),"⚠ Usa la cuenta de trading","✓"))))))))))))</f>
        <v/>
      </c>
      <c r="I1786" s="19">
        <f>IF(OR(B1786="",C1786="",D1786=""),"",IFERROR(INDEX(catTipo,MATCH(D1786,catNom,0))&amp;"",""))</f>
        <v/>
      </c>
      <c r="J1786" s="19">
        <f>IF(I1786="","",IFERROR(INDEX(catGrupo,MATCH(D1786,catNom,0))&amp;"",""))</f>
        <v/>
      </c>
      <c r="K1786" s="19">
        <f>IF(I1786="Gasto",IF(IFERROR(INDEX(catClas,MATCH(D1786,catNom,0))&amp;"","")="","Variable",IFERROR(INDEX(catClas,MATCH(D1786,catNom,0))&amp;"","")),"")</f>
        <v/>
      </c>
      <c r="L1786" s="19">
        <f>IF(I1786="","",IFERROR(INDEX(catAlim,MATCH(D1786,catNom,0))&amp;"",""))</f>
        <v/>
      </c>
      <c r="M1786" s="19">
        <f>IF(I1786="","",IFERROR(INDEX(catComida,MATCH(D1786,catNom,0))&amp;"",""))</f>
        <v/>
      </c>
      <c r="N1786" s="19">
        <f>IF(I1786="","",IFERROR(INDEX(ctaMon,MATCH(E1786,ctaNom,0))&amp;"","DOP"))</f>
        <v/>
      </c>
      <c r="O1786" s="20">
        <f>IF(I1786="","",C1786*IF(N1786="USD",TasaUSD,1))</f>
        <v/>
      </c>
      <c r="P1786" s="20">
        <f>IF(I1786="","",IF(I1786="Gasto",O1786,0))</f>
        <v/>
      </c>
      <c r="Q1786" s="20">
        <f>IF(I1786="","",IF(I1786="Ingreso",O1786,0))</f>
        <v/>
      </c>
      <c r="R1786" s="20">
        <f>IF(I1786="","",IF(I1786="Trading",O1786,0))</f>
        <v/>
      </c>
      <c r="S1786" s="19">
        <f>IF(I1786="","",IF(AND(I1786="Gasto",K1786="Variable",J1786&lt;&gt;"Trading",O1786&gt;0,O1786&lt;=Umbral),1,0))</f>
        <v/>
      </c>
      <c r="T1786" s="20">
        <f>IF(OR(I1786="",E1786=""),"",IF(OR(I1786="Gasto",I1786="Transferencia",I1786="Pago tarjeta"),-1,1)*C1786)</f>
        <v/>
      </c>
      <c r="U1786" s="20">
        <f>IF(OR(G1786="",AND(I1786&lt;&gt;"Transferencia",I1786&lt;&gt;"Pago tarjeta")),"",IF(IFERROR(INDEX(ctaMon,MATCH(G1786,ctaNom,0))&amp;"","DOP")=N1786,C1786,IF(N1786="USD",C1786*TasaUSD,C1786/TasaUSD)))</f>
        <v/>
      </c>
      <c r="V1786" s="20">
        <f>IF(I1786="","",IF(IFERROR(INDEX(ctaLiq,MATCH(E1786,ctaNom,0))="Sí",FALSE),IF(OR(I1786="Gasto",I1786="Transferencia",I1786="Pago tarjeta"),-1,1)*O1786,0)+IF(AND(U1786&lt;&gt;"",IFERROR(INDEX(ctaLiq,MATCH(G1786,ctaNom,0))="Sí",FALSE)),O1786,0))</f>
        <v/>
      </c>
      <c r="W1786" s="19">
        <f>IF(OR(F1786="",I1786=""),"",IF(COUNTIFS(F$6:F1786,F1786,I$6:I1786,"?*")=1,MAX(W$5:W1785)+1,""))</f>
        <v/>
      </c>
    </row>
    <row r="1787">
      <c r="B1787" s="15" t="n"/>
      <c r="C1787" s="16" t="n"/>
      <c r="D1787" s="17" t="n"/>
      <c r="E1787" s="17" t="n"/>
      <c r="F1787" s="17" t="n"/>
      <c r="G1787" s="17" t="n"/>
      <c r="H1787" s="18">
        <f>IF(AND(B1787="",C1787="",D1787="",E1787=""),"",IF(B1787="","⚠ Falta fecha",IF(C1787="","⚠ Falta monto",IF(D1787="","⚠ Falta categoría",IF(ISNA(MATCH(D1787,catNom,0)),"⚠ Categoría no existe",IF(E1787="","⚠ Falta cuenta",IF(ISNA(MATCH(E1787,ctaNom,0)),"⚠ Cuenta no existe",IF(AND(OR(I1787="Transferencia",I1787="Pago tarjeta"),G1787=""),"⚠ Indica la cuenta «Hacia»",IF(AND(G1787&lt;&gt;"",G1787=E1787),"⚠ «Hacia» igual a la cuenta",IF(AND(G1787&lt;&gt;"",ISNA(MATCH(G1787,ctaNom,0))),"⚠ «Hacia» no existe",IF(AND(I1787="Pago tarjeta",IFERROR(INDEX(ctaTipo,MATCH(G1787,ctaNom,0)),"")&lt;&gt;"Tarjeta de crédito"),"⚠ «Hacia» debe ser la tarjeta",IF(AND(I1787="Trading",IFERROR(INDEX(ctaTipo,MATCH(E1787,ctaNom,0)),"")&lt;&gt;"Cuenta de trading"),"⚠ Usa la cuenta de trading","✓"))))))))))))</f>
        <v/>
      </c>
      <c r="I1787" s="19">
        <f>IF(OR(B1787="",C1787="",D1787=""),"",IFERROR(INDEX(catTipo,MATCH(D1787,catNom,0))&amp;"",""))</f>
        <v/>
      </c>
      <c r="J1787" s="19">
        <f>IF(I1787="","",IFERROR(INDEX(catGrupo,MATCH(D1787,catNom,0))&amp;"",""))</f>
        <v/>
      </c>
      <c r="K1787" s="19">
        <f>IF(I1787="Gasto",IF(IFERROR(INDEX(catClas,MATCH(D1787,catNom,0))&amp;"","")="","Variable",IFERROR(INDEX(catClas,MATCH(D1787,catNom,0))&amp;"","")),"")</f>
        <v/>
      </c>
      <c r="L1787" s="19">
        <f>IF(I1787="","",IFERROR(INDEX(catAlim,MATCH(D1787,catNom,0))&amp;"",""))</f>
        <v/>
      </c>
      <c r="M1787" s="19">
        <f>IF(I1787="","",IFERROR(INDEX(catComida,MATCH(D1787,catNom,0))&amp;"",""))</f>
        <v/>
      </c>
      <c r="N1787" s="19">
        <f>IF(I1787="","",IFERROR(INDEX(ctaMon,MATCH(E1787,ctaNom,0))&amp;"","DOP"))</f>
        <v/>
      </c>
      <c r="O1787" s="20">
        <f>IF(I1787="","",C1787*IF(N1787="USD",TasaUSD,1))</f>
        <v/>
      </c>
      <c r="P1787" s="20">
        <f>IF(I1787="","",IF(I1787="Gasto",O1787,0))</f>
        <v/>
      </c>
      <c r="Q1787" s="20">
        <f>IF(I1787="","",IF(I1787="Ingreso",O1787,0))</f>
        <v/>
      </c>
      <c r="R1787" s="20">
        <f>IF(I1787="","",IF(I1787="Trading",O1787,0))</f>
        <v/>
      </c>
      <c r="S1787" s="19">
        <f>IF(I1787="","",IF(AND(I1787="Gasto",K1787="Variable",J1787&lt;&gt;"Trading",O1787&gt;0,O1787&lt;=Umbral),1,0))</f>
        <v/>
      </c>
      <c r="T1787" s="20">
        <f>IF(OR(I1787="",E1787=""),"",IF(OR(I1787="Gasto",I1787="Transferencia",I1787="Pago tarjeta"),-1,1)*C1787)</f>
        <v/>
      </c>
      <c r="U1787" s="20">
        <f>IF(OR(G1787="",AND(I1787&lt;&gt;"Transferencia",I1787&lt;&gt;"Pago tarjeta")),"",IF(IFERROR(INDEX(ctaMon,MATCH(G1787,ctaNom,0))&amp;"","DOP")=N1787,C1787,IF(N1787="USD",C1787*TasaUSD,C1787/TasaUSD)))</f>
        <v/>
      </c>
      <c r="V1787" s="20">
        <f>IF(I1787="","",IF(IFERROR(INDEX(ctaLiq,MATCH(E1787,ctaNom,0))="Sí",FALSE),IF(OR(I1787="Gasto",I1787="Transferencia",I1787="Pago tarjeta"),-1,1)*O1787,0)+IF(AND(U1787&lt;&gt;"",IFERROR(INDEX(ctaLiq,MATCH(G1787,ctaNom,0))="Sí",FALSE)),O1787,0))</f>
        <v/>
      </c>
      <c r="W1787" s="19">
        <f>IF(OR(F1787="",I1787=""),"",IF(COUNTIFS(F$6:F1787,F1787,I$6:I1787,"?*")=1,MAX(W$5:W1786)+1,""))</f>
        <v/>
      </c>
    </row>
    <row r="1788">
      <c r="B1788" s="15" t="n"/>
      <c r="C1788" s="16" t="n"/>
      <c r="D1788" s="17" t="n"/>
      <c r="E1788" s="17" t="n"/>
      <c r="F1788" s="17" t="n"/>
      <c r="G1788" s="17" t="n"/>
      <c r="H1788" s="18">
        <f>IF(AND(B1788="",C1788="",D1788="",E1788=""),"",IF(B1788="","⚠ Falta fecha",IF(C1788="","⚠ Falta monto",IF(D1788="","⚠ Falta categoría",IF(ISNA(MATCH(D1788,catNom,0)),"⚠ Categoría no existe",IF(E1788="","⚠ Falta cuenta",IF(ISNA(MATCH(E1788,ctaNom,0)),"⚠ Cuenta no existe",IF(AND(OR(I1788="Transferencia",I1788="Pago tarjeta"),G1788=""),"⚠ Indica la cuenta «Hacia»",IF(AND(G1788&lt;&gt;"",G1788=E1788),"⚠ «Hacia» igual a la cuenta",IF(AND(G1788&lt;&gt;"",ISNA(MATCH(G1788,ctaNom,0))),"⚠ «Hacia» no existe",IF(AND(I1788="Pago tarjeta",IFERROR(INDEX(ctaTipo,MATCH(G1788,ctaNom,0)),"")&lt;&gt;"Tarjeta de crédito"),"⚠ «Hacia» debe ser la tarjeta",IF(AND(I1788="Trading",IFERROR(INDEX(ctaTipo,MATCH(E1788,ctaNom,0)),"")&lt;&gt;"Cuenta de trading"),"⚠ Usa la cuenta de trading","✓"))))))))))))</f>
        <v/>
      </c>
      <c r="I1788" s="19">
        <f>IF(OR(B1788="",C1788="",D1788=""),"",IFERROR(INDEX(catTipo,MATCH(D1788,catNom,0))&amp;"",""))</f>
        <v/>
      </c>
      <c r="J1788" s="19">
        <f>IF(I1788="","",IFERROR(INDEX(catGrupo,MATCH(D1788,catNom,0))&amp;"",""))</f>
        <v/>
      </c>
      <c r="K1788" s="19">
        <f>IF(I1788="Gasto",IF(IFERROR(INDEX(catClas,MATCH(D1788,catNom,0))&amp;"","")="","Variable",IFERROR(INDEX(catClas,MATCH(D1788,catNom,0))&amp;"","")),"")</f>
        <v/>
      </c>
      <c r="L1788" s="19">
        <f>IF(I1788="","",IFERROR(INDEX(catAlim,MATCH(D1788,catNom,0))&amp;"",""))</f>
        <v/>
      </c>
      <c r="M1788" s="19">
        <f>IF(I1788="","",IFERROR(INDEX(catComida,MATCH(D1788,catNom,0))&amp;"",""))</f>
        <v/>
      </c>
      <c r="N1788" s="19">
        <f>IF(I1788="","",IFERROR(INDEX(ctaMon,MATCH(E1788,ctaNom,0))&amp;"","DOP"))</f>
        <v/>
      </c>
      <c r="O1788" s="20">
        <f>IF(I1788="","",C1788*IF(N1788="USD",TasaUSD,1))</f>
        <v/>
      </c>
      <c r="P1788" s="20">
        <f>IF(I1788="","",IF(I1788="Gasto",O1788,0))</f>
        <v/>
      </c>
      <c r="Q1788" s="20">
        <f>IF(I1788="","",IF(I1788="Ingreso",O1788,0))</f>
        <v/>
      </c>
      <c r="R1788" s="20">
        <f>IF(I1788="","",IF(I1788="Trading",O1788,0))</f>
        <v/>
      </c>
      <c r="S1788" s="19">
        <f>IF(I1788="","",IF(AND(I1788="Gasto",K1788="Variable",J1788&lt;&gt;"Trading",O1788&gt;0,O1788&lt;=Umbral),1,0))</f>
        <v/>
      </c>
      <c r="T1788" s="20">
        <f>IF(OR(I1788="",E1788=""),"",IF(OR(I1788="Gasto",I1788="Transferencia",I1788="Pago tarjeta"),-1,1)*C1788)</f>
        <v/>
      </c>
      <c r="U1788" s="20">
        <f>IF(OR(G1788="",AND(I1788&lt;&gt;"Transferencia",I1788&lt;&gt;"Pago tarjeta")),"",IF(IFERROR(INDEX(ctaMon,MATCH(G1788,ctaNom,0))&amp;"","DOP")=N1788,C1788,IF(N1788="USD",C1788*TasaUSD,C1788/TasaUSD)))</f>
        <v/>
      </c>
      <c r="V1788" s="20">
        <f>IF(I1788="","",IF(IFERROR(INDEX(ctaLiq,MATCH(E1788,ctaNom,0))="Sí",FALSE),IF(OR(I1788="Gasto",I1788="Transferencia",I1788="Pago tarjeta"),-1,1)*O1788,0)+IF(AND(U1788&lt;&gt;"",IFERROR(INDEX(ctaLiq,MATCH(G1788,ctaNom,0))="Sí",FALSE)),O1788,0))</f>
        <v/>
      </c>
      <c r="W1788" s="19">
        <f>IF(OR(F1788="",I1788=""),"",IF(COUNTIFS(F$6:F1788,F1788,I$6:I1788,"?*")=1,MAX(W$5:W1787)+1,""))</f>
        <v/>
      </c>
    </row>
    <row r="1789">
      <c r="B1789" s="15" t="n"/>
      <c r="C1789" s="16" t="n"/>
      <c r="D1789" s="17" t="n"/>
      <c r="E1789" s="17" t="n"/>
      <c r="F1789" s="17" t="n"/>
      <c r="G1789" s="17" t="n"/>
      <c r="H1789" s="18">
        <f>IF(AND(B1789="",C1789="",D1789="",E1789=""),"",IF(B1789="","⚠ Falta fecha",IF(C1789="","⚠ Falta monto",IF(D1789="","⚠ Falta categoría",IF(ISNA(MATCH(D1789,catNom,0)),"⚠ Categoría no existe",IF(E1789="","⚠ Falta cuenta",IF(ISNA(MATCH(E1789,ctaNom,0)),"⚠ Cuenta no existe",IF(AND(OR(I1789="Transferencia",I1789="Pago tarjeta"),G1789=""),"⚠ Indica la cuenta «Hacia»",IF(AND(G1789&lt;&gt;"",G1789=E1789),"⚠ «Hacia» igual a la cuenta",IF(AND(G1789&lt;&gt;"",ISNA(MATCH(G1789,ctaNom,0))),"⚠ «Hacia» no existe",IF(AND(I1789="Pago tarjeta",IFERROR(INDEX(ctaTipo,MATCH(G1789,ctaNom,0)),"")&lt;&gt;"Tarjeta de crédito"),"⚠ «Hacia» debe ser la tarjeta",IF(AND(I1789="Trading",IFERROR(INDEX(ctaTipo,MATCH(E1789,ctaNom,0)),"")&lt;&gt;"Cuenta de trading"),"⚠ Usa la cuenta de trading","✓"))))))))))))</f>
        <v/>
      </c>
      <c r="I1789" s="19">
        <f>IF(OR(B1789="",C1789="",D1789=""),"",IFERROR(INDEX(catTipo,MATCH(D1789,catNom,0))&amp;"",""))</f>
        <v/>
      </c>
      <c r="J1789" s="19">
        <f>IF(I1789="","",IFERROR(INDEX(catGrupo,MATCH(D1789,catNom,0))&amp;"",""))</f>
        <v/>
      </c>
      <c r="K1789" s="19">
        <f>IF(I1789="Gasto",IF(IFERROR(INDEX(catClas,MATCH(D1789,catNom,0))&amp;"","")="","Variable",IFERROR(INDEX(catClas,MATCH(D1789,catNom,0))&amp;"","")),"")</f>
        <v/>
      </c>
      <c r="L1789" s="19">
        <f>IF(I1789="","",IFERROR(INDEX(catAlim,MATCH(D1789,catNom,0))&amp;"",""))</f>
        <v/>
      </c>
      <c r="M1789" s="19">
        <f>IF(I1789="","",IFERROR(INDEX(catComida,MATCH(D1789,catNom,0))&amp;"",""))</f>
        <v/>
      </c>
      <c r="N1789" s="19">
        <f>IF(I1789="","",IFERROR(INDEX(ctaMon,MATCH(E1789,ctaNom,0))&amp;"","DOP"))</f>
        <v/>
      </c>
      <c r="O1789" s="20">
        <f>IF(I1789="","",C1789*IF(N1789="USD",TasaUSD,1))</f>
        <v/>
      </c>
      <c r="P1789" s="20">
        <f>IF(I1789="","",IF(I1789="Gasto",O1789,0))</f>
        <v/>
      </c>
      <c r="Q1789" s="20">
        <f>IF(I1789="","",IF(I1789="Ingreso",O1789,0))</f>
        <v/>
      </c>
      <c r="R1789" s="20">
        <f>IF(I1789="","",IF(I1789="Trading",O1789,0))</f>
        <v/>
      </c>
      <c r="S1789" s="19">
        <f>IF(I1789="","",IF(AND(I1789="Gasto",K1789="Variable",J1789&lt;&gt;"Trading",O1789&gt;0,O1789&lt;=Umbral),1,0))</f>
        <v/>
      </c>
      <c r="T1789" s="20">
        <f>IF(OR(I1789="",E1789=""),"",IF(OR(I1789="Gasto",I1789="Transferencia",I1789="Pago tarjeta"),-1,1)*C1789)</f>
        <v/>
      </c>
      <c r="U1789" s="20">
        <f>IF(OR(G1789="",AND(I1789&lt;&gt;"Transferencia",I1789&lt;&gt;"Pago tarjeta")),"",IF(IFERROR(INDEX(ctaMon,MATCH(G1789,ctaNom,0))&amp;"","DOP")=N1789,C1789,IF(N1789="USD",C1789*TasaUSD,C1789/TasaUSD)))</f>
        <v/>
      </c>
      <c r="V1789" s="20">
        <f>IF(I1789="","",IF(IFERROR(INDEX(ctaLiq,MATCH(E1789,ctaNom,0))="Sí",FALSE),IF(OR(I1789="Gasto",I1789="Transferencia",I1789="Pago tarjeta"),-1,1)*O1789,0)+IF(AND(U1789&lt;&gt;"",IFERROR(INDEX(ctaLiq,MATCH(G1789,ctaNom,0))="Sí",FALSE)),O1789,0))</f>
        <v/>
      </c>
      <c r="W1789" s="19">
        <f>IF(OR(F1789="",I1789=""),"",IF(COUNTIFS(F$6:F1789,F1789,I$6:I1789,"?*")=1,MAX(W$5:W1788)+1,""))</f>
        <v/>
      </c>
    </row>
    <row r="1790">
      <c r="B1790" s="15" t="n"/>
      <c r="C1790" s="16" t="n"/>
      <c r="D1790" s="17" t="n"/>
      <c r="E1790" s="17" t="n"/>
      <c r="F1790" s="17" t="n"/>
      <c r="G1790" s="17" t="n"/>
      <c r="H1790" s="18">
        <f>IF(AND(B1790="",C1790="",D1790="",E1790=""),"",IF(B1790="","⚠ Falta fecha",IF(C1790="","⚠ Falta monto",IF(D1790="","⚠ Falta categoría",IF(ISNA(MATCH(D1790,catNom,0)),"⚠ Categoría no existe",IF(E1790="","⚠ Falta cuenta",IF(ISNA(MATCH(E1790,ctaNom,0)),"⚠ Cuenta no existe",IF(AND(OR(I1790="Transferencia",I1790="Pago tarjeta"),G1790=""),"⚠ Indica la cuenta «Hacia»",IF(AND(G1790&lt;&gt;"",G1790=E1790),"⚠ «Hacia» igual a la cuenta",IF(AND(G1790&lt;&gt;"",ISNA(MATCH(G1790,ctaNom,0))),"⚠ «Hacia» no existe",IF(AND(I1790="Pago tarjeta",IFERROR(INDEX(ctaTipo,MATCH(G1790,ctaNom,0)),"")&lt;&gt;"Tarjeta de crédito"),"⚠ «Hacia» debe ser la tarjeta",IF(AND(I1790="Trading",IFERROR(INDEX(ctaTipo,MATCH(E1790,ctaNom,0)),"")&lt;&gt;"Cuenta de trading"),"⚠ Usa la cuenta de trading","✓"))))))))))))</f>
        <v/>
      </c>
      <c r="I1790" s="19">
        <f>IF(OR(B1790="",C1790="",D1790=""),"",IFERROR(INDEX(catTipo,MATCH(D1790,catNom,0))&amp;"",""))</f>
        <v/>
      </c>
      <c r="J1790" s="19">
        <f>IF(I1790="","",IFERROR(INDEX(catGrupo,MATCH(D1790,catNom,0))&amp;"",""))</f>
        <v/>
      </c>
      <c r="K1790" s="19">
        <f>IF(I1790="Gasto",IF(IFERROR(INDEX(catClas,MATCH(D1790,catNom,0))&amp;"","")="","Variable",IFERROR(INDEX(catClas,MATCH(D1790,catNom,0))&amp;"","")),"")</f>
        <v/>
      </c>
      <c r="L1790" s="19">
        <f>IF(I1790="","",IFERROR(INDEX(catAlim,MATCH(D1790,catNom,0))&amp;"",""))</f>
        <v/>
      </c>
      <c r="M1790" s="19">
        <f>IF(I1790="","",IFERROR(INDEX(catComida,MATCH(D1790,catNom,0))&amp;"",""))</f>
        <v/>
      </c>
      <c r="N1790" s="19">
        <f>IF(I1790="","",IFERROR(INDEX(ctaMon,MATCH(E1790,ctaNom,0))&amp;"","DOP"))</f>
        <v/>
      </c>
      <c r="O1790" s="20">
        <f>IF(I1790="","",C1790*IF(N1790="USD",TasaUSD,1))</f>
        <v/>
      </c>
      <c r="P1790" s="20">
        <f>IF(I1790="","",IF(I1790="Gasto",O1790,0))</f>
        <v/>
      </c>
      <c r="Q1790" s="20">
        <f>IF(I1790="","",IF(I1790="Ingreso",O1790,0))</f>
        <v/>
      </c>
      <c r="R1790" s="20">
        <f>IF(I1790="","",IF(I1790="Trading",O1790,0))</f>
        <v/>
      </c>
      <c r="S1790" s="19">
        <f>IF(I1790="","",IF(AND(I1790="Gasto",K1790="Variable",J1790&lt;&gt;"Trading",O1790&gt;0,O1790&lt;=Umbral),1,0))</f>
        <v/>
      </c>
      <c r="T1790" s="20">
        <f>IF(OR(I1790="",E1790=""),"",IF(OR(I1790="Gasto",I1790="Transferencia",I1790="Pago tarjeta"),-1,1)*C1790)</f>
        <v/>
      </c>
      <c r="U1790" s="20">
        <f>IF(OR(G1790="",AND(I1790&lt;&gt;"Transferencia",I1790&lt;&gt;"Pago tarjeta")),"",IF(IFERROR(INDEX(ctaMon,MATCH(G1790,ctaNom,0))&amp;"","DOP")=N1790,C1790,IF(N1790="USD",C1790*TasaUSD,C1790/TasaUSD)))</f>
        <v/>
      </c>
      <c r="V1790" s="20">
        <f>IF(I1790="","",IF(IFERROR(INDEX(ctaLiq,MATCH(E1790,ctaNom,0))="Sí",FALSE),IF(OR(I1790="Gasto",I1790="Transferencia",I1790="Pago tarjeta"),-1,1)*O1790,0)+IF(AND(U1790&lt;&gt;"",IFERROR(INDEX(ctaLiq,MATCH(G1790,ctaNom,0))="Sí",FALSE)),O1790,0))</f>
        <v/>
      </c>
      <c r="W1790" s="19">
        <f>IF(OR(F1790="",I1790=""),"",IF(COUNTIFS(F$6:F1790,F1790,I$6:I1790,"?*")=1,MAX(W$5:W1789)+1,""))</f>
        <v/>
      </c>
    </row>
    <row r="1791">
      <c r="B1791" s="15" t="n"/>
      <c r="C1791" s="16" t="n"/>
      <c r="D1791" s="17" t="n"/>
      <c r="E1791" s="17" t="n"/>
      <c r="F1791" s="17" t="n"/>
      <c r="G1791" s="17" t="n"/>
      <c r="H1791" s="18">
        <f>IF(AND(B1791="",C1791="",D1791="",E1791=""),"",IF(B1791="","⚠ Falta fecha",IF(C1791="","⚠ Falta monto",IF(D1791="","⚠ Falta categoría",IF(ISNA(MATCH(D1791,catNom,0)),"⚠ Categoría no existe",IF(E1791="","⚠ Falta cuenta",IF(ISNA(MATCH(E1791,ctaNom,0)),"⚠ Cuenta no existe",IF(AND(OR(I1791="Transferencia",I1791="Pago tarjeta"),G1791=""),"⚠ Indica la cuenta «Hacia»",IF(AND(G1791&lt;&gt;"",G1791=E1791),"⚠ «Hacia» igual a la cuenta",IF(AND(G1791&lt;&gt;"",ISNA(MATCH(G1791,ctaNom,0))),"⚠ «Hacia» no existe",IF(AND(I1791="Pago tarjeta",IFERROR(INDEX(ctaTipo,MATCH(G1791,ctaNom,0)),"")&lt;&gt;"Tarjeta de crédito"),"⚠ «Hacia» debe ser la tarjeta",IF(AND(I1791="Trading",IFERROR(INDEX(ctaTipo,MATCH(E1791,ctaNom,0)),"")&lt;&gt;"Cuenta de trading"),"⚠ Usa la cuenta de trading","✓"))))))))))))</f>
        <v/>
      </c>
      <c r="I1791" s="19">
        <f>IF(OR(B1791="",C1791="",D1791=""),"",IFERROR(INDEX(catTipo,MATCH(D1791,catNom,0))&amp;"",""))</f>
        <v/>
      </c>
      <c r="J1791" s="19">
        <f>IF(I1791="","",IFERROR(INDEX(catGrupo,MATCH(D1791,catNom,0))&amp;"",""))</f>
        <v/>
      </c>
      <c r="K1791" s="19">
        <f>IF(I1791="Gasto",IF(IFERROR(INDEX(catClas,MATCH(D1791,catNom,0))&amp;"","")="","Variable",IFERROR(INDEX(catClas,MATCH(D1791,catNom,0))&amp;"","")),"")</f>
        <v/>
      </c>
      <c r="L1791" s="19">
        <f>IF(I1791="","",IFERROR(INDEX(catAlim,MATCH(D1791,catNom,0))&amp;"",""))</f>
        <v/>
      </c>
      <c r="M1791" s="19">
        <f>IF(I1791="","",IFERROR(INDEX(catComida,MATCH(D1791,catNom,0))&amp;"",""))</f>
        <v/>
      </c>
      <c r="N1791" s="19">
        <f>IF(I1791="","",IFERROR(INDEX(ctaMon,MATCH(E1791,ctaNom,0))&amp;"","DOP"))</f>
        <v/>
      </c>
      <c r="O1791" s="20">
        <f>IF(I1791="","",C1791*IF(N1791="USD",TasaUSD,1))</f>
        <v/>
      </c>
      <c r="P1791" s="20">
        <f>IF(I1791="","",IF(I1791="Gasto",O1791,0))</f>
        <v/>
      </c>
      <c r="Q1791" s="20">
        <f>IF(I1791="","",IF(I1791="Ingreso",O1791,0))</f>
        <v/>
      </c>
      <c r="R1791" s="20">
        <f>IF(I1791="","",IF(I1791="Trading",O1791,0))</f>
        <v/>
      </c>
      <c r="S1791" s="19">
        <f>IF(I1791="","",IF(AND(I1791="Gasto",K1791="Variable",J1791&lt;&gt;"Trading",O1791&gt;0,O1791&lt;=Umbral),1,0))</f>
        <v/>
      </c>
      <c r="T1791" s="20">
        <f>IF(OR(I1791="",E1791=""),"",IF(OR(I1791="Gasto",I1791="Transferencia",I1791="Pago tarjeta"),-1,1)*C1791)</f>
        <v/>
      </c>
      <c r="U1791" s="20">
        <f>IF(OR(G1791="",AND(I1791&lt;&gt;"Transferencia",I1791&lt;&gt;"Pago tarjeta")),"",IF(IFERROR(INDEX(ctaMon,MATCH(G1791,ctaNom,0))&amp;"","DOP")=N1791,C1791,IF(N1791="USD",C1791*TasaUSD,C1791/TasaUSD)))</f>
        <v/>
      </c>
      <c r="V1791" s="20">
        <f>IF(I1791="","",IF(IFERROR(INDEX(ctaLiq,MATCH(E1791,ctaNom,0))="Sí",FALSE),IF(OR(I1791="Gasto",I1791="Transferencia",I1791="Pago tarjeta"),-1,1)*O1791,0)+IF(AND(U1791&lt;&gt;"",IFERROR(INDEX(ctaLiq,MATCH(G1791,ctaNom,0))="Sí",FALSE)),O1791,0))</f>
        <v/>
      </c>
      <c r="W1791" s="19">
        <f>IF(OR(F1791="",I1791=""),"",IF(COUNTIFS(F$6:F1791,F1791,I$6:I1791,"?*")=1,MAX(W$5:W1790)+1,""))</f>
        <v/>
      </c>
    </row>
    <row r="1792">
      <c r="B1792" s="15" t="n"/>
      <c r="C1792" s="16" t="n"/>
      <c r="D1792" s="17" t="n"/>
      <c r="E1792" s="17" t="n"/>
      <c r="F1792" s="17" t="n"/>
      <c r="G1792" s="17" t="n"/>
      <c r="H1792" s="18">
        <f>IF(AND(B1792="",C1792="",D1792="",E1792=""),"",IF(B1792="","⚠ Falta fecha",IF(C1792="","⚠ Falta monto",IF(D1792="","⚠ Falta categoría",IF(ISNA(MATCH(D1792,catNom,0)),"⚠ Categoría no existe",IF(E1792="","⚠ Falta cuenta",IF(ISNA(MATCH(E1792,ctaNom,0)),"⚠ Cuenta no existe",IF(AND(OR(I1792="Transferencia",I1792="Pago tarjeta"),G1792=""),"⚠ Indica la cuenta «Hacia»",IF(AND(G1792&lt;&gt;"",G1792=E1792),"⚠ «Hacia» igual a la cuenta",IF(AND(G1792&lt;&gt;"",ISNA(MATCH(G1792,ctaNom,0))),"⚠ «Hacia» no existe",IF(AND(I1792="Pago tarjeta",IFERROR(INDEX(ctaTipo,MATCH(G1792,ctaNom,0)),"")&lt;&gt;"Tarjeta de crédito"),"⚠ «Hacia» debe ser la tarjeta",IF(AND(I1792="Trading",IFERROR(INDEX(ctaTipo,MATCH(E1792,ctaNom,0)),"")&lt;&gt;"Cuenta de trading"),"⚠ Usa la cuenta de trading","✓"))))))))))))</f>
        <v/>
      </c>
      <c r="I1792" s="19">
        <f>IF(OR(B1792="",C1792="",D1792=""),"",IFERROR(INDEX(catTipo,MATCH(D1792,catNom,0))&amp;"",""))</f>
        <v/>
      </c>
      <c r="J1792" s="19">
        <f>IF(I1792="","",IFERROR(INDEX(catGrupo,MATCH(D1792,catNom,0))&amp;"",""))</f>
        <v/>
      </c>
      <c r="K1792" s="19">
        <f>IF(I1792="Gasto",IF(IFERROR(INDEX(catClas,MATCH(D1792,catNom,0))&amp;"","")="","Variable",IFERROR(INDEX(catClas,MATCH(D1792,catNom,0))&amp;"","")),"")</f>
        <v/>
      </c>
      <c r="L1792" s="19">
        <f>IF(I1792="","",IFERROR(INDEX(catAlim,MATCH(D1792,catNom,0))&amp;"",""))</f>
        <v/>
      </c>
      <c r="M1792" s="19">
        <f>IF(I1792="","",IFERROR(INDEX(catComida,MATCH(D1792,catNom,0))&amp;"",""))</f>
        <v/>
      </c>
      <c r="N1792" s="19">
        <f>IF(I1792="","",IFERROR(INDEX(ctaMon,MATCH(E1792,ctaNom,0))&amp;"","DOP"))</f>
        <v/>
      </c>
      <c r="O1792" s="20">
        <f>IF(I1792="","",C1792*IF(N1792="USD",TasaUSD,1))</f>
        <v/>
      </c>
      <c r="P1792" s="20">
        <f>IF(I1792="","",IF(I1792="Gasto",O1792,0))</f>
        <v/>
      </c>
      <c r="Q1792" s="20">
        <f>IF(I1792="","",IF(I1792="Ingreso",O1792,0))</f>
        <v/>
      </c>
      <c r="R1792" s="20">
        <f>IF(I1792="","",IF(I1792="Trading",O1792,0))</f>
        <v/>
      </c>
      <c r="S1792" s="19">
        <f>IF(I1792="","",IF(AND(I1792="Gasto",K1792="Variable",J1792&lt;&gt;"Trading",O1792&gt;0,O1792&lt;=Umbral),1,0))</f>
        <v/>
      </c>
      <c r="T1792" s="20">
        <f>IF(OR(I1792="",E1792=""),"",IF(OR(I1792="Gasto",I1792="Transferencia",I1792="Pago tarjeta"),-1,1)*C1792)</f>
        <v/>
      </c>
      <c r="U1792" s="20">
        <f>IF(OR(G1792="",AND(I1792&lt;&gt;"Transferencia",I1792&lt;&gt;"Pago tarjeta")),"",IF(IFERROR(INDEX(ctaMon,MATCH(G1792,ctaNom,0))&amp;"","DOP")=N1792,C1792,IF(N1792="USD",C1792*TasaUSD,C1792/TasaUSD)))</f>
        <v/>
      </c>
      <c r="V1792" s="20">
        <f>IF(I1792="","",IF(IFERROR(INDEX(ctaLiq,MATCH(E1792,ctaNom,0))="Sí",FALSE),IF(OR(I1792="Gasto",I1792="Transferencia",I1792="Pago tarjeta"),-1,1)*O1792,0)+IF(AND(U1792&lt;&gt;"",IFERROR(INDEX(ctaLiq,MATCH(G1792,ctaNom,0))="Sí",FALSE)),O1792,0))</f>
        <v/>
      </c>
      <c r="W1792" s="19">
        <f>IF(OR(F1792="",I1792=""),"",IF(COUNTIFS(F$6:F1792,F1792,I$6:I1792,"?*")=1,MAX(W$5:W1791)+1,""))</f>
        <v/>
      </c>
    </row>
    <row r="1793">
      <c r="B1793" s="15" t="n"/>
      <c r="C1793" s="16" t="n"/>
      <c r="D1793" s="17" t="n"/>
      <c r="E1793" s="17" t="n"/>
      <c r="F1793" s="17" t="n"/>
      <c r="G1793" s="17" t="n"/>
      <c r="H1793" s="18">
        <f>IF(AND(B1793="",C1793="",D1793="",E1793=""),"",IF(B1793="","⚠ Falta fecha",IF(C1793="","⚠ Falta monto",IF(D1793="","⚠ Falta categoría",IF(ISNA(MATCH(D1793,catNom,0)),"⚠ Categoría no existe",IF(E1793="","⚠ Falta cuenta",IF(ISNA(MATCH(E1793,ctaNom,0)),"⚠ Cuenta no existe",IF(AND(OR(I1793="Transferencia",I1793="Pago tarjeta"),G1793=""),"⚠ Indica la cuenta «Hacia»",IF(AND(G1793&lt;&gt;"",G1793=E1793),"⚠ «Hacia» igual a la cuenta",IF(AND(G1793&lt;&gt;"",ISNA(MATCH(G1793,ctaNom,0))),"⚠ «Hacia» no existe",IF(AND(I1793="Pago tarjeta",IFERROR(INDEX(ctaTipo,MATCH(G1793,ctaNom,0)),"")&lt;&gt;"Tarjeta de crédito"),"⚠ «Hacia» debe ser la tarjeta",IF(AND(I1793="Trading",IFERROR(INDEX(ctaTipo,MATCH(E1793,ctaNom,0)),"")&lt;&gt;"Cuenta de trading"),"⚠ Usa la cuenta de trading","✓"))))))))))))</f>
        <v/>
      </c>
      <c r="I1793" s="19">
        <f>IF(OR(B1793="",C1793="",D1793=""),"",IFERROR(INDEX(catTipo,MATCH(D1793,catNom,0))&amp;"",""))</f>
        <v/>
      </c>
      <c r="J1793" s="19">
        <f>IF(I1793="","",IFERROR(INDEX(catGrupo,MATCH(D1793,catNom,0))&amp;"",""))</f>
        <v/>
      </c>
      <c r="K1793" s="19">
        <f>IF(I1793="Gasto",IF(IFERROR(INDEX(catClas,MATCH(D1793,catNom,0))&amp;"","")="","Variable",IFERROR(INDEX(catClas,MATCH(D1793,catNom,0))&amp;"","")),"")</f>
        <v/>
      </c>
      <c r="L1793" s="19">
        <f>IF(I1793="","",IFERROR(INDEX(catAlim,MATCH(D1793,catNom,0))&amp;"",""))</f>
        <v/>
      </c>
      <c r="M1793" s="19">
        <f>IF(I1793="","",IFERROR(INDEX(catComida,MATCH(D1793,catNom,0))&amp;"",""))</f>
        <v/>
      </c>
      <c r="N1793" s="19">
        <f>IF(I1793="","",IFERROR(INDEX(ctaMon,MATCH(E1793,ctaNom,0))&amp;"","DOP"))</f>
        <v/>
      </c>
      <c r="O1793" s="20">
        <f>IF(I1793="","",C1793*IF(N1793="USD",TasaUSD,1))</f>
        <v/>
      </c>
      <c r="P1793" s="20">
        <f>IF(I1793="","",IF(I1793="Gasto",O1793,0))</f>
        <v/>
      </c>
      <c r="Q1793" s="20">
        <f>IF(I1793="","",IF(I1793="Ingreso",O1793,0))</f>
        <v/>
      </c>
      <c r="R1793" s="20">
        <f>IF(I1793="","",IF(I1793="Trading",O1793,0))</f>
        <v/>
      </c>
      <c r="S1793" s="19">
        <f>IF(I1793="","",IF(AND(I1793="Gasto",K1793="Variable",J1793&lt;&gt;"Trading",O1793&gt;0,O1793&lt;=Umbral),1,0))</f>
        <v/>
      </c>
      <c r="T1793" s="20">
        <f>IF(OR(I1793="",E1793=""),"",IF(OR(I1793="Gasto",I1793="Transferencia",I1793="Pago tarjeta"),-1,1)*C1793)</f>
        <v/>
      </c>
      <c r="U1793" s="20">
        <f>IF(OR(G1793="",AND(I1793&lt;&gt;"Transferencia",I1793&lt;&gt;"Pago tarjeta")),"",IF(IFERROR(INDEX(ctaMon,MATCH(G1793,ctaNom,0))&amp;"","DOP")=N1793,C1793,IF(N1793="USD",C1793*TasaUSD,C1793/TasaUSD)))</f>
        <v/>
      </c>
      <c r="V1793" s="20">
        <f>IF(I1793="","",IF(IFERROR(INDEX(ctaLiq,MATCH(E1793,ctaNom,0))="Sí",FALSE),IF(OR(I1793="Gasto",I1793="Transferencia",I1793="Pago tarjeta"),-1,1)*O1793,0)+IF(AND(U1793&lt;&gt;"",IFERROR(INDEX(ctaLiq,MATCH(G1793,ctaNom,0))="Sí",FALSE)),O1793,0))</f>
        <v/>
      </c>
      <c r="W1793" s="19">
        <f>IF(OR(F1793="",I1793=""),"",IF(COUNTIFS(F$6:F1793,F1793,I$6:I1793,"?*")=1,MAX(W$5:W1792)+1,""))</f>
        <v/>
      </c>
    </row>
    <row r="1794">
      <c r="B1794" s="15" t="n"/>
      <c r="C1794" s="16" t="n"/>
      <c r="D1794" s="17" t="n"/>
      <c r="E1794" s="17" t="n"/>
      <c r="F1794" s="17" t="n"/>
      <c r="G1794" s="17" t="n"/>
      <c r="H1794" s="18">
        <f>IF(AND(B1794="",C1794="",D1794="",E1794=""),"",IF(B1794="","⚠ Falta fecha",IF(C1794="","⚠ Falta monto",IF(D1794="","⚠ Falta categoría",IF(ISNA(MATCH(D1794,catNom,0)),"⚠ Categoría no existe",IF(E1794="","⚠ Falta cuenta",IF(ISNA(MATCH(E1794,ctaNom,0)),"⚠ Cuenta no existe",IF(AND(OR(I1794="Transferencia",I1794="Pago tarjeta"),G1794=""),"⚠ Indica la cuenta «Hacia»",IF(AND(G1794&lt;&gt;"",G1794=E1794),"⚠ «Hacia» igual a la cuenta",IF(AND(G1794&lt;&gt;"",ISNA(MATCH(G1794,ctaNom,0))),"⚠ «Hacia» no existe",IF(AND(I1794="Pago tarjeta",IFERROR(INDEX(ctaTipo,MATCH(G1794,ctaNom,0)),"")&lt;&gt;"Tarjeta de crédito"),"⚠ «Hacia» debe ser la tarjeta",IF(AND(I1794="Trading",IFERROR(INDEX(ctaTipo,MATCH(E1794,ctaNom,0)),"")&lt;&gt;"Cuenta de trading"),"⚠ Usa la cuenta de trading","✓"))))))))))))</f>
        <v/>
      </c>
      <c r="I1794" s="19">
        <f>IF(OR(B1794="",C1794="",D1794=""),"",IFERROR(INDEX(catTipo,MATCH(D1794,catNom,0))&amp;"",""))</f>
        <v/>
      </c>
      <c r="J1794" s="19">
        <f>IF(I1794="","",IFERROR(INDEX(catGrupo,MATCH(D1794,catNom,0))&amp;"",""))</f>
        <v/>
      </c>
      <c r="K1794" s="19">
        <f>IF(I1794="Gasto",IF(IFERROR(INDEX(catClas,MATCH(D1794,catNom,0))&amp;"","")="","Variable",IFERROR(INDEX(catClas,MATCH(D1794,catNom,0))&amp;"","")),"")</f>
        <v/>
      </c>
      <c r="L1794" s="19">
        <f>IF(I1794="","",IFERROR(INDEX(catAlim,MATCH(D1794,catNom,0))&amp;"",""))</f>
        <v/>
      </c>
      <c r="M1794" s="19">
        <f>IF(I1794="","",IFERROR(INDEX(catComida,MATCH(D1794,catNom,0))&amp;"",""))</f>
        <v/>
      </c>
      <c r="N1794" s="19">
        <f>IF(I1794="","",IFERROR(INDEX(ctaMon,MATCH(E1794,ctaNom,0))&amp;"","DOP"))</f>
        <v/>
      </c>
      <c r="O1794" s="20">
        <f>IF(I1794="","",C1794*IF(N1794="USD",TasaUSD,1))</f>
        <v/>
      </c>
      <c r="P1794" s="20">
        <f>IF(I1794="","",IF(I1794="Gasto",O1794,0))</f>
        <v/>
      </c>
      <c r="Q1794" s="20">
        <f>IF(I1794="","",IF(I1794="Ingreso",O1794,0))</f>
        <v/>
      </c>
      <c r="R1794" s="20">
        <f>IF(I1794="","",IF(I1794="Trading",O1794,0))</f>
        <v/>
      </c>
      <c r="S1794" s="19">
        <f>IF(I1794="","",IF(AND(I1794="Gasto",K1794="Variable",J1794&lt;&gt;"Trading",O1794&gt;0,O1794&lt;=Umbral),1,0))</f>
        <v/>
      </c>
      <c r="T1794" s="20">
        <f>IF(OR(I1794="",E1794=""),"",IF(OR(I1794="Gasto",I1794="Transferencia",I1794="Pago tarjeta"),-1,1)*C1794)</f>
        <v/>
      </c>
      <c r="U1794" s="20">
        <f>IF(OR(G1794="",AND(I1794&lt;&gt;"Transferencia",I1794&lt;&gt;"Pago tarjeta")),"",IF(IFERROR(INDEX(ctaMon,MATCH(G1794,ctaNom,0))&amp;"","DOP")=N1794,C1794,IF(N1794="USD",C1794*TasaUSD,C1794/TasaUSD)))</f>
        <v/>
      </c>
      <c r="V1794" s="20">
        <f>IF(I1794="","",IF(IFERROR(INDEX(ctaLiq,MATCH(E1794,ctaNom,0))="Sí",FALSE),IF(OR(I1794="Gasto",I1794="Transferencia",I1794="Pago tarjeta"),-1,1)*O1794,0)+IF(AND(U1794&lt;&gt;"",IFERROR(INDEX(ctaLiq,MATCH(G1794,ctaNom,0))="Sí",FALSE)),O1794,0))</f>
        <v/>
      </c>
      <c r="W1794" s="19">
        <f>IF(OR(F1794="",I1794=""),"",IF(COUNTIFS(F$6:F1794,F1794,I$6:I1794,"?*")=1,MAX(W$5:W1793)+1,""))</f>
        <v/>
      </c>
    </row>
    <row r="1795">
      <c r="B1795" s="15" t="n"/>
      <c r="C1795" s="16" t="n"/>
      <c r="D1795" s="17" t="n"/>
      <c r="E1795" s="17" t="n"/>
      <c r="F1795" s="17" t="n"/>
      <c r="G1795" s="17" t="n"/>
      <c r="H1795" s="18">
        <f>IF(AND(B1795="",C1795="",D1795="",E1795=""),"",IF(B1795="","⚠ Falta fecha",IF(C1795="","⚠ Falta monto",IF(D1795="","⚠ Falta categoría",IF(ISNA(MATCH(D1795,catNom,0)),"⚠ Categoría no existe",IF(E1795="","⚠ Falta cuenta",IF(ISNA(MATCH(E1795,ctaNom,0)),"⚠ Cuenta no existe",IF(AND(OR(I1795="Transferencia",I1795="Pago tarjeta"),G1795=""),"⚠ Indica la cuenta «Hacia»",IF(AND(G1795&lt;&gt;"",G1795=E1795),"⚠ «Hacia» igual a la cuenta",IF(AND(G1795&lt;&gt;"",ISNA(MATCH(G1795,ctaNom,0))),"⚠ «Hacia» no existe",IF(AND(I1795="Pago tarjeta",IFERROR(INDEX(ctaTipo,MATCH(G1795,ctaNom,0)),"")&lt;&gt;"Tarjeta de crédito"),"⚠ «Hacia» debe ser la tarjeta",IF(AND(I1795="Trading",IFERROR(INDEX(ctaTipo,MATCH(E1795,ctaNom,0)),"")&lt;&gt;"Cuenta de trading"),"⚠ Usa la cuenta de trading","✓"))))))))))))</f>
        <v/>
      </c>
      <c r="I1795" s="19">
        <f>IF(OR(B1795="",C1795="",D1795=""),"",IFERROR(INDEX(catTipo,MATCH(D1795,catNom,0))&amp;"",""))</f>
        <v/>
      </c>
      <c r="J1795" s="19">
        <f>IF(I1795="","",IFERROR(INDEX(catGrupo,MATCH(D1795,catNom,0))&amp;"",""))</f>
        <v/>
      </c>
      <c r="K1795" s="19">
        <f>IF(I1795="Gasto",IF(IFERROR(INDEX(catClas,MATCH(D1795,catNom,0))&amp;"","")="","Variable",IFERROR(INDEX(catClas,MATCH(D1795,catNom,0))&amp;"","")),"")</f>
        <v/>
      </c>
      <c r="L1795" s="19">
        <f>IF(I1795="","",IFERROR(INDEX(catAlim,MATCH(D1795,catNom,0))&amp;"",""))</f>
        <v/>
      </c>
      <c r="M1795" s="19">
        <f>IF(I1795="","",IFERROR(INDEX(catComida,MATCH(D1795,catNom,0))&amp;"",""))</f>
        <v/>
      </c>
      <c r="N1795" s="19">
        <f>IF(I1795="","",IFERROR(INDEX(ctaMon,MATCH(E1795,ctaNom,0))&amp;"","DOP"))</f>
        <v/>
      </c>
      <c r="O1795" s="20">
        <f>IF(I1795="","",C1795*IF(N1795="USD",TasaUSD,1))</f>
        <v/>
      </c>
      <c r="P1795" s="20">
        <f>IF(I1795="","",IF(I1795="Gasto",O1795,0))</f>
        <v/>
      </c>
      <c r="Q1795" s="20">
        <f>IF(I1795="","",IF(I1795="Ingreso",O1795,0))</f>
        <v/>
      </c>
      <c r="R1795" s="20">
        <f>IF(I1795="","",IF(I1795="Trading",O1795,0))</f>
        <v/>
      </c>
      <c r="S1795" s="19">
        <f>IF(I1795="","",IF(AND(I1795="Gasto",K1795="Variable",J1795&lt;&gt;"Trading",O1795&gt;0,O1795&lt;=Umbral),1,0))</f>
        <v/>
      </c>
      <c r="T1795" s="20">
        <f>IF(OR(I1795="",E1795=""),"",IF(OR(I1795="Gasto",I1795="Transferencia",I1795="Pago tarjeta"),-1,1)*C1795)</f>
        <v/>
      </c>
      <c r="U1795" s="20">
        <f>IF(OR(G1795="",AND(I1795&lt;&gt;"Transferencia",I1795&lt;&gt;"Pago tarjeta")),"",IF(IFERROR(INDEX(ctaMon,MATCH(G1795,ctaNom,0))&amp;"","DOP")=N1795,C1795,IF(N1795="USD",C1795*TasaUSD,C1795/TasaUSD)))</f>
        <v/>
      </c>
      <c r="V1795" s="20">
        <f>IF(I1795="","",IF(IFERROR(INDEX(ctaLiq,MATCH(E1795,ctaNom,0))="Sí",FALSE),IF(OR(I1795="Gasto",I1795="Transferencia",I1795="Pago tarjeta"),-1,1)*O1795,0)+IF(AND(U1795&lt;&gt;"",IFERROR(INDEX(ctaLiq,MATCH(G1795,ctaNom,0))="Sí",FALSE)),O1795,0))</f>
        <v/>
      </c>
      <c r="W1795" s="19">
        <f>IF(OR(F1795="",I1795=""),"",IF(COUNTIFS(F$6:F1795,F1795,I$6:I1795,"?*")=1,MAX(W$5:W1794)+1,""))</f>
        <v/>
      </c>
    </row>
    <row r="1796">
      <c r="B1796" s="15" t="n"/>
      <c r="C1796" s="16" t="n"/>
      <c r="D1796" s="17" t="n"/>
      <c r="E1796" s="17" t="n"/>
      <c r="F1796" s="17" t="n"/>
      <c r="G1796" s="17" t="n"/>
      <c r="H1796" s="18">
        <f>IF(AND(B1796="",C1796="",D1796="",E1796=""),"",IF(B1796="","⚠ Falta fecha",IF(C1796="","⚠ Falta monto",IF(D1796="","⚠ Falta categoría",IF(ISNA(MATCH(D1796,catNom,0)),"⚠ Categoría no existe",IF(E1796="","⚠ Falta cuenta",IF(ISNA(MATCH(E1796,ctaNom,0)),"⚠ Cuenta no existe",IF(AND(OR(I1796="Transferencia",I1796="Pago tarjeta"),G1796=""),"⚠ Indica la cuenta «Hacia»",IF(AND(G1796&lt;&gt;"",G1796=E1796),"⚠ «Hacia» igual a la cuenta",IF(AND(G1796&lt;&gt;"",ISNA(MATCH(G1796,ctaNom,0))),"⚠ «Hacia» no existe",IF(AND(I1796="Pago tarjeta",IFERROR(INDEX(ctaTipo,MATCH(G1796,ctaNom,0)),"")&lt;&gt;"Tarjeta de crédito"),"⚠ «Hacia» debe ser la tarjeta",IF(AND(I1796="Trading",IFERROR(INDEX(ctaTipo,MATCH(E1796,ctaNom,0)),"")&lt;&gt;"Cuenta de trading"),"⚠ Usa la cuenta de trading","✓"))))))))))))</f>
        <v/>
      </c>
      <c r="I1796" s="19">
        <f>IF(OR(B1796="",C1796="",D1796=""),"",IFERROR(INDEX(catTipo,MATCH(D1796,catNom,0))&amp;"",""))</f>
        <v/>
      </c>
      <c r="J1796" s="19">
        <f>IF(I1796="","",IFERROR(INDEX(catGrupo,MATCH(D1796,catNom,0))&amp;"",""))</f>
        <v/>
      </c>
      <c r="K1796" s="19">
        <f>IF(I1796="Gasto",IF(IFERROR(INDEX(catClas,MATCH(D1796,catNom,0))&amp;"","")="","Variable",IFERROR(INDEX(catClas,MATCH(D1796,catNom,0))&amp;"","")),"")</f>
        <v/>
      </c>
      <c r="L1796" s="19">
        <f>IF(I1796="","",IFERROR(INDEX(catAlim,MATCH(D1796,catNom,0))&amp;"",""))</f>
        <v/>
      </c>
      <c r="M1796" s="19">
        <f>IF(I1796="","",IFERROR(INDEX(catComida,MATCH(D1796,catNom,0))&amp;"",""))</f>
        <v/>
      </c>
      <c r="N1796" s="19">
        <f>IF(I1796="","",IFERROR(INDEX(ctaMon,MATCH(E1796,ctaNom,0))&amp;"","DOP"))</f>
        <v/>
      </c>
      <c r="O1796" s="20">
        <f>IF(I1796="","",C1796*IF(N1796="USD",TasaUSD,1))</f>
        <v/>
      </c>
      <c r="P1796" s="20">
        <f>IF(I1796="","",IF(I1796="Gasto",O1796,0))</f>
        <v/>
      </c>
      <c r="Q1796" s="20">
        <f>IF(I1796="","",IF(I1796="Ingreso",O1796,0))</f>
        <v/>
      </c>
      <c r="R1796" s="20">
        <f>IF(I1796="","",IF(I1796="Trading",O1796,0))</f>
        <v/>
      </c>
      <c r="S1796" s="19">
        <f>IF(I1796="","",IF(AND(I1796="Gasto",K1796="Variable",J1796&lt;&gt;"Trading",O1796&gt;0,O1796&lt;=Umbral),1,0))</f>
        <v/>
      </c>
      <c r="T1796" s="20">
        <f>IF(OR(I1796="",E1796=""),"",IF(OR(I1796="Gasto",I1796="Transferencia",I1796="Pago tarjeta"),-1,1)*C1796)</f>
        <v/>
      </c>
      <c r="U1796" s="20">
        <f>IF(OR(G1796="",AND(I1796&lt;&gt;"Transferencia",I1796&lt;&gt;"Pago tarjeta")),"",IF(IFERROR(INDEX(ctaMon,MATCH(G1796,ctaNom,0))&amp;"","DOP")=N1796,C1796,IF(N1796="USD",C1796*TasaUSD,C1796/TasaUSD)))</f>
        <v/>
      </c>
      <c r="V1796" s="20">
        <f>IF(I1796="","",IF(IFERROR(INDEX(ctaLiq,MATCH(E1796,ctaNom,0))="Sí",FALSE),IF(OR(I1796="Gasto",I1796="Transferencia",I1796="Pago tarjeta"),-1,1)*O1796,0)+IF(AND(U1796&lt;&gt;"",IFERROR(INDEX(ctaLiq,MATCH(G1796,ctaNom,0))="Sí",FALSE)),O1796,0))</f>
        <v/>
      </c>
      <c r="W1796" s="19">
        <f>IF(OR(F1796="",I1796=""),"",IF(COUNTIFS(F$6:F1796,F1796,I$6:I1796,"?*")=1,MAX(W$5:W1795)+1,""))</f>
        <v/>
      </c>
    </row>
    <row r="1797">
      <c r="B1797" s="15" t="n"/>
      <c r="C1797" s="16" t="n"/>
      <c r="D1797" s="17" t="n"/>
      <c r="E1797" s="17" t="n"/>
      <c r="F1797" s="17" t="n"/>
      <c r="G1797" s="17" t="n"/>
      <c r="H1797" s="18">
        <f>IF(AND(B1797="",C1797="",D1797="",E1797=""),"",IF(B1797="","⚠ Falta fecha",IF(C1797="","⚠ Falta monto",IF(D1797="","⚠ Falta categoría",IF(ISNA(MATCH(D1797,catNom,0)),"⚠ Categoría no existe",IF(E1797="","⚠ Falta cuenta",IF(ISNA(MATCH(E1797,ctaNom,0)),"⚠ Cuenta no existe",IF(AND(OR(I1797="Transferencia",I1797="Pago tarjeta"),G1797=""),"⚠ Indica la cuenta «Hacia»",IF(AND(G1797&lt;&gt;"",G1797=E1797),"⚠ «Hacia» igual a la cuenta",IF(AND(G1797&lt;&gt;"",ISNA(MATCH(G1797,ctaNom,0))),"⚠ «Hacia» no existe",IF(AND(I1797="Pago tarjeta",IFERROR(INDEX(ctaTipo,MATCH(G1797,ctaNom,0)),"")&lt;&gt;"Tarjeta de crédito"),"⚠ «Hacia» debe ser la tarjeta",IF(AND(I1797="Trading",IFERROR(INDEX(ctaTipo,MATCH(E1797,ctaNom,0)),"")&lt;&gt;"Cuenta de trading"),"⚠ Usa la cuenta de trading","✓"))))))))))))</f>
        <v/>
      </c>
      <c r="I1797" s="19">
        <f>IF(OR(B1797="",C1797="",D1797=""),"",IFERROR(INDEX(catTipo,MATCH(D1797,catNom,0))&amp;"",""))</f>
        <v/>
      </c>
      <c r="J1797" s="19">
        <f>IF(I1797="","",IFERROR(INDEX(catGrupo,MATCH(D1797,catNom,0))&amp;"",""))</f>
        <v/>
      </c>
      <c r="K1797" s="19">
        <f>IF(I1797="Gasto",IF(IFERROR(INDEX(catClas,MATCH(D1797,catNom,0))&amp;"","")="","Variable",IFERROR(INDEX(catClas,MATCH(D1797,catNom,0))&amp;"","")),"")</f>
        <v/>
      </c>
      <c r="L1797" s="19">
        <f>IF(I1797="","",IFERROR(INDEX(catAlim,MATCH(D1797,catNom,0))&amp;"",""))</f>
        <v/>
      </c>
      <c r="M1797" s="19">
        <f>IF(I1797="","",IFERROR(INDEX(catComida,MATCH(D1797,catNom,0))&amp;"",""))</f>
        <v/>
      </c>
      <c r="N1797" s="19">
        <f>IF(I1797="","",IFERROR(INDEX(ctaMon,MATCH(E1797,ctaNom,0))&amp;"","DOP"))</f>
        <v/>
      </c>
      <c r="O1797" s="20">
        <f>IF(I1797="","",C1797*IF(N1797="USD",TasaUSD,1))</f>
        <v/>
      </c>
      <c r="P1797" s="20">
        <f>IF(I1797="","",IF(I1797="Gasto",O1797,0))</f>
        <v/>
      </c>
      <c r="Q1797" s="20">
        <f>IF(I1797="","",IF(I1797="Ingreso",O1797,0))</f>
        <v/>
      </c>
      <c r="R1797" s="20">
        <f>IF(I1797="","",IF(I1797="Trading",O1797,0))</f>
        <v/>
      </c>
      <c r="S1797" s="19">
        <f>IF(I1797="","",IF(AND(I1797="Gasto",K1797="Variable",J1797&lt;&gt;"Trading",O1797&gt;0,O1797&lt;=Umbral),1,0))</f>
        <v/>
      </c>
      <c r="T1797" s="20">
        <f>IF(OR(I1797="",E1797=""),"",IF(OR(I1797="Gasto",I1797="Transferencia",I1797="Pago tarjeta"),-1,1)*C1797)</f>
        <v/>
      </c>
      <c r="U1797" s="20">
        <f>IF(OR(G1797="",AND(I1797&lt;&gt;"Transferencia",I1797&lt;&gt;"Pago tarjeta")),"",IF(IFERROR(INDEX(ctaMon,MATCH(G1797,ctaNom,0))&amp;"","DOP")=N1797,C1797,IF(N1797="USD",C1797*TasaUSD,C1797/TasaUSD)))</f>
        <v/>
      </c>
      <c r="V1797" s="20">
        <f>IF(I1797="","",IF(IFERROR(INDEX(ctaLiq,MATCH(E1797,ctaNom,0))="Sí",FALSE),IF(OR(I1797="Gasto",I1797="Transferencia",I1797="Pago tarjeta"),-1,1)*O1797,0)+IF(AND(U1797&lt;&gt;"",IFERROR(INDEX(ctaLiq,MATCH(G1797,ctaNom,0))="Sí",FALSE)),O1797,0))</f>
        <v/>
      </c>
      <c r="W1797" s="19">
        <f>IF(OR(F1797="",I1797=""),"",IF(COUNTIFS(F$6:F1797,F1797,I$6:I1797,"?*")=1,MAX(W$5:W1796)+1,""))</f>
        <v/>
      </c>
    </row>
    <row r="1798">
      <c r="B1798" s="15" t="n"/>
      <c r="C1798" s="16" t="n"/>
      <c r="D1798" s="17" t="n"/>
      <c r="E1798" s="17" t="n"/>
      <c r="F1798" s="17" t="n"/>
      <c r="G1798" s="17" t="n"/>
      <c r="H1798" s="18">
        <f>IF(AND(B1798="",C1798="",D1798="",E1798=""),"",IF(B1798="","⚠ Falta fecha",IF(C1798="","⚠ Falta monto",IF(D1798="","⚠ Falta categoría",IF(ISNA(MATCH(D1798,catNom,0)),"⚠ Categoría no existe",IF(E1798="","⚠ Falta cuenta",IF(ISNA(MATCH(E1798,ctaNom,0)),"⚠ Cuenta no existe",IF(AND(OR(I1798="Transferencia",I1798="Pago tarjeta"),G1798=""),"⚠ Indica la cuenta «Hacia»",IF(AND(G1798&lt;&gt;"",G1798=E1798),"⚠ «Hacia» igual a la cuenta",IF(AND(G1798&lt;&gt;"",ISNA(MATCH(G1798,ctaNom,0))),"⚠ «Hacia» no existe",IF(AND(I1798="Pago tarjeta",IFERROR(INDEX(ctaTipo,MATCH(G1798,ctaNom,0)),"")&lt;&gt;"Tarjeta de crédito"),"⚠ «Hacia» debe ser la tarjeta",IF(AND(I1798="Trading",IFERROR(INDEX(ctaTipo,MATCH(E1798,ctaNom,0)),"")&lt;&gt;"Cuenta de trading"),"⚠ Usa la cuenta de trading","✓"))))))))))))</f>
        <v/>
      </c>
      <c r="I1798" s="19">
        <f>IF(OR(B1798="",C1798="",D1798=""),"",IFERROR(INDEX(catTipo,MATCH(D1798,catNom,0))&amp;"",""))</f>
        <v/>
      </c>
      <c r="J1798" s="19">
        <f>IF(I1798="","",IFERROR(INDEX(catGrupo,MATCH(D1798,catNom,0))&amp;"",""))</f>
        <v/>
      </c>
      <c r="K1798" s="19">
        <f>IF(I1798="Gasto",IF(IFERROR(INDEX(catClas,MATCH(D1798,catNom,0))&amp;"","")="","Variable",IFERROR(INDEX(catClas,MATCH(D1798,catNom,0))&amp;"","")),"")</f>
        <v/>
      </c>
      <c r="L1798" s="19">
        <f>IF(I1798="","",IFERROR(INDEX(catAlim,MATCH(D1798,catNom,0))&amp;"",""))</f>
        <v/>
      </c>
      <c r="M1798" s="19">
        <f>IF(I1798="","",IFERROR(INDEX(catComida,MATCH(D1798,catNom,0))&amp;"",""))</f>
        <v/>
      </c>
      <c r="N1798" s="19">
        <f>IF(I1798="","",IFERROR(INDEX(ctaMon,MATCH(E1798,ctaNom,0))&amp;"","DOP"))</f>
        <v/>
      </c>
      <c r="O1798" s="20">
        <f>IF(I1798="","",C1798*IF(N1798="USD",TasaUSD,1))</f>
        <v/>
      </c>
      <c r="P1798" s="20">
        <f>IF(I1798="","",IF(I1798="Gasto",O1798,0))</f>
        <v/>
      </c>
      <c r="Q1798" s="20">
        <f>IF(I1798="","",IF(I1798="Ingreso",O1798,0))</f>
        <v/>
      </c>
      <c r="R1798" s="20">
        <f>IF(I1798="","",IF(I1798="Trading",O1798,0))</f>
        <v/>
      </c>
      <c r="S1798" s="19">
        <f>IF(I1798="","",IF(AND(I1798="Gasto",K1798="Variable",J1798&lt;&gt;"Trading",O1798&gt;0,O1798&lt;=Umbral),1,0))</f>
        <v/>
      </c>
      <c r="T1798" s="20">
        <f>IF(OR(I1798="",E1798=""),"",IF(OR(I1798="Gasto",I1798="Transferencia",I1798="Pago tarjeta"),-1,1)*C1798)</f>
        <v/>
      </c>
      <c r="U1798" s="20">
        <f>IF(OR(G1798="",AND(I1798&lt;&gt;"Transferencia",I1798&lt;&gt;"Pago tarjeta")),"",IF(IFERROR(INDEX(ctaMon,MATCH(G1798,ctaNom,0))&amp;"","DOP")=N1798,C1798,IF(N1798="USD",C1798*TasaUSD,C1798/TasaUSD)))</f>
        <v/>
      </c>
      <c r="V1798" s="20">
        <f>IF(I1798="","",IF(IFERROR(INDEX(ctaLiq,MATCH(E1798,ctaNom,0))="Sí",FALSE),IF(OR(I1798="Gasto",I1798="Transferencia",I1798="Pago tarjeta"),-1,1)*O1798,0)+IF(AND(U1798&lt;&gt;"",IFERROR(INDEX(ctaLiq,MATCH(G1798,ctaNom,0))="Sí",FALSE)),O1798,0))</f>
        <v/>
      </c>
      <c r="W1798" s="19">
        <f>IF(OR(F1798="",I1798=""),"",IF(COUNTIFS(F$6:F1798,F1798,I$6:I1798,"?*")=1,MAX(W$5:W1797)+1,""))</f>
        <v/>
      </c>
    </row>
    <row r="1799">
      <c r="B1799" s="15" t="n"/>
      <c r="C1799" s="16" t="n"/>
      <c r="D1799" s="17" t="n"/>
      <c r="E1799" s="17" t="n"/>
      <c r="F1799" s="17" t="n"/>
      <c r="G1799" s="17" t="n"/>
      <c r="H1799" s="18">
        <f>IF(AND(B1799="",C1799="",D1799="",E1799=""),"",IF(B1799="","⚠ Falta fecha",IF(C1799="","⚠ Falta monto",IF(D1799="","⚠ Falta categoría",IF(ISNA(MATCH(D1799,catNom,0)),"⚠ Categoría no existe",IF(E1799="","⚠ Falta cuenta",IF(ISNA(MATCH(E1799,ctaNom,0)),"⚠ Cuenta no existe",IF(AND(OR(I1799="Transferencia",I1799="Pago tarjeta"),G1799=""),"⚠ Indica la cuenta «Hacia»",IF(AND(G1799&lt;&gt;"",G1799=E1799),"⚠ «Hacia» igual a la cuenta",IF(AND(G1799&lt;&gt;"",ISNA(MATCH(G1799,ctaNom,0))),"⚠ «Hacia» no existe",IF(AND(I1799="Pago tarjeta",IFERROR(INDEX(ctaTipo,MATCH(G1799,ctaNom,0)),"")&lt;&gt;"Tarjeta de crédito"),"⚠ «Hacia» debe ser la tarjeta",IF(AND(I1799="Trading",IFERROR(INDEX(ctaTipo,MATCH(E1799,ctaNom,0)),"")&lt;&gt;"Cuenta de trading"),"⚠ Usa la cuenta de trading","✓"))))))))))))</f>
        <v/>
      </c>
      <c r="I1799" s="19">
        <f>IF(OR(B1799="",C1799="",D1799=""),"",IFERROR(INDEX(catTipo,MATCH(D1799,catNom,0))&amp;"",""))</f>
        <v/>
      </c>
      <c r="J1799" s="19">
        <f>IF(I1799="","",IFERROR(INDEX(catGrupo,MATCH(D1799,catNom,0))&amp;"",""))</f>
        <v/>
      </c>
      <c r="K1799" s="19">
        <f>IF(I1799="Gasto",IF(IFERROR(INDEX(catClas,MATCH(D1799,catNom,0))&amp;"","")="","Variable",IFERROR(INDEX(catClas,MATCH(D1799,catNom,0))&amp;"","")),"")</f>
        <v/>
      </c>
      <c r="L1799" s="19">
        <f>IF(I1799="","",IFERROR(INDEX(catAlim,MATCH(D1799,catNom,0))&amp;"",""))</f>
        <v/>
      </c>
      <c r="M1799" s="19">
        <f>IF(I1799="","",IFERROR(INDEX(catComida,MATCH(D1799,catNom,0))&amp;"",""))</f>
        <v/>
      </c>
      <c r="N1799" s="19">
        <f>IF(I1799="","",IFERROR(INDEX(ctaMon,MATCH(E1799,ctaNom,0))&amp;"","DOP"))</f>
        <v/>
      </c>
      <c r="O1799" s="20">
        <f>IF(I1799="","",C1799*IF(N1799="USD",TasaUSD,1))</f>
        <v/>
      </c>
      <c r="P1799" s="20">
        <f>IF(I1799="","",IF(I1799="Gasto",O1799,0))</f>
        <v/>
      </c>
      <c r="Q1799" s="20">
        <f>IF(I1799="","",IF(I1799="Ingreso",O1799,0))</f>
        <v/>
      </c>
      <c r="R1799" s="20">
        <f>IF(I1799="","",IF(I1799="Trading",O1799,0))</f>
        <v/>
      </c>
      <c r="S1799" s="19">
        <f>IF(I1799="","",IF(AND(I1799="Gasto",K1799="Variable",J1799&lt;&gt;"Trading",O1799&gt;0,O1799&lt;=Umbral),1,0))</f>
        <v/>
      </c>
      <c r="T1799" s="20">
        <f>IF(OR(I1799="",E1799=""),"",IF(OR(I1799="Gasto",I1799="Transferencia",I1799="Pago tarjeta"),-1,1)*C1799)</f>
        <v/>
      </c>
      <c r="U1799" s="20">
        <f>IF(OR(G1799="",AND(I1799&lt;&gt;"Transferencia",I1799&lt;&gt;"Pago tarjeta")),"",IF(IFERROR(INDEX(ctaMon,MATCH(G1799,ctaNom,0))&amp;"","DOP")=N1799,C1799,IF(N1799="USD",C1799*TasaUSD,C1799/TasaUSD)))</f>
        <v/>
      </c>
      <c r="V1799" s="20">
        <f>IF(I1799="","",IF(IFERROR(INDEX(ctaLiq,MATCH(E1799,ctaNom,0))="Sí",FALSE),IF(OR(I1799="Gasto",I1799="Transferencia",I1799="Pago tarjeta"),-1,1)*O1799,0)+IF(AND(U1799&lt;&gt;"",IFERROR(INDEX(ctaLiq,MATCH(G1799,ctaNom,0))="Sí",FALSE)),O1799,0))</f>
        <v/>
      </c>
      <c r="W1799" s="19">
        <f>IF(OR(F1799="",I1799=""),"",IF(COUNTIFS(F$6:F1799,F1799,I$6:I1799,"?*")=1,MAX(W$5:W1798)+1,""))</f>
        <v/>
      </c>
    </row>
    <row r="1800">
      <c r="B1800" s="15" t="n"/>
      <c r="C1800" s="16" t="n"/>
      <c r="D1800" s="17" t="n"/>
      <c r="E1800" s="17" t="n"/>
      <c r="F1800" s="17" t="n"/>
      <c r="G1800" s="17" t="n"/>
      <c r="H1800" s="18">
        <f>IF(AND(B1800="",C1800="",D1800="",E1800=""),"",IF(B1800="","⚠ Falta fecha",IF(C1800="","⚠ Falta monto",IF(D1800="","⚠ Falta categoría",IF(ISNA(MATCH(D1800,catNom,0)),"⚠ Categoría no existe",IF(E1800="","⚠ Falta cuenta",IF(ISNA(MATCH(E1800,ctaNom,0)),"⚠ Cuenta no existe",IF(AND(OR(I1800="Transferencia",I1800="Pago tarjeta"),G1800=""),"⚠ Indica la cuenta «Hacia»",IF(AND(G1800&lt;&gt;"",G1800=E1800),"⚠ «Hacia» igual a la cuenta",IF(AND(G1800&lt;&gt;"",ISNA(MATCH(G1800,ctaNom,0))),"⚠ «Hacia» no existe",IF(AND(I1800="Pago tarjeta",IFERROR(INDEX(ctaTipo,MATCH(G1800,ctaNom,0)),"")&lt;&gt;"Tarjeta de crédito"),"⚠ «Hacia» debe ser la tarjeta",IF(AND(I1800="Trading",IFERROR(INDEX(ctaTipo,MATCH(E1800,ctaNom,0)),"")&lt;&gt;"Cuenta de trading"),"⚠ Usa la cuenta de trading","✓"))))))))))))</f>
        <v/>
      </c>
      <c r="I1800" s="19">
        <f>IF(OR(B1800="",C1800="",D1800=""),"",IFERROR(INDEX(catTipo,MATCH(D1800,catNom,0))&amp;"",""))</f>
        <v/>
      </c>
      <c r="J1800" s="19">
        <f>IF(I1800="","",IFERROR(INDEX(catGrupo,MATCH(D1800,catNom,0))&amp;"",""))</f>
        <v/>
      </c>
      <c r="K1800" s="19">
        <f>IF(I1800="Gasto",IF(IFERROR(INDEX(catClas,MATCH(D1800,catNom,0))&amp;"","")="","Variable",IFERROR(INDEX(catClas,MATCH(D1800,catNom,0))&amp;"","")),"")</f>
        <v/>
      </c>
      <c r="L1800" s="19">
        <f>IF(I1800="","",IFERROR(INDEX(catAlim,MATCH(D1800,catNom,0))&amp;"",""))</f>
        <v/>
      </c>
      <c r="M1800" s="19">
        <f>IF(I1800="","",IFERROR(INDEX(catComida,MATCH(D1800,catNom,0))&amp;"",""))</f>
        <v/>
      </c>
      <c r="N1800" s="19">
        <f>IF(I1800="","",IFERROR(INDEX(ctaMon,MATCH(E1800,ctaNom,0))&amp;"","DOP"))</f>
        <v/>
      </c>
      <c r="O1800" s="20">
        <f>IF(I1800="","",C1800*IF(N1800="USD",TasaUSD,1))</f>
        <v/>
      </c>
      <c r="P1800" s="20">
        <f>IF(I1800="","",IF(I1800="Gasto",O1800,0))</f>
        <v/>
      </c>
      <c r="Q1800" s="20">
        <f>IF(I1800="","",IF(I1800="Ingreso",O1800,0))</f>
        <v/>
      </c>
      <c r="R1800" s="20">
        <f>IF(I1800="","",IF(I1800="Trading",O1800,0))</f>
        <v/>
      </c>
      <c r="S1800" s="19">
        <f>IF(I1800="","",IF(AND(I1800="Gasto",K1800="Variable",J1800&lt;&gt;"Trading",O1800&gt;0,O1800&lt;=Umbral),1,0))</f>
        <v/>
      </c>
      <c r="T1800" s="20">
        <f>IF(OR(I1800="",E1800=""),"",IF(OR(I1800="Gasto",I1800="Transferencia",I1800="Pago tarjeta"),-1,1)*C1800)</f>
        <v/>
      </c>
      <c r="U1800" s="20">
        <f>IF(OR(G1800="",AND(I1800&lt;&gt;"Transferencia",I1800&lt;&gt;"Pago tarjeta")),"",IF(IFERROR(INDEX(ctaMon,MATCH(G1800,ctaNom,0))&amp;"","DOP")=N1800,C1800,IF(N1800="USD",C1800*TasaUSD,C1800/TasaUSD)))</f>
        <v/>
      </c>
      <c r="V1800" s="20">
        <f>IF(I1800="","",IF(IFERROR(INDEX(ctaLiq,MATCH(E1800,ctaNom,0))="Sí",FALSE),IF(OR(I1800="Gasto",I1800="Transferencia",I1800="Pago tarjeta"),-1,1)*O1800,0)+IF(AND(U1800&lt;&gt;"",IFERROR(INDEX(ctaLiq,MATCH(G1800,ctaNom,0))="Sí",FALSE)),O1800,0))</f>
        <v/>
      </c>
      <c r="W1800" s="19">
        <f>IF(OR(F1800="",I1800=""),"",IF(COUNTIFS(F$6:F1800,F1800,I$6:I1800,"?*")=1,MAX(W$5:W1799)+1,""))</f>
        <v/>
      </c>
    </row>
    <row r="1801">
      <c r="B1801" s="15" t="n"/>
      <c r="C1801" s="16" t="n"/>
      <c r="D1801" s="17" t="n"/>
      <c r="E1801" s="17" t="n"/>
      <c r="F1801" s="17" t="n"/>
      <c r="G1801" s="17" t="n"/>
      <c r="H1801" s="18">
        <f>IF(AND(B1801="",C1801="",D1801="",E1801=""),"",IF(B1801="","⚠ Falta fecha",IF(C1801="","⚠ Falta monto",IF(D1801="","⚠ Falta categoría",IF(ISNA(MATCH(D1801,catNom,0)),"⚠ Categoría no existe",IF(E1801="","⚠ Falta cuenta",IF(ISNA(MATCH(E1801,ctaNom,0)),"⚠ Cuenta no existe",IF(AND(OR(I1801="Transferencia",I1801="Pago tarjeta"),G1801=""),"⚠ Indica la cuenta «Hacia»",IF(AND(G1801&lt;&gt;"",G1801=E1801),"⚠ «Hacia» igual a la cuenta",IF(AND(G1801&lt;&gt;"",ISNA(MATCH(G1801,ctaNom,0))),"⚠ «Hacia» no existe",IF(AND(I1801="Pago tarjeta",IFERROR(INDEX(ctaTipo,MATCH(G1801,ctaNom,0)),"")&lt;&gt;"Tarjeta de crédito"),"⚠ «Hacia» debe ser la tarjeta",IF(AND(I1801="Trading",IFERROR(INDEX(ctaTipo,MATCH(E1801,ctaNom,0)),"")&lt;&gt;"Cuenta de trading"),"⚠ Usa la cuenta de trading","✓"))))))))))))</f>
        <v/>
      </c>
      <c r="I1801" s="19">
        <f>IF(OR(B1801="",C1801="",D1801=""),"",IFERROR(INDEX(catTipo,MATCH(D1801,catNom,0))&amp;"",""))</f>
        <v/>
      </c>
      <c r="J1801" s="19">
        <f>IF(I1801="","",IFERROR(INDEX(catGrupo,MATCH(D1801,catNom,0))&amp;"",""))</f>
        <v/>
      </c>
      <c r="K1801" s="19">
        <f>IF(I1801="Gasto",IF(IFERROR(INDEX(catClas,MATCH(D1801,catNom,0))&amp;"","")="","Variable",IFERROR(INDEX(catClas,MATCH(D1801,catNom,0))&amp;"","")),"")</f>
        <v/>
      </c>
      <c r="L1801" s="19">
        <f>IF(I1801="","",IFERROR(INDEX(catAlim,MATCH(D1801,catNom,0))&amp;"",""))</f>
        <v/>
      </c>
      <c r="M1801" s="19">
        <f>IF(I1801="","",IFERROR(INDEX(catComida,MATCH(D1801,catNom,0))&amp;"",""))</f>
        <v/>
      </c>
      <c r="N1801" s="19">
        <f>IF(I1801="","",IFERROR(INDEX(ctaMon,MATCH(E1801,ctaNom,0))&amp;"","DOP"))</f>
        <v/>
      </c>
      <c r="O1801" s="20">
        <f>IF(I1801="","",C1801*IF(N1801="USD",TasaUSD,1))</f>
        <v/>
      </c>
      <c r="P1801" s="20">
        <f>IF(I1801="","",IF(I1801="Gasto",O1801,0))</f>
        <v/>
      </c>
      <c r="Q1801" s="20">
        <f>IF(I1801="","",IF(I1801="Ingreso",O1801,0))</f>
        <v/>
      </c>
      <c r="R1801" s="20">
        <f>IF(I1801="","",IF(I1801="Trading",O1801,0))</f>
        <v/>
      </c>
      <c r="S1801" s="19">
        <f>IF(I1801="","",IF(AND(I1801="Gasto",K1801="Variable",J1801&lt;&gt;"Trading",O1801&gt;0,O1801&lt;=Umbral),1,0))</f>
        <v/>
      </c>
      <c r="T1801" s="20">
        <f>IF(OR(I1801="",E1801=""),"",IF(OR(I1801="Gasto",I1801="Transferencia",I1801="Pago tarjeta"),-1,1)*C1801)</f>
        <v/>
      </c>
      <c r="U1801" s="20">
        <f>IF(OR(G1801="",AND(I1801&lt;&gt;"Transferencia",I1801&lt;&gt;"Pago tarjeta")),"",IF(IFERROR(INDEX(ctaMon,MATCH(G1801,ctaNom,0))&amp;"","DOP")=N1801,C1801,IF(N1801="USD",C1801*TasaUSD,C1801/TasaUSD)))</f>
        <v/>
      </c>
      <c r="V1801" s="20">
        <f>IF(I1801="","",IF(IFERROR(INDEX(ctaLiq,MATCH(E1801,ctaNom,0))="Sí",FALSE),IF(OR(I1801="Gasto",I1801="Transferencia",I1801="Pago tarjeta"),-1,1)*O1801,0)+IF(AND(U1801&lt;&gt;"",IFERROR(INDEX(ctaLiq,MATCH(G1801,ctaNom,0))="Sí",FALSE)),O1801,0))</f>
        <v/>
      </c>
      <c r="W1801" s="19">
        <f>IF(OR(F1801="",I1801=""),"",IF(COUNTIFS(F$6:F1801,F1801,I$6:I1801,"?*")=1,MAX(W$5:W1800)+1,""))</f>
        <v/>
      </c>
    </row>
    <row r="1802">
      <c r="B1802" s="15" t="n"/>
      <c r="C1802" s="16" t="n"/>
      <c r="D1802" s="17" t="n"/>
      <c r="E1802" s="17" t="n"/>
      <c r="F1802" s="17" t="n"/>
      <c r="G1802" s="17" t="n"/>
      <c r="H1802" s="18">
        <f>IF(AND(B1802="",C1802="",D1802="",E1802=""),"",IF(B1802="","⚠ Falta fecha",IF(C1802="","⚠ Falta monto",IF(D1802="","⚠ Falta categoría",IF(ISNA(MATCH(D1802,catNom,0)),"⚠ Categoría no existe",IF(E1802="","⚠ Falta cuenta",IF(ISNA(MATCH(E1802,ctaNom,0)),"⚠ Cuenta no existe",IF(AND(OR(I1802="Transferencia",I1802="Pago tarjeta"),G1802=""),"⚠ Indica la cuenta «Hacia»",IF(AND(G1802&lt;&gt;"",G1802=E1802),"⚠ «Hacia» igual a la cuenta",IF(AND(G1802&lt;&gt;"",ISNA(MATCH(G1802,ctaNom,0))),"⚠ «Hacia» no existe",IF(AND(I1802="Pago tarjeta",IFERROR(INDEX(ctaTipo,MATCH(G1802,ctaNom,0)),"")&lt;&gt;"Tarjeta de crédito"),"⚠ «Hacia» debe ser la tarjeta",IF(AND(I1802="Trading",IFERROR(INDEX(ctaTipo,MATCH(E1802,ctaNom,0)),"")&lt;&gt;"Cuenta de trading"),"⚠ Usa la cuenta de trading","✓"))))))))))))</f>
        <v/>
      </c>
      <c r="I1802" s="19">
        <f>IF(OR(B1802="",C1802="",D1802=""),"",IFERROR(INDEX(catTipo,MATCH(D1802,catNom,0))&amp;"",""))</f>
        <v/>
      </c>
      <c r="J1802" s="19">
        <f>IF(I1802="","",IFERROR(INDEX(catGrupo,MATCH(D1802,catNom,0))&amp;"",""))</f>
        <v/>
      </c>
      <c r="K1802" s="19">
        <f>IF(I1802="Gasto",IF(IFERROR(INDEX(catClas,MATCH(D1802,catNom,0))&amp;"","")="","Variable",IFERROR(INDEX(catClas,MATCH(D1802,catNom,0))&amp;"","")),"")</f>
        <v/>
      </c>
      <c r="L1802" s="19">
        <f>IF(I1802="","",IFERROR(INDEX(catAlim,MATCH(D1802,catNom,0))&amp;"",""))</f>
        <v/>
      </c>
      <c r="M1802" s="19">
        <f>IF(I1802="","",IFERROR(INDEX(catComida,MATCH(D1802,catNom,0))&amp;"",""))</f>
        <v/>
      </c>
      <c r="N1802" s="19">
        <f>IF(I1802="","",IFERROR(INDEX(ctaMon,MATCH(E1802,ctaNom,0))&amp;"","DOP"))</f>
        <v/>
      </c>
      <c r="O1802" s="20">
        <f>IF(I1802="","",C1802*IF(N1802="USD",TasaUSD,1))</f>
        <v/>
      </c>
      <c r="P1802" s="20">
        <f>IF(I1802="","",IF(I1802="Gasto",O1802,0))</f>
        <v/>
      </c>
      <c r="Q1802" s="20">
        <f>IF(I1802="","",IF(I1802="Ingreso",O1802,0))</f>
        <v/>
      </c>
      <c r="R1802" s="20">
        <f>IF(I1802="","",IF(I1802="Trading",O1802,0))</f>
        <v/>
      </c>
      <c r="S1802" s="19">
        <f>IF(I1802="","",IF(AND(I1802="Gasto",K1802="Variable",J1802&lt;&gt;"Trading",O1802&gt;0,O1802&lt;=Umbral),1,0))</f>
        <v/>
      </c>
      <c r="T1802" s="20">
        <f>IF(OR(I1802="",E1802=""),"",IF(OR(I1802="Gasto",I1802="Transferencia",I1802="Pago tarjeta"),-1,1)*C1802)</f>
        <v/>
      </c>
      <c r="U1802" s="20">
        <f>IF(OR(G1802="",AND(I1802&lt;&gt;"Transferencia",I1802&lt;&gt;"Pago tarjeta")),"",IF(IFERROR(INDEX(ctaMon,MATCH(G1802,ctaNom,0))&amp;"","DOP")=N1802,C1802,IF(N1802="USD",C1802*TasaUSD,C1802/TasaUSD)))</f>
        <v/>
      </c>
      <c r="V1802" s="20">
        <f>IF(I1802="","",IF(IFERROR(INDEX(ctaLiq,MATCH(E1802,ctaNom,0))="Sí",FALSE),IF(OR(I1802="Gasto",I1802="Transferencia",I1802="Pago tarjeta"),-1,1)*O1802,0)+IF(AND(U1802&lt;&gt;"",IFERROR(INDEX(ctaLiq,MATCH(G1802,ctaNom,0))="Sí",FALSE)),O1802,0))</f>
        <v/>
      </c>
      <c r="W1802" s="19">
        <f>IF(OR(F1802="",I1802=""),"",IF(COUNTIFS(F$6:F1802,F1802,I$6:I1802,"?*")=1,MAX(W$5:W1801)+1,""))</f>
        <v/>
      </c>
    </row>
    <row r="1803">
      <c r="B1803" s="15" t="n"/>
      <c r="C1803" s="16" t="n"/>
      <c r="D1803" s="17" t="n"/>
      <c r="E1803" s="17" t="n"/>
      <c r="F1803" s="17" t="n"/>
      <c r="G1803" s="17" t="n"/>
      <c r="H1803" s="18">
        <f>IF(AND(B1803="",C1803="",D1803="",E1803=""),"",IF(B1803="","⚠ Falta fecha",IF(C1803="","⚠ Falta monto",IF(D1803="","⚠ Falta categoría",IF(ISNA(MATCH(D1803,catNom,0)),"⚠ Categoría no existe",IF(E1803="","⚠ Falta cuenta",IF(ISNA(MATCH(E1803,ctaNom,0)),"⚠ Cuenta no existe",IF(AND(OR(I1803="Transferencia",I1803="Pago tarjeta"),G1803=""),"⚠ Indica la cuenta «Hacia»",IF(AND(G1803&lt;&gt;"",G1803=E1803),"⚠ «Hacia» igual a la cuenta",IF(AND(G1803&lt;&gt;"",ISNA(MATCH(G1803,ctaNom,0))),"⚠ «Hacia» no existe",IF(AND(I1803="Pago tarjeta",IFERROR(INDEX(ctaTipo,MATCH(G1803,ctaNom,0)),"")&lt;&gt;"Tarjeta de crédito"),"⚠ «Hacia» debe ser la tarjeta",IF(AND(I1803="Trading",IFERROR(INDEX(ctaTipo,MATCH(E1803,ctaNom,0)),"")&lt;&gt;"Cuenta de trading"),"⚠ Usa la cuenta de trading","✓"))))))))))))</f>
        <v/>
      </c>
      <c r="I1803" s="19">
        <f>IF(OR(B1803="",C1803="",D1803=""),"",IFERROR(INDEX(catTipo,MATCH(D1803,catNom,0))&amp;"",""))</f>
        <v/>
      </c>
      <c r="J1803" s="19">
        <f>IF(I1803="","",IFERROR(INDEX(catGrupo,MATCH(D1803,catNom,0))&amp;"",""))</f>
        <v/>
      </c>
      <c r="K1803" s="19">
        <f>IF(I1803="Gasto",IF(IFERROR(INDEX(catClas,MATCH(D1803,catNom,0))&amp;"","")="","Variable",IFERROR(INDEX(catClas,MATCH(D1803,catNom,0))&amp;"","")),"")</f>
        <v/>
      </c>
      <c r="L1803" s="19">
        <f>IF(I1803="","",IFERROR(INDEX(catAlim,MATCH(D1803,catNom,0))&amp;"",""))</f>
        <v/>
      </c>
      <c r="M1803" s="19">
        <f>IF(I1803="","",IFERROR(INDEX(catComida,MATCH(D1803,catNom,0))&amp;"",""))</f>
        <v/>
      </c>
      <c r="N1803" s="19">
        <f>IF(I1803="","",IFERROR(INDEX(ctaMon,MATCH(E1803,ctaNom,0))&amp;"","DOP"))</f>
        <v/>
      </c>
      <c r="O1803" s="20">
        <f>IF(I1803="","",C1803*IF(N1803="USD",TasaUSD,1))</f>
        <v/>
      </c>
      <c r="P1803" s="20">
        <f>IF(I1803="","",IF(I1803="Gasto",O1803,0))</f>
        <v/>
      </c>
      <c r="Q1803" s="20">
        <f>IF(I1803="","",IF(I1803="Ingreso",O1803,0))</f>
        <v/>
      </c>
      <c r="R1803" s="20">
        <f>IF(I1803="","",IF(I1803="Trading",O1803,0))</f>
        <v/>
      </c>
      <c r="S1803" s="19">
        <f>IF(I1803="","",IF(AND(I1803="Gasto",K1803="Variable",J1803&lt;&gt;"Trading",O1803&gt;0,O1803&lt;=Umbral),1,0))</f>
        <v/>
      </c>
      <c r="T1803" s="20">
        <f>IF(OR(I1803="",E1803=""),"",IF(OR(I1803="Gasto",I1803="Transferencia",I1803="Pago tarjeta"),-1,1)*C1803)</f>
        <v/>
      </c>
      <c r="U1803" s="20">
        <f>IF(OR(G1803="",AND(I1803&lt;&gt;"Transferencia",I1803&lt;&gt;"Pago tarjeta")),"",IF(IFERROR(INDEX(ctaMon,MATCH(G1803,ctaNom,0))&amp;"","DOP")=N1803,C1803,IF(N1803="USD",C1803*TasaUSD,C1803/TasaUSD)))</f>
        <v/>
      </c>
      <c r="V1803" s="20">
        <f>IF(I1803="","",IF(IFERROR(INDEX(ctaLiq,MATCH(E1803,ctaNom,0))="Sí",FALSE),IF(OR(I1803="Gasto",I1803="Transferencia",I1803="Pago tarjeta"),-1,1)*O1803,0)+IF(AND(U1803&lt;&gt;"",IFERROR(INDEX(ctaLiq,MATCH(G1803,ctaNom,0))="Sí",FALSE)),O1803,0))</f>
        <v/>
      </c>
      <c r="W1803" s="19">
        <f>IF(OR(F1803="",I1803=""),"",IF(COUNTIFS(F$6:F1803,F1803,I$6:I1803,"?*")=1,MAX(W$5:W1802)+1,""))</f>
        <v/>
      </c>
    </row>
    <row r="1804">
      <c r="B1804" s="15" t="n"/>
      <c r="C1804" s="16" t="n"/>
      <c r="D1804" s="17" t="n"/>
      <c r="E1804" s="17" t="n"/>
      <c r="F1804" s="17" t="n"/>
      <c r="G1804" s="17" t="n"/>
      <c r="H1804" s="18">
        <f>IF(AND(B1804="",C1804="",D1804="",E1804=""),"",IF(B1804="","⚠ Falta fecha",IF(C1804="","⚠ Falta monto",IF(D1804="","⚠ Falta categoría",IF(ISNA(MATCH(D1804,catNom,0)),"⚠ Categoría no existe",IF(E1804="","⚠ Falta cuenta",IF(ISNA(MATCH(E1804,ctaNom,0)),"⚠ Cuenta no existe",IF(AND(OR(I1804="Transferencia",I1804="Pago tarjeta"),G1804=""),"⚠ Indica la cuenta «Hacia»",IF(AND(G1804&lt;&gt;"",G1804=E1804),"⚠ «Hacia» igual a la cuenta",IF(AND(G1804&lt;&gt;"",ISNA(MATCH(G1804,ctaNom,0))),"⚠ «Hacia» no existe",IF(AND(I1804="Pago tarjeta",IFERROR(INDEX(ctaTipo,MATCH(G1804,ctaNom,0)),"")&lt;&gt;"Tarjeta de crédito"),"⚠ «Hacia» debe ser la tarjeta",IF(AND(I1804="Trading",IFERROR(INDEX(ctaTipo,MATCH(E1804,ctaNom,0)),"")&lt;&gt;"Cuenta de trading"),"⚠ Usa la cuenta de trading","✓"))))))))))))</f>
        <v/>
      </c>
      <c r="I1804" s="19">
        <f>IF(OR(B1804="",C1804="",D1804=""),"",IFERROR(INDEX(catTipo,MATCH(D1804,catNom,0))&amp;"",""))</f>
        <v/>
      </c>
      <c r="J1804" s="19">
        <f>IF(I1804="","",IFERROR(INDEX(catGrupo,MATCH(D1804,catNom,0))&amp;"",""))</f>
        <v/>
      </c>
      <c r="K1804" s="19">
        <f>IF(I1804="Gasto",IF(IFERROR(INDEX(catClas,MATCH(D1804,catNom,0))&amp;"","")="","Variable",IFERROR(INDEX(catClas,MATCH(D1804,catNom,0))&amp;"","")),"")</f>
        <v/>
      </c>
      <c r="L1804" s="19">
        <f>IF(I1804="","",IFERROR(INDEX(catAlim,MATCH(D1804,catNom,0))&amp;"",""))</f>
        <v/>
      </c>
      <c r="M1804" s="19">
        <f>IF(I1804="","",IFERROR(INDEX(catComida,MATCH(D1804,catNom,0))&amp;"",""))</f>
        <v/>
      </c>
      <c r="N1804" s="19">
        <f>IF(I1804="","",IFERROR(INDEX(ctaMon,MATCH(E1804,ctaNom,0))&amp;"","DOP"))</f>
        <v/>
      </c>
      <c r="O1804" s="20">
        <f>IF(I1804="","",C1804*IF(N1804="USD",TasaUSD,1))</f>
        <v/>
      </c>
      <c r="P1804" s="20">
        <f>IF(I1804="","",IF(I1804="Gasto",O1804,0))</f>
        <v/>
      </c>
      <c r="Q1804" s="20">
        <f>IF(I1804="","",IF(I1804="Ingreso",O1804,0))</f>
        <v/>
      </c>
      <c r="R1804" s="20">
        <f>IF(I1804="","",IF(I1804="Trading",O1804,0))</f>
        <v/>
      </c>
      <c r="S1804" s="19">
        <f>IF(I1804="","",IF(AND(I1804="Gasto",K1804="Variable",J1804&lt;&gt;"Trading",O1804&gt;0,O1804&lt;=Umbral),1,0))</f>
        <v/>
      </c>
      <c r="T1804" s="20">
        <f>IF(OR(I1804="",E1804=""),"",IF(OR(I1804="Gasto",I1804="Transferencia",I1804="Pago tarjeta"),-1,1)*C1804)</f>
        <v/>
      </c>
      <c r="U1804" s="20">
        <f>IF(OR(G1804="",AND(I1804&lt;&gt;"Transferencia",I1804&lt;&gt;"Pago tarjeta")),"",IF(IFERROR(INDEX(ctaMon,MATCH(G1804,ctaNom,0))&amp;"","DOP")=N1804,C1804,IF(N1804="USD",C1804*TasaUSD,C1804/TasaUSD)))</f>
        <v/>
      </c>
      <c r="V1804" s="20">
        <f>IF(I1804="","",IF(IFERROR(INDEX(ctaLiq,MATCH(E1804,ctaNom,0))="Sí",FALSE),IF(OR(I1804="Gasto",I1804="Transferencia",I1804="Pago tarjeta"),-1,1)*O1804,0)+IF(AND(U1804&lt;&gt;"",IFERROR(INDEX(ctaLiq,MATCH(G1804,ctaNom,0))="Sí",FALSE)),O1804,0))</f>
        <v/>
      </c>
      <c r="W1804" s="19">
        <f>IF(OR(F1804="",I1804=""),"",IF(COUNTIFS(F$6:F1804,F1804,I$6:I1804,"?*")=1,MAX(W$5:W1803)+1,""))</f>
        <v/>
      </c>
    </row>
    <row r="1805">
      <c r="B1805" s="15" t="n"/>
      <c r="C1805" s="16" t="n"/>
      <c r="D1805" s="17" t="n"/>
      <c r="E1805" s="17" t="n"/>
      <c r="F1805" s="17" t="n"/>
      <c r="G1805" s="17" t="n"/>
      <c r="H1805" s="18">
        <f>IF(AND(B1805="",C1805="",D1805="",E1805=""),"",IF(B1805="","⚠ Falta fecha",IF(C1805="","⚠ Falta monto",IF(D1805="","⚠ Falta categoría",IF(ISNA(MATCH(D1805,catNom,0)),"⚠ Categoría no existe",IF(E1805="","⚠ Falta cuenta",IF(ISNA(MATCH(E1805,ctaNom,0)),"⚠ Cuenta no existe",IF(AND(OR(I1805="Transferencia",I1805="Pago tarjeta"),G1805=""),"⚠ Indica la cuenta «Hacia»",IF(AND(G1805&lt;&gt;"",G1805=E1805),"⚠ «Hacia» igual a la cuenta",IF(AND(G1805&lt;&gt;"",ISNA(MATCH(G1805,ctaNom,0))),"⚠ «Hacia» no existe",IF(AND(I1805="Pago tarjeta",IFERROR(INDEX(ctaTipo,MATCH(G1805,ctaNom,0)),"")&lt;&gt;"Tarjeta de crédito"),"⚠ «Hacia» debe ser la tarjeta",IF(AND(I1805="Trading",IFERROR(INDEX(ctaTipo,MATCH(E1805,ctaNom,0)),"")&lt;&gt;"Cuenta de trading"),"⚠ Usa la cuenta de trading","✓"))))))))))))</f>
        <v/>
      </c>
      <c r="I1805" s="19">
        <f>IF(OR(B1805="",C1805="",D1805=""),"",IFERROR(INDEX(catTipo,MATCH(D1805,catNom,0))&amp;"",""))</f>
        <v/>
      </c>
      <c r="J1805" s="19">
        <f>IF(I1805="","",IFERROR(INDEX(catGrupo,MATCH(D1805,catNom,0))&amp;"",""))</f>
        <v/>
      </c>
      <c r="K1805" s="19">
        <f>IF(I1805="Gasto",IF(IFERROR(INDEX(catClas,MATCH(D1805,catNom,0))&amp;"","")="","Variable",IFERROR(INDEX(catClas,MATCH(D1805,catNom,0))&amp;"","")),"")</f>
        <v/>
      </c>
      <c r="L1805" s="19">
        <f>IF(I1805="","",IFERROR(INDEX(catAlim,MATCH(D1805,catNom,0))&amp;"",""))</f>
        <v/>
      </c>
      <c r="M1805" s="19">
        <f>IF(I1805="","",IFERROR(INDEX(catComida,MATCH(D1805,catNom,0))&amp;"",""))</f>
        <v/>
      </c>
      <c r="N1805" s="19">
        <f>IF(I1805="","",IFERROR(INDEX(ctaMon,MATCH(E1805,ctaNom,0))&amp;"","DOP"))</f>
        <v/>
      </c>
      <c r="O1805" s="20">
        <f>IF(I1805="","",C1805*IF(N1805="USD",TasaUSD,1))</f>
        <v/>
      </c>
      <c r="P1805" s="20">
        <f>IF(I1805="","",IF(I1805="Gasto",O1805,0))</f>
        <v/>
      </c>
      <c r="Q1805" s="20">
        <f>IF(I1805="","",IF(I1805="Ingreso",O1805,0))</f>
        <v/>
      </c>
      <c r="R1805" s="20">
        <f>IF(I1805="","",IF(I1805="Trading",O1805,0))</f>
        <v/>
      </c>
      <c r="S1805" s="19">
        <f>IF(I1805="","",IF(AND(I1805="Gasto",K1805="Variable",J1805&lt;&gt;"Trading",O1805&gt;0,O1805&lt;=Umbral),1,0))</f>
        <v/>
      </c>
      <c r="T1805" s="20">
        <f>IF(OR(I1805="",E1805=""),"",IF(OR(I1805="Gasto",I1805="Transferencia",I1805="Pago tarjeta"),-1,1)*C1805)</f>
        <v/>
      </c>
      <c r="U1805" s="20">
        <f>IF(OR(G1805="",AND(I1805&lt;&gt;"Transferencia",I1805&lt;&gt;"Pago tarjeta")),"",IF(IFERROR(INDEX(ctaMon,MATCH(G1805,ctaNom,0))&amp;"","DOP")=N1805,C1805,IF(N1805="USD",C1805*TasaUSD,C1805/TasaUSD)))</f>
        <v/>
      </c>
      <c r="V1805" s="20">
        <f>IF(I1805="","",IF(IFERROR(INDEX(ctaLiq,MATCH(E1805,ctaNom,0))="Sí",FALSE),IF(OR(I1805="Gasto",I1805="Transferencia",I1805="Pago tarjeta"),-1,1)*O1805,0)+IF(AND(U1805&lt;&gt;"",IFERROR(INDEX(ctaLiq,MATCH(G1805,ctaNom,0))="Sí",FALSE)),O1805,0))</f>
        <v/>
      </c>
      <c r="W1805" s="19">
        <f>IF(OR(F1805="",I1805=""),"",IF(COUNTIFS(F$6:F1805,F1805,I$6:I1805,"?*")=1,MAX(W$5:W1804)+1,""))</f>
        <v/>
      </c>
    </row>
    <row r="1806">
      <c r="B1806" s="15" t="n"/>
      <c r="C1806" s="16" t="n"/>
      <c r="D1806" s="17" t="n"/>
      <c r="E1806" s="17" t="n"/>
      <c r="F1806" s="17" t="n"/>
      <c r="G1806" s="17" t="n"/>
      <c r="H1806" s="18">
        <f>IF(AND(B1806="",C1806="",D1806="",E1806=""),"",IF(B1806="","⚠ Falta fecha",IF(C1806="","⚠ Falta monto",IF(D1806="","⚠ Falta categoría",IF(ISNA(MATCH(D1806,catNom,0)),"⚠ Categoría no existe",IF(E1806="","⚠ Falta cuenta",IF(ISNA(MATCH(E1806,ctaNom,0)),"⚠ Cuenta no existe",IF(AND(OR(I1806="Transferencia",I1806="Pago tarjeta"),G1806=""),"⚠ Indica la cuenta «Hacia»",IF(AND(G1806&lt;&gt;"",G1806=E1806),"⚠ «Hacia» igual a la cuenta",IF(AND(G1806&lt;&gt;"",ISNA(MATCH(G1806,ctaNom,0))),"⚠ «Hacia» no existe",IF(AND(I1806="Pago tarjeta",IFERROR(INDEX(ctaTipo,MATCH(G1806,ctaNom,0)),"")&lt;&gt;"Tarjeta de crédito"),"⚠ «Hacia» debe ser la tarjeta",IF(AND(I1806="Trading",IFERROR(INDEX(ctaTipo,MATCH(E1806,ctaNom,0)),"")&lt;&gt;"Cuenta de trading"),"⚠ Usa la cuenta de trading","✓"))))))))))))</f>
        <v/>
      </c>
      <c r="I1806" s="19">
        <f>IF(OR(B1806="",C1806="",D1806=""),"",IFERROR(INDEX(catTipo,MATCH(D1806,catNom,0))&amp;"",""))</f>
        <v/>
      </c>
      <c r="J1806" s="19">
        <f>IF(I1806="","",IFERROR(INDEX(catGrupo,MATCH(D1806,catNom,0))&amp;"",""))</f>
        <v/>
      </c>
      <c r="K1806" s="19">
        <f>IF(I1806="Gasto",IF(IFERROR(INDEX(catClas,MATCH(D1806,catNom,0))&amp;"","")="","Variable",IFERROR(INDEX(catClas,MATCH(D1806,catNom,0))&amp;"","")),"")</f>
        <v/>
      </c>
      <c r="L1806" s="19">
        <f>IF(I1806="","",IFERROR(INDEX(catAlim,MATCH(D1806,catNom,0))&amp;"",""))</f>
        <v/>
      </c>
      <c r="M1806" s="19">
        <f>IF(I1806="","",IFERROR(INDEX(catComida,MATCH(D1806,catNom,0))&amp;"",""))</f>
        <v/>
      </c>
      <c r="N1806" s="19">
        <f>IF(I1806="","",IFERROR(INDEX(ctaMon,MATCH(E1806,ctaNom,0))&amp;"","DOP"))</f>
        <v/>
      </c>
      <c r="O1806" s="20">
        <f>IF(I1806="","",C1806*IF(N1806="USD",TasaUSD,1))</f>
        <v/>
      </c>
      <c r="P1806" s="20">
        <f>IF(I1806="","",IF(I1806="Gasto",O1806,0))</f>
        <v/>
      </c>
      <c r="Q1806" s="20">
        <f>IF(I1806="","",IF(I1806="Ingreso",O1806,0))</f>
        <v/>
      </c>
      <c r="R1806" s="20">
        <f>IF(I1806="","",IF(I1806="Trading",O1806,0))</f>
        <v/>
      </c>
      <c r="S1806" s="19">
        <f>IF(I1806="","",IF(AND(I1806="Gasto",K1806="Variable",J1806&lt;&gt;"Trading",O1806&gt;0,O1806&lt;=Umbral),1,0))</f>
        <v/>
      </c>
      <c r="T1806" s="20">
        <f>IF(OR(I1806="",E1806=""),"",IF(OR(I1806="Gasto",I1806="Transferencia",I1806="Pago tarjeta"),-1,1)*C1806)</f>
        <v/>
      </c>
      <c r="U1806" s="20">
        <f>IF(OR(G1806="",AND(I1806&lt;&gt;"Transferencia",I1806&lt;&gt;"Pago tarjeta")),"",IF(IFERROR(INDEX(ctaMon,MATCH(G1806,ctaNom,0))&amp;"","DOP")=N1806,C1806,IF(N1806="USD",C1806*TasaUSD,C1806/TasaUSD)))</f>
        <v/>
      </c>
      <c r="V1806" s="20">
        <f>IF(I1806="","",IF(IFERROR(INDEX(ctaLiq,MATCH(E1806,ctaNom,0))="Sí",FALSE),IF(OR(I1806="Gasto",I1806="Transferencia",I1806="Pago tarjeta"),-1,1)*O1806,0)+IF(AND(U1806&lt;&gt;"",IFERROR(INDEX(ctaLiq,MATCH(G1806,ctaNom,0))="Sí",FALSE)),O1806,0))</f>
        <v/>
      </c>
      <c r="W1806" s="19">
        <f>IF(OR(F1806="",I1806=""),"",IF(COUNTIFS(F$6:F1806,F1806,I$6:I1806,"?*")=1,MAX(W$5:W1805)+1,""))</f>
        <v/>
      </c>
    </row>
    <row r="1807">
      <c r="B1807" s="15" t="n"/>
      <c r="C1807" s="16" t="n"/>
      <c r="D1807" s="17" t="n"/>
      <c r="E1807" s="17" t="n"/>
      <c r="F1807" s="17" t="n"/>
      <c r="G1807" s="17" t="n"/>
      <c r="H1807" s="18">
        <f>IF(AND(B1807="",C1807="",D1807="",E1807=""),"",IF(B1807="","⚠ Falta fecha",IF(C1807="","⚠ Falta monto",IF(D1807="","⚠ Falta categoría",IF(ISNA(MATCH(D1807,catNom,0)),"⚠ Categoría no existe",IF(E1807="","⚠ Falta cuenta",IF(ISNA(MATCH(E1807,ctaNom,0)),"⚠ Cuenta no existe",IF(AND(OR(I1807="Transferencia",I1807="Pago tarjeta"),G1807=""),"⚠ Indica la cuenta «Hacia»",IF(AND(G1807&lt;&gt;"",G1807=E1807),"⚠ «Hacia» igual a la cuenta",IF(AND(G1807&lt;&gt;"",ISNA(MATCH(G1807,ctaNom,0))),"⚠ «Hacia» no existe",IF(AND(I1807="Pago tarjeta",IFERROR(INDEX(ctaTipo,MATCH(G1807,ctaNom,0)),"")&lt;&gt;"Tarjeta de crédito"),"⚠ «Hacia» debe ser la tarjeta",IF(AND(I1807="Trading",IFERROR(INDEX(ctaTipo,MATCH(E1807,ctaNom,0)),"")&lt;&gt;"Cuenta de trading"),"⚠ Usa la cuenta de trading","✓"))))))))))))</f>
        <v/>
      </c>
      <c r="I1807" s="19">
        <f>IF(OR(B1807="",C1807="",D1807=""),"",IFERROR(INDEX(catTipo,MATCH(D1807,catNom,0))&amp;"",""))</f>
        <v/>
      </c>
      <c r="J1807" s="19">
        <f>IF(I1807="","",IFERROR(INDEX(catGrupo,MATCH(D1807,catNom,0))&amp;"",""))</f>
        <v/>
      </c>
      <c r="K1807" s="19">
        <f>IF(I1807="Gasto",IF(IFERROR(INDEX(catClas,MATCH(D1807,catNom,0))&amp;"","")="","Variable",IFERROR(INDEX(catClas,MATCH(D1807,catNom,0))&amp;"","")),"")</f>
        <v/>
      </c>
      <c r="L1807" s="19">
        <f>IF(I1807="","",IFERROR(INDEX(catAlim,MATCH(D1807,catNom,0))&amp;"",""))</f>
        <v/>
      </c>
      <c r="M1807" s="19">
        <f>IF(I1807="","",IFERROR(INDEX(catComida,MATCH(D1807,catNom,0))&amp;"",""))</f>
        <v/>
      </c>
      <c r="N1807" s="19">
        <f>IF(I1807="","",IFERROR(INDEX(ctaMon,MATCH(E1807,ctaNom,0))&amp;"","DOP"))</f>
        <v/>
      </c>
      <c r="O1807" s="20">
        <f>IF(I1807="","",C1807*IF(N1807="USD",TasaUSD,1))</f>
        <v/>
      </c>
      <c r="P1807" s="20">
        <f>IF(I1807="","",IF(I1807="Gasto",O1807,0))</f>
        <v/>
      </c>
      <c r="Q1807" s="20">
        <f>IF(I1807="","",IF(I1807="Ingreso",O1807,0))</f>
        <v/>
      </c>
      <c r="R1807" s="20">
        <f>IF(I1807="","",IF(I1807="Trading",O1807,0))</f>
        <v/>
      </c>
      <c r="S1807" s="19">
        <f>IF(I1807="","",IF(AND(I1807="Gasto",K1807="Variable",J1807&lt;&gt;"Trading",O1807&gt;0,O1807&lt;=Umbral),1,0))</f>
        <v/>
      </c>
      <c r="T1807" s="20">
        <f>IF(OR(I1807="",E1807=""),"",IF(OR(I1807="Gasto",I1807="Transferencia",I1807="Pago tarjeta"),-1,1)*C1807)</f>
        <v/>
      </c>
      <c r="U1807" s="20">
        <f>IF(OR(G1807="",AND(I1807&lt;&gt;"Transferencia",I1807&lt;&gt;"Pago tarjeta")),"",IF(IFERROR(INDEX(ctaMon,MATCH(G1807,ctaNom,0))&amp;"","DOP")=N1807,C1807,IF(N1807="USD",C1807*TasaUSD,C1807/TasaUSD)))</f>
        <v/>
      </c>
      <c r="V1807" s="20">
        <f>IF(I1807="","",IF(IFERROR(INDEX(ctaLiq,MATCH(E1807,ctaNom,0))="Sí",FALSE),IF(OR(I1807="Gasto",I1807="Transferencia",I1807="Pago tarjeta"),-1,1)*O1807,0)+IF(AND(U1807&lt;&gt;"",IFERROR(INDEX(ctaLiq,MATCH(G1807,ctaNom,0))="Sí",FALSE)),O1807,0))</f>
        <v/>
      </c>
      <c r="W1807" s="19">
        <f>IF(OR(F1807="",I1807=""),"",IF(COUNTIFS(F$6:F1807,F1807,I$6:I1807,"?*")=1,MAX(W$5:W1806)+1,""))</f>
        <v/>
      </c>
    </row>
    <row r="1808">
      <c r="B1808" s="15" t="n"/>
      <c r="C1808" s="16" t="n"/>
      <c r="D1808" s="17" t="n"/>
      <c r="E1808" s="17" t="n"/>
      <c r="F1808" s="17" t="n"/>
      <c r="G1808" s="17" t="n"/>
      <c r="H1808" s="18">
        <f>IF(AND(B1808="",C1808="",D1808="",E1808=""),"",IF(B1808="","⚠ Falta fecha",IF(C1808="","⚠ Falta monto",IF(D1808="","⚠ Falta categoría",IF(ISNA(MATCH(D1808,catNom,0)),"⚠ Categoría no existe",IF(E1808="","⚠ Falta cuenta",IF(ISNA(MATCH(E1808,ctaNom,0)),"⚠ Cuenta no existe",IF(AND(OR(I1808="Transferencia",I1808="Pago tarjeta"),G1808=""),"⚠ Indica la cuenta «Hacia»",IF(AND(G1808&lt;&gt;"",G1808=E1808),"⚠ «Hacia» igual a la cuenta",IF(AND(G1808&lt;&gt;"",ISNA(MATCH(G1808,ctaNom,0))),"⚠ «Hacia» no existe",IF(AND(I1808="Pago tarjeta",IFERROR(INDEX(ctaTipo,MATCH(G1808,ctaNom,0)),"")&lt;&gt;"Tarjeta de crédito"),"⚠ «Hacia» debe ser la tarjeta",IF(AND(I1808="Trading",IFERROR(INDEX(ctaTipo,MATCH(E1808,ctaNom,0)),"")&lt;&gt;"Cuenta de trading"),"⚠ Usa la cuenta de trading","✓"))))))))))))</f>
        <v/>
      </c>
      <c r="I1808" s="19">
        <f>IF(OR(B1808="",C1808="",D1808=""),"",IFERROR(INDEX(catTipo,MATCH(D1808,catNom,0))&amp;"",""))</f>
        <v/>
      </c>
      <c r="J1808" s="19">
        <f>IF(I1808="","",IFERROR(INDEX(catGrupo,MATCH(D1808,catNom,0))&amp;"",""))</f>
        <v/>
      </c>
      <c r="K1808" s="19">
        <f>IF(I1808="Gasto",IF(IFERROR(INDEX(catClas,MATCH(D1808,catNom,0))&amp;"","")="","Variable",IFERROR(INDEX(catClas,MATCH(D1808,catNom,0))&amp;"","")),"")</f>
        <v/>
      </c>
      <c r="L1808" s="19">
        <f>IF(I1808="","",IFERROR(INDEX(catAlim,MATCH(D1808,catNom,0))&amp;"",""))</f>
        <v/>
      </c>
      <c r="M1808" s="19">
        <f>IF(I1808="","",IFERROR(INDEX(catComida,MATCH(D1808,catNom,0))&amp;"",""))</f>
        <v/>
      </c>
      <c r="N1808" s="19">
        <f>IF(I1808="","",IFERROR(INDEX(ctaMon,MATCH(E1808,ctaNom,0))&amp;"","DOP"))</f>
        <v/>
      </c>
      <c r="O1808" s="20">
        <f>IF(I1808="","",C1808*IF(N1808="USD",TasaUSD,1))</f>
        <v/>
      </c>
      <c r="P1808" s="20">
        <f>IF(I1808="","",IF(I1808="Gasto",O1808,0))</f>
        <v/>
      </c>
      <c r="Q1808" s="20">
        <f>IF(I1808="","",IF(I1808="Ingreso",O1808,0))</f>
        <v/>
      </c>
      <c r="R1808" s="20">
        <f>IF(I1808="","",IF(I1808="Trading",O1808,0))</f>
        <v/>
      </c>
      <c r="S1808" s="19">
        <f>IF(I1808="","",IF(AND(I1808="Gasto",K1808="Variable",J1808&lt;&gt;"Trading",O1808&gt;0,O1808&lt;=Umbral),1,0))</f>
        <v/>
      </c>
      <c r="T1808" s="20">
        <f>IF(OR(I1808="",E1808=""),"",IF(OR(I1808="Gasto",I1808="Transferencia",I1808="Pago tarjeta"),-1,1)*C1808)</f>
        <v/>
      </c>
      <c r="U1808" s="20">
        <f>IF(OR(G1808="",AND(I1808&lt;&gt;"Transferencia",I1808&lt;&gt;"Pago tarjeta")),"",IF(IFERROR(INDEX(ctaMon,MATCH(G1808,ctaNom,0))&amp;"","DOP")=N1808,C1808,IF(N1808="USD",C1808*TasaUSD,C1808/TasaUSD)))</f>
        <v/>
      </c>
      <c r="V1808" s="20">
        <f>IF(I1808="","",IF(IFERROR(INDEX(ctaLiq,MATCH(E1808,ctaNom,0))="Sí",FALSE),IF(OR(I1808="Gasto",I1808="Transferencia",I1808="Pago tarjeta"),-1,1)*O1808,0)+IF(AND(U1808&lt;&gt;"",IFERROR(INDEX(ctaLiq,MATCH(G1808,ctaNom,0))="Sí",FALSE)),O1808,0))</f>
        <v/>
      </c>
      <c r="W1808" s="19">
        <f>IF(OR(F1808="",I1808=""),"",IF(COUNTIFS(F$6:F1808,F1808,I$6:I1808,"?*")=1,MAX(W$5:W1807)+1,""))</f>
        <v/>
      </c>
    </row>
    <row r="1809">
      <c r="B1809" s="15" t="n"/>
      <c r="C1809" s="16" t="n"/>
      <c r="D1809" s="17" t="n"/>
      <c r="E1809" s="17" t="n"/>
      <c r="F1809" s="17" t="n"/>
      <c r="G1809" s="17" t="n"/>
      <c r="H1809" s="18">
        <f>IF(AND(B1809="",C1809="",D1809="",E1809=""),"",IF(B1809="","⚠ Falta fecha",IF(C1809="","⚠ Falta monto",IF(D1809="","⚠ Falta categoría",IF(ISNA(MATCH(D1809,catNom,0)),"⚠ Categoría no existe",IF(E1809="","⚠ Falta cuenta",IF(ISNA(MATCH(E1809,ctaNom,0)),"⚠ Cuenta no existe",IF(AND(OR(I1809="Transferencia",I1809="Pago tarjeta"),G1809=""),"⚠ Indica la cuenta «Hacia»",IF(AND(G1809&lt;&gt;"",G1809=E1809),"⚠ «Hacia» igual a la cuenta",IF(AND(G1809&lt;&gt;"",ISNA(MATCH(G1809,ctaNom,0))),"⚠ «Hacia» no existe",IF(AND(I1809="Pago tarjeta",IFERROR(INDEX(ctaTipo,MATCH(G1809,ctaNom,0)),"")&lt;&gt;"Tarjeta de crédito"),"⚠ «Hacia» debe ser la tarjeta",IF(AND(I1809="Trading",IFERROR(INDEX(ctaTipo,MATCH(E1809,ctaNom,0)),"")&lt;&gt;"Cuenta de trading"),"⚠ Usa la cuenta de trading","✓"))))))))))))</f>
        <v/>
      </c>
      <c r="I1809" s="19">
        <f>IF(OR(B1809="",C1809="",D1809=""),"",IFERROR(INDEX(catTipo,MATCH(D1809,catNom,0))&amp;"",""))</f>
        <v/>
      </c>
      <c r="J1809" s="19">
        <f>IF(I1809="","",IFERROR(INDEX(catGrupo,MATCH(D1809,catNom,0))&amp;"",""))</f>
        <v/>
      </c>
      <c r="K1809" s="19">
        <f>IF(I1809="Gasto",IF(IFERROR(INDEX(catClas,MATCH(D1809,catNom,0))&amp;"","")="","Variable",IFERROR(INDEX(catClas,MATCH(D1809,catNom,0))&amp;"","")),"")</f>
        <v/>
      </c>
      <c r="L1809" s="19">
        <f>IF(I1809="","",IFERROR(INDEX(catAlim,MATCH(D1809,catNom,0))&amp;"",""))</f>
        <v/>
      </c>
      <c r="M1809" s="19">
        <f>IF(I1809="","",IFERROR(INDEX(catComida,MATCH(D1809,catNom,0))&amp;"",""))</f>
        <v/>
      </c>
      <c r="N1809" s="19">
        <f>IF(I1809="","",IFERROR(INDEX(ctaMon,MATCH(E1809,ctaNom,0))&amp;"","DOP"))</f>
        <v/>
      </c>
      <c r="O1809" s="20">
        <f>IF(I1809="","",C1809*IF(N1809="USD",TasaUSD,1))</f>
        <v/>
      </c>
      <c r="P1809" s="20">
        <f>IF(I1809="","",IF(I1809="Gasto",O1809,0))</f>
        <v/>
      </c>
      <c r="Q1809" s="20">
        <f>IF(I1809="","",IF(I1809="Ingreso",O1809,0))</f>
        <v/>
      </c>
      <c r="R1809" s="20">
        <f>IF(I1809="","",IF(I1809="Trading",O1809,0))</f>
        <v/>
      </c>
      <c r="S1809" s="19">
        <f>IF(I1809="","",IF(AND(I1809="Gasto",K1809="Variable",J1809&lt;&gt;"Trading",O1809&gt;0,O1809&lt;=Umbral),1,0))</f>
        <v/>
      </c>
      <c r="T1809" s="20">
        <f>IF(OR(I1809="",E1809=""),"",IF(OR(I1809="Gasto",I1809="Transferencia",I1809="Pago tarjeta"),-1,1)*C1809)</f>
        <v/>
      </c>
      <c r="U1809" s="20">
        <f>IF(OR(G1809="",AND(I1809&lt;&gt;"Transferencia",I1809&lt;&gt;"Pago tarjeta")),"",IF(IFERROR(INDEX(ctaMon,MATCH(G1809,ctaNom,0))&amp;"","DOP")=N1809,C1809,IF(N1809="USD",C1809*TasaUSD,C1809/TasaUSD)))</f>
        <v/>
      </c>
      <c r="V1809" s="20">
        <f>IF(I1809="","",IF(IFERROR(INDEX(ctaLiq,MATCH(E1809,ctaNom,0))="Sí",FALSE),IF(OR(I1809="Gasto",I1809="Transferencia",I1809="Pago tarjeta"),-1,1)*O1809,0)+IF(AND(U1809&lt;&gt;"",IFERROR(INDEX(ctaLiq,MATCH(G1809,ctaNom,0))="Sí",FALSE)),O1809,0))</f>
        <v/>
      </c>
      <c r="W1809" s="19">
        <f>IF(OR(F1809="",I1809=""),"",IF(COUNTIFS(F$6:F1809,F1809,I$6:I1809,"?*")=1,MAX(W$5:W1808)+1,""))</f>
        <v/>
      </c>
    </row>
    <row r="1810">
      <c r="B1810" s="15" t="n"/>
      <c r="C1810" s="16" t="n"/>
      <c r="D1810" s="17" t="n"/>
      <c r="E1810" s="17" t="n"/>
      <c r="F1810" s="17" t="n"/>
      <c r="G1810" s="17" t="n"/>
      <c r="H1810" s="18">
        <f>IF(AND(B1810="",C1810="",D1810="",E1810=""),"",IF(B1810="","⚠ Falta fecha",IF(C1810="","⚠ Falta monto",IF(D1810="","⚠ Falta categoría",IF(ISNA(MATCH(D1810,catNom,0)),"⚠ Categoría no existe",IF(E1810="","⚠ Falta cuenta",IF(ISNA(MATCH(E1810,ctaNom,0)),"⚠ Cuenta no existe",IF(AND(OR(I1810="Transferencia",I1810="Pago tarjeta"),G1810=""),"⚠ Indica la cuenta «Hacia»",IF(AND(G1810&lt;&gt;"",G1810=E1810),"⚠ «Hacia» igual a la cuenta",IF(AND(G1810&lt;&gt;"",ISNA(MATCH(G1810,ctaNom,0))),"⚠ «Hacia» no existe",IF(AND(I1810="Pago tarjeta",IFERROR(INDEX(ctaTipo,MATCH(G1810,ctaNom,0)),"")&lt;&gt;"Tarjeta de crédito"),"⚠ «Hacia» debe ser la tarjeta",IF(AND(I1810="Trading",IFERROR(INDEX(ctaTipo,MATCH(E1810,ctaNom,0)),"")&lt;&gt;"Cuenta de trading"),"⚠ Usa la cuenta de trading","✓"))))))))))))</f>
        <v/>
      </c>
      <c r="I1810" s="19">
        <f>IF(OR(B1810="",C1810="",D1810=""),"",IFERROR(INDEX(catTipo,MATCH(D1810,catNom,0))&amp;"",""))</f>
        <v/>
      </c>
      <c r="J1810" s="19">
        <f>IF(I1810="","",IFERROR(INDEX(catGrupo,MATCH(D1810,catNom,0))&amp;"",""))</f>
        <v/>
      </c>
      <c r="K1810" s="19">
        <f>IF(I1810="Gasto",IF(IFERROR(INDEX(catClas,MATCH(D1810,catNom,0))&amp;"","")="","Variable",IFERROR(INDEX(catClas,MATCH(D1810,catNom,0))&amp;"","")),"")</f>
        <v/>
      </c>
      <c r="L1810" s="19">
        <f>IF(I1810="","",IFERROR(INDEX(catAlim,MATCH(D1810,catNom,0))&amp;"",""))</f>
        <v/>
      </c>
      <c r="M1810" s="19">
        <f>IF(I1810="","",IFERROR(INDEX(catComida,MATCH(D1810,catNom,0))&amp;"",""))</f>
        <v/>
      </c>
      <c r="N1810" s="19">
        <f>IF(I1810="","",IFERROR(INDEX(ctaMon,MATCH(E1810,ctaNom,0))&amp;"","DOP"))</f>
        <v/>
      </c>
      <c r="O1810" s="20">
        <f>IF(I1810="","",C1810*IF(N1810="USD",TasaUSD,1))</f>
        <v/>
      </c>
      <c r="P1810" s="20">
        <f>IF(I1810="","",IF(I1810="Gasto",O1810,0))</f>
        <v/>
      </c>
      <c r="Q1810" s="20">
        <f>IF(I1810="","",IF(I1810="Ingreso",O1810,0))</f>
        <v/>
      </c>
      <c r="R1810" s="20">
        <f>IF(I1810="","",IF(I1810="Trading",O1810,0))</f>
        <v/>
      </c>
      <c r="S1810" s="19">
        <f>IF(I1810="","",IF(AND(I1810="Gasto",K1810="Variable",J1810&lt;&gt;"Trading",O1810&gt;0,O1810&lt;=Umbral),1,0))</f>
        <v/>
      </c>
      <c r="T1810" s="20">
        <f>IF(OR(I1810="",E1810=""),"",IF(OR(I1810="Gasto",I1810="Transferencia",I1810="Pago tarjeta"),-1,1)*C1810)</f>
        <v/>
      </c>
      <c r="U1810" s="20">
        <f>IF(OR(G1810="",AND(I1810&lt;&gt;"Transferencia",I1810&lt;&gt;"Pago tarjeta")),"",IF(IFERROR(INDEX(ctaMon,MATCH(G1810,ctaNom,0))&amp;"","DOP")=N1810,C1810,IF(N1810="USD",C1810*TasaUSD,C1810/TasaUSD)))</f>
        <v/>
      </c>
      <c r="V1810" s="20">
        <f>IF(I1810="","",IF(IFERROR(INDEX(ctaLiq,MATCH(E1810,ctaNom,0))="Sí",FALSE),IF(OR(I1810="Gasto",I1810="Transferencia",I1810="Pago tarjeta"),-1,1)*O1810,0)+IF(AND(U1810&lt;&gt;"",IFERROR(INDEX(ctaLiq,MATCH(G1810,ctaNom,0))="Sí",FALSE)),O1810,0))</f>
        <v/>
      </c>
      <c r="W1810" s="19">
        <f>IF(OR(F1810="",I1810=""),"",IF(COUNTIFS(F$6:F1810,F1810,I$6:I1810,"?*")=1,MAX(W$5:W1809)+1,""))</f>
        <v/>
      </c>
    </row>
    <row r="1811">
      <c r="B1811" s="15" t="n"/>
      <c r="C1811" s="16" t="n"/>
      <c r="D1811" s="17" t="n"/>
      <c r="E1811" s="17" t="n"/>
      <c r="F1811" s="17" t="n"/>
      <c r="G1811" s="17" t="n"/>
      <c r="H1811" s="18">
        <f>IF(AND(B1811="",C1811="",D1811="",E1811=""),"",IF(B1811="","⚠ Falta fecha",IF(C1811="","⚠ Falta monto",IF(D1811="","⚠ Falta categoría",IF(ISNA(MATCH(D1811,catNom,0)),"⚠ Categoría no existe",IF(E1811="","⚠ Falta cuenta",IF(ISNA(MATCH(E1811,ctaNom,0)),"⚠ Cuenta no existe",IF(AND(OR(I1811="Transferencia",I1811="Pago tarjeta"),G1811=""),"⚠ Indica la cuenta «Hacia»",IF(AND(G1811&lt;&gt;"",G1811=E1811),"⚠ «Hacia» igual a la cuenta",IF(AND(G1811&lt;&gt;"",ISNA(MATCH(G1811,ctaNom,0))),"⚠ «Hacia» no existe",IF(AND(I1811="Pago tarjeta",IFERROR(INDEX(ctaTipo,MATCH(G1811,ctaNom,0)),"")&lt;&gt;"Tarjeta de crédito"),"⚠ «Hacia» debe ser la tarjeta",IF(AND(I1811="Trading",IFERROR(INDEX(ctaTipo,MATCH(E1811,ctaNom,0)),"")&lt;&gt;"Cuenta de trading"),"⚠ Usa la cuenta de trading","✓"))))))))))))</f>
        <v/>
      </c>
      <c r="I1811" s="19">
        <f>IF(OR(B1811="",C1811="",D1811=""),"",IFERROR(INDEX(catTipo,MATCH(D1811,catNom,0))&amp;"",""))</f>
        <v/>
      </c>
      <c r="J1811" s="19">
        <f>IF(I1811="","",IFERROR(INDEX(catGrupo,MATCH(D1811,catNom,0))&amp;"",""))</f>
        <v/>
      </c>
      <c r="K1811" s="19">
        <f>IF(I1811="Gasto",IF(IFERROR(INDEX(catClas,MATCH(D1811,catNom,0))&amp;"","")="","Variable",IFERROR(INDEX(catClas,MATCH(D1811,catNom,0))&amp;"","")),"")</f>
        <v/>
      </c>
      <c r="L1811" s="19">
        <f>IF(I1811="","",IFERROR(INDEX(catAlim,MATCH(D1811,catNom,0))&amp;"",""))</f>
        <v/>
      </c>
      <c r="M1811" s="19">
        <f>IF(I1811="","",IFERROR(INDEX(catComida,MATCH(D1811,catNom,0))&amp;"",""))</f>
        <v/>
      </c>
      <c r="N1811" s="19">
        <f>IF(I1811="","",IFERROR(INDEX(ctaMon,MATCH(E1811,ctaNom,0))&amp;"","DOP"))</f>
        <v/>
      </c>
      <c r="O1811" s="20">
        <f>IF(I1811="","",C1811*IF(N1811="USD",TasaUSD,1))</f>
        <v/>
      </c>
      <c r="P1811" s="20">
        <f>IF(I1811="","",IF(I1811="Gasto",O1811,0))</f>
        <v/>
      </c>
      <c r="Q1811" s="20">
        <f>IF(I1811="","",IF(I1811="Ingreso",O1811,0))</f>
        <v/>
      </c>
      <c r="R1811" s="20">
        <f>IF(I1811="","",IF(I1811="Trading",O1811,0))</f>
        <v/>
      </c>
      <c r="S1811" s="19">
        <f>IF(I1811="","",IF(AND(I1811="Gasto",K1811="Variable",J1811&lt;&gt;"Trading",O1811&gt;0,O1811&lt;=Umbral),1,0))</f>
        <v/>
      </c>
      <c r="T1811" s="20">
        <f>IF(OR(I1811="",E1811=""),"",IF(OR(I1811="Gasto",I1811="Transferencia",I1811="Pago tarjeta"),-1,1)*C1811)</f>
        <v/>
      </c>
      <c r="U1811" s="20">
        <f>IF(OR(G1811="",AND(I1811&lt;&gt;"Transferencia",I1811&lt;&gt;"Pago tarjeta")),"",IF(IFERROR(INDEX(ctaMon,MATCH(G1811,ctaNom,0))&amp;"","DOP")=N1811,C1811,IF(N1811="USD",C1811*TasaUSD,C1811/TasaUSD)))</f>
        <v/>
      </c>
      <c r="V1811" s="20">
        <f>IF(I1811="","",IF(IFERROR(INDEX(ctaLiq,MATCH(E1811,ctaNom,0))="Sí",FALSE),IF(OR(I1811="Gasto",I1811="Transferencia",I1811="Pago tarjeta"),-1,1)*O1811,0)+IF(AND(U1811&lt;&gt;"",IFERROR(INDEX(ctaLiq,MATCH(G1811,ctaNom,0))="Sí",FALSE)),O1811,0))</f>
        <v/>
      </c>
      <c r="W1811" s="19">
        <f>IF(OR(F1811="",I1811=""),"",IF(COUNTIFS(F$6:F1811,F1811,I$6:I1811,"?*")=1,MAX(W$5:W1810)+1,""))</f>
        <v/>
      </c>
    </row>
    <row r="1812">
      <c r="B1812" s="15" t="n"/>
      <c r="C1812" s="16" t="n"/>
      <c r="D1812" s="17" t="n"/>
      <c r="E1812" s="17" t="n"/>
      <c r="F1812" s="17" t="n"/>
      <c r="G1812" s="17" t="n"/>
      <c r="H1812" s="18">
        <f>IF(AND(B1812="",C1812="",D1812="",E1812=""),"",IF(B1812="","⚠ Falta fecha",IF(C1812="","⚠ Falta monto",IF(D1812="","⚠ Falta categoría",IF(ISNA(MATCH(D1812,catNom,0)),"⚠ Categoría no existe",IF(E1812="","⚠ Falta cuenta",IF(ISNA(MATCH(E1812,ctaNom,0)),"⚠ Cuenta no existe",IF(AND(OR(I1812="Transferencia",I1812="Pago tarjeta"),G1812=""),"⚠ Indica la cuenta «Hacia»",IF(AND(G1812&lt;&gt;"",G1812=E1812),"⚠ «Hacia» igual a la cuenta",IF(AND(G1812&lt;&gt;"",ISNA(MATCH(G1812,ctaNom,0))),"⚠ «Hacia» no existe",IF(AND(I1812="Pago tarjeta",IFERROR(INDEX(ctaTipo,MATCH(G1812,ctaNom,0)),"")&lt;&gt;"Tarjeta de crédito"),"⚠ «Hacia» debe ser la tarjeta",IF(AND(I1812="Trading",IFERROR(INDEX(ctaTipo,MATCH(E1812,ctaNom,0)),"")&lt;&gt;"Cuenta de trading"),"⚠ Usa la cuenta de trading","✓"))))))))))))</f>
        <v/>
      </c>
      <c r="I1812" s="19">
        <f>IF(OR(B1812="",C1812="",D1812=""),"",IFERROR(INDEX(catTipo,MATCH(D1812,catNom,0))&amp;"",""))</f>
        <v/>
      </c>
      <c r="J1812" s="19">
        <f>IF(I1812="","",IFERROR(INDEX(catGrupo,MATCH(D1812,catNom,0))&amp;"",""))</f>
        <v/>
      </c>
      <c r="K1812" s="19">
        <f>IF(I1812="Gasto",IF(IFERROR(INDEX(catClas,MATCH(D1812,catNom,0))&amp;"","")="","Variable",IFERROR(INDEX(catClas,MATCH(D1812,catNom,0))&amp;"","")),"")</f>
        <v/>
      </c>
      <c r="L1812" s="19">
        <f>IF(I1812="","",IFERROR(INDEX(catAlim,MATCH(D1812,catNom,0))&amp;"",""))</f>
        <v/>
      </c>
      <c r="M1812" s="19">
        <f>IF(I1812="","",IFERROR(INDEX(catComida,MATCH(D1812,catNom,0))&amp;"",""))</f>
        <v/>
      </c>
      <c r="N1812" s="19">
        <f>IF(I1812="","",IFERROR(INDEX(ctaMon,MATCH(E1812,ctaNom,0))&amp;"","DOP"))</f>
        <v/>
      </c>
      <c r="O1812" s="20">
        <f>IF(I1812="","",C1812*IF(N1812="USD",TasaUSD,1))</f>
        <v/>
      </c>
      <c r="P1812" s="20">
        <f>IF(I1812="","",IF(I1812="Gasto",O1812,0))</f>
        <v/>
      </c>
      <c r="Q1812" s="20">
        <f>IF(I1812="","",IF(I1812="Ingreso",O1812,0))</f>
        <v/>
      </c>
      <c r="R1812" s="20">
        <f>IF(I1812="","",IF(I1812="Trading",O1812,0))</f>
        <v/>
      </c>
      <c r="S1812" s="19">
        <f>IF(I1812="","",IF(AND(I1812="Gasto",K1812="Variable",J1812&lt;&gt;"Trading",O1812&gt;0,O1812&lt;=Umbral),1,0))</f>
        <v/>
      </c>
      <c r="T1812" s="20">
        <f>IF(OR(I1812="",E1812=""),"",IF(OR(I1812="Gasto",I1812="Transferencia",I1812="Pago tarjeta"),-1,1)*C1812)</f>
        <v/>
      </c>
      <c r="U1812" s="20">
        <f>IF(OR(G1812="",AND(I1812&lt;&gt;"Transferencia",I1812&lt;&gt;"Pago tarjeta")),"",IF(IFERROR(INDEX(ctaMon,MATCH(G1812,ctaNom,0))&amp;"","DOP")=N1812,C1812,IF(N1812="USD",C1812*TasaUSD,C1812/TasaUSD)))</f>
        <v/>
      </c>
      <c r="V1812" s="20">
        <f>IF(I1812="","",IF(IFERROR(INDEX(ctaLiq,MATCH(E1812,ctaNom,0))="Sí",FALSE),IF(OR(I1812="Gasto",I1812="Transferencia",I1812="Pago tarjeta"),-1,1)*O1812,0)+IF(AND(U1812&lt;&gt;"",IFERROR(INDEX(ctaLiq,MATCH(G1812,ctaNom,0))="Sí",FALSE)),O1812,0))</f>
        <v/>
      </c>
      <c r="W1812" s="19">
        <f>IF(OR(F1812="",I1812=""),"",IF(COUNTIFS(F$6:F1812,F1812,I$6:I1812,"?*")=1,MAX(W$5:W1811)+1,""))</f>
        <v/>
      </c>
    </row>
    <row r="1813">
      <c r="B1813" s="15" t="n"/>
      <c r="C1813" s="16" t="n"/>
      <c r="D1813" s="17" t="n"/>
      <c r="E1813" s="17" t="n"/>
      <c r="F1813" s="17" t="n"/>
      <c r="G1813" s="17" t="n"/>
      <c r="H1813" s="18">
        <f>IF(AND(B1813="",C1813="",D1813="",E1813=""),"",IF(B1813="","⚠ Falta fecha",IF(C1813="","⚠ Falta monto",IF(D1813="","⚠ Falta categoría",IF(ISNA(MATCH(D1813,catNom,0)),"⚠ Categoría no existe",IF(E1813="","⚠ Falta cuenta",IF(ISNA(MATCH(E1813,ctaNom,0)),"⚠ Cuenta no existe",IF(AND(OR(I1813="Transferencia",I1813="Pago tarjeta"),G1813=""),"⚠ Indica la cuenta «Hacia»",IF(AND(G1813&lt;&gt;"",G1813=E1813),"⚠ «Hacia» igual a la cuenta",IF(AND(G1813&lt;&gt;"",ISNA(MATCH(G1813,ctaNom,0))),"⚠ «Hacia» no existe",IF(AND(I1813="Pago tarjeta",IFERROR(INDEX(ctaTipo,MATCH(G1813,ctaNom,0)),"")&lt;&gt;"Tarjeta de crédito"),"⚠ «Hacia» debe ser la tarjeta",IF(AND(I1813="Trading",IFERROR(INDEX(ctaTipo,MATCH(E1813,ctaNom,0)),"")&lt;&gt;"Cuenta de trading"),"⚠ Usa la cuenta de trading","✓"))))))))))))</f>
        <v/>
      </c>
      <c r="I1813" s="19">
        <f>IF(OR(B1813="",C1813="",D1813=""),"",IFERROR(INDEX(catTipo,MATCH(D1813,catNom,0))&amp;"",""))</f>
        <v/>
      </c>
      <c r="J1813" s="19">
        <f>IF(I1813="","",IFERROR(INDEX(catGrupo,MATCH(D1813,catNom,0))&amp;"",""))</f>
        <v/>
      </c>
      <c r="K1813" s="19">
        <f>IF(I1813="Gasto",IF(IFERROR(INDEX(catClas,MATCH(D1813,catNom,0))&amp;"","")="","Variable",IFERROR(INDEX(catClas,MATCH(D1813,catNom,0))&amp;"","")),"")</f>
        <v/>
      </c>
      <c r="L1813" s="19">
        <f>IF(I1813="","",IFERROR(INDEX(catAlim,MATCH(D1813,catNom,0))&amp;"",""))</f>
        <v/>
      </c>
      <c r="M1813" s="19">
        <f>IF(I1813="","",IFERROR(INDEX(catComida,MATCH(D1813,catNom,0))&amp;"",""))</f>
        <v/>
      </c>
      <c r="N1813" s="19">
        <f>IF(I1813="","",IFERROR(INDEX(ctaMon,MATCH(E1813,ctaNom,0))&amp;"","DOP"))</f>
        <v/>
      </c>
      <c r="O1813" s="20">
        <f>IF(I1813="","",C1813*IF(N1813="USD",TasaUSD,1))</f>
        <v/>
      </c>
      <c r="P1813" s="20">
        <f>IF(I1813="","",IF(I1813="Gasto",O1813,0))</f>
        <v/>
      </c>
      <c r="Q1813" s="20">
        <f>IF(I1813="","",IF(I1813="Ingreso",O1813,0))</f>
        <v/>
      </c>
      <c r="R1813" s="20">
        <f>IF(I1813="","",IF(I1813="Trading",O1813,0))</f>
        <v/>
      </c>
      <c r="S1813" s="19">
        <f>IF(I1813="","",IF(AND(I1813="Gasto",K1813="Variable",J1813&lt;&gt;"Trading",O1813&gt;0,O1813&lt;=Umbral),1,0))</f>
        <v/>
      </c>
      <c r="T1813" s="20">
        <f>IF(OR(I1813="",E1813=""),"",IF(OR(I1813="Gasto",I1813="Transferencia",I1813="Pago tarjeta"),-1,1)*C1813)</f>
        <v/>
      </c>
      <c r="U1813" s="20">
        <f>IF(OR(G1813="",AND(I1813&lt;&gt;"Transferencia",I1813&lt;&gt;"Pago tarjeta")),"",IF(IFERROR(INDEX(ctaMon,MATCH(G1813,ctaNom,0))&amp;"","DOP")=N1813,C1813,IF(N1813="USD",C1813*TasaUSD,C1813/TasaUSD)))</f>
        <v/>
      </c>
      <c r="V1813" s="20">
        <f>IF(I1813="","",IF(IFERROR(INDEX(ctaLiq,MATCH(E1813,ctaNom,0))="Sí",FALSE),IF(OR(I1813="Gasto",I1813="Transferencia",I1813="Pago tarjeta"),-1,1)*O1813,0)+IF(AND(U1813&lt;&gt;"",IFERROR(INDEX(ctaLiq,MATCH(G1813,ctaNom,0))="Sí",FALSE)),O1813,0))</f>
        <v/>
      </c>
      <c r="W1813" s="19">
        <f>IF(OR(F1813="",I1813=""),"",IF(COUNTIFS(F$6:F1813,F1813,I$6:I1813,"?*")=1,MAX(W$5:W1812)+1,""))</f>
        <v/>
      </c>
    </row>
    <row r="1814">
      <c r="B1814" s="15" t="n"/>
      <c r="C1814" s="16" t="n"/>
      <c r="D1814" s="17" t="n"/>
      <c r="E1814" s="17" t="n"/>
      <c r="F1814" s="17" t="n"/>
      <c r="G1814" s="17" t="n"/>
      <c r="H1814" s="18">
        <f>IF(AND(B1814="",C1814="",D1814="",E1814=""),"",IF(B1814="","⚠ Falta fecha",IF(C1814="","⚠ Falta monto",IF(D1814="","⚠ Falta categoría",IF(ISNA(MATCH(D1814,catNom,0)),"⚠ Categoría no existe",IF(E1814="","⚠ Falta cuenta",IF(ISNA(MATCH(E1814,ctaNom,0)),"⚠ Cuenta no existe",IF(AND(OR(I1814="Transferencia",I1814="Pago tarjeta"),G1814=""),"⚠ Indica la cuenta «Hacia»",IF(AND(G1814&lt;&gt;"",G1814=E1814),"⚠ «Hacia» igual a la cuenta",IF(AND(G1814&lt;&gt;"",ISNA(MATCH(G1814,ctaNom,0))),"⚠ «Hacia» no existe",IF(AND(I1814="Pago tarjeta",IFERROR(INDEX(ctaTipo,MATCH(G1814,ctaNom,0)),"")&lt;&gt;"Tarjeta de crédito"),"⚠ «Hacia» debe ser la tarjeta",IF(AND(I1814="Trading",IFERROR(INDEX(ctaTipo,MATCH(E1814,ctaNom,0)),"")&lt;&gt;"Cuenta de trading"),"⚠ Usa la cuenta de trading","✓"))))))))))))</f>
        <v/>
      </c>
      <c r="I1814" s="19">
        <f>IF(OR(B1814="",C1814="",D1814=""),"",IFERROR(INDEX(catTipo,MATCH(D1814,catNom,0))&amp;"",""))</f>
        <v/>
      </c>
      <c r="J1814" s="19">
        <f>IF(I1814="","",IFERROR(INDEX(catGrupo,MATCH(D1814,catNom,0))&amp;"",""))</f>
        <v/>
      </c>
      <c r="K1814" s="19">
        <f>IF(I1814="Gasto",IF(IFERROR(INDEX(catClas,MATCH(D1814,catNom,0))&amp;"","")="","Variable",IFERROR(INDEX(catClas,MATCH(D1814,catNom,0))&amp;"","")),"")</f>
        <v/>
      </c>
      <c r="L1814" s="19">
        <f>IF(I1814="","",IFERROR(INDEX(catAlim,MATCH(D1814,catNom,0))&amp;"",""))</f>
        <v/>
      </c>
      <c r="M1814" s="19">
        <f>IF(I1814="","",IFERROR(INDEX(catComida,MATCH(D1814,catNom,0))&amp;"",""))</f>
        <v/>
      </c>
      <c r="N1814" s="19">
        <f>IF(I1814="","",IFERROR(INDEX(ctaMon,MATCH(E1814,ctaNom,0))&amp;"","DOP"))</f>
        <v/>
      </c>
      <c r="O1814" s="20">
        <f>IF(I1814="","",C1814*IF(N1814="USD",TasaUSD,1))</f>
        <v/>
      </c>
      <c r="P1814" s="20">
        <f>IF(I1814="","",IF(I1814="Gasto",O1814,0))</f>
        <v/>
      </c>
      <c r="Q1814" s="20">
        <f>IF(I1814="","",IF(I1814="Ingreso",O1814,0))</f>
        <v/>
      </c>
      <c r="R1814" s="20">
        <f>IF(I1814="","",IF(I1814="Trading",O1814,0))</f>
        <v/>
      </c>
      <c r="S1814" s="19">
        <f>IF(I1814="","",IF(AND(I1814="Gasto",K1814="Variable",J1814&lt;&gt;"Trading",O1814&gt;0,O1814&lt;=Umbral),1,0))</f>
        <v/>
      </c>
      <c r="T1814" s="20">
        <f>IF(OR(I1814="",E1814=""),"",IF(OR(I1814="Gasto",I1814="Transferencia",I1814="Pago tarjeta"),-1,1)*C1814)</f>
        <v/>
      </c>
      <c r="U1814" s="20">
        <f>IF(OR(G1814="",AND(I1814&lt;&gt;"Transferencia",I1814&lt;&gt;"Pago tarjeta")),"",IF(IFERROR(INDEX(ctaMon,MATCH(G1814,ctaNom,0))&amp;"","DOP")=N1814,C1814,IF(N1814="USD",C1814*TasaUSD,C1814/TasaUSD)))</f>
        <v/>
      </c>
      <c r="V1814" s="20">
        <f>IF(I1814="","",IF(IFERROR(INDEX(ctaLiq,MATCH(E1814,ctaNom,0))="Sí",FALSE),IF(OR(I1814="Gasto",I1814="Transferencia",I1814="Pago tarjeta"),-1,1)*O1814,0)+IF(AND(U1814&lt;&gt;"",IFERROR(INDEX(ctaLiq,MATCH(G1814,ctaNom,0))="Sí",FALSE)),O1814,0))</f>
        <v/>
      </c>
      <c r="W1814" s="19">
        <f>IF(OR(F1814="",I1814=""),"",IF(COUNTIFS(F$6:F1814,F1814,I$6:I1814,"?*")=1,MAX(W$5:W1813)+1,""))</f>
        <v/>
      </c>
    </row>
    <row r="1815">
      <c r="B1815" s="15" t="n"/>
      <c r="C1815" s="16" t="n"/>
      <c r="D1815" s="17" t="n"/>
      <c r="E1815" s="17" t="n"/>
      <c r="F1815" s="17" t="n"/>
      <c r="G1815" s="17" t="n"/>
      <c r="H1815" s="18">
        <f>IF(AND(B1815="",C1815="",D1815="",E1815=""),"",IF(B1815="","⚠ Falta fecha",IF(C1815="","⚠ Falta monto",IF(D1815="","⚠ Falta categoría",IF(ISNA(MATCH(D1815,catNom,0)),"⚠ Categoría no existe",IF(E1815="","⚠ Falta cuenta",IF(ISNA(MATCH(E1815,ctaNom,0)),"⚠ Cuenta no existe",IF(AND(OR(I1815="Transferencia",I1815="Pago tarjeta"),G1815=""),"⚠ Indica la cuenta «Hacia»",IF(AND(G1815&lt;&gt;"",G1815=E1815),"⚠ «Hacia» igual a la cuenta",IF(AND(G1815&lt;&gt;"",ISNA(MATCH(G1815,ctaNom,0))),"⚠ «Hacia» no existe",IF(AND(I1815="Pago tarjeta",IFERROR(INDEX(ctaTipo,MATCH(G1815,ctaNom,0)),"")&lt;&gt;"Tarjeta de crédito"),"⚠ «Hacia» debe ser la tarjeta",IF(AND(I1815="Trading",IFERROR(INDEX(ctaTipo,MATCH(E1815,ctaNom,0)),"")&lt;&gt;"Cuenta de trading"),"⚠ Usa la cuenta de trading","✓"))))))))))))</f>
        <v/>
      </c>
      <c r="I1815" s="19">
        <f>IF(OR(B1815="",C1815="",D1815=""),"",IFERROR(INDEX(catTipo,MATCH(D1815,catNom,0))&amp;"",""))</f>
        <v/>
      </c>
      <c r="J1815" s="19">
        <f>IF(I1815="","",IFERROR(INDEX(catGrupo,MATCH(D1815,catNom,0))&amp;"",""))</f>
        <v/>
      </c>
      <c r="K1815" s="19">
        <f>IF(I1815="Gasto",IF(IFERROR(INDEX(catClas,MATCH(D1815,catNom,0))&amp;"","")="","Variable",IFERROR(INDEX(catClas,MATCH(D1815,catNom,0))&amp;"","")),"")</f>
        <v/>
      </c>
      <c r="L1815" s="19">
        <f>IF(I1815="","",IFERROR(INDEX(catAlim,MATCH(D1815,catNom,0))&amp;"",""))</f>
        <v/>
      </c>
      <c r="M1815" s="19">
        <f>IF(I1815="","",IFERROR(INDEX(catComida,MATCH(D1815,catNom,0))&amp;"",""))</f>
        <v/>
      </c>
      <c r="N1815" s="19">
        <f>IF(I1815="","",IFERROR(INDEX(ctaMon,MATCH(E1815,ctaNom,0))&amp;"","DOP"))</f>
        <v/>
      </c>
      <c r="O1815" s="20">
        <f>IF(I1815="","",C1815*IF(N1815="USD",TasaUSD,1))</f>
        <v/>
      </c>
      <c r="P1815" s="20">
        <f>IF(I1815="","",IF(I1815="Gasto",O1815,0))</f>
        <v/>
      </c>
      <c r="Q1815" s="20">
        <f>IF(I1815="","",IF(I1815="Ingreso",O1815,0))</f>
        <v/>
      </c>
      <c r="R1815" s="20">
        <f>IF(I1815="","",IF(I1815="Trading",O1815,0))</f>
        <v/>
      </c>
      <c r="S1815" s="19">
        <f>IF(I1815="","",IF(AND(I1815="Gasto",K1815="Variable",J1815&lt;&gt;"Trading",O1815&gt;0,O1815&lt;=Umbral),1,0))</f>
        <v/>
      </c>
      <c r="T1815" s="20">
        <f>IF(OR(I1815="",E1815=""),"",IF(OR(I1815="Gasto",I1815="Transferencia",I1815="Pago tarjeta"),-1,1)*C1815)</f>
        <v/>
      </c>
      <c r="U1815" s="20">
        <f>IF(OR(G1815="",AND(I1815&lt;&gt;"Transferencia",I1815&lt;&gt;"Pago tarjeta")),"",IF(IFERROR(INDEX(ctaMon,MATCH(G1815,ctaNom,0))&amp;"","DOP")=N1815,C1815,IF(N1815="USD",C1815*TasaUSD,C1815/TasaUSD)))</f>
        <v/>
      </c>
      <c r="V1815" s="20">
        <f>IF(I1815="","",IF(IFERROR(INDEX(ctaLiq,MATCH(E1815,ctaNom,0))="Sí",FALSE),IF(OR(I1815="Gasto",I1815="Transferencia",I1815="Pago tarjeta"),-1,1)*O1815,0)+IF(AND(U1815&lt;&gt;"",IFERROR(INDEX(ctaLiq,MATCH(G1815,ctaNom,0))="Sí",FALSE)),O1815,0))</f>
        <v/>
      </c>
      <c r="W1815" s="19">
        <f>IF(OR(F1815="",I1815=""),"",IF(COUNTIFS(F$6:F1815,F1815,I$6:I1815,"?*")=1,MAX(W$5:W1814)+1,""))</f>
        <v/>
      </c>
    </row>
    <row r="1816">
      <c r="B1816" s="15" t="n"/>
      <c r="C1816" s="16" t="n"/>
      <c r="D1816" s="17" t="n"/>
      <c r="E1816" s="17" t="n"/>
      <c r="F1816" s="17" t="n"/>
      <c r="G1816" s="17" t="n"/>
      <c r="H1816" s="18">
        <f>IF(AND(B1816="",C1816="",D1816="",E1816=""),"",IF(B1816="","⚠ Falta fecha",IF(C1816="","⚠ Falta monto",IF(D1816="","⚠ Falta categoría",IF(ISNA(MATCH(D1816,catNom,0)),"⚠ Categoría no existe",IF(E1816="","⚠ Falta cuenta",IF(ISNA(MATCH(E1816,ctaNom,0)),"⚠ Cuenta no existe",IF(AND(OR(I1816="Transferencia",I1816="Pago tarjeta"),G1816=""),"⚠ Indica la cuenta «Hacia»",IF(AND(G1816&lt;&gt;"",G1816=E1816),"⚠ «Hacia» igual a la cuenta",IF(AND(G1816&lt;&gt;"",ISNA(MATCH(G1816,ctaNom,0))),"⚠ «Hacia» no existe",IF(AND(I1816="Pago tarjeta",IFERROR(INDEX(ctaTipo,MATCH(G1816,ctaNom,0)),"")&lt;&gt;"Tarjeta de crédito"),"⚠ «Hacia» debe ser la tarjeta",IF(AND(I1816="Trading",IFERROR(INDEX(ctaTipo,MATCH(E1816,ctaNom,0)),"")&lt;&gt;"Cuenta de trading"),"⚠ Usa la cuenta de trading","✓"))))))))))))</f>
        <v/>
      </c>
      <c r="I1816" s="19">
        <f>IF(OR(B1816="",C1816="",D1816=""),"",IFERROR(INDEX(catTipo,MATCH(D1816,catNom,0))&amp;"",""))</f>
        <v/>
      </c>
      <c r="J1816" s="19">
        <f>IF(I1816="","",IFERROR(INDEX(catGrupo,MATCH(D1816,catNom,0))&amp;"",""))</f>
        <v/>
      </c>
      <c r="K1816" s="19">
        <f>IF(I1816="Gasto",IF(IFERROR(INDEX(catClas,MATCH(D1816,catNom,0))&amp;"","")="","Variable",IFERROR(INDEX(catClas,MATCH(D1816,catNom,0))&amp;"","")),"")</f>
        <v/>
      </c>
      <c r="L1816" s="19">
        <f>IF(I1816="","",IFERROR(INDEX(catAlim,MATCH(D1816,catNom,0))&amp;"",""))</f>
        <v/>
      </c>
      <c r="M1816" s="19">
        <f>IF(I1816="","",IFERROR(INDEX(catComida,MATCH(D1816,catNom,0))&amp;"",""))</f>
        <v/>
      </c>
      <c r="N1816" s="19">
        <f>IF(I1816="","",IFERROR(INDEX(ctaMon,MATCH(E1816,ctaNom,0))&amp;"","DOP"))</f>
        <v/>
      </c>
      <c r="O1816" s="20">
        <f>IF(I1816="","",C1816*IF(N1816="USD",TasaUSD,1))</f>
        <v/>
      </c>
      <c r="P1816" s="20">
        <f>IF(I1816="","",IF(I1816="Gasto",O1816,0))</f>
        <v/>
      </c>
      <c r="Q1816" s="20">
        <f>IF(I1816="","",IF(I1816="Ingreso",O1816,0))</f>
        <v/>
      </c>
      <c r="R1816" s="20">
        <f>IF(I1816="","",IF(I1816="Trading",O1816,0))</f>
        <v/>
      </c>
      <c r="S1816" s="19">
        <f>IF(I1816="","",IF(AND(I1816="Gasto",K1816="Variable",J1816&lt;&gt;"Trading",O1816&gt;0,O1816&lt;=Umbral),1,0))</f>
        <v/>
      </c>
      <c r="T1816" s="20">
        <f>IF(OR(I1816="",E1816=""),"",IF(OR(I1816="Gasto",I1816="Transferencia",I1816="Pago tarjeta"),-1,1)*C1816)</f>
        <v/>
      </c>
      <c r="U1816" s="20">
        <f>IF(OR(G1816="",AND(I1816&lt;&gt;"Transferencia",I1816&lt;&gt;"Pago tarjeta")),"",IF(IFERROR(INDEX(ctaMon,MATCH(G1816,ctaNom,0))&amp;"","DOP")=N1816,C1816,IF(N1816="USD",C1816*TasaUSD,C1816/TasaUSD)))</f>
        <v/>
      </c>
      <c r="V1816" s="20">
        <f>IF(I1816="","",IF(IFERROR(INDEX(ctaLiq,MATCH(E1816,ctaNom,0))="Sí",FALSE),IF(OR(I1816="Gasto",I1816="Transferencia",I1816="Pago tarjeta"),-1,1)*O1816,0)+IF(AND(U1816&lt;&gt;"",IFERROR(INDEX(ctaLiq,MATCH(G1816,ctaNom,0))="Sí",FALSE)),O1816,0))</f>
        <v/>
      </c>
      <c r="W1816" s="19">
        <f>IF(OR(F1816="",I1816=""),"",IF(COUNTIFS(F$6:F1816,F1816,I$6:I1816,"?*")=1,MAX(W$5:W1815)+1,""))</f>
        <v/>
      </c>
    </row>
    <row r="1817">
      <c r="B1817" s="15" t="n"/>
      <c r="C1817" s="16" t="n"/>
      <c r="D1817" s="17" t="n"/>
      <c r="E1817" s="17" t="n"/>
      <c r="F1817" s="17" t="n"/>
      <c r="G1817" s="17" t="n"/>
      <c r="H1817" s="18">
        <f>IF(AND(B1817="",C1817="",D1817="",E1817=""),"",IF(B1817="","⚠ Falta fecha",IF(C1817="","⚠ Falta monto",IF(D1817="","⚠ Falta categoría",IF(ISNA(MATCH(D1817,catNom,0)),"⚠ Categoría no existe",IF(E1817="","⚠ Falta cuenta",IF(ISNA(MATCH(E1817,ctaNom,0)),"⚠ Cuenta no existe",IF(AND(OR(I1817="Transferencia",I1817="Pago tarjeta"),G1817=""),"⚠ Indica la cuenta «Hacia»",IF(AND(G1817&lt;&gt;"",G1817=E1817),"⚠ «Hacia» igual a la cuenta",IF(AND(G1817&lt;&gt;"",ISNA(MATCH(G1817,ctaNom,0))),"⚠ «Hacia» no existe",IF(AND(I1817="Pago tarjeta",IFERROR(INDEX(ctaTipo,MATCH(G1817,ctaNom,0)),"")&lt;&gt;"Tarjeta de crédito"),"⚠ «Hacia» debe ser la tarjeta",IF(AND(I1817="Trading",IFERROR(INDEX(ctaTipo,MATCH(E1817,ctaNom,0)),"")&lt;&gt;"Cuenta de trading"),"⚠ Usa la cuenta de trading","✓"))))))))))))</f>
        <v/>
      </c>
      <c r="I1817" s="19">
        <f>IF(OR(B1817="",C1817="",D1817=""),"",IFERROR(INDEX(catTipo,MATCH(D1817,catNom,0))&amp;"",""))</f>
        <v/>
      </c>
      <c r="J1817" s="19">
        <f>IF(I1817="","",IFERROR(INDEX(catGrupo,MATCH(D1817,catNom,0))&amp;"",""))</f>
        <v/>
      </c>
      <c r="K1817" s="19">
        <f>IF(I1817="Gasto",IF(IFERROR(INDEX(catClas,MATCH(D1817,catNom,0))&amp;"","")="","Variable",IFERROR(INDEX(catClas,MATCH(D1817,catNom,0))&amp;"","")),"")</f>
        <v/>
      </c>
      <c r="L1817" s="19">
        <f>IF(I1817="","",IFERROR(INDEX(catAlim,MATCH(D1817,catNom,0))&amp;"",""))</f>
        <v/>
      </c>
      <c r="M1817" s="19">
        <f>IF(I1817="","",IFERROR(INDEX(catComida,MATCH(D1817,catNom,0))&amp;"",""))</f>
        <v/>
      </c>
      <c r="N1817" s="19">
        <f>IF(I1817="","",IFERROR(INDEX(ctaMon,MATCH(E1817,ctaNom,0))&amp;"","DOP"))</f>
        <v/>
      </c>
      <c r="O1817" s="20">
        <f>IF(I1817="","",C1817*IF(N1817="USD",TasaUSD,1))</f>
        <v/>
      </c>
      <c r="P1817" s="20">
        <f>IF(I1817="","",IF(I1817="Gasto",O1817,0))</f>
        <v/>
      </c>
      <c r="Q1817" s="20">
        <f>IF(I1817="","",IF(I1817="Ingreso",O1817,0))</f>
        <v/>
      </c>
      <c r="R1817" s="20">
        <f>IF(I1817="","",IF(I1817="Trading",O1817,0))</f>
        <v/>
      </c>
      <c r="S1817" s="19">
        <f>IF(I1817="","",IF(AND(I1817="Gasto",K1817="Variable",J1817&lt;&gt;"Trading",O1817&gt;0,O1817&lt;=Umbral),1,0))</f>
        <v/>
      </c>
      <c r="T1817" s="20">
        <f>IF(OR(I1817="",E1817=""),"",IF(OR(I1817="Gasto",I1817="Transferencia",I1817="Pago tarjeta"),-1,1)*C1817)</f>
        <v/>
      </c>
      <c r="U1817" s="20">
        <f>IF(OR(G1817="",AND(I1817&lt;&gt;"Transferencia",I1817&lt;&gt;"Pago tarjeta")),"",IF(IFERROR(INDEX(ctaMon,MATCH(G1817,ctaNom,0))&amp;"","DOP")=N1817,C1817,IF(N1817="USD",C1817*TasaUSD,C1817/TasaUSD)))</f>
        <v/>
      </c>
      <c r="V1817" s="20">
        <f>IF(I1817="","",IF(IFERROR(INDEX(ctaLiq,MATCH(E1817,ctaNom,0))="Sí",FALSE),IF(OR(I1817="Gasto",I1817="Transferencia",I1817="Pago tarjeta"),-1,1)*O1817,0)+IF(AND(U1817&lt;&gt;"",IFERROR(INDEX(ctaLiq,MATCH(G1817,ctaNom,0))="Sí",FALSE)),O1817,0))</f>
        <v/>
      </c>
      <c r="W1817" s="19">
        <f>IF(OR(F1817="",I1817=""),"",IF(COUNTIFS(F$6:F1817,F1817,I$6:I1817,"?*")=1,MAX(W$5:W1816)+1,""))</f>
        <v/>
      </c>
    </row>
    <row r="1818">
      <c r="B1818" s="15" t="n"/>
      <c r="C1818" s="16" t="n"/>
      <c r="D1818" s="17" t="n"/>
      <c r="E1818" s="17" t="n"/>
      <c r="F1818" s="17" t="n"/>
      <c r="G1818" s="17" t="n"/>
      <c r="H1818" s="18">
        <f>IF(AND(B1818="",C1818="",D1818="",E1818=""),"",IF(B1818="","⚠ Falta fecha",IF(C1818="","⚠ Falta monto",IF(D1818="","⚠ Falta categoría",IF(ISNA(MATCH(D1818,catNom,0)),"⚠ Categoría no existe",IF(E1818="","⚠ Falta cuenta",IF(ISNA(MATCH(E1818,ctaNom,0)),"⚠ Cuenta no existe",IF(AND(OR(I1818="Transferencia",I1818="Pago tarjeta"),G1818=""),"⚠ Indica la cuenta «Hacia»",IF(AND(G1818&lt;&gt;"",G1818=E1818),"⚠ «Hacia» igual a la cuenta",IF(AND(G1818&lt;&gt;"",ISNA(MATCH(G1818,ctaNom,0))),"⚠ «Hacia» no existe",IF(AND(I1818="Pago tarjeta",IFERROR(INDEX(ctaTipo,MATCH(G1818,ctaNom,0)),"")&lt;&gt;"Tarjeta de crédito"),"⚠ «Hacia» debe ser la tarjeta",IF(AND(I1818="Trading",IFERROR(INDEX(ctaTipo,MATCH(E1818,ctaNom,0)),"")&lt;&gt;"Cuenta de trading"),"⚠ Usa la cuenta de trading","✓"))))))))))))</f>
        <v/>
      </c>
      <c r="I1818" s="19">
        <f>IF(OR(B1818="",C1818="",D1818=""),"",IFERROR(INDEX(catTipo,MATCH(D1818,catNom,0))&amp;"",""))</f>
        <v/>
      </c>
      <c r="J1818" s="19">
        <f>IF(I1818="","",IFERROR(INDEX(catGrupo,MATCH(D1818,catNom,0))&amp;"",""))</f>
        <v/>
      </c>
      <c r="K1818" s="19">
        <f>IF(I1818="Gasto",IF(IFERROR(INDEX(catClas,MATCH(D1818,catNom,0))&amp;"","")="","Variable",IFERROR(INDEX(catClas,MATCH(D1818,catNom,0))&amp;"","")),"")</f>
        <v/>
      </c>
      <c r="L1818" s="19">
        <f>IF(I1818="","",IFERROR(INDEX(catAlim,MATCH(D1818,catNom,0))&amp;"",""))</f>
        <v/>
      </c>
      <c r="M1818" s="19">
        <f>IF(I1818="","",IFERROR(INDEX(catComida,MATCH(D1818,catNom,0))&amp;"",""))</f>
        <v/>
      </c>
      <c r="N1818" s="19">
        <f>IF(I1818="","",IFERROR(INDEX(ctaMon,MATCH(E1818,ctaNom,0))&amp;"","DOP"))</f>
        <v/>
      </c>
      <c r="O1818" s="20">
        <f>IF(I1818="","",C1818*IF(N1818="USD",TasaUSD,1))</f>
        <v/>
      </c>
      <c r="P1818" s="20">
        <f>IF(I1818="","",IF(I1818="Gasto",O1818,0))</f>
        <v/>
      </c>
      <c r="Q1818" s="20">
        <f>IF(I1818="","",IF(I1818="Ingreso",O1818,0))</f>
        <v/>
      </c>
      <c r="R1818" s="20">
        <f>IF(I1818="","",IF(I1818="Trading",O1818,0))</f>
        <v/>
      </c>
      <c r="S1818" s="19">
        <f>IF(I1818="","",IF(AND(I1818="Gasto",K1818="Variable",J1818&lt;&gt;"Trading",O1818&gt;0,O1818&lt;=Umbral),1,0))</f>
        <v/>
      </c>
      <c r="T1818" s="20">
        <f>IF(OR(I1818="",E1818=""),"",IF(OR(I1818="Gasto",I1818="Transferencia",I1818="Pago tarjeta"),-1,1)*C1818)</f>
        <v/>
      </c>
      <c r="U1818" s="20">
        <f>IF(OR(G1818="",AND(I1818&lt;&gt;"Transferencia",I1818&lt;&gt;"Pago tarjeta")),"",IF(IFERROR(INDEX(ctaMon,MATCH(G1818,ctaNom,0))&amp;"","DOP")=N1818,C1818,IF(N1818="USD",C1818*TasaUSD,C1818/TasaUSD)))</f>
        <v/>
      </c>
      <c r="V1818" s="20">
        <f>IF(I1818="","",IF(IFERROR(INDEX(ctaLiq,MATCH(E1818,ctaNom,0))="Sí",FALSE),IF(OR(I1818="Gasto",I1818="Transferencia",I1818="Pago tarjeta"),-1,1)*O1818,0)+IF(AND(U1818&lt;&gt;"",IFERROR(INDEX(ctaLiq,MATCH(G1818,ctaNom,0))="Sí",FALSE)),O1818,0))</f>
        <v/>
      </c>
      <c r="W1818" s="19">
        <f>IF(OR(F1818="",I1818=""),"",IF(COUNTIFS(F$6:F1818,F1818,I$6:I1818,"?*")=1,MAX(W$5:W1817)+1,""))</f>
        <v/>
      </c>
    </row>
    <row r="1819">
      <c r="B1819" s="15" t="n"/>
      <c r="C1819" s="16" t="n"/>
      <c r="D1819" s="17" t="n"/>
      <c r="E1819" s="17" t="n"/>
      <c r="F1819" s="17" t="n"/>
      <c r="G1819" s="17" t="n"/>
      <c r="H1819" s="18">
        <f>IF(AND(B1819="",C1819="",D1819="",E1819=""),"",IF(B1819="","⚠ Falta fecha",IF(C1819="","⚠ Falta monto",IF(D1819="","⚠ Falta categoría",IF(ISNA(MATCH(D1819,catNom,0)),"⚠ Categoría no existe",IF(E1819="","⚠ Falta cuenta",IF(ISNA(MATCH(E1819,ctaNom,0)),"⚠ Cuenta no existe",IF(AND(OR(I1819="Transferencia",I1819="Pago tarjeta"),G1819=""),"⚠ Indica la cuenta «Hacia»",IF(AND(G1819&lt;&gt;"",G1819=E1819),"⚠ «Hacia» igual a la cuenta",IF(AND(G1819&lt;&gt;"",ISNA(MATCH(G1819,ctaNom,0))),"⚠ «Hacia» no existe",IF(AND(I1819="Pago tarjeta",IFERROR(INDEX(ctaTipo,MATCH(G1819,ctaNom,0)),"")&lt;&gt;"Tarjeta de crédito"),"⚠ «Hacia» debe ser la tarjeta",IF(AND(I1819="Trading",IFERROR(INDEX(ctaTipo,MATCH(E1819,ctaNom,0)),"")&lt;&gt;"Cuenta de trading"),"⚠ Usa la cuenta de trading","✓"))))))))))))</f>
        <v/>
      </c>
      <c r="I1819" s="19">
        <f>IF(OR(B1819="",C1819="",D1819=""),"",IFERROR(INDEX(catTipo,MATCH(D1819,catNom,0))&amp;"",""))</f>
        <v/>
      </c>
      <c r="J1819" s="19">
        <f>IF(I1819="","",IFERROR(INDEX(catGrupo,MATCH(D1819,catNom,0))&amp;"",""))</f>
        <v/>
      </c>
      <c r="K1819" s="19">
        <f>IF(I1819="Gasto",IF(IFERROR(INDEX(catClas,MATCH(D1819,catNom,0))&amp;"","")="","Variable",IFERROR(INDEX(catClas,MATCH(D1819,catNom,0))&amp;"","")),"")</f>
        <v/>
      </c>
      <c r="L1819" s="19">
        <f>IF(I1819="","",IFERROR(INDEX(catAlim,MATCH(D1819,catNom,0))&amp;"",""))</f>
        <v/>
      </c>
      <c r="M1819" s="19">
        <f>IF(I1819="","",IFERROR(INDEX(catComida,MATCH(D1819,catNom,0))&amp;"",""))</f>
        <v/>
      </c>
      <c r="N1819" s="19">
        <f>IF(I1819="","",IFERROR(INDEX(ctaMon,MATCH(E1819,ctaNom,0))&amp;"","DOP"))</f>
        <v/>
      </c>
      <c r="O1819" s="20">
        <f>IF(I1819="","",C1819*IF(N1819="USD",TasaUSD,1))</f>
        <v/>
      </c>
      <c r="P1819" s="20">
        <f>IF(I1819="","",IF(I1819="Gasto",O1819,0))</f>
        <v/>
      </c>
      <c r="Q1819" s="20">
        <f>IF(I1819="","",IF(I1819="Ingreso",O1819,0))</f>
        <v/>
      </c>
      <c r="R1819" s="20">
        <f>IF(I1819="","",IF(I1819="Trading",O1819,0))</f>
        <v/>
      </c>
      <c r="S1819" s="19">
        <f>IF(I1819="","",IF(AND(I1819="Gasto",K1819="Variable",J1819&lt;&gt;"Trading",O1819&gt;0,O1819&lt;=Umbral),1,0))</f>
        <v/>
      </c>
      <c r="T1819" s="20">
        <f>IF(OR(I1819="",E1819=""),"",IF(OR(I1819="Gasto",I1819="Transferencia",I1819="Pago tarjeta"),-1,1)*C1819)</f>
        <v/>
      </c>
      <c r="U1819" s="20">
        <f>IF(OR(G1819="",AND(I1819&lt;&gt;"Transferencia",I1819&lt;&gt;"Pago tarjeta")),"",IF(IFERROR(INDEX(ctaMon,MATCH(G1819,ctaNom,0))&amp;"","DOP")=N1819,C1819,IF(N1819="USD",C1819*TasaUSD,C1819/TasaUSD)))</f>
        <v/>
      </c>
      <c r="V1819" s="20">
        <f>IF(I1819="","",IF(IFERROR(INDEX(ctaLiq,MATCH(E1819,ctaNom,0))="Sí",FALSE),IF(OR(I1819="Gasto",I1819="Transferencia",I1819="Pago tarjeta"),-1,1)*O1819,0)+IF(AND(U1819&lt;&gt;"",IFERROR(INDEX(ctaLiq,MATCH(G1819,ctaNom,0))="Sí",FALSE)),O1819,0))</f>
        <v/>
      </c>
      <c r="W1819" s="19">
        <f>IF(OR(F1819="",I1819=""),"",IF(COUNTIFS(F$6:F1819,F1819,I$6:I1819,"?*")=1,MAX(W$5:W1818)+1,""))</f>
        <v/>
      </c>
    </row>
    <row r="1820">
      <c r="B1820" s="15" t="n"/>
      <c r="C1820" s="16" t="n"/>
      <c r="D1820" s="17" t="n"/>
      <c r="E1820" s="17" t="n"/>
      <c r="F1820" s="17" t="n"/>
      <c r="G1820" s="17" t="n"/>
      <c r="H1820" s="18">
        <f>IF(AND(B1820="",C1820="",D1820="",E1820=""),"",IF(B1820="","⚠ Falta fecha",IF(C1820="","⚠ Falta monto",IF(D1820="","⚠ Falta categoría",IF(ISNA(MATCH(D1820,catNom,0)),"⚠ Categoría no existe",IF(E1820="","⚠ Falta cuenta",IF(ISNA(MATCH(E1820,ctaNom,0)),"⚠ Cuenta no existe",IF(AND(OR(I1820="Transferencia",I1820="Pago tarjeta"),G1820=""),"⚠ Indica la cuenta «Hacia»",IF(AND(G1820&lt;&gt;"",G1820=E1820),"⚠ «Hacia» igual a la cuenta",IF(AND(G1820&lt;&gt;"",ISNA(MATCH(G1820,ctaNom,0))),"⚠ «Hacia» no existe",IF(AND(I1820="Pago tarjeta",IFERROR(INDEX(ctaTipo,MATCH(G1820,ctaNom,0)),"")&lt;&gt;"Tarjeta de crédito"),"⚠ «Hacia» debe ser la tarjeta",IF(AND(I1820="Trading",IFERROR(INDEX(ctaTipo,MATCH(E1820,ctaNom,0)),"")&lt;&gt;"Cuenta de trading"),"⚠ Usa la cuenta de trading","✓"))))))))))))</f>
        <v/>
      </c>
      <c r="I1820" s="19">
        <f>IF(OR(B1820="",C1820="",D1820=""),"",IFERROR(INDEX(catTipo,MATCH(D1820,catNom,0))&amp;"",""))</f>
        <v/>
      </c>
      <c r="J1820" s="19">
        <f>IF(I1820="","",IFERROR(INDEX(catGrupo,MATCH(D1820,catNom,0))&amp;"",""))</f>
        <v/>
      </c>
      <c r="K1820" s="19">
        <f>IF(I1820="Gasto",IF(IFERROR(INDEX(catClas,MATCH(D1820,catNom,0))&amp;"","")="","Variable",IFERROR(INDEX(catClas,MATCH(D1820,catNom,0))&amp;"","")),"")</f>
        <v/>
      </c>
      <c r="L1820" s="19">
        <f>IF(I1820="","",IFERROR(INDEX(catAlim,MATCH(D1820,catNom,0))&amp;"",""))</f>
        <v/>
      </c>
      <c r="M1820" s="19">
        <f>IF(I1820="","",IFERROR(INDEX(catComida,MATCH(D1820,catNom,0))&amp;"",""))</f>
        <v/>
      </c>
      <c r="N1820" s="19">
        <f>IF(I1820="","",IFERROR(INDEX(ctaMon,MATCH(E1820,ctaNom,0))&amp;"","DOP"))</f>
        <v/>
      </c>
      <c r="O1820" s="20">
        <f>IF(I1820="","",C1820*IF(N1820="USD",TasaUSD,1))</f>
        <v/>
      </c>
      <c r="P1820" s="20">
        <f>IF(I1820="","",IF(I1820="Gasto",O1820,0))</f>
        <v/>
      </c>
      <c r="Q1820" s="20">
        <f>IF(I1820="","",IF(I1820="Ingreso",O1820,0))</f>
        <v/>
      </c>
      <c r="R1820" s="20">
        <f>IF(I1820="","",IF(I1820="Trading",O1820,0))</f>
        <v/>
      </c>
      <c r="S1820" s="19">
        <f>IF(I1820="","",IF(AND(I1820="Gasto",K1820="Variable",J1820&lt;&gt;"Trading",O1820&gt;0,O1820&lt;=Umbral),1,0))</f>
        <v/>
      </c>
      <c r="T1820" s="20">
        <f>IF(OR(I1820="",E1820=""),"",IF(OR(I1820="Gasto",I1820="Transferencia",I1820="Pago tarjeta"),-1,1)*C1820)</f>
        <v/>
      </c>
      <c r="U1820" s="20">
        <f>IF(OR(G1820="",AND(I1820&lt;&gt;"Transferencia",I1820&lt;&gt;"Pago tarjeta")),"",IF(IFERROR(INDEX(ctaMon,MATCH(G1820,ctaNom,0))&amp;"","DOP")=N1820,C1820,IF(N1820="USD",C1820*TasaUSD,C1820/TasaUSD)))</f>
        <v/>
      </c>
      <c r="V1820" s="20">
        <f>IF(I1820="","",IF(IFERROR(INDEX(ctaLiq,MATCH(E1820,ctaNom,0))="Sí",FALSE),IF(OR(I1820="Gasto",I1820="Transferencia",I1820="Pago tarjeta"),-1,1)*O1820,0)+IF(AND(U1820&lt;&gt;"",IFERROR(INDEX(ctaLiq,MATCH(G1820,ctaNom,0))="Sí",FALSE)),O1820,0))</f>
        <v/>
      </c>
      <c r="W1820" s="19">
        <f>IF(OR(F1820="",I1820=""),"",IF(COUNTIFS(F$6:F1820,F1820,I$6:I1820,"?*")=1,MAX(W$5:W1819)+1,""))</f>
        <v/>
      </c>
    </row>
    <row r="1821">
      <c r="B1821" s="15" t="n"/>
      <c r="C1821" s="16" t="n"/>
      <c r="D1821" s="17" t="n"/>
      <c r="E1821" s="17" t="n"/>
      <c r="F1821" s="17" t="n"/>
      <c r="G1821" s="17" t="n"/>
      <c r="H1821" s="18">
        <f>IF(AND(B1821="",C1821="",D1821="",E1821=""),"",IF(B1821="","⚠ Falta fecha",IF(C1821="","⚠ Falta monto",IF(D1821="","⚠ Falta categoría",IF(ISNA(MATCH(D1821,catNom,0)),"⚠ Categoría no existe",IF(E1821="","⚠ Falta cuenta",IF(ISNA(MATCH(E1821,ctaNom,0)),"⚠ Cuenta no existe",IF(AND(OR(I1821="Transferencia",I1821="Pago tarjeta"),G1821=""),"⚠ Indica la cuenta «Hacia»",IF(AND(G1821&lt;&gt;"",G1821=E1821),"⚠ «Hacia» igual a la cuenta",IF(AND(G1821&lt;&gt;"",ISNA(MATCH(G1821,ctaNom,0))),"⚠ «Hacia» no existe",IF(AND(I1821="Pago tarjeta",IFERROR(INDEX(ctaTipo,MATCH(G1821,ctaNom,0)),"")&lt;&gt;"Tarjeta de crédito"),"⚠ «Hacia» debe ser la tarjeta",IF(AND(I1821="Trading",IFERROR(INDEX(ctaTipo,MATCH(E1821,ctaNom,0)),"")&lt;&gt;"Cuenta de trading"),"⚠ Usa la cuenta de trading","✓"))))))))))))</f>
        <v/>
      </c>
      <c r="I1821" s="19">
        <f>IF(OR(B1821="",C1821="",D1821=""),"",IFERROR(INDEX(catTipo,MATCH(D1821,catNom,0))&amp;"",""))</f>
        <v/>
      </c>
      <c r="J1821" s="19">
        <f>IF(I1821="","",IFERROR(INDEX(catGrupo,MATCH(D1821,catNom,0))&amp;"",""))</f>
        <v/>
      </c>
      <c r="K1821" s="19">
        <f>IF(I1821="Gasto",IF(IFERROR(INDEX(catClas,MATCH(D1821,catNom,0))&amp;"","")="","Variable",IFERROR(INDEX(catClas,MATCH(D1821,catNom,0))&amp;"","")),"")</f>
        <v/>
      </c>
      <c r="L1821" s="19">
        <f>IF(I1821="","",IFERROR(INDEX(catAlim,MATCH(D1821,catNom,0))&amp;"",""))</f>
        <v/>
      </c>
      <c r="M1821" s="19">
        <f>IF(I1821="","",IFERROR(INDEX(catComida,MATCH(D1821,catNom,0))&amp;"",""))</f>
        <v/>
      </c>
      <c r="N1821" s="19">
        <f>IF(I1821="","",IFERROR(INDEX(ctaMon,MATCH(E1821,ctaNom,0))&amp;"","DOP"))</f>
        <v/>
      </c>
      <c r="O1821" s="20">
        <f>IF(I1821="","",C1821*IF(N1821="USD",TasaUSD,1))</f>
        <v/>
      </c>
      <c r="P1821" s="20">
        <f>IF(I1821="","",IF(I1821="Gasto",O1821,0))</f>
        <v/>
      </c>
      <c r="Q1821" s="20">
        <f>IF(I1821="","",IF(I1821="Ingreso",O1821,0))</f>
        <v/>
      </c>
      <c r="R1821" s="20">
        <f>IF(I1821="","",IF(I1821="Trading",O1821,0))</f>
        <v/>
      </c>
      <c r="S1821" s="19">
        <f>IF(I1821="","",IF(AND(I1821="Gasto",K1821="Variable",J1821&lt;&gt;"Trading",O1821&gt;0,O1821&lt;=Umbral),1,0))</f>
        <v/>
      </c>
      <c r="T1821" s="20">
        <f>IF(OR(I1821="",E1821=""),"",IF(OR(I1821="Gasto",I1821="Transferencia",I1821="Pago tarjeta"),-1,1)*C1821)</f>
        <v/>
      </c>
      <c r="U1821" s="20">
        <f>IF(OR(G1821="",AND(I1821&lt;&gt;"Transferencia",I1821&lt;&gt;"Pago tarjeta")),"",IF(IFERROR(INDEX(ctaMon,MATCH(G1821,ctaNom,0))&amp;"","DOP")=N1821,C1821,IF(N1821="USD",C1821*TasaUSD,C1821/TasaUSD)))</f>
        <v/>
      </c>
      <c r="V1821" s="20">
        <f>IF(I1821="","",IF(IFERROR(INDEX(ctaLiq,MATCH(E1821,ctaNom,0))="Sí",FALSE),IF(OR(I1821="Gasto",I1821="Transferencia",I1821="Pago tarjeta"),-1,1)*O1821,0)+IF(AND(U1821&lt;&gt;"",IFERROR(INDEX(ctaLiq,MATCH(G1821,ctaNom,0))="Sí",FALSE)),O1821,0))</f>
        <v/>
      </c>
      <c r="W1821" s="19">
        <f>IF(OR(F1821="",I1821=""),"",IF(COUNTIFS(F$6:F1821,F1821,I$6:I1821,"?*")=1,MAX(W$5:W1820)+1,""))</f>
        <v/>
      </c>
    </row>
    <row r="1822">
      <c r="B1822" s="15" t="n"/>
      <c r="C1822" s="16" t="n"/>
      <c r="D1822" s="17" t="n"/>
      <c r="E1822" s="17" t="n"/>
      <c r="F1822" s="17" t="n"/>
      <c r="G1822" s="17" t="n"/>
      <c r="H1822" s="18">
        <f>IF(AND(B1822="",C1822="",D1822="",E1822=""),"",IF(B1822="","⚠ Falta fecha",IF(C1822="","⚠ Falta monto",IF(D1822="","⚠ Falta categoría",IF(ISNA(MATCH(D1822,catNom,0)),"⚠ Categoría no existe",IF(E1822="","⚠ Falta cuenta",IF(ISNA(MATCH(E1822,ctaNom,0)),"⚠ Cuenta no existe",IF(AND(OR(I1822="Transferencia",I1822="Pago tarjeta"),G1822=""),"⚠ Indica la cuenta «Hacia»",IF(AND(G1822&lt;&gt;"",G1822=E1822),"⚠ «Hacia» igual a la cuenta",IF(AND(G1822&lt;&gt;"",ISNA(MATCH(G1822,ctaNom,0))),"⚠ «Hacia» no existe",IF(AND(I1822="Pago tarjeta",IFERROR(INDEX(ctaTipo,MATCH(G1822,ctaNom,0)),"")&lt;&gt;"Tarjeta de crédito"),"⚠ «Hacia» debe ser la tarjeta",IF(AND(I1822="Trading",IFERROR(INDEX(ctaTipo,MATCH(E1822,ctaNom,0)),"")&lt;&gt;"Cuenta de trading"),"⚠ Usa la cuenta de trading","✓"))))))))))))</f>
        <v/>
      </c>
      <c r="I1822" s="19">
        <f>IF(OR(B1822="",C1822="",D1822=""),"",IFERROR(INDEX(catTipo,MATCH(D1822,catNom,0))&amp;"",""))</f>
        <v/>
      </c>
      <c r="J1822" s="19">
        <f>IF(I1822="","",IFERROR(INDEX(catGrupo,MATCH(D1822,catNom,0))&amp;"",""))</f>
        <v/>
      </c>
      <c r="K1822" s="19">
        <f>IF(I1822="Gasto",IF(IFERROR(INDEX(catClas,MATCH(D1822,catNom,0))&amp;"","")="","Variable",IFERROR(INDEX(catClas,MATCH(D1822,catNom,0))&amp;"","")),"")</f>
        <v/>
      </c>
      <c r="L1822" s="19">
        <f>IF(I1822="","",IFERROR(INDEX(catAlim,MATCH(D1822,catNom,0))&amp;"",""))</f>
        <v/>
      </c>
      <c r="M1822" s="19">
        <f>IF(I1822="","",IFERROR(INDEX(catComida,MATCH(D1822,catNom,0))&amp;"",""))</f>
        <v/>
      </c>
      <c r="N1822" s="19">
        <f>IF(I1822="","",IFERROR(INDEX(ctaMon,MATCH(E1822,ctaNom,0))&amp;"","DOP"))</f>
        <v/>
      </c>
      <c r="O1822" s="20">
        <f>IF(I1822="","",C1822*IF(N1822="USD",TasaUSD,1))</f>
        <v/>
      </c>
      <c r="P1822" s="20">
        <f>IF(I1822="","",IF(I1822="Gasto",O1822,0))</f>
        <v/>
      </c>
      <c r="Q1822" s="20">
        <f>IF(I1822="","",IF(I1822="Ingreso",O1822,0))</f>
        <v/>
      </c>
      <c r="R1822" s="20">
        <f>IF(I1822="","",IF(I1822="Trading",O1822,0))</f>
        <v/>
      </c>
      <c r="S1822" s="19">
        <f>IF(I1822="","",IF(AND(I1822="Gasto",K1822="Variable",J1822&lt;&gt;"Trading",O1822&gt;0,O1822&lt;=Umbral),1,0))</f>
        <v/>
      </c>
      <c r="T1822" s="20">
        <f>IF(OR(I1822="",E1822=""),"",IF(OR(I1822="Gasto",I1822="Transferencia",I1822="Pago tarjeta"),-1,1)*C1822)</f>
        <v/>
      </c>
      <c r="U1822" s="20">
        <f>IF(OR(G1822="",AND(I1822&lt;&gt;"Transferencia",I1822&lt;&gt;"Pago tarjeta")),"",IF(IFERROR(INDEX(ctaMon,MATCH(G1822,ctaNom,0))&amp;"","DOP")=N1822,C1822,IF(N1822="USD",C1822*TasaUSD,C1822/TasaUSD)))</f>
        <v/>
      </c>
      <c r="V1822" s="20">
        <f>IF(I1822="","",IF(IFERROR(INDEX(ctaLiq,MATCH(E1822,ctaNom,0))="Sí",FALSE),IF(OR(I1822="Gasto",I1822="Transferencia",I1822="Pago tarjeta"),-1,1)*O1822,0)+IF(AND(U1822&lt;&gt;"",IFERROR(INDEX(ctaLiq,MATCH(G1822,ctaNom,0))="Sí",FALSE)),O1822,0))</f>
        <v/>
      </c>
      <c r="W1822" s="19">
        <f>IF(OR(F1822="",I1822=""),"",IF(COUNTIFS(F$6:F1822,F1822,I$6:I1822,"?*")=1,MAX(W$5:W1821)+1,""))</f>
        <v/>
      </c>
    </row>
    <row r="1823">
      <c r="B1823" s="15" t="n"/>
      <c r="C1823" s="16" t="n"/>
      <c r="D1823" s="17" t="n"/>
      <c r="E1823" s="17" t="n"/>
      <c r="F1823" s="17" t="n"/>
      <c r="G1823" s="17" t="n"/>
      <c r="H1823" s="18">
        <f>IF(AND(B1823="",C1823="",D1823="",E1823=""),"",IF(B1823="","⚠ Falta fecha",IF(C1823="","⚠ Falta monto",IF(D1823="","⚠ Falta categoría",IF(ISNA(MATCH(D1823,catNom,0)),"⚠ Categoría no existe",IF(E1823="","⚠ Falta cuenta",IF(ISNA(MATCH(E1823,ctaNom,0)),"⚠ Cuenta no existe",IF(AND(OR(I1823="Transferencia",I1823="Pago tarjeta"),G1823=""),"⚠ Indica la cuenta «Hacia»",IF(AND(G1823&lt;&gt;"",G1823=E1823),"⚠ «Hacia» igual a la cuenta",IF(AND(G1823&lt;&gt;"",ISNA(MATCH(G1823,ctaNom,0))),"⚠ «Hacia» no existe",IF(AND(I1823="Pago tarjeta",IFERROR(INDEX(ctaTipo,MATCH(G1823,ctaNom,0)),"")&lt;&gt;"Tarjeta de crédito"),"⚠ «Hacia» debe ser la tarjeta",IF(AND(I1823="Trading",IFERROR(INDEX(ctaTipo,MATCH(E1823,ctaNom,0)),"")&lt;&gt;"Cuenta de trading"),"⚠ Usa la cuenta de trading","✓"))))))))))))</f>
        <v/>
      </c>
      <c r="I1823" s="19">
        <f>IF(OR(B1823="",C1823="",D1823=""),"",IFERROR(INDEX(catTipo,MATCH(D1823,catNom,0))&amp;"",""))</f>
        <v/>
      </c>
      <c r="J1823" s="19">
        <f>IF(I1823="","",IFERROR(INDEX(catGrupo,MATCH(D1823,catNom,0))&amp;"",""))</f>
        <v/>
      </c>
      <c r="K1823" s="19">
        <f>IF(I1823="Gasto",IF(IFERROR(INDEX(catClas,MATCH(D1823,catNom,0))&amp;"","")="","Variable",IFERROR(INDEX(catClas,MATCH(D1823,catNom,0))&amp;"","")),"")</f>
        <v/>
      </c>
      <c r="L1823" s="19">
        <f>IF(I1823="","",IFERROR(INDEX(catAlim,MATCH(D1823,catNom,0))&amp;"",""))</f>
        <v/>
      </c>
      <c r="M1823" s="19">
        <f>IF(I1823="","",IFERROR(INDEX(catComida,MATCH(D1823,catNom,0))&amp;"",""))</f>
        <v/>
      </c>
      <c r="N1823" s="19">
        <f>IF(I1823="","",IFERROR(INDEX(ctaMon,MATCH(E1823,ctaNom,0))&amp;"","DOP"))</f>
        <v/>
      </c>
      <c r="O1823" s="20">
        <f>IF(I1823="","",C1823*IF(N1823="USD",TasaUSD,1))</f>
        <v/>
      </c>
      <c r="P1823" s="20">
        <f>IF(I1823="","",IF(I1823="Gasto",O1823,0))</f>
        <v/>
      </c>
      <c r="Q1823" s="20">
        <f>IF(I1823="","",IF(I1823="Ingreso",O1823,0))</f>
        <v/>
      </c>
      <c r="R1823" s="20">
        <f>IF(I1823="","",IF(I1823="Trading",O1823,0))</f>
        <v/>
      </c>
      <c r="S1823" s="19">
        <f>IF(I1823="","",IF(AND(I1823="Gasto",K1823="Variable",J1823&lt;&gt;"Trading",O1823&gt;0,O1823&lt;=Umbral),1,0))</f>
        <v/>
      </c>
      <c r="T1823" s="20">
        <f>IF(OR(I1823="",E1823=""),"",IF(OR(I1823="Gasto",I1823="Transferencia",I1823="Pago tarjeta"),-1,1)*C1823)</f>
        <v/>
      </c>
      <c r="U1823" s="20">
        <f>IF(OR(G1823="",AND(I1823&lt;&gt;"Transferencia",I1823&lt;&gt;"Pago tarjeta")),"",IF(IFERROR(INDEX(ctaMon,MATCH(G1823,ctaNom,0))&amp;"","DOP")=N1823,C1823,IF(N1823="USD",C1823*TasaUSD,C1823/TasaUSD)))</f>
        <v/>
      </c>
      <c r="V1823" s="20">
        <f>IF(I1823="","",IF(IFERROR(INDEX(ctaLiq,MATCH(E1823,ctaNom,0))="Sí",FALSE),IF(OR(I1823="Gasto",I1823="Transferencia",I1823="Pago tarjeta"),-1,1)*O1823,0)+IF(AND(U1823&lt;&gt;"",IFERROR(INDEX(ctaLiq,MATCH(G1823,ctaNom,0))="Sí",FALSE)),O1823,0))</f>
        <v/>
      </c>
      <c r="W1823" s="19">
        <f>IF(OR(F1823="",I1823=""),"",IF(COUNTIFS(F$6:F1823,F1823,I$6:I1823,"?*")=1,MAX(W$5:W1822)+1,""))</f>
        <v/>
      </c>
    </row>
    <row r="1824">
      <c r="B1824" s="15" t="n"/>
      <c r="C1824" s="16" t="n"/>
      <c r="D1824" s="17" t="n"/>
      <c r="E1824" s="17" t="n"/>
      <c r="F1824" s="17" t="n"/>
      <c r="G1824" s="17" t="n"/>
      <c r="H1824" s="18">
        <f>IF(AND(B1824="",C1824="",D1824="",E1824=""),"",IF(B1824="","⚠ Falta fecha",IF(C1824="","⚠ Falta monto",IF(D1824="","⚠ Falta categoría",IF(ISNA(MATCH(D1824,catNom,0)),"⚠ Categoría no existe",IF(E1824="","⚠ Falta cuenta",IF(ISNA(MATCH(E1824,ctaNom,0)),"⚠ Cuenta no existe",IF(AND(OR(I1824="Transferencia",I1824="Pago tarjeta"),G1824=""),"⚠ Indica la cuenta «Hacia»",IF(AND(G1824&lt;&gt;"",G1824=E1824),"⚠ «Hacia» igual a la cuenta",IF(AND(G1824&lt;&gt;"",ISNA(MATCH(G1824,ctaNom,0))),"⚠ «Hacia» no existe",IF(AND(I1824="Pago tarjeta",IFERROR(INDEX(ctaTipo,MATCH(G1824,ctaNom,0)),"")&lt;&gt;"Tarjeta de crédito"),"⚠ «Hacia» debe ser la tarjeta",IF(AND(I1824="Trading",IFERROR(INDEX(ctaTipo,MATCH(E1824,ctaNom,0)),"")&lt;&gt;"Cuenta de trading"),"⚠ Usa la cuenta de trading","✓"))))))))))))</f>
        <v/>
      </c>
      <c r="I1824" s="19">
        <f>IF(OR(B1824="",C1824="",D1824=""),"",IFERROR(INDEX(catTipo,MATCH(D1824,catNom,0))&amp;"",""))</f>
        <v/>
      </c>
      <c r="J1824" s="19">
        <f>IF(I1824="","",IFERROR(INDEX(catGrupo,MATCH(D1824,catNom,0))&amp;"",""))</f>
        <v/>
      </c>
      <c r="K1824" s="19">
        <f>IF(I1824="Gasto",IF(IFERROR(INDEX(catClas,MATCH(D1824,catNom,0))&amp;"","")="","Variable",IFERROR(INDEX(catClas,MATCH(D1824,catNom,0))&amp;"","")),"")</f>
        <v/>
      </c>
      <c r="L1824" s="19">
        <f>IF(I1824="","",IFERROR(INDEX(catAlim,MATCH(D1824,catNom,0))&amp;"",""))</f>
        <v/>
      </c>
      <c r="M1824" s="19">
        <f>IF(I1824="","",IFERROR(INDEX(catComida,MATCH(D1824,catNom,0))&amp;"",""))</f>
        <v/>
      </c>
      <c r="N1824" s="19">
        <f>IF(I1824="","",IFERROR(INDEX(ctaMon,MATCH(E1824,ctaNom,0))&amp;"","DOP"))</f>
        <v/>
      </c>
      <c r="O1824" s="20">
        <f>IF(I1824="","",C1824*IF(N1824="USD",TasaUSD,1))</f>
        <v/>
      </c>
      <c r="P1824" s="20">
        <f>IF(I1824="","",IF(I1824="Gasto",O1824,0))</f>
        <v/>
      </c>
      <c r="Q1824" s="20">
        <f>IF(I1824="","",IF(I1824="Ingreso",O1824,0))</f>
        <v/>
      </c>
      <c r="R1824" s="20">
        <f>IF(I1824="","",IF(I1824="Trading",O1824,0))</f>
        <v/>
      </c>
      <c r="S1824" s="19">
        <f>IF(I1824="","",IF(AND(I1824="Gasto",K1824="Variable",J1824&lt;&gt;"Trading",O1824&gt;0,O1824&lt;=Umbral),1,0))</f>
        <v/>
      </c>
      <c r="T1824" s="20">
        <f>IF(OR(I1824="",E1824=""),"",IF(OR(I1824="Gasto",I1824="Transferencia",I1824="Pago tarjeta"),-1,1)*C1824)</f>
        <v/>
      </c>
      <c r="U1824" s="20">
        <f>IF(OR(G1824="",AND(I1824&lt;&gt;"Transferencia",I1824&lt;&gt;"Pago tarjeta")),"",IF(IFERROR(INDEX(ctaMon,MATCH(G1824,ctaNom,0))&amp;"","DOP")=N1824,C1824,IF(N1824="USD",C1824*TasaUSD,C1824/TasaUSD)))</f>
        <v/>
      </c>
      <c r="V1824" s="20">
        <f>IF(I1824="","",IF(IFERROR(INDEX(ctaLiq,MATCH(E1824,ctaNom,0))="Sí",FALSE),IF(OR(I1824="Gasto",I1824="Transferencia",I1824="Pago tarjeta"),-1,1)*O1824,0)+IF(AND(U1824&lt;&gt;"",IFERROR(INDEX(ctaLiq,MATCH(G1824,ctaNom,0))="Sí",FALSE)),O1824,0))</f>
        <v/>
      </c>
      <c r="W1824" s="19">
        <f>IF(OR(F1824="",I1824=""),"",IF(COUNTIFS(F$6:F1824,F1824,I$6:I1824,"?*")=1,MAX(W$5:W1823)+1,""))</f>
        <v/>
      </c>
    </row>
    <row r="1825">
      <c r="B1825" s="15" t="n"/>
      <c r="C1825" s="16" t="n"/>
      <c r="D1825" s="17" t="n"/>
      <c r="E1825" s="17" t="n"/>
      <c r="F1825" s="17" t="n"/>
      <c r="G1825" s="17" t="n"/>
      <c r="H1825" s="18">
        <f>IF(AND(B1825="",C1825="",D1825="",E1825=""),"",IF(B1825="","⚠ Falta fecha",IF(C1825="","⚠ Falta monto",IF(D1825="","⚠ Falta categoría",IF(ISNA(MATCH(D1825,catNom,0)),"⚠ Categoría no existe",IF(E1825="","⚠ Falta cuenta",IF(ISNA(MATCH(E1825,ctaNom,0)),"⚠ Cuenta no existe",IF(AND(OR(I1825="Transferencia",I1825="Pago tarjeta"),G1825=""),"⚠ Indica la cuenta «Hacia»",IF(AND(G1825&lt;&gt;"",G1825=E1825),"⚠ «Hacia» igual a la cuenta",IF(AND(G1825&lt;&gt;"",ISNA(MATCH(G1825,ctaNom,0))),"⚠ «Hacia» no existe",IF(AND(I1825="Pago tarjeta",IFERROR(INDEX(ctaTipo,MATCH(G1825,ctaNom,0)),"")&lt;&gt;"Tarjeta de crédito"),"⚠ «Hacia» debe ser la tarjeta",IF(AND(I1825="Trading",IFERROR(INDEX(ctaTipo,MATCH(E1825,ctaNom,0)),"")&lt;&gt;"Cuenta de trading"),"⚠ Usa la cuenta de trading","✓"))))))))))))</f>
        <v/>
      </c>
      <c r="I1825" s="19">
        <f>IF(OR(B1825="",C1825="",D1825=""),"",IFERROR(INDEX(catTipo,MATCH(D1825,catNom,0))&amp;"",""))</f>
        <v/>
      </c>
      <c r="J1825" s="19">
        <f>IF(I1825="","",IFERROR(INDEX(catGrupo,MATCH(D1825,catNom,0))&amp;"",""))</f>
        <v/>
      </c>
      <c r="K1825" s="19">
        <f>IF(I1825="Gasto",IF(IFERROR(INDEX(catClas,MATCH(D1825,catNom,0))&amp;"","")="","Variable",IFERROR(INDEX(catClas,MATCH(D1825,catNom,0))&amp;"","")),"")</f>
        <v/>
      </c>
      <c r="L1825" s="19">
        <f>IF(I1825="","",IFERROR(INDEX(catAlim,MATCH(D1825,catNom,0))&amp;"",""))</f>
        <v/>
      </c>
      <c r="M1825" s="19">
        <f>IF(I1825="","",IFERROR(INDEX(catComida,MATCH(D1825,catNom,0))&amp;"",""))</f>
        <v/>
      </c>
      <c r="N1825" s="19">
        <f>IF(I1825="","",IFERROR(INDEX(ctaMon,MATCH(E1825,ctaNom,0))&amp;"","DOP"))</f>
        <v/>
      </c>
      <c r="O1825" s="20">
        <f>IF(I1825="","",C1825*IF(N1825="USD",TasaUSD,1))</f>
        <v/>
      </c>
      <c r="P1825" s="20">
        <f>IF(I1825="","",IF(I1825="Gasto",O1825,0))</f>
        <v/>
      </c>
      <c r="Q1825" s="20">
        <f>IF(I1825="","",IF(I1825="Ingreso",O1825,0))</f>
        <v/>
      </c>
      <c r="R1825" s="20">
        <f>IF(I1825="","",IF(I1825="Trading",O1825,0))</f>
        <v/>
      </c>
      <c r="S1825" s="19">
        <f>IF(I1825="","",IF(AND(I1825="Gasto",K1825="Variable",J1825&lt;&gt;"Trading",O1825&gt;0,O1825&lt;=Umbral),1,0))</f>
        <v/>
      </c>
      <c r="T1825" s="20">
        <f>IF(OR(I1825="",E1825=""),"",IF(OR(I1825="Gasto",I1825="Transferencia",I1825="Pago tarjeta"),-1,1)*C1825)</f>
        <v/>
      </c>
      <c r="U1825" s="20">
        <f>IF(OR(G1825="",AND(I1825&lt;&gt;"Transferencia",I1825&lt;&gt;"Pago tarjeta")),"",IF(IFERROR(INDEX(ctaMon,MATCH(G1825,ctaNom,0))&amp;"","DOP")=N1825,C1825,IF(N1825="USD",C1825*TasaUSD,C1825/TasaUSD)))</f>
        <v/>
      </c>
      <c r="V1825" s="20">
        <f>IF(I1825="","",IF(IFERROR(INDEX(ctaLiq,MATCH(E1825,ctaNom,0))="Sí",FALSE),IF(OR(I1825="Gasto",I1825="Transferencia",I1825="Pago tarjeta"),-1,1)*O1825,0)+IF(AND(U1825&lt;&gt;"",IFERROR(INDEX(ctaLiq,MATCH(G1825,ctaNom,0))="Sí",FALSE)),O1825,0))</f>
        <v/>
      </c>
      <c r="W1825" s="19">
        <f>IF(OR(F1825="",I1825=""),"",IF(COUNTIFS(F$6:F1825,F1825,I$6:I1825,"?*")=1,MAX(W$5:W1824)+1,""))</f>
        <v/>
      </c>
    </row>
    <row r="1826">
      <c r="B1826" s="15" t="n"/>
      <c r="C1826" s="16" t="n"/>
      <c r="D1826" s="17" t="n"/>
      <c r="E1826" s="17" t="n"/>
      <c r="F1826" s="17" t="n"/>
      <c r="G1826" s="17" t="n"/>
      <c r="H1826" s="18">
        <f>IF(AND(B1826="",C1826="",D1826="",E1826=""),"",IF(B1826="","⚠ Falta fecha",IF(C1826="","⚠ Falta monto",IF(D1826="","⚠ Falta categoría",IF(ISNA(MATCH(D1826,catNom,0)),"⚠ Categoría no existe",IF(E1826="","⚠ Falta cuenta",IF(ISNA(MATCH(E1826,ctaNom,0)),"⚠ Cuenta no existe",IF(AND(OR(I1826="Transferencia",I1826="Pago tarjeta"),G1826=""),"⚠ Indica la cuenta «Hacia»",IF(AND(G1826&lt;&gt;"",G1826=E1826),"⚠ «Hacia» igual a la cuenta",IF(AND(G1826&lt;&gt;"",ISNA(MATCH(G1826,ctaNom,0))),"⚠ «Hacia» no existe",IF(AND(I1826="Pago tarjeta",IFERROR(INDEX(ctaTipo,MATCH(G1826,ctaNom,0)),"")&lt;&gt;"Tarjeta de crédito"),"⚠ «Hacia» debe ser la tarjeta",IF(AND(I1826="Trading",IFERROR(INDEX(ctaTipo,MATCH(E1826,ctaNom,0)),"")&lt;&gt;"Cuenta de trading"),"⚠ Usa la cuenta de trading","✓"))))))))))))</f>
        <v/>
      </c>
      <c r="I1826" s="19">
        <f>IF(OR(B1826="",C1826="",D1826=""),"",IFERROR(INDEX(catTipo,MATCH(D1826,catNom,0))&amp;"",""))</f>
        <v/>
      </c>
      <c r="J1826" s="19">
        <f>IF(I1826="","",IFERROR(INDEX(catGrupo,MATCH(D1826,catNom,0))&amp;"",""))</f>
        <v/>
      </c>
      <c r="K1826" s="19">
        <f>IF(I1826="Gasto",IF(IFERROR(INDEX(catClas,MATCH(D1826,catNom,0))&amp;"","")="","Variable",IFERROR(INDEX(catClas,MATCH(D1826,catNom,0))&amp;"","")),"")</f>
        <v/>
      </c>
      <c r="L1826" s="19">
        <f>IF(I1826="","",IFERROR(INDEX(catAlim,MATCH(D1826,catNom,0))&amp;"",""))</f>
        <v/>
      </c>
      <c r="M1826" s="19">
        <f>IF(I1826="","",IFERROR(INDEX(catComida,MATCH(D1826,catNom,0))&amp;"",""))</f>
        <v/>
      </c>
      <c r="N1826" s="19">
        <f>IF(I1826="","",IFERROR(INDEX(ctaMon,MATCH(E1826,ctaNom,0))&amp;"","DOP"))</f>
        <v/>
      </c>
      <c r="O1826" s="20">
        <f>IF(I1826="","",C1826*IF(N1826="USD",TasaUSD,1))</f>
        <v/>
      </c>
      <c r="P1826" s="20">
        <f>IF(I1826="","",IF(I1826="Gasto",O1826,0))</f>
        <v/>
      </c>
      <c r="Q1826" s="20">
        <f>IF(I1826="","",IF(I1826="Ingreso",O1826,0))</f>
        <v/>
      </c>
      <c r="R1826" s="20">
        <f>IF(I1826="","",IF(I1826="Trading",O1826,0))</f>
        <v/>
      </c>
      <c r="S1826" s="19">
        <f>IF(I1826="","",IF(AND(I1826="Gasto",K1826="Variable",J1826&lt;&gt;"Trading",O1826&gt;0,O1826&lt;=Umbral),1,0))</f>
        <v/>
      </c>
      <c r="T1826" s="20">
        <f>IF(OR(I1826="",E1826=""),"",IF(OR(I1826="Gasto",I1826="Transferencia",I1826="Pago tarjeta"),-1,1)*C1826)</f>
        <v/>
      </c>
      <c r="U1826" s="20">
        <f>IF(OR(G1826="",AND(I1826&lt;&gt;"Transferencia",I1826&lt;&gt;"Pago tarjeta")),"",IF(IFERROR(INDEX(ctaMon,MATCH(G1826,ctaNom,0))&amp;"","DOP")=N1826,C1826,IF(N1826="USD",C1826*TasaUSD,C1826/TasaUSD)))</f>
        <v/>
      </c>
      <c r="V1826" s="20">
        <f>IF(I1826="","",IF(IFERROR(INDEX(ctaLiq,MATCH(E1826,ctaNom,0))="Sí",FALSE),IF(OR(I1826="Gasto",I1826="Transferencia",I1826="Pago tarjeta"),-1,1)*O1826,0)+IF(AND(U1826&lt;&gt;"",IFERROR(INDEX(ctaLiq,MATCH(G1826,ctaNom,0))="Sí",FALSE)),O1826,0))</f>
        <v/>
      </c>
      <c r="W1826" s="19">
        <f>IF(OR(F1826="",I1826=""),"",IF(COUNTIFS(F$6:F1826,F1826,I$6:I1826,"?*")=1,MAX(W$5:W1825)+1,""))</f>
        <v/>
      </c>
    </row>
    <row r="1827">
      <c r="B1827" s="15" t="n"/>
      <c r="C1827" s="16" t="n"/>
      <c r="D1827" s="17" t="n"/>
      <c r="E1827" s="17" t="n"/>
      <c r="F1827" s="17" t="n"/>
      <c r="G1827" s="17" t="n"/>
      <c r="H1827" s="18">
        <f>IF(AND(B1827="",C1827="",D1827="",E1827=""),"",IF(B1827="","⚠ Falta fecha",IF(C1827="","⚠ Falta monto",IF(D1827="","⚠ Falta categoría",IF(ISNA(MATCH(D1827,catNom,0)),"⚠ Categoría no existe",IF(E1827="","⚠ Falta cuenta",IF(ISNA(MATCH(E1827,ctaNom,0)),"⚠ Cuenta no existe",IF(AND(OR(I1827="Transferencia",I1827="Pago tarjeta"),G1827=""),"⚠ Indica la cuenta «Hacia»",IF(AND(G1827&lt;&gt;"",G1827=E1827),"⚠ «Hacia» igual a la cuenta",IF(AND(G1827&lt;&gt;"",ISNA(MATCH(G1827,ctaNom,0))),"⚠ «Hacia» no existe",IF(AND(I1827="Pago tarjeta",IFERROR(INDEX(ctaTipo,MATCH(G1827,ctaNom,0)),"")&lt;&gt;"Tarjeta de crédito"),"⚠ «Hacia» debe ser la tarjeta",IF(AND(I1827="Trading",IFERROR(INDEX(ctaTipo,MATCH(E1827,ctaNom,0)),"")&lt;&gt;"Cuenta de trading"),"⚠ Usa la cuenta de trading","✓"))))))))))))</f>
        <v/>
      </c>
      <c r="I1827" s="19">
        <f>IF(OR(B1827="",C1827="",D1827=""),"",IFERROR(INDEX(catTipo,MATCH(D1827,catNom,0))&amp;"",""))</f>
        <v/>
      </c>
      <c r="J1827" s="19">
        <f>IF(I1827="","",IFERROR(INDEX(catGrupo,MATCH(D1827,catNom,0))&amp;"",""))</f>
        <v/>
      </c>
      <c r="K1827" s="19">
        <f>IF(I1827="Gasto",IF(IFERROR(INDEX(catClas,MATCH(D1827,catNom,0))&amp;"","")="","Variable",IFERROR(INDEX(catClas,MATCH(D1827,catNom,0))&amp;"","")),"")</f>
        <v/>
      </c>
      <c r="L1827" s="19">
        <f>IF(I1827="","",IFERROR(INDEX(catAlim,MATCH(D1827,catNom,0))&amp;"",""))</f>
        <v/>
      </c>
      <c r="M1827" s="19">
        <f>IF(I1827="","",IFERROR(INDEX(catComida,MATCH(D1827,catNom,0))&amp;"",""))</f>
        <v/>
      </c>
      <c r="N1827" s="19">
        <f>IF(I1827="","",IFERROR(INDEX(ctaMon,MATCH(E1827,ctaNom,0))&amp;"","DOP"))</f>
        <v/>
      </c>
      <c r="O1827" s="20">
        <f>IF(I1827="","",C1827*IF(N1827="USD",TasaUSD,1))</f>
        <v/>
      </c>
      <c r="P1827" s="20">
        <f>IF(I1827="","",IF(I1827="Gasto",O1827,0))</f>
        <v/>
      </c>
      <c r="Q1827" s="20">
        <f>IF(I1827="","",IF(I1827="Ingreso",O1827,0))</f>
        <v/>
      </c>
      <c r="R1827" s="20">
        <f>IF(I1827="","",IF(I1827="Trading",O1827,0))</f>
        <v/>
      </c>
      <c r="S1827" s="19">
        <f>IF(I1827="","",IF(AND(I1827="Gasto",K1827="Variable",J1827&lt;&gt;"Trading",O1827&gt;0,O1827&lt;=Umbral),1,0))</f>
        <v/>
      </c>
      <c r="T1827" s="20">
        <f>IF(OR(I1827="",E1827=""),"",IF(OR(I1827="Gasto",I1827="Transferencia",I1827="Pago tarjeta"),-1,1)*C1827)</f>
        <v/>
      </c>
      <c r="U1827" s="20">
        <f>IF(OR(G1827="",AND(I1827&lt;&gt;"Transferencia",I1827&lt;&gt;"Pago tarjeta")),"",IF(IFERROR(INDEX(ctaMon,MATCH(G1827,ctaNom,0))&amp;"","DOP")=N1827,C1827,IF(N1827="USD",C1827*TasaUSD,C1827/TasaUSD)))</f>
        <v/>
      </c>
      <c r="V1827" s="20">
        <f>IF(I1827="","",IF(IFERROR(INDEX(ctaLiq,MATCH(E1827,ctaNom,0))="Sí",FALSE),IF(OR(I1827="Gasto",I1827="Transferencia",I1827="Pago tarjeta"),-1,1)*O1827,0)+IF(AND(U1827&lt;&gt;"",IFERROR(INDEX(ctaLiq,MATCH(G1827,ctaNom,0))="Sí",FALSE)),O1827,0))</f>
        <v/>
      </c>
      <c r="W1827" s="19">
        <f>IF(OR(F1827="",I1827=""),"",IF(COUNTIFS(F$6:F1827,F1827,I$6:I1827,"?*")=1,MAX(W$5:W1826)+1,""))</f>
        <v/>
      </c>
    </row>
    <row r="1828">
      <c r="B1828" s="15" t="n"/>
      <c r="C1828" s="16" t="n"/>
      <c r="D1828" s="17" t="n"/>
      <c r="E1828" s="17" t="n"/>
      <c r="F1828" s="17" t="n"/>
      <c r="G1828" s="17" t="n"/>
      <c r="H1828" s="18">
        <f>IF(AND(B1828="",C1828="",D1828="",E1828=""),"",IF(B1828="","⚠ Falta fecha",IF(C1828="","⚠ Falta monto",IF(D1828="","⚠ Falta categoría",IF(ISNA(MATCH(D1828,catNom,0)),"⚠ Categoría no existe",IF(E1828="","⚠ Falta cuenta",IF(ISNA(MATCH(E1828,ctaNom,0)),"⚠ Cuenta no existe",IF(AND(OR(I1828="Transferencia",I1828="Pago tarjeta"),G1828=""),"⚠ Indica la cuenta «Hacia»",IF(AND(G1828&lt;&gt;"",G1828=E1828),"⚠ «Hacia» igual a la cuenta",IF(AND(G1828&lt;&gt;"",ISNA(MATCH(G1828,ctaNom,0))),"⚠ «Hacia» no existe",IF(AND(I1828="Pago tarjeta",IFERROR(INDEX(ctaTipo,MATCH(G1828,ctaNom,0)),"")&lt;&gt;"Tarjeta de crédito"),"⚠ «Hacia» debe ser la tarjeta",IF(AND(I1828="Trading",IFERROR(INDEX(ctaTipo,MATCH(E1828,ctaNom,0)),"")&lt;&gt;"Cuenta de trading"),"⚠ Usa la cuenta de trading","✓"))))))))))))</f>
        <v/>
      </c>
      <c r="I1828" s="19">
        <f>IF(OR(B1828="",C1828="",D1828=""),"",IFERROR(INDEX(catTipo,MATCH(D1828,catNom,0))&amp;"",""))</f>
        <v/>
      </c>
      <c r="J1828" s="19">
        <f>IF(I1828="","",IFERROR(INDEX(catGrupo,MATCH(D1828,catNom,0))&amp;"",""))</f>
        <v/>
      </c>
      <c r="K1828" s="19">
        <f>IF(I1828="Gasto",IF(IFERROR(INDEX(catClas,MATCH(D1828,catNom,0))&amp;"","")="","Variable",IFERROR(INDEX(catClas,MATCH(D1828,catNom,0))&amp;"","")),"")</f>
        <v/>
      </c>
      <c r="L1828" s="19">
        <f>IF(I1828="","",IFERROR(INDEX(catAlim,MATCH(D1828,catNom,0))&amp;"",""))</f>
        <v/>
      </c>
      <c r="M1828" s="19">
        <f>IF(I1828="","",IFERROR(INDEX(catComida,MATCH(D1828,catNom,0))&amp;"",""))</f>
        <v/>
      </c>
      <c r="N1828" s="19">
        <f>IF(I1828="","",IFERROR(INDEX(ctaMon,MATCH(E1828,ctaNom,0))&amp;"","DOP"))</f>
        <v/>
      </c>
      <c r="O1828" s="20">
        <f>IF(I1828="","",C1828*IF(N1828="USD",TasaUSD,1))</f>
        <v/>
      </c>
      <c r="P1828" s="20">
        <f>IF(I1828="","",IF(I1828="Gasto",O1828,0))</f>
        <v/>
      </c>
      <c r="Q1828" s="20">
        <f>IF(I1828="","",IF(I1828="Ingreso",O1828,0))</f>
        <v/>
      </c>
      <c r="R1828" s="20">
        <f>IF(I1828="","",IF(I1828="Trading",O1828,0))</f>
        <v/>
      </c>
      <c r="S1828" s="19">
        <f>IF(I1828="","",IF(AND(I1828="Gasto",K1828="Variable",J1828&lt;&gt;"Trading",O1828&gt;0,O1828&lt;=Umbral),1,0))</f>
        <v/>
      </c>
      <c r="T1828" s="20">
        <f>IF(OR(I1828="",E1828=""),"",IF(OR(I1828="Gasto",I1828="Transferencia",I1828="Pago tarjeta"),-1,1)*C1828)</f>
        <v/>
      </c>
      <c r="U1828" s="20">
        <f>IF(OR(G1828="",AND(I1828&lt;&gt;"Transferencia",I1828&lt;&gt;"Pago tarjeta")),"",IF(IFERROR(INDEX(ctaMon,MATCH(G1828,ctaNom,0))&amp;"","DOP")=N1828,C1828,IF(N1828="USD",C1828*TasaUSD,C1828/TasaUSD)))</f>
        <v/>
      </c>
      <c r="V1828" s="20">
        <f>IF(I1828="","",IF(IFERROR(INDEX(ctaLiq,MATCH(E1828,ctaNom,0))="Sí",FALSE),IF(OR(I1828="Gasto",I1828="Transferencia",I1828="Pago tarjeta"),-1,1)*O1828,0)+IF(AND(U1828&lt;&gt;"",IFERROR(INDEX(ctaLiq,MATCH(G1828,ctaNom,0))="Sí",FALSE)),O1828,0))</f>
        <v/>
      </c>
      <c r="W1828" s="19">
        <f>IF(OR(F1828="",I1828=""),"",IF(COUNTIFS(F$6:F1828,F1828,I$6:I1828,"?*")=1,MAX(W$5:W1827)+1,""))</f>
        <v/>
      </c>
    </row>
    <row r="1829">
      <c r="B1829" s="15" t="n"/>
      <c r="C1829" s="16" t="n"/>
      <c r="D1829" s="17" t="n"/>
      <c r="E1829" s="17" t="n"/>
      <c r="F1829" s="17" t="n"/>
      <c r="G1829" s="17" t="n"/>
      <c r="H1829" s="18">
        <f>IF(AND(B1829="",C1829="",D1829="",E1829=""),"",IF(B1829="","⚠ Falta fecha",IF(C1829="","⚠ Falta monto",IF(D1829="","⚠ Falta categoría",IF(ISNA(MATCH(D1829,catNom,0)),"⚠ Categoría no existe",IF(E1829="","⚠ Falta cuenta",IF(ISNA(MATCH(E1829,ctaNom,0)),"⚠ Cuenta no existe",IF(AND(OR(I1829="Transferencia",I1829="Pago tarjeta"),G1829=""),"⚠ Indica la cuenta «Hacia»",IF(AND(G1829&lt;&gt;"",G1829=E1829),"⚠ «Hacia» igual a la cuenta",IF(AND(G1829&lt;&gt;"",ISNA(MATCH(G1829,ctaNom,0))),"⚠ «Hacia» no existe",IF(AND(I1829="Pago tarjeta",IFERROR(INDEX(ctaTipo,MATCH(G1829,ctaNom,0)),"")&lt;&gt;"Tarjeta de crédito"),"⚠ «Hacia» debe ser la tarjeta",IF(AND(I1829="Trading",IFERROR(INDEX(ctaTipo,MATCH(E1829,ctaNom,0)),"")&lt;&gt;"Cuenta de trading"),"⚠ Usa la cuenta de trading","✓"))))))))))))</f>
        <v/>
      </c>
      <c r="I1829" s="19">
        <f>IF(OR(B1829="",C1829="",D1829=""),"",IFERROR(INDEX(catTipo,MATCH(D1829,catNom,0))&amp;"",""))</f>
        <v/>
      </c>
      <c r="J1829" s="19">
        <f>IF(I1829="","",IFERROR(INDEX(catGrupo,MATCH(D1829,catNom,0))&amp;"",""))</f>
        <v/>
      </c>
      <c r="K1829" s="19">
        <f>IF(I1829="Gasto",IF(IFERROR(INDEX(catClas,MATCH(D1829,catNom,0))&amp;"","")="","Variable",IFERROR(INDEX(catClas,MATCH(D1829,catNom,0))&amp;"","")),"")</f>
        <v/>
      </c>
      <c r="L1829" s="19">
        <f>IF(I1829="","",IFERROR(INDEX(catAlim,MATCH(D1829,catNom,0))&amp;"",""))</f>
        <v/>
      </c>
      <c r="M1829" s="19">
        <f>IF(I1829="","",IFERROR(INDEX(catComida,MATCH(D1829,catNom,0))&amp;"",""))</f>
        <v/>
      </c>
      <c r="N1829" s="19">
        <f>IF(I1829="","",IFERROR(INDEX(ctaMon,MATCH(E1829,ctaNom,0))&amp;"","DOP"))</f>
        <v/>
      </c>
      <c r="O1829" s="20">
        <f>IF(I1829="","",C1829*IF(N1829="USD",TasaUSD,1))</f>
        <v/>
      </c>
      <c r="P1829" s="20">
        <f>IF(I1829="","",IF(I1829="Gasto",O1829,0))</f>
        <v/>
      </c>
      <c r="Q1829" s="20">
        <f>IF(I1829="","",IF(I1829="Ingreso",O1829,0))</f>
        <v/>
      </c>
      <c r="R1829" s="20">
        <f>IF(I1829="","",IF(I1829="Trading",O1829,0))</f>
        <v/>
      </c>
      <c r="S1829" s="19">
        <f>IF(I1829="","",IF(AND(I1829="Gasto",K1829="Variable",J1829&lt;&gt;"Trading",O1829&gt;0,O1829&lt;=Umbral),1,0))</f>
        <v/>
      </c>
      <c r="T1829" s="20">
        <f>IF(OR(I1829="",E1829=""),"",IF(OR(I1829="Gasto",I1829="Transferencia",I1829="Pago tarjeta"),-1,1)*C1829)</f>
        <v/>
      </c>
      <c r="U1829" s="20">
        <f>IF(OR(G1829="",AND(I1829&lt;&gt;"Transferencia",I1829&lt;&gt;"Pago tarjeta")),"",IF(IFERROR(INDEX(ctaMon,MATCH(G1829,ctaNom,0))&amp;"","DOP")=N1829,C1829,IF(N1829="USD",C1829*TasaUSD,C1829/TasaUSD)))</f>
        <v/>
      </c>
      <c r="V1829" s="20">
        <f>IF(I1829="","",IF(IFERROR(INDEX(ctaLiq,MATCH(E1829,ctaNom,0))="Sí",FALSE),IF(OR(I1829="Gasto",I1829="Transferencia",I1829="Pago tarjeta"),-1,1)*O1829,0)+IF(AND(U1829&lt;&gt;"",IFERROR(INDEX(ctaLiq,MATCH(G1829,ctaNom,0))="Sí",FALSE)),O1829,0))</f>
        <v/>
      </c>
      <c r="W1829" s="19">
        <f>IF(OR(F1829="",I1829=""),"",IF(COUNTIFS(F$6:F1829,F1829,I$6:I1829,"?*")=1,MAX(W$5:W1828)+1,""))</f>
        <v/>
      </c>
    </row>
    <row r="1830">
      <c r="B1830" s="15" t="n"/>
      <c r="C1830" s="16" t="n"/>
      <c r="D1830" s="17" t="n"/>
      <c r="E1830" s="17" t="n"/>
      <c r="F1830" s="17" t="n"/>
      <c r="G1830" s="17" t="n"/>
      <c r="H1830" s="18">
        <f>IF(AND(B1830="",C1830="",D1830="",E1830=""),"",IF(B1830="","⚠ Falta fecha",IF(C1830="","⚠ Falta monto",IF(D1830="","⚠ Falta categoría",IF(ISNA(MATCH(D1830,catNom,0)),"⚠ Categoría no existe",IF(E1830="","⚠ Falta cuenta",IF(ISNA(MATCH(E1830,ctaNom,0)),"⚠ Cuenta no existe",IF(AND(OR(I1830="Transferencia",I1830="Pago tarjeta"),G1830=""),"⚠ Indica la cuenta «Hacia»",IF(AND(G1830&lt;&gt;"",G1830=E1830),"⚠ «Hacia» igual a la cuenta",IF(AND(G1830&lt;&gt;"",ISNA(MATCH(G1830,ctaNom,0))),"⚠ «Hacia» no existe",IF(AND(I1830="Pago tarjeta",IFERROR(INDEX(ctaTipo,MATCH(G1830,ctaNom,0)),"")&lt;&gt;"Tarjeta de crédito"),"⚠ «Hacia» debe ser la tarjeta",IF(AND(I1830="Trading",IFERROR(INDEX(ctaTipo,MATCH(E1830,ctaNom,0)),"")&lt;&gt;"Cuenta de trading"),"⚠ Usa la cuenta de trading","✓"))))))))))))</f>
        <v/>
      </c>
      <c r="I1830" s="19">
        <f>IF(OR(B1830="",C1830="",D1830=""),"",IFERROR(INDEX(catTipo,MATCH(D1830,catNom,0))&amp;"",""))</f>
        <v/>
      </c>
      <c r="J1830" s="19">
        <f>IF(I1830="","",IFERROR(INDEX(catGrupo,MATCH(D1830,catNom,0))&amp;"",""))</f>
        <v/>
      </c>
      <c r="K1830" s="19">
        <f>IF(I1830="Gasto",IF(IFERROR(INDEX(catClas,MATCH(D1830,catNom,0))&amp;"","")="","Variable",IFERROR(INDEX(catClas,MATCH(D1830,catNom,0))&amp;"","")),"")</f>
        <v/>
      </c>
      <c r="L1830" s="19">
        <f>IF(I1830="","",IFERROR(INDEX(catAlim,MATCH(D1830,catNom,0))&amp;"",""))</f>
        <v/>
      </c>
      <c r="M1830" s="19">
        <f>IF(I1830="","",IFERROR(INDEX(catComida,MATCH(D1830,catNom,0))&amp;"",""))</f>
        <v/>
      </c>
      <c r="N1830" s="19">
        <f>IF(I1830="","",IFERROR(INDEX(ctaMon,MATCH(E1830,ctaNom,0))&amp;"","DOP"))</f>
        <v/>
      </c>
      <c r="O1830" s="20">
        <f>IF(I1830="","",C1830*IF(N1830="USD",TasaUSD,1))</f>
        <v/>
      </c>
      <c r="P1830" s="20">
        <f>IF(I1830="","",IF(I1830="Gasto",O1830,0))</f>
        <v/>
      </c>
      <c r="Q1830" s="20">
        <f>IF(I1830="","",IF(I1830="Ingreso",O1830,0))</f>
        <v/>
      </c>
      <c r="R1830" s="20">
        <f>IF(I1830="","",IF(I1830="Trading",O1830,0))</f>
        <v/>
      </c>
      <c r="S1830" s="19">
        <f>IF(I1830="","",IF(AND(I1830="Gasto",K1830="Variable",J1830&lt;&gt;"Trading",O1830&gt;0,O1830&lt;=Umbral),1,0))</f>
        <v/>
      </c>
      <c r="T1830" s="20">
        <f>IF(OR(I1830="",E1830=""),"",IF(OR(I1830="Gasto",I1830="Transferencia",I1830="Pago tarjeta"),-1,1)*C1830)</f>
        <v/>
      </c>
      <c r="U1830" s="20">
        <f>IF(OR(G1830="",AND(I1830&lt;&gt;"Transferencia",I1830&lt;&gt;"Pago tarjeta")),"",IF(IFERROR(INDEX(ctaMon,MATCH(G1830,ctaNom,0))&amp;"","DOP")=N1830,C1830,IF(N1830="USD",C1830*TasaUSD,C1830/TasaUSD)))</f>
        <v/>
      </c>
      <c r="V1830" s="20">
        <f>IF(I1830="","",IF(IFERROR(INDEX(ctaLiq,MATCH(E1830,ctaNom,0))="Sí",FALSE),IF(OR(I1830="Gasto",I1830="Transferencia",I1830="Pago tarjeta"),-1,1)*O1830,0)+IF(AND(U1830&lt;&gt;"",IFERROR(INDEX(ctaLiq,MATCH(G1830,ctaNom,0))="Sí",FALSE)),O1830,0))</f>
        <v/>
      </c>
      <c r="W1830" s="19">
        <f>IF(OR(F1830="",I1830=""),"",IF(COUNTIFS(F$6:F1830,F1830,I$6:I1830,"?*")=1,MAX(W$5:W1829)+1,""))</f>
        <v/>
      </c>
    </row>
    <row r="1831">
      <c r="B1831" s="15" t="n"/>
      <c r="C1831" s="16" t="n"/>
      <c r="D1831" s="17" t="n"/>
      <c r="E1831" s="17" t="n"/>
      <c r="F1831" s="17" t="n"/>
      <c r="G1831" s="17" t="n"/>
      <c r="H1831" s="18">
        <f>IF(AND(B1831="",C1831="",D1831="",E1831=""),"",IF(B1831="","⚠ Falta fecha",IF(C1831="","⚠ Falta monto",IF(D1831="","⚠ Falta categoría",IF(ISNA(MATCH(D1831,catNom,0)),"⚠ Categoría no existe",IF(E1831="","⚠ Falta cuenta",IF(ISNA(MATCH(E1831,ctaNom,0)),"⚠ Cuenta no existe",IF(AND(OR(I1831="Transferencia",I1831="Pago tarjeta"),G1831=""),"⚠ Indica la cuenta «Hacia»",IF(AND(G1831&lt;&gt;"",G1831=E1831),"⚠ «Hacia» igual a la cuenta",IF(AND(G1831&lt;&gt;"",ISNA(MATCH(G1831,ctaNom,0))),"⚠ «Hacia» no existe",IF(AND(I1831="Pago tarjeta",IFERROR(INDEX(ctaTipo,MATCH(G1831,ctaNom,0)),"")&lt;&gt;"Tarjeta de crédito"),"⚠ «Hacia» debe ser la tarjeta",IF(AND(I1831="Trading",IFERROR(INDEX(ctaTipo,MATCH(E1831,ctaNom,0)),"")&lt;&gt;"Cuenta de trading"),"⚠ Usa la cuenta de trading","✓"))))))))))))</f>
        <v/>
      </c>
      <c r="I1831" s="19">
        <f>IF(OR(B1831="",C1831="",D1831=""),"",IFERROR(INDEX(catTipo,MATCH(D1831,catNom,0))&amp;"",""))</f>
        <v/>
      </c>
      <c r="J1831" s="19">
        <f>IF(I1831="","",IFERROR(INDEX(catGrupo,MATCH(D1831,catNom,0))&amp;"",""))</f>
        <v/>
      </c>
      <c r="K1831" s="19">
        <f>IF(I1831="Gasto",IF(IFERROR(INDEX(catClas,MATCH(D1831,catNom,0))&amp;"","")="","Variable",IFERROR(INDEX(catClas,MATCH(D1831,catNom,0))&amp;"","")),"")</f>
        <v/>
      </c>
      <c r="L1831" s="19">
        <f>IF(I1831="","",IFERROR(INDEX(catAlim,MATCH(D1831,catNom,0))&amp;"",""))</f>
        <v/>
      </c>
      <c r="M1831" s="19">
        <f>IF(I1831="","",IFERROR(INDEX(catComida,MATCH(D1831,catNom,0))&amp;"",""))</f>
        <v/>
      </c>
      <c r="N1831" s="19">
        <f>IF(I1831="","",IFERROR(INDEX(ctaMon,MATCH(E1831,ctaNom,0))&amp;"","DOP"))</f>
        <v/>
      </c>
      <c r="O1831" s="20">
        <f>IF(I1831="","",C1831*IF(N1831="USD",TasaUSD,1))</f>
        <v/>
      </c>
      <c r="P1831" s="20">
        <f>IF(I1831="","",IF(I1831="Gasto",O1831,0))</f>
        <v/>
      </c>
      <c r="Q1831" s="20">
        <f>IF(I1831="","",IF(I1831="Ingreso",O1831,0))</f>
        <v/>
      </c>
      <c r="R1831" s="20">
        <f>IF(I1831="","",IF(I1831="Trading",O1831,0))</f>
        <v/>
      </c>
      <c r="S1831" s="19">
        <f>IF(I1831="","",IF(AND(I1831="Gasto",K1831="Variable",J1831&lt;&gt;"Trading",O1831&gt;0,O1831&lt;=Umbral),1,0))</f>
        <v/>
      </c>
      <c r="T1831" s="20">
        <f>IF(OR(I1831="",E1831=""),"",IF(OR(I1831="Gasto",I1831="Transferencia",I1831="Pago tarjeta"),-1,1)*C1831)</f>
        <v/>
      </c>
      <c r="U1831" s="20">
        <f>IF(OR(G1831="",AND(I1831&lt;&gt;"Transferencia",I1831&lt;&gt;"Pago tarjeta")),"",IF(IFERROR(INDEX(ctaMon,MATCH(G1831,ctaNom,0))&amp;"","DOP")=N1831,C1831,IF(N1831="USD",C1831*TasaUSD,C1831/TasaUSD)))</f>
        <v/>
      </c>
      <c r="V1831" s="20">
        <f>IF(I1831="","",IF(IFERROR(INDEX(ctaLiq,MATCH(E1831,ctaNom,0))="Sí",FALSE),IF(OR(I1831="Gasto",I1831="Transferencia",I1831="Pago tarjeta"),-1,1)*O1831,0)+IF(AND(U1831&lt;&gt;"",IFERROR(INDEX(ctaLiq,MATCH(G1831,ctaNom,0))="Sí",FALSE)),O1831,0))</f>
        <v/>
      </c>
      <c r="W1831" s="19">
        <f>IF(OR(F1831="",I1831=""),"",IF(COUNTIFS(F$6:F1831,F1831,I$6:I1831,"?*")=1,MAX(W$5:W1830)+1,""))</f>
        <v/>
      </c>
    </row>
    <row r="1832">
      <c r="B1832" s="15" t="n"/>
      <c r="C1832" s="16" t="n"/>
      <c r="D1832" s="17" t="n"/>
      <c r="E1832" s="17" t="n"/>
      <c r="F1832" s="17" t="n"/>
      <c r="G1832" s="17" t="n"/>
      <c r="H1832" s="18">
        <f>IF(AND(B1832="",C1832="",D1832="",E1832=""),"",IF(B1832="","⚠ Falta fecha",IF(C1832="","⚠ Falta monto",IF(D1832="","⚠ Falta categoría",IF(ISNA(MATCH(D1832,catNom,0)),"⚠ Categoría no existe",IF(E1832="","⚠ Falta cuenta",IF(ISNA(MATCH(E1832,ctaNom,0)),"⚠ Cuenta no existe",IF(AND(OR(I1832="Transferencia",I1832="Pago tarjeta"),G1832=""),"⚠ Indica la cuenta «Hacia»",IF(AND(G1832&lt;&gt;"",G1832=E1832),"⚠ «Hacia» igual a la cuenta",IF(AND(G1832&lt;&gt;"",ISNA(MATCH(G1832,ctaNom,0))),"⚠ «Hacia» no existe",IF(AND(I1832="Pago tarjeta",IFERROR(INDEX(ctaTipo,MATCH(G1832,ctaNom,0)),"")&lt;&gt;"Tarjeta de crédito"),"⚠ «Hacia» debe ser la tarjeta",IF(AND(I1832="Trading",IFERROR(INDEX(ctaTipo,MATCH(E1832,ctaNom,0)),"")&lt;&gt;"Cuenta de trading"),"⚠ Usa la cuenta de trading","✓"))))))))))))</f>
        <v/>
      </c>
      <c r="I1832" s="19">
        <f>IF(OR(B1832="",C1832="",D1832=""),"",IFERROR(INDEX(catTipo,MATCH(D1832,catNom,0))&amp;"",""))</f>
        <v/>
      </c>
      <c r="J1832" s="19">
        <f>IF(I1832="","",IFERROR(INDEX(catGrupo,MATCH(D1832,catNom,0))&amp;"",""))</f>
        <v/>
      </c>
      <c r="K1832" s="19">
        <f>IF(I1832="Gasto",IF(IFERROR(INDEX(catClas,MATCH(D1832,catNom,0))&amp;"","")="","Variable",IFERROR(INDEX(catClas,MATCH(D1832,catNom,0))&amp;"","")),"")</f>
        <v/>
      </c>
      <c r="L1832" s="19">
        <f>IF(I1832="","",IFERROR(INDEX(catAlim,MATCH(D1832,catNom,0))&amp;"",""))</f>
        <v/>
      </c>
      <c r="M1832" s="19">
        <f>IF(I1832="","",IFERROR(INDEX(catComida,MATCH(D1832,catNom,0))&amp;"",""))</f>
        <v/>
      </c>
      <c r="N1832" s="19">
        <f>IF(I1832="","",IFERROR(INDEX(ctaMon,MATCH(E1832,ctaNom,0))&amp;"","DOP"))</f>
        <v/>
      </c>
      <c r="O1832" s="20">
        <f>IF(I1832="","",C1832*IF(N1832="USD",TasaUSD,1))</f>
        <v/>
      </c>
      <c r="P1832" s="20">
        <f>IF(I1832="","",IF(I1832="Gasto",O1832,0))</f>
        <v/>
      </c>
      <c r="Q1832" s="20">
        <f>IF(I1832="","",IF(I1832="Ingreso",O1832,0))</f>
        <v/>
      </c>
      <c r="R1832" s="20">
        <f>IF(I1832="","",IF(I1832="Trading",O1832,0))</f>
        <v/>
      </c>
      <c r="S1832" s="19">
        <f>IF(I1832="","",IF(AND(I1832="Gasto",K1832="Variable",J1832&lt;&gt;"Trading",O1832&gt;0,O1832&lt;=Umbral),1,0))</f>
        <v/>
      </c>
      <c r="T1832" s="20">
        <f>IF(OR(I1832="",E1832=""),"",IF(OR(I1832="Gasto",I1832="Transferencia",I1832="Pago tarjeta"),-1,1)*C1832)</f>
        <v/>
      </c>
      <c r="U1832" s="20">
        <f>IF(OR(G1832="",AND(I1832&lt;&gt;"Transferencia",I1832&lt;&gt;"Pago tarjeta")),"",IF(IFERROR(INDEX(ctaMon,MATCH(G1832,ctaNom,0))&amp;"","DOP")=N1832,C1832,IF(N1832="USD",C1832*TasaUSD,C1832/TasaUSD)))</f>
        <v/>
      </c>
      <c r="V1832" s="20">
        <f>IF(I1832="","",IF(IFERROR(INDEX(ctaLiq,MATCH(E1832,ctaNom,0))="Sí",FALSE),IF(OR(I1832="Gasto",I1832="Transferencia",I1832="Pago tarjeta"),-1,1)*O1832,0)+IF(AND(U1832&lt;&gt;"",IFERROR(INDEX(ctaLiq,MATCH(G1832,ctaNom,0))="Sí",FALSE)),O1832,0))</f>
        <v/>
      </c>
      <c r="W1832" s="19">
        <f>IF(OR(F1832="",I1832=""),"",IF(COUNTIFS(F$6:F1832,F1832,I$6:I1832,"?*")=1,MAX(W$5:W1831)+1,""))</f>
        <v/>
      </c>
    </row>
    <row r="1833">
      <c r="B1833" s="15" t="n"/>
      <c r="C1833" s="16" t="n"/>
      <c r="D1833" s="17" t="n"/>
      <c r="E1833" s="17" t="n"/>
      <c r="F1833" s="17" t="n"/>
      <c r="G1833" s="17" t="n"/>
      <c r="H1833" s="18">
        <f>IF(AND(B1833="",C1833="",D1833="",E1833=""),"",IF(B1833="","⚠ Falta fecha",IF(C1833="","⚠ Falta monto",IF(D1833="","⚠ Falta categoría",IF(ISNA(MATCH(D1833,catNom,0)),"⚠ Categoría no existe",IF(E1833="","⚠ Falta cuenta",IF(ISNA(MATCH(E1833,ctaNom,0)),"⚠ Cuenta no existe",IF(AND(OR(I1833="Transferencia",I1833="Pago tarjeta"),G1833=""),"⚠ Indica la cuenta «Hacia»",IF(AND(G1833&lt;&gt;"",G1833=E1833),"⚠ «Hacia» igual a la cuenta",IF(AND(G1833&lt;&gt;"",ISNA(MATCH(G1833,ctaNom,0))),"⚠ «Hacia» no existe",IF(AND(I1833="Pago tarjeta",IFERROR(INDEX(ctaTipo,MATCH(G1833,ctaNom,0)),"")&lt;&gt;"Tarjeta de crédito"),"⚠ «Hacia» debe ser la tarjeta",IF(AND(I1833="Trading",IFERROR(INDEX(ctaTipo,MATCH(E1833,ctaNom,0)),"")&lt;&gt;"Cuenta de trading"),"⚠ Usa la cuenta de trading","✓"))))))))))))</f>
        <v/>
      </c>
      <c r="I1833" s="19">
        <f>IF(OR(B1833="",C1833="",D1833=""),"",IFERROR(INDEX(catTipo,MATCH(D1833,catNom,0))&amp;"",""))</f>
        <v/>
      </c>
      <c r="J1833" s="19">
        <f>IF(I1833="","",IFERROR(INDEX(catGrupo,MATCH(D1833,catNom,0))&amp;"",""))</f>
        <v/>
      </c>
      <c r="K1833" s="19">
        <f>IF(I1833="Gasto",IF(IFERROR(INDEX(catClas,MATCH(D1833,catNom,0))&amp;"","")="","Variable",IFERROR(INDEX(catClas,MATCH(D1833,catNom,0))&amp;"","")),"")</f>
        <v/>
      </c>
      <c r="L1833" s="19">
        <f>IF(I1833="","",IFERROR(INDEX(catAlim,MATCH(D1833,catNom,0))&amp;"",""))</f>
        <v/>
      </c>
      <c r="M1833" s="19">
        <f>IF(I1833="","",IFERROR(INDEX(catComida,MATCH(D1833,catNom,0))&amp;"",""))</f>
        <v/>
      </c>
      <c r="N1833" s="19">
        <f>IF(I1833="","",IFERROR(INDEX(ctaMon,MATCH(E1833,ctaNom,0))&amp;"","DOP"))</f>
        <v/>
      </c>
      <c r="O1833" s="20">
        <f>IF(I1833="","",C1833*IF(N1833="USD",TasaUSD,1))</f>
        <v/>
      </c>
      <c r="P1833" s="20">
        <f>IF(I1833="","",IF(I1833="Gasto",O1833,0))</f>
        <v/>
      </c>
      <c r="Q1833" s="20">
        <f>IF(I1833="","",IF(I1833="Ingreso",O1833,0))</f>
        <v/>
      </c>
      <c r="R1833" s="20">
        <f>IF(I1833="","",IF(I1833="Trading",O1833,0))</f>
        <v/>
      </c>
      <c r="S1833" s="19">
        <f>IF(I1833="","",IF(AND(I1833="Gasto",K1833="Variable",J1833&lt;&gt;"Trading",O1833&gt;0,O1833&lt;=Umbral),1,0))</f>
        <v/>
      </c>
      <c r="T1833" s="20">
        <f>IF(OR(I1833="",E1833=""),"",IF(OR(I1833="Gasto",I1833="Transferencia",I1833="Pago tarjeta"),-1,1)*C1833)</f>
        <v/>
      </c>
      <c r="U1833" s="20">
        <f>IF(OR(G1833="",AND(I1833&lt;&gt;"Transferencia",I1833&lt;&gt;"Pago tarjeta")),"",IF(IFERROR(INDEX(ctaMon,MATCH(G1833,ctaNom,0))&amp;"","DOP")=N1833,C1833,IF(N1833="USD",C1833*TasaUSD,C1833/TasaUSD)))</f>
        <v/>
      </c>
      <c r="V1833" s="20">
        <f>IF(I1833="","",IF(IFERROR(INDEX(ctaLiq,MATCH(E1833,ctaNom,0))="Sí",FALSE),IF(OR(I1833="Gasto",I1833="Transferencia",I1833="Pago tarjeta"),-1,1)*O1833,0)+IF(AND(U1833&lt;&gt;"",IFERROR(INDEX(ctaLiq,MATCH(G1833,ctaNom,0))="Sí",FALSE)),O1833,0))</f>
        <v/>
      </c>
      <c r="W1833" s="19">
        <f>IF(OR(F1833="",I1833=""),"",IF(COUNTIFS(F$6:F1833,F1833,I$6:I1833,"?*")=1,MAX(W$5:W1832)+1,""))</f>
        <v/>
      </c>
    </row>
    <row r="1834">
      <c r="B1834" s="15" t="n"/>
      <c r="C1834" s="16" t="n"/>
      <c r="D1834" s="17" t="n"/>
      <c r="E1834" s="17" t="n"/>
      <c r="F1834" s="17" t="n"/>
      <c r="G1834" s="17" t="n"/>
      <c r="H1834" s="18">
        <f>IF(AND(B1834="",C1834="",D1834="",E1834=""),"",IF(B1834="","⚠ Falta fecha",IF(C1834="","⚠ Falta monto",IF(D1834="","⚠ Falta categoría",IF(ISNA(MATCH(D1834,catNom,0)),"⚠ Categoría no existe",IF(E1834="","⚠ Falta cuenta",IF(ISNA(MATCH(E1834,ctaNom,0)),"⚠ Cuenta no existe",IF(AND(OR(I1834="Transferencia",I1834="Pago tarjeta"),G1834=""),"⚠ Indica la cuenta «Hacia»",IF(AND(G1834&lt;&gt;"",G1834=E1834),"⚠ «Hacia» igual a la cuenta",IF(AND(G1834&lt;&gt;"",ISNA(MATCH(G1834,ctaNom,0))),"⚠ «Hacia» no existe",IF(AND(I1834="Pago tarjeta",IFERROR(INDEX(ctaTipo,MATCH(G1834,ctaNom,0)),"")&lt;&gt;"Tarjeta de crédito"),"⚠ «Hacia» debe ser la tarjeta",IF(AND(I1834="Trading",IFERROR(INDEX(ctaTipo,MATCH(E1834,ctaNom,0)),"")&lt;&gt;"Cuenta de trading"),"⚠ Usa la cuenta de trading","✓"))))))))))))</f>
        <v/>
      </c>
      <c r="I1834" s="19">
        <f>IF(OR(B1834="",C1834="",D1834=""),"",IFERROR(INDEX(catTipo,MATCH(D1834,catNom,0))&amp;"",""))</f>
        <v/>
      </c>
      <c r="J1834" s="19">
        <f>IF(I1834="","",IFERROR(INDEX(catGrupo,MATCH(D1834,catNom,0))&amp;"",""))</f>
        <v/>
      </c>
      <c r="K1834" s="19">
        <f>IF(I1834="Gasto",IF(IFERROR(INDEX(catClas,MATCH(D1834,catNom,0))&amp;"","")="","Variable",IFERROR(INDEX(catClas,MATCH(D1834,catNom,0))&amp;"","")),"")</f>
        <v/>
      </c>
      <c r="L1834" s="19">
        <f>IF(I1834="","",IFERROR(INDEX(catAlim,MATCH(D1834,catNom,0))&amp;"",""))</f>
        <v/>
      </c>
      <c r="M1834" s="19">
        <f>IF(I1834="","",IFERROR(INDEX(catComida,MATCH(D1834,catNom,0))&amp;"",""))</f>
        <v/>
      </c>
      <c r="N1834" s="19">
        <f>IF(I1834="","",IFERROR(INDEX(ctaMon,MATCH(E1834,ctaNom,0))&amp;"","DOP"))</f>
        <v/>
      </c>
      <c r="O1834" s="20">
        <f>IF(I1834="","",C1834*IF(N1834="USD",TasaUSD,1))</f>
        <v/>
      </c>
      <c r="P1834" s="20">
        <f>IF(I1834="","",IF(I1834="Gasto",O1834,0))</f>
        <v/>
      </c>
      <c r="Q1834" s="20">
        <f>IF(I1834="","",IF(I1834="Ingreso",O1834,0))</f>
        <v/>
      </c>
      <c r="R1834" s="20">
        <f>IF(I1834="","",IF(I1834="Trading",O1834,0))</f>
        <v/>
      </c>
      <c r="S1834" s="19">
        <f>IF(I1834="","",IF(AND(I1834="Gasto",K1834="Variable",J1834&lt;&gt;"Trading",O1834&gt;0,O1834&lt;=Umbral),1,0))</f>
        <v/>
      </c>
      <c r="T1834" s="20">
        <f>IF(OR(I1834="",E1834=""),"",IF(OR(I1834="Gasto",I1834="Transferencia",I1834="Pago tarjeta"),-1,1)*C1834)</f>
        <v/>
      </c>
      <c r="U1834" s="20">
        <f>IF(OR(G1834="",AND(I1834&lt;&gt;"Transferencia",I1834&lt;&gt;"Pago tarjeta")),"",IF(IFERROR(INDEX(ctaMon,MATCH(G1834,ctaNom,0))&amp;"","DOP")=N1834,C1834,IF(N1834="USD",C1834*TasaUSD,C1834/TasaUSD)))</f>
        <v/>
      </c>
      <c r="V1834" s="20">
        <f>IF(I1834="","",IF(IFERROR(INDEX(ctaLiq,MATCH(E1834,ctaNom,0))="Sí",FALSE),IF(OR(I1834="Gasto",I1834="Transferencia",I1834="Pago tarjeta"),-1,1)*O1834,0)+IF(AND(U1834&lt;&gt;"",IFERROR(INDEX(ctaLiq,MATCH(G1834,ctaNom,0))="Sí",FALSE)),O1834,0))</f>
        <v/>
      </c>
      <c r="W1834" s="19">
        <f>IF(OR(F1834="",I1834=""),"",IF(COUNTIFS(F$6:F1834,F1834,I$6:I1834,"?*")=1,MAX(W$5:W1833)+1,""))</f>
        <v/>
      </c>
    </row>
    <row r="1835">
      <c r="B1835" s="15" t="n"/>
      <c r="C1835" s="16" t="n"/>
      <c r="D1835" s="17" t="n"/>
      <c r="E1835" s="17" t="n"/>
      <c r="F1835" s="17" t="n"/>
      <c r="G1835" s="17" t="n"/>
      <c r="H1835" s="18">
        <f>IF(AND(B1835="",C1835="",D1835="",E1835=""),"",IF(B1835="","⚠ Falta fecha",IF(C1835="","⚠ Falta monto",IF(D1835="","⚠ Falta categoría",IF(ISNA(MATCH(D1835,catNom,0)),"⚠ Categoría no existe",IF(E1835="","⚠ Falta cuenta",IF(ISNA(MATCH(E1835,ctaNom,0)),"⚠ Cuenta no existe",IF(AND(OR(I1835="Transferencia",I1835="Pago tarjeta"),G1835=""),"⚠ Indica la cuenta «Hacia»",IF(AND(G1835&lt;&gt;"",G1835=E1835),"⚠ «Hacia» igual a la cuenta",IF(AND(G1835&lt;&gt;"",ISNA(MATCH(G1835,ctaNom,0))),"⚠ «Hacia» no existe",IF(AND(I1835="Pago tarjeta",IFERROR(INDEX(ctaTipo,MATCH(G1835,ctaNom,0)),"")&lt;&gt;"Tarjeta de crédito"),"⚠ «Hacia» debe ser la tarjeta",IF(AND(I1835="Trading",IFERROR(INDEX(ctaTipo,MATCH(E1835,ctaNom,0)),"")&lt;&gt;"Cuenta de trading"),"⚠ Usa la cuenta de trading","✓"))))))))))))</f>
        <v/>
      </c>
      <c r="I1835" s="19">
        <f>IF(OR(B1835="",C1835="",D1835=""),"",IFERROR(INDEX(catTipo,MATCH(D1835,catNom,0))&amp;"",""))</f>
        <v/>
      </c>
      <c r="J1835" s="19">
        <f>IF(I1835="","",IFERROR(INDEX(catGrupo,MATCH(D1835,catNom,0))&amp;"",""))</f>
        <v/>
      </c>
      <c r="K1835" s="19">
        <f>IF(I1835="Gasto",IF(IFERROR(INDEX(catClas,MATCH(D1835,catNom,0))&amp;"","")="","Variable",IFERROR(INDEX(catClas,MATCH(D1835,catNom,0))&amp;"","")),"")</f>
        <v/>
      </c>
      <c r="L1835" s="19">
        <f>IF(I1835="","",IFERROR(INDEX(catAlim,MATCH(D1835,catNom,0))&amp;"",""))</f>
        <v/>
      </c>
      <c r="M1835" s="19">
        <f>IF(I1835="","",IFERROR(INDEX(catComida,MATCH(D1835,catNom,0))&amp;"",""))</f>
        <v/>
      </c>
      <c r="N1835" s="19">
        <f>IF(I1835="","",IFERROR(INDEX(ctaMon,MATCH(E1835,ctaNom,0))&amp;"","DOP"))</f>
        <v/>
      </c>
      <c r="O1835" s="20">
        <f>IF(I1835="","",C1835*IF(N1835="USD",TasaUSD,1))</f>
        <v/>
      </c>
      <c r="P1835" s="20">
        <f>IF(I1835="","",IF(I1835="Gasto",O1835,0))</f>
        <v/>
      </c>
      <c r="Q1835" s="20">
        <f>IF(I1835="","",IF(I1835="Ingreso",O1835,0))</f>
        <v/>
      </c>
      <c r="R1835" s="20">
        <f>IF(I1835="","",IF(I1835="Trading",O1835,0))</f>
        <v/>
      </c>
      <c r="S1835" s="19">
        <f>IF(I1835="","",IF(AND(I1835="Gasto",K1835="Variable",J1835&lt;&gt;"Trading",O1835&gt;0,O1835&lt;=Umbral),1,0))</f>
        <v/>
      </c>
      <c r="T1835" s="20">
        <f>IF(OR(I1835="",E1835=""),"",IF(OR(I1835="Gasto",I1835="Transferencia",I1835="Pago tarjeta"),-1,1)*C1835)</f>
        <v/>
      </c>
      <c r="U1835" s="20">
        <f>IF(OR(G1835="",AND(I1835&lt;&gt;"Transferencia",I1835&lt;&gt;"Pago tarjeta")),"",IF(IFERROR(INDEX(ctaMon,MATCH(G1835,ctaNom,0))&amp;"","DOP")=N1835,C1835,IF(N1835="USD",C1835*TasaUSD,C1835/TasaUSD)))</f>
        <v/>
      </c>
      <c r="V1835" s="20">
        <f>IF(I1835="","",IF(IFERROR(INDEX(ctaLiq,MATCH(E1835,ctaNom,0))="Sí",FALSE),IF(OR(I1835="Gasto",I1835="Transferencia",I1835="Pago tarjeta"),-1,1)*O1835,0)+IF(AND(U1835&lt;&gt;"",IFERROR(INDEX(ctaLiq,MATCH(G1835,ctaNom,0))="Sí",FALSE)),O1835,0))</f>
        <v/>
      </c>
      <c r="W1835" s="19">
        <f>IF(OR(F1835="",I1835=""),"",IF(COUNTIFS(F$6:F1835,F1835,I$6:I1835,"?*")=1,MAX(W$5:W1834)+1,""))</f>
        <v/>
      </c>
    </row>
    <row r="1836">
      <c r="B1836" s="15" t="n"/>
      <c r="C1836" s="16" t="n"/>
      <c r="D1836" s="17" t="n"/>
      <c r="E1836" s="17" t="n"/>
      <c r="F1836" s="17" t="n"/>
      <c r="G1836" s="17" t="n"/>
      <c r="H1836" s="18">
        <f>IF(AND(B1836="",C1836="",D1836="",E1836=""),"",IF(B1836="","⚠ Falta fecha",IF(C1836="","⚠ Falta monto",IF(D1836="","⚠ Falta categoría",IF(ISNA(MATCH(D1836,catNom,0)),"⚠ Categoría no existe",IF(E1836="","⚠ Falta cuenta",IF(ISNA(MATCH(E1836,ctaNom,0)),"⚠ Cuenta no existe",IF(AND(OR(I1836="Transferencia",I1836="Pago tarjeta"),G1836=""),"⚠ Indica la cuenta «Hacia»",IF(AND(G1836&lt;&gt;"",G1836=E1836),"⚠ «Hacia» igual a la cuenta",IF(AND(G1836&lt;&gt;"",ISNA(MATCH(G1836,ctaNom,0))),"⚠ «Hacia» no existe",IF(AND(I1836="Pago tarjeta",IFERROR(INDEX(ctaTipo,MATCH(G1836,ctaNom,0)),"")&lt;&gt;"Tarjeta de crédito"),"⚠ «Hacia» debe ser la tarjeta",IF(AND(I1836="Trading",IFERROR(INDEX(ctaTipo,MATCH(E1836,ctaNom,0)),"")&lt;&gt;"Cuenta de trading"),"⚠ Usa la cuenta de trading","✓"))))))))))))</f>
        <v/>
      </c>
      <c r="I1836" s="19">
        <f>IF(OR(B1836="",C1836="",D1836=""),"",IFERROR(INDEX(catTipo,MATCH(D1836,catNom,0))&amp;"",""))</f>
        <v/>
      </c>
      <c r="J1836" s="19">
        <f>IF(I1836="","",IFERROR(INDEX(catGrupo,MATCH(D1836,catNom,0))&amp;"",""))</f>
        <v/>
      </c>
      <c r="K1836" s="19">
        <f>IF(I1836="Gasto",IF(IFERROR(INDEX(catClas,MATCH(D1836,catNom,0))&amp;"","")="","Variable",IFERROR(INDEX(catClas,MATCH(D1836,catNom,0))&amp;"","")),"")</f>
        <v/>
      </c>
      <c r="L1836" s="19">
        <f>IF(I1836="","",IFERROR(INDEX(catAlim,MATCH(D1836,catNom,0))&amp;"",""))</f>
        <v/>
      </c>
      <c r="M1836" s="19">
        <f>IF(I1836="","",IFERROR(INDEX(catComida,MATCH(D1836,catNom,0))&amp;"",""))</f>
        <v/>
      </c>
      <c r="N1836" s="19">
        <f>IF(I1836="","",IFERROR(INDEX(ctaMon,MATCH(E1836,ctaNom,0))&amp;"","DOP"))</f>
        <v/>
      </c>
      <c r="O1836" s="20">
        <f>IF(I1836="","",C1836*IF(N1836="USD",TasaUSD,1))</f>
        <v/>
      </c>
      <c r="P1836" s="20">
        <f>IF(I1836="","",IF(I1836="Gasto",O1836,0))</f>
        <v/>
      </c>
      <c r="Q1836" s="20">
        <f>IF(I1836="","",IF(I1836="Ingreso",O1836,0))</f>
        <v/>
      </c>
      <c r="R1836" s="20">
        <f>IF(I1836="","",IF(I1836="Trading",O1836,0))</f>
        <v/>
      </c>
      <c r="S1836" s="19">
        <f>IF(I1836="","",IF(AND(I1836="Gasto",K1836="Variable",J1836&lt;&gt;"Trading",O1836&gt;0,O1836&lt;=Umbral),1,0))</f>
        <v/>
      </c>
      <c r="T1836" s="20">
        <f>IF(OR(I1836="",E1836=""),"",IF(OR(I1836="Gasto",I1836="Transferencia",I1836="Pago tarjeta"),-1,1)*C1836)</f>
        <v/>
      </c>
      <c r="U1836" s="20">
        <f>IF(OR(G1836="",AND(I1836&lt;&gt;"Transferencia",I1836&lt;&gt;"Pago tarjeta")),"",IF(IFERROR(INDEX(ctaMon,MATCH(G1836,ctaNom,0))&amp;"","DOP")=N1836,C1836,IF(N1836="USD",C1836*TasaUSD,C1836/TasaUSD)))</f>
        <v/>
      </c>
      <c r="V1836" s="20">
        <f>IF(I1836="","",IF(IFERROR(INDEX(ctaLiq,MATCH(E1836,ctaNom,0))="Sí",FALSE),IF(OR(I1836="Gasto",I1836="Transferencia",I1836="Pago tarjeta"),-1,1)*O1836,0)+IF(AND(U1836&lt;&gt;"",IFERROR(INDEX(ctaLiq,MATCH(G1836,ctaNom,0))="Sí",FALSE)),O1836,0))</f>
        <v/>
      </c>
      <c r="W1836" s="19">
        <f>IF(OR(F1836="",I1836=""),"",IF(COUNTIFS(F$6:F1836,F1836,I$6:I1836,"?*")=1,MAX(W$5:W1835)+1,""))</f>
        <v/>
      </c>
    </row>
    <row r="1837">
      <c r="B1837" s="15" t="n"/>
      <c r="C1837" s="16" t="n"/>
      <c r="D1837" s="17" t="n"/>
      <c r="E1837" s="17" t="n"/>
      <c r="F1837" s="17" t="n"/>
      <c r="G1837" s="17" t="n"/>
      <c r="H1837" s="18">
        <f>IF(AND(B1837="",C1837="",D1837="",E1837=""),"",IF(B1837="","⚠ Falta fecha",IF(C1837="","⚠ Falta monto",IF(D1837="","⚠ Falta categoría",IF(ISNA(MATCH(D1837,catNom,0)),"⚠ Categoría no existe",IF(E1837="","⚠ Falta cuenta",IF(ISNA(MATCH(E1837,ctaNom,0)),"⚠ Cuenta no existe",IF(AND(OR(I1837="Transferencia",I1837="Pago tarjeta"),G1837=""),"⚠ Indica la cuenta «Hacia»",IF(AND(G1837&lt;&gt;"",G1837=E1837),"⚠ «Hacia» igual a la cuenta",IF(AND(G1837&lt;&gt;"",ISNA(MATCH(G1837,ctaNom,0))),"⚠ «Hacia» no existe",IF(AND(I1837="Pago tarjeta",IFERROR(INDEX(ctaTipo,MATCH(G1837,ctaNom,0)),"")&lt;&gt;"Tarjeta de crédito"),"⚠ «Hacia» debe ser la tarjeta",IF(AND(I1837="Trading",IFERROR(INDEX(ctaTipo,MATCH(E1837,ctaNom,0)),"")&lt;&gt;"Cuenta de trading"),"⚠ Usa la cuenta de trading","✓"))))))))))))</f>
        <v/>
      </c>
      <c r="I1837" s="19">
        <f>IF(OR(B1837="",C1837="",D1837=""),"",IFERROR(INDEX(catTipo,MATCH(D1837,catNom,0))&amp;"",""))</f>
        <v/>
      </c>
      <c r="J1837" s="19">
        <f>IF(I1837="","",IFERROR(INDEX(catGrupo,MATCH(D1837,catNom,0))&amp;"",""))</f>
        <v/>
      </c>
      <c r="K1837" s="19">
        <f>IF(I1837="Gasto",IF(IFERROR(INDEX(catClas,MATCH(D1837,catNom,0))&amp;"","")="","Variable",IFERROR(INDEX(catClas,MATCH(D1837,catNom,0))&amp;"","")),"")</f>
        <v/>
      </c>
      <c r="L1837" s="19">
        <f>IF(I1837="","",IFERROR(INDEX(catAlim,MATCH(D1837,catNom,0))&amp;"",""))</f>
        <v/>
      </c>
      <c r="M1837" s="19">
        <f>IF(I1837="","",IFERROR(INDEX(catComida,MATCH(D1837,catNom,0))&amp;"",""))</f>
        <v/>
      </c>
      <c r="N1837" s="19">
        <f>IF(I1837="","",IFERROR(INDEX(ctaMon,MATCH(E1837,ctaNom,0))&amp;"","DOP"))</f>
        <v/>
      </c>
      <c r="O1837" s="20">
        <f>IF(I1837="","",C1837*IF(N1837="USD",TasaUSD,1))</f>
        <v/>
      </c>
      <c r="P1837" s="20">
        <f>IF(I1837="","",IF(I1837="Gasto",O1837,0))</f>
        <v/>
      </c>
      <c r="Q1837" s="20">
        <f>IF(I1837="","",IF(I1837="Ingreso",O1837,0))</f>
        <v/>
      </c>
      <c r="R1837" s="20">
        <f>IF(I1837="","",IF(I1837="Trading",O1837,0))</f>
        <v/>
      </c>
      <c r="S1837" s="19">
        <f>IF(I1837="","",IF(AND(I1837="Gasto",K1837="Variable",J1837&lt;&gt;"Trading",O1837&gt;0,O1837&lt;=Umbral),1,0))</f>
        <v/>
      </c>
      <c r="T1837" s="20">
        <f>IF(OR(I1837="",E1837=""),"",IF(OR(I1837="Gasto",I1837="Transferencia",I1837="Pago tarjeta"),-1,1)*C1837)</f>
        <v/>
      </c>
      <c r="U1837" s="20">
        <f>IF(OR(G1837="",AND(I1837&lt;&gt;"Transferencia",I1837&lt;&gt;"Pago tarjeta")),"",IF(IFERROR(INDEX(ctaMon,MATCH(G1837,ctaNom,0))&amp;"","DOP")=N1837,C1837,IF(N1837="USD",C1837*TasaUSD,C1837/TasaUSD)))</f>
        <v/>
      </c>
      <c r="V1837" s="20">
        <f>IF(I1837="","",IF(IFERROR(INDEX(ctaLiq,MATCH(E1837,ctaNom,0))="Sí",FALSE),IF(OR(I1837="Gasto",I1837="Transferencia",I1837="Pago tarjeta"),-1,1)*O1837,0)+IF(AND(U1837&lt;&gt;"",IFERROR(INDEX(ctaLiq,MATCH(G1837,ctaNom,0))="Sí",FALSE)),O1837,0))</f>
        <v/>
      </c>
      <c r="W1837" s="19">
        <f>IF(OR(F1837="",I1837=""),"",IF(COUNTIFS(F$6:F1837,F1837,I$6:I1837,"?*")=1,MAX(W$5:W1836)+1,""))</f>
        <v/>
      </c>
    </row>
    <row r="1838">
      <c r="B1838" s="15" t="n"/>
      <c r="C1838" s="16" t="n"/>
      <c r="D1838" s="17" t="n"/>
      <c r="E1838" s="17" t="n"/>
      <c r="F1838" s="17" t="n"/>
      <c r="G1838" s="17" t="n"/>
      <c r="H1838" s="18">
        <f>IF(AND(B1838="",C1838="",D1838="",E1838=""),"",IF(B1838="","⚠ Falta fecha",IF(C1838="","⚠ Falta monto",IF(D1838="","⚠ Falta categoría",IF(ISNA(MATCH(D1838,catNom,0)),"⚠ Categoría no existe",IF(E1838="","⚠ Falta cuenta",IF(ISNA(MATCH(E1838,ctaNom,0)),"⚠ Cuenta no existe",IF(AND(OR(I1838="Transferencia",I1838="Pago tarjeta"),G1838=""),"⚠ Indica la cuenta «Hacia»",IF(AND(G1838&lt;&gt;"",G1838=E1838),"⚠ «Hacia» igual a la cuenta",IF(AND(G1838&lt;&gt;"",ISNA(MATCH(G1838,ctaNom,0))),"⚠ «Hacia» no existe",IF(AND(I1838="Pago tarjeta",IFERROR(INDEX(ctaTipo,MATCH(G1838,ctaNom,0)),"")&lt;&gt;"Tarjeta de crédito"),"⚠ «Hacia» debe ser la tarjeta",IF(AND(I1838="Trading",IFERROR(INDEX(ctaTipo,MATCH(E1838,ctaNom,0)),"")&lt;&gt;"Cuenta de trading"),"⚠ Usa la cuenta de trading","✓"))))))))))))</f>
        <v/>
      </c>
      <c r="I1838" s="19">
        <f>IF(OR(B1838="",C1838="",D1838=""),"",IFERROR(INDEX(catTipo,MATCH(D1838,catNom,0))&amp;"",""))</f>
        <v/>
      </c>
      <c r="J1838" s="19">
        <f>IF(I1838="","",IFERROR(INDEX(catGrupo,MATCH(D1838,catNom,0))&amp;"",""))</f>
        <v/>
      </c>
      <c r="K1838" s="19">
        <f>IF(I1838="Gasto",IF(IFERROR(INDEX(catClas,MATCH(D1838,catNom,0))&amp;"","")="","Variable",IFERROR(INDEX(catClas,MATCH(D1838,catNom,0))&amp;"","")),"")</f>
        <v/>
      </c>
      <c r="L1838" s="19">
        <f>IF(I1838="","",IFERROR(INDEX(catAlim,MATCH(D1838,catNom,0))&amp;"",""))</f>
        <v/>
      </c>
      <c r="M1838" s="19">
        <f>IF(I1838="","",IFERROR(INDEX(catComida,MATCH(D1838,catNom,0))&amp;"",""))</f>
        <v/>
      </c>
      <c r="N1838" s="19">
        <f>IF(I1838="","",IFERROR(INDEX(ctaMon,MATCH(E1838,ctaNom,0))&amp;"","DOP"))</f>
        <v/>
      </c>
      <c r="O1838" s="20">
        <f>IF(I1838="","",C1838*IF(N1838="USD",TasaUSD,1))</f>
        <v/>
      </c>
      <c r="P1838" s="20">
        <f>IF(I1838="","",IF(I1838="Gasto",O1838,0))</f>
        <v/>
      </c>
      <c r="Q1838" s="20">
        <f>IF(I1838="","",IF(I1838="Ingreso",O1838,0))</f>
        <v/>
      </c>
      <c r="R1838" s="20">
        <f>IF(I1838="","",IF(I1838="Trading",O1838,0))</f>
        <v/>
      </c>
      <c r="S1838" s="19">
        <f>IF(I1838="","",IF(AND(I1838="Gasto",K1838="Variable",J1838&lt;&gt;"Trading",O1838&gt;0,O1838&lt;=Umbral),1,0))</f>
        <v/>
      </c>
      <c r="T1838" s="20">
        <f>IF(OR(I1838="",E1838=""),"",IF(OR(I1838="Gasto",I1838="Transferencia",I1838="Pago tarjeta"),-1,1)*C1838)</f>
        <v/>
      </c>
      <c r="U1838" s="20">
        <f>IF(OR(G1838="",AND(I1838&lt;&gt;"Transferencia",I1838&lt;&gt;"Pago tarjeta")),"",IF(IFERROR(INDEX(ctaMon,MATCH(G1838,ctaNom,0))&amp;"","DOP")=N1838,C1838,IF(N1838="USD",C1838*TasaUSD,C1838/TasaUSD)))</f>
        <v/>
      </c>
      <c r="V1838" s="20">
        <f>IF(I1838="","",IF(IFERROR(INDEX(ctaLiq,MATCH(E1838,ctaNom,0))="Sí",FALSE),IF(OR(I1838="Gasto",I1838="Transferencia",I1838="Pago tarjeta"),-1,1)*O1838,0)+IF(AND(U1838&lt;&gt;"",IFERROR(INDEX(ctaLiq,MATCH(G1838,ctaNom,0))="Sí",FALSE)),O1838,0))</f>
        <v/>
      </c>
      <c r="W1838" s="19">
        <f>IF(OR(F1838="",I1838=""),"",IF(COUNTIFS(F$6:F1838,F1838,I$6:I1838,"?*")=1,MAX(W$5:W1837)+1,""))</f>
        <v/>
      </c>
    </row>
    <row r="1839">
      <c r="B1839" s="15" t="n"/>
      <c r="C1839" s="16" t="n"/>
      <c r="D1839" s="17" t="n"/>
      <c r="E1839" s="17" t="n"/>
      <c r="F1839" s="17" t="n"/>
      <c r="G1839" s="17" t="n"/>
      <c r="H1839" s="18">
        <f>IF(AND(B1839="",C1839="",D1839="",E1839=""),"",IF(B1839="","⚠ Falta fecha",IF(C1839="","⚠ Falta monto",IF(D1839="","⚠ Falta categoría",IF(ISNA(MATCH(D1839,catNom,0)),"⚠ Categoría no existe",IF(E1839="","⚠ Falta cuenta",IF(ISNA(MATCH(E1839,ctaNom,0)),"⚠ Cuenta no existe",IF(AND(OR(I1839="Transferencia",I1839="Pago tarjeta"),G1839=""),"⚠ Indica la cuenta «Hacia»",IF(AND(G1839&lt;&gt;"",G1839=E1839),"⚠ «Hacia» igual a la cuenta",IF(AND(G1839&lt;&gt;"",ISNA(MATCH(G1839,ctaNom,0))),"⚠ «Hacia» no existe",IF(AND(I1839="Pago tarjeta",IFERROR(INDEX(ctaTipo,MATCH(G1839,ctaNom,0)),"")&lt;&gt;"Tarjeta de crédito"),"⚠ «Hacia» debe ser la tarjeta",IF(AND(I1839="Trading",IFERROR(INDEX(ctaTipo,MATCH(E1839,ctaNom,0)),"")&lt;&gt;"Cuenta de trading"),"⚠ Usa la cuenta de trading","✓"))))))))))))</f>
        <v/>
      </c>
      <c r="I1839" s="19">
        <f>IF(OR(B1839="",C1839="",D1839=""),"",IFERROR(INDEX(catTipo,MATCH(D1839,catNom,0))&amp;"",""))</f>
        <v/>
      </c>
      <c r="J1839" s="19">
        <f>IF(I1839="","",IFERROR(INDEX(catGrupo,MATCH(D1839,catNom,0))&amp;"",""))</f>
        <v/>
      </c>
      <c r="K1839" s="19">
        <f>IF(I1839="Gasto",IF(IFERROR(INDEX(catClas,MATCH(D1839,catNom,0))&amp;"","")="","Variable",IFERROR(INDEX(catClas,MATCH(D1839,catNom,0))&amp;"","")),"")</f>
        <v/>
      </c>
      <c r="L1839" s="19">
        <f>IF(I1839="","",IFERROR(INDEX(catAlim,MATCH(D1839,catNom,0))&amp;"",""))</f>
        <v/>
      </c>
      <c r="M1839" s="19">
        <f>IF(I1839="","",IFERROR(INDEX(catComida,MATCH(D1839,catNom,0))&amp;"",""))</f>
        <v/>
      </c>
      <c r="N1839" s="19">
        <f>IF(I1839="","",IFERROR(INDEX(ctaMon,MATCH(E1839,ctaNom,0))&amp;"","DOP"))</f>
        <v/>
      </c>
      <c r="O1839" s="20">
        <f>IF(I1839="","",C1839*IF(N1839="USD",TasaUSD,1))</f>
        <v/>
      </c>
      <c r="P1839" s="20">
        <f>IF(I1839="","",IF(I1839="Gasto",O1839,0))</f>
        <v/>
      </c>
      <c r="Q1839" s="20">
        <f>IF(I1839="","",IF(I1839="Ingreso",O1839,0))</f>
        <v/>
      </c>
      <c r="R1839" s="20">
        <f>IF(I1839="","",IF(I1839="Trading",O1839,0))</f>
        <v/>
      </c>
      <c r="S1839" s="19">
        <f>IF(I1839="","",IF(AND(I1839="Gasto",K1839="Variable",J1839&lt;&gt;"Trading",O1839&gt;0,O1839&lt;=Umbral),1,0))</f>
        <v/>
      </c>
      <c r="T1839" s="20">
        <f>IF(OR(I1839="",E1839=""),"",IF(OR(I1839="Gasto",I1839="Transferencia",I1839="Pago tarjeta"),-1,1)*C1839)</f>
        <v/>
      </c>
      <c r="U1839" s="20">
        <f>IF(OR(G1839="",AND(I1839&lt;&gt;"Transferencia",I1839&lt;&gt;"Pago tarjeta")),"",IF(IFERROR(INDEX(ctaMon,MATCH(G1839,ctaNom,0))&amp;"","DOP")=N1839,C1839,IF(N1839="USD",C1839*TasaUSD,C1839/TasaUSD)))</f>
        <v/>
      </c>
      <c r="V1839" s="20">
        <f>IF(I1839="","",IF(IFERROR(INDEX(ctaLiq,MATCH(E1839,ctaNom,0))="Sí",FALSE),IF(OR(I1839="Gasto",I1839="Transferencia",I1839="Pago tarjeta"),-1,1)*O1839,0)+IF(AND(U1839&lt;&gt;"",IFERROR(INDEX(ctaLiq,MATCH(G1839,ctaNom,0))="Sí",FALSE)),O1839,0))</f>
        <v/>
      </c>
      <c r="W1839" s="19">
        <f>IF(OR(F1839="",I1839=""),"",IF(COUNTIFS(F$6:F1839,F1839,I$6:I1839,"?*")=1,MAX(W$5:W1838)+1,""))</f>
        <v/>
      </c>
    </row>
    <row r="1840">
      <c r="B1840" s="15" t="n"/>
      <c r="C1840" s="16" t="n"/>
      <c r="D1840" s="17" t="n"/>
      <c r="E1840" s="17" t="n"/>
      <c r="F1840" s="17" t="n"/>
      <c r="G1840" s="17" t="n"/>
      <c r="H1840" s="18">
        <f>IF(AND(B1840="",C1840="",D1840="",E1840=""),"",IF(B1840="","⚠ Falta fecha",IF(C1840="","⚠ Falta monto",IF(D1840="","⚠ Falta categoría",IF(ISNA(MATCH(D1840,catNom,0)),"⚠ Categoría no existe",IF(E1840="","⚠ Falta cuenta",IF(ISNA(MATCH(E1840,ctaNom,0)),"⚠ Cuenta no existe",IF(AND(OR(I1840="Transferencia",I1840="Pago tarjeta"),G1840=""),"⚠ Indica la cuenta «Hacia»",IF(AND(G1840&lt;&gt;"",G1840=E1840),"⚠ «Hacia» igual a la cuenta",IF(AND(G1840&lt;&gt;"",ISNA(MATCH(G1840,ctaNom,0))),"⚠ «Hacia» no existe",IF(AND(I1840="Pago tarjeta",IFERROR(INDEX(ctaTipo,MATCH(G1840,ctaNom,0)),"")&lt;&gt;"Tarjeta de crédito"),"⚠ «Hacia» debe ser la tarjeta",IF(AND(I1840="Trading",IFERROR(INDEX(ctaTipo,MATCH(E1840,ctaNom,0)),"")&lt;&gt;"Cuenta de trading"),"⚠ Usa la cuenta de trading","✓"))))))))))))</f>
        <v/>
      </c>
      <c r="I1840" s="19">
        <f>IF(OR(B1840="",C1840="",D1840=""),"",IFERROR(INDEX(catTipo,MATCH(D1840,catNom,0))&amp;"",""))</f>
        <v/>
      </c>
      <c r="J1840" s="19">
        <f>IF(I1840="","",IFERROR(INDEX(catGrupo,MATCH(D1840,catNom,0))&amp;"",""))</f>
        <v/>
      </c>
      <c r="K1840" s="19">
        <f>IF(I1840="Gasto",IF(IFERROR(INDEX(catClas,MATCH(D1840,catNom,0))&amp;"","")="","Variable",IFERROR(INDEX(catClas,MATCH(D1840,catNom,0))&amp;"","")),"")</f>
        <v/>
      </c>
      <c r="L1840" s="19">
        <f>IF(I1840="","",IFERROR(INDEX(catAlim,MATCH(D1840,catNom,0))&amp;"",""))</f>
        <v/>
      </c>
      <c r="M1840" s="19">
        <f>IF(I1840="","",IFERROR(INDEX(catComida,MATCH(D1840,catNom,0))&amp;"",""))</f>
        <v/>
      </c>
      <c r="N1840" s="19">
        <f>IF(I1840="","",IFERROR(INDEX(ctaMon,MATCH(E1840,ctaNom,0))&amp;"","DOP"))</f>
        <v/>
      </c>
      <c r="O1840" s="20">
        <f>IF(I1840="","",C1840*IF(N1840="USD",TasaUSD,1))</f>
        <v/>
      </c>
      <c r="P1840" s="20">
        <f>IF(I1840="","",IF(I1840="Gasto",O1840,0))</f>
        <v/>
      </c>
      <c r="Q1840" s="20">
        <f>IF(I1840="","",IF(I1840="Ingreso",O1840,0))</f>
        <v/>
      </c>
      <c r="R1840" s="20">
        <f>IF(I1840="","",IF(I1840="Trading",O1840,0))</f>
        <v/>
      </c>
      <c r="S1840" s="19">
        <f>IF(I1840="","",IF(AND(I1840="Gasto",K1840="Variable",J1840&lt;&gt;"Trading",O1840&gt;0,O1840&lt;=Umbral),1,0))</f>
        <v/>
      </c>
      <c r="T1840" s="20">
        <f>IF(OR(I1840="",E1840=""),"",IF(OR(I1840="Gasto",I1840="Transferencia",I1840="Pago tarjeta"),-1,1)*C1840)</f>
        <v/>
      </c>
      <c r="U1840" s="20">
        <f>IF(OR(G1840="",AND(I1840&lt;&gt;"Transferencia",I1840&lt;&gt;"Pago tarjeta")),"",IF(IFERROR(INDEX(ctaMon,MATCH(G1840,ctaNom,0))&amp;"","DOP")=N1840,C1840,IF(N1840="USD",C1840*TasaUSD,C1840/TasaUSD)))</f>
        <v/>
      </c>
      <c r="V1840" s="20">
        <f>IF(I1840="","",IF(IFERROR(INDEX(ctaLiq,MATCH(E1840,ctaNom,0))="Sí",FALSE),IF(OR(I1840="Gasto",I1840="Transferencia",I1840="Pago tarjeta"),-1,1)*O1840,0)+IF(AND(U1840&lt;&gt;"",IFERROR(INDEX(ctaLiq,MATCH(G1840,ctaNom,0))="Sí",FALSE)),O1840,0))</f>
        <v/>
      </c>
      <c r="W1840" s="19">
        <f>IF(OR(F1840="",I1840=""),"",IF(COUNTIFS(F$6:F1840,F1840,I$6:I1840,"?*")=1,MAX(W$5:W1839)+1,""))</f>
        <v/>
      </c>
    </row>
    <row r="1841">
      <c r="B1841" s="15" t="n"/>
      <c r="C1841" s="16" t="n"/>
      <c r="D1841" s="17" t="n"/>
      <c r="E1841" s="17" t="n"/>
      <c r="F1841" s="17" t="n"/>
      <c r="G1841" s="17" t="n"/>
      <c r="H1841" s="18">
        <f>IF(AND(B1841="",C1841="",D1841="",E1841=""),"",IF(B1841="","⚠ Falta fecha",IF(C1841="","⚠ Falta monto",IF(D1841="","⚠ Falta categoría",IF(ISNA(MATCH(D1841,catNom,0)),"⚠ Categoría no existe",IF(E1841="","⚠ Falta cuenta",IF(ISNA(MATCH(E1841,ctaNom,0)),"⚠ Cuenta no existe",IF(AND(OR(I1841="Transferencia",I1841="Pago tarjeta"),G1841=""),"⚠ Indica la cuenta «Hacia»",IF(AND(G1841&lt;&gt;"",G1841=E1841),"⚠ «Hacia» igual a la cuenta",IF(AND(G1841&lt;&gt;"",ISNA(MATCH(G1841,ctaNom,0))),"⚠ «Hacia» no existe",IF(AND(I1841="Pago tarjeta",IFERROR(INDEX(ctaTipo,MATCH(G1841,ctaNom,0)),"")&lt;&gt;"Tarjeta de crédito"),"⚠ «Hacia» debe ser la tarjeta",IF(AND(I1841="Trading",IFERROR(INDEX(ctaTipo,MATCH(E1841,ctaNom,0)),"")&lt;&gt;"Cuenta de trading"),"⚠ Usa la cuenta de trading","✓"))))))))))))</f>
        <v/>
      </c>
      <c r="I1841" s="19">
        <f>IF(OR(B1841="",C1841="",D1841=""),"",IFERROR(INDEX(catTipo,MATCH(D1841,catNom,0))&amp;"",""))</f>
        <v/>
      </c>
      <c r="J1841" s="19">
        <f>IF(I1841="","",IFERROR(INDEX(catGrupo,MATCH(D1841,catNom,0))&amp;"",""))</f>
        <v/>
      </c>
      <c r="K1841" s="19">
        <f>IF(I1841="Gasto",IF(IFERROR(INDEX(catClas,MATCH(D1841,catNom,0))&amp;"","")="","Variable",IFERROR(INDEX(catClas,MATCH(D1841,catNom,0))&amp;"","")),"")</f>
        <v/>
      </c>
      <c r="L1841" s="19">
        <f>IF(I1841="","",IFERROR(INDEX(catAlim,MATCH(D1841,catNom,0))&amp;"",""))</f>
        <v/>
      </c>
      <c r="M1841" s="19">
        <f>IF(I1841="","",IFERROR(INDEX(catComida,MATCH(D1841,catNom,0))&amp;"",""))</f>
        <v/>
      </c>
      <c r="N1841" s="19">
        <f>IF(I1841="","",IFERROR(INDEX(ctaMon,MATCH(E1841,ctaNom,0))&amp;"","DOP"))</f>
        <v/>
      </c>
      <c r="O1841" s="20">
        <f>IF(I1841="","",C1841*IF(N1841="USD",TasaUSD,1))</f>
        <v/>
      </c>
      <c r="P1841" s="20">
        <f>IF(I1841="","",IF(I1841="Gasto",O1841,0))</f>
        <v/>
      </c>
      <c r="Q1841" s="20">
        <f>IF(I1841="","",IF(I1841="Ingreso",O1841,0))</f>
        <v/>
      </c>
      <c r="R1841" s="20">
        <f>IF(I1841="","",IF(I1841="Trading",O1841,0))</f>
        <v/>
      </c>
      <c r="S1841" s="19">
        <f>IF(I1841="","",IF(AND(I1841="Gasto",K1841="Variable",J1841&lt;&gt;"Trading",O1841&gt;0,O1841&lt;=Umbral),1,0))</f>
        <v/>
      </c>
      <c r="T1841" s="20">
        <f>IF(OR(I1841="",E1841=""),"",IF(OR(I1841="Gasto",I1841="Transferencia",I1841="Pago tarjeta"),-1,1)*C1841)</f>
        <v/>
      </c>
      <c r="U1841" s="20">
        <f>IF(OR(G1841="",AND(I1841&lt;&gt;"Transferencia",I1841&lt;&gt;"Pago tarjeta")),"",IF(IFERROR(INDEX(ctaMon,MATCH(G1841,ctaNom,0))&amp;"","DOP")=N1841,C1841,IF(N1841="USD",C1841*TasaUSD,C1841/TasaUSD)))</f>
        <v/>
      </c>
      <c r="V1841" s="20">
        <f>IF(I1841="","",IF(IFERROR(INDEX(ctaLiq,MATCH(E1841,ctaNom,0))="Sí",FALSE),IF(OR(I1841="Gasto",I1841="Transferencia",I1841="Pago tarjeta"),-1,1)*O1841,0)+IF(AND(U1841&lt;&gt;"",IFERROR(INDEX(ctaLiq,MATCH(G1841,ctaNom,0))="Sí",FALSE)),O1841,0))</f>
        <v/>
      </c>
      <c r="W1841" s="19">
        <f>IF(OR(F1841="",I1841=""),"",IF(COUNTIFS(F$6:F1841,F1841,I$6:I1841,"?*")=1,MAX(W$5:W1840)+1,""))</f>
        <v/>
      </c>
    </row>
    <row r="1842">
      <c r="B1842" s="15" t="n"/>
      <c r="C1842" s="16" t="n"/>
      <c r="D1842" s="17" t="n"/>
      <c r="E1842" s="17" t="n"/>
      <c r="F1842" s="17" t="n"/>
      <c r="G1842" s="17" t="n"/>
      <c r="H1842" s="18">
        <f>IF(AND(B1842="",C1842="",D1842="",E1842=""),"",IF(B1842="","⚠ Falta fecha",IF(C1842="","⚠ Falta monto",IF(D1842="","⚠ Falta categoría",IF(ISNA(MATCH(D1842,catNom,0)),"⚠ Categoría no existe",IF(E1842="","⚠ Falta cuenta",IF(ISNA(MATCH(E1842,ctaNom,0)),"⚠ Cuenta no existe",IF(AND(OR(I1842="Transferencia",I1842="Pago tarjeta"),G1842=""),"⚠ Indica la cuenta «Hacia»",IF(AND(G1842&lt;&gt;"",G1842=E1842),"⚠ «Hacia» igual a la cuenta",IF(AND(G1842&lt;&gt;"",ISNA(MATCH(G1842,ctaNom,0))),"⚠ «Hacia» no existe",IF(AND(I1842="Pago tarjeta",IFERROR(INDEX(ctaTipo,MATCH(G1842,ctaNom,0)),"")&lt;&gt;"Tarjeta de crédito"),"⚠ «Hacia» debe ser la tarjeta",IF(AND(I1842="Trading",IFERROR(INDEX(ctaTipo,MATCH(E1842,ctaNom,0)),"")&lt;&gt;"Cuenta de trading"),"⚠ Usa la cuenta de trading","✓"))))))))))))</f>
        <v/>
      </c>
      <c r="I1842" s="19">
        <f>IF(OR(B1842="",C1842="",D1842=""),"",IFERROR(INDEX(catTipo,MATCH(D1842,catNom,0))&amp;"",""))</f>
        <v/>
      </c>
      <c r="J1842" s="19">
        <f>IF(I1842="","",IFERROR(INDEX(catGrupo,MATCH(D1842,catNom,0))&amp;"",""))</f>
        <v/>
      </c>
      <c r="K1842" s="19">
        <f>IF(I1842="Gasto",IF(IFERROR(INDEX(catClas,MATCH(D1842,catNom,0))&amp;"","")="","Variable",IFERROR(INDEX(catClas,MATCH(D1842,catNom,0))&amp;"","")),"")</f>
        <v/>
      </c>
      <c r="L1842" s="19">
        <f>IF(I1842="","",IFERROR(INDEX(catAlim,MATCH(D1842,catNom,0))&amp;"",""))</f>
        <v/>
      </c>
      <c r="M1842" s="19">
        <f>IF(I1842="","",IFERROR(INDEX(catComida,MATCH(D1842,catNom,0))&amp;"",""))</f>
        <v/>
      </c>
      <c r="N1842" s="19">
        <f>IF(I1842="","",IFERROR(INDEX(ctaMon,MATCH(E1842,ctaNom,0))&amp;"","DOP"))</f>
        <v/>
      </c>
      <c r="O1842" s="20">
        <f>IF(I1842="","",C1842*IF(N1842="USD",TasaUSD,1))</f>
        <v/>
      </c>
      <c r="P1842" s="20">
        <f>IF(I1842="","",IF(I1842="Gasto",O1842,0))</f>
        <v/>
      </c>
      <c r="Q1842" s="20">
        <f>IF(I1842="","",IF(I1842="Ingreso",O1842,0))</f>
        <v/>
      </c>
      <c r="R1842" s="20">
        <f>IF(I1842="","",IF(I1842="Trading",O1842,0))</f>
        <v/>
      </c>
      <c r="S1842" s="19">
        <f>IF(I1842="","",IF(AND(I1842="Gasto",K1842="Variable",J1842&lt;&gt;"Trading",O1842&gt;0,O1842&lt;=Umbral),1,0))</f>
        <v/>
      </c>
      <c r="T1842" s="20">
        <f>IF(OR(I1842="",E1842=""),"",IF(OR(I1842="Gasto",I1842="Transferencia",I1842="Pago tarjeta"),-1,1)*C1842)</f>
        <v/>
      </c>
      <c r="U1842" s="20">
        <f>IF(OR(G1842="",AND(I1842&lt;&gt;"Transferencia",I1842&lt;&gt;"Pago tarjeta")),"",IF(IFERROR(INDEX(ctaMon,MATCH(G1842,ctaNom,0))&amp;"","DOP")=N1842,C1842,IF(N1842="USD",C1842*TasaUSD,C1842/TasaUSD)))</f>
        <v/>
      </c>
      <c r="V1842" s="20">
        <f>IF(I1842="","",IF(IFERROR(INDEX(ctaLiq,MATCH(E1842,ctaNom,0))="Sí",FALSE),IF(OR(I1842="Gasto",I1842="Transferencia",I1842="Pago tarjeta"),-1,1)*O1842,0)+IF(AND(U1842&lt;&gt;"",IFERROR(INDEX(ctaLiq,MATCH(G1842,ctaNom,0))="Sí",FALSE)),O1842,0))</f>
        <v/>
      </c>
      <c r="W1842" s="19">
        <f>IF(OR(F1842="",I1842=""),"",IF(COUNTIFS(F$6:F1842,F1842,I$6:I1842,"?*")=1,MAX(W$5:W1841)+1,""))</f>
        <v/>
      </c>
    </row>
    <row r="1843">
      <c r="B1843" s="15" t="n"/>
      <c r="C1843" s="16" t="n"/>
      <c r="D1843" s="17" t="n"/>
      <c r="E1843" s="17" t="n"/>
      <c r="F1843" s="17" t="n"/>
      <c r="G1843" s="17" t="n"/>
      <c r="H1843" s="18">
        <f>IF(AND(B1843="",C1843="",D1843="",E1843=""),"",IF(B1843="","⚠ Falta fecha",IF(C1843="","⚠ Falta monto",IF(D1843="","⚠ Falta categoría",IF(ISNA(MATCH(D1843,catNom,0)),"⚠ Categoría no existe",IF(E1843="","⚠ Falta cuenta",IF(ISNA(MATCH(E1843,ctaNom,0)),"⚠ Cuenta no existe",IF(AND(OR(I1843="Transferencia",I1843="Pago tarjeta"),G1843=""),"⚠ Indica la cuenta «Hacia»",IF(AND(G1843&lt;&gt;"",G1843=E1843),"⚠ «Hacia» igual a la cuenta",IF(AND(G1843&lt;&gt;"",ISNA(MATCH(G1843,ctaNom,0))),"⚠ «Hacia» no existe",IF(AND(I1843="Pago tarjeta",IFERROR(INDEX(ctaTipo,MATCH(G1843,ctaNom,0)),"")&lt;&gt;"Tarjeta de crédito"),"⚠ «Hacia» debe ser la tarjeta",IF(AND(I1843="Trading",IFERROR(INDEX(ctaTipo,MATCH(E1843,ctaNom,0)),"")&lt;&gt;"Cuenta de trading"),"⚠ Usa la cuenta de trading","✓"))))))))))))</f>
        <v/>
      </c>
      <c r="I1843" s="19">
        <f>IF(OR(B1843="",C1843="",D1843=""),"",IFERROR(INDEX(catTipo,MATCH(D1843,catNom,0))&amp;"",""))</f>
        <v/>
      </c>
      <c r="J1843" s="19">
        <f>IF(I1843="","",IFERROR(INDEX(catGrupo,MATCH(D1843,catNom,0))&amp;"",""))</f>
        <v/>
      </c>
      <c r="K1843" s="19">
        <f>IF(I1843="Gasto",IF(IFERROR(INDEX(catClas,MATCH(D1843,catNom,0))&amp;"","")="","Variable",IFERROR(INDEX(catClas,MATCH(D1843,catNom,0))&amp;"","")),"")</f>
        <v/>
      </c>
      <c r="L1843" s="19">
        <f>IF(I1843="","",IFERROR(INDEX(catAlim,MATCH(D1843,catNom,0))&amp;"",""))</f>
        <v/>
      </c>
      <c r="M1843" s="19">
        <f>IF(I1843="","",IFERROR(INDEX(catComida,MATCH(D1843,catNom,0))&amp;"",""))</f>
        <v/>
      </c>
      <c r="N1843" s="19">
        <f>IF(I1843="","",IFERROR(INDEX(ctaMon,MATCH(E1843,ctaNom,0))&amp;"","DOP"))</f>
        <v/>
      </c>
      <c r="O1843" s="20">
        <f>IF(I1843="","",C1843*IF(N1843="USD",TasaUSD,1))</f>
        <v/>
      </c>
      <c r="P1843" s="20">
        <f>IF(I1843="","",IF(I1843="Gasto",O1843,0))</f>
        <v/>
      </c>
      <c r="Q1843" s="20">
        <f>IF(I1843="","",IF(I1843="Ingreso",O1843,0))</f>
        <v/>
      </c>
      <c r="R1843" s="20">
        <f>IF(I1843="","",IF(I1843="Trading",O1843,0))</f>
        <v/>
      </c>
      <c r="S1843" s="19">
        <f>IF(I1843="","",IF(AND(I1843="Gasto",K1843="Variable",J1843&lt;&gt;"Trading",O1843&gt;0,O1843&lt;=Umbral),1,0))</f>
        <v/>
      </c>
      <c r="T1843" s="20">
        <f>IF(OR(I1843="",E1843=""),"",IF(OR(I1843="Gasto",I1843="Transferencia",I1843="Pago tarjeta"),-1,1)*C1843)</f>
        <v/>
      </c>
      <c r="U1843" s="20">
        <f>IF(OR(G1843="",AND(I1843&lt;&gt;"Transferencia",I1843&lt;&gt;"Pago tarjeta")),"",IF(IFERROR(INDEX(ctaMon,MATCH(G1843,ctaNom,0))&amp;"","DOP")=N1843,C1843,IF(N1843="USD",C1843*TasaUSD,C1843/TasaUSD)))</f>
        <v/>
      </c>
      <c r="V1843" s="20">
        <f>IF(I1843="","",IF(IFERROR(INDEX(ctaLiq,MATCH(E1843,ctaNom,0))="Sí",FALSE),IF(OR(I1843="Gasto",I1843="Transferencia",I1843="Pago tarjeta"),-1,1)*O1843,0)+IF(AND(U1843&lt;&gt;"",IFERROR(INDEX(ctaLiq,MATCH(G1843,ctaNom,0))="Sí",FALSE)),O1843,0))</f>
        <v/>
      </c>
      <c r="W1843" s="19">
        <f>IF(OR(F1843="",I1843=""),"",IF(COUNTIFS(F$6:F1843,F1843,I$6:I1843,"?*")=1,MAX(W$5:W1842)+1,""))</f>
        <v/>
      </c>
    </row>
    <row r="1844">
      <c r="B1844" s="15" t="n"/>
      <c r="C1844" s="16" t="n"/>
      <c r="D1844" s="17" t="n"/>
      <c r="E1844" s="17" t="n"/>
      <c r="F1844" s="17" t="n"/>
      <c r="G1844" s="17" t="n"/>
      <c r="H1844" s="18">
        <f>IF(AND(B1844="",C1844="",D1844="",E1844=""),"",IF(B1844="","⚠ Falta fecha",IF(C1844="","⚠ Falta monto",IF(D1844="","⚠ Falta categoría",IF(ISNA(MATCH(D1844,catNom,0)),"⚠ Categoría no existe",IF(E1844="","⚠ Falta cuenta",IF(ISNA(MATCH(E1844,ctaNom,0)),"⚠ Cuenta no existe",IF(AND(OR(I1844="Transferencia",I1844="Pago tarjeta"),G1844=""),"⚠ Indica la cuenta «Hacia»",IF(AND(G1844&lt;&gt;"",G1844=E1844),"⚠ «Hacia» igual a la cuenta",IF(AND(G1844&lt;&gt;"",ISNA(MATCH(G1844,ctaNom,0))),"⚠ «Hacia» no existe",IF(AND(I1844="Pago tarjeta",IFERROR(INDEX(ctaTipo,MATCH(G1844,ctaNom,0)),"")&lt;&gt;"Tarjeta de crédito"),"⚠ «Hacia» debe ser la tarjeta",IF(AND(I1844="Trading",IFERROR(INDEX(ctaTipo,MATCH(E1844,ctaNom,0)),"")&lt;&gt;"Cuenta de trading"),"⚠ Usa la cuenta de trading","✓"))))))))))))</f>
        <v/>
      </c>
      <c r="I1844" s="19">
        <f>IF(OR(B1844="",C1844="",D1844=""),"",IFERROR(INDEX(catTipo,MATCH(D1844,catNom,0))&amp;"",""))</f>
        <v/>
      </c>
      <c r="J1844" s="19">
        <f>IF(I1844="","",IFERROR(INDEX(catGrupo,MATCH(D1844,catNom,0))&amp;"",""))</f>
        <v/>
      </c>
      <c r="K1844" s="19">
        <f>IF(I1844="Gasto",IF(IFERROR(INDEX(catClas,MATCH(D1844,catNom,0))&amp;"","")="","Variable",IFERROR(INDEX(catClas,MATCH(D1844,catNom,0))&amp;"","")),"")</f>
        <v/>
      </c>
      <c r="L1844" s="19">
        <f>IF(I1844="","",IFERROR(INDEX(catAlim,MATCH(D1844,catNom,0))&amp;"",""))</f>
        <v/>
      </c>
      <c r="M1844" s="19">
        <f>IF(I1844="","",IFERROR(INDEX(catComida,MATCH(D1844,catNom,0))&amp;"",""))</f>
        <v/>
      </c>
      <c r="N1844" s="19">
        <f>IF(I1844="","",IFERROR(INDEX(ctaMon,MATCH(E1844,ctaNom,0))&amp;"","DOP"))</f>
        <v/>
      </c>
      <c r="O1844" s="20">
        <f>IF(I1844="","",C1844*IF(N1844="USD",TasaUSD,1))</f>
        <v/>
      </c>
      <c r="P1844" s="20">
        <f>IF(I1844="","",IF(I1844="Gasto",O1844,0))</f>
        <v/>
      </c>
      <c r="Q1844" s="20">
        <f>IF(I1844="","",IF(I1844="Ingreso",O1844,0))</f>
        <v/>
      </c>
      <c r="R1844" s="20">
        <f>IF(I1844="","",IF(I1844="Trading",O1844,0))</f>
        <v/>
      </c>
      <c r="S1844" s="19">
        <f>IF(I1844="","",IF(AND(I1844="Gasto",K1844="Variable",J1844&lt;&gt;"Trading",O1844&gt;0,O1844&lt;=Umbral),1,0))</f>
        <v/>
      </c>
      <c r="T1844" s="20">
        <f>IF(OR(I1844="",E1844=""),"",IF(OR(I1844="Gasto",I1844="Transferencia",I1844="Pago tarjeta"),-1,1)*C1844)</f>
        <v/>
      </c>
      <c r="U1844" s="20">
        <f>IF(OR(G1844="",AND(I1844&lt;&gt;"Transferencia",I1844&lt;&gt;"Pago tarjeta")),"",IF(IFERROR(INDEX(ctaMon,MATCH(G1844,ctaNom,0))&amp;"","DOP")=N1844,C1844,IF(N1844="USD",C1844*TasaUSD,C1844/TasaUSD)))</f>
        <v/>
      </c>
      <c r="V1844" s="20">
        <f>IF(I1844="","",IF(IFERROR(INDEX(ctaLiq,MATCH(E1844,ctaNom,0))="Sí",FALSE),IF(OR(I1844="Gasto",I1844="Transferencia",I1844="Pago tarjeta"),-1,1)*O1844,0)+IF(AND(U1844&lt;&gt;"",IFERROR(INDEX(ctaLiq,MATCH(G1844,ctaNom,0))="Sí",FALSE)),O1844,0))</f>
        <v/>
      </c>
      <c r="W1844" s="19">
        <f>IF(OR(F1844="",I1844=""),"",IF(COUNTIFS(F$6:F1844,F1844,I$6:I1844,"?*")=1,MAX(W$5:W1843)+1,""))</f>
        <v/>
      </c>
    </row>
    <row r="1845">
      <c r="B1845" s="15" t="n"/>
      <c r="C1845" s="16" t="n"/>
      <c r="D1845" s="17" t="n"/>
      <c r="E1845" s="17" t="n"/>
      <c r="F1845" s="17" t="n"/>
      <c r="G1845" s="17" t="n"/>
      <c r="H1845" s="18">
        <f>IF(AND(B1845="",C1845="",D1845="",E1845=""),"",IF(B1845="","⚠ Falta fecha",IF(C1845="","⚠ Falta monto",IF(D1845="","⚠ Falta categoría",IF(ISNA(MATCH(D1845,catNom,0)),"⚠ Categoría no existe",IF(E1845="","⚠ Falta cuenta",IF(ISNA(MATCH(E1845,ctaNom,0)),"⚠ Cuenta no existe",IF(AND(OR(I1845="Transferencia",I1845="Pago tarjeta"),G1845=""),"⚠ Indica la cuenta «Hacia»",IF(AND(G1845&lt;&gt;"",G1845=E1845),"⚠ «Hacia» igual a la cuenta",IF(AND(G1845&lt;&gt;"",ISNA(MATCH(G1845,ctaNom,0))),"⚠ «Hacia» no existe",IF(AND(I1845="Pago tarjeta",IFERROR(INDEX(ctaTipo,MATCH(G1845,ctaNom,0)),"")&lt;&gt;"Tarjeta de crédito"),"⚠ «Hacia» debe ser la tarjeta",IF(AND(I1845="Trading",IFERROR(INDEX(ctaTipo,MATCH(E1845,ctaNom,0)),"")&lt;&gt;"Cuenta de trading"),"⚠ Usa la cuenta de trading","✓"))))))))))))</f>
        <v/>
      </c>
      <c r="I1845" s="19">
        <f>IF(OR(B1845="",C1845="",D1845=""),"",IFERROR(INDEX(catTipo,MATCH(D1845,catNom,0))&amp;"",""))</f>
        <v/>
      </c>
      <c r="J1845" s="19">
        <f>IF(I1845="","",IFERROR(INDEX(catGrupo,MATCH(D1845,catNom,0))&amp;"",""))</f>
        <v/>
      </c>
      <c r="K1845" s="19">
        <f>IF(I1845="Gasto",IF(IFERROR(INDEX(catClas,MATCH(D1845,catNom,0))&amp;"","")="","Variable",IFERROR(INDEX(catClas,MATCH(D1845,catNom,0))&amp;"","")),"")</f>
        <v/>
      </c>
      <c r="L1845" s="19">
        <f>IF(I1845="","",IFERROR(INDEX(catAlim,MATCH(D1845,catNom,0))&amp;"",""))</f>
        <v/>
      </c>
      <c r="M1845" s="19">
        <f>IF(I1845="","",IFERROR(INDEX(catComida,MATCH(D1845,catNom,0))&amp;"",""))</f>
        <v/>
      </c>
      <c r="N1845" s="19">
        <f>IF(I1845="","",IFERROR(INDEX(ctaMon,MATCH(E1845,ctaNom,0))&amp;"","DOP"))</f>
        <v/>
      </c>
      <c r="O1845" s="20">
        <f>IF(I1845="","",C1845*IF(N1845="USD",TasaUSD,1))</f>
        <v/>
      </c>
      <c r="P1845" s="20">
        <f>IF(I1845="","",IF(I1845="Gasto",O1845,0))</f>
        <v/>
      </c>
      <c r="Q1845" s="20">
        <f>IF(I1845="","",IF(I1845="Ingreso",O1845,0))</f>
        <v/>
      </c>
      <c r="R1845" s="20">
        <f>IF(I1845="","",IF(I1845="Trading",O1845,0))</f>
        <v/>
      </c>
      <c r="S1845" s="19">
        <f>IF(I1845="","",IF(AND(I1845="Gasto",K1845="Variable",J1845&lt;&gt;"Trading",O1845&gt;0,O1845&lt;=Umbral),1,0))</f>
        <v/>
      </c>
      <c r="T1845" s="20">
        <f>IF(OR(I1845="",E1845=""),"",IF(OR(I1845="Gasto",I1845="Transferencia",I1845="Pago tarjeta"),-1,1)*C1845)</f>
        <v/>
      </c>
      <c r="U1845" s="20">
        <f>IF(OR(G1845="",AND(I1845&lt;&gt;"Transferencia",I1845&lt;&gt;"Pago tarjeta")),"",IF(IFERROR(INDEX(ctaMon,MATCH(G1845,ctaNom,0))&amp;"","DOP")=N1845,C1845,IF(N1845="USD",C1845*TasaUSD,C1845/TasaUSD)))</f>
        <v/>
      </c>
      <c r="V1845" s="20">
        <f>IF(I1845="","",IF(IFERROR(INDEX(ctaLiq,MATCH(E1845,ctaNom,0))="Sí",FALSE),IF(OR(I1845="Gasto",I1845="Transferencia",I1845="Pago tarjeta"),-1,1)*O1845,0)+IF(AND(U1845&lt;&gt;"",IFERROR(INDEX(ctaLiq,MATCH(G1845,ctaNom,0))="Sí",FALSE)),O1845,0))</f>
        <v/>
      </c>
      <c r="W1845" s="19">
        <f>IF(OR(F1845="",I1845=""),"",IF(COUNTIFS(F$6:F1845,F1845,I$6:I1845,"?*")=1,MAX(W$5:W1844)+1,""))</f>
        <v/>
      </c>
    </row>
    <row r="1846">
      <c r="B1846" s="15" t="n"/>
      <c r="C1846" s="16" t="n"/>
      <c r="D1846" s="17" t="n"/>
      <c r="E1846" s="17" t="n"/>
      <c r="F1846" s="17" t="n"/>
      <c r="G1846" s="17" t="n"/>
      <c r="H1846" s="18">
        <f>IF(AND(B1846="",C1846="",D1846="",E1846=""),"",IF(B1846="","⚠ Falta fecha",IF(C1846="","⚠ Falta monto",IF(D1846="","⚠ Falta categoría",IF(ISNA(MATCH(D1846,catNom,0)),"⚠ Categoría no existe",IF(E1846="","⚠ Falta cuenta",IF(ISNA(MATCH(E1846,ctaNom,0)),"⚠ Cuenta no existe",IF(AND(OR(I1846="Transferencia",I1846="Pago tarjeta"),G1846=""),"⚠ Indica la cuenta «Hacia»",IF(AND(G1846&lt;&gt;"",G1846=E1846),"⚠ «Hacia» igual a la cuenta",IF(AND(G1846&lt;&gt;"",ISNA(MATCH(G1846,ctaNom,0))),"⚠ «Hacia» no existe",IF(AND(I1846="Pago tarjeta",IFERROR(INDEX(ctaTipo,MATCH(G1846,ctaNom,0)),"")&lt;&gt;"Tarjeta de crédito"),"⚠ «Hacia» debe ser la tarjeta",IF(AND(I1846="Trading",IFERROR(INDEX(ctaTipo,MATCH(E1846,ctaNom,0)),"")&lt;&gt;"Cuenta de trading"),"⚠ Usa la cuenta de trading","✓"))))))))))))</f>
        <v/>
      </c>
      <c r="I1846" s="19">
        <f>IF(OR(B1846="",C1846="",D1846=""),"",IFERROR(INDEX(catTipo,MATCH(D1846,catNom,0))&amp;"",""))</f>
        <v/>
      </c>
      <c r="J1846" s="19">
        <f>IF(I1846="","",IFERROR(INDEX(catGrupo,MATCH(D1846,catNom,0))&amp;"",""))</f>
        <v/>
      </c>
      <c r="K1846" s="19">
        <f>IF(I1846="Gasto",IF(IFERROR(INDEX(catClas,MATCH(D1846,catNom,0))&amp;"","")="","Variable",IFERROR(INDEX(catClas,MATCH(D1846,catNom,0))&amp;"","")),"")</f>
        <v/>
      </c>
      <c r="L1846" s="19">
        <f>IF(I1846="","",IFERROR(INDEX(catAlim,MATCH(D1846,catNom,0))&amp;"",""))</f>
        <v/>
      </c>
      <c r="M1846" s="19">
        <f>IF(I1846="","",IFERROR(INDEX(catComida,MATCH(D1846,catNom,0))&amp;"",""))</f>
        <v/>
      </c>
      <c r="N1846" s="19">
        <f>IF(I1846="","",IFERROR(INDEX(ctaMon,MATCH(E1846,ctaNom,0))&amp;"","DOP"))</f>
        <v/>
      </c>
      <c r="O1846" s="20">
        <f>IF(I1846="","",C1846*IF(N1846="USD",TasaUSD,1))</f>
        <v/>
      </c>
      <c r="P1846" s="20">
        <f>IF(I1846="","",IF(I1846="Gasto",O1846,0))</f>
        <v/>
      </c>
      <c r="Q1846" s="20">
        <f>IF(I1846="","",IF(I1846="Ingreso",O1846,0))</f>
        <v/>
      </c>
      <c r="R1846" s="20">
        <f>IF(I1846="","",IF(I1846="Trading",O1846,0))</f>
        <v/>
      </c>
      <c r="S1846" s="19">
        <f>IF(I1846="","",IF(AND(I1846="Gasto",K1846="Variable",J1846&lt;&gt;"Trading",O1846&gt;0,O1846&lt;=Umbral),1,0))</f>
        <v/>
      </c>
      <c r="T1846" s="20">
        <f>IF(OR(I1846="",E1846=""),"",IF(OR(I1846="Gasto",I1846="Transferencia",I1846="Pago tarjeta"),-1,1)*C1846)</f>
        <v/>
      </c>
      <c r="U1846" s="20">
        <f>IF(OR(G1846="",AND(I1846&lt;&gt;"Transferencia",I1846&lt;&gt;"Pago tarjeta")),"",IF(IFERROR(INDEX(ctaMon,MATCH(G1846,ctaNom,0))&amp;"","DOP")=N1846,C1846,IF(N1846="USD",C1846*TasaUSD,C1846/TasaUSD)))</f>
        <v/>
      </c>
      <c r="V1846" s="20">
        <f>IF(I1846="","",IF(IFERROR(INDEX(ctaLiq,MATCH(E1846,ctaNom,0))="Sí",FALSE),IF(OR(I1846="Gasto",I1846="Transferencia",I1846="Pago tarjeta"),-1,1)*O1846,0)+IF(AND(U1846&lt;&gt;"",IFERROR(INDEX(ctaLiq,MATCH(G1846,ctaNom,0))="Sí",FALSE)),O1846,0))</f>
        <v/>
      </c>
      <c r="W1846" s="19">
        <f>IF(OR(F1846="",I1846=""),"",IF(COUNTIFS(F$6:F1846,F1846,I$6:I1846,"?*")=1,MAX(W$5:W1845)+1,""))</f>
        <v/>
      </c>
    </row>
    <row r="1847">
      <c r="B1847" s="15" t="n"/>
      <c r="C1847" s="16" t="n"/>
      <c r="D1847" s="17" t="n"/>
      <c r="E1847" s="17" t="n"/>
      <c r="F1847" s="17" t="n"/>
      <c r="G1847" s="17" t="n"/>
      <c r="H1847" s="18">
        <f>IF(AND(B1847="",C1847="",D1847="",E1847=""),"",IF(B1847="","⚠ Falta fecha",IF(C1847="","⚠ Falta monto",IF(D1847="","⚠ Falta categoría",IF(ISNA(MATCH(D1847,catNom,0)),"⚠ Categoría no existe",IF(E1847="","⚠ Falta cuenta",IF(ISNA(MATCH(E1847,ctaNom,0)),"⚠ Cuenta no existe",IF(AND(OR(I1847="Transferencia",I1847="Pago tarjeta"),G1847=""),"⚠ Indica la cuenta «Hacia»",IF(AND(G1847&lt;&gt;"",G1847=E1847),"⚠ «Hacia» igual a la cuenta",IF(AND(G1847&lt;&gt;"",ISNA(MATCH(G1847,ctaNom,0))),"⚠ «Hacia» no existe",IF(AND(I1847="Pago tarjeta",IFERROR(INDEX(ctaTipo,MATCH(G1847,ctaNom,0)),"")&lt;&gt;"Tarjeta de crédito"),"⚠ «Hacia» debe ser la tarjeta",IF(AND(I1847="Trading",IFERROR(INDEX(ctaTipo,MATCH(E1847,ctaNom,0)),"")&lt;&gt;"Cuenta de trading"),"⚠ Usa la cuenta de trading","✓"))))))))))))</f>
        <v/>
      </c>
      <c r="I1847" s="19">
        <f>IF(OR(B1847="",C1847="",D1847=""),"",IFERROR(INDEX(catTipo,MATCH(D1847,catNom,0))&amp;"",""))</f>
        <v/>
      </c>
      <c r="J1847" s="19">
        <f>IF(I1847="","",IFERROR(INDEX(catGrupo,MATCH(D1847,catNom,0))&amp;"",""))</f>
        <v/>
      </c>
      <c r="K1847" s="19">
        <f>IF(I1847="Gasto",IF(IFERROR(INDEX(catClas,MATCH(D1847,catNom,0))&amp;"","")="","Variable",IFERROR(INDEX(catClas,MATCH(D1847,catNom,0))&amp;"","")),"")</f>
        <v/>
      </c>
      <c r="L1847" s="19">
        <f>IF(I1847="","",IFERROR(INDEX(catAlim,MATCH(D1847,catNom,0))&amp;"",""))</f>
        <v/>
      </c>
      <c r="M1847" s="19">
        <f>IF(I1847="","",IFERROR(INDEX(catComida,MATCH(D1847,catNom,0))&amp;"",""))</f>
        <v/>
      </c>
      <c r="N1847" s="19">
        <f>IF(I1847="","",IFERROR(INDEX(ctaMon,MATCH(E1847,ctaNom,0))&amp;"","DOP"))</f>
        <v/>
      </c>
      <c r="O1847" s="20">
        <f>IF(I1847="","",C1847*IF(N1847="USD",TasaUSD,1))</f>
        <v/>
      </c>
      <c r="P1847" s="20">
        <f>IF(I1847="","",IF(I1847="Gasto",O1847,0))</f>
        <v/>
      </c>
      <c r="Q1847" s="20">
        <f>IF(I1847="","",IF(I1847="Ingreso",O1847,0))</f>
        <v/>
      </c>
      <c r="R1847" s="20">
        <f>IF(I1847="","",IF(I1847="Trading",O1847,0))</f>
        <v/>
      </c>
      <c r="S1847" s="19">
        <f>IF(I1847="","",IF(AND(I1847="Gasto",K1847="Variable",J1847&lt;&gt;"Trading",O1847&gt;0,O1847&lt;=Umbral),1,0))</f>
        <v/>
      </c>
      <c r="T1847" s="20">
        <f>IF(OR(I1847="",E1847=""),"",IF(OR(I1847="Gasto",I1847="Transferencia",I1847="Pago tarjeta"),-1,1)*C1847)</f>
        <v/>
      </c>
      <c r="U1847" s="20">
        <f>IF(OR(G1847="",AND(I1847&lt;&gt;"Transferencia",I1847&lt;&gt;"Pago tarjeta")),"",IF(IFERROR(INDEX(ctaMon,MATCH(G1847,ctaNom,0))&amp;"","DOP")=N1847,C1847,IF(N1847="USD",C1847*TasaUSD,C1847/TasaUSD)))</f>
        <v/>
      </c>
      <c r="V1847" s="20">
        <f>IF(I1847="","",IF(IFERROR(INDEX(ctaLiq,MATCH(E1847,ctaNom,0))="Sí",FALSE),IF(OR(I1847="Gasto",I1847="Transferencia",I1847="Pago tarjeta"),-1,1)*O1847,0)+IF(AND(U1847&lt;&gt;"",IFERROR(INDEX(ctaLiq,MATCH(G1847,ctaNom,0))="Sí",FALSE)),O1847,0))</f>
        <v/>
      </c>
      <c r="W1847" s="19">
        <f>IF(OR(F1847="",I1847=""),"",IF(COUNTIFS(F$6:F1847,F1847,I$6:I1847,"?*")=1,MAX(W$5:W1846)+1,""))</f>
        <v/>
      </c>
    </row>
    <row r="1848">
      <c r="B1848" s="15" t="n"/>
      <c r="C1848" s="16" t="n"/>
      <c r="D1848" s="17" t="n"/>
      <c r="E1848" s="17" t="n"/>
      <c r="F1848" s="17" t="n"/>
      <c r="G1848" s="17" t="n"/>
      <c r="H1848" s="18">
        <f>IF(AND(B1848="",C1848="",D1848="",E1848=""),"",IF(B1848="","⚠ Falta fecha",IF(C1848="","⚠ Falta monto",IF(D1848="","⚠ Falta categoría",IF(ISNA(MATCH(D1848,catNom,0)),"⚠ Categoría no existe",IF(E1848="","⚠ Falta cuenta",IF(ISNA(MATCH(E1848,ctaNom,0)),"⚠ Cuenta no existe",IF(AND(OR(I1848="Transferencia",I1848="Pago tarjeta"),G1848=""),"⚠ Indica la cuenta «Hacia»",IF(AND(G1848&lt;&gt;"",G1848=E1848),"⚠ «Hacia» igual a la cuenta",IF(AND(G1848&lt;&gt;"",ISNA(MATCH(G1848,ctaNom,0))),"⚠ «Hacia» no existe",IF(AND(I1848="Pago tarjeta",IFERROR(INDEX(ctaTipo,MATCH(G1848,ctaNom,0)),"")&lt;&gt;"Tarjeta de crédito"),"⚠ «Hacia» debe ser la tarjeta",IF(AND(I1848="Trading",IFERROR(INDEX(ctaTipo,MATCH(E1848,ctaNom,0)),"")&lt;&gt;"Cuenta de trading"),"⚠ Usa la cuenta de trading","✓"))))))))))))</f>
        <v/>
      </c>
      <c r="I1848" s="19">
        <f>IF(OR(B1848="",C1848="",D1848=""),"",IFERROR(INDEX(catTipo,MATCH(D1848,catNom,0))&amp;"",""))</f>
        <v/>
      </c>
      <c r="J1848" s="19">
        <f>IF(I1848="","",IFERROR(INDEX(catGrupo,MATCH(D1848,catNom,0))&amp;"",""))</f>
        <v/>
      </c>
      <c r="K1848" s="19">
        <f>IF(I1848="Gasto",IF(IFERROR(INDEX(catClas,MATCH(D1848,catNom,0))&amp;"","")="","Variable",IFERROR(INDEX(catClas,MATCH(D1848,catNom,0))&amp;"","")),"")</f>
        <v/>
      </c>
      <c r="L1848" s="19">
        <f>IF(I1848="","",IFERROR(INDEX(catAlim,MATCH(D1848,catNom,0))&amp;"",""))</f>
        <v/>
      </c>
      <c r="M1848" s="19">
        <f>IF(I1848="","",IFERROR(INDEX(catComida,MATCH(D1848,catNom,0))&amp;"",""))</f>
        <v/>
      </c>
      <c r="N1848" s="19">
        <f>IF(I1848="","",IFERROR(INDEX(ctaMon,MATCH(E1848,ctaNom,0))&amp;"","DOP"))</f>
        <v/>
      </c>
      <c r="O1848" s="20">
        <f>IF(I1848="","",C1848*IF(N1848="USD",TasaUSD,1))</f>
        <v/>
      </c>
      <c r="P1848" s="20">
        <f>IF(I1848="","",IF(I1848="Gasto",O1848,0))</f>
        <v/>
      </c>
      <c r="Q1848" s="20">
        <f>IF(I1848="","",IF(I1848="Ingreso",O1848,0))</f>
        <v/>
      </c>
      <c r="R1848" s="20">
        <f>IF(I1848="","",IF(I1848="Trading",O1848,0))</f>
        <v/>
      </c>
      <c r="S1848" s="19">
        <f>IF(I1848="","",IF(AND(I1848="Gasto",K1848="Variable",J1848&lt;&gt;"Trading",O1848&gt;0,O1848&lt;=Umbral),1,0))</f>
        <v/>
      </c>
      <c r="T1848" s="20">
        <f>IF(OR(I1848="",E1848=""),"",IF(OR(I1848="Gasto",I1848="Transferencia",I1848="Pago tarjeta"),-1,1)*C1848)</f>
        <v/>
      </c>
      <c r="U1848" s="20">
        <f>IF(OR(G1848="",AND(I1848&lt;&gt;"Transferencia",I1848&lt;&gt;"Pago tarjeta")),"",IF(IFERROR(INDEX(ctaMon,MATCH(G1848,ctaNom,0))&amp;"","DOP")=N1848,C1848,IF(N1848="USD",C1848*TasaUSD,C1848/TasaUSD)))</f>
        <v/>
      </c>
      <c r="V1848" s="20">
        <f>IF(I1848="","",IF(IFERROR(INDEX(ctaLiq,MATCH(E1848,ctaNom,0))="Sí",FALSE),IF(OR(I1848="Gasto",I1848="Transferencia",I1848="Pago tarjeta"),-1,1)*O1848,0)+IF(AND(U1848&lt;&gt;"",IFERROR(INDEX(ctaLiq,MATCH(G1848,ctaNom,0))="Sí",FALSE)),O1848,0))</f>
        <v/>
      </c>
      <c r="W1848" s="19">
        <f>IF(OR(F1848="",I1848=""),"",IF(COUNTIFS(F$6:F1848,F1848,I$6:I1848,"?*")=1,MAX(W$5:W1847)+1,""))</f>
        <v/>
      </c>
    </row>
    <row r="1849">
      <c r="B1849" s="15" t="n"/>
      <c r="C1849" s="16" t="n"/>
      <c r="D1849" s="17" t="n"/>
      <c r="E1849" s="17" t="n"/>
      <c r="F1849" s="17" t="n"/>
      <c r="G1849" s="17" t="n"/>
      <c r="H1849" s="18">
        <f>IF(AND(B1849="",C1849="",D1849="",E1849=""),"",IF(B1849="","⚠ Falta fecha",IF(C1849="","⚠ Falta monto",IF(D1849="","⚠ Falta categoría",IF(ISNA(MATCH(D1849,catNom,0)),"⚠ Categoría no existe",IF(E1849="","⚠ Falta cuenta",IF(ISNA(MATCH(E1849,ctaNom,0)),"⚠ Cuenta no existe",IF(AND(OR(I1849="Transferencia",I1849="Pago tarjeta"),G1849=""),"⚠ Indica la cuenta «Hacia»",IF(AND(G1849&lt;&gt;"",G1849=E1849),"⚠ «Hacia» igual a la cuenta",IF(AND(G1849&lt;&gt;"",ISNA(MATCH(G1849,ctaNom,0))),"⚠ «Hacia» no existe",IF(AND(I1849="Pago tarjeta",IFERROR(INDEX(ctaTipo,MATCH(G1849,ctaNom,0)),"")&lt;&gt;"Tarjeta de crédito"),"⚠ «Hacia» debe ser la tarjeta",IF(AND(I1849="Trading",IFERROR(INDEX(ctaTipo,MATCH(E1849,ctaNom,0)),"")&lt;&gt;"Cuenta de trading"),"⚠ Usa la cuenta de trading","✓"))))))))))))</f>
        <v/>
      </c>
      <c r="I1849" s="19">
        <f>IF(OR(B1849="",C1849="",D1849=""),"",IFERROR(INDEX(catTipo,MATCH(D1849,catNom,0))&amp;"",""))</f>
        <v/>
      </c>
      <c r="J1849" s="19">
        <f>IF(I1849="","",IFERROR(INDEX(catGrupo,MATCH(D1849,catNom,0))&amp;"",""))</f>
        <v/>
      </c>
      <c r="K1849" s="19">
        <f>IF(I1849="Gasto",IF(IFERROR(INDEX(catClas,MATCH(D1849,catNom,0))&amp;"","")="","Variable",IFERROR(INDEX(catClas,MATCH(D1849,catNom,0))&amp;"","")),"")</f>
        <v/>
      </c>
      <c r="L1849" s="19">
        <f>IF(I1849="","",IFERROR(INDEX(catAlim,MATCH(D1849,catNom,0))&amp;"",""))</f>
        <v/>
      </c>
      <c r="M1849" s="19">
        <f>IF(I1849="","",IFERROR(INDEX(catComida,MATCH(D1849,catNom,0))&amp;"",""))</f>
        <v/>
      </c>
      <c r="N1849" s="19">
        <f>IF(I1849="","",IFERROR(INDEX(ctaMon,MATCH(E1849,ctaNom,0))&amp;"","DOP"))</f>
        <v/>
      </c>
      <c r="O1849" s="20">
        <f>IF(I1849="","",C1849*IF(N1849="USD",TasaUSD,1))</f>
        <v/>
      </c>
      <c r="P1849" s="20">
        <f>IF(I1849="","",IF(I1849="Gasto",O1849,0))</f>
        <v/>
      </c>
      <c r="Q1849" s="20">
        <f>IF(I1849="","",IF(I1849="Ingreso",O1849,0))</f>
        <v/>
      </c>
      <c r="R1849" s="20">
        <f>IF(I1849="","",IF(I1849="Trading",O1849,0))</f>
        <v/>
      </c>
      <c r="S1849" s="19">
        <f>IF(I1849="","",IF(AND(I1849="Gasto",K1849="Variable",J1849&lt;&gt;"Trading",O1849&gt;0,O1849&lt;=Umbral),1,0))</f>
        <v/>
      </c>
      <c r="T1849" s="20">
        <f>IF(OR(I1849="",E1849=""),"",IF(OR(I1849="Gasto",I1849="Transferencia",I1849="Pago tarjeta"),-1,1)*C1849)</f>
        <v/>
      </c>
      <c r="U1849" s="20">
        <f>IF(OR(G1849="",AND(I1849&lt;&gt;"Transferencia",I1849&lt;&gt;"Pago tarjeta")),"",IF(IFERROR(INDEX(ctaMon,MATCH(G1849,ctaNom,0))&amp;"","DOP")=N1849,C1849,IF(N1849="USD",C1849*TasaUSD,C1849/TasaUSD)))</f>
        <v/>
      </c>
      <c r="V1849" s="20">
        <f>IF(I1849="","",IF(IFERROR(INDEX(ctaLiq,MATCH(E1849,ctaNom,0))="Sí",FALSE),IF(OR(I1849="Gasto",I1849="Transferencia",I1849="Pago tarjeta"),-1,1)*O1849,0)+IF(AND(U1849&lt;&gt;"",IFERROR(INDEX(ctaLiq,MATCH(G1849,ctaNom,0))="Sí",FALSE)),O1849,0))</f>
        <v/>
      </c>
      <c r="W1849" s="19">
        <f>IF(OR(F1849="",I1849=""),"",IF(COUNTIFS(F$6:F1849,F1849,I$6:I1849,"?*")=1,MAX(W$5:W1848)+1,""))</f>
        <v/>
      </c>
    </row>
    <row r="1850">
      <c r="B1850" s="15" t="n"/>
      <c r="C1850" s="16" t="n"/>
      <c r="D1850" s="17" t="n"/>
      <c r="E1850" s="17" t="n"/>
      <c r="F1850" s="17" t="n"/>
      <c r="G1850" s="17" t="n"/>
      <c r="H1850" s="18">
        <f>IF(AND(B1850="",C1850="",D1850="",E1850=""),"",IF(B1850="","⚠ Falta fecha",IF(C1850="","⚠ Falta monto",IF(D1850="","⚠ Falta categoría",IF(ISNA(MATCH(D1850,catNom,0)),"⚠ Categoría no existe",IF(E1850="","⚠ Falta cuenta",IF(ISNA(MATCH(E1850,ctaNom,0)),"⚠ Cuenta no existe",IF(AND(OR(I1850="Transferencia",I1850="Pago tarjeta"),G1850=""),"⚠ Indica la cuenta «Hacia»",IF(AND(G1850&lt;&gt;"",G1850=E1850),"⚠ «Hacia» igual a la cuenta",IF(AND(G1850&lt;&gt;"",ISNA(MATCH(G1850,ctaNom,0))),"⚠ «Hacia» no existe",IF(AND(I1850="Pago tarjeta",IFERROR(INDEX(ctaTipo,MATCH(G1850,ctaNom,0)),"")&lt;&gt;"Tarjeta de crédito"),"⚠ «Hacia» debe ser la tarjeta",IF(AND(I1850="Trading",IFERROR(INDEX(ctaTipo,MATCH(E1850,ctaNom,0)),"")&lt;&gt;"Cuenta de trading"),"⚠ Usa la cuenta de trading","✓"))))))))))))</f>
        <v/>
      </c>
      <c r="I1850" s="19">
        <f>IF(OR(B1850="",C1850="",D1850=""),"",IFERROR(INDEX(catTipo,MATCH(D1850,catNom,0))&amp;"",""))</f>
        <v/>
      </c>
      <c r="J1850" s="19">
        <f>IF(I1850="","",IFERROR(INDEX(catGrupo,MATCH(D1850,catNom,0))&amp;"",""))</f>
        <v/>
      </c>
      <c r="K1850" s="19">
        <f>IF(I1850="Gasto",IF(IFERROR(INDEX(catClas,MATCH(D1850,catNom,0))&amp;"","")="","Variable",IFERROR(INDEX(catClas,MATCH(D1850,catNom,0))&amp;"","")),"")</f>
        <v/>
      </c>
      <c r="L1850" s="19">
        <f>IF(I1850="","",IFERROR(INDEX(catAlim,MATCH(D1850,catNom,0))&amp;"",""))</f>
        <v/>
      </c>
      <c r="M1850" s="19">
        <f>IF(I1850="","",IFERROR(INDEX(catComida,MATCH(D1850,catNom,0))&amp;"",""))</f>
        <v/>
      </c>
      <c r="N1850" s="19">
        <f>IF(I1850="","",IFERROR(INDEX(ctaMon,MATCH(E1850,ctaNom,0))&amp;"","DOP"))</f>
        <v/>
      </c>
      <c r="O1850" s="20">
        <f>IF(I1850="","",C1850*IF(N1850="USD",TasaUSD,1))</f>
        <v/>
      </c>
      <c r="P1850" s="20">
        <f>IF(I1850="","",IF(I1850="Gasto",O1850,0))</f>
        <v/>
      </c>
      <c r="Q1850" s="20">
        <f>IF(I1850="","",IF(I1850="Ingreso",O1850,0))</f>
        <v/>
      </c>
      <c r="R1850" s="20">
        <f>IF(I1850="","",IF(I1850="Trading",O1850,0))</f>
        <v/>
      </c>
      <c r="S1850" s="19">
        <f>IF(I1850="","",IF(AND(I1850="Gasto",K1850="Variable",J1850&lt;&gt;"Trading",O1850&gt;0,O1850&lt;=Umbral),1,0))</f>
        <v/>
      </c>
      <c r="T1850" s="20">
        <f>IF(OR(I1850="",E1850=""),"",IF(OR(I1850="Gasto",I1850="Transferencia",I1850="Pago tarjeta"),-1,1)*C1850)</f>
        <v/>
      </c>
      <c r="U1850" s="20">
        <f>IF(OR(G1850="",AND(I1850&lt;&gt;"Transferencia",I1850&lt;&gt;"Pago tarjeta")),"",IF(IFERROR(INDEX(ctaMon,MATCH(G1850,ctaNom,0))&amp;"","DOP")=N1850,C1850,IF(N1850="USD",C1850*TasaUSD,C1850/TasaUSD)))</f>
        <v/>
      </c>
      <c r="V1850" s="20">
        <f>IF(I1850="","",IF(IFERROR(INDEX(ctaLiq,MATCH(E1850,ctaNom,0))="Sí",FALSE),IF(OR(I1850="Gasto",I1850="Transferencia",I1850="Pago tarjeta"),-1,1)*O1850,0)+IF(AND(U1850&lt;&gt;"",IFERROR(INDEX(ctaLiq,MATCH(G1850,ctaNom,0))="Sí",FALSE)),O1850,0))</f>
        <v/>
      </c>
      <c r="W1850" s="19">
        <f>IF(OR(F1850="",I1850=""),"",IF(COUNTIFS(F$6:F1850,F1850,I$6:I1850,"?*")=1,MAX(W$5:W1849)+1,""))</f>
        <v/>
      </c>
    </row>
    <row r="1851">
      <c r="B1851" s="15" t="n"/>
      <c r="C1851" s="16" t="n"/>
      <c r="D1851" s="17" t="n"/>
      <c r="E1851" s="17" t="n"/>
      <c r="F1851" s="17" t="n"/>
      <c r="G1851" s="17" t="n"/>
      <c r="H1851" s="18">
        <f>IF(AND(B1851="",C1851="",D1851="",E1851=""),"",IF(B1851="","⚠ Falta fecha",IF(C1851="","⚠ Falta monto",IF(D1851="","⚠ Falta categoría",IF(ISNA(MATCH(D1851,catNom,0)),"⚠ Categoría no existe",IF(E1851="","⚠ Falta cuenta",IF(ISNA(MATCH(E1851,ctaNom,0)),"⚠ Cuenta no existe",IF(AND(OR(I1851="Transferencia",I1851="Pago tarjeta"),G1851=""),"⚠ Indica la cuenta «Hacia»",IF(AND(G1851&lt;&gt;"",G1851=E1851),"⚠ «Hacia» igual a la cuenta",IF(AND(G1851&lt;&gt;"",ISNA(MATCH(G1851,ctaNom,0))),"⚠ «Hacia» no existe",IF(AND(I1851="Pago tarjeta",IFERROR(INDEX(ctaTipo,MATCH(G1851,ctaNom,0)),"")&lt;&gt;"Tarjeta de crédito"),"⚠ «Hacia» debe ser la tarjeta",IF(AND(I1851="Trading",IFERROR(INDEX(ctaTipo,MATCH(E1851,ctaNom,0)),"")&lt;&gt;"Cuenta de trading"),"⚠ Usa la cuenta de trading","✓"))))))))))))</f>
        <v/>
      </c>
      <c r="I1851" s="19">
        <f>IF(OR(B1851="",C1851="",D1851=""),"",IFERROR(INDEX(catTipo,MATCH(D1851,catNom,0))&amp;"",""))</f>
        <v/>
      </c>
      <c r="J1851" s="19">
        <f>IF(I1851="","",IFERROR(INDEX(catGrupo,MATCH(D1851,catNom,0))&amp;"",""))</f>
        <v/>
      </c>
      <c r="K1851" s="19">
        <f>IF(I1851="Gasto",IF(IFERROR(INDEX(catClas,MATCH(D1851,catNom,0))&amp;"","")="","Variable",IFERROR(INDEX(catClas,MATCH(D1851,catNom,0))&amp;"","")),"")</f>
        <v/>
      </c>
      <c r="L1851" s="19">
        <f>IF(I1851="","",IFERROR(INDEX(catAlim,MATCH(D1851,catNom,0))&amp;"",""))</f>
        <v/>
      </c>
      <c r="M1851" s="19">
        <f>IF(I1851="","",IFERROR(INDEX(catComida,MATCH(D1851,catNom,0))&amp;"",""))</f>
        <v/>
      </c>
      <c r="N1851" s="19">
        <f>IF(I1851="","",IFERROR(INDEX(ctaMon,MATCH(E1851,ctaNom,0))&amp;"","DOP"))</f>
        <v/>
      </c>
      <c r="O1851" s="20">
        <f>IF(I1851="","",C1851*IF(N1851="USD",TasaUSD,1))</f>
        <v/>
      </c>
      <c r="P1851" s="20">
        <f>IF(I1851="","",IF(I1851="Gasto",O1851,0))</f>
        <v/>
      </c>
      <c r="Q1851" s="20">
        <f>IF(I1851="","",IF(I1851="Ingreso",O1851,0))</f>
        <v/>
      </c>
      <c r="R1851" s="20">
        <f>IF(I1851="","",IF(I1851="Trading",O1851,0))</f>
        <v/>
      </c>
      <c r="S1851" s="19">
        <f>IF(I1851="","",IF(AND(I1851="Gasto",K1851="Variable",J1851&lt;&gt;"Trading",O1851&gt;0,O1851&lt;=Umbral),1,0))</f>
        <v/>
      </c>
      <c r="T1851" s="20">
        <f>IF(OR(I1851="",E1851=""),"",IF(OR(I1851="Gasto",I1851="Transferencia",I1851="Pago tarjeta"),-1,1)*C1851)</f>
        <v/>
      </c>
      <c r="U1851" s="20">
        <f>IF(OR(G1851="",AND(I1851&lt;&gt;"Transferencia",I1851&lt;&gt;"Pago tarjeta")),"",IF(IFERROR(INDEX(ctaMon,MATCH(G1851,ctaNom,0))&amp;"","DOP")=N1851,C1851,IF(N1851="USD",C1851*TasaUSD,C1851/TasaUSD)))</f>
        <v/>
      </c>
      <c r="V1851" s="20">
        <f>IF(I1851="","",IF(IFERROR(INDEX(ctaLiq,MATCH(E1851,ctaNom,0))="Sí",FALSE),IF(OR(I1851="Gasto",I1851="Transferencia",I1851="Pago tarjeta"),-1,1)*O1851,0)+IF(AND(U1851&lt;&gt;"",IFERROR(INDEX(ctaLiq,MATCH(G1851,ctaNom,0))="Sí",FALSE)),O1851,0))</f>
        <v/>
      </c>
      <c r="W1851" s="19">
        <f>IF(OR(F1851="",I1851=""),"",IF(COUNTIFS(F$6:F1851,F1851,I$6:I1851,"?*")=1,MAX(W$5:W1850)+1,""))</f>
        <v/>
      </c>
    </row>
    <row r="1852">
      <c r="B1852" s="15" t="n"/>
      <c r="C1852" s="16" t="n"/>
      <c r="D1852" s="17" t="n"/>
      <c r="E1852" s="17" t="n"/>
      <c r="F1852" s="17" t="n"/>
      <c r="G1852" s="17" t="n"/>
      <c r="H1852" s="18">
        <f>IF(AND(B1852="",C1852="",D1852="",E1852=""),"",IF(B1852="","⚠ Falta fecha",IF(C1852="","⚠ Falta monto",IF(D1852="","⚠ Falta categoría",IF(ISNA(MATCH(D1852,catNom,0)),"⚠ Categoría no existe",IF(E1852="","⚠ Falta cuenta",IF(ISNA(MATCH(E1852,ctaNom,0)),"⚠ Cuenta no existe",IF(AND(OR(I1852="Transferencia",I1852="Pago tarjeta"),G1852=""),"⚠ Indica la cuenta «Hacia»",IF(AND(G1852&lt;&gt;"",G1852=E1852),"⚠ «Hacia» igual a la cuenta",IF(AND(G1852&lt;&gt;"",ISNA(MATCH(G1852,ctaNom,0))),"⚠ «Hacia» no existe",IF(AND(I1852="Pago tarjeta",IFERROR(INDEX(ctaTipo,MATCH(G1852,ctaNom,0)),"")&lt;&gt;"Tarjeta de crédito"),"⚠ «Hacia» debe ser la tarjeta",IF(AND(I1852="Trading",IFERROR(INDEX(ctaTipo,MATCH(E1852,ctaNom,0)),"")&lt;&gt;"Cuenta de trading"),"⚠ Usa la cuenta de trading","✓"))))))))))))</f>
        <v/>
      </c>
      <c r="I1852" s="19">
        <f>IF(OR(B1852="",C1852="",D1852=""),"",IFERROR(INDEX(catTipo,MATCH(D1852,catNom,0))&amp;"",""))</f>
        <v/>
      </c>
      <c r="J1852" s="19">
        <f>IF(I1852="","",IFERROR(INDEX(catGrupo,MATCH(D1852,catNom,0))&amp;"",""))</f>
        <v/>
      </c>
      <c r="K1852" s="19">
        <f>IF(I1852="Gasto",IF(IFERROR(INDEX(catClas,MATCH(D1852,catNom,0))&amp;"","")="","Variable",IFERROR(INDEX(catClas,MATCH(D1852,catNom,0))&amp;"","")),"")</f>
        <v/>
      </c>
      <c r="L1852" s="19">
        <f>IF(I1852="","",IFERROR(INDEX(catAlim,MATCH(D1852,catNom,0))&amp;"",""))</f>
        <v/>
      </c>
      <c r="M1852" s="19">
        <f>IF(I1852="","",IFERROR(INDEX(catComida,MATCH(D1852,catNom,0))&amp;"",""))</f>
        <v/>
      </c>
      <c r="N1852" s="19">
        <f>IF(I1852="","",IFERROR(INDEX(ctaMon,MATCH(E1852,ctaNom,0))&amp;"","DOP"))</f>
        <v/>
      </c>
      <c r="O1852" s="20">
        <f>IF(I1852="","",C1852*IF(N1852="USD",TasaUSD,1))</f>
        <v/>
      </c>
      <c r="P1852" s="20">
        <f>IF(I1852="","",IF(I1852="Gasto",O1852,0))</f>
        <v/>
      </c>
      <c r="Q1852" s="20">
        <f>IF(I1852="","",IF(I1852="Ingreso",O1852,0))</f>
        <v/>
      </c>
      <c r="R1852" s="20">
        <f>IF(I1852="","",IF(I1852="Trading",O1852,0))</f>
        <v/>
      </c>
      <c r="S1852" s="19">
        <f>IF(I1852="","",IF(AND(I1852="Gasto",K1852="Variable",J1852&lt;&gt;"Trading",O1852&gt;0,O1852&lt;=Umbral),1,0))</f>
        <v/>
      </c>
      <c r="T1852" s="20">
        <f>IF(OR(I1852="",E1852=""),"",IF(OR(I1852="Gasto",I1852="Transferencia",I1852="Pago tarjeta"),-1,1)*C1852)</f>
        <v/>
      </c>
      <c r="U1852" s="20">
        <f>IF(OR(G1852="",AND(I1852&lt;&gt;"Transferencia",I1852&lt;&gt;"Pago tarjeta")),"",IF(IFERROR(INDEX(ctaMon,MATCH(G1852,ctaNom,0))&amp;"","DOP")=N1852,C1852,IF(N1852="USD",C1852*TasaUSD,C1852/TasaUSD)))</f>
        <v/>
      </c>
      <c r="V1852" s="20">
        <f>IF(I1852="","",IF(IFERROR(INDEX(ctaLiq,MATCH(E1852,ctaNom,0))="Sí",FALSE),IF(OR(I1852="Gasto",I1852="Transferencia",I1852="Pago tarjeta"),-1,1)*O1852,0)+IF(AND(U1852&lt;&gt;"",IFERROR(INDEX(ctaLiq,MATCH(G1852,ctaNom,0))="Sí",FALSE)),O1852,0))</f>
        <v/>
      </c>
      <c r="W1852" s="19">
        <f>IF(OR(F1852="",I1852=""),"",IF(COUNTIFS(F$6:F1852,F1852,I$6:I1852,"?*")=1,MAX(W$5:W1851)+1,""))</f>
        <v/>
      </c>
    </row>
    <row r="1853">
      <c r="B1853" s="15" t="n"/>
      <c r="C1853" s="16" t="n"/>
      <c r="D1853" s="17" t="n"/>
      <c r="E1853" s="17" t="n"/>
      <c r="F1853" s="17" t="n"/>
      <c r="G1853" s="17" t="n"/>
      <c r="H1853" s="18">
        <f>IF(AND(B1853="",C1853="",D1853="",E1853=""),"",IF(B1853="","⚠ Falta fecha",IF(C1853="","⚠ Falta monto",IF(D1853="","⚠ Falta categoría",IF(ISNA(MATCH(D1853,catNom,0)),"⚠ Categoría no existe",IF(E1853="","⚠ Falta cuenta",IF(ISNA(MATCH(E1853,ctaNom,0)),"⚠ Cuenta no existe",IF(AND(OR(I1853="Transferencia",I1853="Pago tarjeta"),G1853=""),"⚠ Indica la cuenta «Hacia»",IF(AND(G1853&lt;&gt;"",G1853=E1853),"⚠ «Hacia» igual a la cuenta",IF(AND(G1853&lt;&gt;"",ISNA(MATCH(G1853,ctaNom,0))),"⚠ «Hacia» no existe",IF(AND(I1853="Pago tarjeta",IFERROR(INDEX(ctaTipo,MATCH(G1853,ctaNom,0)),"")&lt;&gt;"Tarjeta de crédito"),"⚠ «Hacia» debe ser la tarjeta",IF(AND(I1853="Trading",IFERROR(INDEX(ctaTipo,MATCH(E1853,ctaNom,0)),"")&lt;&gt;"Cuenta de trading"),"⚠ Usa la cuenta de trading","✓"))))))))))))</f>
        <v/>
      </c>
      <c r="I1853" s="19">
        <f>IF(OR(B1853="",C1853="",D1853=""),"",IFERROR(INDEX(catTipo,MATCH(D1853,catNom,0))&amp;"",""))</f>
        <v/>
      </c>
      <c r="J1853" s="19">
        <f>IF(I1853="","",IFERROR(INDEX(catGrupo,MATCH(D1853,catNom,0))&amp;"",""))</f>
        <v/>
      </c>
      <c r="K1853" s="19">
        <f>IF(I1853="Gasto",IF(IFERROR(INDEX(catClas,MATCH(D1853,catNom,0))&amp;"","")="","Variable",IFERROR(INDEX(catClas,MATCH(D1853,catNom,0))&amp;"","")),"")</f>
        <v/>
      </c>
      <c r="L1853" s="19">
        <f>IF(I1853="","",IFERROR(INDEX(catAlim,MATCH(D1853,catNom,0))&amp;"",""))</f>
        <v/>
      </c>
      <c r="M1853" s="19">
        <f>IF(I1853="","",IFERROR(INDEX(catComida,MATCH(D1853,catNom,0))&amp;"",""))</f>
        <v/>
      </c>
      <c r="N1853" s="19">
        <f>IF(I1853="","",IFERROR(INDEX(ctaMon,MATCH(E1853,ctaNom,0))&amp;"","DOP"))</f>
        <v/>
      </c>
      <c r="O1853" s="20">
        <f>IF(I1853="","",C1853*IF(N1853="USD",TasaUSD,1))</f>
        <v/>
      </c>
      <c r="P1853" s="20">
        <f>IF(I1853="","",IF(I1853="Gasto",O1853,0))</f>
        <v/>
      </c>
      <c r="Q1853" s="20">
        <f>IF(I1853="","",IF(I1853="Ingreso",O1853,0))</f>
        <v/>
      </c>
      <c r="R1853" s="20">
        <f>IF(I1853="","",IF(I1853="Trading",O1853,0))</f>
        <v/>
      </c>
      <c r="S1853" s="19">
        <f>IF(I1853="","",IF(AND(I1853="Gasto",K1853="Variable",J1853&lt;&gt;"Trading",O1853&gt;0,O1853&lt;=Umbral),1,0))</f>
        <v/>
      </c>
      <c r="T1853" s="20">
        <f>IF(OR(I1853="",E1853=""),"",IF(OR(I1853="Gasto",I1853="Transferencia",I1853="Pago tarjeta"),-1,1)*C1853)</f>
        <v/>
      </c>
      <c r="U1853" s="20">
        <f>IF(OR(G1853="",AND(I1853&lt;&gt;"Transferencia",I1853&lt;&gt;"Pago tarjeta")),"",IF(IFERROR(INDEX(ctaMon,MATCH(G1853,ctaNom,0))&amp;"","DOP")=N1853,C1853,IF(N1853="USD",C1853*TasaUSD,C1853/TasaUSD)))</f>
        <v/>
      </c>
      <c r="V1853" s="20">
        <f>IF(I1853="","",IF(IFERROR(INDEX(ctaLiq,MATCH(E1853,ctaNom,0))="Sí",FALSE),IF(OR(I1853="Gasto",I1853="Transferencia",I1853="Pago tarjeta"),-1,1)*O1853,0)+IF(AND(U1853&lt;&gt;"",IFERROR(INDEX(ctaLiq,MATCH(G1853,ctaNom,0))="Sí",FALSE)),O1853,0))</f>
        <v/>
      </c>
      <c r="W1853" s="19">
        <f>IF(OR(F1853="",I1853=""),"",IF(COUNTIFS(F$6:F1853,F1853,I$6:I1853,"?*")=1,MAX(W$5:W1852)+1,""))</f>
        <v/>
      </c>
    </row>
    <row r="1854">
      <c r="B1854" s="15" t="n"/>
      <c r="C1854" s="16" t="n"/>
      <c r="D1854" s="17" t="n"/>
      <c r="E1854" s="17" t="n"/>
      <c r="F1854" s="17" t="n"/>
      <c r="G1854" s="17" t="n"/>
      <c r="H1854" s="18">
        <f>IF(AND(B1854="",C1854="",D1854="",E1854=""),"",IF(B1854="","⚠ Falta fecha",IF(C1854="","⚠ Falta monto",IF(D1854="","⚠ Falta categoría",IF(ISNA(MATCH(D1854,catNom,0)),"⚠ Categoría no existe",IF(E1854="","⚠ Falta cuenta",IF(ISNA(MATCH(E1854,ctaNom,0)),"⚠ Cuenta no existe",IF(AND(OR(I1854="Transferencia",I1854="Pago tarjeta"),G1854=""),"⚠ Indica la cuenta «Hacia»",IF(AND(G1854&lt;&gt;"",G1854=E1854),"⚠ «Hacia» igual a la cuenta",IF(AND(G1854&lt;&gt;"",ISNA(MATCH(G1854,ctaNom,0))),"⚠ «Hacia» no existe",IF(AND(I1854="Pago tarjeta",IFERROR(INDEX(ctaTipo,MATCH(G1854,ctaNom,0)),"")&lt;&gt;"Tarjeta de crédito"),"⚠ «Hacia» debe ser la tarjeta",IF(AND(I1854="Trading",IFERROR(INDEX(ctaTipo,MATCH(E1854,ctaNom,0)),"")&lt;&gt;"Cuenta de trading"),"⚠ Usa la cuenta de trading","✓"))))))))))))</f>
        <v/>
      </c>
      <c r="I1854" s="19">
        <f>IF(OR(B1854="",C1854="",D1854=""),"",IFERROR(INDEX(catTipo,MATCH(D1854,catNom,0))&amp;"",""))</f>
        <v/>
      </c>
      <c r="J1854" s="19">
        <f>IF(I1854="","",IFERROR(INDEX(catGrupo,MATCH(D1854,catNom,0))&amp;"",""))</f>
        <v/>
      </c>
      <c r="K1854" s="19">
        <f>IF(I1854="Gasto",IF(IFERROR(INDEX(catClas,MATCH(D1854,catNom,0))&amp;"","")="","Variable",IFERROR(INDEX(catClas,MATCH(D1854,catNom,0))&amp;"","")),"")</f>
        <v/>
      </c>
      <c r="L1854" s="19">
        <f>IF(I1854="","",IFERROR(INDEX(catAlim,MATCH(D1854,catNom,0))&amp;"",""))</f>
        <v/>
      </c>
      <c r="M1854" s="19">
        <f>IF(I1854="","",IFERROR(INDEX(catComida,MATCH(D1854,catNom,0))&amp;"",""))</f>
        <v/>
      </c>
      <c r="N1854" s="19">
        <f>IF(I1854="","",IFERROR(INDEX(ctaMon,MATCH(E1854,ctaNom,0))&amp;"","DOP"))</f>
        <v/>
      </c>
      <c r="O1854" s="20">
        <f>IF(I1854="","",C1854*IF(N1854="USD",TasaUSD,1))</f>
        <v/>
      </c>
      <c r="P1854" s="20">
        <f>IF(I1854="","",IF(I1854="Gasto",O1854,0))</f>
        <v/>
      </c>
      <c r="Q1854" s="20">
        <f>IF(I1854="","",IF(I1854="Ingreso",O1854,0))</f>
        <v/>
      </c>
      <c r="R1854" s="20">
        <f>IF(I1854="","",IF(I1854="Trading",O1854,0))</f>
        <v/>
      </c>
      <c r="S1854" s="19">
        <f>IF(I1854="","",IF(AND(I1854="Gasto",K1854="Variable",J1854&lt;&gt;"Trading",O1854&gt;0,O1854&lt;=Umbral),1,0))</f>
        <v/>
      </c>
      <c r="T1854" s="20">
        <f>IF(OR(I1854="",E1854=""),"",IF(OR(I1854="Gasto",I1854="Transferencia",I1854="Pago tarjeta"),-1,1)*C1854)</f>
        <v/>
      </c>
      <c r="U1854" s="20">
        <f>IF(OR(G1854="",AND(I1854&lt;&gt;"Transferencia",I1854&lt;&gt;"Pago tarjeta")),"",IF(IFERROR(INDEX(ctaMon,MATCH(G1854,ctaNom,0))&amp;"","DOP")=N1854,C1854,IF(N1854="USD",C1854*TasaUSD,C1854/TasaUSD)))</f>
        <v/>
      </c>
      <c r="V1854" s="20">
        <f>IF(I1854="","",IF(IFERROR(INDEX(ctaLiq,MATCH(E1854,ctaNom,0))="Sí",FALSE),IF(OR(I1854="Gasto",I1854="Transferencia",I1854="Pago tarjeta"),-1,1)*O1854,0)+IF(AND(U1854&lt;&gt;"",IFERROR(INDEX(ctaLiq,MATCH(G1854,ctaNom,0))="Sí",FALSE)),O1854,0))</f>
        <v/>
      </c>
      <c r="W1854" s="19">
        <f>IF(OR(F1854="",I1854=""),"",IF(COUNTIFS(F$6:F1854,F1854,I$6:I1854,"?*")=1,MAX(W$5:W1853)+1,""))</f>
        <v/>
      </c>
    </row>
    <row r="1855">
      <c r="B1855" s="15" t="n"/>
      <c r="C1855" s="16" t="n"/>
      <c r="D1855" s="17" t="n"/>
      <c r="E1855" s="17" t="n"/>
      <c r="F1855" s="17" t="n"/>
      <c r="G1855" s="17" t="n"/>
      <c r="H1855" s="18">
        <f>IF(AND(B1855="",C1855="",D1855="",E1855=""),"",IF(B1855="","⚠ Falta fecha",IF(C1855="","⚠ Falta monto",IF(D1855="","⚠ Falta categoría",IF(ISNA(MATCH(D1855,catNom,0)),"⚠ Categoría no existe",IF(E1855="","⚠ Falta cuenta",IF(ISNA(MATCH(E1855,ctaNom,0)),"⚠ Cuenta no existe",IF(AND(OR(I1855="Transferencia",I1855="Pago tarjeta"),G1855=""),"⚠ Indica la cuenta «Hacia»",IF(AND(G1855&lt;&gt;"",G1855=E1855),"⚠ «Hacia» igual a la cuenta",IF(AND(G1855&lt;&gt;"",ISNA(MATCH(G1855,ctaNom,0))),"⚠ «Hacia» no existe",IF(AND(I1855="Pago tarjeta",IFERROR(INDEX(ctaTipo,MATCH(G1855,ctaNom,0)),"")&lt;&gt;"Tarjeta de crédito"),"⚠ «Hacia» debe ser la tarjeta",IF(AND(I1855="Trading",IFERROR(INDEX(ctaTipo,MATCH(E1855,ctaNom,0)),"")&lt;&gt;"Cuenta de trading"),"⚠ Usa la cuenta de trading","✓"))))))))))))</f>
        <v/>
      </c>
      <c r="I1855" s="19">
        <f>IF(OR(B1855="",C1855="",D1855=""),"",IFERROR(INDEX(catTipo,MATCH(D1855,catNom,0))&amp;"",""))</f>
        <v/>
      </c>
      <c r="J1855" s="19">
        <f>IF(I1855="","",IFERROR(INDEX(catGrupo,MATCH(D1855,catNom,0))&amp;"",""))</f>
        <v/>
      </c>
      <c r="K1855" s="19">
        <f>IF(I1855="Gasto",IF(IFERROR(INDEX(catClas,MATCH(D1855,catNom,0))&amp;"","")="","Variable",IFERROR(INDEX(catClas,MATCH(D1855,catNom,0))&amp;"","")),"")</f>
        <v/>
      </c>
      <c r="L1855" s="19">
        <f>IF(I1855="","",IFERROR(INDEX(catAlim,MATCH(D1855,catNom,0))&amp;"",""))</f>
        <v/>
      </c>
      <c r="M1855" s="19">
        <f>IF(I1855="","",IFERROR(INDEX(catComida,MATCH(D1855,catNom,0))&amp;"",""))</f>
        <v/>
      </c>
      <c r="N1855" s="19">
        <f>IF(I1855="","",IFERROR(INDEX(ctaMon,MATCH(E1855,ctaNom,0))&amp;"","DOP"))</f>
        <v/>
      </c>
      <c r="O1855" s="20">
        <f>IF(I1855="","",C1855*IF(N1855="USD",TasaUSD,1))</f>
        <v/>
      </c>
      <c r="P1855" s="20">
        <f>IF(I1855="","",IF(I1855="Gasto",O1855,0))</f>
        <v/>
      </c>
      <c r="Q1855" s="20">
        <f>IF(I1855="","",IF(I1855="Ingreso",O1855,0))</f>
        <v/>
      </c>
      <c r="R1855" s="20">
        <f>IF(I1855="","",IF(I1855="Trading",O1855,0))</f>
        <v/>
      </c>
      <c r="S1855" s="19">
        <f>IF(I1855="","",IF(AND(I1855="Gasto",K1855="Variable",J1855&lt;&gt;"Trading",O1855&gt;0,O1855&lt;=Umbral),1,0))</f>
        <v/>
      </c>
      <c r="T1855" s="20">
        <f>IF(OR(I1855="",E1855=""),"",IF(OR(I1855="Gasto",I1855="Transferencia",I1855="Pago tarjeta"),-1,1)*C1855)</f>
        <v/>
      </c>
      <c r="U1855" s="20">
        <f>IF(OR(G1855="",AND(I1855&lt;&gt;"Transferencia",I1855&lt;&gt;"Pago tarjeta")),"",IF(IFERROR(INDEX(ctaMon,MATCH(G1855,ctaNom,0))&amp;"","DOP")=N1855,C1855,IF(N1855="USD",C1855*TasaUSD,C1855/TasaUSD)))</f>
        <v/>
      </c>
      <c r="V1855" s="20">
        <f>IF(I1855="","",IF(IFERROR(INDEX(ctaLiq,MATCH(E1855,ctaNom,0))="Sí",FALSE),IF(OR(I1855="Gasto",I1855="Transferencia",I1855="Pago tarjeta"),-1,1)*O1855,0)+IF(AND(U1855&lt;&gt;"",IFERROR(INDEX(ctaLiq,MATCH(G1855,ctaNom,0))="Sí",FALSE)),O1855,0))</f>
        <v/>
      </c>
      <c r="W1855" s="19">
        <f>IF(OR(F1855="",I1855=""),"",IF(COUNTIFS(F$6:F1855,F1855,I$6:I1855,"?*")=1,MAX(W$5:W1854)+1,""))</f>
        <v/>
      </c>
    </row>
    <row r="1856">
      <c r="B1856" s="15" t="n"/>
      <c r="C1856" s="16" t="n"/>
      <c r="D1856" s="17" t="n"/>
      <c r="E1856" s="17" t="n"/>
      <c r="F1856" s="17" t="n"/>
      <c r="G1856" s="17" t="n"/>
      <c r="H1856" s="18">
        <f>IF(AND(B1856="",C1856="",D1856="",E1856=""),"",IF(B1856="","⚠ Falta fecha",IF(C1856="","⚠ Falta monto",IF(D1856="","⚠ Falta categoría",IF(ISNA(MATCH(D1856,catNom,0)),"⚠ Categoría no existe",IF(E1856="","⚠ Falta cuenta",IF(ISNA(MATCH(E1856,ctaNom,0)),"⚠ Cuenta no existe",IF(AND(OR(I1856="Transferencia",I1856="Pago tarjeta"),G1856=""),"⚠ Indica la cuenta «Hacia»",IF(AND(G1856&lt;&gt;"",G1856=E1856),"⚠ «Hacia» igual a la cuenta",IF(AND(G1856&lt;&gt;"",ISNA(MATCH(G1856,ctaNom,0))),"⚠ «Hacia» no existe",IF(AND(I1856="Pago tarjeta",IFERROR(INDEX(ctaTipo,MATCH(G1856,ctaNom,0)),"")&lt;&gt;"Tarjeta de crédito"),"⚠ «Hacia» debe ser la tarjeta",IF(AND(I1856="Trading",IFERROR(INDEX(ctaTipo,MATCH(E1856,ctaNom,0)),"")&lt;&gt;"Cuenta de trading"),"⚠ Usa la cuenta de trading","✓"))))))))))))</f>
        <v/>
      </c>
      <c r="I1856" s="19">
        <f>IF(OR(B1856="",C1856="",D1856=""),"",IFERROR(INDEX(catTipo,MATCH(D1856,catNom,0))&amp;"",""))</f>
        <v/>
      </c>
      <c r="J1856" s="19">
        <f>IF(I1856="","",IFERROR(INDEX(catGrupo,MATCH(D1856,catNom,0))&amp;"",""))</f>
        <v/>
      </c>
      <c r="K1856" s="19">
        <f>IF(I1856="Gasto",IF(IFERROR(INDEX(catClas,MATCH(D1856,catNom,0))&amp;"","")="","Variable",IFERROR(INDEX(catClas,MATCH(D1856,catNom,0))&amp;"","")),"")</f>
        <v/>
      </c>
      <c r="L1856" s="19">
        <f>IF(I1856="","",IFERROR(INDEX(catAlim,MATCH(D1856,catNom,0))&amp;"",""))</f>
        <v/>
      </c>
      <c r="M1856" s="19">
        <f>IF(I1856="","",IFERROR(INDEX(catComida,MATCH(D1856,catNom,0))&amp;"",""))</f>
        <v/>
      </c>
      <c r="N1856" s="19">
        <f>IF(I1856="","",IFERROR(INDEX(ctaMon,MATCH(E1856,ctaNom,0))&amp;"","DOP"))</f>
        <v/>
      </c>
      <c r="O1856" s="20">
        <f>IF(I1856="","",C1856*IF(N1856="USD",TasaUSD,1))</f>
        <v/>
      </c>
      <c r="P1856" s="20">
        <f>IF(I1856="","",IF(I1856="Gasto",O1856,0))</f>
        <v/>
      </c>
      <c r="Q1856" s="20">
        <f>IF(I1856="","",IF(I1856="Ingreso",O1856,0))</f>
        <v/>
      </c>
      <c r="R1856" s="20">
        <f>IF(I1856="","",IF(I1856="Trading",O1856,0))</f>
        <v/>
      </c>
      <c r="S1856" s="19">
        <f>IF(I1856="","",IF(AND(I1856="Gasto",K1856="Variable",J1856&lt;&gt;"Trading",O1856&gt;0,O1856&lt;=Umbral),1,0))</f>
        <v/>
      </c>
      <c r="T1856" s="20">
        <f>IF(OR(I1856="",E1856=""),"",IF(OR(I1856="Gasto",I1856="Transferencia",I1856="Pago tarjeta"),-1,1)*C1856)</f>
        <v/>
      </c>
      <c r="U1856" s="20">
        <f>IF(OR(G1856="",AND(I1856&lt;&gt;"Transferencia",I1856&lt;&gt;"Pago tarjeta")),"",IF(IFERROR(INDEX(ctaMon,MATCH(G1856,ctaNom,0))&amp;"","DOP")=N1856,C1856,IF(N1856="USD",C1856*TasaUSD,C1856/TasaUSD)))</f>
        <v/>
      </c>
      <c r="V1856" s="20">
        <f>IF(I1856="","",IF(IFERROR(INDEX(ctaLiq,MATCH(E1856,ctaNom,0))="Sí",FALSE),IF(OR(I1856="Gasto",I1856="Transferencia",I1856="Pago tarjeta"),-1,1)*O1856,0)+IF(AND(U1856&lt;&gt;"",IFERROR(INDEX(ctaLiq,MATCH(G1856,ctaNom,0))="Sí",FALSE)),O1856,0))</f>
        <v/>
      </c>
      <c r="W1856" s="19">
        <f>IF(OR(F1856="",I1856=""),"",IF(COUNTIFS(F$6:F1856,F1856,I$6:I1856,"?*")=1,MAX(W$5:W1855)+1,""))</f>
        <v/>
      </c>
    </row>
    <row r="1857">
      <c r="B1857" s="15" t="n"/>
      <c r="C1857" s="16" t="n"/>
      <c r="D1857" s="17" t="n"/>
      <c r="E1857" s="17" t="n"/>
      <c r="F1857" s="17" t="n"/>
      <c r="G1857" s="17" t="n"/>
      <c r="H1857" s="18">
        <f>IF(AND(B1857="",C1857="",D1857="",E1857=""),"",IF(B1857="","⚠ Falta fecha",IF(C1857="","⚠ Falta monto",IF(D1857="","⚠ Falta categoría",IF(ISNA(MATCH(D1857,catNom,0)),"⚠ Categoría no existe",IF(E1857="","⚠ Falta cuenta",IF(ISNA(MATCH(E1857,ctaNom,0)),"⚠ Cuenta no existe",IF(AND(OR(I1857="Transferencia",I1857="Pago tarjeta"),G1857=""),"⚠ Indica la cuenta «Hacia»",IF(AND(G1857&lt;&gt;"",G1857=E1857),"⚠ «Hacia» igual a la cuenta",IF(AND(G1857&lt;&gt;"",ISNA(MATCH(G1857,ctaNom,0))),"⚠ «Hacia» no existe",IF(AND(I1857="Pago tarjeta",IFERROR(INDEX(ctaTipo,MATCH(G1857,ctaNom,0)),"")&lt;&gt;"Tarjeta de crédito"),"⚠ «Hacia» debe ser la tarjeta",IF(AND(I1857="Trading",IFERROR(INDEX(ctaTipo,MATCH(E1857,ctaNom,0)),"")&lt;&gt;"Cuenta de trading"),"⚠ Usa la cuenta de trading","✓"))))))))))))</f>
        <v/>
      </c>
      <c r="I1857" s="19">
        <f>IF(OR(B1857="",C1857="",D1857=""),"",IFERROR(INDEX(catTipo,MATCH(D1857,catNom,0))&amp;"",""))</f>
        <v/>
      </c>
      <c r="J1857" s="19">
        <f>IF(I1857="","",IFERROR(INDEX(catGrupo,MATCH(D1857,catNom,0))&amp;"",""))</f>
        <v/>
      </c>
      <c r="K1857" s="19">
        <f>IF(I1857="Gasto",IF(IFERROR(INDEX(catClas,MATCH(D1857,catNom,0))&amp;"","")="","Variable",IFERROR(INDEX(catClas,MATCH(D1857,catNom,0))&amp;"","")),"")</f>
        <v/>
      </c>
      <c r="L1857" s="19">
        <f>IF(I1857="","",IFERROR(INDEX(catAlim,MATCH(D1857,catNom,0))&amp;"",""))</f>
        <v/>
      </c>
      <c r="M1857" s="19">
        <f>IF(I1857="","",IFERROR(INDEX(catComida,MATCH(D1857,catNom,0))&amp;"",""))</f>
        <v/>
      </c>
      <c r="N1857" s="19">
        <f>IF(I1857="","",IFERROR(INDEX(ctaMon,MATCH(E1857,ctaNom,0))&amp;"","DOP"))</f>
        <v/>
      </c>
      <c r="O1857" s="20">
        <f>IF(I1857="","",C1857*IF(N1857="USD",TasaUSD,1))</f>
        <v/>
      </c>
      <c r="P1857" s="20">
        <f>IF(I1857="","",IF(I1857="Gasto",O1857,0))</f>
        <v/>
      </c>
      <c r="Q1857" s="20">
        <f>IF(I1857="","",IF(I1857="Ingreso",O1857,0))</f>
        <v/>
      </c>
      <c r="R1857" s="20">
        <f>IF(I1857="","",IF(I1857="Trading",O1857,0))</f>
        <v/>
      </c>
      <c r="S1857" s="19">
        <f>IF(I1857="","",IF(AND(I1857="Gasto",K1857="Variable",J1857&lt;&gt;"Trading",O1857&gt;0,O1857&lt;=Umbral),1,0))</f>
        <v/>
      </c>
      <c r="T1857" s="20">
        <f>IF(OR(I1857="",E1857=""),"",IF(OR(I1857="Gasto",I1857="Transferencia",I1857="Pago tarjeta"),-1,1)*C1857)</f>
        <v/>
      </c>
      <c r="U1857" s="20">
        <f>IF(OR(G1857="",AND(I1857&lt;&gt;"Transferencia",I1857&lt;&gt;"Pago tarjeta")),"",IF(IFERROR(INDEX(ctaMon,MATCH(G1857,ctaNom,0))&amp;"","DOP")=N1857,C1857,IF(N1857="USD",C1857*TasaUSD,C1857/TasaUSD)))</f>
        <v/>
      </c>
      <c r="V1857" s="20">
        <f>IF(I1857="","",IF(IFERROR(INDEX(ctaLiq,MATCH(E1857,ctaNom,0))="Sí",FALSE),IF(OR(I1857="Gasto",I1857="Transferencia",I1857="Pago tarjeta"),-1,1)*O1857,0)+IF(AND(U1857&lt;&gt;"",IFERROR(INDEX(ctaLiq,MATCH(G1857,ctaNom,0))="Sí",FALSE)),O1857,0))</f>
        <v/>
      </c>
      <c r="W1857" s="19">
        <f>IF(OR(F1857="",I1857=""),"",IF(COUNTIFS(F$6:F1857,F1857,I$6:I1857,"?*")=1,MAX(W$5:W1856)+1,""))</f>
        <v/>
      </c>
    </row>
    <row r="1858">
      <c r="B1858" s="15" t="n"/>
      <c r="C1858" s="16" t="n"/>
      <c r="D1858" s="17" t="n"/>
      <c r="E1858" s="17" t="n"/>
      <c r="F1858" s="17" t="n"/>
      <c r="G1858" s="17" t="n"/>
      <c r="H1858" s="18">
        <f>IF(AND(B1858="",C1858="",D1858="",E1858=""),"",IF(B1858="","⚠ Falta fecha",IF(C1858="","⚠ Falta monto",IF(D1858="","⚠ Falta categoría",IF(ISNA(MATCH(D1858,catNom,0)),"⚠ Categoría no existe",IF(E1858="","⚠ Falta cuenta",IF(ISNA(MATCH(E1858,ctaNom,0)),"⚠ Cuenta no existe",IF(AND(OR(I1858="Transferencia",I1858="Pago tarjeta"),G1858=""),"⚠ Indica la cuenta «Hacia»",IF(AND(G1858&lt;&gt;"",G1858=E1858),"⚠ «Hacia» igual a la cuenta",IF(AND(G1858&lt;&gt;"",ISNA(MATCH(G1858,ctaNom,0))),"⚠ «Hacia» no existe",IF(AND(I1858="Pago tarjeta",IFERROR(INDEX(ctaTipo,MATCH(G1858,ctaNom,0)),"")&lt;&gt;"Tarjeta de crédito"),"⚠ «Hacia» debe ser la tarjeta",IF(AND(I1858="Trading",IFERROR(INDEX(ctaTipo,MATCH(E1858,ctaNom,0)),"")&lt;&gt;"Cuenta de trading"),"⚠ Usa la cuenta de trading","✓"))))))))))))</f>
        <v/>
      </c>
      <c r="I1858" s="19">
        <f>IF(OR(B1858="",C1858="",D1858=""),"",IFERROR(INDEX(catTipo,MATCH(D1858,catNom,0))&amp;"",""))</f>
        <v/>
      </c>
      <c r="J1858" s="19">
        <f>IF(I1858="","",IFERROR(INDEX(catGrupo,MATCH(D1858,catNom,0))&amp;"",""))</f>
        <v/>
      </c>
      <c r="K1858" s="19">
        <f>IF(I1858="Gasto",IF(IFERROR(INDEX(catClas,MATCH(D1858,catNom,0))&amp;"","")="","Variable",IFERROR(INDEX(catClas,MATCH(D1858,catNom,0))&amp;"","")),"")</f>
        <v/>
      </c>
      <c r="L1858" s="19">
        <f>IF(I1858="","",IFERROR(INDEX(catAlim,MATCH(D1858,catNom,0))&amp;"",""))</f>
        <v/>
      </c>
      <c r="M1858" s="19">
        <f>IF(I1858="","",IFERROR(INDEX(catComida,MATCH(D1858,catNom,0))&amp;"",""))</f>
        <v/>
      </c>
      <c r="N1858" s="19">
        <f>IF(I1858="","",IFERROR(INDEX(ctaMon,MATCH(E1858,ctaNom,0))&amp;"","DOP"))</f>
        <v/>
      </c>
      <c r="O1858" s="20">
        <f>IF(I1858="","",C1858*IF(N1858="USD",TasaUSD,1))</f>
        <v/>
      </c>
      <c r="P1858" s="20">
        <f>IF(I1858="","",IF(I1858="Gasto",O1858,0))</f>
        <v/>
      </c>
      <c r="Q1858" s="20">
        <f>IF(I1858="","",IF(I1858="Ingreso",O1858,0))</f>
        <v/>
      </c>
      <c r="R1858" s="20">
        <f>IF(I1858="","",IF(I1858="Trading",O1858,0))</f>
        <v/>
      </c>
      <c r="S1858" s="19">
        <f>IF(I1858="","",IF(AND(I1858="Gasto",K1858="Variable",J1858&lt;&gt;"Trading",O1858&gt;0,O1858&lt;=Umbral),1,0))</f>
        <v/>
      </c>
      <c r="T1858" s="20">
        <f>IF(OR(I1858="",E1858=""),"",IF(OR(I1858="Gasto",I1858="Transferencia",I1858="Pago tarjeta"),-1,1)*C1858)</f>
        <v/>
      </c>
      <c r="U1858" s="20">
        <f>IF(OR(G1858="",AND(I1858&lt;&gt;"Transferencia",I1858&lt;&gt;"Pago tarjeta")),"",IF(IFERROR(INDEX(ctaMon,MATCH(G1858,ctaNom,0))&amp;"","DOP")=N1858,C1858,IF(N1858="USD",C1858*TasaUSD,C1858/TasaUSD)))</f>
        <v/>
      </c>
      <c r="V1858" s="20">
        <f>IF(I1858="","",IF(IFERROR(INDEX(ctaLiq,MATCH(E1858,ctaNom,0))="Sí",FALSE),IF(OR(I1858="Gasto",I1858="Transferencia",I1858="Pago tarjeta"),-1,1)*O1858,0)+IF(AND(U1858&lt;&gt;"",IFERROR(INDEX(ctaLiq,MATCH(G1858,ctaNom,0))="Sí",FALSE)),O1858,0))</f>
        <v/>
      </c>
      <c r="W1858" s="19">
        <f>IF(OR(F1858="",I1858=""),"",IF(COUNTIFS(F$6:F1858,F1858,I$6:I1858,"?*")=1,MAX(W$5:W1857)+1,""))</f>
        <v/>
      </c>
    </row>
    <row r="1859">
      <c r="B1859" s="15" t="n"/>
      <c r="C1859" s="16" t="n"/>
      <c r="D1859" s="17" t="n"/>
      <c r="E1859" s="17" t="n"/>
      <c r="F1859" s="17" t="n"/>
      <c r="G1859" s="17" t="n"/>
      <c r="H1859" s="18">
        <f>IF(AND(B1859="",C1859="",D1859="",E1859=""),"",IF(B1859="","⚠ Falta fecha",IF(C1859="","⚠ Falta monto",IF(D1859="","⚠ Falta categoría",IF(ISNA(MATCH(D1859,catNom,0)),"⚠ Categoría no existe",IF(E1859="","⚠ Falta cuenta",IF(ISNA(MATCH(E1859,ctaNom,0)),"⚠ Cuenta no existe",IF(AND(OR(I1859="Transferencia",I1859="Pago tarjeta"),G1859=""),"⚠ Indica la cuenta «Hacia»",IF(AND(G1859&lt;&gt;"",G1859=E1859),"⚠ «Hacia» igual a la cuenta",IF(AND(G1859&lt;&gt;"",ISNA(MATCH(G1859,ctaNom,0))),"⚠ «Hacia» no existe",IF(AND(I1859="Pago tarjeta",IFERROR(INDEX(ctaTipo,MATCH(G1859,ctaNom,0)),"")&lt;&gt;"Tarjeta de crédito"),"⚠ «Hacia» debe ser la tarjeta",IF(AND(I1859="Trading",IFERROR(INDEX(ctaTipo,MATCH(E1859,ctaNom,0)),"")&lt;&gt;"Cuenta de trading"),"⚠ Usa la cuenta de trading","✓"))))))))))))</f>
        <v/>
      </c>
      <c r="I1859" s="19">
        <f>IF(OR(B1859="",C1859="",D1859=""),"",IFERROR(INDEX(catTipo,MATCH(D1859,catNom,0))&amp;"",""))</f>
        <v/>
      </c>
      <c r="J1859" s="19">
        <f>IF(I1859="","",IFERROR(INDEX(catGrupo,MATCH(D1859,catNom,0))&amp;"",""))</f>
        <v/>
      </c>
      <c r="K1859" s="19">
        <f>IF(I1859="Gasto",IF(IFERROR(INDEX(catClas,MATCH(D1859,catNom,0))&amp;"","")="","Variable",IFERROR(INDEX(catClas,MATCH(D1859,catNom,0))&amp;"","")),"")</f>
        <v/>
      </c>
      <c r="L1859" s="19">
        <f>IF(I1859="","",IFERROR(INDEX(catAlim,MATCH(D1859,catNom,0))&amp;"",""))</f>
        <v/>
      </c>
      <c r="M1859" s="19">
        <f>IF(I1859="","",IFERROR(INDEX(catComida,MATCH(D1859,catNom,0))&amp;"",""))</f>
        <v/>
      </c>
      <c r="N1859" s="19">
        <f>IF(I1859="","",IFERROR(INDEX(ctaMon,MATCH(E1859,ctaNom,0))&amp;"","DOP"))</f>
        <v/>
      </c>
      <c r="O1859" s="20">
        <f>IF(I1859="","",C1859*IF(N1859="USD",TasaUSD,1))</f>
        <v/>
      </c>
      <c r="P1859" s="20">
        <f>IF(I1859="","",IF(I1859="Gasto",O1859,0))</f>
        <v/>
      </c>
      <c r="Q1859" s="20">
        <f>IF(I1859="","",IF(I1859="Ingreso",O1859,0))</f>
        <v/>
      </c>
      <c r="R1859" s="20">
        <f>IF(I1859="","",IF(I1859="Trading",O1859,0))</f>
        <v/>
      </c>
      <c r="S1859" s="19">
        <f>IF(I1859="","",IF(AND(I1859="Gasto",K1859="Variable",J1859&lt;&gt;"Trading",O1859&gt;0,O1859&lt;=Umbral),1,0))</f>
        <v/>
      </c>
      <c r="T1859" s="20">
        <f>IF(OR(I1859="",E1859=""),"",IF(OR(I1859="Gasto",I1859="Transferencia",I1859="Pago tarjeta"),-1,1)*C1859)</f>
        <v/>
      </c>
      <c r="U1859" s="20">
        <f>IF(OR(G1859="",AND(I1859&lt;&gt;"Transferencia",I1859&lt;&gt;"Pago tarjeta")),"",IF(IFERROR(INDEX(ctaMon,MATCH(G1859,ctaNom,0))&amp;"","DOP")=N1859,C1859,IF(N1859="USD",C1859*TasaUSD,C1859/TasaUSD)))</f>
        <v/>
      </c>
      <c r="V1859" s="20">
        <f>IF(I1859="","",IF(IFERROR(INDEX(ctaLiq,MATCH(E1859,ctaNom,0))="Sí",FALSE),IF(OR(I1859="Gasto",I1859="Transferencia",I1859="Pago tarjeta"),-1,1)*O1859,0)+IF(AND(U1859&lt;&gt;"",IFERROR(INDEX(ctaLiq,MATCH(G1859,ctaNom,0))="Sí",FALSE)),O1859,0))</f>
        <v/>
      </c>
      <c r="W1859" s="19">
        <f>IF(OR(F1859="",I1859=""),"",IF(COUNTIFS(F$6:F1859,F1859,I$6:I1859,"?*")=1,MAX(W$5:W1858)+1,""))</f>
        <v/>
      </c>
    </row>
    <row r="1860">
      <c r="B1860" s="15" t="n"/>
      <c r="C1860" s="16" t="n"/>
      <c r="D1860" s="17" t="n"/>
      <c r="E1860" s="17" t="n"/>
      <c r="F1860" s="17" t="n"/>
      <c r="G1860" s="17" t="n"/>
      <c r="H1860" s="18">
        <f>IF(AND(B1860="",C1860="",D1860="",E1860=""),"",IF(B1860="","⚠ Falta fecha",IF(C1860="","⚠ Falta monto",IF(D1860="","⚠ Falta categoría",IF(ISNA(MATCH(D1860,catNom,0)),"⚠ Categoría no existe",IF(E1860="","⚠ Falta cuenta",IF(ISNA(MATCH(E1860,ctaNom,0)),"⚠ Cuenta no existe",IF(AND(OR(I1860="Transferencia",I1860="Pago tarjeta"),G1860=""),"⚠ Indica la cuenta «Hacia»",IF(AND(G1860&lt;&gt;"",G1860=E1860),"⚠ «Hacia» igual a la cuenta",IF(AND(G1860&lt;&gt;"",ISNA(MATCH(G1860,ctaNom,0))),"⚠ «Hacia» no existe",IF(AND(I1860="Pago tarjeta",IFERROR(INDEX(ctaTipo,MATCH(G1860,ctaNom,0)),"")&lt;&gt;"Tarjeta de crédito"),"⚠ «Hacia» debe ser la tarjeta",IF(AND(I1860="Trading",IFERROR(INDEX(ctaTipo,MATCH(E1860,ctaNom,0)),"")&lt;&gt;"Cuenta de trading"),"⚠ Usa la cuenta de trading","✓"))))))))))))</f>
        <v/>
      </c>
      <c r="I1860" s="19">
        <f>IF(OR(B1860="",C1860="",D1860=""),"",IFERROR(INDEX(catTipo,MATCH(D1860,catNom,0))&amp;"",""))</f>
        <v/>
      </c>
      <c r="J1860" s="19">
        <f>IF(I1860="","",IFERROR(INDEX(catGrupo,MATCH(D1860,catNom,0))&amp;"",""))</f>
        <v/>
      </c>
      <c r="K1860" s="19">
        <f>IF(I1860="Gasto",IF(IFERROR(INDEX(catClas,MATCH(D1860,catNom,0))&amp;"","")="","Variable",IFERROR(INDEX(catClas,MATCH(D1860,catNom,0))&amp;"","")),"")</f>
        <v/>
      </c>
      <c r="L1860" s="19">
        <f>IF(I1860="","",IFERROR(INDEX(catAlim,MATCH(D1860,catNom,0))&amp;"",""))</f>
        <v/>
      </c>
      <c r="M1860" s="19">
        <f>IF(I1860="","",IFERROR(INDEX(catComida,MATCH(D1860,catNom,0))&amp;"",""))</f>
        <v/>
      </c>
      <c r="N1860" s="19">
        <f>IF(I1860="","",IFERROR(INDEX(ctaMon,MATCH(E1860,ctaNom,0))&amp;"","DOP"))</f>
        <v/>
      </c>
      <c r="O1860" s="20">
        <f>IF(I1860="","",C1860*IF(N1860="USD",TasaUSD,1))</f>
        <v/>
      </c>
      <c r="P1860" s="20">
        <f>IF(I1860="","",IF(I1860="Gasto",O1860,0))</f>
        <v/>
      </c>
      <c r="Q1860" s="20">
        <f>IF(I1860="","",IF(I1860="Ingreso",O1860,0))</f>
        <v/>
      </c>
      <c r="R1860" s="20">
        <f>IF(I1860="","",IF(I1860="Trading",O1860,0))</f>
        <v/>
      </c>
      <c r="S1860" s="19">
        <f>IF(I1860="","",IF(AND(I1860="Gasto",K1860="Variable",J1860&lt;&gt;"Trading",O1860&gt;0,O1860&lt;=Umbral),1,0))</f>
        <v/>
      </c>
      <c r="T1860" s="20">
        <f>IF(OR(I1860="",E1860=""),"",IF(OR(I1860="Gasto",I1860="Transferencia",I1860="Pago tarjeta"),-1,1)*C1860)</f>
        <v/>
      </c>
      <c r="U1860" s="20">
        <f>IF(OR(G1860="",AND(I1860&lt;&gt;"Transferencia",I1860&lt;&gt;"Pago tarjeta")),"",IF(IFERROR(INDEX(ctaMon,MATCH(G1860,ctaNom,0))&amp;"","DOP")=N1860,C1860,IF(N1860="USD",C1860*TasaUSD,C1860/TasaUSD)))</f>
        <v/>
      </c>
      <c r="V1860" s="20">
        <f>IF(I1860="","",IF(IFERROR(INDEX(ctaLiq,MATCH(E1860,ctaNom,0))="Sí",FALSE),IF(OR(I1860="Gasto",I1860="Transferencia",I1860="Pago tarjeta"),-1,1)*O1860,0)+IF(AND(U1860&lt;&gt;"",IFERROR(INDEX(ctaLiq,MATCH(G1860,ctaNom,0))="Sí",FALSE)),O1860,0))</f>
        <v/>
      </c>
      <c r="W1860" s="19">
        <f>IF(OR(F1860="",I1860=""),"",IF(COUNTIFS(F$6:F1860,F1860,I$6:I1860,"?*")=1,MAX(W$5:W1859)+1,""))</f>
        <v/>
      </c>
    </row>
    <row r="1861">
      <c r="B1861" s="15" t="n"/>
      <c r="C1861" s="16" t="n"/>
      <c r="D1861" s="17" t="n"/>
      <c r="E1861" s="17" t="n"/>
      <c r="F1861" s="17" t="n"/>
      <c r="G1861" s="17" t="n"/>
      <c r="H1861" s="18">
        <f>IF(AND(B1861="",C1861="",D1861="",E1861=""),"",IF(B1861="","⚠ Falta fecha",IF(C1861="","⚠ Falta monto",IF(D1861="","⚠ Falta categoría",IF(ISNA(MATCH(D1861,catNom,0)),"⚠ Categoría no existe",IF(E1861="","⚠ Falta cuenta",IF(ISNA(MATCH(E1861,ctaNom,0)),"⚠ Cuenta no existe",IF(AND(OR(I1861="Transferencia",I1861="Pago tarjeta"),G1861=""),"⚠ Indica la cuenta «Hacia»",IF(AND(G1861&lt;&gt;"",G1861=E1861),"⚠ «Hacia» igual a la cuenta",IF(AND(G1861&lt;&gt;"",ISNA(MATCH(G1861,ctaNom,0))),"⚠ «Hacia» no existe",IF(AND(I1861="Pago tarjeta",IFERROR(INDEX(ctaTipo,MATCH(G1861,ctaNom,0)),"")&lt;&gt;"Tarjeta de crédito"),"⚠ «Hacia» debe ser la tarjeta",IF(AND(I1861="Trading",IFERROR(INDEX(ctaTipo,MATCH(E1861,ctaNom,0)),"")&lt;&gt;"Cuenta de trading"),"⚠ Usa la cuenta de trading","✓"))))))))))))</f>
        <v/>
      </c>
      <c r="I1861" s="19">
        <f>IF(OR(B1861="",C1861="",D1861=""),"",IFERROR(INDEX(catTipo,MATCH(D1861,catNom,0))&amp;"",""))</f>
        <v/>
      </c>
      <c r="J1861" s="19">
        <f>IF(I1861="","",IFERROR(INDEX(catGrupo,MATCH(D1861,catNom,0))&amp;"",""))</f>
        <v/>
      </c>
      <c r="K1861" s="19">
        <f>IF(I1861="Gasto",IF(IFERROR(INDEX(catClas,MATCH(D1861,catNom,0))&amp;"","")="","Variable",IFERROR(INDEX(catClas,MATCH(D1861,catNom,0))&amp;"","")),"")</f>
        <v/>
      </c>
      <c r="L1861" s="19">
        <f>IF(I1861="","",IFERROR(INDEX(catAlim,MATCH(D1861,catNom,0))&amp;"",""))</f>
        <v/>
      </c>
      <c r="M1861" s="19">
        <f>IF(I1861="","",IFERROR(INDEX(catComida,MATCH(D1861,catNom,0))&amp;"",""))</f>
        <v/>
      </c>
      <c r="N1861" s="19">
        <f>IF(I1861="","",IFERROR(INDEX(ctaMon,MATCH(E1861,ctaNom,0))&amp;"","DOP"))</f>
        <v/>
      </c>
      <c r="O1861" s="20">
        <f>IF(I1861="","",C1861*IF(N1861="USD",TasaUSD,1))</f>
        <v/>
      </c>
      <c r="P1861" s="20">
        <f>IF(I1861="","",IF(I1861="Gasto",O1861,0))</f>
        <v/>
      </c>
      <c r="Q1861" s="20">
        <f>IF(I1861="","",IF(I1861="Ingreso",O1861,0))</f>
        <v/>
      </c>
      <c r="R1861" s="20">
        <f>IF(I1861="","",IF(I1861="Trading",O1861,0))</f>
        <v/>
      </c>
      <c r="S1861" s="19">
        <f>IF(I1861="","",IF(AND(I1861="Gasto",K1861="Variable",J1861&lt;&gt;"Trading",O1861&gt;0,O1861&lt;=Umbral),1,0))</f>
        <v/>
      </c>
      <c r="T1861" s="20">
        <f>IF(OR(I1861="",E1861=""),"",IF(OR(I1861="Gasto",I1861="Transferencia",I1861="Pago tarjeta"),-1,1)*C1861)</f>
        <v/>
      </c>
      <c r="U1861" s="20">
        <f>IF(OR(G1861="",AND(I1861&lt;&gt;"Transferencia",I1861&lt;&gt;"Pago tarjeta")),"",IF(IFERROR(INDEX(ctaMon,MATCH(G1861,ctaNom,0))&amp;"","DOP")=N1861,C1861,IF(N1861="USD",C1861*TasaUSD,C1861/TasaUSD)))</f>
        <v/>
      </c>
      <c r="V1861" s="20">
        <f>IF(I1861="","",IF(IFERROR(INDEX(ctaLiq,MATCH(E1861,ctaNom,0))="Sí",FALSE),IF(OR(I1861="Gasto",I1861="Transferencia",I1861="Pago tarjeta"),-1,1)*O1861,0)+IF(AND(U1861&lt;&gt;"",IFERROR(INDEX(ctaLiq,MATCH(G1861,ctaNom,0))="Sí",FALSE)),O1861,0))</f>
        <v/>
      </c>
      <c r="W1861" s="19">
        <f>IF(OR(F1861="",I1861=""),"",IF(COUNTIFS(F$6:F1861,F1861,I$6:I1861,"?*")=1,MAX(W$5:W1860)+1,""))</f>
        <v/>
      </c>
    </row>
    <row r="1862">
      <c r="B1862" s="15" t="n"/>
      <c r="C1862" s="16" t="n"/>
      <c r="D1862" s="17" t="n"/>
      <c r="E1862" s="17" t="n"/>
      <c r="F1862" s="17" t="n"/>
      <c r="G1862" s="17" t="n"/>
      <c r="H1862" s="18">
        <f>IF(AND(B1862="",C1862="",D1862="",E1862=""),"",IF(B1862="","⚠ Falta fecha",IF(C1862="","⚠ Falta monto",IF(D1862="","⚠ Falta categoría",IF(ISNA(MATCH(D1862,catNom,0)),"⚠ Categoría no existe",IF(E1862="","⚠ Falta cuenta",IF(ISNA(MATCH(E1862,ctaNom,0)),"⚠ Cuenta no existe",IF(AND(OR(I1862="Transferencia",I1862="Pago tarjeta"),G1862=""),"⚠ Indica la cuenta «Hacia»",IF(AND(G1862&lt;&gt;"",G1862=E1862),"⚠ «Hacia» igual a la cuenta",IF(AND(G1862&lt;&gt;"",ISNA(MATCH(G1862,ctaNom,0))),"⚠ «Hacia» no existe",IF(AND(I1862="Pago tarjeta",IFERROR(INDEX(ctaTipo,MATCH(G1862,ctaNom,0)),"")&lt;&gt;"Tarjeta de crédito"),"⚠ «Hacia» debe ser la tarjeta",IF(AND(I1862="Trading",IFERROR(INDEX(ctaTipo,MATCH(E1862,ctaNom,0)),"")&lt;&gt;"Cuenta de trading"),"⚠ Usa la cuenta de trading","✓"))))))))))))</f>
        <v/>
      </c>
      <c r="I1862" s="19">
        <f>IF(OR(B1862="",C1862="",D1862=""),"",IFERROR(INDEX(catTipo,MATCH(D1862,catNom,0))&amp;"",""))</f>
        <v/>
      </c>
      <c r="J1862" s="19">
        <f>IF(I1862="","",IFERROR(INDEX(catGrupo,MATCH(D1862,catNom,0))&amp;"",""))</f>
        <v/>
      </c>
      <c r="K1862" s="19">
        <f>IF(I1862="Gasto",IF(IFERROR(INDEX(catClas,MATCH(D1862,catNom,0))&amp;"","")="","Variable",IFERROR(INDEX(catClas,MATCH(D1862,catNom,0))&amp;"","")),"")</f>
        <v/>
      </c>
      <c r="L1862" s="19">
        <f>IF(I1862="","",IFERROR(INDEX(catAlim,MATCH(D1862,catNom,0))&amp;"",""))</f>
        <v/>
      </c>
      <c r="M1862" s="19">
        <f>IF(I1862="","",IFERROR(INDEX(catComida,MATCH(D1862,catNom,0))&amp;"",""))</f>
        <v/>
      </c>
      <c r="N1862" s="19">
        <f>IF(I1862="","",IFERROR(INDEX(ctaMon,MATCH(E1862,ctaNom,0))&amp;"","DOP"))</f>
        <v/>
      </c>
      <c r="O1862" s="20">
        <f>IF(I1862="","",C1862*IF(N1862="USD",TasaUSD,1))</f>
        <v/>
      </c>
      <c r="P1862" s="20">
        <f>IF(I1862="","",IF(I1862="Gasto",O1862,0))</f>
        <v/>
      </c>
      <c r="Q1862" s="20">
        <f>IF(I1862="","",IF(I1862="Ingreso",O1862,0))</f>
        <v/>
      </c>
      <c r="R1862" s="20">
        <f>IF(I1862="","",IF(I1862="Trading",O1862,0))</f>
        <v/>
      </c>
      <c r="S1862" s="19">
        <f>IF(I1862="","",IF(AND(I1862="Gasto",K1862="Variable",J1862&lt;&gt;"Trading",O1862&gt;0,O1862&lt;=Umbral),1,0))</f>
        <v/>
      </c>
      <c r="T1862" s="20">
        <f>IF(OR(I1862="",E1862=""),"",IF(OR(I1862="Gasto",I1862="Transferencia",I1862="Pago tarjeta"),-1,1)*C1862)</f>
        <v/>
      </c>
      <c r="U1862" s="20">
        <f>IF(OR(G1862="",AND(I1862&lt;&gt;"Transferencia",I1862&lt;&gt;"Pago tarjeta")),"",IF(IFERROR(INDEX(ctaMon,MATCH(G1862,ctaNom,0))&amp;"","DOP")=N1862,C1862,IF(N1862="USD",C1862*TasaUSD,C1862/TasaUSD)))</f>
        <v/>
      </c>
      <c r="V1862" s="20">
        <f>IF(I1862="","",IF(IFERROR(INDEX(ctaLiq,MATCH(E1862,ctaNom,0))="Sí",FALSE),IF(OR(I1862="Gasto",I1862="Transferencia",I1862="Pago tarjeta"),-1,1)*O1862,0)+IF(AND(U1862&lt;&gt;"",IFERROR(INDEX(ctaLiq,MATCH(G1862,ctaNom,0))="Sí",FALSE)),O1862,0))</f>
        <v/>
      </c>
      <c r="W1862" s="19">
        <f>IF(OR(F1862="",I1862=""),"",IF(COUNTIFS(F$6:F1862,F1862,I$6:I1862,"?*")=1,MAX(W$5:W1861)+1,""))</f>
        <v/>
      </c>
    </row>
    <row r="1863">
      <c r="B1863" s="15" t="n"/>
      <c r="C1863" s="16" t="n"/>
      <c r="D1863" s="17" t="n"/>
      <c r="E1863" s="17" t="n"/>
      <c r="F1863" s="17" t="n"/>
      <c r="G1863" s="17" t="n"/>
      <c r="H1863" s="18">
        <f>IF(AND(B1863="",C1863="",D1863="",E1863=""),"",IF(B1863="","⚠ Falta fecha",IF(C1863="","⚠ Falta monto",IF(D1863="","⚠ Falta categoría",IF(ISNA(MATCH(D1863,catNom,0)),"⚠ Categoría no existe",IF(E1863="","⚠ Falta cuenta",IF(ISNA(MATCH(E1863,ctaNom,0)),"⚠ Cuenta no existe",IF(AND(OR(I1863="Transferencia",I1863="Pago tarjeta"),G1863=""),"⚠ Indica la cuenta «Hacia»",IF(AND(G1863&lt;&gt;"",G1863=E1863),"⚠ «Hacia» igual a la cuenta",IF(AND(G1863&lt;&gt;"",ISNA(MATCH(G1863,ctaNom,0))),"⚠ «Hacia» no existe",IF(AND(I1863="Pago tarjeta",IFERROR(INDEX(ctaTipo,MATCH(G1863,ctaNom,0)),"")&lt;&gt;"Tarjeta de crédito"),"⚠ «Hacia» debe ser la tarjeta",IF(AND(I1863="Trading",IFERROR(INDEX(ctaTipo,MATCH(E1863,ctaNom,0)),"")&lt;&gt;"Cuenta de trading"),"⚠ Usa la cuenta de trading","✓"))))))))))))</f>
        <v/>
      </c>
      <c r="I1863" s="19">
        <f>IF(OR(B1863="",C1863="",D1863=""),"",IFERROR(INDEX(catTipo,MATCH(D1863,catNom,0))&amp;"",""))</f>
        <v/>
      </c>
      <c r="J1863" s="19">
        <f>IF(I1863="","",IFERROR(INDEX(catGrupo,MATCH(D1863,catNom,0))&amp;"",""))</f>
        <v/>
      </c>
      <c r="K1863" s="19">
        <f>IF(I1863="Gasto",IF(IFERROR(INDEX(catClas,MATCH(D1863,catNom,0))&amp;"","")="","Variable",IFERROR(INDEX(catClas,MATCH(D1863,catNom,0))&amp;"","")),"")</f>
        <v/>
      </c>
      <c r="L1863" s="19">
        <f>IF(I1863="","",IFERROR(INDEX(catAlim,MATCH(D1863,catNom,0))&amp;"",""))</f>
        <v/>
      </c>
      <c r="M1863" s="19">
        <f>IF(I1863="","",IFERROR(INDEX(catComida,MATCH(D1863,catNom,0))&amp;"",""))</f>
        <v/>
      </c>
      <c r="N1863" s="19">
        <f>IF(I1863="","",IFERROR(INDEX(ctaMon,MATCH(E1863,ctaNom,0))&amp;"","DOP"))</f>
        <v/>
      </c>
      <c r="O1863" s="20">
        <f>IF(I1863="","",C1863*IF(N1863="USD",TasaUSD,1))</f>
        <v/>
      </c>
      <c r="P1863" s="20">
        <f>IF(I1863="","",IF(I1863="Gasto",O1863,0))</f>
        <v/>
      </c>
      <c r="Q1863" s="20">
        <f>IF(I1863="","",IF(I1863="Ingreso",O1863,0))</f>
        <v/>
      </c>
      <c r="R1863" s="20">
        <f>IF(I1863="","",IF(I1863="Trading",O1863,0))</f>
        <v/>
      </c>
      <c r="S1863" s="19">
        <f>IF(I1863="","",IF(AND(I1863="Gasto",K1863="Variable",J1863&lt;&gt;"Trading",O1863&gt;0,O1863&lt;=Umbral),1,0))</f>
        <v/>
      </c>
      <c r="T1863" s="20">
        <f>IF(OR(I1863="",E1863=""),"",IF(OR(I1863="Gasto",I1863="Transferencia",I1863="Pago tarjeta"),-1,1)*C1863)</f>
        <v/>
      </c>
      <c r="U1863" s="20">
        <f>IF(OR(G1863="",AND(I1863&lt;&gt;"Transferencia",I1863&lt;&gt;"Pago tarjeta")),"",IF(IFERROR(INDEX(ctaMon,MATCH(G1863,ctaNom,0))&amp;"","DOP")=N1863,C1863,IF(N1863="USD",C1863*TasaUSD,C1863/TasaUSD)))</f>
        <v/>
      </c>
      <c r="V1863" s="20">
        <f>IF(I1863="","",IF(IFERROR(INDEX(ctaLiq,MATCH(E1863,ctaNom,0))="Sí",FALSE),IF(OR(I1863="Gasto",I1863="Transferencia",I1863="Pago tarjeta"),-1,1)*O1863,0)+IF(AND(U1863&lt;&gt;"",IFERROR(INDEX(ctaLiq,MATCH(G1863,ctaNom,0))="Sí",FALSE)),O1863,0))</f>
        <v/>
      </c>
      <c r="W1863" s="19">
        <f>IF(OR(F1863="",I1863=""),"",IF(COUNTIFS(F$6:F1863,F1863,I$6:I1863,"?*")=1,MAX(W$5:W1862)+1,""))</f>
        <v/>
      </c>
    </row>
    <row r="1864">
      <c r="B1864" s="15" t="n"/>
      <c r="C1864" s="16" t="n"/>
      <c r="D1864" s="17" t="n"/>
      <c r="E1864" s="17" t="n"/>
      <c r="F1864" s="17" t="n"/>
      <c r="G1864" s="17" t="n"/>
      <c r="H1864" s="18">
        <f>IF(AND(B1864="",C1864="",D1864="",E1864=""),"",IF(B1864="","⚠ Falta fecha",IF(C1864="","⚠ Falta monto",IF(D1864="","⚠ Falta categoría",IF(ISNA(MATCH(D1864,catNom,0)),"⚠ Categoría no existe",IF(E1864="","⚠ Falta cuenta",IF(ISNA(MATCH(E1864,ctaNom,0)),"⚠ Cuenta no existe",IF(AND(OR(I1864="Transferencia",I1864="Pago tarjeta"),G1864=""),"⚠ Indica la cuenta «Hacia»",IF(AND(G1864&lt;&gt;"",G1864=E1864),"⚠ «Hacia» igual a la cuenta",IF(AND(G1864&lt;&gt;"",ISNA(MATCH(G1864,ctaNom,0))),"⚠ «Hacia» no existe",IF(AND(I1864="Pago tarjeta",IFERROR(INDEX(ctaTipo,MATCH(G1864,ctaNom,0)),"")&lt;&gt;"Tarjeta de crédito"),"⚠ «Hacia» debe ser la tarjeta",IF(AND(I1864="Trading",IFERROR(INDEX(ctaTipo,MATCH(E1864,ctaNom,0)),"")&lt;&gt;"Cuenta de trading"),"⚠ Usa la cuenta de trading","✓"))))))))))))</f>
        <v/>
      </c>
      <c r="I1864" s="19">
        <f>IF(OR(B1864="",C1864="",D1864=""),"",IFERROR(INDEX(catTipo,MATCH(D1864,catNom,0))&amp;"",""))</f>
        <v/>
      </c>
      <c r="J1864" s="19">
        <f>IF(I1864="","",IFERROR(INDEX(catGrupo,MATCH(D1864,catNom,0))&amp;"",""))</f>
        <v/>
      </c>
      <c r="K1864" s="19">
        <f>IF(I1864="Gasto",IF(IFERROR(INDEX(catClas,MATCH(D1864,catNom,0))&amp;"","")="","Variable",IFERROR(INDEX(catClas,MATCH(D1864,catNom,0))&amp;"","")),"")</f>
        <v/>
      </c>
      <c r="L1864" s="19">
        <f>IF(I1864="","",IFERROR(INDEX(catAlim,MATCH(D1864,catNom,0))&amp;"",""))</f>
        <v/>
      </c>
      <c r="M1864" s="19">
        <f>IF(I1864="","",IFERROR(INDEX(catComida,MATCH(D1864,catNom,0))&amp;"",""))</f>
        <v/>
      </c>
      <c r="N1864" s="19">
        <f>IF(I1864="","",IFERROR(INDEX(ctaMon,MATCH(E1864,ctaNom,0))&amp;"","DOP"))</f>
        <v/>
      </c>
      <c r="O1864" s="20">
        <f>IF(I1864="","",C1864*IF(N1864="USD",TasaUSD,1))</f>
        <v/>
      </c>
      <c r="P1864" s="20">
        <f>IF(I1864="","",IF(I1864="Gasto",O1864,0))</f>
        <v/>
      </c>
      <c r="Q1864" s="20">
        <f>IF(I1864="","",IF(I1864="Ingreso",O1864,0))</f>
        <v/>
      </c>
      <c r="R1864" s="20">
        <f>IF(I1864="","",IF(I1864="Trading",O1864,0))</f>
        <v/>
      </c>
      <c r="S1864" s="19">
        <f>IF(I1864="","",IF(AND(I1864="Gasto",K1864="Variable",J1864&lt;&gt;"Trading",O1864&gt;0,O1864&lt;=Umbral),1,0))</f>
        <v/>
      </c>
      <c r="T1864" s="20">
        <f>IF(OR(I1864="",E1864=""),"",IF(OR(I1864="Gasto",I1864="Transferencia",I1864="Pago tarjeta"),-1,1)*C1864)</f>
        <v/>
      </c>
      <c r="U1864" s="20">
        <f>IF(OR(G1864="",AND(I1864&lt;&gt;"Transferencia",I1864&lt;&gt;"Pago tarjeta")),"",IF(IFERROR(INDEX(ctaMon,MATCH(G1864,ctaNom,0))&amp;"","DOP")=N1864,C1864,IF(N1864="USD",C1864*TasaUSD,C1864/TasaUSD)))</f>
        <v/>
      </c>
      <c r="V1864" s="20">
        <f>IF(I1864="","",IF(IFERROR(INDEX(ctaLiq,MATCH(E1864,ctaNom,0))="Sí",FALSE),IF(OR(I1864="Gasto",I1864="Transferencia",I1864="Pago tarjeta"),-1,1)*O1864,0)+IF(AND(U1864&lt;&gt;"",IFERROR(INDEX(ctaLiq,MATCH(G1864,ctaNom,0))="Sí",FALSE)),O1864,0))</f>
        <v/>
      </c>
      <c r="W1864" s="19">
        <f>IF(OR(F1864="",I1864=""),"",IF(COUNTIFS(F$6:F1864,F1864,I$6:I1864,"?*")=1,MAX(W$5:W1863)+1,""))</f>
        <v/>
      </c>
    </row>
    <row r="1865">
      <c r="B1865" s="15" t="n"/>
      <c r="C1865" s="16" t="n"/>
      <c r="D1865" s="17" t="n"/>
      <c r="E1865" s="17" t="n"/>
      <c r="F1865" s="17" t="n"/>
      <c r="G1865" s="17" t="n"/>
      <c r="H1865" s="18">
        <f>IF(AND(B1865="",C1865="",D1865="",E1865=""),"",IF(B1865="","⚠ Falta fecha",IF(C1865="","⚠ Falta monto",IF(D1865="","⚠ Falta categoría",IF(ISNA(MATCH(D1865,catNom,0)),"⚠ Categoría no existe",IF(E1865="","⚠ Falta cuenta",IF(ISNA(MATCH(E1865,ctaNom,0)),"⚠ Cuenta no existe",IF(AND(OR(I1865="Transferencia",I1865="Pago tarjeta"),G1865=""),"⚠ Indica la cuenta «Hacia»",IF(AND(G1865&lt;&gt;"",G1865=E1865),"⚠ «Hacia» igual a la cuenta",IF(AND(G1865&lt;&gt;"",ISNA(MATCH(G1865,ctaNom,0))),"⚠ «Hacia» no existe",IF(AND(I1865="Pago tarjeta",IFERROR(INDEX(ctaTipo,MATCH(G1865,ctaNom,0)),"")&lt;&gt;"Tarjeta de crédito"),"⚠ «Hacia» debe ser la tarjeta",IF(AND(I1865="Trading",IFERROR(INDEX(ctaTipo,MATCH(E1865,ctaNom,0)),"")&lt;&gt;"Cuenta de trading"),"⚠ Usa la cuenta de trading","✓"))))))))))))</f>
        <v/>
      </c>
      <c r="I1865" s="19">
        <f>IF(OR(B1865="",C1865="",D1865=""),"",IFERROR(INDEX(catTipo,MATCH(D1865,catNom,0))&amp;"",""))</f>
        <v/>
      </c>
      <c r="J1865" s="19">
        <f>IF(I1865="","",IFERROR(INDEX(catGrupo,MATCH(D1865,catNom,0))&amp;"",""))</f>
        <v/>
      </c>
      <c r="K1865" s="19">
        <f>IF(I1865="Gasto",IF(IFERROR(INDEX(catClas,MATCH(D1865,catNom,0))&amp;"","")="","Variable",IFERROR(INDEX(catClas,MATCH(D1865,catNom,0))&amp;"","")),"")</f>
        <v/>
      </c>
      <c r="L1865" s="19">
        <f>IF(I1865="","",IFERROR(INDEX(catAlim,MATCH(D1865,catNom,0))&amp;"",""))</f>
        <v/>
      </c>
      <c r="M1865" s="19">
        <f>IF(I1865="","",IFERROR(INDEX(catComida,MATCH(D1865,catNom,0))&amp;"",""))</f>
        <v/>
      </c>
      <c r="N1865" s="19">
        <f>IF(I1865="","",IFERROR(INDEX(ctaMon,MATCH(E1865,ctaNom,0))&amp;"","DOP"))</f>
        <v/>
      </c>
      <c r="O1865" s="20">
        <f>IF(I1865="","",C1865*IF(N1865="USD",TasaUSD,1))</f>
        <v/>
      </c>
      <c r="P1865" s="20">
        <f>IF(I1865="","",IF(I1865="Gasto",O1865,0))</f>
        <v/>
      </c>
      <c r="Q1865" s="20">
        <f>IF(I1865="","",IF(I1865="Ingreso",O1865,0))</f>
        <v/>
      </c>
      <c r="R1865" s="20">
        <f>IF(I1865="","",IF(I1865="Trading",O1865,0))</f>
        <v/>
      </c>
      <c r="S1865" s="19">
        <f>IF(I1865="","",IF(AND(I1865="Gasto",K1865="Variable",J1865&lt;&gt;"Trading",O1865&gt;0,O1865&lt;=Umbral),1,0))</f>
        <v/>
      </c>
      <c r="T1865" s="20">
        <f>IF(OR(I1865="",E1865=""),"",IF(OR(I1865="Gasto",I1865="Transferencia",I1865="Pago tarjeta"),-1,1)*C1865)</f>
        <v/>
      </c>
      <c r="U1865" s="20">
        <f>IF(OR(G1865="",AND(I1865&lt;&gt;"Transferencia",I1865&lt;&gt;"Pago tarjeta")),"",IF(IFERROR(INDEX(ctaMon,MATCH(G1865,ctaNom,0))&amp;"","DOP")=N1865,C1865,IF(N1865="USD",C1865*TasaUSD,C1865/TasaUSD)))</f>
        <v/>
      </c>
      <c r="V1865" s="20">
        <f>IF(I1865="","",IF(IFERROR(INDEX(ctaLiq,MATCH(E1865,ctaNom,0))="Sí",FALSE),IF(OR(I1865="Gasto",I1865="Transferencia",I1865="Pago tarjeta"),-1,1)*O1865,0)+IF(AND(U1865&lt;&gt;"",IFERROR(INDEX(ctaLiq,MATCH(G1865,ctaNom,0))="Sí",FALSE)),O1865,0))</f>
        <v/>
      </c>
      <c r="W1865" s="19">
        <f>IF(OR(F1865="",I1865=""),"",IF(COUNTIFS(F$6:F1865,F1865,I$6:I1865,"?*")=1,MAX(W$5:W1864)+1,""))</f>
        <v/>
      </c>
    </row>
    <row r="1866">
      <c r="B1866" s="15" t="n"/>
      <c r="C1866" s="16" t="n"/>
      <c r="D1866" s="17" t="n"/>
      <c r="E1866" s="17" t="n"/>
      <c r="F1866" s="17" t="n"/>
      <c r="G1866" s="17" t="n"/>
      <c r="H1866" s="18">
        <f>IF(AND(B1866="",C1866="",D1866="",E1866=""),"",IF(B1866="","⚠ Falta fecha",IF(C1866="","⚠ Falta monto",IF(D1866="","⚠ Falta categoría",IF(ISNA(MATCH(D1866,catNom,0)),"⚠ Categoría no existe",IF(E1866="","⚠ Falta cuenta",IF(ISNA(MATCH(E1866,ctaNom,0)),"⚠ Cuenta no existe",IF(AND(OR(I1866="Transferencia",I1866="Pago tarjeta"),G1866=""),"⚠ Indica la cuenta «Hacia»",IF(AND(G1866&lt;&gt;"",G1866=E1866),"⚠ «Hacia» igual a la cuenta",IF(AND(G1866&lt;&gt;"",ISNA(MATCH(G1866,ctaNom,0))),"⚠ «Hacia» no existe",IF(AND(I1866="Pago tarjeta",IFERROR(INDEX(ctaTipo,MATCH(G1866,ctaNom,0)),"")&lt;&gt;"Tarjeta de crédito"),"⚠ «Hacia» debe ser la tarjeta",IF(AND(I1866="Trading",IFERROR(INDEX(ctaTipo,MATCH(E1866,ctaNom,0)),"")&lt;&gt;"Cuenta de trading"),"⚠ Usa la cuenta de trading","✓"))))))))))))</f>
        <v/>
      </c>
      <c r="I1866" s="19">
        <f>IF(OR(B1866="",C1866="",D1866=""),"",IFERROR(INDEX(catTipo,MATCH(D1866,catNom,0))&amp;"",""))</f>
        <v/>
      </c>
      <c r="J1866" s="19">
        <f>IF(I1866="","",IFERROR(INDEX(catGrupo,MATCH(D1866,catNom,0))&amp;"",""))</f>
        <v/>
      </c>
      <c r="K1866" s="19">
        <f>IF(I1866="Gasto",IF(IFERROR(INDEX(catClas,MATCH(D1866,catNom,0))&amp;"","")="","Variable",IFERROR(INDEX(catClas,MATCH(D1866,catNom,0))&amp;"","")),"")</f>
        <v/>
      </c>
      <c r="L1866" s="19">
        <f>IF(I1866="","",IFERROR(INDEX(catAlim,MATCH(D1866,catNom,0))&amp;"",""))</f>
        <v/>
      </c>
      <c r="M1866" s="19">
        <f>IF(I1866="","",IFERROR(INDEX(catComida,MATCH(D1866,catNom,0))&amp;"",""))</f>
        <v/>
      </c>
      <c r="N1866" s="19">
        <f>IF(I1866="","",IFERROR(INDEX(ctaMon,MATCH(E1866,ctaNom,0))&amp;"","DOP"))</f>
        <v/>
      </c>
      <c r="O1866" s="20">
        <f>IF(I1866="","",C1866*IF(N1866="USD",TasaUSD,1))</f>
        <v/>
      </c>
      <c r="P1866" s="20">
        <f>IF(I1866="","",IF(I1866="Gasto",O1866,0))</f>
        <v/>
      </c>
      <c r="Q1866" s="20">
        <f>IF(I1866="","",IF(I1866="Ingreso",O1866,0))</f>
        <v/>
      </c>
      <c r="R1866" s="20">
        <f>IF(I1866="","",IF(I1866="Trading",O1866,0))</f>
        <v/>
      </c>
      <c r="S1866" s="19">
        <f>IF(I1866="","",IF(AND(I1866="Gasto",K1866="Variable",J1866&lt;&gt;"Trading",O1866&gt;0,O1866&lt;=Umbral),1,0))</f>
        <v/>
      </c>
      <c r="T1866" s="20">
        <f>IF(OR(I1866="",E1866=""),"",IF(OR(I1866="Gasto",I1866="Transferencia",I1866="Pago tarjeta"),-1,1)*C1866)</f>
        <v/>
      </c>
      <c r="U1866" s="20">
        <f>IF(OR(G1866="",AND(I1866&lt;&gt;"Transferencia",I1866&lt;&gt;"Pago tarjeta")),"",IF(IFERROR(INDEX(ctaMon,MATCH(G1866,ctaNom,0))&amp;"","DOP")=N1866,C1866,IF(N1866="USD",C1866*TasaUSD,C1866/TasaUSD)))</f>
        <v/>
      </c>
      <c r="V1866" s="20">
        <f>IF(I1866="","",IF(IFERROR(INDEX(ctaLiq,MATCH(E1866,ctaNom,0))="Sí",FALSE),IF(OR(I1866="Gasto",I1866="Transferencia",I1866="Pago tarjeta"),-1,1)*O1866,0)+IF(AND(U1866&lt;&gt;"",IFERROR(INDEX(ctaLiq,MATCH(G1866,ctaNom,0))="Sí",FALSE)),O1866,0))</f>
        <v/>
      </c>
      <c r="W1866" s="19">
        <f>IF(OR(F1866="",I1866=""),"",IF(COUNTIFS(F$6:F1866,F1866,I$6:I1866,"?*")=1,MAX(W$5:W1865)+1,""))</f>
        <v/>
      </c>
    </row>
    <row r="1867">
      <c r="B1867" s="15" t="n"/>
      <c r="C1867" s="16" t="n"/>
      <c r="D1867" s="17" t="n"/>
      <c r="E1867" s="17" t="n"/>
      <c r="F1867" s="17" t="n"/>
      <c r="G1867" s="17" t="n"/>
      <c r="H1867" s="18">
        <f>IF(AND(B1867="",C1867="",D1867="",E1867=""),"",IF(B1867="","⚠ Falta fecha",IF(C1867="","⚠ Falta monto",IF(D1867="","⚠ Falta categoría",IF(ISNA(MATCH(D1867,catNom,0)),"⚠ Categoría no existe",IF(E1867="","⚠ Falta cuenta",IF(ISNA(MATCH(E1867,ctaNom,0)),"⚠ Cuenta no existe",IF(AND(OR(I1867="Transferencia",I1867="Pago tarjeta"),G1867=""),"⚠ Indica la cuenta «Hacia»",IF(AND(G1867&lt;&gt;"",G1867=E1867),"⚠ «Hacia» igual a la cuenta",IF(AND(G1867&lt;&gt;"",ISNA(MATCH(G1867,ctaNom,0))),"⚠ «Hacia» no existe",IF(AND(I1867="Pago tarjeta",IFERROR(INDEX(ctaTipo,MATCH(G1867,ctaNom,0)),"")&lt;&gt;"Tarjeta de crédito"),"⚠ «Hacia» debe ser la tarjeta",IF(AND(I1867="Trading",IFERROR(INDEX(ctaTipo,MATCH(E1867,ctaNom,0)),"")&lt;&gt;"Cuenta de trading"),"⚠ Usa la cuenta de trading","✓"))))))))))))</f>
        <v/>
      </c>
      <c r="I1867" s="19">
        <f>IF(OR(B1867="",C1867="",D1867=""),"",IFERROR(INDEX(catTipo,MATCH(D1867,catNom,0))&amp;"",""))</f>
        <v/>
      </c>
      <c r="J1867" s="19">
        <f>IF(I1867="","",IFERROR(INDEX(catGrupo,MATCH(D1867,catNom,0))&amp;"",""))</f>
        <v/>
      </c>
      <c r="K1867" s="19">
        <f>IF(I1867="Gasto",IF(IFERROR(INDEX(catClas,MATCH(D1867,catNom,0))&amp;"","")="","Variable",IFERROR(INDEX(catClas,MATCH(D1867,catNom,0))&amp;"","")),"")</f>
        <v/>
      </c>
      <c r="L1867" s="19">
        <f>IF(I1867="","",IFERROR(INDEX(catAlim,MATCH(D1867,catNom,0))&amp;"",""))</f>
        <v/>
      </c>
      <c r="M1867" s="19">
        <f>IF(I1867="","",IFERROR(INDEX(catComida,MATCH(D1867,catNom,0))&amp;"",""))</f>
        <v/>
      </c>
      <c r="N1867" s="19">
        <f>IF(I1867="","",IFERROR(INDEX(ctaMon,MATCH(E1867,ctaNom,0))&amp;"","DOP"))</f>
        <v/>
      </c>
      <c r="O1867" s="20">
        <f>IF(I1867="","",C1867*IF(N1867="USD",TasaUSD,1))</f>
        <v/>
      </c>
      <c r="P1867" s="20">
        <f>IF(I1867="","",IF(I1867="Gasto",O1867,0))</f>
        <v/>
      </c>
      <c r="Q1867" s="20">
        <f>IF(I1867="","",IF(I1867="Ingreso",O1867,0))</f>
        <v/>
      </c>
      <c r="R1867" s="20">
        <f>IF(I1867="","",IF(I1867="Trading",O1867,0))</f>
        <v/>
      </c>
      <c r="S1867" s="19">
        <f>IF(I1867="","",IF(AND(I1867="Gasto",K1867="Variable",J1867&lt;&gt;"Trading",O1867&gt;0,O1867&lt;=Umbral),1,0))</f>
        <v/>
      </c>
      <c r="T1867" s="20">
        <f>IF(OR(I1867="",E1867=""),"",IF(OR(I1867="Gasto",I1867="Transferencia",I1867="Pago tarjeta"),-1,1)*C1867)</f>
        <v/>
      </c>
      <c r="U1867" s="20">
        <f>IF(OR(G1867="",AND(I1867&lt;&gt;"Transferencia",I1867&lt;&gt;"Pago tarjeta")),"",IF(IFERROR(INDEX(ctaMon,MATCH(G1867,ctaNom,0))&amp;"","DOP")=N1867,C1867,IF(N1867="USD",C1867*TasaUSD,C1867/TasaUSD)))</f>
        <v/>
      </c>
      <c r="V1867" s="20">
        <f>IF(I1867="","",IF(IFERROR(INDEX(ctaLiq,MATCH(E1867,ctaNom,0))="Sí",FALSE),IF(OR(I1867="Gasto",I1867="Transferencia",I1867="Pago tarjeta"),-1,1)*O1867,0)+IF(AND(U1867&lt;&gt;"",IFERROR(INDEX(ctaLiq,MATCH(G1867,ctaNom,0))="Sí",FALSE)),O1867,0))</f>
        <v/>
      </c>
      <c r="W1867" s="19">
        <f>IF(OR(F1867="",I1867=""),"",IF(COUNTIFS(F$6:F1867,F1867,I$6:I1867,"?*")=1,MAX(W$5:W1866)+1,""))</f>
        <v/>
      </c>
    </row>
    <row r="1868">
      <c r="B1868" s="15" t="n"/>
      <c r="C1868" s="16" t="n"/>
      <c r="D1868" s="17" t="n"/>
      <c r="E1868" s="17" t="n"/>
      <c r="F1868" s="17" t="n"/>
      <c r="G1868" s="17" t="n"/>
      <c r="H1868" s="18">
        <f>IF(AND(B1868="",C1868="",D1868="",E1868=""),"",IF(B1868="","⚠ Falta fecha",IF(C1868="","⚠ Falta monto",IF(D1868="","⚠ Falta categoría",IF(ISNA(MATCH(D1868,catNom,0)),"⚠ Categoría no existe",IF(E1868="","⚠ Falta cuenta",IF(ISNA(MATCH(E1868,ctaNom,0)),"⚠ Cuenta no existe",IF(AND(OR(I1868="Transferencia",I1868="Pago tarjeta"),G1868=""),"⚠ Indica la cuenta «Hacia»",IF(AND(G1868&lt;&gt;"",G1868=E1868),"⚠ «Hacia» igual a la cuenta",IF(AND(G1868&lt;&gt;"",ISNA(MATCH(G1868,ctaNom,0))),"⚠ «Hacia» no existe",IF(AND(I1868="Pago tarjeta",IFERROR(INDEX(ctaTipo,MATCH(G1868,ctaNom,0)),"")&lt;&gt;"Tarjeta de crédito"),"⚠ «Hacia» debe ser la tarjeta",IF(AND(I1868="Trading",IFERROR(INDEX(ctaTipo,MATCH(E1868,ctaNom,0)),"")&lt;&gt;"Cuenta de trading"),"⚠ Usa la cuenta de trading","✓"))))))))))))</f>
        <v/>
      </c>
      <c r="I1868" s="19">
        <f>IF(OR(B1868="",C1868="",D1868=""),"",IFERROR(INDEX(catTipo,MATCH(D1868,catNom,0))&amp;"",""))</f>
        <v/>
      </c>
      <c r="J1868" s="19">
        <f>IF(I1868="","",IFERROR(INDEX(catGrupo,MATCH(D1868,catNom,0))&amp;"",""))</f>
        <v/>
      </c>
      <c r="K1868" s="19">
        <f>IF(I1868="Gasto",IF(IFERROR(INDEX(catClas,MATCH(D1868,catNom,0))&amp;"","")="","Variable",IFERROR(INDEX(catClas,MATCH(D1868,catNom,0))&amp;"","")),"")</f>
        <v/>
      </c>
      <c r="L1868" s="19">
        <f>IF(I1868="","",IFERROR(INDEX(catAlim,MATCH(D1868,catNom,0))&amp;"",""))</f>
        <v/>
      </c>
      <c r="M1868" s="19">
        <f>IF(I1868="","",IFERROR(INDEX(catComida,MATCH(D1868,catNom,0))&amp;"",""))</f>
        <v/>
      </c>
      <c r="N1868" s="19">
        <f>IF(I1868="","",IFERROR(INDEX(ctaMon,MATCH(E1868,ctaNom,0))&amp;"","DOP"))</f>
        <v/>
      </c>
      <c r="O1868" s="20">
        <f>IF(I1868="","",C1868*IF(N1868="USD",TasaUSD,1))</f>
        <v/>
      </c>
      <c r="P1868" s="20">
        <f>IF(I1868="","",IF(I1868="Gasto",O1868,0))</f>
        <v/>
      </c>
      <c r="Q1868" s="20">
        <f>IF(I1868="","",IF(I1868="Ingreso",O1868,0))</f>
        <v/>
      </c>
      <c r="R1868" s="20">
        <f>IF(I1868="","",IF(I1868="Trading",O1868,0))</f>
        <v/>
      </c>
      <c r="S1868" s="19">
        <f>IF(I1868="","",IF(AND(I1868="Gasto",K1868="Variable",J1868&lt;&gt;"Trading",O1868&gt;0,O1868&lt;=Umbral),1,0))</f>
        <v/>
      </c>
      <c r="T1868" s="20">
        <f>IF(OR(I1868="",E1868=""),"",IF(OR(I1868="Gasto",I1868="Transferencia",I1868="Pago tarjeta"),-1,1)*C1868)</f>
        <v/>
      </c>
      <c r="U1868" s="20">
        <f>IF(OR(G1868="",AND(I1868&lt;&gt;"Transferencia",I1868&lt;&gt;"Pago tarjeta")),"",IF(IFERROR(INDEX(ctaMon,MATCH(G1868,ctaNom,0))&amp;"","DOP")=N1868,C1868,IF(N1868="USD",C1868*TasaUSD,C1868/TasaUSD)))</f>
        <v/>
      </c>
      <c r="V1868" s="20">
        <f>IF(I1868="","",IF(IFERROR(INDEX(ctaLiq,MATCH(E1868,ctaNom,0))="Sí",FALSE),IF(OR(I1868="Gasto",I1868="Transferencia",I1868="Pago tarjeta"),-1,1)*O1868,0)+IF(AND(U1868&lt;&gt;"",IFERROR(INDEX(ctaLiq,MATCH(G1868,ctaNom,0))="Sí",FALSE)),O1868,0))</f>
        <v/>
      </c>
      <c r="W1868" s="19">
        <f>IF(OR(F1868="",I1868=""),"",IF(COUNTIFS(F$6:F1868,F1868,I$6:I1868,"?*")=1,MAX(W$5:W1867)+1,""))</f>
        <v/>
      </c>
    </row>
    <row r="1869">
      <c r="B1869" s="15" t="n"/>
      <c r="C1869" s="16" t="n"/>
      <c r="D1869" s="17" t="n"/>
      <c r="E1869" s="17" t="n"/>
      <c r="F1869" s="17" t="n"/>
      <c r="G1869" s="17" t="n"/>
      <c r="H1869" s="18">
        <f>IF(AND(B1869="",C1869="",D1869="",E1869=""),"",IF(B1869="","⚠ Falta fecha",IF(C1869="","⚠ Falta monto",IF(D1869="","⚠ Falta categoría",IF(ISNA(MATCH(D1869,catNom,0)),"⚠ Categoría no existe",IF(E1869="","⚠ Falta cuenta",IF(ISNA(MATCH(E1869,ctaNom,0)),"⚠ Cuenta no existe",IF(AND(OR(I1869="Transferencia",I1869="Pago tarjeta"),G1869=""),"⚠ Indica la cuenta «Hacia»",IF(AND(G1869&lt;&gt;"",G1869=E1869),"⚠ «Hacia» igual a la cuenta",IF(AND(G1869&lt;&gt;"",ISNA(MATCH(G1869,ctaNom,0))),"⚠ «Hacia» no existe",IF(AND(I1869="Pago tarjeta",IFERROR(INDEX(ctaTipo,MATCH(G1869,ctaNom,0)),"")&lt;&gt;"Tarjeta de crédito"),"⚠ «Hacia» debe ser la tarjeta",IF(AND(I1869="Trading",IFERROR(INDEX(ctaTipo,MATCH(E1869,ctaNom,0)),"")&lt;&gt;"Cuenta de trading"),"⚠ Usa la cuenta de trading","✓"))))))))))))</f>
        <v/>
      </c>
      <c r="I1869" s="19">
        <f>IF(OR(B1869="",C1869="",D1869=""),"",IFERROR(INDEX(catTipo,MATCH(D1869,catNom,0))&amp;"",""))</f>
        <v/>
      </c>
      <c r="J1869" s="19">
        <f>IF(I1869="","",IFERROR(INDEX(catGrupo,MATCH(D1869,catNom,0))&amp;"",""))</f>
        <v/>
      </c>
      <c r="K1869" s="19">
        <f>IF(I1869="Gasto",IF(IFERROR(INDEX(catClas,MATCH(D1869,catNom,0))&amp;"","")="","Variable",IFERROR(INDEX(catClas,MATCH(D1869,catNom,0))&amp;"","")),"")</f>
        <v/>
      </c>
      <c r="L1869" s="19">
        <f>IF(I1869="","",IFERROR(INDEX(catAlim,MATCH(D1869,catNom,0))&amp;"",""))</f>
        <v/>
      </c>
      <c r="M1869" s="19">
        <f>IF(I1869="","",IFERROR(INDEX(catComida,MATCH(D1869,catNom,0))&amp;"",""))</f>
        <v/>
      </c>
      <c r="N1869" s="19">
        <f>IF(I1869="","",IFERROR(INDEX(ctaMon,MATCH(E1869,ctaNom,0))&amp;"","DOP"))</f>
        <v/>
      </c>
      <c r="O1869" s="20">
        <f>IF(I1869="","",C1869*IF(N1869="USD",TasaUSD,1))</f>
        <v/>
      </c>
      <c r="P1869" s="20">
        <f>IF(I1869="","",IF(I1869="Gasto",O1869,0))</f>
        <v/>
      </c>
      <c r="Q1869" s="20">
        <f>IF(I1869="","",IF(I1869="Ingreso",O1869,0))</f>
        <v/>
      </c>
      <c r="R1869" s="20">
        <f>IF(I1869="","",IF(I1869="Trading",O1869,0))</f>
        <v/>
      </c>
      <c r="S1869" s="19">
        <f>IF(I1869="","",IF(AND(I1869="Gasto",K1869="Variable",J1869&lt;&gt;"Trading",O1869&gt;0,O1869&lt;=Umbral),1,0))</f>
        <v/>
      </c>
      <c r="T1869" s="20">
        <f>IF(OR(I1869="",E1869=""),"",IF(OR(I1869="Gasto",I1869="Transferencia",I1869="Pago tarjeta"),-1,1)*C1869)</f>
        <v/>
      </c>
      <c r="U1869" s="20">
        <f>IF(OR(G1869="",AND(I1869&lt;&gt;"Transferencia",I1869&lt;&gt;"Pago tarjeta")),"",IF(IFERROR(INDEX(ctaMon,MATCH(G1869,ctaNom,0))&amp;"","DOP")=N1869,C1869,IF(N1869="USD",C1869*TasaUSD,C1869/TasaUSD)))</f>
        <v/>
      </c>
      <c r="V1869" s="20">
        <f>IF(I1869="","",IF(IFERROR(INDEX(ctaLiq,MATCH(E1869,ctaNom,0))="Sí",FALSE),IF(OR(I1869="Gasto",I1869="Transferencia",I1869="Pago tarjeta"),-1,1)*O1869,0)+IF(AND(U1869&lt;&gt;"",IFERROR(INDEX(ctaLiq,MATCH(G1869,ctaNom,0))="Sí",FALSE)),O1869,0))</f>
        <v/>
      </c>
      <c r="W1869" s="19">
        <f>IF(OR(F1869="",I1869=""),"",IF(COUNTIFS(F$6:F1869,F1869,I$6:I1869,"?*")=1,MAX(W$5:W1868)+1,""))</f>
        <v/>
      </c>
    </row>
    <row r="1870">
      <c r="B1870" s="15" t="n"/>
      <c r="C1870" s="16" t="n"/>
      <c r="D1870" s="17" t="n"/>
      <c r="E1870" s="17" t="n"/>
      <c r="F1870" s="17" t="n"/>
      <c r="G1870" s="17" t="n"/>
      <c r="H1870" s="18">
        <f>IF(AND(B1870="",C1870="",D1870="",E1870=""),"",IF(B1870="","⚠ Falta fecha",IF(C1870="","⚠ Falta monto",IF(D1870="","⚠ Falta categoría",IF(ISNA(MATCH(D1870,catNom,0)),"⚠ Categoría no existe",IF(E1870="","⚠ Falta cuenta",IF(ISNA(MATCH(E1870,ctaNom,0)),"⚠ Cuenta no existe",IF(AND(OR(I1870="Transferencia",I1870="Pago tarjeta"),G1870=""),"⚠ Indica la cuenta «Hacia»",IF(AND(G1870&lt;&gt;"",G1870=E1870),"⚠ «Hacia» igual a la cuenta",IF(AND(G1870&lt;&gt;"",ISNA(MATCH(G1870,ctaNom,0))),"⚠ «Hacia» no existe",IF(AND(I1870="Pago tarjeta",IFERROR(INDEX(ctaTipo,MATCH(G1870,ctaNom,0)),"")&lt;&gt;"Tarjeta de crédito"),"⚠ «Hacia» debe ser la tarjeta",IF(AND(I1870="Trading",IFERROR(INDEX(ctaTipo,MATCH(E1870,ctaNom,0)),"")&lt;&gt;"Cuenta de trading"),"⚠ Usa la cuenta de trading","✓"))))))))))))</f>
        <v/>
      </c>
      <c r="I1870" s="19">
        <f>IF(OR(B1870="",C1870="",D1870=""),"",IFERROR(INDEX(catTipo,MATCH(D1870,catNom,0))&amp;"",""))</f>
        <v/>
      </c>
      <c r="J1870" s="19">
        <f>IF(I1870="","",IFERROR(INDEX(catGrupo,MATCH(D1870,catNom,0))&amp;"",""))</f>
        <v/>
      </c>
      <c r="K1870" s="19">
        <f>IF(I1870="Gasto",IF(IFERROR(INDEX(catClas,MATCH(D1870,catNom,0))&amp;"","")="","Variable",IFERROR(INDEX(catClas,MATCH(D1870,catNom,0))&amp;"","")),"")</f>
        <v/>
      </c>
      <c r="L1870" s="19">
        <f>IF(I1870="","",IFERROR(INDEX(catAlim,MATCH(D1870,catNom,0))&amp;"",""))</f>
        <v/>
      </c>
      <c r="M1870" s="19">
        <f>IF(I1870="","",IFERROR(INDEX(catComida,MATCH(D1870,catNom,0))&amp;"",""))</f>
        <v/>
      </c>
      <c r="N1870" s="19">
        <f>IF(I1870="","",IFERROR(INDEX(ctaMon,MATCH(E1870,ctaNom,0))&amp;"","DOP"))</f>
        <v/>
      </c>
      <c r="O1870" s="20">
        <f>IF(I1870="","",C1870*IF(N1870="USD",TasaUSD,1))</f>
        <v/>
      </c>
      <c r="P1870" s="20">
        <f>IF(I1870="","",IF(I1870="Gasto",O1870,0))</f>
        <v/>
      </c>
      <c r="Q1870" s="20">
        <f>IF(I1870="","",IF(I1870="Ingreso",O1870,0))</f>
        <v/>
      </c>
      <c r="R1870" s="20">
        <f>IF(I1870="","",IF(I1870="Trading",O1870,0))</f>
        <v/>
      </c>
      <c r="S1870" s="19">
        <f>IF(I1870="","",IF(AND(I1870="Gasto",K1870="Variable",J1870&lt;&gt;"Trading",O1870&gt;0,O1870&lt;=Umbral),1,0))</f>
        <v/>
      </c>
      <c r="T1870" s="20">
        <f>IF(OR(I1870="",E1870=""),"",IF(OR(I1870="Gasto",I1870="Transferencia",I1870="Pago tarjeta"),-1,1)*C1870)</f>
        <v/>
      </c>
      <c r="U1870" s="20">
        <f>IF(OR(G1870="",AND(I1870&lt;&gt;"Transferencia",I1870&lt;&gt;"Pago tarjeta")),"",IF(IFERROR(INDEX(ctaMon,MATCH(G1870,ctaNom,0))&amp;"","DOP")=N1870,C1870,IF(N1870="USD",C1870*TasaUSD,C1870/TasaUSD)))</f>
        <v/>
      </c>
      <c r="V1870" s="20">
        <f>IF(I1870="","",IF(IFERROR(INDEX(ctaLiq,MATCH(E1870,ctaNom,0))="Sí",FALSE),IF(OR(I1870="Gasto",I1870="Transferencia",I1870="Pago tarjeta"),-1,1)*O1870,0)+IF(AND(U1870&lt;&gt;"",IFERROR(INDEX(ctaLiq,MATCH(G1870,ctaNom,0))="Sí",FALSE)),O1870,0))</f>
        <v/>
      </c>
      <c r="W1870" s="19">
        <f>IF(OR(F1870="",I1870=""),"",IF(COUNTIFS(F$6:F1870,F1870,I$6:I1870,"?*")=1,MAX(W$5:W1869)+1,""))</f>
        <v/>
      </c>
    </row>
    <row r="1871">
      <c r="B1871" s="15" t="n"/>
      <c r="C1871" s="16" t="n"/>
      <c r="D1871" s="17" t="n"/>
      <c r="E1871" s="17" t="n"/>
      <c r="F1871" s="17" t="n"/>
      <c r="G1871" s="17" t="n"/>
      <c r="H1871" s="18">
        <f>IF(AND(B1871="",C1871="",D1871="",E1871=""),"",IF(B1871="","⚠ Falta fecha",IF(C1871="","⚠ Falta monto",IF(D1871="","⚠ Falta categoría",IF(ISNA(MATCH(D1871,catNom,0)),"⚠ Categoría no existe",IF(E1871="","⚠ Falta cuenta",IF(ISNA(MATCH(E1871,ctaNom,0)),"⚠ Cuenta no existe",IF(AND(OR(I1871="Transferencia",I1871="Pago tarjeta"),G1871=""),"⚠ Indica la cuenta «Hacia»",IF(AND(G1871&lt;&gt;"",G1871=E1871),"⚠ «Hacia» igual a la cuenta",IF(AND(G1871&lt;&gt;"",ISNA(MATCH(G1871,ctaNom,0))),"⚠ «Hacia» no existe",IF(AND(I1871="Pago tarjeta",IFERROR(INDEX(ctaTipo,MATCH(G1871,ctaNom,0)),"")&lt;&gt;"Tarjeta de crédito"),"⚠ «Hacia» debe ser la tarjeta",IF(AND(I1871="Trading",IFERROR(INDEX(ctaTipo,MATCH(E1871,ctaNom,0)),"")&lt;&gt;"Cuenta de trading"),"⚠ Usa la cuenta de trading","✓"))))))))))))</f>
        <v/>
      </c>
      <c r="I1871" s="19">
        <f>IF(OR(B1871="",C1871="",D1871=""),"",IFERROR(INDEX(catTipo,MATCH(D1871,catNom,0))&amp;"",""))</f>
        <v/>
      </c>
      <c r="J1871" s="19">
        <f>IF(I1871="","",IFERROR(INDEX(catGrupo,MATCH(D1871,catNom,0))&amp;"",""))</f>
        <v/>
      </c>
      <c r="K1871" s="19">
        <f>IF(I1871="Gasto",IF(IFERROR(INDEX(catClas,MATCH(D1871,catNom,0))&amp;"","")="","Variable",IFERROR(INDEX(catClas,MATCH(D1871,catNom,0))&amp;"","")),"")</f>
        <v/>
      </c>
      <c r="L1871" s="19">
        <f>IF(I1871="","",IFERROR(INDEX(catAlim,MATCH(D1871,catNom,0))&amp;"",""))</f>
        <v/>
      </c>
      <c r="M1871" s="19">
        <f>IF(I1871="","",IFERROR(INDEX(catComida,MATCH(D1871,catNom,0))&amp;"",""))</f>
        <v/>
      </c>
      <c r="N1871" s="19">
        <f>IF(I1871="","",IFERROR(INDEX(ctaMon,MATCH(E1871,ctaNom,0))&amp;"","DOP"))</f>
        <v/>
      </c>
      <c r="O1871" s="20">
        <f>IF(I1871="","",C1871*IF(N1871="USD",TasaUSD,1))</f>
        <v/>
      </c>
      <c r="P1871" s="20">
        <f>IF(I1871="","",IF(I1871="Gasto",O1871,0))</f>
        <v/>
      </c>
      <c r="Q1871" s="20">
        <f>IF(I1871="","",IF(I1871="Ingreso",O1871,0))</f>
        <v/>
      </c>
      <c r="R1871" s="20">
        <f>IF(I1871="","",IF(I1871="Trading",O1871,0))</f>
        <v/>
      </c>
      <c r="S1871" s="19">
        <f>IF(I1871="","",IF(AND(I1871="Gasto",K1871="Variable",J1871&lt;&gt;"Trading",O1871&gt;0,O1871&lt;=Umbral),1,0))</f>
        <v/>
      </c>
      <c r="T1871" s="20">
        <f>IF(OR(I1871="",E1871=""),"",IF(OR(I1871="Gasto",I1871="Transferencia",I1871="Pago tarjeta"),-1,1)*C1871)</f>
        <v/>
      </c>
      <c r="U1871" s="20">
        <f>IF(OR(G1871="",AND(I1871&lt;&gt;"Transferencia",I1871&lt;&gt;"Pago tarjeta")),"",IF(IFERROR(INDEX(ctaMon,MATCH(G1871,ctaNom,0))&amp;"","DOP")=N1871,C1871,IF(N1871="USD",C1871*TasaUSD,C1871/TasaUSD)))</f>
        <v/>
      </c>
      <c r="V1871" s="20">
        <f>IF(I1871="","",IF(IFERROR(INDEX(ctaLiq,MATCH(E1871,ctaNom,0))="Sí",FALSE),IF(OR(I1871="Gasto",I1871="Transferencia",I1871="Pago tarjeta"),-1,1)*O1871,0)+IF(AND(U1871&lt;&gt;"",IFERROR(INDEX(ctaLiq,MATCH(G1871,ctaNom,0))="Sí",FALSE)),O1871,0))</f>
        <v/>
      </c>
      <c r="W1871" s="19">
        <f>IF(OR(F1871="",I1871=""),"",IF(COUNTIFS(F$6:F1871,F1871,I$6:I1871,"?*")=1,MAX(W$5:W1870)+1,""))</f>
        <v/>
      </c>
    </row>
    <row r="1872">
      <c r="B1872" s="15" t="n"/>
      <c r="C1872" s="16" t="n"/>
      <c r="D1872" s="17" t="n"/>
      <c r="E1872" s="17" t="n"/>
      <c r="F1872" s="17" t="n"/>
      <c r="G1872" s="17" t="n"/>
      <c r="H1872" s="18">
        <f>IF(AND(B1872="",C1872="",D1872="",E1872=""),"",IF(B1872="","⚠ Falta fecha",IF(C1872="","⚠ Falta monto",IF(D1872="","⚠ Falta categoría",IF(ISNA(MATCH(D1872,catNom,0)),"⚠ Categoría no existe",IF(E1872="","⚠ Falta cuenta",IF(ISNA(MATCH(E1872,ctaNom,0)),"⚠ Cuenta no existe",IF(AND(OR(I1872="Transferencia",I1872="Pago tarjeta"),G1872=""),"⚠ Indica la cuenta «Hacia»",IF(AND(G1872&lt;&gt;"",G1872=E1872),"⚠ «Hacia» igual a la cuenta",IF(AND(G1872&lt;&gt;"",ISNA(MATCH(G1872,ctaNom,0))),"⚠ «Hacia» no existe",IF(AND(I1872="Pago tarjeta",IFERROR(INDEX(ctaTipo,MATCH(G1872,ctaNom,0)),"")&lt;&gt;"Tarjeta de crédito"),"⚠ «Hacia» debe ser la tarjeta",IF(AND(I1872="Trading",IFERROR(INDEX(ctaTipo,MATCH(E1872,ctaNom,0)),"")&lt;&gt;"Cuenta de trading"),"⚠ Usa la cuenta de trading","✓"))))))))))))</f>
        <v/>
      </c>
      <c r="I1872" s="19">
        <f>IF(OR(B1872="",C1872="",D1872=""),"",IFERROR(INDEX(catTipo,MATCH(D1872,catNom,0))&amp;"",""))</f>
        <v/>
      </c>
      <c r="J1872" s="19">
        <f>IF(I1872="","",IFERROR(INDEX(catGrupo,MATCH(D1872,catNom,0))&amp;"",""))</f>
        <v/>
      </c>
      <c r="K1872" s="19">
        <f>IF(I1872="Gasto",IF(IFERROR(INDEX(catClas,MATCH(D1872,catNom,0))&amp;"","")="","Variable",IFERROR(INDEX(catClas,MATCH(D1872,catNom,0))&amp;"","")),"")</f>
        <v/>
      </c>
      <c r="L1872" s="19">
        <f>IF(I1872="","",IFERROR(INDEX(catAlim,MATCH(D1872,catNom,0))&amp;"",""))</f>
        <v/>
      </c>
      <c r="M1872" s="19">
        <f>IF(I1872="","",IFERROR(INDEX(catComida,MATCH(D1872,catNom,0))&amp;"",""))</f>
        <v/>
      </c>
      <c r="N1872" s="19">
        <f>IF(I1872="","",IFERROR(INDEX(ctaMon,MATCH(E1872,ctaNom,0))&amp;"","DOP"))</f>
        <v/>
      </c>
      <c r="O1872" s="20">
        <f>IF(I1872="","",C1872*IF(N1872="USD",TasaUSD,1))</f>
        <v/>
      </c>
      <c r="P1872" s="20">
        <f>IF(I1872="","",IF(I1872="Gasto",O1872,0))</f>
        <v/>
      </c>
      <c r="Q1872" s="20">
        <f>IF(I1872="","",IF(I1872="Ingreso",O1872,0))</f>
        <v/>
      </c>
      <c r="R1872" s="20">
        <f>IF(I1872="","",IF(I1872="Trading",O1872,0))</f>
        <v/>
      </c>
      <c r="S1872" s="19">
        <f>IF(I1872="","",IF(AND(I1872="Gasto",K1872="Variable",J1872&lt;&gt;"Trading",O1872&gt;0,O1872&lt;=Umbral),1,0))</f>
        <v/>
      </c>
      <c r="T1872" s="20">
        <f>IF(OR(I1872="",E1872=""),"",IF(OR(I1872="Gasto",I1872="Transferencia",I1872="Pago tarjeta"),-1,1)*C1872)</f>
        <v/>
      </c>
      <c r="U1872" s="20">
        <f>IF(OR(G1872="",AND(I1872&lt;&gt;"Transferencia",I1872&lt;&gt;"Pago tarjeta")),"",IF(IFERROR(INDEX(ctaMon,MATCH(G1872,ctaNom,0))&amp;"","DOP")=N1872,C1872,IF(N1872="USD",C1872*TasaUSD,C1872/TasaUSD)))</f>
        <v/>
      </c>
      <c r="V1872" s="20">
        <f>IF(I1872="","",IF(IFERROR(INDEX(ctaLiq,MATCH(E1872,ctaNom,0))="Sí",FALSE),IF(OR(I1872="Gasto",I1872="Transferencia",I1872="Pago tarjeta"),-1,1)*O1872,0)+IF(AND(U1872&lt;&gt;"",IFERROR(INDEX(ctaLiq,MATCH(G1872,ctaNom,0))="Sí",FALSE)),O1872,0))</f>
        <v/>
      </c>
      <c r="W1872" s="19">
        <f>IF(OR(F1872="",I1872=""),"",IF(COUNTIFS(F$6:F1872,F1872,I$6:I1872,"?*")=1,MAX(W$5:W1871)+1,""))</f>
        <v/>
      </c>
    </row>
    <row r="1873">
      <c r="B1873" s="15" t="n"/>
      <c r="C1873" s="16" t="n"/>
      <c r="D1873" s="17" t="n"/>
      <c r="E1873" s="17" t="n"/>
      <c r="F1873" s="17" t="n"/>
      <c r="G1873" s="17" t="n"/>
      <c r="H1873" s="18">
        <f>IF(AND(B1873="",C1873="",D1873="",E1873=""),"",IF(B1873="","⚠ Falta fecha",IF(C1873="","⚠ Falta monto",IF(D1873="","⚠ Falta categoría",IF(ISNA(MATCH(D1873,catNom,0)),"⚠ Categoría no existe",IF(E1873="","⚠ Falta cuenta",IF(ISNA(MATCH(E1873,ctaNom,0)),"⚠ Cuenta no existe",IF(AND(OR(I1873="Transferencia",I1873="Pago tarjeta"),G1873=""),"⚠ Indica la cuenta «Hacia»",IF(AND(G1873&lt;&gt;"",G1873=E1873),"⚠ «Hacia» igual a la cuenta",IF(AND(G1873&lt;&gt;"",ISNA(MATCH(G1873,ctaNom,0))),"⚠ «Hacia» no existe",IF(AND(I1873="Pago tarjeta",IFERROR(INDEX(ctaTipo,MATCH(G1873,ctaNom,0)),"")&lt;&gt;"Tarjeta de crédito"),"⚠ «Hacia» debe ser la tarjeta",IF(AND(I1873="Trading",IFERROR(INDEX(ctaTipo,MATCH(E1873,ctaNom,0)),"")&lt;&gt;"Cuenta de trading"),"⚠ Usa la cuenta de trading","✓"))))))))))))</f>
        <v/>
      </c>
      <c r="I1873" s="19">
        <f>IF(OR(B1873="",C1873="",D1873=""),"",IFERROR(INDEX(catTipo,MATCH(D1873,catNom,0))&amp;"",""))</f>
        <v/>
      </c>
      <c r="J1873" s="19">
        <f>IF(I1873="","",IFERROR(INDEX(catGrupo,MATCH(D1873,catNom,0))&amp;"",""))</f>
        <v/>
      </c>
      <c r="K1873" s="19">
        <f>IF(I1873="Gasto",IF(IFERROR(INDEX(catClas,MATCH(D1873,catNom,0))&amp;"","")="","Variable",IFERROR(INDEX(catClas,MATCH(D1873,catNom,0))&amp;"","")),"")</f>
        <v/>
      </c>
      <c r="L1873" s="19">
        <f>IF(I1873="","",IFERROR(INDEX(catAlim,MATCH(D1873,catNom,0))&amp;"",""))</f>
        <v/>
      </c>
      <c r="M1873" s="19">
        <f>IF(I1873="","",IFERROR(INDEX(catComida,MATCH(D1873,catNom,0))&amp;"",""))</f>
        <v/>
      </c>
      <c r="N1873" s="19">
        <f>IF(I1873="","",IFERROR(INDEX(ctaMon,MATCH(E1873,ctaNom,0))&amp;"","DOP"))</f>
        <v/>
      </c>
      <c r="O1873" s="20">
        <f>IF(I1873="","",C1873*IF(N1873="USD",TasaUSD,1))</f>
        <v/>
      </c>
      <c r="P1873" s="20">
        <f>IF(I1873="","",IF(I1873="Gasto",O1873,0))</f>
        <v/>
      </c>
      <c r="Q1873" s="20">
        <f>IF(I1873="","",IF(I1873="Ingreso",O1873,0))</f>
        <v/>
      </c>
      <c r="R1873" s="20">
        <f>IF(I1873="","",IF(I1873="Trading",O1873,0))</f>
        <v/>
      </c>
      <c r="S1873" s="19">
        <f>IF(I1873="","",IF(AND(I1873="Gasto",K1873="Variable",J1873&lt;&gt;"Trading",O1873&gt;0,O1873&lt;=Umbral),1,0))</f>
        <v/>
      </c>
      <c r="T1873" s="20">
        <f>IF(OR(I1873="",E1873=""),"",IF(OR(I1873="Gasto",I1873="Transferencia",I1873="Pago tarjeta"),-1,1)*C1873)</f>
        <v/>
      </c>
      <c r="U1873" s="20">
        <f>IF(OR(G1873="",AND(I1873&lt;&gt;"Transferencia",I1873&lt;&gt;"Pago tarjeta")),"",IF(IFERROR(INDEX(ctaMon,MATCH(G1873,ctaNom,0))&amp;"","DOP")=N1873,C1873,IF(N1873="USD",C1873*TasaUSD,C1873/TasaUSD)))</f>
        <v/>
      </c>
      <c r="V1873" s="20">
        <f>IF(I1873="","",IF(IFERROR(INDEX(ctaLiq,MATCH(E1873,ctaNom,0))="Sí",FALSE),IF(OR(I1873="Gasto",I1873="Transferencia",I1873="Pago tarjeta"),-1,1)*O1873,0)+IF(AND(U1873&lt;&gt;"",IFERROR(INDEX(ctaLiq,MATCH(G1873,ctaNom,0))="Sí",FALSE)),O1873,0))</f>
        <v/>
      </c>
      <c r="W1873" s="19">
        <f>IF(OR(F1873="",I1873=""),"",IF(COUNTIFS(F$6:F1873,F1873,I$6:I1873,"?*")=1,MAX(W$5:W1872)+1,""))</f>
        <v/>
      </c>
    </row>
    <row r="1874">
      <c r="B1874" s="15" t="n"/>
      <c r="C1874" s="16" t="n"/>
      <c r="D1874" s="17" t="n"/>
      <c r="E1874" s="17" t="n"/>
      <c r="F1874" s="17" t="n"/>
      <c r="G1874" s="17" t="n"/>
      <c r="H1874" s="18">
        <f>IF(AND(B1874="",C1874="",D1874="",E1874=""),"",IF(B1874="","⚠ Falta fecha",IF(C1874="","⚠ Falta monto",IF(D1874="","⚠ Falta categoría",IF(ISNA(MATCH(D1874,catNom,0)),"⚠ Categoría no existe",IF(E1874="","⚠ Falta cuenta",IF(ISNA(MATCH(E1874,ctaNom,0)),"⚠ Cuenta no existe",IF(AND(OR(I1874="Transferencia",I1874="Pago tarjeta"),G1874=""),"⚠ Indica la cuenta «Hacia»",IF(AND(G1874&lt;&gt;"",G1874=E1874),"⚠ «Hacia» igual a la cuenta",IF(AND(G1874&lt;&gt;"",ISNA(MATCH(G1874,ctaNom,0))),"⚠ «Hacia» no existe",IF(AND(I1874="Pago tarjeta",IFERROR(INDEX(ctaTipo,MATCH(G1874,ctaNom,0)),"")&lt;&gt;"Tarjeta de crédito"),"⚠ «Hacia» debe ser la tarjeta",IF(AND(I1874="Trading",IFERROR(INDEX(ctaTipo,MATCH(E1874,ctaNom,0)),"")&lt;&gt;"Cuenta de trading"),"⚠ Usa la cuenta de trading","✓"))))))))))))</f>
        <v/>
      </c>
      <c r="I1874" s="19">
        <f>IF(OR(B1874="",C1874="",D1874=""),"",IFERROR(INDEX(catTipo,MATCH(D1874,catNom,0))&amp;"",""))</f>
        <v/>
      </c>
      <c r="J1874" s="19">
        <f>IF(I1874="","",IFERROR(INDEX(catGrupo,MATCH(D1874,catNom,0))&amp;"",""))</f>
        <v/>
      </c>
      <c r="K1874" s="19">
        <f>IF(I1874="Gasto",IF(IFERROR(INDEX(catClas,MATCH(D1874,catNom,0))&amp;"","")="","Variable",IFERROR(INDEX(catClas,MATCH(D1874,catNom,0))&amp;"","")),"")</f>
        <v/>
      </c>
      <c r="L1874" s="19">
        <f>IF(I1874="","",IFERROR(INDEX(catAlim,MATCH(D1874,catNom,0))&amp;"",""))</f>
        <v/>
      </c>
      <c r="M1874" s="19">
        <f>IF(I1874="","",IFERROR(INDEX(catComida,MATCH(D1874,catNom,0))&amp;"",""))</f>
        <v/>
      </c>
      <c r="N1874" s="19">
        <f>IF(I1874="","",IFERROR(INDEX(ctaMon,MATCH(E1874,ctaNom,0))&amp;"","DOP"))</f>
        <v/>
      </c>
      <c r="O1874" s="20">
        <f>IF(I1874="","",C1874*IF(N1874="USD",TasaUSD,1))</f>
        <v/>
      </c>
      <c r="P1874" s="20">
        <f>IF(I1874="","",IF(I1874="Gasto",O1874,0))</f>
        <v/>
      </c>
      <c r="Q1874" s="20">
        <f>IF(I1874="","",IF(I1874="Ingreso",O1874,0))</f>
        <v/>
      </c>
      <c r="R1874" s="20">
        <f>IF(I1874="","",IF(I1874="Trading",O1874,0))</f>
        <v/>
      </c>
      <c r="S1874" s="19">
        <f>IF(I1874="","",IF(AND(I1874="Gasto",K1874="Variable",J1874&lt;&gt;"Trading",O1874&gt;0,O1874&lt;=Umbral),1,0))</f>
        <v/>
      </c>
      <c r="T1874" s="20">
        <f>IF(OR(I1874="",E1874=""),"",IF(OR(I1874="Gasto",I1874="Transferencia",I1874="Pago tarjeta"),-1,1)*C1874)</f>
        <v/>
      </c>
      <c r="U1874" s="20">
        <f>IF(OR(G1874="",AND(I1874&lt;&gt;"Transferencia",I1874&lt;&gt;"Pago tarjeta")),"",IF(IFERROR(INDEX(ctaMon,MATCH(G1874,ctaNom,0))&amp;"","DOP")=N1874,C1874,IF(N1874="USD",C1874*TasaUSD,C1874/TasaUSD)))</f>
        <v/>
      </c>
      <c r="V1874" s="20">
        <f>IF(I1874="","",IF(IFERROR(INDEX(ctaLiq,MATCH(E1874,ctaNom,0))="Sí",FALSE),IF(OR(I1874="Gasto",I1874="Transferencia",I1874="Pago tarjeta"),-1,1)*O1874,0)+IF(AND(U1874&lt;&gt;"",IFERROR(INDEX(ctaLiq,MATCH(G1874,ctaNom,0))="Sí",FALSE)),O1874,0))</f>
        <v/>
      </c>
      <c r="W1874" s="19">
        <f>IF(OR(F1874="",I1874=""),"",IF(COUNTIFS(F$6:F1874,F1874,I$6:I1874,"?*")=1,MAX(W$5:W1873)+1,""))</f>
        <v/>
      </c>
    </row>
    <row r="1875">
      <c r="B1875" s="15" t="n"/>
      <c r="C1875" s="16" t="n"/>
      <c r="D1875" s="17" t="n"/>
      <c r="E1875" s="17" t="n"/>
      <c r="F1875" s="17" t="n"/>
      <c r="G1875" s="17" t="n"/>
      <c r="H1875" s="18">
        <f>IF(AND(B1875="",C1875="",D1875="",E1875=""),"",IF(B1875="","⚠ Falta fecha",IF(C1875="","⚠ Falta monto",IF(D1875="","⚠ Falta categoría",IF(ISNA(MATCH(D1875,catNom,0)),"⚠ Categoría no existe",IF(E1875="","⚠ Falta cuenta",IF(ISNA(MATCH(E1875,ctaNom,0)),"⚠ Cuenta no existe",IF(AND(OR(I1875="Transferencia",I1875="Pago tarjeta"),G1875=""),"⚠ Indica la cuenta «Hacia»",IF(AND(G1875&lt;&gt;"",G1875=E1875),"⚠ «Hacia» igual a la cuenta",IF(AND(G1875&lt;&gt;"",ISNA(MATCH(G1875,ctaNom,0))),"⚠ «Hacia» no existe",IF(AND(I1875="Pago tarjeta",IFERROR(INDEX(ctaTipo,MATCH(G1875,ctaNom,0)),"")&lt;&gt;"Tarjeta de crédito"),"⚠ «Hacia» debe ser la tarjeta",IF(AND(I1875="Trading",IFERROR(INDEX(ctaTipo,MATCH(E1875,ctaNom,0)),"")&lt;&gt;"Cuenta de trading"),"⚠ Usa la cuenta de trading","✓"))))))))))))</f>
        <v/>
      </c>
      <c r="I1875" s="19">
        <f>IF(OR(B1875="",C1875="",D1875=""),"",IFERROR(INDEX(catTipo,MATCH(D1875,catNom,0))&amp;"",""))</f>
        <v/>
      </c>
      <c r="J1875" s="19">
        <f>IF(I1875="","",IFERROR(INDEX(catGrupo,MATCH(D1875,catNom,0))&amp;"",""))</f>
        <v/>
      </c>
      <c r="K1875" s="19">
        <f>IF(I1875="Gasto",IF(IFERROR(INDEX(catClas,MATCH(D1875,catNom,0))&amp;"","")="","Variable",IFERROR(INDEX(catClas,MATCH(D1875,catNom,0))&amp;"","")),"")</f>
        <v/>
      </c>
      <c r="L1875" s="19">
        <f>IF(I1875="","",IFERROR(INDEX(catAlim,MATCH(D1875,catNom,0))&amp;"",""))</f>
        <v/>
      </c>
      <c r="M1875" s="19">
        <f>IF(I1875="","",IFERROR(INDEX(catComida,MATCH(D1875,catNom,0))&amp;"",""))</f>
        <v/>
      </c>
      <c r="N1875" s="19">
        <f>IF(I1875="","",IFERROR(INDEX(ctaMon,MATCH(E1875,ctaNom,0))&amp;"","DOP"))</f>
        <v/>
      </c>
      <c r="O1875" s="20">
        <f>IF(I1875="","",C1875*IF(N1875="USD",TasaUSD,1))</f>
        <v/>
      </c>
      <c r="P1875" s="20">
        <f>IF(I1875="","",IF(I1875="Gasto",O1875,0))</f>
        <v/>
      </c>
      <c r="Q1875" s="20">
        <f>IF(I1875="","",IF(I1875="Ingreso",O1875,0))</f>
        <v/>
      </c>
      <c r="R1875" s="20">
        <f>IF(I1875="","",IF(I1875="Trading",O1875,0))</f>
        <v/>
      </c>
      <c r="S1875" s="19">
        <f>IF(I1875="","",IF(AND(I1875="Gasto",K1875="Variable",J1875&lt;&gt;"Trading",O1875&gt;0,O1875&lt;=Umbral),1,0))</f>
        <v/>
      </c>
      <c r="T1875" s="20">
        <f>IF(OR(I1875="",E1875=""),"",IF(OR(I1875="Gasto",I1875="Transferencia",I1875="Pago tarjeta"),-1,1)*C1875)</f>
        <v/>
      </c>
      <c r="U1875" s="20">
        <f>IF(OR(G1875="",AND(I1875&lt;&gt;"Transferencia",I1875&lt;&gt;"Pago tarjeta")),"",IF(IFERROR(INDEX(ctaMon,MATCH(G1875,ctaNom,0))&amp;"","DOP")=N1875,C1875,IF(N1875="USD",C1875*TasaUSD,C1875/TasaUSD)))</f>
        <v/>
      </c>
      <c r="V1875" s="20">
        <f>IF(I1875="","",IF(IFERROR(INDEX(ctaLiq,MATCH(E1875,ctaNom,0))="Sí",FALSE),IF(OR(I1875="Gasto",I1875="Transferencia",I1875="Pago tarjeta"),-1,1)*O1875,0)+IF(AND(U1875&lt;&gt;"",IFERROR(INDEX(ctaLiq,MATCH(G1875,ctaNom,0))="Sí",FALSE)),O1875,0))</f>
        <v/>
      </c>
      <c r="W1875" s="19">
        <f>IF(OR(F1875="",I1875=""),"",IF(COUNTIFS(F$6:F1875,F1875,I$6:I1875,"?*")=1,MAX(W$5:W1874)+1,""))</f>
        <v/>
      </c>
    </row>
    <row r="1876">
      <c r="B1876" s="15" t="n"/>
      <c r="C1876" s="16" t="n"/>
      <c r="D1876" s="17" t="n"/>
      <c r="E1876" s="17" t="n"/>
      <c r="F1876" s="17" t="n"/>
      <c r="G1876" s="17" t="n"/>
      <c r="H1876" s="18">
        <f>IF(AND(B1876="",C1876="",D1876="",E1876=""),"",IF(B1876="","⚠ Falta fecha",IF(C1876="","⚠ Falta monto",IF(D1876="","⚠ Falta categoría",IF(ISNA(MATCH(D1876,catNom,0)),"⚠ Categoría no existe",IF(E1876="","⚠ Falta cuenta",IF(ISNA(MATCH(E1876,ctaNom,0)),"⚠ Cuenta no existe",IF(AND(OR(I1876="Transferencia",I1876="Pago tarjeta"),G1876=""),"⚠ Indica la cuenta «Hacia»",IF(AND(G1876&lt;&gt;"",G1876=E1876),"⚠ «Hacia» igual a la cuenta",IF(AND(G1876&lt;&gt;"",ISNA(MATCH(G1876,ctaNom,0))),"⚠ «Hacia» no existe",IF(AND(I1876="Pago tarjeta",IFERROR(INDEX(ctaTipo,MATCH(G1876,ctaNom,0)),"")&lt;&gt;"Tarjeta de crédito"),"⚠ «Hacia» debe ser la tarjeta",IF(AND(I1876="Trading",IFERROR(INDEX(ctaTipo,MATCH(E1876,ctaNom,0)),"")&lt;&gt;"Cuenta de trading"),"⚠ Usa la cuenta de trading","✓"))))))))))))</f>
        <v/>
      </c>
      <c r="I1876" s="19">
        <f>IF(OR(B1876="",C1876="",D1876=""),"",IFERROR(INDEX(catTipo,MATCH(D1876,catNom,0))&amp;"",""))</f>
        <v/>
      </c>
      <c r="J1876" s="19">
        <f>IF(I1876="","",IFERROR(INDEX(catGrupo,MATCH(D1876,catNom,0))&amp;"",""))</f>
        <v/>
      </c>
      <c r="K1876" s="19">
        <f>IF(I1876="Gasto",IF(IFERROR(INDEX(catClas,MATCH(D1876,catNom,0))&amp;"","")="","Variable",IFERROR(INDEX(catClas,MATCH(D1876,catNom,0))&amp;"","")),"")</f>
        <v/>
      </c>
      <c r="L1876" s="19">
        <f>IF(I1876="","",IFERROR(INDEX(catAlim,MATCH(D1876,catNom,0))&amp;"",""))</f>
        <v/>
      </c>
      <c r="M1876" s="19">
        <f>IF(I1876="","",IFERROR(INDEX(catComida,MATCH(D1876,catNom,0))&amp;"",""))</f>
        <v/>
      </c>
      <c r="N1876" s="19">
        <f>IF(I1876="","",IFERROR(INDEX(ctaMon,MATCH(E1876,ctaNom,0))&amp;"","DOP"))</f>
        <v/>
      </c>
      <c r="O1876" s="20">
        <f>IF(I1876="","",C1876*IF(N1876="USD",TasaUSD,1))</f>
        <v/>
      </c>
      <c r="P1876" s="20">
        <f>IF(I1876="","",IF(I1876="Gasto",O1876,0))</f>
        <v/>
      </c>
      <c r="Q1876" s="20">
        <f>IF(I1876="","",IF(I1876="Ingreso",O1876,0))</f>
        <v/>
      </c>
      <c r="R1876" s="20">
        <f>IF(I1876="","",IF(I1876="Trading",O1876,0))</f>
        <v/>
      </c>
      <c r="S1876" s="19">
        <f>IF(I1876="","",IF(AND(I1876="Gasto",K1876="Variable",J1876&lt;&gt;"Trading",O1876&gt;0,O1876&lt;=Umbral),1,0))</f>
        <v/>
      </c>
      <c r="T1876" s="20">
        <f>IF(OR(I1876="",E1876=""),"",IF(OR(I1876="Gasto",I1876="Transferencia",I1876="Pago tarjeta"),-1,1)*C1876)</f>
        <v/>
      </c>
      <c r="U1876" s="20">
        <f>IF(OR(G1876="",AND(I1876&lt;&gt;"Transferencia",I1876&lt;&gt;"Pago tarjeta")),"",IF(IFERROR(INDEX(ctaMon,MATCH(G1876,ctaNom,0))&amp;"","DOP")=N1876,C1876,IF(N1876="USD",C1876*TasaUSD,C1876/TasaUSD)))</f>
        <v/>
      </c>
      <c r="V1876" s="20">
        <f>IF(I1876="","",IF(IFERROR(INDEX(ctaLiq,MATCH(E1876,ctaNom,0))="Sí",FALSE),IF(OR(I1876="Gasto",I1876="Transferencia",I1876="Pago tarjeta"),-1,1)*O1876,0)+IF(AND(U1876&lt;&gt;"",IFERROR(INDEX(ctaLiq,MATCH(G1876,ctaNom,0))="Sí",FALSE)),O1876,0))</f>
        <v/>
      </c>
      <c r="W1876" s="19">
        <f>IF(OR(F1876="",I1876=""),"",IF(COUNTIFS(F$6:F1876,F1876,I$6:I1876,"?*")=1,MAX(W$5:W1875)+1,""))</f>
        <v/>
      </c>
    </row>
    <row r="1877">
      <c r="B1877" s="15" t="n"/>
      <c r="C1877" s="16" t="n"/>
      <c r="D1877" s="17" t="n"/>
      <c r="E1877" s="17" t="n"/>
      <c r="F1877" s="17" t="n"/>
      <c r="G1877" s="17" t="n"/>
      <c r="H1877" s="18">
        <f>IF(AND(B1877="",C1877="",D1877="",E1877=""),"",IF(B1877="","⚠ Falta fecha",IF(C1877="","⚠ Falta monto",IF(D1877="","⚠ Falta categoría",IF(ISNA(MATCH(D1877,catNom,0)),"⚠ Categoría no existe",IF(E1877="","⚠ Falta cuenta",IF(ISNA(MATCH(E1877,ctaNom,0)),"⚠ Cuenta no existe",IF(AND(OR(I1877="Transferencia",I1877="Pago tarjeta"),G1877=""),"⚠ Indica la cuenta «Hacia»",IF(AND(G1877&lt;&gt;"",G1877=E1877),"⚠ «Hacia» igual a la cuenta",IF(AND(G1877&lt;&gt;"",ISNA(MATCH(G1877,ctaNom,0))),"⚠ «Hacia» no existe",IF(AND(I1877="Pago tarjeta",IFERROR(INDEX(ctaTipo,MATCH(G1877,ctaNom,0)),"")&lt;&gt;"Tarjeta de crédito"),"⚠ «Hacia» debe ser la tarjeta",IF(AND(I1877="Trading",IFERROR(INDEX(ctaTipo,MATCH(E1877,ctaNom,0)),"")&lt;&gt;"Cuenta de trading"),"⚠ Usa la cuenta de trading","✓"))))))))))))</f>
        <v/>
      </c>
      <c r="I1877" s="19">
        <f>IF(OR(B1877="",C1877="",D1877=""),"",IFERROR(INDEX(catTipo,MATCH(D1877,catNom,0))&amp;"",""))</f>
        <v/>
      </c>
      <c r="J1877" s="19">
        <f>IF(I1877="","",IFERROR(INDEX(catGrupo,MATCH(D1877,catNom,0))&amp;"",""))</f>
        <v/>
      </c>
      <c r="K1877" s="19">
        <f>IF(I1877="Gasto",IF(IFERROR(INDEX(catClas,MATCH(D1877,catNom,0))&amp;"","")="","Variable",IFERROR(INDEX(catClas,MATCH(D1877,catNom,0))&amp;"","")),"")</f>
        <v/>
      </c>
      <c r="L1877" s="19">
        <f>IF(I1877="","",IFERROR(INDEX(catAlim,MATCH(D1877,catNom,0))&amp;"",""))</f>
        <v/>
      </c>
      <c r="M1877" s="19">
        <f>IF(I1877="","",IFERROR(INDEX(catComida,MATCH(D1877,catNom,0))&amp;"",""))</f>
        <v/>
      </c>
      <c r="N1877" s="19">
        <f>IF(I1877="","",IFERROR(INDEX(ctaMon,MATCH(E1877,ctaNom,0))&amp;"","DOP"))</f>
        <v/>
      </c>
      <c r="O1877" s="20">
        <f>IF(I1877="","",C1877*IF(N1877="USD",TasaUSD,1))</f>
        <v/>
      </c>
      <c r="P1877" s="20">
        <f>IF(I1877="","",IF(I1877="Gasto",O1877,0))</f>
        <v/>
      </c>
      <c r="Q1877" s="20">
        <f>IF(I1877="","",IF(I1877="Ingreso",O1877,0))</f>
        <v/>
      </c>
      <c r="R1877" s="20">
        <f>IF(I1877="","",IF(I1877="Trading",O1877,0))</f>
        <v/>
      </c>
      <c r="S1877" s="19">
        <f>IF(I1877="","",IF(AND(I1877="Gasto",K1877="Variable",J1877&lt;&gt;"Trading",O1877&gt;0,O1877&lt;=Umbral),1,0))</f>
        <v/>
      </c>
      <c r="T1877" s="20">
        <f>IF(OR(I1877="",E1877=""),"",IF(OR(I1877="Gasto",I1877="Transferencia",I1877="Pago tarjeta"),-1,1)*C1877)</f>
        <v/>
      </c>
      <c r="U1877" s="20">
        <f>IF(OR(G1877="",AND(I1877&lt;&gt;"Transferencia",I1877&lt;&gt;"Pago tarjeta")),"",IF(IFERROR(INDEX(ctaMon,MATCH(G1877,ctaNom,0))&amp;"","DOP")=N1877,C1877,IF(N1877="USD",C1877*TasaUSD,C1877/TasaUSD)))</f>
        <v/>
      </c>
      <c r="V1877" s="20">
        <f>IF(I1877="","",IF(IFERROR(INDEX(ctaLiq,MATCH(E1877,ctaNom,0))="Sí",FALSE),IF(OR(I1877="Gasto",I1877="Transferencia",I1877="Pago tarjeta"),-1,1)*O1877,0)+IF(AND(U1877&lt;&gt;"",IFERROR(INDEX(ctaLiq,MATCH(G1877,ctaNom,0))="Sí",FALSE)),O1877,0))</f>
        <v/>
      </c>
      <c r="W1877" s="19">
        <f>IF(OR(F1877="",I1877=""),"",IF(COUNTIFS(F$6:F1877,F1877,I$6:I1877,"?*")=1,MAX(W$5:W1876)+1,""))</f>
        <v/>
      </c>
    </row>
    <row r="1878">
      <c r="B1878" s="15" t="n"/>
      <c r="C1878" s="16" t="n"/>
      <c r="D1878" s="17" t="n"/>
      <c r="E1878" s="17" t="n"/>
      <c r="F1878" s="17" t="n"/>
      <c r="G1878" s="17" t="n"/>
      <c r="H1878" s="18">
        <f>IF(AND(B1878="",C1878="",D1878="",E1878=""),"",IF(B1878="","⚠ Falta fecha",IF(C1878="","⚠ Falta monto",IF(D1878="","⚠ Falta categoría",IF(ISNA(MATCH(D1878,catNom,0)),"⚠ Categoría no existe",IF(E1878="","⚠ Falta cuenta",IF(ISNA(MATCH(E1878,ctaNom,0)),"⚠ Cuenta no existe",IF(AND(OR(I1878="Transferencia",I1878="Pago tarjeta"),G1878=""),"⚠ Indica la cuenta «Hacia»",IF(AND(G1878&lt;&gt;"",G1878=E1878),"⚠ «Hacia» igual a la cuenta",IF(AND(G1878&lt;&gt;"",ISNA(MATCH(G1878,ctaNom,0))),"⚠ «Hacia» no existe",IF(AND(I1878="Pago tarjeta",IFERROR(INDEX(ctaTipo,MATCH(G1878,ctaNom,0)),"")&lt;&gt;"Tarjeta de crédito"),"⚠ «Hacia» debe ser la tarjeta",IF(AND(I1878="Trading",IFERROR(INDEX(ctaTipo,MATCH(E1878,ctaNom,0)),"")&lt;&gt;"Cuenta de trading"),"⚠ Usa la cuenta de trading","✓"))))))))))))</f>
        <v/>
      </c>
      <c r="I1878" s="19">
        <f>IF(OR(B1878="",C1878="",D1878=""),"",IFERROR(INDEX(catTipo,MATCH(D1878,catNom,0))&amp;"",""))</f>
        <v/>
      </c>
      <c r="J1878" s="19">
        <f>IF(I1878="","",IFERROR(INDEX(catGrupo,MATCH(D1878,catNom,0))&amp;"",""))</f>
        <v/>
      </c>
      <c r="K1878" s="19">
        <f>IF(I1878="Gasto",IF(IFERROR(INDEX(catClas,MATCH(D1878,catNom,0))&amp;"","")="","Variable",IFERROR(INDEX(catClas,MATCH(D1878,catNom,0))&amp;"","")),"")</f>
        <v/>
      </c>
      <c r="L1878" s="19">
        <f>IF(I1878="","",IFERROR(INDEX(catAlim,MATCH(D1878,catNom,0))&amp;"",""))</f>
        <v/>
      </c>
      <c r="M1878" s="19">
        <f>IF(I1878="","",IFERROR(INDEX(catComida,MATCH(D1878,catNom,0))&amp;"",""))</f>
        <v/>
      </c>
      <c r="N1878" s="19">
        <f>IF(I1878="","",IFERROR(INDEX(ctaMon,MATCH(E1878,ctaNom,0))&amp;"","DOP"))</f>
        <v/>
      </c>
      <c r="O1878" s="20">
        <f>IF(I1878="","",C1878*IF(N1878="USD",TasaUSD,1))</f>
        <v/>
      </c>
      <c r="P1878" s="20">
        <f>IF(I1878="","",IF(I1878="Gasto",O1878,0))</f>
        <v/>
      </c>
      <c r="Q1878" s="20">
        <f>IF(I1878="","",IF(I1878="Ingreso",O1878,0))</f>
        <v/>
      </c>
      <c r="R1878" s="20">
        <f>IF(I1878="","",IF(I1878="Trading",O1878,0))</f>
        <v/>
      </c>
      <c r="S1878" s="19">
        <f>IF(I1878="","",IF(AND(I1878="Gasto",K1878="Variable",J1878&lt;&gt;"Trading",O1878&gt;0,O1878&lt;=Umbral),1,0))</f>
        <v/>
      </c>
      <c r="T1878" s="20">
        <f>IF(OR(I1878="",E1878=""),"",IF(OR(I1878="Gasto",I1878="Transferencia",I1878="Pago tarjeta"),-1,1)*C1878)</f>
        <v/>
      </c>
      <c r="U1878" s="20">
        <f>IF(OR(G1878="",AND(I1878&lt;&gt;"Transferencia",I1878&lt;&gt;"Pago tarjeta")),"",IF(IFERROR(INDEX(ctaMon,MATCH(G1878,ctaNom,0))&amp;"","DOP")=N1878,C1878,IF(N1878="USD",C1878*TasaUSD,C1878/TasaUSD)))</f>
        <v/>
      </c>
      <c r="V1878" s="20">
        <f>IF(I1878="","",IF(IFERROR(INDEX(ctaLiq,MATCH(E1878,ctaNom,0))="Sí",FALSE),IF(OR(I1878="Gasto",I1878="Transferencia",I1878="Pago tarjeta"),-1,1)*O1878,0)+IF(AND(U1878&lt;&gt;"",IFERROR(INDEX(ctaLiq,MATCH(G1878,ctaNom,0))="Sí",FALSE)),O1878,0))</f>
        <v/>
      </c>
      <c r="W1878" s="19">
        <f>IF(OR(F1878="",I1878=""),"",IF(COUNTIFS(F$6:F1878,F1878,I$6:I1878,"?*")=1,MAX(W$5:W1877)+1,""))</f>
        <v/>
      </c>
    </row>
    <row r="1879">
      <c r="B1879" s="15" t="n"/>
      <c r="C1879" s="16" t="n"/>
      <c r="D1879" s="17" t="n"/>
      <c r="E1879" s="17" t="n"/>
      <c r="F1879" s="17" t="n"/>
      <c r="G1879" s="17" t="n"/>
      <c r="H1879" s="18">
        <f>IF(AND(B1879="",C1879="",D1879="",E1879=""),"",IF(B1879="","⚠ Falta fecha",IF(C1879="","⚠ Falta monto",IF(D1879="","⚠ Falta categoría",IF(ISNA(MATCH(D1879,catNom,0)),"⚠ Categoría no existe",IF(E1879="","⚠ Falta cuenta",IF(ISNA(MATCH(E1879,ctaNom,0)),"⚠ Cuenta no existe",IF(AND(OR(I1879="Transferencia",I1879="Pago tarjeta"),G1879=""),"⚠ Indica la cuenta «Hacia»",IF(AND(G1879&lt;&gt;"",G1879=E1879),"⚠ «Hacia» igual a la cuenta",IF(AND(G1879&lt;&gt;"",ISNA(MATCH(G1879,ctaNom,0))),"⚠ «Hacia» no existe",IF(AND(I1879="Pago tarjeta",IFERROR(INDEX(ctaTipo,MATCH(G1879,ctaNom,0)),"")&lt;&gt;"Tarjeta de crédito"),"⚠ «Hacia» debe ser la tarjeta",IF(AND(I1879="Trading",IFERROR(INDEX(ctaTipo,MATCH(E1879,ctaNom,0)),"")&lt;&gt;"Cuenta de trading"),"⚠ Usa la cuenta de trading","✓"))))))))))))</f>
        <v/>
      </c>
      <c r="I1879" s="19">
        <f>IF(OR(B1879="",C1879="",D1879=""),"",IFERROR(INDEX(catTipo,MATCH(D1879,catNom,0))&amp;"",""))</f>
        <v/>
      </c>
      <c r="J1879" s="19">
        <f>IF(I1879="","",IFERROR(INDEX(catGrupo,MATCH(D1879,catNom,0))&amp;"",""))</f>
        <v/>
      </c>
      <c r="K1879" s="19">
        <f>IF(I1879="Gasto",IF(IFERROR(INDEX(catClas,MATCH(D1879,catNom,0))&amp;"","")="","Variable",IFERROR(INDEX(catClas,MATCH(D1879,catNom,0))&amp;"","")),"")</f>
        <v/>
      </c>
      <c r="L1879" s="19">
        <f>IF(I1879="","",IFERROR(INDEX(catAlim,MATCH(D1879,catNom,0))&amp;"",""))</f>
        <v/>
      </c>
      <c r="M1879" s="19">
        <f>IF(I1879="","",IFERROR(INDEX(catComida,MATCH(D1879,catNom,0))&amp;"",""))</f>
        <v/>
      </c>
      <c r="N1879" s="19">
        <f>IF(I1879="","",IFERROR(INDEX(ctaMon,MATCH(E1879,ctaNom,0))&amp;"","DOP"))</f>
        <v/>
      </c>
      <c r="O1879" s="20">
        <f>IF(I1879="","",C1879*IF(N1879="USD",TasaUSD,1))</f>
        <v/>
      </c>
      <c r="P1879" s="20">
        <f>IF(I1879="","",IF(I1879="Gasto",O1879,0))</f>
        <v/>
      </c>
      <c r="Q1879" s="20">
        <f>IF(I1879="","",IF(I1879="Ingreso",O1879,0))</f>
        <v/>
      </c>
      <c r="R1879" s="20">
        <f>IF(I1879="","",IF(I1879="Trading",O1879,0))</f>
        <v/>
      </c>
      <c r="S1879" s="19">
        <f>IF(I1879="","",IF(AND(I1879="Gasto",K1879="Variable",J1879&lt;&gt;"Trading",O1879&gt;0,O1879&lt;=Umbral),1,0))</f>
        <v/>
      </c>
      <c r="T1879" s="20">
        <f>IF(OR(I1879="",E1879=""),"",IF(OR(I1879="Gasto",I1879="Transferencia",I1879="Pago tarjeta"),-1,1)*C1879)</f>
        <v/>
      </c>
      <c r="U1879" s="20">
        <f>IF(OR(G1879="",AND(I1879&lt;&gt;"Transferencia",I1879&lt;&gt;"Pago tarjeta")),"",IF(IFERROR(INDEX(ctaMon,MATCH(G1879,ctaNom,0))&amp;"","DOP")=N1879,C1879,IF(N1879="USD",C1879*TasaUSD,C1879/TasaUSD)))</f>
        <v/>
      </c>
      <c r="V1879" s="20">
        <f>IF(I1879="","",IF(IFERROR(INDEX(ctaLiq,MATCH(E1879,ctaNom,0))="Sí",FALSE),IF(OR(I1879="Gasto",I1879="Transferencia",I1879="Pago tarjeta"),-1,1)*O1879,0)+IF(AND(U1879&lt;&gt;"",IFERROR(INDEX(ctaLiq,MATCH(G1879,ctaNom,0))="Sí",FALSE)),O1879,0))</f>
        <v/>
      </c>
      <c r="W1879" s="19">
        <f>IF(OR(F1879="",I1879=""),"",IF(COUNTIFS(F$6:F1879,F1879,I$6:I1879,"?*")=1,MAX(W$5:W1878)+1,""))</f>
        <v/>
      </c>
    </row>
    <row r="1880">
      <c r="B1880" s="15" t="n"/>
      <c r="C1880" s="16" t="n"/>
      <c r="D1880" s="17" t="n"/>
      <c r="E1880" s="17" t="n"/>
      <c r="F1880" s="17" t="n"/>
      <c r="G1880" s="17" t="n"/>
      <c r="H1880" s="18">
        <f>IF(AND(B1880="",C1880="",D1880="",E1880=""),"",IF(B1880="","⚠ Falta fecha",IF(C1880="","⚠ Falta monto",IF(D1880="","⚠ Falta categoría",IF(ISNA(MATCH(D1880,catNom,0)),"⚠ Categoría no existe",IF(E1880="","⚠ Falta cuenta",IF(ISNA(MATCH(E1880,ctaNom,0)),"⚠ Cuenta no existe",IF(AND(OR(I1880="Transferencia",I1880="Pago tarjeta"),G1880=""),"⚠ Indica la cuenta «Hacia»",IF(AND(G1880&lt;&gt;"",G1880=E1880),"⚠ «Hacia» igual a la cuenta",IF(AND(G1880&lt;&gt;"",ISNA(MATCH(G1880,ctaNom,0))),"⚠ «Hacia» no existe",IF(AND(I1880="Pago tarjeta",IFERROR(INDEX(ctaTipo,MATCH(G1880,ctaNom,0)),"")&lt;&gt;"Tarjeta de crédito"),"⚠ «Hacia» debe ser la tarjeta",IF(AND(I1880="Trading",IFERROR(INDEX(ctaTipo,MATCH(E1880,ctaNom,0)),"")&lt;&gt;"Cuenta de trading"),"⚠ Usa la cuenta de trading","✓"))))))))))))</f>
        <v/>
      </c>
      <c r="I1880" s="19">
        <f>IF(OR(B1880="",C1880="",D1880=""),"",IFERROR(INDEX(catTipo,MATCH(D1880,catNom,0))&amp;"",""))</f>
        <v/>
      </c>
      <c r="J1880" s="19">
        <f>IF(I1880="","",IFERROR(INDEX(catGrupo,MATCH(D1880,catNom,0))&amp;"",""))</f>
        <v/>
      </c>
      <c r="K1880" s="19">
        <f>IF(I1880="Gasto",IF(IFERROR(INDEX(catClas,MATCH(D1880,catNom,0))&amp;"","")="","Variable",IFERROR(INDEX(catClas,MATCH(D1880,catNom,0))&amp;"","")),"")</f>
        <v/>
      </c>
      <c r="L1880" s="19">
        <f>IF(I1880="","",IFERROR(INDEX(catAlim,MATCH(D1880,catNom,0))&amp;"",""))</f>
        <v/>
      </c>
      <c r="M1880" s="19">
        <f>IF(I1880="","",IFERROR(INDEX(catComida,MATCH(D1880,catNom,0))&amp;"",""))</f>
        <v/>
      </c>
      <c r="N1880" s="19">
        <f>IF(I1880="","",IFERROR(INDEX(ctaMon,MATCH(E1880,ctaNom,0))&amp;"","DOP"))</f>
        <v/>
      </c>
      <c r="O1880" s="20">
        <f>IF(I1880="","",C1880*IF(N1880="USD",TasaUSD,1))</f>
        <v/>
      </c>
      <c r="P1880" s="20">
        <f>IF(I1880="","",IF(I1880="Gasto",O1880,0))</f>
        <v/>
      </c>
      <c r="Q1880" s="20">
        <f>IF(I1880="","",IF(I1880="Ingreso",O1880,0))</f>
        <v/>
      </c>
      <c r="R1880" s="20">
        <f>IF(I1880="","",IF(I1880="Trading",O1880,0))</f>
        <v/>
      </c>
      <c r="S1880" s="19">
        <f>IF(I1880="","",IF(AND(I1880="Gasto",K1880="Variable",J1880&lt;&gt;"Trading",O1880&gt;0,O1880&lt;=Umbral),1,0))</f>
        <v/>
      </c>
      <c r="T1880" s="20">
        <f>IF(OR(I1880="",E1880=""),"",IF(OR(I1880="Gasto",I1880="Transferencia",I1880="Pago tarjeta"),-1,1)*C1880)</f>
        <v/>
      </c>
      <c r="U1880" s="20">
        <f>IF(OR(G1880="",AND(I1880&lt;&gt;"Transferencia",I1880&lt;&gt;"Pago tarjeta")),"",IF(IFERROR(INDEX(ctaMon,MATCH(G1880,ctaNom,0))&amp;"","DOP")=N1880,C1880,IF(N1880="USD",C1880*TasaUSD,C1880/TasaUSD)))</f>
        <v/>
      </c>
      <c r="V1880" s="20">
        <f>IF(I1880="","",IF(IFERROR(INDEX(ctaLiq,MATCH(E1880,ctaNom,0))="Sí",FALSE),IF(OR(I1880="Gasto",I1880="Transferencia",I1880="Pago tarjeta"),-1,1)*O1880,0)+IF(AND(U1880&lt;&gt;"",IFERROR(INDEX(ctaLiq,MATCH(G1880,ctaNom,0))="Sí",FALSE)),O1880,0))</f>
        <v/>
      </c>
      <c r="W1880" s="19">
        <f>IF(OR(F1880="",I1880=""),"",IF(COUNTIFS(F$6:F1880,F1880,I$6:I1880,"?*")=1,MAX(W$5:W1879)+1,""))</f>
        <v/>
      </c>
    </row>
    <row r="1881">
      <c r="B1881" s="15" t="n"/>
      <c r="C1881" s="16" t="n"/>
      <c r="D1881" s="17" t="n"/>
      <c r="E1881" s="17" t="n"/>
      <c r="F1881" s="17" t="n"/>
      <c r="G1881" s="17" t="n"/>
      <c r="H1881" s="18">
        <f>IF(AND(B1881="",C1881="",D1881="",E1881=""),"",IF(B1881="","⚠ Falta fecha",IF(C1881="","⚠ Falta monto",IF(D1881="","⚠ Falta categoría",IF(ISNA(MATCH(D1881,catNom,0)),"⚠ Categoría no existe",IF(E1881="","⚠ Falta cuenta",IF(ISNA(MATCH(E1881,ctaNom,0)),"⚠ Cuenta no existe",IF(AND(OR(I1881="Transferencia",I1881="Pago tarjeta"),G1881=""),"⚠ Indica la cuenta «Hacia»",IF(AND(G1881&lt;&gt;"",G1881=E1881),"⚠ «Hacia» igual a la cuenta",IF(AND(G1881&lt;&gt;"",ISNA(MATCH(G1881,ctaNom,0))),"⚠ «Hacia» no existe",IF(AND(I1881="Pago tarjeta",IFERROR(INDEX(ctaTipo,MATCH(G1881,ctaNom,0)),"")&lt;&gt;"Tarjeta de crédito"),"⚠ «Hacia» debe ser la tarjeta",IF(AND(I1881="Trading",IFERROR(INDEX(ctaTipo,MATCH(E1881,ctaNom,0)),"")&lt;&gt;"Cuenta de trading"),"⚠ Usa la cuenta de trading","✓"))))))))))))</f>
        <v/>
      </c>
      <c r="I1881" s="19">
        <f>IF(OR(B1881="",C1881="",D1881=""),"",IFERROR(INDEX(catTipo,MATCH(D1881,catNom,0))&amp;"",""))</f>
        <v/>
      </c>
      <c r="J1881" s="19">
        <f>IF(I1881="","",IFERROR(INDEX(catGrupo,MATCH(D1881,catNom,0))&amp;"",""))</f>
        <v/>
      </c>
      <c r="K1881" s="19">
        <f>IF(I1881="Gasto",IF(IFERROR(INDEX(catClas,MATCH(D1881,catNom,0))&amp;"","")="","Variable",IFERROR(INDEX(catClas,MATCH(D1881,catNom,0))&amp;"","")),"")</f>
        <v/>
      </c>
      <c r="L1881" s="19">
        <f>IF(I1881="","",IFERROR(INDEX(catAlim,MATCH(D1881,catNom,0))&amp;"",""))</f>
        <v/>
      </c>
      <c r="M1881" s="19">
        <f>IF(I1881="","",IFERROR(INDEX(catComida,MATCH(D1881,catNom,0))&amp;"",""))</f>
        <v/>
      </c>
      <c r="N1881" s="19">
        <f>IF(I1881="","",IFERROR(INDEX(ctaMon,MATCH(E1881,ctaNom,0))&amp;"","DOP"))</f>
        <v/>
      </c>
      <c r="O1881" s="20">
        <f>IF(I1881="","",C1881*IF(N1881="USD",TasaUSD,1))</f>
        <v/>
      </c>
      <c r="P1881" s="20">
        <f>IF(I1881="","",IF(I1881="Gasto",O1881,0))</f>
        <v/>
      </c>
      <c r="Q1881" s="20">
        <f>IF(I1881="","",IF(I1881="Ingreso",O1881,0))</f>
        <v/>
      </c>
      <c r="R1881" s="20">
        <f>IF(I1881="","",IF(I1881="Trading",O1881,0))</f>
        <v/>
      </c>
      <c r="S1881" s="19">
        <f>IF(I1881="","",IF(AND(I1881="Gasto",K1881="Variable",J1881&lt;&gt;"Trading",O1881&gt;0,O1881&lt;=Umbral),1,0))</f>
        <v/>
      </c>
      <c r="T1881" s="20">
        <f>IF(OR(I1881="",E1881=""),"",IF(OR(I1881="Gasto",I1881="Transferencia",I1881="Pago tarjeta"),-1,1)*C1881)</f>
        <v/>
      </c>
      <c r="U1881" s="20">
        <f>IF(OR(G1881="",AND(I1881&lt;&gt;"Transferencia",I1881&lt;&gt;"Pago tarjeta")),"",IF(IFERROR(INDEX(ctaMon,MATCH(G1881,ctaNom,0))&amp;"","DOP")=N1881,C1881,IF(N1881="USD",C1881*TasaUSD,C1881/TasaUSD)))</f>
        <v/>
      </c>
      <c r="V1881" s="20">
        <f>IF(I1881="","",IF(IFERROR(INDEX(ctaLiq,MATCH(E1881,ctaNom,0))="Sí",FALSE),IF(OR(I1881="Gasto",I1881="Transferencia",I1881="Pago tarjeta"),-1,1)*O1881,0)+IF(AND(U1881&lt;&gt;"",IFERROR(INDEX(ctaLiq,MATCH(G1881,ctaNom,0))="Sí",FALSE)),O1881,0))</f>
        <v/>
      </c>
      <c r="W1881" s="19">
        <f>IF(OR(F1881="",I1881=""),"",IF(COUNTIFS(F$6:F1881,F1881,I$6:I1881,"?*")=1,MAX(W$5:W1880)+1,""))</f>
        <v/>
      </c>
    </row>
    <row r="1882">
      <c r="B1882" s="15" t="n"/>
      <c r="C1882" s="16" t="n"/>
      <c r="D1882" s="17" t="n"/>
      <c r="E1882" s="17" t="n"/>
      <c r="F1882" s="17" t="n"/>
      <c r="G1882" s="17" t="n"/>
      <c r="H1882" s="18">
        <f>IF(AND(B1882="",C1882="",D1882="",E1882=""),"",IF(B1882="","⚠ Falta fecha",IF(C1882="","⚠ Falta monto",IF(D1882="","⚠ Falta categoría",IF(ISNA(MATCH(D1882,catNom,0)),"⚠ Categoría no existe",IF(E1882="","⚠ Falta cuenta",IF(ISNA(MATCH(E1882,ctaNom,0)),"⚠ Cuenta no existe",IF(AND(OR(I1882="Transferencia",I1882="Pago tarjeta"),G1882=""),"⚠ Indica la cuenta «Hacia»",IF(AND(G1882&lt;&gt;"",G1882=E1882),"⚠ «Hacia» igual a la cuenta",IF(AND(G1882&lt;&gt;"",ISNA(MATCH(G1882,ctaNom,0))),"⚠ «Hacia» no existe",IF(AND(I1882="Pago tarjeta",IFERROR(INDEX(ctaTipo,MATCH(G1882,ctaNom,0)),"")&lt;&gt;"Tarjeta de crédito"),"⚠ «Hacia» debe ser la tarjeta",IF(AND(I1882="Trading",IFERROR(INDEX(ctaTipo,MATCH(E1882,ctaNom,0)),"")&lt;&gt;"Cuenta de trading"),"⚠ Usa la cuenta de trading","✓"))))))))))))</f>
        <v/>
      </c>
      <c r="I1882" s="19">
        <f>IF(OR(B1882="",C1882="",D1882=""),"",IFERROR(INDEX(catTipo,MATCH(D1882,catNom,0))&amp;"",""))</f>
        <v/>
      </c>
      <c r="J1882" s="19">
        <f>IF(I1882="","",IFERROR(INDEX(catGrupo,MATCH(D1882,catNom,0))&amp;"",""))</f>
        <v/>
      </c>
      <c r="K1882" s="19">
        <f>IF(I1882="Gasto",IF(IFERROR(INDEX(catClas,MATCH(D1882,catNom,0))&amp;"","")="","Variable",IFERROR(INDEX(catClas,MATCH(D1882,catNom,0))&amp;"","")),"")</f>
        <v/>
      </c>
      <c r="L1882" s="19">
        <f>IF(I1882="","",IFERROR(INDEX(catAlim,MATCH(D1882,catNom,0))&amp;"",""))</f>
        <v/>
      </c>
      <c r="M1882" s="19">
        <f>IF(I1882="","",IFERROR(INDEX(catComida,MATCH(D1882,catNom,0))&amp;"",""))</f>
        <v/>
      </c>
      <c r="N1882" s="19">
        <f>IF(I1882="","",IFERROR(INDEX(ctaMon,MATCH(E1882,ctaNom,0))&amp;"","DOP"))</f>
        <v/>
      </c>
      <c r="O1882" s="20">
        <f>IF(I1882="","",C1882*IF(N1882="USD",TasaUSD,1))</f>
        <v/>
      </c>
      <c r="P1882" s="20">
        <f>IF(I1882="","",IF(I1882="Gasto",O1882,0))</f>
        <v/>
      </c>
      <c r="Q1882" s="20">
        <f>IF(I1882="","",IF(I1882="Ingreso",O1882,0))</f>
        <v/>
      </c>
      <c r="R1882" s="20">
        <f>IF(I1882="","",IF(I1882="Trading",O1882,0))</f>
        <v/>
      </c>
      <c r="S1882" s="19">
        <f>IF(I1882="","",IF(AND(I1882="Gasto",K1882="Variable",J1882&lt;&gt;"Trading",O1882&gt;0,O1882&lt;=Umbral),1,0))</f>
        <v/>
      </c>
      <c r="T1882" s="20">
        <f>IF(OR(I1882="",E1882=""),"",IF(OR(I1882="Gasto",I1882="Transferencia",I1882="Pago tarjeta"),-1,1)*C1882)</f>
        <v/>
      </c>
      <c r="U1882" s="20">
        <f>IF(OR(G1882="",AND(I1882&lt;&gt;"Transferencia",I1882&lt;&gt;"Pago tarjeta")),"",IF(IFERROR(INDEX(ctaMon,MATCH(G1882,ctaNom,0))&amp;"","DOP")=N1882,C1882,IF(N1882="USD",C1882*TasaUSD,C1882/TasaUSD)))</f>
        <v/>
      </c>
      <c r="V1882" s="20">
        <f>IF(I1882="","",IF(IFERROR(INDEX(ctaLiq,MATCH(E1882,ctaNom,0))="Sí",FALSE),IF(OR(I1882="Gasto",I1882="Transferencia",I1882="Pago tarjeta"),-1,1)*O1882,0)+IF(AND(U1882&lt;&gt;"",IFERROR(INDEX(ctaLiq,MATCH(G1882,ctaNom,0))="Sí",FALSE)),O1882,0))</f>
        <v/>
      </c>
      <c r="W1882" s="19">
        <f>IF(OR(F1882="",I1882=""),"",IF(COUNTIFS(F$6:F1882,F1882,I$6:I1882,"?*")=1,MAX(W$5:W1881)+1,""))</f>
        <v/>
      </c>
    </row>
    <row r="1883">
      <c r="B1883" s="15" t="n"/>
      <c r="C1883" s="16" t="n"/>
      <c r="D1883" s="17" t="n"/>
      <c r="E1883" s="17" t="n"/>
      <c r="F1883" s="17" t="n"/>
      <c r="G1883" s="17" t="n"/>
      <c r="H1883" s="18">
        <f>IF(AND(B1883="",C1883="",D1883="",E1883=""),"",IF(B1883="","⚠ Falta fecha",IF(C1883="","⚠ Falta monto",IF(D1883="","⚠ Falta categoría",IF(ISNA(MATCH(D1883,catNom,0)),"⚠ Categoría no existe",IF(E1883="","⚠ Falta cuenta",IF(ISNA(MATCH(E1883,ctaNom,0)),"⚠ Cuenta no existe",IF(AND(OR(I1883="Transferencia",I1883="Pago tarjeta"),G1883=""),"⚠ Indica la cuenta «Hacia»",IF(AND(G1883&lt;&gt;"",G1883=E1883),"⚠ «Hacia» igual a la cuenta",IF(AND(G1883&lt;&gt;"",ISNA(MATCH(G1883,ctaNom,0))),"⚠ «Hacia» no existe",IF(AND(I1883="Pago tarjeta",IFERROR(INDEX(ctaTipo,MATCH(G1883,ctaNom,0)),"")&lt;&gt;"Tarjeta de crédito"),"⚠ «Hacia» debe ser la tarjeta",IF(AND(I1883="Trading",IFERROR(INDEX(ctaTipo,MATCH(E1883,ctaNom,0)),"")&lt;&gt;"Cuenta de trading"),"⚠ Usa la cuenta de trading","✓"))))))))))))</f>
        <v/>
      </c>
      <c r="I1883" s="19">
        <f>IF(OR(B1883="",C1883="",D1883=""),"",IFERROR(INDEX(catTipo,MATCH(D1883,catNom,0))&amp;"",""))</f>
        <v/>
      </c>
      <c r="J1883" s="19">
        <f>IF(I1883="","",IFERROR(INDEX(catGrupo,MATCH(D1883,catNom,0))&amp;"",""))</f>
        <v/>
      </c>
      <c r="K1883" s="19">
        <f>IF(I1883="Gasto",IF(IFERROR(INDEX(catClas,MATCH(D1883,catNom,0))&amp;"","")="","Variable",IFERROR(INDEX(catClas,MATCH(D1883,catNom,0))&amp;"","")),"")</f>
        <v/>
      </c>
      <c r="L1883" s="19">
        <f>IF(I1883="","",IFERROR(INDEX(catAlim,MATCH(D1883,catNom,0))&amp;"",""))</f>
        <v/>
      </c>
      <c r="M1883" s="19">
        <f>IF(I1883="","",IFERROR(INDEX(catComida,MATCH(D1883,catNom,0))&amp;"",""))</f>
        <v/>
      </c>
      <c r="N1883" s="19">
        <f>IF(I1883="","",IFERROR(INDEX(ctaMon,MATCH(E1883,ctaNom,0))&amp;"","DOP"))</f>
        <v/>
      </c>
      <c r="O1883" s="20">
        <f>IF(I1883="","",C1883*IF(N1883="USD",TasaUSD,1))</f>
        <v/>
      </c>
      <c r="P1883" s="20">
        <f>IF(I1883="","",IF(I1883="Gasto",O1883,0))</f>
        <v/>
      </c>
      <c r="Q1883" s="20">
        <f>IF(I1883="","",IF(I1883="Ingreso",O1883,0))</f>
        <v/>
      </c>
      <c r="R1883" s="20">
        <f>IF(I1883="","",IF(I1883="Trading",O1883,0))</f>
        <v/>
      </c>
      <c r="S1883" s="19">
        <f>IF(I1883="","",IF(AND(I1883="Gasto",K1883="Variable",J1883&lt;&gt;"Trading",O1883&gt;0,O1883&lt;=Umbral),1,0))</f>
        <v/>
      </c>
      <c r="T1883" s="20">
        <f>IF(OR(I1883="",E1883=""),"",IF(OR(I1883="Gasto",I1883="Transferencia",I1883="Pago tarjeta"),-1,1)*C1883)</f>
        <v/>
      </c>
      <c r="U1883" s="20">
        <f>IF(OR(G1883="",AND(I1883&lt;&gt;"Transferencia",I1883&lt;&gt;"Pago tarjeta")),"",IF(IFERROR(INDEX(ctaMon,MATCH(G1883,ctaNom,0))&amp;"","DOP")=N1883,C1883,IF(N1883="USD",C1883*TasaUSD,C1883/TasaUSD)))</f>
        <v/>
      </c>
      <c r="V1883" s="20">
        <f>IF(I1883="","",IF(IFERROR(INDEX(ctaLiq,MATCH(E1883,ctaNom,0))="Sí",FALSE),IF(OR(I1883="Gasto",I1883="Transferencia",I1883="Pago tarjeta"),-1,1)*O1883,0)+IF(AND(U1883&lt;&gt;"",IFERROR(INDEX(ctaLiq,MATCH(G1883,ctaNom,0))="Sí",FALSE)),O1883,0))</f>
        <v/>
      </c>
      <c r="W1883" s="19">
        <f>IF(OR(F1883="",I1883=""),"",IF(COUNTIFS(F$6:F1883,F1883,I$6:I1883,"?*")=1,MAX(W$5:W1882)+1,""))</f>
        <v/>
      </c>
    </row>
    <row r="1884">
      <c r="B1884" s="15" t="n"/>
      <c r="C1884" s="16" t="n"/>
      <c r="D1884" s="17" t="n"/>
      <c r="E1884" s="17" t="n"/>
      <c r="F1884" s="17" t="n"/>
      <c r="G1884" s="17" t="n"/>
      <c r="H1884" s="18">
        <f>IF(AND(B1884="",C1884="",D1884="",E1884=""),"",IF(B1884="","⚠ Falta fecha",IF(C1884="","⚠ Falta monto",IF(D1884="","⚠ Falta categoría",IF(ISNA(MATCH(D1884,catNom,0)),"⚠ Categoría no existe",IF(E1884="","⚠ Falta cuenta",IF(ISNA(MATCH(E1884,ctaNom,0)),"⚠ Cuenta no existe",IF(AND(OR(I1884="Transferencia",I1884="Pago tarjeta"),G1884=""),"⚠ Indica la cuenta «Hacia»",IF(AND(G1884&lt;&gt;"",G1884=E1884),"⚠ «Hacia» igual a la cuenta",IF(AND(G1884&lt;&gt;"",ISNA(MATCH(G1884,ctaNom,0))),"⚠ «Hacia» no existe",IF(AND(I1884="Pago tarjeta",IFERROR(INDEX(ctaTipo,MATCH(G1884,ctaNom,0)),"")&lt;&gt;"Tarjeta de crédito"),"⚠ «Hacia» debe ser la tarjeta",IF(AND(I1884="Trading",IFERROR(INDEX(ctaTipo,MATCH(E1884,ctaNom,0)),"")&lt;&gt;"Cuenta de trading"),"⚠ Usa la cuenta de trading","✓"))))))))))))</f>
        <v/>
      </c>
      <c r="I1884" s="19">
        <f>IF(OR(B1884="",C1884="",D1884=""),"",IFERROR(INDEX(catTipo,MATCH(D1884,catNom,0))&amp;"",""))</f>
        <v/>
      </c>
      <c r="J1884" s="19">
        <f>IF(I1884="","",IFERROR(INDEX(catGrupo,MATCH(D1884,catNom,0))&amp;"",""))</f>
        <v/>
      </c>
      <c r="K1884" s="19">
        <f>IF(I1884="Gasto",IF(IFERROR(INDEX(catClas,MATCH(D1884,catNom,0))&amp;"","")="","Variable",IFERROR(INDEX(catClas,MATCH(D1884,catNom,0))&amp;"","")),"")</f>
        <v/>
      </c>
      <c r="L1884" s="19">
        <f>IF(I1884="","",IFERROR(INDEX(catAlim,MATCH(D1884,catNom,0))&amp;"",""))</f>
        <v/>
      </c>
      <c r="M1884" s="19">
        <f>IF(I1884="","",IFERROR(INDEX(catComida,MATCH(D1884,catNom,0))&amp;"",""))</f>
        <v/>
      </c>
      <c r="N1884" s="19">
        <f>IF(I1884="","",IFERROR(INDEX(ctaMon,MATCH(E1884,ctaNom,0))&amp;"","DOP"))</f>
        <v/>
      </c>
      <c r="O1884" s="20">
        <f>IF(I1884="","",C1884*IF(N1884="USD",TasaUSD,1))</f>
        <v/>
      </c>
      <c r="P1884" s="20">
        <f>IF(I1884="","",IF(I1884="Gasto",O1884,0))</f>
        <v/>
      </c>
      <c r="Q1884" s="20">
        <f>IF(I1884="","",IF(I1884="Ingreso",O1884,0))</f>
        <v/>
      </c>
      <c r="R1884" s="20">
        <f>IF(I1884="","",IF(I1884="Trading",O1884,0))</f>
        <v/>
      </c>
      <c r="S1884" s="19">
        <f>IF(I1884="","",IF(AND(I1884="Gasto",K1884="Variable",J1884&lt;&gt;"Trading",O1884&gt;0,O1884&lt;=Umbral),1,0))</f>
        <v/>
      </c>
      <c r="T1884" s="20">
        <f>IF(OR(I1884="",E1884=""),"",IF(OR(I1884="Gasto",I1884="Transferencia",I1884="Pago tarjeta"),-1,1)*C1884)</f>
        <v/>
      </c>
      <c r="U1884" s="20">
        <f>IF(OR(G1884="",AND(I1884&lt;&gt;"Transferencia",I1884&lt;&gt;"Pago tarjeta")),"",IF(IFERROR(INDEX(ctaMon,MATCH(G1884,ctaNom,0))&amp;"","DOP")=N1884,C1884,IF(N1884="USD",C1884*TasaUSD,C1884/TasaUSD)))</f>
        <v/>
      </c>
      <c r="V1884" s="20">
        <f>IF(I1884="","",IF(IFERROR(INDEX(ctaLiq,MATCH(E1884,ctaNom,0))="Sí",FALSE),IF(OR(I1884="Gasto",I1884="Transferencia",I1884="Pago tarjeta"),-1,1)*O1884,0)+IF(AND(U1884&lt;&gt;"",IFERROR(INDEX(ctaLiq,MATCH(G1884,ctaNom,0))="Sí",FALSE)),O1884,0))</f>
        <v/>
      </c>
      <c r="W1884" s="19">
        <f>IF(OR(F1884="",I1884=""),"",IF(COUNTIFS(F$6:F1884,F1884,I$6:I1884,"?*")=1,MAX(W$5:W1883)+1,""))</f>
        <v/>
      </c>
    </row>
    <row r="1885">
      <c r="B1885" s="15" t="n"/>
      <c r="C1885" s="16" t="n"/>
      <c r="D1885" s="17" t="n"/>
      <c r="E1885" s="17" t="n"/>
      <c r="F1885" s="17" t="n"/>
      <c r="G1885" s="17" t="n"/>
      <c r="H1885" s="18">
        <f>IF(AND(B1885="",C1885="",D1885="",E1885=""),"",IF(B1885="","⚠ Falta fecha",IF(C1885="","⚠ Falta monto",IF(D1885="","⚠ Falta categoría",IF(ISNA(MATCH(D1885,catNom,0)),"⚠ Categoría no existe",IF(E1885="","⚠ Falta cuenta",IF(ISNA(MATCH(E1885,ctaNom,0)),"⚠ Cuenta no existe",IF(AND(OR(I1885="Transferencia",I1885="Pago tarjeta"),G1885=""),"⚠ Indica la cuenta «Hacia»",IF(AND(G1885&lt;&gt;"",G1885=E1885),"⚠ «Hacia» igual a la cuenta",IF(AND(G1885&lt;&gt;"",ISNA(MATCH(G1885,ctaNom,0))),"⚠ «Hacia» no existe",IF(AND(I1885="Pago tarjeta",IFERROR(INDEX(ctaTipo,MATCH(G1885,ctaNom,0)),"")&lt;&gt;"Tarjeta de crédito"),"⚠ «Hacia» debe ser la tarjeta",IF(AND(I1885="Trading",IFERROR(INDEX(ctaTipo,MATCH(E1885,ctaNom,0)),"")&lt;&gt;"Cuenta de trading"),"⚠ Usa la cuenta de trading","✓"))))))))))))</f>
        <v/>
      </c>
      <c r="I1885" s="19">
        <f>IF(OR(B1885="",C1885="",D1885=""),"",IFERROR(INDEX(catTipo,MATCH(D1885,catNom,0))&amp;"",""))</f>
        <v/>
      </c>
      <c r="J1885" s="19">
        <f>IF(I1885="","",IFERROR(INDEX(catGrupo,MATCH(D1885,catNom,0))&amp;"",""))</f>
        <v/>
      </c>
      <c r="K1885" s="19">
        <f>IF(I1885="Gasto",IF(IFERROR(INDEX(catClas,MATCH(D1885,catNom,0))&amp;"","")="","Variable",IFERROR(INDEX(catClas,MATCH(D1885,catNom,0))&amp;"","")),"")</f>
        <v/>
      </c>
      <c r="L1885" s="19">
        <f>IF(I1885="","",IFERROR(INDEX(catAlim,MATCH(D1885,catNom,0))&amp;"",""))</f>
        <v/>
      </c>
      <c r="M1885" s="19">
        <f>IF(I1885="","",IFERROR(INDEX(catComida,MATCH(D1885,catNom,0))&amp;"",""))</f>
        <v/>
      </c>
      <c r="N1885" s="19">
        <f>IF(I1885="","",IFERROR(INDEX(ctaMon,MATCH(E1885,ctaNom,0))&amp;"","DOP"))</f>
        <v/>
      </c>
      <c r="O1885" s="20">
        <f>IF(I1885="","",C1885*IF(N1885="USD",TasaUSD,1))</f>
        <v/>
      </c>
      <c r="P1885" s="20">
        <f>IF(I1885="","",IF(I1885="Gasto",O1885,0))</f>
        <v/>
      </c>
      <c r="Q1885" s="20">
        <f>IF(I1885="","",IF(I1885="Ingreso",O1885,0))</f>
        <v/>
      </c>
      <c r="R1885" s="20">
        <f>IF(I1885="","",IF(I1885="Trading",O1885,0))</f>
        <v/>
      </c>
      <c r="S1885" s="19">
        <f>IF(I1885="","",IF(AND(I1885="Gasto",K1885="Variable",J1885&lt;&gt;"Trading",O1885&gt;0,O1885&lt;=Umbral),1,0))</f>
        <v/>
      </c>
      <c r="T1885" s="20">
        <f>IF(OR(I1885="",E1885=""),"",IF(OR(I1885="Gasto",I1885="Transferencia",I1885="Pago tarjeta"),-1,1)*C1885)</f>
        <v/>
      </c>
      <c r="U1885" s="20">
        <f>IF(OR(G1885="",AND(I1885&lt;&gt;"Transferencia",I1885&lt;&gt;"Pago tarjeta")),"",IF(IFERROR(INDEX(ctaMon,MATCH(G1885,ctaNom,0))&amp;"","DOP")=N1885,C1885,IF(N1885="USD",C1885*TasaUSD,C1885/TasaUSD)))</f>
        <v/>
      </c>
      <c r="V1885" s="20">
        <f>IF(I1885="","",IF(IFERROR(INDEX(ctaLiq,MATCH(E1885,ctaNom,0))="Sí",FALSE),IF(OR(I1885="Gasto",I1885="Transferencia",I1885="Pago tarjeta"),-1,1)*O1885,0)+IF(AND(U1885&lt;&gt;"",IFERROR(INDEX(ctaLiq,MATCH(G1885,ctaNom,0))="Sí",FALSE)),O1885,0))</f>
        <v/>
      </c>
      <c r="W1885" s="19">
        <f>IF(OR(F1885="",I1885=""),"",IF(COUNTIFS(F$6:F1885,F1885,I$6:I1885,"?*")=1,MAX(W$5:W1884)+1,""))</f>
        <v/>
      </c>
    </row>
    <row r="1886">
      <c r="B1886" s="15" t="n"/>
      <c r="C1886" s="16" t="n"/>
      <c r="D1886" s="17" t="n"/>
      <c r="E1886" s="17" t="n"/>
      <c r="F1886" s="17" t="n"/>
      <c r="G1886" s="17" t="n"/>
      <c r="H1886" s="18">
        <f>IF(AND(B1886="",C1886="",D1886="",E1886=""),"",IF(B1886="","⚠ Falta fecha",IF(C1886="","⚠ Falta monto",IF(D1886="","⚠ Falta categoría",IF(ISNA(MATCH(D1886,catNom,0)),"⚠ Categoría no existe",IF(E1886="","⚠ Falta cuenta",IF(ISNA(MATCH(E1886,ctaNom,0)),"⚠ Cuenta no existe",IF(AND(OR(I1886="Transferencia",I1886="Pago tarjeta"),G1886=""),"⚠ Indica la cuenta «Hacia»",IF(AND(G1886&lt;&gt;"",G1886=E1886),"⚠ «Hacia» igual a la cuenta",IF(AND(G1886&lt;&gt;"",ISNA(MATCH(G1886,ctaNom,0))),"⚠ «Hacia» no existe",IF(AND(I1886="Pago tarjeta",IFERROR(INDEX(ctaTipo,MATCH(G1886,ctaNom,0)),"")&lt;&gt;"Tarjeta de crédito"),"⚠ «Hacia» debe ser la tarjeta",IF(AND(I1886="Trading",IFERROR(INDEX(ctaTipo,MATCH(E1886,ctaNom,0)),"")&lt;&gt;"Cuenta de trading"),"⚠ Usa la cuenta de trading","✓"))))))))))))</f>
        <v/>
      </c>
      <c r="I1886" s="19">
        <f>IF(OR(B1886="",C1886="",D1886=""),"",IFERROR(INDEX(catTipo,MATCH(D1886,catNom,0))&amp;"",""))</f>
        <v/>
      </c>
      <c r="J1886" s="19">
        <f>IF(I1886="","",IFERROR(INDEX(catGrupo,MATCH(D1886,catNom,0))&amp;"",""))</f>
        <v/>
      </c>
      <c r="K1886" s="19">
        <f>IF(I1886="Gasto",IF(IFERROR(INDEX(catClas,MATCH(D1886,catNom,0))&amp;"","")="","Variable",IFERROR(INDEX(catClas,MATCH(D1886,catNom,0))&amp;"","")),"")</f>
        <v/>
      </c>
      <c r="L1886" s="19">
        <f>IF(I1886="","",IFERROR(INDEX(catAlim,MATCH(D1886,catNom,0))&amp;"",""))</f>
        <v/>
      </c>
      <c r="M1886" s="19">
        <f>IF(I1886="","",IFERROR(INDEX(catComida,MATCH(D1886,catNom,0))&amp;"",""))</f>
        <v/>
      </c>
      <c r="N1886" s="19">
        <f>IF(I1886="","",IFERROR(INDEX(ctaMon,MATCH(E1886,ctaNom,0))&amp;"","DOP"))</f>
        <v/>
      </c>
      <c r="O1886" s="20">
        <f>IF(I1886="","",C1886*IF(N1886="USD",TasaUSD,1))</f>
        <v/>
      </c>
      <c r="P1886" s="20">
        <f>IF(I1886="","",IF(I1886="Gasto",O1886,0))</f>
        <v/>
      </c>
      <c r="Q1886" s="20">
        <f>IF(I1886="","",IF(I1886="Ingreso",O1886,0))</f>
        <v/>
      </c>
      <c r="R1886" s="20">
        <f>IF(I1886="","",IF(I1886="Trading",O1886,0))</f>
        <v/>
      </c>
      <c r="S1886" s="19">
        <f>IF(I1886="","",IF(AND(I1886="Gasto",K1886="Variable",J1886&lt;&gt;"Trading",O1886&gt;0,O1886&lt;=Umbral),1,0))</f>
        <v/>
      </c>
      <c r="T1886" s="20">
        <f>IF(OR(I1886="",E1886=""),"",IF(OR(I1886="Gasto",I1886="Transferencia",I1886="Pago tarjeta"),-1,1)*C1886)</f>
        <v/>
      </c>
      <c r="U1886" s="20">
        <f>IF(OR(G1886="",AND(I1886&lt;&gt;"Transferencia",I1886&lt;&gt;"Pago tarjeta")),"",IF(IFERROR(INDEX(ctaMon,MATCH(G1886,ctaNom,0))&amp;"","DOP")=N1886,C1886,IF(N1886="USD",C1886*TasaUSD,C1886/TasaUSD)))</f>
        <v/>
      </c>
      <c r="V1886" s="20">
        <f>IF(I1886="","",IF(IFERROR(INDEX(ctaLiq,MATCH(E1886,ctaNom,0))="Sí",FALSE),IF(OR(I1886="Gasto",I1886="Transferencia",I1886="Pago tarjeta"),-1,1)*O1886,0)+IF(AND(U1886&lt;&gt;"",IFERROR(INDEX(ctaLiq,MATCH(G1886,ctaNom,0))="Sí",FALSE)),O1886,0))</f>
        <v/>
      </c>
      <c r="W1886" s="19">
        <f>IF(OR(F1886="",I1886=""),"",IF(COUNTIFS(F$6:F1886,F1886,I$6:I1886,"?*")=1,MAX(W$5:W1885)+1,""))</f>
        <v/>
      </c>
    </row>
    <row r="1887">
      <c r="B1887" s="15" t="n"/>
      <c r="C1887" s="16" t="n"/>
      <c r="D1887" s="17" t="n"/>
      <c r="E1887" s="17" t="n"/>
      <c r="F1887" s="17" t="n"/>
      <c r="G1887" s="17" t="n"/>
      <c r="H1887" s="18">
        <f>IF(AND(B1887="",C1887="",D1887="",E1887=""),"",IF(B1887="","⚠ Falta fecha",IF(C1887="","⚠ Falta monto",IF(D1887="","⚠ Falta categoría",IF(ISNA(MATCH(D1887,catNom,0)),"⚠ Categoría no existe",IF(E1887="","⚠ Falta cuenta",IF(ISNA(MATCH(E1887,ctaNom,0)),"⚠ Cuenta no existe",IF(AND(OR(I1887="Transferencia",I1887="Pago tarjeta"),G1887=""),"⚠ Indica la cuenta «Hacia»",IF(AND(G1887&lt;&gt;"",G1887=E1887),"⚠ «Hacia» igual a la cuenta",IF(AND(G1887&lt;&gt;"",ISNA(MATCH(G1887,ctaNom,0))),"⚠ «Hacia» no existe",IF(AND(I1887="Pago tarjeta",IFERROR(INDEX(ctaTipo,MATCH(G1887,ctaNom,0)),"")&lt;&gt;"Tarjeta de crédito"),"⚠ «Hacia» debe ser la tarjeta",IF(AND(I1887="Trading",IFERROR(INDEX(ctaTipo,MATCH(E1887,ctaNom,0)),"")&lt;&gt;"Cuenta de trading"),"⚠ Usa la cuenta de trading","✓"))))))))))))</f>
        <v/>
      </c>
      <c r="I1887" s="19">
        <f>IF(OR(B1887="",C1887="",D1887=""),"",IFERROR(INDEX(catTipo,MATCH(D1887,catNom,0))&amp;"",""))</f>
        <v/>
      </c>
      <c r="J1887" s="19">
        <f>IF(I1887="","",IFERROR(INDEX(catGrupo,MATCH(D1887,catNom,0))&amp;"",""))</f>
        <v/>
      </c>
      <c r="K1887" s="19">
        <f>IF(I1887="Gasto",IF(IFERROR(INDEX(catClas,MATCH(D1887,catNom,0))&amp;"","")="","Variable",IFERROR(INDEX(catClas,MATCH(D1887,catNom,0))&amp;"","")),"")</f>
        <v/>
      </c>
      <c r="L1887" s="19">
        <f>IF(I1887="","",IFERROR(INDEX(catAlim,MATCH(D1887,catNom,0))&amp;"",""))</f>
        <v/>
      </c>
      <c r="M1887" s="19">
        <f>IF(I1887="","",IFERROR(INDEX(catComida,MATCH(D1887,catNom,0))&amp;"",""))</f>
        <v/>
      </c>
      <c r="N1887" s="19">
        <f>IF(I1887="","",IFERROR(INDEX(ctaMon,MATCH(E1887,ctaNom,0))&amp;"","DOP"))</f>
        <v/>
      </c>
      <c r="O1887" s="20">
        <f>IF(I1887="","",C1887*IF(N1887="USD",TasaUSD,1))</f>
        <v/>
      </c>
      <c r="P1887" s="20">
        <f>IF(I1887="","",IF(I1887="Gasto",O1887,0))</f>
        <v/>
      </c>
      <c r="Q1887" s="20">
        <f>IF(I1887="","",IF(I1887="Ingreso",O1887,0))</f>
        <v/>
      </c>
      <c r="R1887" s="20">
        <f>IF(I1887="","",IF(I1887="Trading",O1887,0))</f>
        <v/>
      </c>
      <c r="S1887" s="19">
        <f>IF(I1887="","",IF(AND(I1887="Gasto",K1887="Variable",J1887&lt;&gt;"Trading",O1887&gt;0,O1887&lt;=Umbral),1,0))</f>
        <v/>
      </c>
      <c r="T1887" s="20">
        <f>IF(OR(I1887="",E1887=""),"",IF(OR(I1887="Gasto",I1887="Transferencia",I1887="Pago tarjeta"),-1,1)*C1887)</f>
        <v/>
      </c>
      <c r="U1887" s="20">
        <f>IF(OR(G1887="",AND(I1887&lt;&gt;"Transferencia",I1887&lt;&gt;"Pago tarjeta")),"",IF(IFERROR(INDEX(ctaMon,MATCH(G1887,ctaNom,0))&amp;"","DOP")=N1887,C1887,IF(N1887="USD",C1887*TasaUSD,C1887/TasaUSD)))</f>
        <v/>
      </c>
      <c r="V1887" s="20">
        <f>IF(I1887="","",IF(IFERROR(INDEX(ctaLiq,MATCH(E1887,ctaNom,0))="Sí",FALSE),IF(OR(I1887="Gasto",I1887="Transferencia",I1887="Pago tarjeta"),-1,1)*O1887,0)+IF(AND(U1887&lt;&gt;"",IFERROR(INDEX(ctaLiq,MATCH(G1887,ctaNom,0))="Sí",FALSE)),O1887,0))</f>
        <v/>
      </c>
      <c r="W1887" s="19">
        <f>IF(OR(F1887="",I1887=""),"",IF(COUNTIFS(F$6:F1887,F1887,I$6:I1887,"?*")=1,MAX(W$5:W1886)+1,""))</f>
        <v/>
      </c>
    </row>
    <row r="1888">
      <c r="B1888" s="15" t="n"/>
      <c r="C1888" s="16" t="n"/>
      <c r="D1888" s="17" t="n"/>
      <c r="E1888" s="17" t="n"/>
      <c r="F1888" s="17" t="n"/>
      <c r="G1888" s="17" t="n"/>
      <c r="H1888" s="18">
        <f>IF(AND(B1888="",C1888="",D1888="",E1888=""),"",IF(B1888="","⚠ Falta fecha",IF(C1888="","⚠ Falta monto",IF(D1888="","⚠ Falta categoría",IF(ISNA(MATCH(D1888,catNom,0)),"⚠ Categoría no existe",IF(E1888="","⚠ Falta cuenta",IF(ISNA(MATCH(E1888,ctaNom,0)),"⚠ Cuenta no existe",IF(AND(OR(I1888="Transferencia",I1888="Pago tarjeta"),G1888=""),"⚠ Indica la cuenta «Hacia»",IF(AND(G1888&lt;&gt;"",G1888=E1888),"⚠ «Hacia» igual a la cuenta",IF(AND(G1888&lt;&gt;"",ISNA(MATCH(G1888,ctaNom,0))),"⚠ «Hacia» no existe",IF(AND(I1888="Pago tarjeta",IFERROR(INDEX(ctaTipo,MATCH(G1888,ctaNom,0)),"")&lt;&gt;"Tarjeta de crédito"),"⚠ «Hacia» debe ser la tarjeta",IF(AND(I1888="Trading",IFERROR(INDEX(ctaTipo,MATCH(E1888,ctaNom,0)),"")&lt;&gt;"Cuenta de trading"),"⚠ Usa la cuenta de trading","✓"))))))))))))</f>
        <v/>
      </c>
      <c r="I1888" s="19">
        <f>IF(OR(B1888="",C1888="",D1888=""),"",IFERROR(INDEX(catTipo,MATCH(D1888,catNom,0))&amp;"",""))</f>
        <v/>
      </c>
      <c r="J1888" s="19">
        <f>IF(I1888="","",IFERROR(INDEX(catGrupo,MATCH(D1888,catNom,0))&amp;"",""))</f>
        <v/>
      </c>
      <c r="K1888" s="19">
        <f>IF(I1888="Gasto",IF(IFERROR(INDEX(catClas,MATCH(D1888,catNom,0))&amp;"","")="","Variable",IFERROR(INDEX(catClas,MATCH(D1888,catNom,0))&amp;"","")),"")</f>
        <v/>
      </c>
      <c r="L1888" s="19">
        <f>IF(I1888="","",IFERROR(INDEX(catAlim,MATCH(D1888,catNom,0))&amp;"",""))</f>
        <v/>
      </c>
      <c r="M1888" s="19">
        <f>IF(I1888="","",IFERROR(INDEX(catComida,MATCH(D1888,catNom,0))&amp;"",""))</f>
        <v/>
      </c>
      <c r="N1888" s="19">
        <f>IF(I1888="","",IFERROR(INDEX(ctaMon,MATCH(E1888,ctaNom,0))&amp;"","DOP"))</f>
        <v/>
      </c>
      <c r="O1888" s="20">
        <f>IF(I1888="","",C1888*IF(N1888="USD",TasaUSD,1))</f>
        <v/>
      </c>
      <c r="P1888" s="20">
        <f>IF(I1888="","",IF(I1888="Gasto",O1888,0))</f>
        <v/>
      </c>
      <c r="Q1888" s="20">
        <f>IF(I1888="","",IF(I1888="Ingreso",O1888,0))</f>
        <v/>
      </c>
      <c r="R1888" s="20">
        <f>IF(I1888="","",IF(I1888="Trading",O1888,0))</f>
        <v/>
      </c>
      <c r="S1888" s="19">
        <f>IF(I1888="","",IF(AND(I1888="Gasto",K1888="Variable",J1888&lt;&gt;"Trading",O1888&gt;0,O1888&lt;=Umbral),1,0))</f>
        <v/>
      </c>
      <c r="T1888" s="20">
        <f>IF(OR(I1888="",E1888=""),"",IF(OR(I1888="Gasto",I1888="Transferencia",I1888="Pago tarjeta"),-1,1)*C1888)</f>
        <v/>
      </c>
      <c r="U1888" s="20">
        <f>IF(OR(G1888="",AND(I1888&lt;&gt;"Transferencia",I1888&lt;&gt;"Pago tarjeta")),"",IF(IFERROR(INDEX(ctaMon,MATCH(G1888,ctaNom,0))&amp;"","DOP")=N1888,C1888,IF(N1888="USD",C1888*TasaUSD,C1888/TasaUSD)))</f>
        <v/>
      </c>
      <c r="V1888" s="20">
        <f>IF(I1888="","",IF(IFERROR(INDEX(ctaLiq,MATCH(E1888,ctaNom,0))="Sí",FALSE),IF(OR(I1888="Gasto",I1888="Transferencia",I1888="Pago tarjeta"),-1,1)*O1888,0)+IF(AND(U1888&lt;&gt;"",IFERROR(INDEX(ctaLiq,MATCH(G1888,ctaNom,0))="Sí",FALSE)),O1888,0))</f>
        <v/>
      </c>
      <c r="W1888" s="19">
        <f>IF(OR(F1888="",I1888=""),"",IF(COUNTIFS(F$6:F1888,F1888,I$6:I1888,"?*")=1,MAX(W$5:W1887)+1,""))</f>
        <v/>
      </c>
    </row>
    <row r="1889">
      <c r="B1889" s="15" t="n"/>
      <c r="C1889" s="16" t="n"/>
      <c r="D1889" s="17" t="n"/>
      <c r="E1889" s="17" t="n"/>
      <c r="F1889" s="17" t="n"/>
      <c r="G1889" s="17" t="n"/>
      <c r="H1889" s="18">
        <f>IF(AND(B1889="",C1889="",D1889="",E1889=""),"",IF(B1889="","⚠ Falta fecha",IF(C1889="","⚠ Falta monto",IF(D1889="","⚠ Falta categoría",IF(ISNA(MATCH(D1889,catNom,0)),"⚠ Categoría no existe",IF(E1889="","⚠ Falta cuenta",IF(ISNA(MATCH(E1889,ctaNom,0)),"⚠ Cuenta no existe",IF(AND(OR(I1889="Transferencia",I1889="Pago tarjeta"),G1889=""),"⚠ Indica la cuenta «Hacia»",IF(AND(G1889&lt;&gt;"",G1889=E1889),"⚠ «Hacia» igual a la cuenta",IF(AND(G1889&lt;&gt;"",ISNA(MATCH(G1889,ctaNom,0))),"⚠ «Hacia» no existe",IF(AND(I1889="Pago tarjeta",IFERROR(INDEX(ctaTipo,MATCH(G1889,ctaNom,0)),"")&lt;&gt;"Tarjeta de crédito"),"⚠ «Hacia» debe ser la tarjeta",IF(AND(I1889="Trading",IFERROR(INDEX(ctaTipo,MATCH(E1889,ctaNom,0)),"")&lt;&gt;"Cuenta de trading"),"⚠ Usa la cuenta de trading","✓"))))))))))))</f>
        <v/>
      </c>
      <c r="I1889" s="19">
        <f>IF(OR(B1889="",C1889="",D1889=""),"",IFERROR(INDEX(catTipo,MATCH(D1889,catNom,0))&amp;"",""))</f>
        <v/>
      </c>
      <c r="J1889" s="19">
        <f>IF(I1889="","",IFERROR(INDEX(catGrupo,MATCH(D1889,catNom,0))&amp;"",""))</f>
        <v/>
      </c>
      <c r="K1889" s="19">
        <f>IF(I1889="Gasto",IF(IFERROR(INDEX(catClas,MATCH(D1889,catNom,0))&amp;"","")="","Variable",IFERROR(INDEX(catClas,MATCH(D1889,catNom,0))&amp;"","")),"")</f>
        <v/>
      </c>
      <c r="L1889" s="19">
        <f>IF(I1889="","",IFERROR(INDEX(catAlim,MATCH(D1889,catNom,0))&amp;"",""))</f>
        <v/>
      </c>
      <c r="M1889" s="19">
        <f>IF(I1889="","",IFERROR(INDEX(catComida,MATCH(D1889,catNom,0))&amp;"",""))</f>
        <v/>
      </c>
      <c r="N1889" s="19">
        <f>IF(I1889="","",IFERROR(INDEX(ctaMon,MATCH(E1889,ctaNom,0))&amp;"","DOP"))</f>
        <v/>
      </c>
      <c r="O1889" s="20">
        <f>IF(I1889="","",C1889*IF(N1889="USD",TasaUSD,1))</f>
        <v/>
      </c>
      <c r="P1889" s="20">
        <f>IF(I1889="","",IF(I1889="Gasto",O1889,0))</f>
        <v/>
      </c>
      <c r="Q1889" s="20">
        <f>IF(I1889="","",IF(I1889="Ingreso",O1889,0))</f>
        <v/>
      </c>
      <c r="R1889" s="20">
        <f>IF(I1889="","",IF(I1889="Trading",O1889,0))</f>
        <v/>
      </c>
      <c r="S1889" s="19">
        <f>IF(I1889="","",IF(AND(I1889="Gasto",K1889="Variable",J1889&lt;&gt;"Trading",O1889&gt;0,O1889&lt;=Umbral),1,0))</f>
        <v/>
      </c>
      <c r="T1889" s="20">
        <f>IF(OR(I1889="",E1889=""),"",IF(OR(I1889="Gasto",I1889="Transferencia",I1889="Pago tarjeta"),-1,1)*C1889)</f>
        <v/>
      </c>
      <c r="U1889" s="20">
        <f>IF(OR(G1889="",AND(I1889&lt;&gt;"Transferencia",I1889&lt;&gt;"Pago tarjeta")),"",IF(IFERROR(INDEX(ctaMon,MATCH(G1889,ctaNom,0))&amp;"","DOP")=N1889,C1889,IF(N1889="USD",C1889*TasaUSD,C1889/TasaUSD)))</f>
        <v/>
      </c>
      <c r="V1889" s="20">
        <f>IF(I1889="","",IF(IFERROR(INDEX(ctaLiq,MATCH(E1889,ctaNom,0))="Sí",FALSE),IF(OR(I1889="Gasto",I1889="Transferencia",I1889="Pago tarjeta"),-1,1)*O1889,0)+IF(AND(U1889&lt;&gt;"",IFERROR(INDEX(ctaLiq,MATCH(G1889,ctaNom,0))="Sí",FALSE)),O1889,0))</f>
        <v/>
      </c>
      <c r="W1889" s="19">
        <f>IF(OR(F1889="",I1889=""),"",IF(COUNTIFS(F$6:F1889,F1889,I$6:I1889,"?*")=1,MAX(W$5:W1888)+1,""))</f>
        <v/>
      </c>
    </row>
    <row r="1890">
      <c r="B1890" s="15" t="n"/>
      <c r="C1890" s="16" t="n"/>
      <c r="D1890" s="17" t="n"/>
      <c r="E1890" s="17" t="n"/>
      <c r="F1890" s="17" t="n"/>
      <c r="G1890" s="17" t="n"/>
      <c r="H1890" s="18">
        <f>IF(AND(B1890="",C1890="",D1890="",E1890=""),"",IF(B1890="","⚠ Falta fecha",IF(C1890="","⚠ Falta monto",IF(D1890="","⚠ Falta categoría",IF(ISNA(MATCH(D1890,catNom,0)),"⚠ Categoría no existe",IF(E1890="","⚠ Falta cuenta",IF(ISNA(MATCH(E1890,ctaNom,0)),"⚠ Cuenta no existe",IF(AND(OR(I1890="Transferencia",I1890="Pago tarjeta"),G1890=""),"⚠ Indica la cuenta «Hacia»",IF(AND(G1890&lt;&gt;"",G1890=E1890),"⚠ «Hacia» igual a la cuenta",IF(AND(G1890&lt;&gt;"",ISNA(MATCH(G1890,ctaNom,0))),"⚠ «Hacia» no existe",IF(AND(I1890="Pago tarjeta",IFERROR(INDEX(ctaTipo,MATCH(G1890,ctaNom,0)),"")&lt;&gt;"Tarjeta de crédito"),"⚠ «Hacia» debe ser la tarjeta",IF(AND(I1890="Trading",IFERROR(INDEX(ctaTipo,MATCH(E1890,ctaNom,0)),"")&lt;&gt;"Cuenta de trading"),"⚠ Usa la cuenta de trading","✓"))))))))))))</f>
        <v/>
      </c>
      <c r="I1890" s="19">
        <f>IF(OR(B1890="",C1890="",D1890=""),"",IFERROR(INDEX(catTipo,MATCH(D1890,catNom,0))&amp;"",""))</f>
        <v/>
      </c>
      <c r="J1890" s="19">
        <f>IF(I1890="","",IFERROR(INDEX(catGrupo,MATCH(D1890,catNom,0))&amp;"",""))</f>
        <v/>
      </c>
      <c r="K1890" s="19">
        <f>IF(I1890="Gasto",IF(IFERROR(INDEX(catClas,MATCH(D1890,catNom,0))&amp;"","")="","Variable",IFERROR(INDEX(catClas,MATCH(D1890,catNom,0))&amp;"","")),"")</f>
        <v/>
      </c>
      <c r="L1890" s="19">
        <f>IF(I1890="","",IFERROR(INDEX(catAlim,MATCH(D1890,catNom,0))&amp;"",""))</f>
        <v/>
      </c>
      <c r="M1890" s="19">
        <f>IF(I1890="","",IFERROR(INDEX(catComida,MATCH(D1890,catNom,0))&amp;"",""))</f>
        <v/>
      </c>
      <c r="N1890" s="19">
        <f>IF(I1890="","",IFERROR(INDEX(ctaMon,MATCH(E1890,ctaNom,0))&amp;"","DOP"))</f>
        <v/>
      </c>
      <c r="O1890" s="20">
        <f>IF(I1890="","",C1890*IF(N1890="USD",TasaUSD,1))</f>
        <v/>
      </c>
      <c r="P1890" s="20">
        <f>IF(I1890="","",IF(I1890="Gasto",O1890,0))</f>
        <v/>
      </c>
      <c r="Q1890" s="20">
        <f>IF(I1890="","",IF(I1890="Ingreso",O1890,0))</f>
        <v/>
      </c>
      <c r="R1890" s="20">
        <f>IF(I1890="","",IF(I1890="Trading",O1890,0))</f>
        <v/>
      </c>
      <c r="S1890" s="19">
        <f>IF(I1890="","",IF(AND(I1890="Gasto",K1890="Variable",J1890&lt;&gt;"Trading",O1890&gt;0,O1890&lt;=Umbral),1,0))</f>
        <v/>
      </c>
      <c r="T1890" s="20">
        <f>IF(OR(I1890="",E1890=""),"",IF(OR(I1890="Gasto",I1890="Transferencia",I1890="Pago tarjeta"),-1,1)*C1890)</f>
        <v/>
      </c>
      <c r="U1890" s="20">
        <f>IF(OR(G1890="",AND(I1890&lt;&gt;"Transferencia",I1890&lt;&gt;"Pago tarjeta")),"",IF(IFERROR(INDEX(ctaMon,MATCH(G1890,ctaNom,0))&amp;"","DOP")=N1890,C1890,IF(N1890="USD",C1890*TasaUSD,C1890/TasaUSD)))</f>
        <v/>
      </c>
      <c r="V1890" s="20">
        <f>IF(I1890="","",IF(IFERROR(INDEX(ctaLiq,MATCH(E1890,ctaNom,0))="Sí",FALSE),IF(OR(I1890="Gasto",I1890="Transferencia",I1890="Pago tarjeta"),-1,1)*O1890,0)+IF(AND(U1890&lt;&gt;"",IFERROR(INDEX(ctaLiq,MATCH(G1890,ctaNom,0))="Sí",FALSE)),O1890,0))</f>
        <v/>
      </c>
      <c r="W1890" s="19">
        <f>IF(OR(F1890="",I1890=""),"",IF(COUNTIFS(F$6:F1890,F1890,I$6:I1890,"?*")=1,MAX(W$5:W1889)+1,""))</f>
        <v/>
      </c>
    </row>
    <row r="1891">
      <c r="B1891" s="15" t="n"/>
      <c r="C1891" s="16" t="n"/>
      <c r="D1891" s="17" t="n"/>
      <c r="E1891" s="17" t="n"/>
      <c r="F1891" s="17" t="n"/>
      <c r="G1891" s="17" t="n"/>
      <c r="H1891" s="18">
        <f>IF(AND(B1891="",C1891="",D1891="",E1891=""),"",IF(B1891="","⚠ Falta fecha",IF(C1891="","⚠ Falta monto",IF(D1891="","⚠ Falta categoría",IF(ISNA(MATCH(D1891,catNom,0)),"⚠ Categoría no existe",IF(E1891="","⚠ Falta cuenta",IF(ISNA(MATCH(E1891,ctaNom,0)),"⚠ Cuenta no existe",IF(AND(OR(I1891="Transferencia",I1891="Pago tarjeta"),G1891=""),"⚠ Indica la cuenta «Hacia»",IF(AND(G1891&lt;&gt;"",G1891=E1891),"⚠ «Hacia» igual a la cuenta",IF(AND(G1891&lt;&gt;"",ISNA(MATCH(G1891,ctaNom,0))),"⚠ «Hacia» no existe",IF(AND(I1891="Pago tarjeta",IFERROR(INDEX(ctaTipo,MATCH(G1891,ctaNom,0)),"")&lt;&gt;"Tarjeta de crédito"),"⚠ «Hacia» debe ser la tarjeta",IF(AND(I1891="Trading",IFERROR(INDEX(ctaTipo,MATCH(E1891,ctaNom,0)),"")&lt;&gt;"Cuenta de trading"),"⚠ Usa la cuenta de trading","✓"))))))))))))</f>
        <v/>
      </c>
      <c r="I1891" s="19">
        <f>IF(OR(B1891="",C1891="",D1891=""),"",IFERROR(INDEX(catTipo,MATCH(D1891,catNom,0))&amp;"",""))</f>
        <v/>
      </c>
      <c r="J1891" s="19">
        <f>IF(I1891="","",IFERROR(INDEX(catGrupo,MATCH(D1891,catNom,0))&amp;"",""))</f>
        <v/>
      </c>
      <c r="K1891" s="19">
        <f>IF(I1891="Gasto",IF(IFERROR(INDEX(catClas,MATCH(D1891,catNom,0))&amp;"","")="","Variable",IFERROR(INDEX(catClas,MATCH(D1891,catNom,0))&amp;"","")),"")</f>
        <v/>
      </c>
      <c r="L1891" s="19">
        <f>IF(I1891="","",IFERROR(INDEX(catAlim,MATCH(D1891,catNom,0))&amp;"",""))</f>
        <v/>
      </c>
      <c r="M1891" s="19">
        <f>IF(I1891="","",IFERROR(INDEX(catComida,MATCH(D1891,catNom,0))&amp;"",""))</f>
        <v/>
      </c>
      <c r="N1891" s="19">
        <f>IF(I1891="","",IFERROR(INDEX(ctaMon,MATCH(E1891,ctaNom,0))&amp;"","DOP"))</f>
        <v/>
      </c>
      <c r="O1891" s="20">
        <f>IF(I1891="","",C1891*IF(N1891="USD",TasaUSD,1))</f>
        <v/>
      </c>
      <c r="P1891" s="20">
        <f>IF(I1891="","",IF(I1891="Gasto",O1891,0))</f>
        <v/>
      </c>
      <c r="Q1891" s="20">
        <f>IF(I1891="","",IF(I1891="Ingreso",O1891,0))</f>
        <v/>
      </c>
      <c r="R1891" s="20">
        <f>IF(I1891="","",IF(I1891="Trading",O1891,0))</f>
        <v/>
      </c>
      <c r="S1891" s="19">
        <f>IF(I1891="","",IF(AND(I1891="Gasto",K1891="Variable",J1891&lt;&gt;"Trading",O1891&gt;0,O1891&lt;=Umbral),1,0))</f>
        <v/>
      </c>
      <c r="T1891" s="20">
        <f>IF(OR(I1891="",E1891=""),"",IF(OR(I1891="Gasto",I1891="Transferencia",I1891="Pago tarjeta"),-1,1)*C1891)</f>
        <v/>
      </c>
      <c r="U1891" s="20">
        <f>IF(OR(G1891="",AND(I1891&lt;&gt;"Transferencia",I1891&lt;&gt;"Pago tarjeta")),"",IF(IFERROR(INDEX(ctaMon,MATCH(G1891,ctaNom,0))&amp;"","DOP")=N1891,C1891,IF(N1891="USD",C1891*TasaUSD,C1891/TasaUSD)))</f>
        <v/>
      </c>
      <c r="V1891" s="20">
        <f>IF(I1891="","",IF(IFERROR(INDEX(ctaLiq,MATCH(E1891,ctaNom,0))="Sí",FALSE),IF(OR(I1891="Gasto",I1891="Transferencia",I1891="Pago tarjeta"),-1,1)*O1891,0)+IF(AND(U1891&lt;&gt;"",IFERROR(INDEX(ctaLiq,MATCH(G1891,ctaNom,0))="Sí",FALSE)),O1891,0))</f>
        <v/>
      </c>
      <c r="W1891" s="19">
        <f>IF(OR(F1891="",I1891=""),"",IF(COUNTIFS(F$6:F1891,F1891,I$6:I1891,"?*")=1,MAX(W$5:W1890)+1,""))</f>
        <v/>
      </c>
    </row>
    <row r="1892">
      <c r="B1892" s="15" t="n"/>
      <c r="C1892" s="16" t="n"/>
      <c r="D1892" s="17" t="n"/>
      <c r="E1892" s="17" t="n"/>
      <c r="F1892" s="17" t="n"/>
      <c r="G1892" s="17" t="n"/>
      <c r="H1892" s="18">
        <f>IF(AND(B1892="",C1892="",D1892="",E1892=""),"",IF(B1892="","⚠ Falta fecha",IF(C1892="","⚠ Falta monto",IF(D1892="","⚠ Falta categoría",IF(ISNA(MATCH(D1892,catNom,0)),"⚠ Categoría no existe",IF(E1892="","⚠ Falta cuenta",IF(ISNA(MATCH(E1892,ctaNom,0)),"⚠ Cuenta no existe",IF(AND(OR(I1892="Transferencia",I1892="Pago tarjeta"),G1892=""),"⚠ Indica la cuenta «Hacia»",IF(AND(G1892&lt;&gt;"",G1892=E1892),"⚠ «Hacia» igual a la cuenta",IF(AND(G1892&lt;&gt;"",ISNA(MATCH(G1892,ctaNom,0))),"⚠ «Hacia» no existe",IF(AND(I1892="Pago tarjeta",IFERROR(INDEX(ctaTipo,MATCH(G1892,ctaNom,0)),"")&lt;&gt;"Tarjeta de crédito"),"⚠ «Hacia» debe ser la tarjeta",IF(AND(I1892="Trading",IFERROR(INDEX(ctaTipo,MATCH(E1892,ctaNom,0)),"")&lt;&gt;"Cuenta de trading"),"⚠ Usa la cuenta de trading","✓"))))))))))))</f>
        <v/>
      </c>
      <c r="I1892" s="19">
        <f>IF(OR(B1892="",C1892="",D1892=""),"",IFERROR(INDEX(catTipo,MATCH(D1892,catNom,0))&amp;"",""))</f>
        <v/>
      </c>
      <c r="J1892" s="19">
        <f>IF(I1892="","",IFERROR(INDEX(catGrupo,MATCH(D1892,catNom,0))&amp;"",""))</f>
        <v/>
      </c>
      <c r="K1892" s="19">
        <f>IF(I1892="Gasto",IF(IFERROR(INDEX(catClas,MATCH(D1892,catNom,0))&amp;"","")="","Variable",IFERROR(INDEX(catClas,MATCH(D1892,catNom,0))&amp;"","")),"")</f>
        <v/>
      </c>
      <c r="L1892" s="19">
        <f>IF(I1892="","",IFERROR(INDEX(catAlim,MATCH(D1892,catNom,0))&amp;"",""))</f>
        <v/>
      </c>
      <c r="M1892" s="19">
        <f>IF(I1892="","",IFERROR(INDEX(catComida,MATCH(D1892,catNom,0))&amp;"",""))</f>
        <v/>
      </c>
      <c r="N1892" s="19">
        <f>IF(I1892="","",IFERROR(INDEX(ctaMon,MATCH(E1892,ctaNom,0))&amp;"","DOP"))</f>
        <v/>
      </c>
      <c r="O1892" s="20">
        <f>IF(I1892="","",C1892*IF(N1892="USD",TasaUSD,1))</f>
        <v/>
      </c>
      <c r="P1892" s="20">
        <f>IF(I1892="","",IF(I1892="Gasto",O1892,0))</f>
        <v/>
      </c>
      <c r="Q1892" s="20">
        <f>IF(I1892="","",IF(I1892="Ingreso",O1892,0))</f>
        <v/>
      </c>
      <c r="R1892" s="20">
        <f>IF(I1892="","",IF(I1892="Trading",O1892,0))</f>
        <v/>
      </c>
      <c r="S1892" s="19">
        <f>IF(I1892="","",IF(AND(I1892="Gasto",K1892="Variable",J1892&lt;&gt;"Trading",O1892&gt;0,O1892&lt;=Umbral),1,0))</f>
        <v/>
      </c>
      <c r="T1892" s="20">
        <f>IF(OR(I1892="",E1892=""),"",IF(OR(I1892="Gasto",I1892="Transferencia",I1892="Pago tarjeta"),-1,1)*C1892)</f>
        <v/>
      </c>
      <c r="U1892" s="20">
        <f>IF(OR(G1892="",AND(I1892&lt;&gt;"Transferencia",I1892&lt;&gt;"Pago tarjeta")),"",IF(IFERROR(INDEX(ctaMon,MATCH(G1892,ctaNom,0))&amp;"","DOP")=N1892,C1892,IF(N1892="USD",C1892*TasaUSD,C1892/TasaUSD)))</f>
        <v/>
      </c>
      <c r="V1892" s="20">
        <f>IF(I1892="","",IF(IFERROR(INDEX(ctaLiq,MATCH(E1892,ctaNom,0))="Sí",FALSE),IF(OR(I1892="Gasto",I1892="Transferencia",I1892="Pago tarjeta"),-1,1)*O1892,0)+IF(AND(U1892&lt;&gt;"",IFERROR(INDEX(ctaLiq,MATCH(G1892,ctaNom,0))="Sí",FALSE)),O1892,0))</f>
        <v/>
      </c>
      <c r="W1892" s="19">
        <f>IF(OR(F1892="",I1892=""),"",IF(COUNTIFS(F$6:F1892,F1892,I$6:I1892,"?*")=1,MAX(W$5:W1891)+1,""))</f>
        <v/>
      </c>
    </row>
    <row r="1893">
      <c r="B1893" s="15" t="n"/>
      <c r="C1893" s="16" t="n"/>
      <c r="D1893" s="17" t="n"/>
      <c r="E1893" s="17" t="n"/>
      <c r="F1893" s="17" t="n"/>
      <c r="G1893" s="17" t="n"/>
      <c r="H1893" s="18">
        <f>IF(AND(B1893="",C1893="",D1893="",E1893=""),"",IF(B1893="","⚠ Falta fecha",IF(C1893="","⚠ Falta monto",IF(D1893="","⚠ Falta categoría",IF(ISNA(MATCH(D1893,catNom,0)),"⚠ Categoría no existe",IF(E1893="","⚠ Falta cuenta",IF(ISNA(MATCH(E1893,ctaNom,0)),"⚠ Cuenta no existe",IF(AND(OR(I1893="Transferencia",I1893="Pago tarjeta"),G1893=""),"⚠ Indica la cuenta «Hacia»",IF(AND(G1893&lt;&gt;"",G1893=E1893),"⚠ «Hacia» igual a la cuenta",IF(AND(G1893&lt;&gt;"",ISNA(MATCH(G1893,ctaNom,0))),"⚠ «Hacia» no existe",IF(AND(I1893="Pago tarjeta",IFERROR(INDEX(ctaTipo,MATCH(G1893,ctaNom,0)),"")&lt;&gt;"Tarjeta de crédito"),"⚠ «Hacia» debe ser la tarjeta",IF(AND(I1893="Trading",IFERROR(INDEX(ctaTipo,MATCH(E1893,ctaNom,0)),"")&lt;&gt;"Cuenta de trading"),"⚠ Usa la cuenta de trading","✓"))))))))))))</f>
        <v/>
      </c>
      <c r="I1893" s="19">
        <f>IF(OR(B1893="",C1893="",D1893=""),"",IFERROR(INDEX(catTipo,MATCH(D1893,catNom,0))&amp;"",""))</f>
        <v/>
      </c>
      <c r="J1893" s="19">
        <f>IF(I1893="","",IFERROR(INDEX(catGrupo,MATCH(D1893,catNom,0))&amp;"",""))</f>
        <v/>
      </c>
      <c r="K1893" s="19">
        <f>IF(I1893="Gasto",IF(IFERROR(INDEX(catClas,MATCH(D1893,catNom,0))&amp;"","")="","Variable",IFERROR(INDEX(catClas,MATCH(D1893,catNom,0))&amp;"","")),"")</f>
        <v/>
      </c>
      <c r="L1893" s="19">
        <f>IF(I1893="","",IFERROR(INDEX(catAlim,MATCH(D1893,catNom,0))&amp;"",""))</f>
        <v/>
      </c>
      <c r="M1893" s="19">
        <f>IF(I1893="","",IFERROR(INDEX(catComida,MATCH(D1893,catNom,0))&amp;"",""))</f>
        <v/>
      </c>
      <c r="N1893" s="19">
        <f>IF(I1893="","",IFERROR(INDEX(ctaMon,MATCH(E1893,ctaNom,0))&amp;"","DOP"))</f>
        <v/>
      </c>
      <c r="O1893" s="20">
        <f>IF(I1893="","",C1893*IF(N1893="USD",TasaUSD,1))</f>
        <v/>
      </c>
      <c r="P1893" s="20">
        <f>IF(I1893="","",IF(I1893="Gasto",O1893,0))</f>
        <v/>
      </c>
      <c r="Q1893" s="20">
        <f>IF(I1893="","",IF(I1893="Ingreso",O1893,0))</f>
        <v/>
      </c>
      <c r="R1893" s="20">
        <f>IF(I1893="","",IF(I1893="Trading",O1893,0))</f>
        <v/>
      </c>
      <c r="S1893" s="19">
        <f>IF(I1893="","",IF(AND(I1893="Gasto",K1893="Variable",J1893&lt;&gt;"Trading",O1893&gt;0,O1893&lt;=Umbral),1,0))</f>
        <v/>
      </c>
      <c r="T1893" s="20">
        <f>IF(OR(I1893="",E1893=""),"",IF(OR(I1893="Gasto",I1893="Transferencia",I1893="Pago tarjeta"),-1,1)*C1893)</f>
        <v/>
      </c>
      <c r="U1893" s="20">
        <f>IF(OR(G1893="",AND(I1893&lt;&gt;"Transferencia",I1893&lt;&gt;"Pago tarjeta")),"",IF(IFERROR(INDEX(ctaMon,MATCH(G1893,ctaNom,0))&amp;"","DOP")=N1893,C1893,IF(N1893="USD",C1893*TasaUSD,C1893/TasaUSD)))</f>
        <v/>
      </c>
      <c r="V1893" s="20">
        <f>IF(I1893="","",IF(IFERROR(INDEX(ctaLiq,MATCH(E1893,ctaNom,0))="Sí",FALSE),IF(OR(I1893="Gasto",I1893="Transferencia",I1893="Pago tarjeta"),-1,1)*O1893,0)+IF(AND(U1893&lt;&gt;"",IFERROR(INDEX(ctaLiq,MATCH(G1893,ctaNom,0))="Sí",FALSE)),O1893,0))</f>
        <v/>
      </c>
      <c r="W1893" s="19">
        <f>IF(OR(F1893="",I1893=""),"",IF(COUNTIFS(F$6:F1893,F1893,I$6:I1893,"?*")=1,MAX(W$5:W1892)+1,""))</f>
        <v/>
      </c>
    </row>
    <row r="1894">
      <c r="B1894" s="15" t="n"/>
      <c r="C1894" s="16" t="n"/>
      <c r="D1894" s="17" t="n"/>
      <c r="E1894" s="17" t="n"/>
      <c r="F1894" s="17" t="n"/>
      <c r="G1894" s="17" t="n"/>
      <c r="H1894" s="18">
        <f>IF(AND(B1894="",C1894="",D1894="",E1894=""),"",IF(B1894="","⚠ Falta fecha",IF(C1894="","⚠ Falta monto",IF(D1894="","⚠ Falta categoría",IF(ISNA(MATCH(D1894,catNom,0)),"⚠ Categoría no existe",IF(E1894="","⚠ Falta cuenta",IF(ISNA(MATCH(E1894,ctaNom,0)),"⚠ Cuenta no existe",IF(AND(OR(I1894="Transferencia",I1894="Pago tarjeta"),G1894=""),"⚠ Indica la cuenta «Hacia»",IF(AND(G1894&lt;&gt;"",G1894=E1894),"⚠ «Hacia» igual a la cuenta",IF(AND(G1894&lt;&gt;"",ISNA(MATCH(G1894,ctaNom,0))),"⚠ «Hacia» no existe",IF(AND(I1894="Pago tarjeta",IFERROR(INDEX(ctaTipo,MATCH(G1894,ctaNom,0)),"")&lt;&gt;"Tarjeta de crédito"),"⚠ «Hacia» debe ser la tarjeta",IF(AND(I1894="Trading",IFERROR(INDEX(ctaTipo,MATCH(E1894,ctaNom,0)),"")&lt;&gt;"Cuenta de trading"),"⚠ Usa la cuenta de trading","✓"))))))))))))</f>
        <v/>
      </c>
      <c r="I1894" s="19">
        <f>IF(OR(B1894="",C1894="",D1894=""),"",IFERROR(INDEX(catTipo,MATCH(D1894,catNom,0))&amp;"",""))</f>
        <v/>
      </c>
      <c r="J1894" s="19">
        <f>IF(I1894="","",IFERROR(INDEX(catGrupo,MATCH(D1894,catNom,0))&amp;"",""))</f>
        <v/>
      </c>
      <c r="K1894" s="19">
        <f>IF(I1894="Gasto",IF(IFERROR(INDEX(catClas,MATCH(D1894,catNom,0))&amp;"","")="","Variable",IFERROR(INDEX(catClas,MATCH(D1894,catNom,0))&amp;"","")),"")</f>
        <v/>
      </c>
      <c r="L1894" s="19">
        <f>IF(I1894="","",IFERROR(INDEX(catAlim,MATCH(D1894,catNom,0))&amp;"",""))</f>
        <v/>
      </c>
      <c r="M1894" s="19">
        <f>IF(I1894="","",IFERROR(INDEX(catComida,MATCH(D1894,catNom,0))&amp;"",""))</f>
        <v/>
      </c>
      <c r="N1894" s="19">
        <f>IF(I1894="","",IFERROR(INDEX(ctaMon,MATCH(E1894,ctaNom,0))&amp;"","DOP"))</f>
        <v/>
      </c>
      <c r="O1894" s="20">
        <f>IF(I1894="","",C1894*IF(N1894="USD",TasaUSD,1))</f>
        <v/>
      </c>
      <c r="P1894" s="20">
        <f>IF(I1894="","",IF(I1894="Gasto",O1894,0))</f>
        <v/>
      </c>
      <c r="Q1894" s="20">
        <f>IF(I1894="","",IF(I1894="Ingreso",O1894,0))</f>
        <v/>
      </c>
      <c r="R1894" s="20">
        <f>IF(I1894="","",IF(I1894="Trading",O1894,0))</f>
        <v/>
      </c>
      <c r="S1894" s="19">
        <f>IF(I1894="","",IF(AND(I1894="Gasto",K1894="Variable",J1894&lt;&gt;"Trading",O1894&gt;0,O1894&lt;=Umbral),1,0))</f>
        <v/>
      </c>
      <c r="T1894" s="20">
        <f>IF(OR(I1894="",E1894=""),"",IF(OR(I1894="Gasto",I1894="Transferencia",I1894="Pago tarjeta"),-1,1)*C1894)</f>
        <v/>
      </c>
      <c r="U1894" s="20">
        <f>IF(OR(G1894="",AND(I1894&lt;&gt;"Transferencia",I1894&lt;&gt;"Pago tarjeta")),"",IF(IFERROR(INDEX(ctaMon,MATCH(G1894,ctaNom,0))&amp;"","DOP")=N1894,C1894,IF(N1894="USD",C1894*TasaUSD,C1894/TasaUSD)))</f>
        <v/>
      </c>
      <c r="V1894" s="20">
        <f>IF(I1894="","",IF(IFERROR(INDEX(ctaLiq,MATCH(E1894,ctaNom,0))="Sí",FALSE),IF(OR(I1894="Gasto",I1894="Transferencia",I1894="Pago tarjeta"),-1,1)*O1894,0)+IF(AND(U1894&lt;&gt;"",IFERROR(INDEX(ctaLiq,MATCH(G1894,ctaNom,0))="Sí",FALSE)),O1894,0))</f>
        <v/>
      </c>
      <c r="W1894" s="19">
        <f>IF(OR(F1894="",I1894=""),"",IF(COUNTIFS(F$6:F1894,F1894,I$6:I1894,"?*")=1,MAX(W$5:W1893)+1,""))</f>
        <v/>
      </c>
    </row>
    <row r="1895">
      <c r="B1895" s="15" t="n"/>
      <c r="C1895" s="16" t="n"/>
      <c r="D1895" s="17" t="n"/>
      <c r="E1895" s="17" t="n"/>
      <c r="F1895" s="17" t="n"/>
      <c r="G1895" s="17" t="n"/>
      <c r="H1895" s="18">
        <f>IF(AND(B1895="",C1895="",D1895="",E1895=""),"",IF(B1895="","⚠ Falta fecha",IF(C1895="","⚠ Falta monto",IF(D1895="","⚠ Falta categoría",IF(ISNA(MATCH(D1895,catNom,0)),"⚠ Categoría no existe",IF(E1895="","⚠ Falta cuenta",IF(ISNA(MATCH(E1895,ctaNom,0)),"⚠ Cuenta no existe",IF(AND(OR(I1895="Transferencia",I1895="Pago tarjeta"),G1895=""),"⚠ Indica la cuenta «Hacia»",IF(AND(G1895&lt;&gt;"",G1895=E1895),"⚠ «Hacia» igual a la cuenta",IF(AND(G1895&lt;&gt;"",ISNA(MATCH(G1895,ctaNom,0))),"⚠ «Hacia» no existe",IF(AND(I1895="Pago tarjeta",IFERROR(INDEX(ctaTipo,MATCH(G1895,ctaNom,0)),"")&lt;&gt;"Tarjeta de crédito"),"⚠ «Hacia» debe ser la tarjeta",IF(AND(I1895="Trading",IFERROR(INDEX(ctaTipo,MATCH(E1895,ctaNom,0)),"")&lt;&gt;"Cuenta de trading"),"⚠ Usa la cuenta de trading","✓"))))))))))))</f>
        <v/>
      </c>
      <c r="I1895" s="19">
        <f>IF(OR(B1895="",C1895="",D1895=""),"",IFERROR(INDEX(catTipo,MATCH(D1895,catNom,0))&amp;"",""))</f>
        <v/>
      </c>
      <c r="J1895" s="19">
        <f>IF(I1895="","",IFERROR(INDEX(catGrupo,MATCH(D1895,catNom,0))&amp;"",""))</f>
        <v/>
      </c>
      <c r="K1895" s="19">
        <f>IF(I1895="Gasto",IF(IFERROR(INDEX(catClas,MATCH(D1895,catNom,0))&amp;"","")="","Variable",IFERROR(INDEX(catClas,MATCH(D1895,catNom,0))&amp;"","")),"")</f>
        <v/>
      </c>
      <c r="L1895" s="19">
        <f>IF(I1895="","",IFERROR(INDEX(catAlim,MATCH(D1895,catNom,0))&amp;"",""))</f>
        <v/>
      </c>
      <c r="M1895" s="19">
        <f>IF(I1895="","",IFERROR(INDEX(catComida,MATCH(D1895,catNom,0))&amp;"",""))</f>
        <v/>
      </c>
      <c r="N1895" s="19">
        <f>IF(I1895="","",IFERROR(INDEX(ctaMon,MATCH(E1895,ctaNom,0))&amp;"","DOP"))</f>
        <v/>
      </c>
      <c r="O1895" s="20">
        <f>IF(I1895="","",C1895*IF(N1895="USD",TasaUSD,1))</f>
        <v/>
      </c>
      <c r="P1895" s="20">
        <f>IF(I1895="","",IF(I1895="Gasto",O1895,0))</f>
        <v/>
      </c>
      <c r="Q1895" s="20">
        <f>IF(I1895="","",IF(I1895="Ingreso",O1895,0))</f>
        <v/>
      </c>
      <c r="R1895" s="20">
        <f>IF(I1895="","",IF(I1895="Trading",O1895,0))</f>
        <v/>
      </c>
      <c r="S1895" s="19">
        <f>IF(I1895="","",IF(AND(I1895="Gasto",K1895="Variable",J1895&lt;&gt;"Trading",O1895&gt;0,O1895&lt;=Umbral),1,0))</f>
        <v/>
      </c>
      <c r="T1895" s="20">
        <f>IF(OR(I1895="",E1895=""),"",IF(OR(I1895="Gasto",I1895="Transferencia",I1895="Pago tarjeta"),-1,1)*C1895)</f>
        <v/>
      </c>
      <c r="U1895" s="20">
        <f>IF(OR(G1895="",AND(I1895&lt;&gt;"Transferencia",I1895&lt;&gt;"Pago tarjeta")),"",IF(IFERROR(INDEX(ctaMon,MATCH(G1895,ctaNom,0))&amp;"","DOP")=N1895,C1895,IF(N1895="USD",C1895*TasaUSD,C1895/TasaUSD)))</f>
        <v/>
      </c>
      <c r="V1895" s="20">
        <f>IF(I1895="","",IF(IFERROR(INDEX(ctaLiq,MATCH(E1895,ctaNom,0))="Sí",FALSE),IF(OR(I1895="Gasto",I1895="Transferencia",I1895="Pago tarjeta"),-1,1)*O1895,0)+IF(AND(U1895&lt;&gt;"",IFERROR(INDEX(ctaLiq,MATCH(G1895,ctaNom,0))="Sí",FALSE)),O1895,0))</f>
        <v/>
      </c>
      <c r="W1895" s="19">
        <f>IF(OR(F1895="",I1895=""),"",IF(COUNTIFS(F$6:F1895,F1895,I$6:I1895,"?*")=1,MAX(W$5:W1894)+1,""))</f>
        <v/>
      </c>
    </row>
    <row r="1896">
      <c r="B1896" s="15" t="n"/>
      <c r="C1896" s="16" t="n"/>
      <c r="D1896" s="17" t="n"/>
      <c r="E1896" s="17" t="n"/>
      <c r="F1896" s="17" t="n"/>
      <c r="G1896" s="17" t="n"/>
      <c r="H1896" s="18">
        <f>IF(AND(B1896="",C1896="",D1896="",E1896=""),"",IF(B1896="","⚠ Falta fecha",IF(C1896="","⚠ Falta monto",IF(D1896="","⚠ Falta categoría",IF(ISNA(MATCH(D1896,catNom,0)),"⚠ Categoría no existe",IF(E1896="","⚠ Falta cuenta",IF(ISNA(MATCH(E1896,ctaNom,0)),"⚠ Cuenta no existe",IF(AND(OR(I1896="Transferencia",I1896="Pago tarjeta"),G1896=""),"⚠ Indica la cuenta «Hacia»",IF(AND(G1896&lt;&gt;"",G1896=E1896),"⚠ «Hacia» igual a la cuenta",IF(AND(G1896&lt;&gt;"",ISNA(MATCH(G1896,ctaNom,0))),"⚠ «Hacia» no existe",IF(AND(I1896="Pago tarjeta",IFERROR(INDEX(ctaTipo,MATCH(G1896,ctaNom,0)),"")&lt;&gt;"Tarjeta de crédito"),"⚠ «Hacia» debe ser la tarjeta",IF(AND(I1896="Trading",IFERROR(INDEX(ctaTipo,MATCH(E1896,ctaNom,0)),"")&lt;&gt;"Cuenta de trading"),"⚠ Usa la cuenta de trading","✓"))))))))))))</f>
        <v/>
      </c>
      <c r="I1896" s="19">
        <f>IF(OR(B1896="",C1896="",D1896=""),"",IFERROR(INDEX(catTipo,MATCH(D1896,catNom,0))&amp;"",""))</f>
        <v/>
      </c>
      <c r="J1896" s="19">
        <f>IF(I1896="","",IFERROR(INDEX(catGrupo,MATCH(D1896,catNom,0))&amp;"",""))</f>
        <v/>
      </c>
      <c r="K1896" s="19">
        <f>IF(I1896="Gasto",IF(IFERROR(INDEX(catClas,MATCH(D1896,catNom,0))&amp;"","")="","Variable",IFERROR(INDEX(catClas,MATCH(D1896,catNom,0))&amp;"","")),"")</f>
        <v/>
      </c>
      <c r="L1896" s="19">
        <f>IF(I1896="","",IFERROR(INDEX(catAlim,MATCH(D1896,catNom,0))&amp;"",""))</f>
        <v/>
      </c>
      <c r="M1896" s="19">
        <f>IF(I1896="","",IFERROR(INDEX(catComida,MATCH(D1896,catNom,0))&amp;"",""))</f>
        <v/>
      </c>
      <c r="N1896" s="19">
        <f>IF(I1896="","",IFERROR(INDEX(ctaMon,MATCH(E1896,ctaNom,0))&amp;"","DOP"))</f>
        <v/>
      </c>
      <c r="O1896" s="20">
        <f>IF(I1896="","",C1896*IF(N1896="USD",TasaUSD,1))</f>
        <v/>
      </c>
      <c r="P1896" s="20">
        <f>IF(I1896="","",IF(I1896="Gasto",O1896,0))</f>
        <v/>
      </c>
      <c r="Q1896" s="20">
        <f>IF(I1896="","",IF(I1896="Ingreso",O1896,0))</f>
        <v/>
      </c>
      <c r="R1896" s="20">
        <f>IF(I1896="","",IF(I1896="Trading",O1896,0))</f>
        <v/>
      </c>
      <c r="S1896" s="19">
        <f>IF(I1896="","",IF(AND(I1896="Gasto",K1896="Variable",J1896&lt;&gt;"Trading",O1896&gt;0,O1896&lt;=Umbral),1,0))</f>
        <v/>
      </c>
      <c r="T1896" s="20">
        <f>IF(OR(I1896="",E1896=""),"",IF(OR(I1896="Gasto",I1896="Transferencia",I1896="Pago tarjeta"),-1,1)*C1896)</f>
        <v/>
      </c>
      <c r="U1896" s="20">
        <f>IF(OR(G1896="",AND(I1896&lt;&gt;"Transferencia",I1896&lt;&gt;"Pago tarjeta")),"",IF(IFERROR(INDEX(ctaMon,MATCH(G1896,ctaNom,0))&amp;"","DOP")=N1896,C1896,IF(N1896="USD",C1896*TasaUSD,C1896/TasaUSD)))</f>
        <v/>
      </c>
      <c r="V1896" s="20">
        <f>IF(I1896="","",IF(IFERROR(INDEX(ctaLiq,MATCH(E1896,ctaNom,0))="Sí",FALSE),IF(OR(I1896="Gasto",I1896="Transferencia",I1896="Pago tarjeta"),-1,1)*O1896,0)+IF(AND(U1896&lt;&gt;"",IFERROR(INDEX(ctaLiq,MATCH(G1896,ctaNom,0))="Sí",FALSE)),O1896,0))</f>
        <v/>
      </c>
      <c r="W1896" s="19">
        <f>IF(OR(F1896="",I1896=""),"",IF(COUNTIFS(F$6:F1896,F1896,I$6:I1896,"?*")=1,MAX(W$5:W1895)+1,""))</f>
        <v/>
      </c>
    </row>
    <row r="1897">
      <c r="B1897" s="15" t="n"/>
      <c r="C1897" s="16" t="n"/>
      <c r="D1897" s="17" t="n"/>
      <c r="E1897" s="17" t="n"/>
      <c r="F1897" s="17" t="n"/>
      <c r="G1897" s="17" t="n"/>
      <c r="H1897" s="18">
        <f>IF(AND(B1897="",C1897="",D1897="",E1897=""),"",IF(B1897="","⚠ Falta fecha",IF(C1897="","⚠ Falta monto",IF(D1897="","⚠ Falta categoría",IF(ISNA(MATCH(D1897,catNom,0)),"⚠ Categoría no existe",IF(E1897="","⚠ Falta cuenta",IF(ISNA(MATCH(E1897,ctaNom,0)),"⚠ Cuenta no existe",IF(AND(OR(I1897="Transferencia",I1897="Pago tarjeta"),G1897=""),"⚠ Indica la cuenta «Hacia»",IF(AND(G1897&lt;&gt;"",G1897=E1897),"⚠ «Hacia» igual a la cuenta",IF(AND(G1897&lt;&gt;"",ISNA(MATCH(G1897,ctaNom,0))),"⚠ «Hacia» no existe",IF(AND(I1897="Pago tarjeta",IFERROR(INDEX(ctaTipo,MATCH(G1897,ctaNom,0)),"")&lt;&gt;"Tarjeta de crédito"),"⚠ «Hacia» debe ser la tarjeta",IF(AND(I1897="Trading",IFERROR(INDEX(ctaTipo,MATCH(E1897,ctaNom,0)),"")&lt;&gt;"Cuenta de trading"),"⚠ Usa la cuenta de trading","✓"))))))))))))</f>
        <v/>
      </c>
      <c r="I1897" s="19">
        <f>IF(OR(B1897="",C1897="",D1897=""),"",IFERROR(INDEX(catTipo,MATCH(D1897,catNom,0))&amp;"",""))</f>
        <v/>
      </c>
      <c r="J1897" s="19">
        <f>IF(I1897="","",IFERROR(INDEX(catGrupo,MATCH(D1897,catNom,0))&amp;"",""))</f>
        <v/>
      </c>
      <c r="K1897" s="19">
        <f>IF(I1897="Gasto",IF(IFERROR(INDEX(catClas,MATCH(D1897,catNom,0))&amp;"","")="","Variable",IFERROR(INDEX(catClas,MATCH(D1897,catNom,0))&amp;"","")),"")</f>
        <v/>
      </c>
      <c r="L1897" s="19">
        <f>IF(I1897="","",IFERROR(INDEX(catAlim,MATCH(D1897,catNom,0))&amp;"",""))</f>
        <v/>
      </c>
      <c r="M1897" s="19">
        <f>IF(I1897="","",IFERROR(INDEX(catComida,MATCH(D1897,catNom,0))&amp;"",""))</f>
        <v/>
      </c>
      <c r="N1897" s="19">
        <f>IF(I1897="","",IFERROR(INDEX(ctaMon,MATCH(E1897,ctaNom,0))&amp;"","DOP"))</f>
        <v/>
      </c>
      <c r="O1897" s="20">
        <f>IF(I1897="","",C1897*IF(N1897="USD",TasaUSD,1))</f>
        <v/>
      </c>
      <c r="P1897" s="20">
        <f>IF(I1897="","",IF(I1897="Gasto",O1897,0))</f>
        <v/>
      </c>
      <c r="Q1897" s="20">
        <f>IF(I1897="","",IF(I1897="Ingreso",O1897,0))</f>
        <v/>
      </c>
      <c r="R1897" s="20">
        <f>IF(I1897="","",IF(I1897="Trading",O1897,0))</f>
        <v/>
      </c>
      <c r="S1897" s="19">
        <f>IF(I1897="","",IF(AND(I1897="Gasto",K1897="Variable",J1897&lt;&gt;"Trading",O1897&gt;0,O1897&lt;=Umbral),1,0))</f>
        <v/>
      </c>
      <c r="T1897" s="20">
        <f>IF(OR(I1897="",E1897=""),"",IF(OR(I1897="Gasto",I1897="Transferencia",I1897="Pago tarjeta"),-1,1)*C1897)</f>
        <v/>
      </c>
      <c r="U1897" s="20">
        <f>IF(OR(G1897="",AND(I1897&lt;&gt;"Transferencia",I1897&lt;&gt;"Pago tarjeta")),"",IF(IFERROR(INDEX(ctaMon,MATCH(G1897,ctaNom,0))&amp;"","DOP")=N1897,C1897,IF(N1897="USD",C1897*TasaUSD,C1897/TasaUSD)))</f>
        <v/>
      </c>
      <c r="V1897" s="20">
        <f>IF(I1897="","",IF(IFERROR(INDEX(ctaLiq,MATCH(E1897,ctaNom,0))="Sí",FALSE),IF(OR(I1897="Gasto",I1897="Transferencia",I1897="Pago tarjeta"),-1,1)*O1897,0)+IF(AND(U1897&lt;&gt;"",IFERROR(INDEX(ctaLiq,MATCH(G1897,ctaNom,0))="Sí",FALSE)),O1897,0))</f>
        <v/>
      </c>
      <c r="W1897" s="19">
        <f>IF(OR(F1897="",I1897=""),"",IF(COUNTIFS(F$6:F1897,F1897,I$6:I1897,"?*")=1,MAX(W$5:W1896)+1,""))</f>
        <v/>
      </c>
    </row>
    <row r="1898">
      <c r="B1898" s="15" t="n"/>
      <c r="C1898" s="16" t="n"/>
      <c r="D1898" s="17" t="n"/>
      <c r="E1898" s="17" t="n"/>
      <c r="F1898" s="17" t="n"/>
      <c r="G1898" s="17" t="n"/>
      <c r="H1898" s="18">
        <f>IF(AND(B1898="",C1898="",D1898="",E1898=""),"",IF(B1898="","⚠ Falta fecha",IF(C1898="","⚠ Falta monto",IF(D1898="","⚠ Falta categoría",IF(ISNA(MATCH(D1898,catNom,0)),"⚠ Categoría no existe",IF(E1898="","⚠ Falta cuenta",IF(ISNA(MATCH(E1898,ctaNom,0)),"⚠ Cuenta no existe",IF(AND(OR(I1898="Transferencia",I1898="Pago tarjeta"),G1898=""),"⚠ Indica la cuenta «Hacia»",IF(AND(G1898&lt;&gt;"",G1898=E1898),"⚠ «Hacia» igual a la cuenta",IF(AND(G1898&lt;&gt;"",ISNA(MATCH(G1898,ctaNom,0))),"⚠ «Hacia» no existe",IF(AND(I1898="Pago tarjeta",IFERROR(INDEX(ctaTipo,MATCH(G1898,ctaNom,0)),"")&lt;&gt;"Tarjeta de crédito"),"⚠ «Hacia» debe ser la tarjeta",IF(AND(I1898="Trading",IFERROR(INDEX(ctaTipo,MATCH(E1898,ctaNom,0)),"")&lt;&gt;"Cuenta de trading"),"⚠ Usa la cuenta de trading","✓"))))))))))))</f>
        <v/>
      </c>
      <c r="I1898" s="19">
        <f>IF(OR(B1898="",C1898="",D1898=""),"",IFERROR(INDEX(catTipo,MATCH(D1898,catNom,0))&amp;"",""))</f>
        <v/>
      </c>
      <c r="J1898" s="19">
        <f>IF(I1898="","",IFERROR(INDEX(catGrupo,MATCH(D1898,catNom,0))&amp;"",""))</f>
        <v/>
      </c>
      <c r="K1898" s="19">
        <f>IF(I1898="Gasto",IF(IFERROR(INDEX(catClas,MATCH(D1898,catNom,0))&amp;"","")="","Variable",IFERROR(INDEX(catClas,MATCH(D1898,catNom,0))&amp;"","")),"")</f>
        <v/>
      </c>
      <c r="L1898" s="19">
        <f>IF(I1898="","",IFERROR(INDEX(catAlim,MATCH(D1898,catNom,0))&amp;"",""))</f>
        <v/>
      </c>
      <c r="M1898" s="19">
        <f>IF(I1898="","",IFERROR(INDEX(catComida,MATCH(D1898,catNom,0))&amp;"",""))</f>
        <v/>
      </c>
      <c r="N1898" s="19">
        <f>IF(I1898="","",IFERROR(INDEX(ctaMon,MATCH(E1898,ctaNom,0))&amp;"","DOP"))</f>
        <v/>
      </c>
      <c r="O1898" s="20">
        <f>IF(I1898="","",C1898*IF(N1898="USD",TasaUSD,1))</f>
        <v/>
      </c>
      <c r="P1898" s="20">
        <f>IF(I1898="","",IF(I1898="Gasto",O1898,0))</f>
        <v/>
      </c>
      <c r="Q1898" s="20">
        <f>IF(I1898="","",IF(I1898="Ingreso",O1898,0))</f>
        <v/>
      </c>
      <c r="R1898" s="20">
        <f>IF(I1898="","",IF(I1898="Trading",O1898,0))</f>
        <v/>
      </c>
      <c r="S1898" s="19">
        <f>IF(I1898="","",IF(AND(I1898="Gasto",K1898="Variable",J1898&lt;&gt;"Trading",O1898&gt;0,O1898&lt;=Umbral),1,0))</f>
        <v/>
      </c>
      <c r="T1898" s="20">
        <f>IF(OR(I1898="",E1898=""),"",IF(OR(I1898="Gasto",I1898="Transferencia",I1898="Pago tarjeta"),-1,1)*C1898)</f>
        <v/>
      </c>
      <c r="U1898" s="20">
        <f>IF(OR(G1898="",AND(I1898&lt;&gt;"Transferencia",I1898&lt;&gt;"Pago tarjeta")),"",IF(IFERROR(INDEX(ctaMon,MATCH(G1898,ctaNom,0))&amp;"","DOP")=N1898,C1898,IF(N1898="USD",C1898*TasaUSD,C1898/TasaUSD)))</f>
        <v/>
      </c>
      <c r="V1898" s="20">
        <f>IF(I1898="","",IF(IFERROR(INDEX(ctaLiq,MATCH(E1898,ctaNom,0))="Sí",FALSE),IF(OR(I1898="Gasto",I1898="Transferencia",I1898="Pago tarjeta"),-1,1)*O1898,0)+IF(AND(U1898&lt;&gt;"",IFERROR(INDEX(ctaLiq,MATCH(G1898,ctaNom,0))="Sí",FALSE)),O1898,0))</f>
        <v/>
      </c>
      <c r="W1898" s="19">
        <f>IF(OR(F1898="",I1898=""),"",IF(COUNTIFS(F$6:F1898,F1898,I$6:I1898,"?*")=1,MAX(W$5:W1897)+1,""))</f>
        <v/>
      </c>
    </row>
    <row r="1899">
      <c r="B1899" s="15" t="n"/>
      <c r="C1899" s="16" t="n"/>
      <c r="D1899" s="17" t="n"/>
      <c r="E1899" s="17" t="n"/>
      <c r="F1899" s="17" t="n"/>
      <c r="G1899" s="17" t="n"/>
      <c r="H1899" s="18">
        <f>IF(AND(B1899="",C1899="",D1899="",E1899=""),"",IF(B1899="","⚠ Falta fecha",IF(C1899="","⚠ Falta monto",IF(D1899="","⚠ Falta categoría",IF(ISNA(MATCH(D1899,catNom,0)),"⚠ Categoría no existe",IF(E1899="","⚠ Falta cuenta",IF(ISNA(MATCH(E1899,ctaNom,0)),"⚠ Cuenta no existe",IF(AND(OR(I1899="Transferencia",I1899="Pago tarjeta"),G1899=""),"⚠ Indica la cuenta «Hacia»",IF(AND(G1899&lt;&gt;"",G1899=E1899),"⚠ «Hacia» igual a la cuenta",IF(AND(G1899&lt;&gt;"",ISNA(MATCH(G1899,ctaNom,0))),"⚠ «Hacia» no existe",IF(AND(I1899="Pago tarjeta",IFERROR(INDEX(ctaTipo,MATCH(G1899,ctaNom,0)),"")&lt;&gt;"Tarjeta de crédito"),"⚠ «Hacia» debe ser la tarjeta",IF(AND(I1899="Trading",IFERROR(INDEX(ctaTipo,MATCH(E1899,ctaNom,0)),"")&lt;&gt;"Cuenta de trading"),"⚠ Usa la cuenta de trading","✓"))))))))))))</f>
        <v/>
      </c>
      <c r="I1899" s="19">
        <f>IF(OR(B1899="",C1899="",D1899=""),"",IFERROR(INDEX(catTipo,MATCH(D1899,catNom,0))&amp;"",""))</f>
        <v/>
      </c>
      <c r="J1899" s="19">
        <f>IF(I1899="","",IFERROR(INDEX(catGrupo,MATCH(D1899,catNom,0))&amp;"",""))</f>
        <v/>
      </c>
      <c r="K1899" s="19">
        <f>IF(I1899="Gasto",IF(IFERROR(INDEX(catClas,MATCH(D1899,catNom,0))&amp;"","")="","Variable",IFERROR(INDEX(catClas,MATCH(D1899,catNom,0))&amp;"","")),"")</f>
        <v/>
      </c>
      <c r="L1899" s="19">
        <f>IF(I1899="","",IFERROR(INDEX(catAlim,MATCH(D1899,catNom,0))&amp;"",""))</f>
        <v/>
      </c>
      <c r="M1899" s="19">
        <f>IF(I1899="","",IFERROR(INDEX(catComida,MATCH(D1899,catNom,0))&amp;"",""))</f>
        <v/>
      </c>
      <c r="N1899" s="19">
        <f>IF(I1899="","",IFERROR(INDEX(ctaMon,MATCH(E1899,ctaNom,0))&amp;"","DOP"))</f>
        <v/>
      </c>
      <c r="O1899" s="20">
        <f>IF(I1899="","",C1899*IF(N1899="USD",TasaUSD,1))</f>
        <v/>
      </c>
      <c r="P1899" s="20">
        <f>IF(I1899="","",IF(I1899="Gasto",O1899,0))</f>
        <v/>
      </c>
      <c r="Q1899" s="20">
        <f>IF(I1899="","",IF(I1899="Ingreso",O1899,0))</f>
        <v/>
      </c>
      <c r="R1899" s="20">
        <f>IF(I1899="","",IF(I1899="Trading",O1899,0))</f>
        <v/>
      </c>
      <c r="S1899" s="19">
        <f>IF(I1899="","",IF(AND(I1899="Gasto",K1899="Variable",J1899&lt;&gt;"Trading",O1899&gt;0,O1899&lt;=Umbral),1,0))</f>
        <v/>
      </c>
      <c r="T1899" s="20">
        <f>IF(OR(I1899="",E1899=""),"",IF(OR(I1899="Gasto",I1899="Transferencia",I1899="Pago tarjeta"),-1,1)*C1899)</f>
        <v/>
      </c>
      <c r="U1899" s="20">
        <f>IF(OR(G1899="",AND(I1899&lt;&gt;"Transferencia",I1899&lt;&gt;"Pago tarjeta")),"",IF(IFERROR(INDEX(ctaMon,MATCH(G1899,ctaNom,0))&amp;"","DOP")=N1899,C1899,IF(N1899="USD",C1899*TasaUSD,C1899/TasaUSD)))</f>
        <v/>
      </c>
      <c r="V1899" s="20">
        <f>IF(I1899="","",IF(IFERROR(INDEX(ctaLiq,MATCH(E1899,ctaNom,0))="Sí",FALSE),IF(OR(I1899="Gasto",I1899="Transferencia",I1899="Pago tarjeta"),-1,1)*O1899,0)+IF(AND(U1899&lt;&gt;"",IFERROR(INDEX(ctaLiq,MATCH(G1899,ctaNom,0))="Sí",FALSE)),O1899,0))</f>
        <v/>
      </c>
      <c r="W1899" s="19">
        <f>IF(OR(F1899="",I1899=""),"",IF(COUNTIFS(F$6:F1899,F1899,I$6:I1899,"?*")=1,MAX(W$5:W1898)+1,""))</f>
        <v/>
      </c>
    </row>
    <row r="1900">
      <c r="B1900" s="15" t="n"/>
      <c r="C1900" s="16" t="n"/>
      <c r="D1900" s="17" t="n"/>
      <c r="E1900" s="17" t="n"/>
      <c r="F1900" s="17" t="n"/>
      <c r="G1900" s="17" t="n"/>
      <c r="H1900" s="18">
        <f>IF(AND(B1900="",C1900="",D1900="",E1900=""),"",IF(B1900="","⚠ Falta fecha",IF(C1900="","⚠ Falta monto",IF(D1900="","⚠ Falta categoría",IF(ISNA(MATCH(D1900,catNom,0)),"⚠ Categoría no existe",IF(E1900="","⚠ Falta cuenta",IF(ISNA(MATCH(E1900,ctaNom,0)),"⚠ Cuenta no existe",IF(AND(OR(I1900="Transferencia",I1900="Pago tarjeta"),G1900=""),"⚠ Indica la cuenta «Hacia»",IF(AND(G1900&lt;&gt;"",G1900=E1900),"⚠ «Hacia» igual a la cuenta",IF(AND(G1900&lt;&gt;"",ISNA(MATCH(G1900,ctaNom,0))),"⚠ «Hacia» no existe",IF(AND(I1900="Pago tarjeta",IFERROR(INDEX(ctaTipo,MATCH(G1900,ctaNom,0)),"")&lt;&gt;"Tarjeta de crédito"),"⚠ «Hacia» debe ser la tarjeta",IF(AND(I1900="Trading",IFERROR(INDEX(ctaTipo,MATCH(E1900,ctaNom,0)),"")&lt;&gt;"Cuenta de trading"),"⚠ Usa la cuenta de trading","✓"))))))))))))</f>
        <v/>
      </c>
      <c r="I1900" s="19">
        <f>IF(OR(B1900="",C1900="",D1900=""),"",IFERROR(INDEX(catTipo,MATCH(D1900,catNom,0))&amp;"",""))</f>
        <v/>
      </c>
      <c r="J1900" s="19">
        <f>IF(I1900="","",IFERROR(INDEX(catGrupo,MATCH(D1900,catNom,0))&amp;"",""))</f>
        <v/>
      </c>
      <c r="K1900" s="19">
        <f>IF(I1900="Gasto",IF(IFERROR(INDEX(catClas,MATCH(D1900,catNom,0))&amp;"","")="","Variable",IFERROR(INDEX(catClas,MATCH(D1900,catNom,0))&amp;"","")),"")</f>
        <v/>
      </c>
      <c r="L1900" s="19">
        <f>IF(I1900="","",IFERROR(INDEX(catAlim,MATCH(D1900,catNom,0))&amp;"",""))</f>
        <v/>
      </c>
      <c r="M1900" s="19">
        <f>IF(I1900="","",IFERROR(INDEX(catComida,MATCH(D1900,catNom,0))&amp;"",""))</f>
        <v/>
      </c>
      <c r="N1900" s="19">
        <f>IF(I1900="","",IFERROR(INDEX(ctaMon,MATCH(E1900,ctaNom,0))&amp;"","DOP"))</f>
        <v/>
      </c>
      <c r="O1900" s="20">
        <f>IF(I1900="","",C1900*IF(N1900="USD",TasaUSD,1))</f>
        <v/>
      </c>
      <c r="P1900" s="20">
        <f>IF(I1900="","",IF(I1900="Gasto",O1900,0))</f>
        <v/>
      </c>
      <c r="Q1900" s="20">
        <f>IF(I1900="","",IF(I1900="Ingreso",O1900,0))</f>
        <v/>
      </c>
      <c r="R1900" s="20">
        <f>IF(I1900="","",IF(I1900="Trading",O1900,0))</f>
        <v/>
      </c>
      <c r="S1900" s="19">
        <f>IF(I1900="","",IF(AND(I1900="Gasto",K1900="Variable",J1900&lt;&gt;"Trading",O1900&gt;0,O1900&lt;=Umbral),1,0))</f>
        <v/>
      </c>
      <c r="T1900" s="20">
        <f>IF(OR(I1900="",E1900=""),"",IF(OR(I1900="Gasto",I1900="Transferencia",I1900="Pago tarjeta"),-1,1)*C1900)</f>
        <v/>
      </c>
      <c r="U1900" s="20">
        <f>IF(OR(G1900="",AND(I1900&lt;&gt;"Transferencia",I1900&lt;&gt;"Pago tarjeta")),"",IF(IFERROR(INDEX(ctaMon,MATCH(G1900,ctaNom,0))&amp;"","DOP")=N1900,C1900,IF(N1900="USD",C1900*TasaUSD,C1900/TasaUSD)))</f>
        <v/>
      </c>
      <c r="V1900" s="20">
        <f>IF(I1900="","",IF(IFERROR(INDEX(ctaLiq,MATCH(E1900,ctaNom,0))="Sí",FALSE),IF(OR(I1900="Gasto",I1900="Transferencia",I1900="Pago tarjeta"),-1,1)*O1900,0)+IF(AND(U1900&lt;&gt;"",IFERROR(INDEX(ctaLiq,MATCH(G1900,ctaNom,0))="Sí",FALSE)),O1900,0))</f>
        <v/>
      </c>
      <c r="W1900" s="19">
        <f>IF(OR(F1900="",I1900=""),"",IF(COUNTIFS(F$6:F1900,F1900,I$6:I1900,"?*")=1,MAX(W$5:W1899)+1,""))</f>
        <v/>
      </c>
    </row>
    <row r="1901">
      <c r="B1901" s="15" t="n"/>
      <c r="C1901" s="16" t="n"/>
      <c r="D1901" s="17" t="n"/>
      <c r="E1901" s="17" t="n"/>
      <c r="F1901" s="17" t="n"/>
      <c r="G1901" s="17" t="n"/>
      <c r="H1901" s="18">
        <f>IF(AND(B1901="",C1901="",D1901="",E1901=""),"",IF(B1901="","⚠ Falta fecha",IF(C1901="","⚠ Falta monto",IF(D1901="","⚠ Falta categoría",IF(ISNA(MATCH(D1901,catNom,0)),"⚠ Categoría no existe",IF(E1901="","⚠ Falta cuenta",IF(ISNA(MATCH(E1901,ctaNom,0)),"⚠ Cuenta no existe",IF(AND(OR(I1901="Transferencia",I1901="Pago tarjeta"),G1901=""),"⚠ Indica la cuenta «Hacia»",IF(AND(G1901&lt;&gt;"",G1901=E1901),"⚠ «Hacia» igual a la cuenta",IF(AND(G1901&lt;&gt;"",ISNA(MATCH(G1901,ctaNom,0))),"⚠ «Hacia» no existe",IF(AND(I1901="Pago tarjeta",IFERROR(INDEX(ctaTipo,MATCH(G1901,ctaNom,0)),"")&lt;&gt;"Tarjeta de crédito"),"⚠ «Hacia» debe ser la tarjeta",IF(AND(I1901="Trading",IFERROR(INDEX(ctaTipo,MATCH(E1901,ctaNom,0)),"")&lt;&gt;"Cuenta de trading"),"⚠ Usa la cuenta de trading","✓"))))))))))))</f>
        <v/>
      </c>
      <c r="I1901" s="19">
        <f>IF(OR(B1901="",C1901="",D1901=""),"",IFERROR(INDEX(catTipo,MATCH(D1901,catNom,0))&amp;"",""))</f>
        <v/>
      </c>
      <c r="J1901" s="19">
        <f>IF(I1901="","",IFERROR(INDEX(catGrupo,MATCH(D1901,catNom,0))&amp;"",""))</f>
        <v/>
      </c>
      <c r="K1901" s="19">
        <f>IF(I1901="Gasto",IF(IFERROR(INDEX(catClas,MATCH(D1901,catNom,0))&amp;"","")="","Variable",IFERROR(INDEX(catClas,MATCH(D1901,catNom,0))&amp;"","")),"")</f>
        <v/>
      </c>
      <c r="L1901" s="19">
        <f>IF(I1901="","",IFERROR(INDEX(catAlim,MATCH(D1901,catNom,0))&amp;"",""))</f>
        <v/>
      </c>
      <c r="M1901" s="19">
        <f>IF(I1901="","",IFERROR(INDEX(catComida,MATCH(D1901,catNom,0))&amp;"",""))</f>
        <v/>
      </c>
      <c r="N1901" s="19">
        <f>IF(I1901="","",IFERROR(INDEX(ctaMon,MATCH(E1901,ctaNom,0))&amp;"","DOP"))</f>
        <v/>
      </c>
      <c r="O1901" s="20">
        <f>IF(I1901="","",C1901*IF(N1901="USD",TasaUSD,1))</f>
        <v/>
      </c>
      <c r="P1901" s="20">
        <f>IF(I1901="","",IF(I1901="Gasto",O1901,0))</f>
        <v/>
      </c>
      <c r="Q1901" s="20">
        <f>IF(I1901="","",IF(I1901="Ingreso",O1901,0))</f>
        <v/>
      </c>
      <c r="R1901" s="20">
        <f>IF(I1901="","",IF(I1901="Trading",O1901,0))</f>
        <v/>
      </c>
      <c r="S1901" s="19">
        <f>IF(I1901="","",IF(AND(I1901="Gasto",K1901="Variable",J1901&lt;&gt;"Trading",O1901&gt;0,O1901&lt;=Umbral),1,0))</f>
        <v/>
      </c>
      <c r="T1901" s="20">
        <f>IF(OR(I1901="",E1901=""),"",IF(OR(I1901="Gasto",I1901="Transferencia",I1901="Pago tarjeta"),-1,1)*C1901)</f>
        <v/>
      </c>
      <c r="U1901" s="20">
        <f>IF(OR(G1901="",AND(I1901&lt;&gt;"Transferencia",I1901&lt;&gt;"Pago tarjeta")),"",IF(IFERROR(INDEX(ctaMon,MATCH(G1901,ctaNom,0))&amp;"","DOP")=N1901,C1901,IF(N1901="USD",C1901*TasaUSD,C1901/TasaUSD)))</f>
        <v/>
      </c>
      <c r="V1901" s="20">
        <f>IF(I1901="","",IF(IFERROR(INDEX(ctaLiq,MATCH(E1901,ctaNom,0))="Sí",FALSE),IF(OR(I1901="Gasto",I1901="Transferencia",I1901="Pago tarjeta"),-1,1)*O1901,0)+IF(AND(U1901&lt;&gt;"",IFERROR(INDEX(ctaLiq,MATCH(G1901,ctaNom,0))="Sí",FALSE)),O1901,0))</f>
        <v/>
      </c>
      <c r="W1901" s="19">
        <f>IF(OR(F1901="",I1901=""),"",IF(COUNTIFS(F$6:F1901,F1901,I$6:I1901,"?*")=1,MAX(W$5:W1900)+1,""))</f>
        <v/>
      </c>
    </row>
    <row r="1902">
      <c r="B1902" s="15" t="n"/>
      <c r="C1902" s="16" t="n"/>
      <c r="D1902" s="17" t="n"/>
      <c r="E1902" s="17" t="n"/>
      <c r="F1902" s="17" t="n"/>
      <c r="G1902" s="17" t="n"/>
      <c r="H1902" s="18">
        <f>IF(AND(B1902="",C1902="",D1902="",E1902=""),"",IF(B1902="","⚠ Falta fecha",IF(C1902="","⚠ Falta monto",IF(D1902="","⚠ Falta categoría",IF(ISNA(MATCH(D1902,catNom,0)),"⚠ Categoría no existe",IF(E1902="","⚠ Falta cuenta",IF(ISNA(MATCH(E1902,ctaNom,0)),"⚠ Cuenta no existe",IF(AND(OR(I1902="Transferencia",I1902="Pago tarjeta"),G1902=""),"⚠ Indica la cuenta «Hacia»",IF(AND(G1902&lt;&gt;"",G1902=E1902),"⚠ «Hacia» igual a la cuenta",IF(AND(G1902&lt;&gt;"",ISNA(MATCH(G1902,ctaNom,0))),"⚠ «Hacia» no existe",IF(AND(I1902="Pago tarjeta",IFERROR(INDEX(ctaTipo,MATCH(G1902,ctaNom,0)),"")&lt;&gt;"Tarjeta de crédito"),"⚠ «Hacia» debe ser la tarjeta",IF(AND(I1902="Trading",IFERROR(INDEX(ctaTipo,MATCH(E1902,ctaNom,0)),"")&lt;&gt;"Cuenta de trading"),"⚠ Usa la cuenta de trading","✓"))))))))))))</f>
        <v/>
      </c>
      <c r="I1902" s="19">
        <f>IF(OR(B1902="",C1902="",D1902=""),"",IFERROR(INDEX(catTipo,MATCH(D1902,catNom,0))&amp;"",""))</f>
        <v/>
      </c>
      <c r="J1902" s="19">
        <f>IF(I1902="","",IFERROR(INDEX(catGrupo,MATCH(D1902,catNom,0))&amp;"",""))</f>
        <v/>
      </c>
      <c r="K1902" s="19">
        <f>IF(I1902="Gasto",IF(IFERROR(INDEX(catClas,MATCH(D1902,catNom,0))&amp;"","")="","Variable",IFERROR(INDEX(catClas,MATCH(D1902,catNom,0))&amp;"","")),"")</f>
        <v/>
      </c>
      <c r="L1902" s="19">
        <f>IF(I1902="","",IFERROR(INDEX(catAlim,MATCH(D1902,catNom,0))&amp;"",""))</f>
        <v/>
      </c>
      <c r="M1902" s="19">
        <f>IF(I1902="","",IFERROR(INDEX(catComida,MATCH(D1902,catNom,0))&amp;"",""))</f>
        <v/>
      </c>
      <c r="N1902" s="19">
        <f>IF(I1902="","",IFERROR(INDEX(ctaMon,MATCH(E1902,ctaNom,0))&amp;"","DOP"))</f>
        <v/>
      </c>
      <c r="O1902" s="20">
        <f>IF(I1902="","",C1902*IF(N1902="USD",TasaUSD,1))</f>
        <v/>
      </c>
      <c r="P1902" s="20">
        <f>IF(I1902="","",IF(I1902="Gasto",O1902,0))</f>
        <v/>
      </c>
      <c r="Q1902" s="20">
        <f>IF(I1902="","",IF(I1902="Ingreso",O1902,0))</f>
        <v/>
      </c>
      <c r="R1902" s="20">
        <f>IF(I1902="","",IF(I1902="Trading",O1902,0))</f>
        <v/>
      </c>
      <c r="S1902" s="19">
        <f>IF(I1902="","",IF(AND(I1902="Gasto",K1902="Variable",J1902&lt;&gt;"Trading",O1902&gt;0,O1902&lt;=Umbral),1,0))</f>
        <v/>
      </c>
      <c r="T1902" s="20">
        <f>IF(OR(I1902="",E1902=""),"",IF(OR(I1902="Gasto",I1902="Transferencia",I1902="Pago tarjeta"),-1,1)*C1902)</f>
        <v/>
      </c>
      <c r="U1902" s="20">
        <f>IF(OR(G1902="",AND(I1902&lt;&gt;"Transferencia",I1902&lt;&gt;"Pago tarjeta")),"",IF(IFERROR(INDEX(ctaMon,MATCH(G1902,ctaNom,0))&amp;"","DOP")=N1902,C1902,IF(N1902="USD",C1902*TasaUSD,C1902/TasaUSD)))</f>
        <v/>
      </c>
      <c r="V1902" s="20">
        <f>IF(I1902="","",IF(IFERROR(INDEX(ctaLiq,MATCH(E1902,ctaNom,0))="Sí",FALSE),IF(OR(I1902="Gasto",I1902="Transferencia",I1902="Pago tarjeta"),-1,1)*O1902,0)+IF(AND(U1902&lt;&gt;"",IFERROR(INDEX(ctaLiq,MATCH(G1902,ctaNom,0))="Sí",FALSE)),O1902,0))</f>
        <v/>
      </c>
      <c r="W1902" s="19">
        <f>IF(OR(F1902="",I1902=""),"",IF(COUNTIFS(F$6:F1902,F1902,I$6:I1902,"?*")=1,MAX(W$5:W1901)+1,""))</f>
        <v/>
      </c>
    </row>
    <row r="1903">
      <c r="B1903" s="15" t="n"/>
      <c r="C1903" s="16" t="n"/>
      <c r="D1903" s="17" t="n"/>
      <c r="E1903" s="17" t="n"/>
      <c r="F1903" s="17" t="n"/>
      <c r="G1903" s="17" t="n"/>
      <c r="H1903" s="18">
        <f>IF(AND(B1903="",C1903="",D1903="",E1903=""),"",IF(B1903="","⚠ Falta fecha",IF(C1903="","⚠ Falta monto",IF(D1903="","⚠ Falta categoría",IF(ISNA(MATCH(D1903,catNom,0)),"⚠ Categoría no existe",IF(E1903="","⚠ Falta cuenta",IF(ISNA(MATCH(E1903,ctaNom,0)),"⚠ Cuenta no existe",IF(AND(OR(I1903="Transferencia",I1903="Pago tarjeta"),G1903=""),"⚠ Indica la cuenta «Hacia»",IF(AND(G1903&lt;&gt;"",G1903=E1903),"⚠ «Hacia» igual a la cuenta",IF(AND(G1903&lt;&gt;"",ISNA(MATCH(G1903,ctaNom,0))),"⚠ «Hacia» no existe",IF(AND(I1903="Pago tarjeta",IFERROR(INDEX(ctaTipo,MATCH(G1903,ctaNom,0)),"")&lt;&gt;"Tarjeta de crédito"),"⚠ «Hacia» debe ser la tarjeta",IF(AND(I1903="Trading",IFERROR(INDEX(ctaTipo,MATCH(E1903,ctaNom,0)),"")&lt;&gt;"Cuenta de trading"),"⚠ Usa la cuenta de trading","✓"))))))))))))</f>
        <v/>
      </c>
      <c r="I1903" s="19">
        <f>IF(OR(B1903="",C1903="",D1903=""),"",IFERROR(INDEX(catTipo,MATCH(D1903,catNom,0))&amp;"",""))</f>
        <v/>
      </c>
      <c r="J1903" s="19">
        <f>IF(I1903="","",IFERROR(INDEX(catGrupo,MATCH(D1903,catNom,0))&amp;"",""))</f>
        <v/>
      </c>
      <c r="K1903" s="19">
        <f>IF(I1903="Gasto",IF(IFERROR(INDEX(catClas,MATCH(D1903,catNom,0))&amp;"","")="","Variable",IFERROR(INDEX(catClas,MATCH(D1903,catNom,0))&amp;"","")),"")</f>
        <v/>
      </c>
      <c r="L1903" s="19">
        <f>IF(I1903="","",IFERROR(INDEX(catAlim,MATCH(D1903,catNom,0))&amp;"",""))</f>
        <v/>
      </c>
      <c r="M1903" s="19">
        <f>IF(I1903="","",IFERROR(INDEX(catComida,MATCH(D1903,catNom,0))&amp;"",""))</f>
        <v/>
      </c>
      <c r="N1903" s="19">
        <f>IF(I1903="","",IFERROR(INDEX(ctaMon,MATCH(E1903,ctaNom,0))&amp;"","DOP"))</f>
        <v/>
      </c>
      <c r="O1903" s="20">
        <f>IF(I1903="","",C1903*IF(N1903="USD",TasaUSD,1))</f>
        <v/>
      </c>
      <c r="P1903" s="20">
        <f>IF(I1903="","",IF(I1903="Gasto",O1903,0))</f>
        <v/>
      </c>
      <c r="Q1903" s="20">
        <f>IF(I1903="","",IF(I1903="Ingreso",O1903,0))</f>
        <v/>
      </c>
      <c r="R1903" s="20">
        <f>IF(I1903="","",IF(I1903="Trading",O1903,0))</f>
        <v/>
      </c>
      <c r="S1903" s="19">
        <f>IF(I1903="","",IF(AND(I1903="Gasto",K1903="Variable",J1903&lt;&gt;"Trading",O1903&gt;0,O1903&lt;=Umbral),1,0))</f>
        <v/>
      </c>
      <c r="T1903" s="20">
        <f>IF(OR(I1903="",E1903=""),"",IF(OR(I1903="Gasto",I1903="Transferencia",I1903="Pago tarjeta"),-1,1)*C1903)</f>
        <v/>
      </c>
      <c r="U1903" s="20">
        <f>IF(OR(G1903="",AND(I1903&lt;&gt;"Transferencia",I1903&lt;&gt;"Pago tarjeta")),"",IF(IFERROR(INDEX(ctaMon,MATCH(G1903,ctaNom,0))&amp;"","DOP")=N1903,C1903,IF(N1903="USD",C1903*TasaUSD,C1903/TasaUSD)))</f>
        <v/>
      </c>
      <c r="V1903" s="20">
        <f>IF(I1903="","",IF(IFERROR(INDEX(ctaLiq,MATCH(E1903,ctaNom,0))="Sí",FALSE),IF(OR(I1903="Gasto",I1903="Transferencia",I1903="Pago tarjeta"),-1,1)*O1903,0)+IF(AND(U1903&lt;&gt;"",IFERROR(INDEX(ctaLiq,MATCH(G1903,ctaNom,0))="Sí",FALSE)),O1903,0))</f>
        <v/>
      </c>
      <c r="W1903" s="19">
        <f>IF(OR(F1903="",I1903=""),"",IF(COUNTIFS(F$6:F1903,F1903,I$6:I1903,"?*")=1,MAX(W$5:W1902)+1,""))</f>
        <v/>
      </c>
    </row>
    <row r="1904">
      <c r="B1904" s="15" t="n"/>
      <c r="C1904" s="16" t="n"/>
      <c r="D1904" s="17" t="n"/>
      <c r="E1904" s="17" t="n"/>
      <c r="F1904" s="17" t="n"/>
      <c r="G1904" s="17" t="n"/>
      <c r="H1904" s="18">
        <f>IF(AND(B1904="",C1904="",D1904="",E1904=""),"",IF(B1904="","⚠ Falta fecha",IF(C1904="","⚠ Falta monto",IF(D1904="","⚠ Falta categoría",IF(ISNA(MATCH(D1904,catNom,0)),"⚠ Categoría no existe",IF(E1904="","⚠ Falta cuenta",IF(ISNA(MATCH(E1904,ctaNom,0)),"⚠ Cuenta no existe",IF(AND(OR(I1904="Transferencia",I1904="Pago tarjeta"),G1904=""),"⚠ Indica la cuenta «Hacia»",IF(AND(G1904&lt;&gt;"",G1904=E1904),"⚠ «Hacia» igual a la cuenta",IF(AND(G1904&lt;&gt;"",ISNA(MATCH(G1904,ctaNom,0))),"⚠ «Hacia» no existe",IF(AND(I1904="Pago tarjeta",IFERROR(INDEX(ctaTipo,MATCH(G1904,ctaNom,0)),"")&lt;&gt;"Tarjeta de crédito"),"⚠ «Hacia» debe ser la tarjeta",IF(AND(I1904="Trading",IFERROR(INDEX(ctaTipo,MATCH(E1904,ctaNom,0)),"")&lt;&gt;"Cuenta de trading"),"⚠ Usa la cuenta de trading","✓"))))))))))))</f>
        <v/>
      </c>
      <c r="I1904" s="19">
        <f>IF(OR(B1904="",C1904="",D1904=""),"",IFERROR(INDEX(catTipo,MATCH(D1904,catNom,0))&amp;"",""))</f>
        <v/>
      </c>
      <c r="J1904" s="19">
        <f>IF(I1904="","",IFERROR(INDEX(catGrupo,MATCH(D1904,catNom,0))&amp;"",""))</f>
        <v/>
      </c>
      <c r="K1904" s="19">
        <f>IF(I1904="Gasto",IF(IFERROR(INDEX(catClas,MATCH(D1904,catNom,0))&amp;"","")="","Variable",IFERROR(INDEX(catClas,MATCH(D1904,catNom,0))&amp;"","")),"")</f>
        <v/>
      </c>
      <c r="L1904" s="19">
        <f>IF(I1904="","",IFERROR(INDEX(catAlim,MATCH(D1904,catNom,0))&amp;"",""))</f>
        <v/>
      </c>
      <c r="M1904" s="19">
        <f>IF(I1904="","",IFERROR(INDEX(catComida,MATCH(D1904,catNom,0))&amp;"",""))</f>
        <v/>
      </c>
      <c r="N1904" s="19">
        <f>IF(I1904="","",IFERROR(INDEX(ctaMon,MATCH(E1904,ctaNom,0))&amp;"","DOP"))</f>
        <v/>
      </c>
      <c r="O1904" s="20">
        <f>IF(I1904="","",C1904*IF(N1904="USD",TasaUSD,1))</f>
        <v/>
      </c>
      <c r="P1904" s="20">
        <f>IF(I1904="","",IF(I1904="Gasto",O1904,0))</f>
        <v/>
      </c>
      <c r="Q1904" s="20">
        <f>IF(I1904="","",IF(I1904="Ingreso",O1904,0))</f>
        <v/>
      </c>
      <c r="R1904" s="20">
        <f>IF(I1904="","",IF(I1904="Trading",O1904,0))</f>
        <v/>
      </c>
      <c r="S1904" s="19">
        <f>IF(I1904="","",IF(AND(I1904="Gasto",K1904="Variable",J1904&lt;&gt;"Trading",O1904&gt;0,O1904&lt;=Umbral),1,0))</f>
        <v/>
      </c>
      <c r="T1904" s="20">
        <f>IF(OR(I1904="",E1904=""),"",IF(OR(I1904="Gasto",I1904="Transferencia",I1904="Pago tarjeta"),-1,1)*C1904)</f>
        <v/>
      </c>
      <c r="U1904" s="20">
        <f>IF(OR(G1904="",AND(I1904&lt;&gt;"Transferencia",I1904&lt;&gt;"Pago tarjeta")),"",IF(IFERROR(INDEX(ctaMon,MATCH(G1904,ctaNom,0))&amp;"","DOP")=N1904,C1904,IF(N1904="USD",C1904*TasaUSD,C1904/TasaUSD)))</f>
        <v/>
      </c>
      <c r="V1904" s="20">
        <f>IF(I1904="","",IF(IFERROR(INDEX(ctaLiq,MATCH(E1904,ctaNom,0))="Sí",FALSE),IF(OR(I1904="Gasto",I1904="Transferencia",I1904="Pago tarjeta"),-1,1)*O1904,0)+IF(AND(U1904&lt;&gt;"",IFERROR(INDEX(ctaLiq,MATCH(G1904,ctaNom,0))="Sí",FALSE)),O1904,0))</f>
        <v/>
      </c>
      <c r="W1904" s="19">
        <f>IF(OR(F1904="",I1904=""),"",IF(COUNTIFS(F$6:F1904,F1904,I$6:I1904,"?*")=1,MAX(W$5:W1903)+1,""))</f>
        <v/>
      </c>
    </row>
    <row r="1905">
      <c r="B1905" s="15" t="n"/>
      <c r="C1905" s="16" t="n"/>
      <c r="D1905" s="17" t="n"/>
      <c r="E1905" s="17" t="n"/>
      <c r="F1905" s="17" t="n"/>
      <c r="G1905" s="17" t="n"/>
      <c r="H1905" s="18">
        <f>IF(AND(B1905="",C1905="",D1905="",E1905=""),"",IF(B1905="","⚠ Falta fecha",IF(C1905="","⚠ Falta monto",IF(D1905="","⚠ Falta categoría",IF(ISNA(MATCH(D1905,catNom,0)),"⚠ Categoría no existe",IF(E1905="","⚠ Falta cuenta",IF(ISNA(MATCH(E1905,ctaNom,0)),"⚠ Cuenta no existe",IF(AND(OR(I1905="Transferencia",I1905="Pago tarjeta"),G1905=""),"⚠ Indica la cuenta «Hacia»",IF(AND(G1905&lt;&gt;"",G1905=E1905),"⚠ «Hacia» igual a la cuenta",IF(AND(G1905&lt;&gt;"",ISNA(MATCH(G1905,ctaNom,0))),"⚠ «Hacia» no existe",IF(AND(I1905="Pago tarjeta",IFERROR(INDEX(ctaTipo,MATCH(G1905,ctaNom,0)),"")&lt;&gt;"Tarjeta de crédito"),"⚠ «Hacia» debe ser la tarjeta",IF(AND(I1905="Trading",IFERROR(INDEX(ctaTipo,MATCH(E1905,ctaNom,0)),"")&lt;&gt;"Cuenta de trading"),"⚠ Usa la cuenta de trading","✓"))))))))))))</f>
        <v/>
      </c>
      <c r="I1905" s="19">
        <f>IF(OR(B1905="",C1905="",D1905=""),"",IFERROR(INDEX(catTipo,MATCH(D1905,catNom,0))&amp;"",""))</f>
        <v/>
      </c>
      <c r="J1905" s="19">
        <f>IF(I1905="","",IFERROR(INDEX(catGrupo,MATCH(D1905,catNom,0))&amp;"",""))</f>
        <v/>
      </c>
      <c r="K1905" s="19">
        <f>IF(I1905="Gasto",IF(IFERROR(INDEX(catClas,MATCH(D1905,catNom,0))&amp;"","")="","Variable",IFERROR(INDEX(catClas,MATCH(D1905,catNom,0))&amp;"","")),"")</f>
        <v/>
      </c>
      <c r="L1905" s="19">
        <f>IF(I1905="","",IFERROR(INDEX(catAlim,MATCH(D1905,catNom,0))&amp;"",""))</f>
        <v/>
      </c>
      <c r="M1905" s="19">
        <f>IF(I1905="","",IFERROR(INDEX(catComida,MATCH(D1905,catNom,0))&amp;"",""))</f>
        <v/>
      </c>
      <c r="N1905" s="19">
        <f>IF(I1905="","",IFERROR(INDEX(ctaMon,MATCH(E1905,ctaNom,0))&amp;"","DOP"))</f>
        <v/>
      </c>
      <c r="O1905" s="20">
        <f>IF(I1905="","",C1905*IF(N1905="USD",TasaUSD,1))</f>
        <v/>
      </c>
      <c r="P1905" s="20">
        <f>IF(I1905="","",IF(I1905="Gasto",O1905,0))</f>
        <v/>
      </c>
      <c r="Q1905" s="20">
        <f>IF(I1905="","",IF(I1905="Ingreso",O1905,0))</f>
        <v/>
      </c>
      <c r="R1905" s="20">
        <f>IF(I1905="","",IF(I1905="Trading",O1905,0))</f>
        <v/>
      </c>
      <c r="S1905" s="19">
        <f>IF(I1905="","",IF(AND(I1905="Gasto",K1905="Variable",J1905&lt;&gt;"Trading",O1905&gt;0,O1905&lt;=Umbral),1,0))</f>
        <v/>
      </c>
      <c r="T1905" s="20">
        <f>IF(OR(I1905="",E1905=""),"",IF(OR(I1905="Gasto",I1905="Transferencia",I1905="Pago tarjeta"),-1,1)*C1905)</f>
        <v/>
      </c>
      <c r="U1905" s="20">
        <f>IF(OR(G1905="",AND(I1905&lt;&gt;"Transferencia",I1905&lt;&gt;"Pago tarjeta")),"",IF(IFERROR(INDEX(ctaMon,MATCH(G1905,ctaNom,0))&amp;"","DOP")=N1905,C1905,IF(N1905="USD",C1905*TasaUSD,C1905/TasaUSD)))</f>
        <v/>
      </c>
      <c r="V1905" s="20">
        <f>IF(I1905="","",IF(IFERROR(INDEX(ctaLiq,MATCH(E1905,ctaNom,0))="Sí",FALSE),IF(OR(I1905="Gasto",I1905="Transferencia",I1905="Pago tarjeta"),-1,1)*O1905,0)+IF(AND(U1905&lt;&gt;"",IFERROR(INDEX(ctaLiq,MATCH(G1905,ctaNom,0))="Sí",FALSE)),O1905,0))</f>
        <v/>
      </c>
      <c r="W1905" s="19">
        <f>IF(OR(F1905="",I1905=""),"",IF(COUNTIFS(F$6:F1905,F1905,I$6:I1905,"?*")=1,MAX(W$5:W1904)+1,""))</f>
        <v/>
      </c>
    </row>
    <row r="1906">
      <c r="B1906" s="15" t="n"/>
      <c r="C1906" s="16" t="n"/>
      <c r="D1906" s="17" t="n"/>
      <c r="E1906" s="17" t="n"/>
      <c r="F1906" s="17" t="n"/>
      <c r="G1906" s="17" t="n"/>
      <c r="H1906" s="18">
        <f>IF(AND(B1906="",C1906="",D1906="",E1906=""),"",IF(B1906="","⚠ Falta fecha",IF(C1906="","⚠ Falta monto",IF(D1906="","⚠ Falta categoría",IF(ISNA(MATCH(D1906,catNom,0)),"⚠ Categoría no existe",IF(E1906="","⚠ Falta cuenta",IF(ISNA(MATCH(E1906,ctaNom,0)),"⚠ Cuenta no existe",IF(AND(OR(I1906="Transferencia",I1906="Pago tarjeta"),G1906=""),"⚠ Indica la cuenta «Hacia»",IF(AND(G1906&lt;&gt;"",G1906=E1906),"⚠ «Hacia» igual a la cuenta",IF(AND(G1906&lt;&gt;"",ISNA(MATCH(G1906,ctaNom,0))),"⚠ «Hacia» no existe",IF(AND(I1906="Pago tarjeta",IFERROR(INDEX(ctaTipo,MATCH(G1906,ctaNom,0)),"")&lt;&gt;"Tarjeta de crédito"),"⚠ «Hacia» debe ser la tarjeta",IF(AND(I1906="Trading",IFERROR(INDEX(ctaTipo,MATCH(E1906,ctaNom,0)),"")&lt;&gt;"Cuenta de trading"),"⚠ Usa la cuenta de trading","✓"))))))))))))</f>
        <v/>
      </c>
      <c r="I1906" s="19">
        <f>IF(OR(B1906="",C1906="",D1906=""),"",IFERROR(INDEX(catTipo,MATCH(D1906,catNom,0))&amp;"",""))</f>
        <v/>
      </c>
      <c r="J1906" s="19">
        <f>IF(I1906="","",IFERROR(INDEX(catGrupo,MATCH(D1906,catNom,0))&amp;"",""))</f>
        <v/>
      </c>
      <c r="K1906" s="19">
        <f>IF(I1906="Gasto",IF(IFERROR(INDEX(catClas,MATCH(D1906,catNom,0))&amp;"","")="","Variable",IFERROR(INDEX(catClas,MATCH(D1906,catNom,0))&amp;"","")),"")</f>
        <v/>
      </c>
      <c r="L1906" s="19">
        <f>IF(I1906="","",IFERROR(INDEX(catAlim,MATCH(D1906,catNom,0))&amp;"",""))</f>
        <v/>
      </c>
      <c r="M1906" s="19">
        <f>IF(I1906="","",IFERROR(INDEX(catComida,MATCH(D1906,catNom,0))&amp;"",""))</f>
        <v/>
      </c>
      <c r="N1906" s="19">
        <f>IF(I1906="","",IFERROR(INDEX(ctaMon,MATCH(E1906,ctaNom,0))&amp;"","DOP"))</f>
        <v/>
      </c>
      <c r="O1906" s="20">
        <f>IF(I1906="","",C1906*IF(N1906="USD",TasaUSD,1))</f>
        <v/>
      </c>
      <c r="P1906" s="20">
        <f>IF(I1906="","",IF(I1906="Gasto",O1906,0))</f>
        <v/>
      </c>
      <c r="Q1906" s="20">
        <f>IF(I1906="","",IF(I1906="Ingreso",O1906,0))</f>
        <v/>
      </c>
      <c r="R1906" s="20">
        <f>IF(I1906="","",IF(I1906="Trading",O1906,0))</f>
        <v/>
      </c>
      <c r="S1906" s="19">
        <f>IF(I1906="","",IF(AND(I1906="Gasto",K1906="Variable",J1906&lt;&gt;"Trading",O1906&gt;0,O1906&lt;=Umbral),1,0))</f>
        <v/>
      </c>
      <c r="T1906" s="20">
        <f>IF(OR(I1906="",E1906=""),"",IF(OR(I1906="Gasto",I1906="Transferencia",I1906="Pago tarjeta"),-1,1)*C1906)</f>
        <v/>
      </c>
      <c r="U1906" s="20">
        <f>IF(OR(G1906="",AND(I1906&lt;&gt;"Transferencia",I1906&lt;&gt;"Pago tarjeta")),"",IF(IFERROR(INDEX(ctaMon,MATCH(G1906,ctaNom,0))&amp;"","DOP")=N1906,C1906,IF(N1906="USD",C1906*TasaUSD,C1906/TasaUSD)))</f>
        <v/>
      </c>
      <c r="V1906" s="20">
        <f>IF(I1906="","",IF(IFERROR(INDEX(ctaLiq,MATCH(E1906,ctaNom,0))="Sí",FALSE),IF(OR(I1906="Gasto",I1906="Transferencia",I1906="Pago tarjeta"),-1,1)*O1906,0)+IF(AND(U1906&lt;&gt;"",IFERROR(INDEX(ctaLiq,MATCH(G1906,ctaNom,0))="Sí",FALSE)),O1906,0))</f>
        <v/>
      </c>
      <c r="W1906" s="19">
        <f>IF(OR(F1906="",I1906=""),"",IF(COUNTIFS(F$6:F1906,F1906,I$6:I1906,"?*")=1,MAX(W$5:W1905)+1,""))</f>
        <v/>
      </c>
    </row>
    <row r="1907">
      <c r="B1907" s="15" t="n"/>
      <c r="C1907" s="16" t="n"/>
      <c r="D1907" s="17" t="n"/>
      <c r="E1907" s="17" t="n"/>
      <c r="F1907" s="17" t="n"/>
      <c r="G1907" s="17" t="n"/>
      <c r="H1907" s="18">
        <f>IF(AND(B1907="",C1907="",D1907="",E1907=""),"",IF(B1907="","⚠ Falta fecha",IF(C1907="","⚠ Falta monto",IF(D1907="","⚠ Falta categoría",IF(ISNA(MATCH(D1907,catNom,0)),"⚠ Categoría no existe",IF(E1907="","⚠ Falta cuenta",IF(ISNA(MATCH(E1907,ctaNom,0)),"⚠ Cuenta no existe",IF(AND(OR(I1907="Transferencia",I1907="Pago tarjeta"),G1907=""),"⚠ Indica la cuenta «Hacia»",IF(AND(G1907&lt;&gt;"",G1907=E1907),"⚠ «Hacia» igual a la cuenta",IF(AND(G1907&lt;&gt;"",ISNA(MATCH(G1907,ctaNom,0))),"⚠ «Hacia» no existe",IF(AND(I1907="Pago tarjeta",IFERROR(INDEX(ctaTipo,MATCH(G1907,ctaNom,0)),"")&lt;&gt;"Tarjeta de crédito"),"⚠ «Hacia» debe ser la tarjeta",IF(AND(I1907="Trading",IFERROR(INDEX(ctaTipo,MATCH(E1907,ctaNom,0)),"")&lt;&gt;"Cuenta de trading"),"⚠ Usa la cuenta de trading","✓"))))))))))))</f>
        <v/>
      </c>
      <c r="I1907" s="19">
        <f>IF(OR(B1907="",C1907="",D1907=""),"",IFERROR(INDEX(catTipo,MATCH(D1907,catNom,0))&amp;"",""))</f>
        <v/>
      </c>
      <c r="J1907" s="19">
        <f>IF(I1907="","",IFERROR(INDEX(catGrupo,MATCH(D1907,catNom,0))&amp;"",""))</f>
        <v/>
      </c>
      <c r="K1907" s="19">
        <f>IF(I1907="Gasto",IF(IFERROR(INDEX(catClas,MATCH(D1907,catNom,0))&amp;"","")="","Variable",IFERROR(INDEX(catClas,MATCH(D1907,catNom,0))&amp;"","")),"")</f>
        <v/>
      </c>
      <c r="L1907" s="19">
        <f>IF(I1907="","",IFERROR(INDEX(catAlim,MATCH(D1907,catNom,0))&amp;"",""))</f>
        <v/>
      </c>
      <c r="M1907" s="19">
        <f>IF(I1907="","",IFERROR(INDEX(catComida,MATCH(D1907,catNom,0))&amp;"",""))</f>
        <v/>
      </c>
      <c r="N1907" s="19">
        <f>IF(I1907="","",IFERROR(INDEX(ctaMon,MATCH(E1907,ctaNom,0))&amp;"","DOP"))</f>
        <v/>
      </c>
      <c r="O1907" s="20">
        <f>IF(I1907="","",C1907*IF(N1907="USD",TasaUSD,1))</f>
        <v/>
      </c>
      <c r="P1907" s="20">
        <f>IF(I1907="","",IF(I1907="Gasto",O1907,0))</f>
        <v/>
      </c>
      <c r="Q1907" s="20">
        <f>IF(I1907="","",IF(I1907="Ingreso",O1907,0))</f>
        <v/>
      </c>
      <c r="R1907" s="20">
        <f>IF(I1907="","",IF(I1907="Trading",O1907,0))</f>
        <v/>
      </c>
      <c r="S1907" s="19">
        <f>IF(I1907="","",IF(AND(I1907="Gasto",K1907="Variable",J1907&lt;&gt;"Trading",O1907&gt;0,O1907&lt;=Umbral),1,0))</f>
        <v/>
      </c>
      <c r="T1907" s="20">
        <f>IF(OR(I1907="",E1907=""),"",IF(OR(I1907="Gasto",I1907="Transferencia",I1907="Pago tarjeta"),-1,1)*C1907)</f>
        <v/>
      </c>
      <c r="U1907" s="20">
        <f>IF(OR(G1907="",AND(I1907&lt;&gt;"Transferencia",I1907&lt;&gt;"Pago tarjeta")),"",IF(IFERROR(INDEX(ctaMon,MATCH(G1907,ctaNom,0))&amp;"","DOP")=N1907,C1907,IF(N1907="USD",C1907*TasaUSD,C1907/TasaUSD)))</f>
        <v/>
      </c>
      <c r="V1907" s="20">
        <f>IF(I1907="","",IF(IFERROR(INDEX(ctaLiq,MATCH(E1907,ctaNom,0))="Sí",FALSE),IF(OR(I1907="Gasto",I1907="Transferencia",I1907="Pago tarjeta"),-1,1)*O1907,0)+IF(AND(U1907&lt;&gt;"",IFERROR(INDEX(ctaLiq,MATCH(G1907,ctaNom,0))="Sí",FALSE)),O1907,0))</f>
        <v/>
      </c>
      <c r="W1907" s="19">
        <f>IF(OR(F1907="",I1907=""),"",IF(COUNTIFS(F$6:F1907,F1907,I$6:I1907,"?*")=1,MAX(W$5:W1906)+1,""))</f>
        <v/>
      </c>
    </row>
    <row r="1908">
      <c r="B1908" s="15" t="n"/>
      <c r="C1908" s="16" t="n"/>
      <c r="D1908" s="17" t="n"/>
      <c r="E1908" s="17" t="n"/>
      <c r="F1908" s="17" t="n"/>
      <c r="G1908" s="17" t="n"/>
      <c r="H1908" s="18">
        <f>IF(AND(B1908="",C1908="",D1908="",E1908=""),"",IF(B1908="","⚠ Falta fecha",IF(C1908="","⚠ Falta monto",IF(D1908="","⚠ Falta categoría",IF(ISNA(MATCH(D1908,catNom,0)),"⚠ Categoría no existe",IF(E1908="","⚠ Falta cuenta",IF(ISNA(MATCH(E1908,ctaNom,0)),"⚠ Cuenta no existe",IF(AND(OR(I1908="Transferencia",I1908="Pago tarjeta"),G1908=""),"⚠ Indica la cuenta «Hacia»",IF(AND(G1908&lt;&gt;"",G1908=E1908),"⚠ «Hacia» igual a la cuenta",IF(AND(G1908&lt;&gt;"",ISNA(MATCH(G1908,ctaNom,0))),"⚠ «Hacia» no existe",IF(AND(I1908="Pago tarjeta",IFERROR(INDEX(ctaTipo,MATCH(G1908,ctaNom,0)),"")&lt;&gt;"Tarjeta de crédito"),"⚠ «Hacia» debe ser la tarjeta",IF(AND(I1908="Trading",IFERROR(INDEX(ctaTipo,MATCH(E1908,ctaNom,0)),"")&lt;&gt;"Cuenta de trading"),"⚠ Usa la cuenta de trading","✓"))))))))))))</f>
        <v/>
      </c>
      <c r="I1908" s="19">
        <f>IF(OR(B1908="",C1908="",D1908=""),"",IFERROR(INDEX(catTipo,MATCH(D1908,catNom,0))&amp;"",""))</f>
        <v/>
      </c>
      <c r="J1908" s="19">
        <f>IF(I1908="","",IFERROR(INDEX(catGrupo,MATCH(D1908,catNom,0))&amp;"",""))</f>
        <v/>
      </c>
      <c r="K1908" s="19">
        <f>IF(I1908="Gasto",IF(IFERROR(INDEX(catClas,MATCH(D1908,catNom,0))&amp;"","")="","Variable",IFERROR(INDEX(catClas,MATCH(D1908,catNom,0))&amp;"","")),"")</f>
        <v/>
      </c>
      <c r="L1908" s="19">
        <f>IF(I1908="","",IFERROR(INDEX(catAlim,MATCH(D1908,catNom,0))&amp;"",""))</f>
        <v/>
      </c>
      <c r="M1908" s="19">
        <f>IF(I1908="","",IFERROR(INDEX(catComida,MATCH(D1908,catNom,0))&amp;"",""))</f>
        <v/>
      </c>
      <c r="N1908" s="19">
        <f>IF(I1908="","",IFERROR(INDEX(ctaMon,MATCH(E1908,ctaNom,0))&amp;"","DOP"))</f>
        <v/>
      </c>
      <c r="O1908" s="20">
        <f>IF(I1908="","",C1908*IF(N1908="USD",TasaUSD,1))</f>
        <v/>
      </c>
      <c r="P1908" s="20">
        <f>IF(I1908="","",IF(I1908="Gasto",O1908,0))</f>
        <v/>
      </c>
      <c r="Q1908" s="20">
        <f>IF(I1908="","",IF(I1908="Ingreso",O1908,0))</f>
        <v/>
      </c>
      <c r="R1908" s="20">
        <f>IF(I1908="","",IF(I1908="Trading",O1908,0))</f>
        <v/>
      </c>
      <c r="S1908" s="19">
        <f>IF(I1908="","",IF(AND(I1908="Gasto",K1908="Variable",J1908&lt;&gt;"Trading",O1908&gt;0,O1908&lt;=Umbral),1,0))</f>
        <v/>
      </c>
      <c r="T1908" s="20">
        <f>IF(OR(I1908="",E1908=""),"",IF(OR(I1908="Gasto",I1908="Transferencia",I1908="Pago tarjeta"),-1,1)*C1908)</f>
        <v/>
      </c>
      <c r="U1908" s="20">
        <f>IF(OR(G1908="",AND(I1908&lt;&gt;"Transferencia",I1908&lt;&gt;"Pago tarjeta")),"",IF(IFERROR(INDEX(ctaMon,MATCH(G1908,ctaNom,0))&amp;"","DOP")=N1908,C1908,IF(N1908="USD",C1908*TasaUSD,C1908/TasaUSD)))</f>
        <v/>
      </c>
      <c r="V1908" s="20">
        <f>IF(I1908="","",IF(IFERROR(INDEX(ctaLiq,MATCH(E1908,ctaNom,0))="Sí",FALSE),IF(OR(I1908="Gasto",I1908="Transferencia",I1908="Pago tarjeta"),-1,1)*O1908,0)+IF(AND(U1908&lt;&gt;"",IFERROR(INDEX(ctaLiq,MATCH(G1908,ctaNom,0))="Sí",FALSE)),O1908,0))</f>
        <v/>
      </c>
      <c r="W1908" s="19">
        <f>IF(OR(F1908="",I1908=""),"",IF(COUNTIFS(F$6:F1908,F1908,I$6:I1908,"?*")=1,MAX(W$5:W1907)+1,""))</f>
        <v/>
      </c>
    </row>
    <row r="1909">
      <c r="B1909" s="15" t="n"/>
      <c r="C1909" s="16" t="n"/>
      <c r="D1909" s="17" t="n"/>
      <c r="E1909" s="17" t="n"/>
      <c r="F1909" s="17" t="n"/>
      <c r="G1909" s="17" t="n"/>
      <c r="H1909" s="18">
        <f>IF(AND(B1909="",C1909="",D1909="",E1909=""),"",IF(B1909="","⚠ Falta fecha",IF(C1909="","⚠ Falta monto",IF(D1909="","⚠ Falta categoría",IF(ISNA(MATCH(D1909,catNom,0)),"⚠ Categoría no existe",IF(E1909="","⚠ Falta cuenta",IF(ISNA(MATCH(E1909,ctaNom,0)),"⚠ Cuenta no existe",IF(AND(OR(I1909="Transferencia",I1909="Pago tarjeta"),G1909=""),"⚠ Indica la cuenta «Hacia»",IF(AND(G1909&lt;&gt;"",G1909=E1909),"⚠ «Hacia» igual a la cuenta",IF(AND(G1909&lt;&gt;"",ISNA(MATCH(G1909,ctaNom,0))),"⚠ «Hacia» no existe",IF(AND(I1909="Pago tarjeta",IFERROR(INDEX(ctaTipo,MATCH(G1909,ctaNom,0)),"")&lt;&gt;"Tarjeta de crédito"),"⚠ «Hacia» debe ser la tarjeta",IF(AND(I1909="Trading",IFERROR(INDEX(ctaTipo,MATCH(E1909,ctaNom,0)),"")&lt;&gt;"Cuenta de trading"),"⚠ Usa la cuenta de trading","✓"))))))))))))</f>
        <v/>
      </c>
      <c r="I1909" s="19">
        <f>IF(OR(B1909="",C1909="",D1909=""),"",IFERROR(INDEX(catTipo,MATCH(D1909,catNom,0))&amp;"",""))</f>
        <v/>
      </c>
      <c r="J1909" s="19">
        <f>IF(I1909="","",IFERROR(INDEX(catGrupo,MATCH(D1909,catNom,0))&amp;"",""))</f>
        <v/>
      </c>
      <c r="K1909" s="19">
        <f>IF(I1909="Gasto",IF(IFERROR(INDEX(catClas,MATCH(D1909,catNom,0))&amp;"","")="","Variable",IFERROR(INDEX(catClas,MATCH(D1909,catNom,0))&amp;"","")),"")</f>
        <v/>
      </c>
      <c r="L1909" s="19">
        <f>IF(I1909="","",IFERROR(INDEX(catAlim,MATCH(D1909,catNom,0))&amp;"",""))</f>
        <v/>
      </c>
      <c r="M1909" s="19">
        <f>IF(I1909="","",IFERROR(INDEX(catComida,MATCH(D1909,catNom,0))&amp;"",""))</f>
        <v/>
      </c>
      <c r="N1909" s="19">
        <f>IF(I1909="","",IFERROR(INDEX(ctaMon,MATCH(E1909,ctaNom,0))&amp;"","DOP"))</f>
        <v/>
      </c>
      <c r="O1909" s="20">
        <f>IF(I1909="","",C1909*IF(N1909="USD",TasaUSD,1))</f>
        <v/>
      </c>
      <c r="P1909" s="20">
        <f>IF(I1909="","",IF(I1909="Gasto",O1909,0))</f>
        <v/>
      </c>
      <c r="Q1909" s="20">
        <f>IF(I1909="","",IF(I1909="Ingreso",O1909,0))</f>
        <v/>
      </c>
      <c r="R1909" s="20">
        <f>IF(I1909="","",IF(I1909="Trading",O1909,0))</f>
        <v/>
      </c>
      <c r="S1909" s="19">
        <f>IF(I1909="","",IF(AND(I1909="Gasto",K1909="Variable",J1909&lt;&gt;"Trading",O1909&gt;0,O1909&lt;=Umbral),1,0))</f>
        <v/>
      </c>
      <c r="T1909" s="20">
        <f>IF(OR(I1909="",E1909=""),"",IF(OR(I1909="Gasto",I1909="Transferencia",I1909="Pago tarjeta"),-1,1)*C1909)</f>
        <v/>
      </c>
      <c r="U1909" s="20">
        <f>IF(OR(G1909="",AND(I1909&lt;&gt;"Transferencia",I1909&lt;&gt;"Pago tarjeta")),"",IF(IFERROR(INDEX(ctaMon,MATCH(G1909,ctaNom,0))&amp;"","DOP")=N1909,C1909,IF(N1909="USD",C1909*TasaUSD,C1909/TasaUSD)))</f>
        <v/>
      </c>
      <c r="V1909" s="20">
        <f>IF(I1909="","",IF(IFERROR(INDEX(ctaLiq,MATCH(E1909,ctaNom,0))="Sí",FALSE),IF(OR(I1909="Gasto",I1909="Transferencia",I1909="Pago tarjeta"),-1,1)*O1909,0)+IF(AND(U1909&lt;&gt;"",IFERROR(INDEX(ctaLiq,MATCH(G1909,ctaNom,0))="Sí",FALSE)),O1909,0))</f>
        <v/>
      </c>
      <c r="W1909" s="19">
        <f>IF(OR(F1909="",I1909=""),"",IF(COUNTIFS(F$6:F1909,F1909,I$6:I1909,"?*")=1,MAX(W$5:W1908)+1,""))</f>
        <v/>
      </c>
    </row>
    <row r="1910">
      <c r="B1910" s="15" t="n"/>
      <c r="C1910" s="16" t="n"/>
      <c r="D1910" s="17" t="n"/>
      <c r="E1910" s="17" t="n"/>
      <c r="F1910" s="17" t="n"/>
      <c r="G1910" s="17" t="n"/>
      <c r="H1910" s="18">
        <f>IF(AND(B1910="",C1910="",D1910="",E1910=""),"",IF(B1910="","⚠ Falta fecha",IF(C1910="","⚠ Falta monto",IF(D1910="","⚠ Falta categoría",IF(ISNA(MATCH(D1910,catNom,0)),"⚠ Categoría no existe",IF(E1910="","⚠ Falta cuenta",IF(ISNA(MATCH(E1910,ctaNom,0)),"⚠ Cuenta no existe",IF(AND(OR(I1910="Transferencia",I1910="Pago tarjeta"),G1910=""),"⚠ Indica la cuenta «Hacia»",IF(AND(G1910&lt;&gt;"",G1910=E1910),"⚠ «Hacia» igual a la cuenta",IF(AND(G1910&lt;&gt;"",ISNA(MATCH(G1910,ctaNom,0))),"⚠ «Hacia» no existe",IF(AND(I1910="Pago tarjeta",IFERROR(INDEX(ctaTipo,MATCH(G1910,ctaNom,0)),"")&lt;&gt;"Tarjeta de crédito"),"⚠ «Hacia» debe ser la tarjeta",IF(AND(I1910="Trading",IFERROR(INDEX(ctaTipo,MATCH(E1910,ctaNom,0)),"")&lt;&gt;"Cuenta de trading"),"⚠ Usa la cuenta de trading","✓"))))))))))))</f>
        <v/>
      </c>
      <c r="I1910" s="19">
        <f>IF(OR(B1910="",C1910="",D1910=""),"",IFERROR(INDEX(catTipo,MATCH(D1910,catNom,0))&amp;"",""))</f>
        <v/>
      </c>
      <c r="J1910" s="19">
        <f>IF(I1910="","",IFERROR(INDEX(catGrupo,MATCH(D1910,catNom,0))&amp;"",""))</f>
        <v/>
      </c>
      <c r="K1910" s="19">
        <f>IF(I1910="Gasto",IF(IFERROR(INDEX(catClas,MATCH(D1910,catNom,0))&amp;"","")="","Variable",IFERROR(INDEX(catClas,MATCH(D1910,catNom,0))&amp;"","")),"")</f>
        <v/>
      </c>
      <c r="L1910" s="19">
        <f>IF(I1910="","",IFERROR(INDEX(catAlim,MATCH(D1910,catNom,0))&amp;"",""))</f>
        <v/>
      </c>
      <c r="M1910" s="19">
        <f>IF(I1910="","",IFERROR(INDEX(catComida,MATCH(D1910,catNom,0))&amp;"",""))</f>
        <v/>
      </c>
      <c r="N1910" s="19">
        <f>IF(I1910="","",IFERROR(INDEX(ctaMon,MATCH(E1910,ctaNom,0))&amp;"","DOP"))</f>
        <v/>
      </c>
      <c r="O1910" s="20">
        <f>IF(I1910="","",C1910*IF(N1910="USD",TasaUSD,1))</f>
        <v/>
      </c>
      <c r="P1910" s="20">
        <f>IF(I1910="","",IF(I1910="Gasto",O1910,0))</f>
        <v/>
      </c>
      <c r="Q1910" s="20">
        <f>IF(I1910="","",IF(I1910="Ingreso",O1910,0))</f>
        <v/>
      </c>
      <c r="R1910" s="20">
        <f>IF(I1910="","",IF(I1910="Trading",O1910,0))</f>
        <v/>
      </c>
      <c r="S1910" s="19">
        <f>IF(I1910="","",IF(AND(I1910="Gasto",K1910="Variable",J1910&lt;&gt;"Trading",O1910&gt;0,O1910&lt;=Umbral),1,0))</f>
        <v/>
      </c>
      <c r="T1910" s="20">
        <f>IF(OR(I1910="",E1910=""),"",IF(OR(I1910="Gasto",I1910="Transferencia",I1910="Pago tarjeta"),-1,1)*C1910)</f>
        <v/>
      </c>
      <c r="U1910" s="20">
        <f>IF(OR(G1910="",AND(I1910&lt;&gt;"Transferencia",I1910&lt;&gt;"Pago tarjeta")),"",IF(IFERROR(INDEX(ctaMon,MATCH(G1910,ctaNom,0))&amp;"","DOP")=N1910,C1910,IF(N1910="USD",C1910*TasaUSD,C1910/TasaUSD)))</f>
        <v/>
      </c>
      <c r="V1910" s="20">
        <f>IF(I1910="","",IF(IFERROR(INDEX(ctaLiq,MATCH(E1910,ctaNom,0))="Sí",FALSE),IF(OR(I1910="Gasto",I1910="Transferencia",I1910="Pago tarjeta"),-1,1)*O1910,0)+IF(AND(U1910&lt;&gt;"",IFERROR(INDEX(ctaLiq,MATCH(G1910,ctaNom,0))="Sí",FALSE)),O1910,0))</f>
        <v/>
      </c>
      <c r="W1910" s="19">
        <f>IF(OR(F1910="",I1910=""),"",IF(COUNTIFS(F$6:F1910,F1910,I$6:I1910,"?*")=1,MAX(W$5:W1909)+1,""))</f>
        <v/>
      </c>
    </row>
    <row r="1911">
      <c r="B1911" s="15" t="n"/>
      <c r="C1911" s="16" t="n"/>
      <c r="D1911" s="17" t="n"/>
      <c r="E1911" s="17" t="n"/>
      <c r="F1911" s="17" t="n"/>
      <c r="G1911" s="17" t="n"/>
      <c r="H1911" s="18">
        <f>IF(AND(B1911="",C1911="",D1911="",E1911=""),"",IF(B1911="","⚠ Falta fecha",IF(C1911="","⚠ Falta monto",IF(D1911="","⚠ Falta categoría",IF(ISNA(MATCH(D1911,catNom,0)),"⚠ Categoría no existe",IF(E1911="","⚠ Falta cuenta",IF(ISNA(MATCH(E1911,ctaNom,0)),"⚠ Cuenta no existe",IF(AND(OR(I1911="Transferencia",I1911="Pago tarjeta"),G1911=""),"⚠ Indica la cuenta «Hacia»",IF(AND(G1911&lt;&gt;"",G1911=E1911),"⚠ «Hacia» igual a la cuenta",IF(AND(G1911&lt;&gt;"",ISNA(MATCH(G1911,ctaNom,0))),"⚠ «Hacia» no existe",IF(AND(I1911="Pago tarjeta",IFERROR(INDEX(ctaTipo,MATCH(G1911,ctaNom,0)),"")&lt;&gt;"Tarjeta de crédito"),"⚠ «Hacia» debe ser la tarjeta",IF(AND(I1911="Trading",IFERROR(INDEX(ctaTipo,MATCH(E1911,ctaNom,0)),"")&lt;&gt;"Cuenta de trading"),"⚠ Usa la cuenta de trading","✓"))))))))))))</f>
        <v/>
      </c>
      <c r="I1911" s="19">
        <f>IF(OR(B1911="",C1911="",D1911=""),"",IFERROR(INDEX(catTipo,MATCH(D1911,catNom,0))&amp;"",""))</f>
        <v/>
      </c>
      <c r="J1911" s="19">
        <f>IF(I1911="","",IFERROR(INDEX(catGrupo,MATCH(D1911,catNom,0))&amp;"",""))</f>
        <v/>
      </c>
      <c r="K1911" s="19">
        <f>IF(I1911="Gasto",IF(IFERROR(INDEX(catClas,MATCH(D1911,catNom,0))&amp;"","")="","Variable",IFERROR(INDEX(catClas,MATCH(D1911,catNom,0))&amp;"","")),"")</f>
        <v/>
      </c>
      <c r="L1911" s="19">
        <f>IF(I1911="","",IFERROR(INDEX(catAlim,MATCH(D1911,catNom,0))&amp;"",""))</f>
        <v/>
      </c>
      <c r="M1911" s="19">
        <f>IF(I1911="","",IFERROR(INDEX(catComida,MATCH(D1911,catNom,0))&amp;"",""))</f>
        <v/>
      </c>
      <c r="N1911" s="19">
        <f>IF(I1911="","",IFERROR(INDEX(ctaMon,MATCH(E1911,ctaNom,0))&amp;"","DOP"))</f>
        <v/>
      </c>
      <c r="O1911" s="20">
        <f>IF(I1911="","",C1911*IF(N1911="USD",TasaUSD,1))</f>
        <v/>
      </c>
      <c r="P1911" s="20">
        <f>IF(I1911="","",IF(I1911="Gasto",O1911,0))</f>
        <v/>
      </c>
      <c r="Q1911" s="20">
        <f>IF(I1911="","",IF(I1911="Ingreso",O1911,0))</f>
        <v/>
      </c>
      <c r="R1911" s="20">
        <f>IF(I1911="","",IF(I1911="Trading",O1911,0))</f>
        <v/>
      </c>
      <c r="S1911" s="19">
        <f>IF(I1911="","",IF(AND(I1911="Gasto",K1911="Variable",J1911&lt;&gt;"Trading",O1911&gt;0,O1911&lt;=Umbral),1,0))</f>
        <v/>
      </c>
      <c r="T1911" s="20">
        <f>IF(OR(I1911="",E1911=""),"",IF(OR(I1911="Gasto",I1911="Transferencia",I1911="Pago tarjeta"),-1,1)*C1911)</f>
        <v/>
      </c>
      <c r="U1911" s="20">
        <f>IF(OR(G1911="",AND(I1911&lt;&gt;"Transferencia",I1911&lt;&gt;"Pago tarjeta")),"",IF(IFERROR(INDEX(ctaMon,MATCH(G1911,ctaNom,0))&amp;"","DOP")=N1911,C1911,IF(N1911="USD",C1911*TasaUSD,C1911/TasaUSD)))</f>
        <v/>
      </c>
      <c r="V1911" s="20">
        <f>IF(I1911="","",IF(IFERROR(INDEX(ctaLiq,MATCH(E1911,ctaNom,0))="Sí",FALSE),IF(OR(I1911="Gasto",I1911="Transferencia",I1911="Pago tarjeta"),-1,1)*O1911,0)+IF(AND(U1911&lt;&gt;"",IFERROR(INDEX(ctaLiq,MATCH(G1911,ctaNom,0))="Sí",FALSE)),O1911,0))</f>
        <v/>
      </c>
      <c r="W1911" s="19">
        <f>IF(OR(F1911="",I1911=""),"",IF(COUNTIFS(F$6:F1911,F1911,I$6:I1911,"?*")=1,MAX(W$5:W1910)+1,""))</f>
        <v/>
      </c>
    </row>
    <row r="1912">
      <c r="B1912" s="15" t="n"/>
      <c r="C1912" s="16" t="n"/>
      <c r="D1912" s="17" t="n"/>
      <c r="E1912" s="17" t="n"/>
      <c r="F1912" s="17" t="n"/>
      <c r="G1912" s="17" t="n"/>
      <c r="H1912" s="18">
        <f>IF(AND(B1912="",C1912="",D1912="",E1912=""),"",IF(B1912="","⚠ Falta fecha",IF(C1912="","⚠ Falta monto",IF(D1912="","⚠ Falta categoría",IF(ISNA(MATCH(D1912,catNom,0)),"⚠ Categoría no existe",IF(E1912="","⚠ Falta cuenta",IF(ISNA(MATCH(E1912,ctaNom,0)),"⚠ Cuenta no existe",IF(AND(OR(I1912="Transferencia",I1912="Pago tarjeta"),G1912=""),"⚠ Indica la cuenta «Hacia»",IF(AND(G1912&lt;&gt;"",G1912=E1912),"⚠ «Hacia» igual a la cuenta",IF(AND(G1912&lt;&gt;"",ISNA(MATCH(G1912,ctaNom,0))),"⚠ «Hacia» no existe",IF(AND(I1912="Pago tarjeta",IFERROR(INDEX(ctaTipo,MATCH(G1912,ctaNom,0)),"")&lt;&gt;"Tarjeta de crédito"),"⚠ «Hacia» debe ser la tarjeta",IF(AND(I1912="Trading",IFERROR(INDEX(ctaTipo,MATCH(E1912,ctaNom,0)),"")&lt;&gt;"Cuenta de trading"),"⚠ Usa la cuenta de trading","✓"))))))))))))</f>
        <v/>
      </c>
      <c r="I1912" s="19">
        <f>IF(OR(B1912="",C1912="",D1912=""),"",IFERROR(INDEX(catTipo,MATCH(D1912,catNom,0))&amp;"",""))</f>
        <v/>
      </c>
      <c r="J1912" s="19">
        <f>IF(I1912="","",IFERROR(INDEX(catGrupo,MATCH(D1912,catNom,0))&amp;"",""))</f>
        <v/>
      </c>
      <c r="K1912" s="19">
        <f>IF(I1912="Gasto",IF(IFERROR(INDEX(catClas,MATCH(D1912,catNom,0))&amp;"","")="","Variable",IFERROR(INDEX(catClas,MATCH(D1912,catNom,0))&amp;"","")),"")</f>
        <v/>
      </c>
      <c r="L1912" s="19">
        <f>IF(I1912="","",IFERROR(INDEX(catAlim,MATCH(D1912,catNom,0))&amp;"",""))</f>
        <v/>
      </c>
      <c r="M1912" s="19">
        <f>IF(I1912="","",IFERROR(INDEX(catComida,MATCH(D1912,catNom,0))&amp;"",""))</f>
        <v/>
      </c>
      <c r="N1912" s="19">
        <f>IF(I1912="","",IFERROR(INDEX(ctaMon,MATCH(E1912,ctaNom,0))&amp;"","DOP"))</f>
        <v/>
      </c>
      <c r="O1912" s="20">
        <f>IF(I1912="","",C1912*IF(N1912="USD",TasaUSD,1))</f>
        <v/>
      </c>
      <c r="P1912" s="20">
        <f>IF(I1912="","",IF(I1912="Gasto",O1912,0))</f>
        <v/>
      </c>
      <c r="Q1912" s="20">
        <f>IF(I1912="","",IF(I1912="Ingreso",O1912,0))</f>
        <v/>
      </c>
      <c r="R1912" s="20">
        <f>IF(I1912="","",IF(I1912="Trading",O1912,0))</f>
        <v/>
      </c>
      <c r="S1912" s="19">
        <f>IF(I1912="","",IF(AND(I1912="Gasto",K1912="Variable",J1912&lt;&gt;"Trading",O1912&gt;0,O1912&lt;=Umbral),1,0))</f>
        <v/>
      </c>
      <c r="T1912" s="20">
        <f>IF(OR(I1912="",E1912=""),"",IF(OR(I1912="Gasto",I1912="Transferencia",I1912="Pago tarjeta"),-1,1)*C1912)</f>
        <v/>
      </c>
      <c r="U1912" s="20">
        <f>IF(OR(G1912="",AND(I1912&lt;&gt;"Transferencia",I1912&lt;&gt;"Pago tarjeta")),"",IF(IFERROR(INDEX(ctaMon,MATCH(G1912,ctaNom,0))&amp;"","DOP")=N1912,C1912,IF(N1912="USD",C1912*TasaUSD,C1912/TasaUSD)))</f>
        <v/>
      </c>
      <c r="V1912" s="20">
        <f>IF(I1912="","",IF(IFERROR(INDEX(ctaLiq,MATCH(E1912,ctaNom,0))="Sí",FALSE),IF(OR(I1912="Gasto",I1912="Transferencia",I1912="Pago tarjeta"),-1,1)*O1912,0)+IF(AND(U1912&lt;&gt;"",IFERROR(INDEX(ctaLiq,MATCH(G1912,ctaNom,0))="Sí",FALSE)),O1912,0))</f>
        <v/>
      </c>
      <c r="W1912" s="19">
        <f>IF(OR(F1912="",I1912=""),"",IF(COUNTIFS(F$6:F1912,F1912,I$6:I1912,"?*")=1,MAX(W$5:W1911)+1,""))</f>
        <v/>
      </c>
    </row>
    <row r="1913">
      <c r="B1913" s="15" t="n"/>
      <c r="C1913" s="16" t="n"/>
      <c r="D1913" s="17" t="n"/>
      <c r="E1913" s="17" t="n"/>
      <c r="F1913" s="17" t="n"/>
      <c r="G1913" s="17" t="n"/>
      <c r="H1913" s="18">
        <f>IF(AND(B1913="",C1913="",D1913="",E1913=""),"",IF(B1913="","⚠ Falta fecha",IF(C1913="","⚠ Falta monto",IF(D1913="","⚠ Falta categoría",IF(ISNA(MATCH(D1913,catNom,0)),"⚠ Categoría no existe",IF(E1913="","⚠ Falta cuenta",IF(ISNA(MATCH(E1913,ctaNom,0)),"⚠ Cuenta no existe",IF(AND(OR(I1913="Transferencia",I1913="Pago tarjeta"),G1913=""),"⚠ Indica la cuenta «Hacia»",IF(AND(G1913&lt;&gt;"",G1913=E1913),"⚠ «Hacia» igual a la cuenta",IF(AND(G1913&lt;&gt;"",ISNA(MATCH(G1913,ctaNom,0))),"⚠ «Hacia» no existe",IF(AND(I1913="Pago tarjeta",IFERROR(INDEX(ctaTipo,MATCH(G1913,ctaNom,0)),"")&lt;&gt;"Tarjeta de crédito"),"⚠ «Hacia» debe ser la tarjeta",IF(AND(I1913="Trading",IFERROR(INDEX(ctaTipo,MATCH(E1913,ctaNom,0)),"")&lt;&gt;"Cuenta de trading"),"⚠ Usa la cuenta de trading","✓"))))))))))))</f>
        <v/>
      </c>
      <c r="I1913" s="19">
        <f>IF(OR(B1913="",C1913="",D1913=""),"",IFERROR(INDEX(catTipo,MATCH(D1913,catNom,0))&amp;"",""))</f>
        <v/>
      </c>
      <c r="J1913" s="19">
        <f>IF(I1913="","",IFERROR(INDEX(catGrupo,MATCH(D1913,catNom,0))&amp;"",""))</f>
        <v/>
      </c>
      <c r="K1913" s="19">
        <f>IF(I1913="Gasto",IF(IFERROR(INDEX(catClas,MATCH(D1913,catNom,0))&amp;"","")="","Variable",IFERROR(INDEX(catClas,MATCH(D1913,catNom,0))&amp;"","")),"")</f>
        <v/>
      </c>
      <c r="L1913" s="19">
        <f>IF(I1913="","",IFERROR(INDEX(catAlim,MATCH(D1913,catNom,0))&amp;"",""))</f>
        <v/>
      </c>
      <c r="M1913" s="19">
        <f>IF(I1913="","",IFERROR(INDEX(catComida,MATCH(D1913,catNom,0))&amp;"",""))</f>
        <v/>
      </c>
      <c r="N1913" s="19">
        <f>IF(I1913="","",IFERROR(INDEX(ctaMon,MATCH(E1913,ctaNom,0))&amp;"","DOP"))</f>
        <v/>
      </c>
      <c r="O1913" s="20">
        <f>IF(I1913="","",C1913*IF(N1913="USD",TasaUSD,1))</f>
        <v/>
      </c>
      <c r="P1913" s="20">
        <f>IF(I1913="","",IF(I1913="Gasto",O1913,0))</f>
        <v/>
      </c>
      <c r="Q1913" s="20">
        <f>IF(I1913="","",IF(I1913="Ingreso",O1913,0))</f>
        <v/>
      </c>
      <c r="R1913" s="20">
        <f>IF(I1913="","",IF(I1913="Trading",O1913,0))</f>
        <v/>
      </c>
      <c r="S1913" s="19">
        <f>IF(I1913="","",IF(AND(I1913="Gasto",K1913="Variable",J1913&lt;&gt;"Trading",O1913&gt;0,O1913&lt;=Umbral),1,0))</f>
        <v/>
      </c>
      <c r="T1913" s="20">
        <f>IF(OR(I1913="",E1913=""),"",IF(OR(I1913="Gasto",I1913="Transferencia",I1913="Pago tarjeta"),-1,1)*C1913)</f>
        <v/>
      </c>
      <c r="U1913" s="20">
        <f>IF(OR(G1913="",AND(I1913&lt;&gt;"Transferencia",I1913&lt;&gt;"Pago tarjeta")),"",IF(IFERROR(INDEX(ctaMon,MATCH(G1913,ctaNom,0))&amp;"","DOP")=N1913,C1913,IF(N1913="USD",C1913*TasaUSD,C1913/TasaUSD)))</f>
        <v/>
      </c>
      <c r="V1913" s="20">
        <f>IF(I1913="","",IF(IFERROR(INDEX(ctaLiq,MATCH(E1913,ctaNom,0))="Sí",FALSE),IF(OR(I1913="Gasto",I1913="Transferencia",I1913="Pago tarjeta"),-1,1)*O1913,0)+IF(AND(U1913&lt;&gt;"",IFERROR(INDEX(ctaLiq,MATCH(G1913,ctaNom,0))="Sí",FALSE)),O1913,0))</f>
        <v/>
      </c>
      <c r="W1913" s="19">
        <f>IF(OR(F1913="",I1913=""),"",IF(COUNTIFS(F$6:F1913,F1913,I$6:I1913,"?*")=1,MAX(W$5:W1912)+1,""))</f>
        <v/>
      </c>
    </row>
    <row r="1914">
      <c r="B1914" s="15" t="n"/>
      <c r="C1914" s="16" t="n"/>
      <c r="D1914" s="17" t="n"/>
      <c r="E1914" s="17" t="n"/>
      <c r="F1914" s="17" t="n"/>
      <c r="G1914" s="17" t="n"/>
      <c r="H1914" s="18">
        <f>IF(AND(B1914="",C1914="",D1914="",E1914=""),"",IF(B1914="","⚠ Falta fecha",IF(C1914="","⚠ Falta monto",IF(D1914="","⚠ Falta categoría",IF(ISNA(MATCH(D1914,catNom,0)),"⚠ Categoría no existe",IF(E1914="","⚠ Falta cuenta",IF(ISNA(MATCH(E1914,ctaNom,0)),"⚠ Cuenta no existe",IF(AND(OR(I1914="Transferencia",I1914="Pago tarjeta"),G1914=""),"⚠ Indica la cuenta «Hacia»",IF(AND(G1914&lt;&gt;"",G1914=E1914),"⚠ «Hacia» igual a la cuenta",IF(AND(G1914&lt;&gt;"",ISNA(MATCH(G1914,ctaNom,0))),"⚠ «Hacia» no existe",IF(AND(I1914="Pago tarjeta",IFERROR(INDEX(ctaTipo,MATCH(G1914,ctaNom,0)),"")&lt;&gt;"Tarjeta de crédito"),"⚠ «Hacia» debe ser la tarjeta",IF(AND(I1914="Trading",IFERROR(INDEX(ctaTipo,MATCH(E1914,ctaNom,0)),"")&lt;&gt;"Cuenta de trading"),"⚠ Usa la cuenta de trading","✓"))))))))))))</f>
        <v/>
      </c>
      <c r="I1914" s="19">
        <f>IF(OR(B1914="",C1914="",D1914=""),"",IFERROR(INDEX(catTipo,MATCH(D1914,catNom,0))&amp;"",""))</f>
        <v/>
      </c>
      <c r="J1914" s="19">
        <f>IF(I1914="","",IFERROR(INDEX(catGrupo,MATCH(D1914,catNom,0))&amp;"",""))</f>
        <v/>
      </c>
      <c r="K1914" s="19">
        <f>IF(I1914="Gasto",IF(IFERROR(INDEX(catClas,MATCH(D1914,catNom,0))&amp;"","")="","Variable",IFERROR(INDEX(catClas,MATCH(D1914,catNom,0))&amp;"","")),"")</f>
        <v/>
      </c>
      <c r="L1914" s="19">
        <f>IF(I1914="","",IFERROR(INDEX(catAlim,MATCH(D1914,catNom,0))&amp;"",""))</f>
        <v/>
      </c>
      <c r="M1914" s="19">
        <f>IF(I1914="","",IFERROR(INDEX(catComida,MATCH(D1914,catNom,0))&amp;"",""))</f>
        <v/>
      </c>
      <c r="N1914" s="19">
        <f>IF(I1914="","",IFERROR(INDEX(ctaMon,MATCH(E1914,ctaNom,0))&amp;"","DOP"))</f>
        <v/>
      </c>
      <c r="O1914" s="20">
        <f>IF(I1914="","",C1914*IF(N1914="USD",TasaUSD,1))</f>
        <v/>
      </c>
      <c r="P1914" s="20">
        <f>IF(I1914="","",IF(I1914="Gasto",O1914,0))</f>
        <v/>
      </c>
      <c r="Q1914" s="20">
        <f>IF(I1914="","",IF(I1914="Ingreso",O1914,0))</f>
        <v/>
      </c>
      <c r="R1914" s="20">
        <f>IF(I1914="","",IF(I1914="Trading",O1914,0))</f>
        <v/>
      </c>
      <c r="S1914" s="19">
        <f>IF(I1914="","",IF(AND(I1914="Gasto",K1914="Variable",J1914&lt;&gt;"Trading",O1914&gt;0,O1914&lt;=Umbral),1,0))</f>
        <v/>
      </c>
      <c r="T1914" s="20">
        <f>IF(OR(I1914="",E1914=""),"",IF(OR(I1914="Gasto",I1914="Transferencia",I1914="Pago tarjeta"),-1,1)*C1914)</f>
        <v/>
      </c>
      <c r="U1914" s="20">
        <f>IF(OR(G1914="",AND(I1914&lt;&gt;"Transferencia",I1914&lt;&gt;"Pago tarjeta")),"",IF(IFERROR(INDEX(ctaMon,MATCH(G1914,ctaNom,0))&amp;"","DOP")=N1914,C1914,IF(N1914="USD",C1914*TasaUSD,C1914/TasaUSD)))</f>
        <v/>
      </c>
      <c r="V1914" s="20">
        <f>IF(I1914="","",IF(IFERROR(INDEX(ctaLiq,MATCH(E1914,ctaNom,0))="Sí",FALSE),IF(OR(I1914="Gasto",I1914="Transferencia",I1914="Pago tarjeta"),-1,1)*O1914,0)+IF(AND(U1914&lt;&gt;"",IFERROR(INDEX(ctaLiq,MATCH(G1914,ctaNom,0))="Sí",FALSE)),O1914,0))</f>
        <v/>
      </c>
      <c r="W1914" s="19">
        <f>IF(OR(F1914="",I1914=""),"",IF(COUNTIFS(F$6:F1914,F1914,I$6:I1914,"?*")=1,MAX(W$5:W1913)+1,""))</f>
        <v/>
      </c>
    </row>
    <row r="1915">
      <c r="B1915" s="15" t="n"/>
      <c r="C1915" s="16" t="n"/>
      <c r="D1915" s="17" t="n"/>
      <c r="E1915" s="17" t="n"/>
      <c r="F1915" s="17" t="n"/>
      <c r="G1915" s="17" t="n"/>
      <c r="H1915" s="18">
        <f>IF(AND(B1915="",C1915="",D1915="",E1915=""),"",IF(B1915="","⚠ Falta fecha",IF(C1915="","⚠ Falta monto",IF(D1915="","⚠ Falta categoría",IF(ISNA(MATCH(D1915,catNom,0)),"⚠ Categoría no existe",IF(E1915="","⚠ Falta cuenta",IF(ISNA(MATCH(E1915,ctaNom,0)),"⚠ Cuenta no existe",IF(AND(OR(I1915="Transferencia",I1915="Pago tarjeta"),G1915=""),"⚠ Indica la cuenta «Hacia»",IF(AND(G1915&lt;&gt;"",G1915=E1915),"⚠ «Hacia» igual a la cuenta",IF(AND(G1915&lt;&gt;"",ISNA(MATCH(G1915,ctaNom,0))),"⚠ «Hacia» no existe",IF(AND(I1915="Pago tarjeta",IFERROR(INDEX(ctaTipo,MATCH(G1915,ctaNom,0)),"")&lt;&gt;"Tarjeta de crédito"),"⚠ «Hacia» debe ser la tarjeta",IF(AND(I1915="Trading",IFERROR(INDEX(ctaTipo,MATCH(E1915,ctaNom,0)),"")&lt;&gt;"Cuenta de trading"),"⚠ Usa la cuenta de trading","✓"))))))))))))</f>
        <v/>
      </c>
      <c r="I1915" s="19">
        <f>IF(OR(B1915="",C1915="",D1915=""),"",IFERROR(INDEX(catTipo,MATCH(D1915,catNom,0))&amp;"",""))</f>
        <v/>
      </c>
      <c r="J1915" s="19">
        <f>IF(I1915="","",IFERROR(INDEX(catGrupo,MATCH(D1915,catNom,0))&amp;"",""))</f>
        <v/>
      </c>
      <c r="K1915" s="19">
        <f>IF(I1915="Gasto",IF(IFERROR(INDEX(catClas,MATCH(D1915,catNom,0))&amp;"","")="","Variable",IFERROR(INDEX(catClas,MATCH(D1915,catNom,0))&amp;"","")),"")</f>
        <v/>
      </c>
      <c r="L1915" s="19">
        <f>IF(I1915="","",IFERROR(INDEX(catAlim,MATCH(D1915,catNom,0))&amp;"",""))</f>
        <v/>
      </c>
      <c r="M1915" s="19">
        <f>IF(I1915="","",IFERROR(INDEX(catComida,MATCH(D1915,catNom,0))&amp;"",""))</f>
        <v/>
      </c>
      <c r="N1915" s="19">
        <f>IF(I1915="","",IFERROR(INDEX(ctaMon,MATCH(E1915,ctaNom,0))&amp;"","DOP"))</f>
        <v/>
      </c>
      <c r="O1915" s="20">
        <f>IF(I1915="","",C1915*IF(N1915="USD",TasaUSD,1))</f>
        <v/>
      </c>
      <c r="P1915" s="20">
        <f>IF(I1915="","",IF(I1915="Gasto",O1915,0))</f>
        <v/>
      </c>
      <c r="Q1915" s="20">
        <f>IF(I1915="","",IF(I1915="Ingreso",O1915,0))</f>
        <v/>
      </c>
      <c r="R1915" s="20">
        <f>IF(I1915="","",IF(I1915="Trading",O1915,0))</f>
        <v/>
      </c>
      <c r="S1915" s="19">
        <f>IF(I1915="","",IF(AND(I1915="Gasto",K1915="Variable",J1915&lt;&gt;"Trading",O1915&gt;0,O1915&lt;=Umbral),1,0))</f>
        <v/>
      </c>
      <c r="T1915" s="20">
        <f>IF(OR(I1915="",E1915=""),"",IF(OR(I1915="Gasto",I1915="Transferencia",I1915="Pago tarjeta"),-1,1)*C1915)</f>
        <v/>
      </c>
      <c r="U1915" s="20">
        <f>IF(OR(G1915="",AND(I1915&lt;&gt;"Transferencia",I1915&lt;&gt;"Pago tarjeta")),"",IF(IFERROR(INDEX(ctaMon,MATCH(G1915,ctaNom,0))&amp;"","DOP")=N1915,C1915,IF(N1915="USD",C1915*TasaUSD,C1915/TasaUSD)))</f>
        <v/>
      </c>
      <c r="V1915" s="20">
        <f>IF(I1915="","",IF(IFERROR(INDEX(ctaLiq,MATCH(E1915,ctaNom,0))="Sí",FALSE),IF(OR(I1915="Gasto",I1915="Transferencia",I1915="Pago tarjeta"),-1,1)*O1915,0)+IF(AND(U1915&lt;&gt;"",IFERROR(INDEX(ctaLiq,MATCH(G1915,ctaNom,0))="Sí",FALSE)),O1915,0))</f>
        <v/>
      </c>
      <c r="W1915" s="19">
        <f>IF(OR(F1915="",I1915=""),"",IF(COUNTIFS(F$6:F1915,F1915,I$6:I1915,"?*")=1,MAX(W$5:W1914)+1,""))</f>
        <v/>
      </c>
    </row>
    <row r="1916">
      <c r="B1916" s="15" t="n"/>
      <c r="C1916" s="16" t="n"/>
      <c r="D1916" s="17" t="n"/>
      <c r="E1916" s="17" t="n"/>
      <c r="F1916" s="17" t="n"/>
      <c r="G1916" s="17" t="n"/>
      <c r="H1916" s="18">
        <f>IF(AND(B1916="",C1916="",D1916="",E1916=""),"",IF(B1916="","⚠ Falta fecha",IF(C1916="","⚠ Falta monto",IF(D1916="","⚠ Falta categoría",IF(ISNA(MATCH(D1916,catNom,0)),"⚠ Categoría no existe",IF(E1916="","⚠ Falta cuenta",IF(ISNA(MATCH(E1916,ctaNom,0)),"⚠ Cuenta no existe",IF(AND(OR(I1916="Transferencia",I1916="Pago tarjeta"),G1916=""),"⚠ Indica la cuenta «Hacia»",IF(AND(G1916&lt;&gt;"",G1916=E1916),"⚠ «Hacia» igual a la cuenta",IF(AND(G1916&lt;&gt;"",ISNA(MATCH(G1916,ctaNom,0))),"⚠ «Hacia» no existe",IF(AND(I1916="Pago tarjeta",IFERROR(INDEX(ctaTipo,MATCH(G1916,ctaNom,0)),"")&lt;&gt;"Tarjeta de crédito"),"⚠ «Hacia» debe ser la tarjeta",IF(AND(I1916="Trading",IFERROR(INDEX(ctaTipo,MATCH(E1916,ctaNom,0)),"")&lt;&gt;"Cuenta de trading"),"⚠ Usa la cuenta de trading","✓"))))))))))))</f>
        <v/>
      </c>
      <c r="I1916" s="19">
        <f>IF(OR(B1916="",C1916="",D1916=""),"",IFERROR(INDEX(catTipo,MATCH(D1916,catNom,0))&amp;"",""))</f>
        <v/>
      </c>
      <c r="J1916" s="19">
        <f>IF(I1916="","",IFERROR(INDEX(catGrupo,MATCH(D1916,catNom,0))&amp;"",""))</f>
        <v/>
      </c>
      <c r="K1916" s="19">
        <f>IF(I1916="Gasto",IF(IFERROR(INDEX(catClas,MATCH(D1916,catNom,0))&amp;"","")="","Variable",IFERROR(INDEX(catClas,MATCH(D1916,catNom,0))&amp;"","")),"")</f>
        <v/>
      </c>
      <c r="L1916" s="19">
        <f>IF(I1916="","",IFERROR(INDEX(catAlim,MATCH(D1916,catNom,0))&amp;"",""))</f>
        <v/>
      </c>
      <c r="M1916" s="19">
        <f>IF(I1916="","",IFERROR(INDEX(catComida,MATCH(D1916,catNom,0))&amp;"",""))</f>
        <v/>
      </c>
      <c r="N1916" s="19">
        <f>IF(I1916="","",IFERROR(INDEX(ctaMon,MATCH(E1916,ctaNom,0))&amp;"","DOP"))</f>
        <v/>
      </c>
      <c r="O1916" s="20">
        <f>IF(I1916="","",C1916*IF(N1916="USD",TasaUSD,1))</f>
        <v/>
      </c>
      <c r="P1916" s="20">
        <f>IF(I1916="","",IF(I1916="Gasto",O1916,0))</f>
        <v/>
      </c>
      <c r="Q1916" s="20">
        <f>IF(I1916="","",IF(I1916="Ingreso",O1916,0))</f>
        <v/>
      </c>
      <c r="R1916" s="20">
        <f>IF(I1916="","",IF(I1916="Trading",O1916,0))</f>
        <v/>
      </c>
      <c r="S1916" s="19">
        <f>IF(I1916="","",IF(AND(I1916="Gasto",K1916="Variable",J1916&lt;&gt;"Trading",O1916&gt;0,O1916&lt;=Umbral),1,0))</f>
        <v/>
      </c>
      <c r="T1916" s="20">
        <f>IF(OR(I1916="",E1916=""),"",IF(OR(I1916="Gasto",I1916="Transferencia",I1916="Pago tarjeta"),-1,1)*C1916)</f>
        <v/>
      </c>
      <c r="U1916" s="20">
        <f>IF(OR(G1916="",AND(I1916&lt;&gt;"Transferencia",I1916&lt;&gt;"Pago tarjeta")),"",IF(IFERROR(INDEX(ctaMon,MATCH(G1916,ctaNom,0))&amp;"","DOP")=N1916,C1916,IF(N1916="USD",C1916*TasaUSD,C1916/TasaUSD)))</f>
        <v/>
      </c>
      <c r="V1916" s="20">
        <f>IF(I1916="","",IF(IFERROR(INDEX(ctaLiq,MATCH(E1916,ctaNom,0))="Sí",FALSE),IF(OR(I1916="Gasto",I1916="Transferencia",I1916="Pago tarjeta"),-1,1)*O1916,0)+IF(AND(U1916&lt;&gt;"",IFERROR(INDEX(ctaLiq,MATCH(G1916,ctaNom,0))="Sí",FALSE)),O1916,0))</f>
        <v/>
      </c>
      <c r="W1916" s="19">
        <f>IF(OR(F1916="",I1916=""),"",IF(COUNTIFS(F$6:F1916,F1916,I$6:I1916,"?*")=1,MAX(W$5:W1915)+1,""))</f>
        <v/>
      </c>
    </row>
    <row r="1917">
      <c r="B1917" s="15" t="n"/>
      <c r="C1917" s="16" t="n"/>
      <c r="D1917" s="17" t="n"/>
      <c r="E1917" s="17" t="n"/>
      <c r="F1917" s="17" t="n"/>
      <c r="G1917" s="17" t="n"/>
      <c r="H1917" s="18">
        <f>IF(AND(B1917="",C1917="",D1917="",E1917=""),"",IF(B1917="","⚠ Falta fecha",IF(C1917="","⚠ Falta monto",IF(D1917="","⚠ Falta categoría",IF(ISNA(MATCH(D1917,catNom,0)),"⚠ Categoría no existe",IF(E1917="","⚠ Falta cuenta",IF(ISNA(MATCH(E1917,ctaNom,0)),"⚠ Cuenta no existe",IF(AND(OR(I1917="Transferencia",I1917="Pago tarjeta"),G1917=""),"⚠ Indica la cuenta «Hacia»",IF(AND(G1917&lt;&gt;"",G1917=E1917),"⚠ «Hacia» igual a la cuenta",IF(AND(G1917&lt;&gt;"",ISNA(MATCH(G1917,ctaNom,0))),"⚠ «Hacia» no existe",IF(AND(I1917="Pago tarjeta",IFERROR(INDEX(ctaTipo,MATCH(G1917,ctaNom,0)),"")&lt;&gt;"Tarjeta de crédito"),"⚠ «Hacia» debe ser la tarjeta",IF(AND(I1917="Trading",IFERROR(INDEX(ctaTipo,MATCH(E1917,ctaNom,0)),"")&lt;&gt;"Cuenta de trading"),"⚠ Usa la cuenta de trading","✓"))))))))))))</f>
        <v/>
      </c>
      <c r="I1917" s="19">
        <f>IF(OR(B1917="",C1917="",D1917=""),"",IFERROR(INDEX(catTipo,MATCH(D1917,catNom,0))&amp;"",""))</f>
        <v/>
      </c>
      <c r="J1917" s="19">
        <f>IF(I1917="","",IFERROR(INDEX(catGrupo,MATCH(D1917,catNom,0))&amp;"",""))</f>
        <v/>
      </c>
      <c r="K1917" s="19">
        <f>IF(I1917="Gasto",IF(IFERROR(INDEX(catClas,MATCH(D1917,catNom,0))&amp;"","")="","Variable",IFERROR(INDEX(catClas,MATCH(D1917,catNom,0))&amp;"","")),"")</f>
        <v/>
      </c>
      <c r="L1917" s="19">
        <f>IF(I1917="","",IFERROR(INDEX(catAlim,MATCH(D1917,catNom,0))&amp;"",""))</f>
        <v/>
      </c>
      <c r="M1917" s="19">
        <f>IF(I1917="","",IFERROR(INDEX(catComida,MATCH(D1917,catNom,0))&amp;"",""))</f>
        <v/>
      </c>
      <c r="N1917" s="19">
        <f>IF(I1917="","",IFERROR(INDEX(ctaMon,MATCH(E1917,ctaNom,0))&amp;"","DOP"))</f>
        <v/>
      </c>
      <c r="O1917" s="20">
        <f>IF(I1917="","",C1917*IF(N1917="USD",TasaUSD,1))</f>
        <v/>
      </c>
      <c r="P1917" s="20">
        <f>IF(I1917="","",IF(I1917="Gasto",O1917,0))</f>
        <v/>
      </c>
      <c r="Q1917" s="20">
        <f>IF(I1917="","",IF(I1917="Ingreso",O1917,0))</f>
        <v/>
      </c>
      <c r="R1917" s="20">
        <f>IF(I1917="","",IF(I1917="Trading",O1917,0))</f>
        <v/>
      </c>
      <c r="S1917" s="19">
        <f>IF(I1917="","",IF(AND(I1917="Gasto",K1917="Variable",J1917&lt;&gt;"Trading",O1917&gt;0,O1917&lt;=Umbral),1,0))</f>
        <v/>
      </c>
      <c r="T1917" s="20">
        <f>IF(OR(I1917="",E1917=""),"",IF(OR(I1917="Gasto",I1917="Transferencia",I1917="Pago tarjeta"),-1,1)*C1917)</f>
        <v/>
      </c>
      <c r="U1917" s="20">
        <f>IF(OR(G1917="",AND(I1917&lt;&gt;"Transferencia",I1917&lt;&gt;"Pago tarjeta")),"",IF(IFERROR(INDEX(ctaMon,MATCH(G1917,ctaNom,0))&amp;"","DOP")=N1917,C1917,IF(N1917="USD",C1917*TasaUSD,C1917/TasaUSD)))</f>
        <v/>
      </c>
      <c r="V1917" s="20">
        <f>IF(I1917="","",IF(IFERROR(INDEX(ctaLiq,MATCH(E1917,ctaNom,0))="Sí",FALSE),IF(OR(I1917="Gasto",I1917="Transferencia",I1917="Pago tarjeta"),-1,1)*O1917,0)+IF(AND(U1917&lt;&gt;"",IFERROR(INDEX(ctaLiq,MATCH(G1917,ctaNom,0))="Sí",FALSE)),O1917,0))</f>
        <v/>
      </c>
      <c r="W1917" s="19">
        <f>IF(OR(F1917="",I1917=""),"",IF(COUNTIFS(F$6:F1917,F1917,I$6:I1917,"?*")=1,MAX(W$5:W1916)+1,""))</f>
        <v/>
      </c>
    </row>
    <row r="1918">
      <c r="B1918" s="15" t="n"/>
      <c r="C1918" s="16" t="n"/>
      <c r="D1918" s="17" t="n"/>
      <c r="E1918" s="17" t="n"/>
      <c r="F1918" s="17" t="n"/>
      <c r="G1918" s="17" t="n"/>
      <c r="H1918" s="18">
        <f>IF(AND(B1918="",C1918="",D1918="",E1918=""),"",IF(B1918="","⚠ Falta fecha",IF(C1918="","⚠ Falta monto",IF(D1918="","⚠ Falta categoría",IF(ISNA(MATCH(D1918,catNom,0)),"⚠ Categoría no existe",IF(E1918="","⚠ Falta cuenta",IF(ISNA(MATCH(E1918,ctaNom,0)),"⚠ Cuenta no existe",IF(AND(OR(I1918="Transferencia",I1918="Pago tarjeta"),G1918=""),"⚠ Indica la cuenta «Hacia»",IF(AND(G1918&lt;&gt;"",G1918=E1918),"⚠ «Hacia» igual a la cuenta",IF(AND(G1918&lt;&gt;"",ISNA(MATCH(G1918,ctaNom,0))),"⚠ «Hacia» no existe",IF(AND(I1918="Pago tarjeta",IFERROR(INDEX(ctaTipo,MATCH(G1918,ctaNom,0)),"")&lt;&gt;"Tarjeta de crédito"),"⚠ «Hacia» debe ser la tarjeta",IF(AND(I1918="Trading",IFERROR(INDEX(ctaTipo,MATCH(E1918,ctaNom,0)),"")&lt;&gt;"Cuenta de trading"),"⚠ Usa la cuenta de trading","✓"))))))))))))</f>
        <v/>
      </c>
      <c r="I1918" s="19">
        <f>IF(OR(B1918="",C1918="",D1918=""),"",IFERROR(INDEX(catTipo,MATCH(D1918,catNom,0))&amp;"",""))</f>
        <v/>
      </c>
      <c r="J1918" s="19">
        <f>IF(I1918="","",IFERROR(INDEX(catGrupo,MATCH(D1918,catNom,0))&amp;"",""))</f>
        <v/>
      </c>
      <c r="K1918" s="19">
        <f>IF(I1918="Gasto",IF(IFERROR(INDEX(catClas,MATCH(D1918,catNom,0))&amp;"","")="","Variable",IFERROR(INDEX(catClas,MATCH(D1918,catNom,0))&amp;"","")),"")</f>
        <v/>
      </c>
      <c r="L1918" s="19">
        <f>IF(I1918="","",IFERROR(INDEX(catAlim,MATCH(D1918,catNom,0))&amp;"",""))</f>
        <v/>
      </c>
      <c r="M1918" s="19">
        <f>IF(I1918="","",IFERROR(INDEX(catComida,MATCH(D1918,catNom,0))&amp;"",""))</f>
        <v/>
      </c>
      <c r="N1918" s="19">
        <f>IF(I1918="","",IFERROR(INDEX(ctaMon,MATCH(E1918,ctaNom,0))&amp;"","DOP"))</f>
        <v/>
      </c>
      <c r="O1918" s="20">
        <f>IF(I1918="","",C1918*IF(N1918="USD",TasaUSD,1))</f>
        <v/>
      </c>
      <c r="P1918" s="20">
        <f>IF(I1918="","",IF(I1918="Gasto",O1918,0))</f>
        <v/>
      </c>
      <c r="Q1918" s="20">
        <f>IF(I1918="","",IF(I1918="Ingreso",O1918,0))</f>
        <v/>
      </c>
      <c r="R1918" s="20">
        <f>IF(I1918="","",IF(I1918="Trading",O1918,0))</f>
        <v/>
      </c>
      <c r="S1918" s="19">
        <f>IF(I1918="","",IF(AND(I1918="Gasto",K1918="Variable",J1918&lt;&gt;"Trading",O1918&gt;0,O1918&lt;=Umbral),1,0))</f>
        <v/>
      </c>
      <c r="T1918" s="20">
        <f>IF(OR(I1918="",E1918=""),"",IF(OR(I1918="Gasto",I1918="Transferencia",I1918="Pago tarjeta"),-1,1)*C1918)</f>
        <v/>
      </c>
      <c r="U1918" s="20">
        <f>IF(OR(G1918="",AND(I1918&lt;&gt;"Transferencia",I1918&lt;&gt;"Pago tarjeta")),"",IF(IFERROR(INDEX(ctaMon,MATCH(G1918,ctaNom,0))&amp;"","DOP")=N1918,C1918,IF(N1918="USD",C1918*TasaUSD,C1918/TasaUSD)))</f>
        <v/>
      </c>
      <c r="V1918" s="20">
        <f>IF(I1918="","",IF(IFERROR(INDEX(ctaLiq,MATCH(E1918,ctaNom,0))="Sí",FALSE),IF(OR(I1918="Gasto",I1918="Transferencia",I1918="Pago tarjeta"),-1,1)*O1918,0)+IF(AND(U1918&lt;&gt;"",IFERROR(INDEX(ctaLiq,MATCH(G1918,ctaNom,0))="Sí",FALSE)),O1918,0))</f>
        <v/>
      </c>
      <c r="W1918" s="19">
        <f>IF(OR(F1918="",I1918=""),"",IF(COUNTIFS(F$6:F1918,F1918,I$6:I1918,"?*")=1,MAX(W$5:W1917)+1,""))</f>
        <v/>
      </c>
    </row>
    <row r="1919">
      <c r="B1919" s="15" t="n"/>
      <c r="C1919" s="16" t="n"/>
      <c r="D1919" s="17" t="n"/>
      <c r="E1919" s="17" t="n"/>
      <c r="F1919" s="17" t="n"/>
      <c r="G1919" s="17" t="n"/>
      <c r="H1919" s="18">
        <f>IF(AND(B1919="",C1919="",D1919="",E1919=""),"",IF(B1919="","⚠ Falta fecha",IF(C1919="","⚠ Falta monto",IF(D1919="","⚠ Falta categoría",IF(ISNA(MATCH(D1919,catNom,0)),"⚠ Categoría no existe",IF(E1919="","⚠ Falta cuenta",IF(ISNA(MATCH(E1919,ctaNom,0)),"⚠ Cuenta no existe",IF(AND(OR(I1919="Transferencia",I1919="Pago tarjeta"),G1919=""),"⚠ Indica la cuenta «Hacia»",IF(AND(G1919&lt;&gt;"",G1919=E1919),"⚠ «Hacia» igual a la cuenta",IF(AND(G1919&lt;&gt;"",ISNA(MATCH(G1919,ctaNom,0))),"⚠ «Hacia» no existe",IF(AND(I1919="Pago tarjeta",IFERROR(INDEX(ctaTipo,MATCH(G1919,ctaNom,0)),"")&lt;&gt;"Tarjeta de crédito"),"⚠ «Hacia» debe ser la tarjeta",IF(AND(I1919="Trading",IFERROR(INDEX(ctaTipo,MATCH(E1919,ctaNom,0)),"")&lt;&gt;"Cuenta de trading"),"⚠ Usa la cuenta de trading","✓"))))))))))))</f>
        <v/>
      </c>
      <c r="I1919" s="19">
        <f>IF(OR(B1919="",C1919="",D1919=""),"",IFERROR(INDEX(catTipo,MATCH(D1919,catNom,0))&amp;"",""))</f>
        <v/>
      </c>
      <c r="J1919" s="19">
        <f>IF(I1919="","",IFERROR(INDEX(catGrupo,MATCH(D1919,catNom,0))&amp;"",""))</f>
        <v/>
      </c>
      <c r="K1919" s="19">
        <f>IF(I1919="Gasto",IF(IFERROR(INDEX(catClas,MATCH(D1919,catNom,0))&amp;"","")="","Variable",IFERROR(INDEX(catClas,MATCH(D1919,catNom,0))&amp;"","")),"")</f>
        <v/>
      </c>
      <c r="L1919" s="19">
        <f>IF(I1919="","",IFERROR(INDEX(catAlim,MATCH(D1919,catNom,0))&amp;"",""))</f>
        <v/>
      </c>
      <c r="M1919" s="19">
        <f>IF(I1919="","",IFERROR(INDEX(catComida,MATCH(D1919,catNom,0))&amp;"",""))</f>
        <v/>
      </c>
      <c r="N1919" s="19">
        <f>IF(I1919="","",IFERROR(INDEX(ctaMon,MATCH(E1919,ctaNom,0))&amp;"","DOP"))</f>
        <v/>
      </c>
      <c r="O1919" s="20">
        <f>IF(I1919="","",C1919*IF(N1919="USD",TasaUSD,1))</f>
        <v/>
      </c>
      <c r="P1919" s="20">
        <f>IF(I1919="","",IF(I1919="Gasto",O1919,0))</f>
        <v/>
      </c>
      <c r="Q1919" s="20">
        <f>IF(I1919="","",IF(I1919="Ingreso",O1919,0))</f>
        <v/>
      </c>
      <c r="R1919" s="20">
        <f>IF(I1919="","",IF(I1919="Trading",O1919,0))</f>
        <v/>
      </c>
      <c r="S1919" s="19">
        <f>IF(I1919="","",IF(AND(I1919="Gasto",K1919="Variable",J1919&lt;&gt;"Trading",O1919&gt;0,O1919&lt;=Umbral),1,0))</f>
        <v/>
      </c>
      <c r="T1919" s="20">
        <f>IF(OR(I1919="",E1919=""),"",IF(OR(I1919="Gasto",I1919="Transferencia",I1919="Pago tarjeta"),-1,1)*C1919)</f>
        <v/>
      </c>
      <c r="U1919" s="20">
        <f>IF(OR(G1919="",AND(I1919&lt;&gt;"Transferencia",I1919&lt;&gt;"Pago tarjeta")),"",IF(IFERROR(INDEX(ctaMon,MATCH(G1919,ctaNom,0))&amp;"","DOP")=N1919,C1919,IF(N1919="USD",C1919*TasaUSD,C1919/TasaUSD)))</f>
        <v/>
      </c>
      <c r="V1919" s="20">
        <f>IF(I1919="","",IF(IFERROR(INDEX(ctaLiq,MATCH(E1919,ctaNom,0))="Sí",FALSE),IF(OR(I1919="Gasto",I1919="Transferencia",I1919="Pago tarjeta"),-1,1)*O1919,0)+IF(AND(U1919&lt;&gt;"",IFERROR(INDEX(ctaLiq,MATCH(G1919,ctaNom,0))="Sí",FALSE)),O1919,0))</f>
        <v/>
      </c>
      <c r="W1919" s="19">
        <f>IF(OR(F1919="",I1919=""),"",IF(COUNTIFS(F$6:F1919,F1919,I$6:I1919,"?*")=1,MAX(W$5:W1918)+1,""))</f>
        <v/>
      </c>
    </row>
    <row r="1920">
      <c r="B1920" s="15" t="n"/>
      <c r="C1920" s="16" t="n"/>
      <c r="D1920" s="17" t="n"/>
      <c r="E1920" s="17" t="n"/>
      <c r="F1920" s="17" t="n"/>
      <c r="G1920" s="17" t="n"/>
      <c r="H1920" s="18">
        <f>IF(AND(B1920="",C1920="",D1920="",E1920=""),"",IF(B1920="","⚠ Falta fecha",IF(C1920="","⚠ Falta monto",IF(D1920="","⚠ Falta categoría",IF(ISNA(MATCH(D1920,catNom,0)),"⚠ Categoría no existe",IF(E1920="","⚠ Falta cuenta",IF(ISNA(MATCH(E1920,ctaNom,0)),"⚠ Cuenta no existe",IF(AND(OR(I1920="Transferencia",I1920="Pago tarjeta"),G1920=""),"⚠ Indica la cuenta «Hacia»",IF(AND(G1920&lt;&gt;"",G1920=E1920),"⚠ «Hacia» igual a la cuenta",IF(AND(G1920&lt;&gt;"",ISNA(MATCH(G1920,ctaNom,0))),"⚠ «Hacia» no existe",IF(AND(I1920="Pago tarjeta",IFERROR(INDEX(ctaTipo,MATCH(G1920,ctaNom,0)),"")&lt;&gt;"Tarjeta de crédito"),"⚠ «Hacia» debe ser la tarjeta",IF(AND(I1920="Trading",IFERROR(INDEX(ctaTipo,MATCH(E1920,ctaNom,0)),"")&lt;&gt;"Cuenta de trading"),"⚠ Usa la cuenta de trading","✓"))))))))))))</f>
        <v/>
      </c>
      <c r="I1920" s="19">
        <f>IF(OR(B1920="",C1920="",D1920=""),"",IFERROR(INDEX(catTipo,MATCH(D1920,catNom,0))&amp;"",""))</f>
        <v/>
      </c>
      <c r="J1920" s="19">
        <f>IF(I1920="","",IFERROR(INDEX(catGrupo,MATCH(D1920,catNom,0))&amp;"",""))</f>
        <v/>
      </c>
      <c r="K1920" s="19">
        <f>IF(I1920="Gasto",IF(IFERROR(INDEX(catClas,MATCH(D1920,catNom,0))&amp;"","")="","Variable",IFERROR(INDEX(catClas,MATCH(D1920,catNom,0))&amp;"","")),"")</f>
        <v/>
      </c>
      <c r="L1920" s="19">
        <f>IF(I1920="","",IFERROR(INDEX(catAlim,MATCH(D1920,catNom,0))&amp;"",""))</f>
        <v/>
      </c>
      <c r="M1920" s="19">
        <f>IF(I1920="","",IFERROR(INDEX(catComida,MATCH(D1920,catNom,0))&amp;"",""))</f>
        <v/>
      </c>
      <c r="N1920" s="19">
        <f>IF(I1920="","",IFERROR(INDEX(ctaMon,MATCH(E1920,ctaNom,0))&amp;"","DOP"))</f>
        <v/>
      </c>
      <c r="O1920" s="20">
        <f>IF(I1920="","",C1920*IF(N1920="USD",TasaUSD,1))</f>
        <v/>
      </c>
      <c r="P1920" s="20">
        <f>IF(I1920="","",IF(I1920="Gasto",O1920,0))</f>
        <v/>
      </c>
      <c r="Q1920" s="20">
        <f>IF(I1920="","",IF(I1920="Ingreso",O1920,0))</f>
        <v/>
      </c>
      <c r="R1920" s="20">
        <f>IF(I1920="","",IF(I1920="Trading",O1920,0))</f>
        <v/>
      </c>
      <c r="S1920" s="19">
        <f>IF(I1920="","",IF(AND(I1920="Gasto",K1920="Variable",J1920&lt;&gt;"Trading",O1920&gt;0,O1920&lt;=Umbral),1,0))</f>
        <v/>
      </c>
      <c r="T1920" s="20">
        <f>IF(OR(I1920="",E1920=""),"",IF(OR(I1920="Gasto",I1920="Transferencia",I1920="Pago tarjeta"),-1,1)*C1920)</f>
        <v/>
      </c>
      <c r="U1920" s="20">
        <f>IF(OR(G1920="",AND(I1920&lt;&gt;"Transferencia",I1920&lt;&gt;"Pago tarjeta")),"",IF(IFERROR(INDEX(ctaMon,MATCH(G1920,ctaNom,0))&amp;"","DOP")=N1920,C1920,IF(N1920="USD",C1920*TasaUSD,C1920/TasaUSD)))</f>
        <v/>
      </c>
      <c r="V1920" s="20">
        <f>IF(I1920="","",IF(IFERROR(INDEX(ctaLiq,MATCH(E1920,ctaNom,0))="Sí",FALSE),IF(OR(I1920="Gasto",I1920="Transferencia",I1920="Pago tarjeta"),-1,1)*O1920,0)+IF(AND(U1920&lt;&gt;"",IFERROR(INDEX(ctaLiq,MATCH(G1920,ctaNom,0))="Sí",FALSE)),O1920,0))</f>
        <v/>
      </c>
      <c r="W1920" s="19">
        <f>IF(OR(F1920="",I1920=""),"",IF(COUNTIFS(F$6:F1920,F1920,I$6:I1920,"?*")=1,MAX(W$5:W1919)+1,""))</f>
        <v/>
      </c>
    </row>
    <row r="1921">
      <c r="B1921" s="15" t="n"/>
      <c r="C1921" s="16" t="n"/>
      <c r="D1921" s="17" t="n"/>
      <c r="E1921" s="17" t="n"/>
      <c r="F1921" s="17" t="n"/>
      <c r="G1921" s="17" t="n"/>
      <c r="H1921" s="18">
        <f>IF(AND(B1921="",C1921="",D1921="",E1921=""),"",IF(B1921="","⚠ Falta fecha",IF(C1921="","⚠ Falta monto",IF(D1921="","⚠ Falta categoría",IF(ISNA(MATCH(D1921,catNom,0)),"⚠ Categoría no existe",IF(E1921="","⚠ Falta cuenta",IF(ISNA(MATCH(E1921,ctaNom,0)),"⚠ Cuenta no existe",IF(AND(OR(I1921="Transferencia",I1921="Pago tarjeta"),G1921=""),"⚠ Indica la cuenta «Hacia»",IF(AND(G1921&lt;&gt;"",G1921=E1921),"⚠ «Hacia» igual a la cuenta",IF(AND(G1921&lt;&gt;"",ISNA(MATCH(G1921,ctaNom,0))),"⚠ «Hacia» no existe",IF(AND(I1921="Pago tarjeta",IFERROR(INDEX(ctaTipo,MATCH(G1921,ctaNom,0)),"")&lt;&gt;"Tarjeta de crédito"),"⚠ «Hacia» debe ser la tarjeta",IF(AND(I1921="Trading",IFERROR(INDEX(ctaTipo,MATCH(E1921,ctaNom,0)),"")&lt;&gt;"Cuenta de trading"),"⚠ Usa la cuenta de trading","✓"))))))))))))</f>
        <v/>
      </c>
      <c r="I1921" s="19">
        <f>IF(OR(B1921="",C1921="",D1921=""),"",IFERROR(INDEX(catTipo,MATCH(D1921,catNom,0))&amp;"",""))</f>
        <v/>
      </c>
      <c r="J1921" s="19">
        <f>IF(I1921="","",IFERROR(INDEX(catGrupo,MATCH(D1921,catNom,0))&amp;"",""))</f>
        <v/>
      </c>
      <c r="K1921" s="19">
        <f>IF(I1921="Gasto",IF(IFERROR(INDEX(catClas,MATCH(D1921,catNom,0))&amp;"","")="","Variable",IFERROR(INDEX(catClas,MATCH(D1921,catNom,0))&amp;"","")),"")</f>
        <v/>
      </c>
      <c r="L1921" s="19">
        <f>IF(I1921="","",IFERROR(INDEX(catAlim,MATCH(D1921,catNom,0))&amp;"",""))</f>
        <v/>
      </c>
      <c r="M1921" s="19">
        <f>IF(I1921="","",IFERROR(INDEX(catComida,MATCH(D1921,catNom,0))&amp;"",""))</f>
        <v/>
      </c>
      <c r="N1921" s="19">
        <f>IF(I1921="","",IFERROR(INDEX(ctaMon,MATCH(E1921,ctaNom,0))&amp;"","DOP"))</f>
        <v/>
      </c>
      <c r="O1921" s="20">
        <f>IF(I1921="","",C1921*IF(N1921="USD",TasaUSD,1))</f>
        <v/>
      </c>
      <c r="P1921" s="20">
        <f>IF(I1921="","",IF(I1921="Gasto",O1921,0))</f>
        <v/>
      </c>
      <c r="Q1921" s="20">
        <f>IF(I1921="","",IF(I1921="Ingreso",O1921,0))</f>
        <v/>
      </c>
      <c r="R1921" s="20">
        <f>IF(I1921="","",IF(I1921="Trading",O1921,0))</f>
        <v/>
      </c>
      <c r="S1921" s="19">
        <f>IF(I1921="","",IF(AND(I1921="Gasto",K1921="Variable",J1921&lt;&gt;"Trading",O1921&gt;0,O1921&lt;=Umbral),1,0))</f>
        <v/>
      </c>
      <c r="T1921" s="20">
        <f>IF(OR(I1921="",E1921=""),"",IF(OR(I1921="Gasto",I1921="Transferencia",I1921="Pago tarjeta"),-1,1)*C1921)</f>
        <v/>
      </c>
      <c r="U1921" s="20">
        <f>IF(OR(G1921="",AND(I1921&lt;&gt;"Transferencia",I1921&lt;&gt;"Pago tarjeta")),"",IF(IFERROR(INDEX(ctaMon,MATCH(G1921,ctaNom,0))&amp;"","DOP")=N1921,C1921,IF(N1921="USD",C1921*TasaUSD,C1921/TasaUSD)))</f>
        <v/>
      </c>
      <c r="V1921" s="20">
        <f>IF(I1921="","",IF(IFERROR(INDEX(ctaLiq,MATCH(E1921,ctaNom,0))="Sí",FALSE),IF(OR(I1921="Gasto",I1921="Transferencia",I1921="Pago tarjeta"),-1,1)*O1921,0)+IF(AND(U1921&lt;&gt;"",IFERROR(INDEX(ctaLiq,MATCH(G1921,ctaNom,0))="Sí",FALSE)),O1921,0))</f>
        <v/>
      </c>
      <c r="W1921" s="19">
        <f>IF(OR(F1921="",I1921=""),"",IF(COUNTIFS(F$6:F1921,F1921,I$6:I1921,"?*")=1,MAX(W$5:W1920)+1,""))</f>
        <v/>
      </c>
    </row>
    <row r="1922">
      <c r="B1922" s="15" t="n"/>
      <c r="C1922" s="16" t="n"/>
      <c r="D1922" s="17" t="n"/>
      <c r="E1922" s="17" t="n"/>
      <c r="F1922" s="17" t="n"/>
      <c r="G1922" s="17" t="n"/>
      <c r="H1922" s="18">
        <f>IF(AND(B1922="",C1922="",D1922="",E1922=""),"",IF(B1922="","⚠ Falta fecha",IF(C1922="","⚠ Falta monto",IF(D1922="","⚠ Falta categoría",IF(ISNA(MATCH(D1922,catNom,0)),"⚠ Categoría no existe",IF(E1922="","⚠ Falta cuenta",IF(ISNA(MATCH(E1922,ctaNom,0)),"⚠ Cuenta no existe",IF(AND(OR(I1922="Transferencia",I1922="Pago tarjeta"),G1922=""),"⚠ Indica la cuenta «Hacia»",IF(AND(G1922&lt;&gt;"",G1922=E1922),"⚠ «Hacia» igual a la cuenta",IF(AND(G1922&lt;&gt;"",ISNA(MATCH(G1922,ctaNom,0))),"⚠ «Hacia» no existe",IF(AND(I1922="Pago tarjeta",IFERROR(INDEX(ctaTipo,MATCH(G1922,ctaNom,0)),"")&lt;&gt;"Tarjeta de crédito"),"⚠ «Hacia» debe ser la tarjeta",IF(AND(I1922="Trading",IFERROR(INDEX(ctaTipo,MATCH(E1922,ctaNom,0)),"")&lt;&gt;"Cuenta de trading"),"⚠ Usa la cuenta de trading","✓"))))))))))))</f>
        <v/>
      </c>
      <c r="I1922" s="19">
        <f>IF(OR(B1922="",C1922="",D1922=""),"",IFERROR(INDEX(catTipo,MATCH(D1922,catNom,0))&amp;"",""))</f>
        <v/>
      </c>
      <c r="J1922" s="19">
        <f>IF(I1922="","",IFERROR(INDEX(catGrupo,MATCH(D1922,catNom,0))&amp;"",""))</f>
        <v/>
      </c>
      <c r="K1922" s="19">
        <f>IF(I1922="Gasto",IF(IFERROR(INDEX(catClas,MATCH(D1922,catNom,0))&amp;"","")="","Variable",IFERROR(INDEX(catClas,MATCH(D1922,catNom,0))&amp;"","")),"")</f>
        <v/>
      </c>
      <c r="L1922" s="19">
        <f>IF(I1922="","",IFERROR(INDEX(catAlim,MATCH(D1922,catNom,0))&amp;"",""))</f>
        <v/>
      </c>
      <c r="M1922" s="19">
        <f>IF(I1922="","",IFERROR(INDEX(catComida,MATCH(D1922,catNom,0))&amp;"",""))</f>
        <v/>
      </c>
      <c r="N1922" s="19">
        <f>IF(I1922="","",IFERROR(INDEX(ctaMon,MATCH(E1922,ctaNom,0))&amp;"","DOP"))</f>
        <v/>
      </c>
      <c r="O1922" s="20">
        <f>IF(I1922="","",C1922*IF(N1922="USD",TasaUSD,1))</f>
        <v/>
      </c>
      <c r="P1922" s="20">
        <f>IF(I1922="","",IF(I1922="Gasto",O1922,0))</f>
        <v/>
      </c>
      <c r="Q1922" s="20">
        <f>IF(I1922="","",IF(I1922="Ingreso",O1922,0))</f>
        <v/>
      </c>
      <c r="R1922" s="20">
        <f>IF(I1922="","",IF(I1922="Trading",O1922,0))</f>
        <v/>
      </c>
      <c r="S1922" s="19">
        <f>IF(I1922="","",IF(AND(I1922="Gasto",K1922="Variable",J1922&lt;&gt;"Trading",O1922&gt;0,O1922&lt;=Umbral),1,0))</f>
        <v/>
      </c>
      <c r="T1922" s="20">
        <f>IF(OR(I1922="",E1922=""),"",IF(OR(I1922="Gasto",I1922="Transferencia",I1922="Pago tarjeta"),-1,1)*C1922)</f>
        <v/>
      </c>
      <c r="U1922" s="20">
        <f>IF(OR(G1922="",AND(I1922&lt;&gt;"Transferencia",I1922&lt;&gt;"Pago tarjeta")),"",IF(IFERROR(INDEX(ctaMon,MATCH(G1922,ctaNom,0))&amp;"","DOP")=N1922,C1922,IF(N1922="USD",C1922*TasaUSD,C1922/TasaUSD)))</f>
        <v/>
      </c>
      <c r="V1922" s="20">
        <f>IF(I1922="","",IF(IFERROR(INDEX(ctaLiq,MATCH(E1922,ctaNom,0))="Sí",FALSE),IF(OR(I1922="Gasto",I1922="Transferencia",I1922="Pago tarjeta"),-1,1)*O1922,0)+IF(AND(U1922&lt;&gt;"",IFERROR(INDEX(ctaLiq,MATCH(G1922,ctaNom,0))="Sí",FALSE)),O1922,0))</f>
        <v/>
      </c>
      <c r="W1922" s="19">
        <f>IF(OR(F1922="",I1922=""),"",IF(COUNTIFS(F$6:F1922,F1922,I$6:I1922,"?*")=1,MAX(W$5:W1921)+1,""))</f>
        <v/>
      </c>
    </row>
    <row r="1923">
      <c r="B1923" s="15" t="n"/>
      <c r="C1923" s="16" t="n"/>
      <c r="D1923" s="17" t="n"/>
      <c r="E1923" s="17" t="n"/>
      <c r="F1923" s="17" t="n"/>
      <c r="G1923" s="17" t="n"/>
      <c r="H1923" s="18">
        <f>IF(AND(B1923="",C1923="",D1923="",E1923=""),"",IF(B1923="","⚠ Falta fecha",IF(C1923="","⚠ Falta monto",IF(D1923="","⚠ Falta categoría",IF(ISNA(MATCH(D1923,catNom,0)),"⚠ Categoría no existe",IF(E1923="","⚠ Falta cuenta",IF(ISNA(MATCH(E1923,ctaNom,0)),"⚠ Cuenta no existe",IF(AND(OR(I1923="Transferencia",I1923="Pago tarjeta"),G1923=""),"⚠ Indica la cuenta «Hacia»",IF(AND(G1923&lt;&gt;"",G1923=E1923),"⚠ «Hacia» igual a la cuenta",IF(AND(G1923&lt;&gt;"",ISNA(MATCH(G1923,ctaNom,0))),"⚠ «Hacia» no existe",IF(AND(I1923="Pago tarjeta",IFERROR(INDEX(ctaTipo,MATCH(G1923,ctaNom,0)),"")&lt;&gt;"Tarjeta de crédito"),"⚠ «Hacia» debe ser la tarjeta",IF(AND(I1923="Trading",IFERROR(INDEX(ctaTipo,MATCH(E1923,ctaNom,0)),"")&lt;&gt;"Cuenta de trading"),"⚠ Usa la cuenta de trading","✓"))))))))))))</f>
        <v/>
      </c>
      <c r="I1923" s="19">
        <f>IF(OR(B1923="",C1923="",D1923=""),"",IFERROR(INDEX(catTipo,MATCH(D1923,catNom,0))&amp;"",""))</f>
        <v/>
      </c>
      <c r="J1923" s="19">
        <f>IF(I1923="","",IFERROR(INDEX(catGrupo,MATCH(D1923,catNom,0))&amp;"",""))</f>
        <v/>
      </c>
      <c r="K1923" s="19">
        <f>IF(I1923="Gasto",IF(IFERROR(INDEX(catClas,MATCH(D1923,catNom,0))&amp;"","")="","Variable",IFERROR(INDEX(catClas,MATCH(D1923,catNom,0))&amp;"","")),"")</f>
        <v/>
      </c>
      <c r="L1923" s="19">
        <f>IF(I1923="","",IFERROR(INDEX(catAlim,MATCH(D1923,catNom,0))&amp;"",""))</f>
        <v/>
      </c>
      <c r="M1923" s="19">
        <f>IF(I1923="","",IFERROR(INDEX(catComida,MATCH(D1923,catNom,0))&amp;"",""))</f>
        <v/>
      </c>
      <c r="N1923" s="19">
        <f>IF(I1923="","",IFERROR(INDEX(ctaMon,MATCH(E1923,ctaNom,0))&amp;"","DOP"))</f>
        <v/>
      </c>
      <c r="O1923" s="20">
        <f>IF(I1923="","",C1923*IF(N1923="USD",TasaUSD,1))</f>
        <v/>
      </c>
      <c r="P1923" s="20">
        <f>IF(I1923="","",IF(I1923="Gasto",O1923,0))</f>
        <v/>
      </c>
      <c r="Q1923" s="20">
        <f>IF(I1923="","",IF(I1923="Ingreso",O1923,0))</f>
        <v/>
      </c>
      <c r="R1923" s="20">
        <f>IF(I1923="","",IF(I1923="Trading",O1923,0))</f>
        <v/>
      </c>
      <c r="S1923" s="19">
        <f>IF(I1923="","",IF(AND(I1923="Gasto",K1923="Variable",J1923&lt;&gt;"Trading",O1923&gt;0,O1923&lt;=Umbral),1,0))</f>
        <v/>
      </c>
      <c r="T1923" s="20">
        <f>IF(OR(I1923="",E1923=""),"",IF(OR(I1923="Gasto",I1923="Transferencia",I1923="Pago tarjeta"),-1,1)*C1923)</f>
        <v/>
      </c>
      <c r="U1923" s="20">
        <f>IF(OR(G1923="",AND(I1923&lt;&gt;"Transferencia",I1923&lt;&gt;"Pago tarjeta")),"",IF(IFERROR(INDEX(ctaMon,MATCH(G1923,ctaNom,0))&amp;"","DOP")=N1923,C1923,IF(N1923="USD",C1923*TasaUSD,C1923/TasaUSD)))</f>
        <v/>
      </c>
      <c r="V1923" s="20">
        <f>IF(I1923="","",IF(IFERROR(INDEX(ctaLiq,MATCH(E1923,ctaNom,0))="Sí",FALSE),IF(OR(I1923="Gasto",I1923="Transferencia",I1923="Pago tarjeta"),-1,1)*O1923,0)+IF(AND(U1923&lt;&gt;"",IFERROR(INDEX(ctaLiq,MATCH(G1923,ctaNom,0))="Sí",FALSE)),O1923,0))</f>
        <v/>
      </c>
      <c r="W1923" s="19">
        <f>IF(OR(F1923="",I1923=""),"",IF(COUNTIFS(F$6:F1923,F1923,I$6:I1923,"?*")=1,MAX(W$5:W1922)+1,""))</f>
        <v/>
      </c>
    </row>
    <row r="1924">
      <c r="B1924" s="15" t="n"/>
      <c r="C1924" s="16" t="n"/>
      <c r="D1924" s="17" t="n"/>
      <c r="E1924" s="17" t="n"/>
      <c r="F1924" s="17" t="n"/>
      <c r="G1924" s="17" t="n"/>
      <c r="H1924" s="18">
        <f>IF(AND(B1924="",C1924="",D1924="",E1924=""),"",IF(B1924="","⚠ Falta fecha",IF(C1924="","⚠ Falta monto",IF(D1924="","⚠ Falta categoría",IF(ISNA(MATCH(D1924,catNom,0)),"⚠ Categoría no existe",IF(E1924="","⚠ Falta cuenta",IF(ISNA(MATCH(E1924,ctaNom,0)),"⚠ Cuenta no existe",IF(AND(OR(I1924="Transferencia",I1924="Pago tarjeta"),G1924=""),"⚠ Indica la cuenta «Hacia»",IF(AND(G1924&lt;&gt;"",G1924=E1924),"⚠ «Hacia» igual a la cuenta",IF(AND(G1924&lt;&gt;"",ISNA(MATCH(G1924,ctaNom,0))),"⚠ «Hacia» no existe",IF(AND(I1924="Pago tarjeta",IFERROR(INDEX(ctaTipo,MATCH(G1924,ctaNom,0)),"")&lt;&gt;"Tarjeta de crédito"),"⚠ «Hacia» debe ser la tarjeta",IF(AND(I1924="Trading",IFERROR(INDEX(ctaTipo,MATCH(E1924,ctaNom,0)),"")&lt;&gt;"Cuenta de trading"),"⚠ Usa la cuenta de trading","✓"))))))))))))</f>
        <v/>
      </c>
      <c r="I1924" s="19">
        <f>IF(OR(B1924="",C1924="",D1924=""),"",IFERROR(INDEX(catTipo,MATCH(D1924,catNom,0))&amp;"",""))</f>
        <v/>
      </c>
      <c r="J1924" s="19">
        <f>IF(I1924="","",IFERROR(INDEX(catGrupo,MATCH(D1924,catNom,0))&amp;"",""))</f>
        <v/>
      </c>
      <c r="K1924" s="19">
        <f>IF(I1924="Gasto",IF(IFERROR(INDEX(catClas,MATCH(D1924,catNom,0))&amp;"","")="","Variable",IFERROR(INDEX(catClas,MATCH(D1924,catNom,0))&amp;"","")),"")</f>
        <v/>
      </c>
      <c r="L1924" s="19">
        <f>IF(I1924="","",IFERROR(INDEX(catAlim,MATCH(D1924,catNom,0))&amp;"",""))</f>
        <v/>
      </c>
      <c r="M1924" s="19">
        <f>IF(I1924="","",IFERROR(INDEX(catComida,MATCH(D1924,catNom,0))&amp;"",""))</f>
        <v/>
      </c>
      <c r="N1924" s="19">
        <f>IF(I1924="","",IFERROR(INDEX(ctaMon,MATCH(E1924,ctaNom,0))&amp;"","DOP"))</f>
        <v/>
      </c>
      <c r="O1924" s="20">
        <f>IF(I1924="","",C1924*IF(N1924="USD",TasaUSD,1))</f>
        <v/>
      </c>
      <c r="P1924" s="20">
        <f>IF(I1924="","",IF(I1924="Gasto",O1924,0))</f>
        <v/>
      </c>
      <c r="Q1924" s="20">
        <f>IF(I1924="","",IF(I1924="Ingreso",O1924,0))</f>
        <v/>
      </c>
      <c r="R1924" s="20">
        <f>IF(I1924="","",IF(I1924="Trading",O1924,0))</f>
        <v/>
      </c>
      <c r="S1924" s="19">
        <f>IF(I1924="","",IF(AND(I1924="Gasto",K1924="Variable",J1924&lt;&gt;"Trading",O1924&gt;0,O1924&lt;=Umbral),1,0))</f>
        <v/>
      </c>
      <c r="T1924" s="20">
        <f>IF(OR(I1924="",E1924=""),"",IF(OR(I1924="Gasto",I1924="Transferencia",I1924="Pago tarjeta"),-1,1)*C1924)</f>
        <v/>
      </c>
      <c r="U1924" s="20">
        <f>IF(OR(G1924="",AND(I1924&lt;&gt;"Transferencia",I1924&lt;&gt;"Pago tarjeta")),"",IF(IFERROR(INDEX(ctaMon,MATCH(G1924,ctaNom,0))&amp;"","DOP")=N1924,C1924,IF(N1924="USD",C1924*TasaUSD,C1924/TasaUSD)))</f>
        <v/>
      </c>
      <c r="V1924" s="20">
        <f>IF(I1924="","",IF(IFERROR(INDEX(ctaLiq,MATCH(E1924,ctaNom,0))="Sí",FALSE),IF(OR(I1924="Gasto",I1924="Transferencia",I1924="Pago tarjeta"),-1,1)*O1924,0)+IF(AND(U1924&lt;&gt;"",IFERROR(INDEX(ctaLiq,MATCH(G1924,ctaNom,0))="Sí",FALSE)),O1924,0))</f>
        <v/>
      </c>
      <c r="W1924" s="19">
        <f>IF(OR(F1924="",I1924=""),"",IF(COUNTIFS(F$6:F1924,F1924,I$6:I1924,"?*")=1,MAX(W$5:W1923)+1,""))</f>
        <v/>
      </c>
    </row>
    <row r="1925">
      <c r="B1925" s="15" t="n"/>
      <c r="C1925" s="16" t="n"/>
      <c r="D1925" s="17" t="n"/>
      <c r="E1925" s="17" t="n"/>
      <c r="F1925" s="17" t="n"/>
      <c r="G1925" s="17" t="n"/>
      <c r="H1925" s="18">
        <f>IF(AND(B1925="",C1925="",D1925="",E1925=""),"",IF(B1925="","⚠ Falta fecha",IF(C1925="","⚠ Falta monto",IF(D1925="","⚠ Falta categoría",IF(ISNA(MATCH(D1925,catNom,0)),"⚠ Categoría no existe",IF(E1925="","⚠ Falta cuenta",IF(ISNA(MATCH(E1925,ctaNom,0)),"⚠ Cuenta no existe",IF(AND(OR(I1925="Transferencia",I1925="Pago tarjeta"),G1925=""),"⚠ Indica la cuenta «Hacia»",IF(AND(G1925&lt;&gt;"",G1925=E1925),"⚠ «Hacia» igual a la cuenta",IF(AND(G1925&lt;&gt;"",ISNA(MATCH(G1925,ctaNom,0))),"⚠ «Hacia» no existe",IF(AND(I1925="Pago tarjeta",IFERROR(INDEX(ctaTipo,MATCH(G1925,ctaNom,0)),"")&lt;&gt;"Tarjeta de crédito"),"⚠ «Hacia» debe ser la tarjeta",IF(AND(I1925="Trading",IFERROR(INDEX(ctaTipo,MATCH(E1925,ctaNom,0)),"")&lt;&gt;"Cuenta de trading"),"⚠ Usa la cuenta de trading","✓"))))))))))))</f>
        <v/>
      </c>
      <c r="I1925" s="19">
        <f>IF(OR(B1925="",C1925="",D1925=""),"",IFERROR(INDEX(catTipo,MATCH(D1925,catNom,0))&amp;"",""))</f>
        <v/>
      </c>
      <c r="J1925" s="19">
        <f>IF(I1925="","",IFERROR(INDEX(catGrupo,MATCH(D1925,catNom,0))&amp;"",""))</f>
        <v/>
      </c>
      <c r="K1925" s="19">
        <f>IF(I1925="Gasto",IF(IFERROR(INDEX(catClas,MATCH(D1925,catNom,0))&amp;"","")="","Variable",IFERROR(INDEX(catClas,MATCH(D1925,catNom,0))&amp;"","")),"")</f>
        <v/>
      </c>
      <c r="L1925" s="19">
        <f>IF(I1925="","",IFERROR(INDEX(catAlim,MATCH(D1925,catNom,0))&amp;"",""))</f>
        <v/>
      </c>
      <c r="M1925" s="19">
        <f>IF(I1925="","",IFERROR(INDEX(catComida,MATCH(D1925,catNom,0))&amp;"",""))</f>
        <v/>
      </c>
      <c r="N1925" s="19">
        <f>IF(I1925="","",IFERROR(INDEX(ctaMon,MATCH(E1925,ctaNom,0))&amp;"","DOP"))</f>
        <v/>
      </c>
      <c r="O1925" s="20">
        <f>IF(I1925="","",C1925*IF(N1925="USD",TasaUSD,1))</f>
        <v/>
      </c>
      <c r="P1925" s="20">
        <f>IF(I1925="","",IF(I1925="Gasto",O1925,0))</f>
        <v/>
      </c>
      <c r="Q1925" s="20">
        <f>IF(I1925="","",IF(I1925="Ingreso",O1925,0))</f>
        <v/>
      </c>
      <c r="R1925" s="20">
        <f>IF(I1925="","",IF(I1925="Trading",O1925,0))</f>
        <v/>
      </c>
      <c r="S1925" s="19">
        <f>IF(I1925="","",IF(AND(I1925="Gasto",K1925="Variable",J1925&lt;&gt;"Trading",O1925&gt;0,O1925&lt;=Umbral),1,0))</f>
        <v/>
      </c>
      <c r="T1925" s="20">
        <f>IF(OR(I1925="",E1925=""),"",IF(OR(I1925="Gasto",I1925="Transferencia",I1925="Pago tarjeta"),-1,1)*C1925)</f>
        <v/>
      </c>
      <c r="U1925" s="20">
        <f>IF(OR(G1925="",AND(I1925&lt;&gt;"Transferencia",I1925&lt;&gt;"Pago tarjeta")),"",IF(IFERROR(INDEX(ctaMon,MATCH(G1925,ctaNom,0))&amp;"","DOP")=N1925,C1925,IF(N1925="USD",C1925*TasaUSD,C1925/TasaUSD)))</f>
        <v/>
      </c>
      <c r="V1925" s="20">
        <f>IF(I1925="","",IF(IFERROR(INDEX(ctaLiq,MATCH(E1925,ctaNom,0))="Sí",FALSE),IF(OR(I1925="Gasto",I1925="Transferencia",I1925="Pago tarjeta"),-1,1)*O1925,0)+IF(AND(U1925&lt;&gt;"",IFERROR(INDEX(ctaLiq,MATCH(G1925,ctaNom,0))="Sí",FALSE)),O1925,0))</f>
        <v/>
      </c>
      <c r="W1925" s="19">
        <f>IF(OR(F1925="",I1925=""),"",IF(COUNTIFS(F$6:F1925,F1925,I$6:I1925,"?*")=1,MAX(W$5:W1924)+1,""))</f>
        <v/>
      </c>
    </row>
    <row r="1926">
      <c r="B1926" s="15" t="n"/>
      <c r="C1926" s="16" t="n"/>
      <c r="D1926" s="17" t="n"/>
      <c r="E1926" s="17" t="n"/>
      <c r="F1926" s="17" t="n"/>
      <c r="G1926" s="17" t="n"/>
      <c r="H1926" s="18">
        <f>IF(AND(B1926="",C1926="",D1926="",E1926=""),"",IF(B1926="","⚠ Falta fecha",IF(C1926="","⚠ Falta monto",IF(D1926="","⚠ Falta categoría",IF(ISNA(MATCH(D1926,catNom,0)),"⚠ Categoría no existe",IF(E1926="","⚠ Falta cuenta",IF(ISNA(MATCH(E1926,ctaNom,0)),"⚠ Cuenta no existe",IF(AND(OR(I1926="Transferencia",I1926="Pago tarjeta"),G1926=""),"⚠ Indica la cuenta «Hacia»",IF(AND(G1926&lt;&gt;"",G1926=E1926),"⚠ «Hacia» igual a la cuenta",IF(AND(G1926&lt;&gt;"",ISNA(MATCH(G1926,ctaNom,0))),"⚠ «Hacia» no existe",IF(AND(I1926="Pago tarjeta",IFERROR(INDEX(ctaTipo,MATCH(G1926,ctaNom,0)),"")&lt;&gt;"Tarjeta de crédito"),"⚠ «Hacia» debe ser la tarjeta",IF(AND(I1926="Trading",IFERROR(INDEX(ctaTipo,MATCH(E1926,ctaNom,0)),"")&lt;&gt;"Cuenta de trading"),"⚠ Usa la cuenta de trading","✓"))))))))))))</f>
        <v/>
      </c>
      <c r="I1926" s="19">
        <f>IF(OR(B1926="",C1926="",D1926=""),"",IFERROR(INDEX(catTipo,MATCH(D1926,catNom,0))&amp;"",""))</f>
        <v/>
      </c>
      <c r="J1926" s="19">
        <f>IF(I1926="","",IFERROR(INDEX(catGrupo,MATCH(D1926,catNom,0))&amp;"",""))</f>
        <v/>
      </c>
      <c r="K1926" s="19">
        <f>IF(I1926="Gasto",IF(IFERROR(INDEX(catClas,MATCH(D1926,catNom,0))&amp;"","")="","Variable",IFERROR(INDEX(catClas,MATCH(D1926,catNom,0))&amp;"","")),"")</f>
        <v/>
      </c>
      <c r="L1926" s="19">
        <f>IF(I1926="","",IFERROR(INDEX(catAlim,MATCH(D1926,catNom,0))&amp;"",""))</f>
        <v/>
      </c>
      <c r="M1926" s="19">
        <f>IF(I1926="","",IFERROR(INDEX(catComida,MATCH(D1926,catNom,0))&amp;"",""))</f>
        <v/>
      </c>
      <c r="N1926" s="19">
        <f>IF(I1926="","",IFERROR(INDEX(ctaMon,MATCH(E1926,ctaNom,0))&amp;"","DOP"))</f>
        <v/>
      </c>
      <c r="O1926" s="20">
        <f>IF(I1926="","",C1926*IF(N1926="USD",TasaUSD,1))</f>
        <v/>
      </c>
      <c r="P1926" s="20">
        <f>IF(I1926="","",IF(I1926="Gasto",O1926,0))</f>
        <v/>
      </c>
      <c r="Q1926" s="20">
        <f>IF(I1926="","",IF(I1926="Ingreso",O1926,0))</f>
        <v/>
      </c>
      <c r="R1926" s="20">
        <f>IF(I1926="","",IF(I1926="Trading",O1926,0))</f>
        <v/>
      </c>
      <c r="S1926" s="19">
        <f>IF(I1926="","",IF(AND(I1926="Gasto",K1926="Variable",J1926&lt;&gt;"Trading",O1926&gt;0,O1926&lt;=Umbral),1,0))</f>
        <v/>
      </c>
      <c r="T1926" s="20">
        <f>IF(OR(I1926="",E1926=""),"",IF(OR(I1926="Gasto",I1926="Transferencia",I1926="Pago tarjeta"),-1,1)*C1926)</f>
        <v/>
      </c>
      <c r="U1926" s="20">
        <f>IF(OR(G1926="",AND(I1926&lt;&gt;"Transferencia",I1926&lt;&gt;"Pago tarjeta")),"",IF(IFERROR(INDEX(ctaMon,MATCH(G1926,ctaNom,0))&amp;"","DOP")=N1926,C1926,IF(N1926="USD",C1926*TasaUSD,C1926/TasaUSD)))</f>
        <v/>
      </c>
      <c r="V1926" s="20">
        <f>IF(I1926="","",IF(IFERROR(INDEX(ctaLiq,MATCH(E1926,ctaNom,0))="Sí",FALSE),IF(OR(I1926="Gasto",I1926="Transferencia",I1926="Pago tarjeta"),-1,1)*O1926,0)+IF(AND(U1926&lt;&gt;"",IFERROR(INDEX(ctaLiq,MATCH(G1926,ctaNom,0))="Sí",FALSE)),O1926,0))</f>
        <v/>
      </c>
      <c r="W1926" s="19">
        <f>IF(OR(F1926="",I1926=""),"",IF(COUNTIFS(F$6:F1926,F1926,I$6:I1926,"?*")=1,MAX(W$5:W1925)+1,""))</f>
        <v/>
      </c>
    </row>
    <row r="1927">
      <c r="B1927" s="15" t="n"/>
      <c r="C1927" s="16" t="n"/>
      <c r="D1927" s="17" t="n"/>
      <c r="E1927" s="17" t="n"/>
      <c r="F1927" s="17" t="n"/>
      <c r="G1927" s="17" t="n"/>
      <c r="H1927" s="18">
        <f>IF(AND(B1927="",C1927="",D1927="",E1927=""),"",IF(B1927="","⚠ Falta fecha",IF(C1927="","⚠ Falta monto",IF(D1927="","⚠ Falta categoría",IF(ISNA(MATCH(D1927,catNom,0)),"⚠ Categoría no existe",IF(E1927="","⚠ Falta cuenta",IF(ISNA(MATCH(E1927,ctaNom,0)),"⚠ Cuenta no existe",IF(AND(OR(I1927="Transferencia",I1927="Pago tarjeta"),G1927=""),"⚠ Indica la cuenta «Hacia»",IF(AND(G1927&lt;&gt;"",G1927=E1927),"⚠ «Hacia» igual a la cuenta",IF(AND(G1927&lt;&gt;"",ISNA(MATCH(G1927,ctaNom,0))),"⚠ «Hacia» no existe",IF(AND(I1927="Pago tarjeta",IFERROR(INDEX(ctaTipo,MATCH(G1927,ctaNom,0)),"")&lt;&gt;"Tarjeta de crédito"),"⚠ «Hacia» debe ser la tarjeta",IF(AND(I1927="Trading",IFERROR(INDEX(ctaTipo,MATCH(E1927,ctaNom,0)),"")&lt;&gt;"Cuenta de trading"),"⚠ Usa la cuenta de trading","✓"))))))))))))</f>
        <v/>
      </c>
      <c r="I1927" s="19">
        <f>IF(OR(B1927="",C1927="",D1927=""),"",IFERROR(INDEX(catTipo,MATCH(D1927,catNom,0))&amp;"",""))</f>
        <v/>
      </c>
      <c r="J1927" s="19">
        <f>IF(I1927="","",IFERROR(INDEX(catGrupo,MATCH(D1927,catNom,0))&amp;"",""))</f>
        <v/>
      </c>
      <c r="K1927" s="19">
        <f>IF(I1927="Gasto",IF(IFERROR(INDEX(catClas,MATCH(D1927,catNom,0))&amp;"","")="","Variable",IFERROR(INDEX(catClas,MATCH(D1927,catNom,0))&amp;"","")),"")</f>
        <v/>
      </c>
      <c r="L1927" s="19">
        <f>IF(I1927="","",IFERROR(INDEX(catAlim,MATCH(D1927,catNom,0))&amp;"",""))</f>
        <v/>
      </c>
      <c r="M1927" s="19">
        <f>IF(I1927="","",IFERROR(INDEX(catComida,MATCH(D1927,catNom,0))&amp;"",""))</f>
        <v/>
      </c>
      <c r="N1927" s="19">
        <f>IF(I1927="","",IFERROR(INDEX(ctaMon,MATCH(E1927,ctaNom,0))&amp;"","DOP"))</f>
        <v/>
      </c>
      <c r="O1927" s="20">
        <f>IF(I1927="","",C1927*IF(N1927="USD",TasaUSD,1))</f>
        <v/>
      </c>
      <c r="P1927" s="20">
        <f>IF(I1927="","",IF(I1927="Gasto",O1927,0))</f>
        <v/>
      </c>
      <c r="Q1927" s="20">
        <f>IF(I1927="","",IF(I1927="Ingreso",O1927,0))</f>
        <v/>
      </c>
      <c r="R1927" s="20">
        <f>IF(I1927="","",IF(I1927="Trading",O1927,0))</f>
        <v/>
      </c>
      <c r="S1927" s="19">
        <f>IF(I1927="","",IF(AND(I1927="Gasto",K1927="Variable",J1927&lt;&gt;"Trading",O1927&gt;0,O1927&lt;=Umbral),1,0))</f>
        <v/>
      </c>
      <c r="T1927" s="20">
        <f>IF(OR(I1927="",E1927=""),"",IF(OR(I1927="Gasto",I1927="Transferencia",I1927="Pago tarjeta"),-1,1)*C1927)</f>
        <v/>
      </c>
      <c r="U1927" s="20">
        <f>IF(OR(G1927="",AND(I1927&lt;&gt;"Transferencia",I1927&lt;&gt;"Pago tarjeta")),"",IF(IFERROR(INDEX(ctaMon,MATCH(G1927,ctaNom,0))&amp;"","DOP")=N1927,C1927,IF(N1927="USD",C1927*TasaUSD,C1927/TasaUSD)))</f>
        <v/>
      </c>
      <c r="V1927" s="20">
        <f>IF(I1927="","",IF(IFERROR(INDEX(ctaLiq,MATCH(E1927,ctaNom,0))="Sí",FALSE),IF(OR(I1927="Gasto",I1927="Transferencia",I1927="Pago tarjeta"),-1,1)*O1927,0)+IF(AND(U1927&lt;&gt;"",IFERROR(INDEX(ctaLiq,MATCH(G1927,ctaNom,0))="Sí",FALSE)),O1927,0))</f>
        <v/>
      </c>
      <c r="W1927" s="19">
        <f>IF(OR(F1927="",I1927=""),"",IF(COUNTIFS(F$6:F1927,F1927,I$6:I1927,"?*")=1,MAX(W$5:W1926)+1,""))</f>
        <v/>
      </c>
    </row>
    <row r="1928">
      <c r="B1928" s="15" t="n"/>
      <c r="C1928" s="16" t="n"/>
      <c r="D1928" s="17" t="n"/>
      <c r="E1928" s="17" t="n"/>
      <c r="F1928" s="17" t="n"/>
      <c r="G1928" s="17" t="n"/>
      <c r="H1928" s="18">
        <f>IF(AND(B1928="",C1928="",D1928="",E1928=""),"",IF(B1928="","⚠ Falta fecha",IF(C1928="","⚠ Falta monto",IF(D1928="","⚠ Falta categoría",IF(ISNA(MATCH(D1928,catNom,0)),"⚠ Categoría no existe",IF(E1928="","⚠ Falta cuenta",IF(ISNA(MATCH(E1928,ctaNom,0)),"⚠ Cuenta no existe",IF(AND(OR(I1928="Transferencia",I1928="Pago tarjeta"),G1928=""),"⚠ Indica la cuenta «Hacia»",IF(AND(G1928&lt;&gt;"",G1928=E1928),"⚠ «Hacia» igual a la cuenta",IF(AND(G1928&lt;&gt;"",ISNA(MATCH(G1928,ctaNom,0))),"⚠ «Hacia» no existe",IF(AND(I1928="Pago tarjeta",IFERROR(INDEX(ctaTipo,MATCH(G1928,ctaNom,0)),"")&lt;&gt;"Tarjeta de crédito"),"⚠ «Hacia» debe ser la tarjeta",IF(AND(I1928="Trading",IFERROR(INDEX(ctaTipo,MATCH(E1928,ctaNom,0)),"")&lt;&gt;"Cuenta de trading"),"⚠ Usa la cuenta de trading","✓"))))))))))))</f>
        <v/>
      </c>
      <c r="I1928" s="19">
        <f>IF(OR(B1928="",C1928="",D1928=""),"",IFERROR(INDEX(catTipo,MATCH(D1928,catNom,0))&amp;"",""))</f>
        <v/>
      </c>
      <c r="J1928" s="19">
        <f>IF(I1928="","",IFERROR(INDEX(catGrupo,MATCH(D1928,catNom,0))&amp;"",""))</f>
        <v/>
      </c>
      <c r="K1928" s="19">
        <f>IF(I1928="Gasto",IF(IFERROR(INDEX(catClas,MATCH(D1928,catNom,0))&amp;"","")="","Variable",IFERROR(INDEX(catClas,MATCH(D1928,catNom,0))&amp;"","")),"")</f>
        <v/>
      </c>
      <c r="L1928" s="19">
        <f>IF(I1928="","",IFERROR(INDEX(catAlim,MATCH(D1928,catNom,0))&amp;"",""))</f>
        <v/>
      </c>
      <c r="M1928" s="19">
        <f>IF(I1928="","",IFERROR(INDEX(catComida,MATCH(D1928,catNom,0))&amp;"",""))</f>
        <v/>
      </c>
      <c r="N1928" s="19">
        <f>IF(I1928="","",IFERROR(INDEX(ctaMon,MATCH(E1928,ctaNom,0))&amp;"","DOP"))</f>
        <v/>
      </c>
      <c r="O1928" s="20">
        <f>IF(I1928="","",C1928*IF(N1928="USD",TasaUSD,1))</f>
        <v/>
      </c>
      <c r="P1928" s="20">
        <f>IF(I1928="","",IF(I1928="Gasto",O1928,0))</f>
        <v/>
      </c>
      <c r="Q1928" s="20">
        <f>IF(I1928="","",IF(I1928="Ingreso",O1928,0))</f>
        <v/>
      </c>
      <c r="R1928" s="20">
        <f>IF(I1928="","",IF(I1928="Trading",O1928,0))</f>
        <v/>
      </c>
      <c r="S1928" s="19">
        <f>IF(I1928="","",IF(AND(I1928="Gasto",K1928="Variable",J1928&lt;&gt;"Trading",O1928&gt;0,O1928&lt;=Umbral),1,0))</f>
        <v/>
      </c>
      <c r="T1928" s="20">
        <f>IF(OR(I1928="",E1928=""),"",IF(OR(I1928="Gasto",I1928="Transferencia",I1928="Pago tarjeta"),-1,1)*C1928)</f>
        <v/>
      </c>
      <c r="U1928" s="20">
        <f>IF(OR(G1928="",AND(I1928&lt;&gt;"Transferencia",I1928&lt;&gt;"Pago tarjeta")),"",IF(IFERROR(INDEX(ctaMon,MATCH(G1928,ctaNom,0))&amp;"","DOP")=N1928,C1928,IF(N1928="USD",C1928*TasaUSD,C1928/TasaUSD)))</f>
        <v/>
      </c>
      <c r="V1928" s="20">
        <f>IF(I1928="","",IF(IFERROR(INDEX(ctaLiq,MATCH(E1928,ctaNom,0))="Sí",FALSE),IF(OR(I1928="Gasto",I1928="Transferencia",I1928="Pago tarjeta"),-1,1)*O1928,0)+IF(AND(U1928&lt;&gt;"",IFERROR(INDEX(ctaLiq,MATCH(G1928,ctaNom,0))="Sí",FALSE)),O1928,0))</f>
        <v/>
      </c>
      <c r="W1928" s="19">
        <f>IF(OR(F1928="",I1928=""),"",IF(COUNTIFS(F$6:F1928,F1928,I$6:I1928,"?*")=1,MAX(W$5:W1927)+1,""))</f>
        <v/>
      </c>
    </row>
    <row r="1929">
      <c r="B1929" s="15" t="n"/>
      <c r="C1929" s="16" t="n"/>
      <c r="D1929" s="17" t="n"/>
      <c r="E1929" s="17" t="n"/>
      <c r="F1929" s="17" t="n"/>
      <c r="G1929" s="17" t="n"/>
      <c r="H1929" s="18">
        <f>IF(AND(B1929="",C1929="",D1929="",E1929=""),"",IF(B1929="","⚠ Falta fecha",IF(C1929="","⚠ Falta monto",IF(D1929="","⚠ Falta categoría",IF(ISNA(MATCH(D1929,catNom,0)),"⚠ Categoría no existe",IF(E1929="","⚠ Falta cuenta",IF(ISNA(MATCH(E1929,ctaNom,0)),"⚠ Cuenta no existe",IF(AND(OR(I1929="Transferencia",I1929="Pago tarjeta"),G1929=""),"⚠ Indica la cuenta «Hacia»",IF(AND(G1929&lt;&gt;"",G1929=E1929),"⚠ «Hacia» igual a la cuenta",IF(AND(G1929&lt;&gt;"",ISNA(MATCH(G1929,ctaNom,0))),"⚠ «Hacia» no existe",IF(AND(I1929="Pago tarjeta",IFERROR(INDEX(ctaTipo,MATCH(G1929,ctaNom,0)),"")&lt;&gt;"Tarjeta de crédito"),"⚠ «Hacia» debe ser la tarjeta",IF(AND(I1929="Trading",IFERROR(INDEX(ctaTipo,MATCH(E1929,ctaNom,0)),"")&lt;&gt;"Cuenta de trading"),"⚠ Usa la cuenta de trading","✓"))))))))))))</f>
        <v/>
      </c>
      <c r="I1929" s="19">
        <f>IF(OR(B1929="",C1929="",D1929=""),"",IFERROR(INDEX(catTipo,MATCH(D1929,catNom,0))&amp;"",""))</f>
        <v/>
      </c>
      <c r="J1929" s="19">
        <f>IF(I1929="","",IFERROR(INDEX(catGrupo,MATCH(D1929,catNom,0))&amp;"",""))</f>
        <v/>
      </c>
      <c r="K1929" s="19">
        <f>IF(I1929="Gasto",IF(IFERROR(INDEX(catClas,MATCH(D1929,catNom,0))&amp;"","")="","Variable",IFERROR(INDEX(catClas,MATCH(D1929,catNom,0))&amp;"","")),"")</f>
        <v/>
      </c>
      <c r="L1929" s="19">
        <f>IF(I1929="","",IFERROR(INDEX(catAlim,MATCH(D1929,catNom,0))&amp;"",""))</f>
        <v/>
      </c>
      <c r="M1929" s="19">
        <f>IF(I1929="","",IFERROR(INDEX(catComida,MATCH(D1929,catNom,0))&amp;"",""))</f>
        <v/>
      </c>
      <c r="N1929" s="19">
        <f>IF(I1929="","",IFERROR(INDEX(ctaMon,MATCH(E1929,ctaNom,0))&amp;"","DOP"))</f>
        <v/>
      </c>
      <c r="O1929" s="20">
        <f>IF(I1929="","",C1929*IF(N1929="USD",TasaUSD,1))</f>
        <v/>
      </c>
      <c r="P1929" s="20">
        <f>IF(I1929="","",IF(I1929="Gasto",O1929,0))</f>
        <v/>
      </c>
      <c r="Q1929" s="20">
        <f>IF(I1929="","",IF(I1929="Ingreso",O1929,0))</f>
        <v/>
      </c>
      <c r="R1929" s="20">
        <f>IF(I1929="","",IF(I1929="Trading",O1929,0))</f>
        <v/>
      </c>
      <c r="S1929" s="19">
        <f>IF(I1929="","",IF(AND(I1929="Gasto",K1929="Variable",J1929&lt;&gt;"Trading",O1929&gt;0,O1929&lt;=Umbral),1,0))</f>
        <v/>
      </c>
      <c r="T1929" s="20">
        <f>IF(OR(I1929="",E1929=""),"",IF(OR(I1929="Gasto",I1929="Transferencia",I1929="Pago tarjeta"),-1,1)*C1929)</f>
        <v/>
      </c>
      <c r="U1929" s="20">
        <f>IF(OR(G1929="",AND(I1929&lt;&gt;"Transferencia",I1929&lt;&gt;"Pago tarjeta")),"",IF(IFERROR(INDEX(ctaMon,MATCH(G1929,ctaNom,0))&amp;"","DOP")=N1929,C1929,IF(N1929="USD",C1929*TasaUSD,C1929/TasaUSD)))</f>
        <v/>
      </c>
      <c r="V1929" s="20">
        <f>IF(I1929="","",IF(IFERROR(INDEX(ctaLiq,MATCH(E1929,ctaNom,0))="Sí",FALSE),IF(OR(I1929="Gasto",I1929="Transferencia",I1929="Pago tarjeta"),-1,1)*O1929,0)+IF(AND(U1929&lt;&gt;"",IFERROR(INDEX(ctaLiq,MATCH(G1929,ctaNom,0))="Sí",FALSE)),O1929,0))</f>
        <v/>
      </c>
      <c r="W1929" s="19">
        <f>IF(OR(F1929="",I1929=""),"",IF(COUNTIFS(F$6:F1929,F1929,I$6:I1929,"?*")=1,MAX(W$5:W1928)+1,""))</f>
        <v/>
      </c>
    </row>
    <row r="1930">
      <c r="B1930" s="15" t="n"/>
      <c r="C1930" s="16" t="n"/>
      <c r="D1930" s="17" t="n"/>
      <c r="E1930" s="17" t="n"/>
      <c r="F1930" s="17" t="n"/>
      <c r="G1930" s="17" t="n"/>
      <c r="H1930" s="18">
        <f>IF(AND(B1930="",C1930="",D1930="",E1930=""),"",IF(B1930="","⚠ Falta fecha",IF(C1930="","⚠ Falta monto",IF(D1930="","⚠ Falta categoría",IF(ISNA(MATCH(D1930,catNom,0)),"⚠ Categoría no existe",IF(E1930="","⚠ Falta cuenta",IF(ISNA(MATCH(E1930,ctaNom,0)),"⚠ Cuenta no existe",IF(AND(OR(I1930="Transferencia",I1930="Pago tarjeta"),G1930=""),"⚠ Indica la cuenta «Hacia»",IF(AND(G1930&lt;&gt;"",G1930=E1930),"⚠ «Hacia» igual a la cuenta",IF(AND(G1930&lt;&gt;"",ISNA(MATCH(G1930,ctaNom,0))),"⚠ «Hacia» no existe",IF(AND(I1930="Pago tarjeta",IFERROR(INDEX(ctaTipo,MATCH(G1930,ctaNom,0)),"")&lt;&gt;"Tarjeta de crédito"),"⚠ «Hacia» debe ser la tarjeta",IF(AND(I1930="Trading",IFERROR(INDEX(ctaTipo,MATCH(E1930,ctaNom,0)),"")&lt;&gt;"Cuenta de trading"),"⚠ Usa la cuenta de trading","✓"))))))))))))</f>
        <v/>
      </c>
      <c r="I1930" s="19">
        <f>IF(OR(B1930="",C1930="",D1930=""),"",IFERROR(INDEX(catTipo,MATCH(D1930,catNom,0))&amp;"",""))</f>
        <v/>
      </c>
      <c r="J1930" s="19">
        <f>IF(I1930="","",IFERROR(INDEX(catGrupo,MATCH(D1930,catNom,0))&amp;"",""))</f>
        <v/>
      </c>
      <c r="K1930" s="19">
        <f>IF(I1930="Gasto",IF(IFERROR(INDEX(catClas,MATCH(D1930,catNom,0))&amp;"","")="","Variable",IFERROR(INDEX(catClas,MATCH(D1930,catNom,0))&amp;"","")),"")</f>
        <v/>
      </c>
      <c r="L1930" s="19">
        <f>IF(I1930="","",IFERROR(INDEX(catAlim,MATCH(D1930,catNom,0))&amp;"",""))</f>
        <v/>
      </c>
      <c r="M1930" s="19">
        <f>IF(I1930="","",IFERROR(INDEX(catComida,MATCH(D1930,catNom,0))&amp;"",""))</f>
        <v/>
      </c>
      <c r="N1930" s="19">
        <f>IF(I1930="","",IFERROR(INDEX(ctaMon,MATCH(E1930,ctaNom,0))&amp;"","DOP"))</f>
        <v/>
      </c>
      <c r="O1930" s="20">
        <f>IF(I1930="","",C1930*IF(N1930="USD",TasaUSD,1))</f>
        <v/>
      </c>
      <c r="P1930" s="20">
        <f>IF(I1930="","",IF(I1930="Gasto",O1930,0))</f>
        <v/>
      </c>
      <c r="Q1930" s="20">
        <f>IF(I1930="","",IF(I1930="Ingreso",O1930,0))</f>
        <v/>
      </c>
      <c r="R1930" s="20">
        <f>IF(I1930="","",IF(I1930="Trading",O1930,0))</f>
        <v/>
      </c>
      <c r="S1930" s="19">
        <f>IF(I1930="","",IF(AND(I1930="Gasto",K1930="Variable",J1930&lt;&gt;"Trading",O1930&gt;0,O1930&lt;=Umbral),1,0))</f>
        <v/>
      </c>
      <c r="T1930" s="20">
        <f>IF(OR(I1930="",E1930=""),"",IF(OR(I1930="Gasto",I1930="Transferencia",I1930="Pago tarjeta"),-1,1)*C1930)</f>
        <v/>
      </c>
      <c r="U1930" s="20">
        <f>IF(OR(G1930="",AND(I1930&lt;&gt;"Transferencia",I1930&lt;&gt;"Pago tarjeta")),"",IF(IFERROR(INDEX(ctaMon,MATCH(G1930,ctaNom,0))&amp;"","DOP")=N1930,C1930,IF(N1930="USD",C1930*TasaUSD,C1930/TasaUSD)))</f>
        <v/>
      </c>
      <c r="V1930" s="20">
        <f>IF(I1930="","",IF(IFERROR(INDEX(ctaLiq,MATCH(E1930,ctaNom,0))="Sí",FALSE),IF(OR(I1930="Gasto",I1930="Transferencia",I1930="Pago tarjeta"),-1,1)*O1930,0)+IF(AND(U1930&lt;&gt;"",IFERROR(INDEX(ctaLiq,MATCH(G1930,ctaNom,0))="Sí",FALSE)),O1930,0))</f>
        <v/>
      </c>
      <c r="W1930" s="19">
        <f>IF(OR(F1930="",I1930=""),"",IF(COUNTIFS(F$6:F1930,F1930,I$6:I1930,"?*")=1,MAX(W$5:W1929)+1,""))</f>
        <v/>
      </c>
    </row>
    <row r="1931">
      <c r="B1931" s="15" t="n"/>
      <c r="C1931" s="16" t="n"/>
      <c r="D1931" s="17" t="n"/>
      <c r="E1931" s="17" t="n"/>
      <c r="F1931" s="17" t="n"/>
      <c r="G1931" s="17" t="n"/>
      <c r="H1931" s="18">
        <f>IF(AND(B1931="",C1931="",D1931="",E1931=""),"",IF(B1931="","⚠ Falta fecha",IF(C1931="","⚠ Falta monto",IF(D1931="","⚠ Falta categoría",IF(ISNA(MATCH(D1931,catNom,0)),"⚠ Categoría no existe",IF(E1931="","⚠ Falta cuenta",IF(ISNA(MATCH(E1931,ctaNom,0)),"⚠ Cuenta no existe",IF(AND(OR(I1931="Transferencia",I1931="Pago tarjeta"),G1931=""),"⚠ Indica la cuenta «Hacia»",IF(AND(G1931&lt;&gt;"",G1931=E1931),"⚠ «Hacia» igual a la cuenta",IF(AND(G1931&lt;&gt;"",ISNA(MATCH(G1931,ctaNom,0))),"⚠ «Hacia» no existe",IF(AND(I1931="Pago tarjeta",IFERROR(INDEX(ctaTipo,MATCH(G1931,ctaNom,0)),"")&lt;&gt;"Tarjeta de crédito"),"⚠ «Hacia» debe ser la tarjeta",IF(AND(I1931="Trading",IFERROR(INDEX(ctaTipo,MATCH(E1931,ctaNom,0)),"")&lt;&gt;"Cuenta de trading"),"⚠ Usa la cuenta de trading","✓"))))))))))))</f>
        <v/>
      </c>
      <c r="I1931" s="19">
        <f>IF(OR(B1931="",C1931="",D1931=""),"",IFERROR(INDEX(catTipo,MATCH(D1931,catNom,0))&amp;"",""))</f>
        <v/>
      </c>
      <c r="J1931" s="19">
        <f>IF(I1931="","",IFERROR(INDEX(catGrupo,MATCH(D1931,catNom,0))&amp;"",""))</f>
        <v/>
      </c>
      <c r="K1931" s="19">
        <f>IF(I1931="Gasto",IF(IFERROR(INDEX(catClas,MATCH(D1931,catNom,0))&amp;"","")="","Variable",IFERROR(INDEX(catClas,MATCH(D1931,catNom,0))&amp;"","")),"")</f>
        <v/>
      </c>
      <c r="L1931" s="19">
        <f>IF(I1931="","",IFERROR(INDEX(catAlim,MATCH(D1931,catNom,0))&amp;"",""))</f>
        <v/>
      </c>
      <c r="M1931" s="19">
        <f>IF(I1931="","",IFERROR(INDEX(catComida,MATCH(D1931,catNom,0))&amp;"",""))</f>
        <v/>
      </c>
      <c r="N1931" s="19">
        <f>IF(I1931="","",IFERROR(INDEX(ctaMon,MATCH(E1931,ctaNom,0))&amp;"","DOP"))</f>
        <v/>
      </c>
      <c r="O1931" s="20">
        <f>IF(I1931="","",C1931*IF(N1931="USD",TasaUSD,1))</f>
        <v/>
      </c>
      <c r="P1931" s="20">
        <f>IF(I1931="","",IF(I1931="Gasto",O1931,0))</f>
        <v/>
      </c>
      <c r="Q1931" s="20">
        <f>IF(I1931="","",IF(I1931="Ingreso",O1931,0))</f>
        <v/>
      </c>
      <c r="R1931" s="20">
        <f>IF(I1931="","",IF(I1931="Trading",O1931,0))</f>
        <v/>
      </c>
      <c r="S1931" s="19">
        <f>IF(I1931="","",IF(AND(I1931="Gasto",K1931="Variable",J1931&lt;&gt;"Trading",O1931&gt;0,O1931&lt;=Umbral),1,0))</f>
        <v/>
      </c>
      <c r="T1931" s="20">
        <f>IF(OR(I1931="",E1931=""),"",IF(OR(I1931="Gasto",I1931="Transferencia",I1931="Pago tarjeta"),-1,1)*C1931)</f>
        <v/>
      </c>
      <c r="U1931" s="20">
        <f>IF(OR(G1931="",AND(I1931&lt;&gt;"Transferencia",I1931&lt;&gt;"Pago tarjeta")),"",IF(IFERROR(INDEX(ctaMon,MATCH(G1931,ctaNom,0))&amp;"","DOP")=N1931,C1931,IF(N1931="USD",C1931*TasaUSD,C1931/TasaUSD)))</f>
        <v/>
      </c>
      <c r="V1931" s="20">
        <f>IF(I1931="","",IF(IFERROR(INDEX(ctaLiq,MATCH(E1931,ctaNom,0))="Sí",FALSE),IF(OR(I1931="Gasto",I1931="Transferencia",I1931="Pago tarjeta"),-1,1)*O1931,0)+IF(AND(U1931&lt;&gt;"",IFERROR(INDEX(ctaLiq,MATCH(G1931,ctaNom,0))="Sí",FALSE)),O1931,0))</f>
        <v/>
      </c>
      <c r="W1931" s="19">
        <f>IF(OR(F1931="",I1931=""),"",IF(COUNTIFS(F$6:F1931,F1931,I$6:I1931,"?*")=1,MAX(W$5:W1930)+1,""))</f>
        <v/>
      </c>
    </row>
    <row r="1932">
      <c r="B1932" s="15" t="n"/>
      <c r="C1932" s="16" t="n"/>
      <c r="D1932" s="17" t="n"/>
      <c r="E1932" s="17" t="n"/>
      <c r="F1932" s="17" t="n"/>
      <c r="G1932" s="17" t="n"/>
      <c r="H1932" s="18">
        <f>IF(AND(B1932="",C1932="",D1932="",E1932=""),"",IF(B1932="","⚠ Falta fecha",IF(C1932="","⚠ Falta monto",IF(D1932="","⚠ Falta categoría",IF(ISNA(MATCH(D1932,catNom,0)),"⚠ Categoría no existe",IF(E1932="","⚠ Falta cuenta",IF(ISNA(MATCH(E1932,ctaNom,0)),"⚠ Cuenta no existe",IF(AND(OR(I1932="Transferencia",I1932="Pago tarjeta"),G1932=""),"⚠ Indica la cuenta «Hacia»",IF(AND(G1932&lt;&gt;"",G1932=E1932),"⚠ «Hacia» igual a la cuenta",IF(AND(G1932&lt;&gt;"",ISNA(MATCH(G1932,ctaNom,0))),"⚠ «Hacia» no existe",IF(AND(I1932="Pago tarjeta",IFERROR(INDEX(ctaTipo,MATCH(G1932,ctaNom,0)),"")&lt;&gt;"Tarjeta de crédito"),"⚠ «Hacia» debe ser la tarjeta",IF(AND(I1932="Trading",IFERROR(INDEX(ctaTipo,MATCH(E1932,ctaNom,0)),"")&lt;&gt;"Cuenta de trading"),"⚠ Usa la cuenta de trading","✓"))))))))))))</f>
        <v/>
      </c>
      <c r="I1932" s="19">
        <f>IF(OR(B1932="",C1932="",D1932=""),"",IFERROR(INDEX(catTipo,MATCH(D1932,catNom,0))&amp;"",""))</f>
        <v/>
      </c>
      <c r="J1932" s="19">
        <f>IF(I1932="","",IFERROR(INDEX(catGrupo,MATCH(D1932,catNom,0))&amp;"",""))</f>
        <v/>
      </c>
      <c r="K1932" s="19">
        <f>IF(I1932="Gasto",IF(IFERROR(INDEX(catClas,MATCH(D1932,catNom,0))&amp;"","")="","Variable",IFERROR(INDEX(catClas,MATCH(D1932,catNom,0))&amp;"","")),"")</f>
        <v/>
      </c>
      <c r="L1932" s="19">
        <f>IF(I1932="","",IFERROR(INDEX(catAlim,MATCH(D1932,catNom,0))&amp;"",""))</f>
        <v/>
      </c>
      <c r="M1932" s="19">
        <f>IF(I1932="","",IFERROR(INDEX(catComida,MATCH(D1932,catNom,0))&amp;"",""))</f>
        <v/>
      </c>
      <c r="N1932" s="19">
        <f>IF(I1932="","",IFERROR(INDEX(ctaMon,MATCH(E1932,ctaNom,0))&amp;"","DOP"))</f>
        <v/>
      </c>
      <c r="O1932" s="20">
        <f>IF(I1932="","",C1932*IF(N1932="USD",TasaUSD,1))</f>
        <v/>
      </c>
      <c r="P1932" s="20">
        <f>IF(I1932="","",IF(I1932="Gasto",O1932,0))</f>
        <v/>
      </c>
      <c r="Q1932" s="20">
        <f>IF(I1932="","",IF(I1932="Ingreso",O1932,0))</f>
        <v/>
      </c>
      <c r="R1932" s="20">
        <f>IF(I1932="","",IF(I1932="Trading",O1932,0))</f>
        <v/>
      </c>
      <c r="S1932" s="19">
        <f>IF(I1932="","",IF(AND(I1932="Gasto",K1932="Variable",J1932&lt;&gt;"Trading",O1932&gt;0,O1932&lt;=Umbral),1,0))</f>
        <v/>
      </c>
      <c r="T1932" s="20">
        <f>IF(OR(I1932="",E1932=""),"",IF(OR(I1932="Gasto",I1932="Transferencia",I1932="Pago tarjeta"),-1,1)*C1932)</f>
        <v/>
      </c>
      <c r="U1932" s="20">
        <f>IF(OR(G1932="",AND(I1932&lt;&gt;"Transferencia",I1932&lt;&gt;"Pago tarjeta")),"",IF(IFERROR(INDEX(ctaMon,MATCH(G1932,ctaNom,0))&amp;"","DOP")=N1932,C1932,IF(N1932="USD",C1932*TasaUSD,C1932/TasaUSD)))</f>
        <v/>
      </c>
      <c r="V1932" s="20">
        <f>IF(I1932="","",IF(IFERROR(INDEX(ctaLiq,MATCH(E1932,ctaNom,0))="Sí",FALSE),IF(OR(I1932="Gasto",I1932="Transferencia",I1932="Pago tarjeta"),-1,1)*O1932,0)+IF(AND(U1932&lt;&gt;"",IFERROR(INDEX(ctaLiq,MATCH(G1932,ctaNom,0))="Sí",FALSE)),O1932,0))</f>
        <v/>
      </c>
      <c r="W1932" s="19">
        <f>IF(OR(F1932="",I1932=""),"",IF(COUNTIFS(F$6:F1932,F1932,I$6:I1932,"?*")=1,MAX(W$5:W1931)+1,""))</f>
        <v/>
      </c>
    </row>
    <row r="1933">
      <c r="B1933" s="15" t="n"/>
      <c r="C1933" s="16" t="n"/>
      <c r="D1933" s="17" t="n"/>
      <c r="E1933" s="17" t="n"/>
      <c r="F1933" s="17" t="n"/>
      <c r="G1933" s="17" t="n"/>
      <c r="H1933" s="18">
        <f>IF(AND(B1933="",C1933="",D1933="",E1933=""),"",IF(B1933="","⚠ Falta fecha",IF(C1933="","⚠ Falta monto",IF(D1933="","⚠ Falta categoría",IF(ISNA(MATCH(D1933,catNom,0)),"⚠ Categoría no existe",IF(E1933="","⚠ Falta cuenta",IF(ISNA(MATCH(E1933,ctaNom,0)),"⚠ Cuenta no existe",IF(AND(OR(I1933="Transferencia",I1933="Pago tarjeta"),G1933=""),"⚠ Indica la cuenta «Hacia»",IF(AND(G1933&lt;&gt;"",G1933=E1933),"⚠ «Hacia» igual a la cuenta",IF(AND(G1933&lt;&gt;"",ISNA(MATCH(G1933,ctaNom,0))),"⚠ «Hacia» no existe",IF(AND(I1933="Pago tarjeta",IFERROR(INDEX(ctaTipo,MATCH(G1933,ctaNom,0)),"")&lt;&gt;"Tarjeta de crédito"),"⚠ «Hacia» debe ser la tarjeta",IF(AND(I1933="Trading",IFERROR(INDEX(ctaTipo,MATCH(E1933,ctaNom,0)),"")&lt;&gt;"Cuenta de trading"),"⚠ Usa la cuenta de trading","✓"))))))))))))</f>
        <v/>
      </c>
      <c r="I1933" s="19">
        <f>IF(OR(B1933="",C1933="",D1933=""),"",IFERROR(INDEX(catTipo,MATCH(D1933,catNom,0))&amp;"",""))</f>
        <v/>
      </c>
      <c r="J1933" s="19">
        <f>IF(I1933="","",IFERROR(INDEX(catGrupo,MATCH(D1933,catNom,0))&amp;"",""))</f>
        <v/>
      </c>
      <c r="K1933" s="19">
        <f>IF(I1933="Gasto",IF(IFERROR(INDEX(catClas,MATCH(D1933,catNom,0))&amp;"","")="","Variable",IFERROR(INDEX(catClas,MATCH(D1933,catNom,0))&amp;"","")),"")</f>
        <v/>
      </c>
      <c r="L1933" s="19">
        <f>IF(I1933="","",IFERROR(INDEX(catAlim,MATCH(D1933,catNom,0))&amp;"",""))</f>
        <v/>
      </c>
      <c r="M1933" s="19">
        <f>IF(I1933="","",IFERROR(INDEX(catComida,MATCH(D1933,catNom,0))&amp;"",""))</f>
        <v/>
      </c>
      <c r="N1933" s="19">
        <f>IF(I1933="","",IFERROR(INDEX(ctaMon,MATCH(E1933,ctaNom,0))&amp;"","DOP"))</f>
        <v/>
      </c>
      <c r="O1933" s="20">
        <f>IF(I1933="","",C1933*IF(N1933="USD",TasaUSD,1))</f>
        <v/>
      </c>
      <c r="P1933" s="20">
        <f>IF(I1933="","",IF(I1933="Gasto",O1933,0))</f>
        <v/>
      </c>
      <c r="Q1933" s="20">
        <f>IF(I1933="","",IF(I1933="Ingreso",O1933,0))</f>
        <v/>
      </c>
      <c r="R1933" s="20">
        <f>IF(I1933="","",IF(I1933="Trading",O1933,0))</f>
        <v/>
      </c>
      <c r="S1933" s="19">
        <f>IF(I1933="","",IF(AND(I1933="Gasto",K1933="Variable",J1933&lt;&gt;"Trading",O1933&gt;0,O1933&lt;=Umbral),1,0))</f>
        <v/>
      </c>
      <c r="T1933" s="20">
        <f>IF(OR(I1933="",E1933=""),"",IF(OR(I1933="Gasto",I1933="Transferencia",I1933="Pago tarjeta"),-1,1)*C1933)</f>
        <v/>
      </c>
      <c r="U1933" s="20">
        <f>IF(OR(G1933="",AND(I1933&lt;&gt;"Transferencia",I1933&lt;&gt;"Pago tarjeta")),"",IF(IFERROR(INDEX(ctaMon,MATCH(G1933,ctaNom,0))&amp;"","DOP")=N1933,C1933,IF(N1933="USD",C1933*TasaUSD,C1933/TasaUSD)))</f>
        <v/>
      </c>
      <c r="V1933" s="20">
        <f>IF(I1933="","",IF(IFERROR(INDEX(ctaLiq,MATCH(E1933,ctaNom,0))="Sí",FALSE),IF(OR(I1933="Gasto",I1933="Transferencia",I1933="Pago tarjeta"),-1,1)*O1933,0)+IF(AND(U1933&lt;&gt;"",IFERROR(INDEX(ctaLiq,MATCH(G1933,ctaNom,0))="Sí",FALSE)),O1933,0))</f>
        <v/>
      </c>
      <c r="W1933" s="19">
        <f>IF(OR(F1933="",I1933=""),"",IF(COUNTIFS(F$6:F1933,F1933,I$6:I1933,"?*")=1,MAX(W$5:W1932)+1,""))</f>
        <v/>
      </c>
    </row>
    <row r="1934">
      <c r="B1934" s="15" t="n"/>
      <c r="C1934" s="16" t="n"/>
      <c r="D1934" s="17" t="n"/>
      <c r="E1934" s="17" t="n"/>
      <c r="F1934" s="17" t="n"/>
      <c r="G1934" s="17" t="n"/>
      <c r="H1934" s="18">
        <f>IF(AND(B1934="",C1934="",D1934="",E1934=""),"",IF(B1934="","⚠ Falta fecha",IF(C1934="","⚠ Falta monto",IF(D1934="","⚠ Falta categoría",IF(ISNA(MATCH(D1934,catNom,0)),"⚠ Categoría no existe",IF(E1934="","⚠ Falta cuenta",IF(ISNA(MATCH(E1934,ctaNom,0)),"⚠ Cuenta no existe",IF(AND(OR(I1934="Transferencia",I1934="Pago tarjeta"),G1934=""),"⚠ Indica la cuenta «Hacia»",IF(AND(G1934&lt;&gt;"",G1934=E1934),"⚠ «Hacia» igual a la cuenta",IF(AND(G1934&lt;&gt;"",ISNA(MATCH(G1934,ctaNom,0))),"⚠ «Hacia» no existe",IF(AND(I1934="Pago tarjeta",IFERROR(INDEX(ctaTipo,MATCH(G1934,ctaNom,0)),"")&lt;&gt;"Tarjeta de crédito"),"⚠ «Hacia» debe ser la tarjeta",IF(AND(I1934="Trading",IFERROR(INDEX(ctaTipo,MATCH(E1934,ctaNom,0)),"")&lt;&gt;"Cuenta de trading"),"⚠ Usa la cuenta de trading","✓"))))))))))))</f>
        <v/>
      </c>
      <c r="I1934" s="19">
        <f>IF(OR(B1934="",C1934="",D1934=""),"",IFERROR(INDEX(catTipo,MATCH(D1934,catNom,0))&amp;"",""))</f>
        <v/>
      </c>
      <c r="J1934" s="19">
        <f>IF(I1934="","",IFERROR(INDEX(catGrupo,MATCH(D1934,catNom,0))&amp;"",""))</f>
        <v/>
      </c>
      <c r="K1934" s="19">
        <f>IF(I1934="Gasto",IF(IFERROR(INDEX(catClas,MATCH(D1934,catNom,0))&amp;"","")="","Variable",IFERROR(INDEX(catClas,MATCH(D1934,catNom,0))&amp;"","")),"")</f>
        <v/>
      </c>
      <c r="L1934" s="19">
        <f>IF(I1934="","",IFERROR(INDEX(catAlim,MATCH(D1934,catNom,0))&amp;"",""))</f>
        <v/>
      </c>
      <c r="M1934" s="19">
        <f>IF(I1934="","",IFERROR(INDEX(catComida,MATCH(D1934,catNom,0))&amp;"",""))</f>
        <v/>
      </c>
      <c r="N1934" s="19">
        <f>IF(I1934="","",IFERROR(INDEX(ctaMon,MATCH(E1934,ctaNom,0))&amp;"","DOP"))</f>
        <v/>
      </c>
      <c r="O1934" s="20">
        <f>IF(I1934="","",C1934*IF(N1934="USD",TasaUSD,1))</f>
        <v/>
      </c>
      <c r="P1934" s="20">
        <f>IF(I1934="","",IF(I1934="Gasto",O1934,0))</f>
        <v/>
      </c>
      <c r="Q1934" s="20">
        <f>IF(I1934="","",IF(I1934="Ingreso",O1934,0))</f>
        <v/>
      </c>
      <c r="R1934" s="20">
        <f>IF(I1934="","",IF(I1934="Trading",O1934,0))</f>
        <v/>
      </c>
      <c r="S1934" s="19">
        <f>IF(I1934="","",IF(AND(I1934="Gasto",K1934="Variable",J1934&lt;&gt;"Trading",O1934&gt;0,O1934&lt;=Umbral),1,0))</f>
        <v/>
      </c>
      <c r="T1934" s="20">
        <f>IF(OR(I1934="",E1934=""),"",IF(OR(I1934="Gasto",I1934="Transferencia",I1934="Pago tarjeta"),-1,1)*C1934)</f>
        <v/>
      </c>
      <c r="U1934" s="20">
        <f>IF(OR(G1934="",AND(I1934&lt;&gt;"Transferencia",I1934&lt;&gt;"Pago tarjeta")),"",IF(IFERROR(INDEX(ctaMon,MATCH(G1934,ctaNom,0))&amp;"","DOP")=N1934,C1934,IF(N1934="USD",C1934*TasaUSD,C1934/TasaUSD)))</f>
        <v/>
      </c>
      <c r="V1934" s="20">
        <f>IF(I1934="","",IF(IFERROR(INDEX(ctaLiq,MATCH(E1934,ctaNom,0))="Sí",FALSE),IF(OR(I1934="Gasto",I1934="Transferencia",I1934="Pago tarjeta"),-1,1)*O1934,0)+IF(AND(U1934&lt;&gt;"",IFERROR(INDEX(ctaLiq,MATCH(G1934,ctaNom,0))="Sí",FALSE)),O1934,0))</f>
        <v/>
      </c>
      <c r="W1934" s="19">
        <f>IF(OR(F1934="",I1934=""),"",IF(COUNTIFS(F$6:F1934,F1934,I$6:I1934,"?*")=1,MAX(W$5:W1933)+1,""))</f>
        <v/>
      </c>
    </row>
    <row r="1935">
      <c r="B1935" s="15" t="n"/>
      <c r="C1935" s="16" t="n"/>
      <c r="D1935" s="17" t="n"/>
      <c r="E1935" s="17" t="n"/>
      <c r="F1935" s="17" t="n"/>
      <c r="G1935" s="17" t="n"/>
      <c r="H1935" s="18">
        <f>IF(AND(B1935="",C1935="",D1935="",E1935=""),"",IF(B1935="","⚠ Falta fecha",IF(C1935="","⚠ Falta monto",IF(D1935="","⚠ Falta categoría",IF(ISNA(MATCH(D1935,catNom,0)),"⚠ Categoría no existe",IF(E1935="","⚠ Falta cuenta",IF(ISNA(MATCH(E1935,ctaNom,0)),"⚠ Cuenta no existe",IF(AND(OR(I1935="Transferencia",I1935="Pago tarjeta"),G1935=""),"⚠ Indica la cuenta «Hacia»",IF(AND(G1935&lt;&gt;"",G1935=E1935),"⚠ «Hacia» igual a la cuenta",IF(AND(G1935&lt;&gt;"",ISNA(MATCH(G1935,ctaNom,0))),"⚠ «Hacia» no existe",IF(AND(I1935="Pago tarjeta",IFERROR(INDEX(ctaTipo,MATCH(G1935,ctaNom,0)),"")&lt;&gt;"Tarjeta de crédito"),"⚠ «Hacia» debe ser la tarjeta",IF(AND(I1935="Trading",IFERROR(INDEX(ctaTipo,MATCH(E1935,ctaNom,0)),"")&lt;&gt;"Cuenta de trading"),"⚠ Usa la cuenta de trading","✓"))))))))))))</f>
        <v/>
      </c>
      <c r="I1935" s="19">
        <f>IF(OR(B1935="",C1935="",D1935=""),"",IFERROR(INDEX(catTipo,MATCH(D1935,catNom,0))&amp;"",""))</f>
        <v/>
      </c>
      <c r="J1935" s="19">
        <f>IF(I1935="","",IFERROR(INDEX(catGrupo,MATCH(D1935,catNom,0))&amp;"",""))</f>
        <v/>
      </c>
      <c r="K1935" s="19">
        <f>IF(I1935="Gasto",IF(IFERROR(INDEX(catClas,MATCH(D1935,catNom,0))&amp;"","")="","Variable",IFERROR(INDEX(catClas,MATCH(D1935,catNom,0))&amp;"","")),"")</f>
        <v/>
      </c>
      <c r="L1935" s="19">
        <f>IF(I1935="","",IFERROR(INDEX(catAlim,MATCH(D1935,catNom,0))&amp;"",""))</f>
        <v/>
      </c>
      <c r="M1935" s="19">
        <f>IF(I1935="","",IFERROR(INDEX(catComida,MATCH(D1935,catNom,0))&amp;"",""))</f>
        <v/>
      </c>
      <c r="N1935" s="19">
        <f>IF(I1935="","",IFERROR(INDEX(ctaMon,MATCH(E1935,ctaNom,0))&amp;"","DOP"))</f>
        <v/>
      </c>
      <c r="O1935" s="20">
        <f>IF(I1935="","",C1935*IF(N1935="USD",TasaUSD,1))</f>
        <v/>
      </c>
      <c r="P1935" s="20">
        <f>IF(I1935="","",IF(I1935="Gasto",O1935,0))</f>
        <v/>
      </c>
      <c r="Q1935" s="20">
        <f>IF(I1935="","",IF(I1935="Ingreso",O1935,0))</f>
        <v/>
      </c>
      <c r="R1935" s="20">
        <f>IF(I1935="","",IF(I1935="Trading",O1935,0))</f>
        <v/>
      </c>
      <c r="S1935" s="19">
        <f>IF(I1935="","",IF(AND(I1935="Gasto",K1935="Variable",J1935&lt;&gt;"Trading",O1935&gt;0,O1935&lt;=Umbral),1,0))</f>
        <v/>
      </c>
      <c r="T1935" s="20">
        <f>IF(OR(I1935="",E1935=""),"",IF(OR(I1935="Gasto",I1935="Transferencia",I1935="Pago tarjeta"),-1,1)*C1935)</f>
        <v/>
      </c>
      <c r="U1935" s="20">
        <f>IF(OR(G1935="",AND(I1935&lt;&gt;"Transferencia",I1935&lt;&gt;"Pago tarjeta")),"",IF(IFERROR(INDEX(ctaMon,MATCH(G1935,ctaNom,0))&amp;"","DOP")=N1935,C1935,IF(N1935="USD",C1935*TasaUSD,C1935/TasaUSD)))</f>
        <v/>
      </c>
      <c r="V1935" s="20">
        <f>IF(I1935="","",IF(IFERROR(INDEX(ctaLiq,MATCH(E1935,ctaNom,0))="Sí",FALSE),IF(OR(I1935="Gasto",I1935="Transferencia",I1935="Pago tarjeta"),-1,1)*O1935,0)+IF(AND(U1935&lt;&gt;"",IFERROR(INDEX(ctaLiq,MATCH(G1935,ctaNom,0))="Sí",FALSE)),O1935,0))</f>
        <v/>
      </c>
      <c r="W1935" s="19">
        <f>IF(OR(F1935="",I1935=""),"",IF(COUNTIFS(F$6:F1935,F1935,I$6:I1935,"?*")=1,MAX(W$5:W1934)+1,""))</f>
        <v/>
      </c>
    </row>
    <row r="1936">
      <c r="B1936" s="15" t="n"/>
      <c r="C1936" s="16" t="n"/>
      <c r="D1936" s="17" t="n"/>
      <c r="E1936" s="17" t="n"/>
      <c r="F1936" s="17" t="n"/>
      <c r="G1936" s="17" t="n"/>
      <c r="H1936" s="18">
        <f>IF(AND(B1936="",C1936="",D1936="",E1936=""),"",IF(B1936="","⚠ Falta fecha",IF(C1936="","⚠ Falta monto",IF(D1936="","⚠ Falta categoría",IF(ISNA(MATCH(D1936,catNom,0)),"⚠ Categoría no existe",IF(E1936="","⚠ Falta cuenta",IF(ISNA(MATCH(E1936,ctaNom,0)),"⚠ Cuenta no existe",IF(AND(OR(I1936="Transferencia",I1936="Pago tarjeta"),G1936=""),"⚠ Indica la cuenta «Hacia»",IF(AND(G1936&lt;&gt;"",G1936=E1936),"⚠ «Hacia» igual a la cuenta",IF(AND(G1936&lt;&gt;"",ISNA(MATCH(G1936,ctaNom,0))),"⚠ «Hacia» no existe",IF(AND(I1936="Pago tarjeta",IFERROR(INDEX(ctaTipo,MATCH(G1936,ctaNom,0)),"")&lt;&gt;"Tarjeta de crédito"),"⚠ «Hacia» debe ser la tarjeta",IF(AND(I1936="Trading",IFERROR(INDEX(ctaTipo,MATCH(E1936,ctaNom,0)),"")&lt;&gt;"Cuenta de trading"),"⚠ Usa la cuenta de trading","✓"))))))))))))</f>
        <v/>
      </c>
      <c r="I1936" s="19">
        <f>IF(OR(B1936="",C1936="",D1936=""),"",IFERROR(INDEX(catTipo,MATCH(D1936,catNom,0))&amp;"",""))</f>
        <v/>
      </c>
      <c r="J1936" s="19">
        <f>IF(I1936="","",IFERROR(INDEX(catGrupo,MATCH(D1936,catNom,0))&amp;"",""))</f>
        <v/>
      </c>
      <c r="K1936" s="19">
        <f>IF(I1936="Gasto",IF(IFERROR(INDEX(catClas,MATCH(D1936,catNom,0))&amp;"","")="","Variable",IFERROR(INDEX(catClas,MATCH(D1936,catNom,0))&amp;"","")),"")</f>
        <v/>
      </c>
      <c r="L1936" s="19">
        <f>IF(I1936="","",IFERROR(INDEX(catAlim,MATCH(D1936,catNom,0))&amp;"",""))</f>
        <v/>
      </c>
      <c r="M1936" s="19">
        <f>IF(I1936="","",IFERROR(INDEX(catComida,MATCH(D1936,catNom,0))&amp;"",""))</f>
        <v/>
      </c>
      <c r="N1936" s="19">
        <f>IF(I1936="","",IFERROR(INDEX(ctaMon,MATCH(E1936,ctaNom,0))&amp;"","DOP"))</f>
        <v/>
      </c>
      <c r="O1936" s="20">
        <f>IF(I1936="","",C1936*IF(N1936="USD",TasaUSD,1))</f>
        <v/>
      </c>
      <c r="P1936" s="20">
        <f>IF(I1936="","",IF(I1936="Gasto",O1936,0))</f>
        <v/>
      </c>
      <c r="Q1936" s="20">
        <f>IF(I1936="","",IF(I1936="Ingreso",O1936,0))</f>
        <v/>
      </c>
      <c r="R1936" s="20">
        <f>IF(I1936="","",IF(I1936="Trading",O1936,0))</f>
        <v/>
      </c>
      <c r="S1936" s="19">
        <f>IF(I1936="","",IF(AND(I1936="Gasto",K1936="Variable",J1936&lt;&gt;"Trading",O1936&gt;0,O1936&lt;=Umbral),1,0))</f>
        <v/>
      </c>
      <c r="T1936" s="20">
        <f>IF(OR(I1936="",E1936=""),"",IF(OR(I1936="Gasto",I1936="Transferencia",I1936="Pago tarjeta"),-1,1)*C1936)</f>
        <v/>
      </c>
      <c r="U1936" s="20">
        <f>IF(OR(G1936="",AND(I1936&lt;&gt;"Transferencia",I1936&lt;&gt;"Pago tarjeta")),"",IF(IFERROR(INDEX(ctaMon,MATCH(G1936,ctaNom,0))&amp;"","DOP")=N1936,C1936,IF(N1936="USD",C1936*TasaUSD,C1936/TasaUSD)))</f>
        <v/>
      </c>
      <c r="V1936" s="20">
        <f>IF(I1936="","",IF(IFERROR(INDEX(ctaLiq,MATCH(E1936,ctaNom,0))="Sí",FALSE),IF(OR(I1936="Gasto",I1936="Transferencia",I1936="Pago tarjeta"),-1,1)*O1936,0)+IF(AND(U1936&lt;&gt;"",IFERROR(INDEX(ctaLiq,MATCH(G1936,ctaNom,0))="Sí",FALSE)),O1936,0))</f>
        <v/>
      </c>
      <c r="W1936" s="19">
        <f>IF(OR(F1936="",I1936=""),"",IF(COUNTIFS(F$6:F1936,F1936,I$6:I1936,"?*")=1,MAX(W$5:W1935)+1,""))</f>
        <v/>
      </c>
    </row>
    <row r="1937">
      <c r="B1937" s="15" t="n"/>
      <c r="C1937" s="16" t="n"/>
      <c r="D1937" s="17" t="n"/>
      <c r="E1937" s="17" t="n"/>
      <c r="F1937" s="17" t="n"/>
      <c r="G1937" s="17" t="n"/>
      <c r="H1937" s="18">
        <f>IF(AND(B1937="",C1937="",D1937="",E1937=""),"",IF(B1937="","⚠ Falta fecha",IF(C1937="","⚠ Falta monto",IF(D1937="","⚠ Falta categoría",IF(ISNA(MATCH(D1937,catNom,0)),"⚠ Categoría no existe",IF(E1937="","⚠ Falta cuenta",IF(ISNA(MATCH(E1937,ctaNom,0)),"⚠ Cuenta no existe",IF(AND(OR(I1937="Transferencia",I1937="Pago tarjeta"),G1937=""),"⚠ Indica la cuenta «Hacia»",IF(AND(G1937&lt;&gt;"",G1937=E1937),"⚠ «Hacia» igual a la cuenta",IF(AND(G1937&lt;&gt;"",ISNA(MATCH(G1937,ctaNom,0))),"⚠ «Hacia» no existe",IF(AND(I1937="Pago tarjeta",IFERROR(INDEX(ctaTipo,MATCH(G1937,ctaNom,0)),"")&lt;&gt;"Tarjeta de crédito"),"⚠ «Hacia» debe ser la tarjeta",IF(AND(I1937="Trading",IFERROR(INDEX(ctaTipo,MATCH(E1937,ctaNom,0)),"")&lt;&gt;"Cuenta de trading"),"⚠ Usa la cuenta de trading","✓"))))))))))))</f>
        <v/>
      </c>
      <c r="I1937" s="19">
        <f>IF(OR(B1937="",C1937="",D1937=""),"",IFERROR(INDEX(catTipo,MATCH(D1937,catNom,0))&amp;"",""))</f>
        <v/>
      </c>
      <c r="J1937" s="19">
        <f>IF(I1937="","",IFERROR(INDEX(catGrupo,MATCH(D1937,catNom,0))&amp;"",""))</f>
        <v/>
      </c>
      <c r="K1937" s="19">
        <f>IF(I1937="Gasto",IF(IFERROR(INDEX(catClas,MATCH(D1937,catNom,0))&amp;"","")="","Variable",IFERROR(INDEX(catClas,MATCH(D1937,catNom,0))&amp;"","")),"")</f>
        <v/>
      </c>
      <c r="L1937" s="19">
        <f>IF(I1937="","",IFERROR(INDEX(catAlim,MATCH(D1937,catNom,0))&amp;"",""))</f>
        <v/>
      </c>
      <c r="M1937" s="19">
        <f>IF(I1937="","",IFERROR(INDEX(catComida,MATCH(D1937,catNom,0))&amp;"",""))</f>
        <v/>
      </c>
      <c r="N1937" s="19">
        <f>IF(I1937="","",IFERROR(INDEX(ctaMon,MATCH(E1937,ctaNom,0))&amp;"","DOP"))</f>
        <v/>
      </c>
      <c r="O1937" s="20">
        <f>IF(I1937="","",C1937*IF(N1937="USD",TasaUSD,1))</f>
        <v/>
      </c>
      <c r="P1937" s="20">
        <f>IF(I1937="","",IF(I1937="Gasto",O1937,0))</f>
        <v/>
      </c>
      <c r="Q1937" s="20">
        <f>IF(I1937="","",IF(I1937="Ingreso",O1937,0))</f>
        <v/>
      </c>
      <c r="R1937" s="20">
        <f>IF(I1937="","",IF(I1937="Trading",O1937,0))</f>
        <v/>
      </c>
      <c r="S1937" s="19">
        <f>IF(I1937="","",IF(AND(I1937="Gasto",K1937="Variable",J1937&lt;&gt;"Trading",O1937&gt;0,O1937&lt;=Umbral),1,0))</f>
        <v/>
      </c>
      <c r="T1937" s="20">
        <f>IF(OR(I1937="",E1937=""),"",IF(OR(I1937="Gasto",I1937="Transferencia",I1937="Pago tarjeta"),-1,1)*C1937)</f>
        <v/>
      </c>
      <c r="U1937" s="20">
        <f>IF(OR(G1937="",AND(I1937&lt;&gt;"Transferencia",I1937&lt;&gt;"Pago tarjeta")),"",IF(IFERROR(INDEX(ctaMon,MATCH(G1937,ctaNom,0))&amp;"","DOP")=N1937,C1937,IF(N1937="USD",C1937*TasaUSD,C1937/TasaUSD)))</f>
        <v/>
      </c>
      <c r="V1937" s="20">
        <f>IF(I1937="","",IF(IFERROR(INDEX(ctaLiq,MATCH(E1937,ctaNom,0))="Sí",FALSE),IF(OR(I1937="Gasto",I1937="Transferencia",I1937="Pago tarjeta"),-1,1)*O1937,0)+IF(AND(U1937&lt;&gt;"",IFERROR(INDEX(ctaLiq,MATCH(G1937,ctaNom,0))="Sí",FALSE)),O1937,0))</f>
        <v/>
      </c>
      <c r="W1937" s="19">
        <f>IF(OR(F1937="",I1937=""),"",IF(COUNTIFS(F$6:F1937,F1937,I$6:I1937,"?*")=1,MAX(W$5:W1936)+1,""))</f>
        <v/>
      </c>
    </row>
    <row r="1938">
      <c r="B1938" s="15" t="n"/>
      <c r="C1938" s="16" t="n"/>
      <c r="D1938" s="17" t="n"/>
      <c r="E1938" s="17" t="n"/>
      <c r="F1938" s="17" t="n"/>
      <c r="G1938" s="17" t="n"/>
      <c r="H1938" s="18">
        <f>IF(AND(B1938="",C1938="",D1938="",E1938=""),"",IF(B1938="","⚠ Falta fecha",IF(C1938="","⚠ Falta monto",IF(D1938="","⚠ Falta categoría",IF(ISNA(MATCH(D1938,catNom,0)),"⚠ Categoría no existe",IF(E1938="","⚠ Falta cuenta",IF(ISNA(MATCH(E1938,ctaNom,0)),"⚠ Cuenta no existe",IF(AND(OR(I1938="Transferencia",I1938="Pago tarjeta"),G1938=""),"⚠ Indica la cuenta «Hacia»",IF(AND(G1938&lt;&gt;"",G1938=E1938),"⚠ «Hacia» igual a la cuenta",IF(AND(G1938&lt;&gt;"",ISNA(MATCH(G1938,ctaNom,0))),"⚠ «Hacia» no existe",IF(AND(I1938="Pago tarjeta",IFERROR(INDEX(ctaTipo,MATCH(G1938,ctaNom,0)),"")&lt;&gt;"Tarjeta de crédito"),"⚠ «Hacia» debe ser la tarjeta",IF(AND(I1938="Trading",IFERROR(INDEX(ctaTipo,MATCH(E1938,ctaNom,0)),"")&lt;&gt;"Cuenta de trading"),"⚠ Usa la cuenta de trading","✓"))))))))))))</f>
        <v/>
      </c>
      <c r="I1938" s="19">
        <f>IF(OR(B1938="",C1938="",D1938=""),"",IFERROR(INDEX(catTipo,MATCH(D1938,catNom,0))&amp;"",""))</f>
        <v/>
      </c>
      <c r="J1938" s="19">
        <f>IF(I1938="","",IFERROR(INDEX(catGrupo,MATCH(D1938,catNom,0))&amp;"",""))</f>
        <v/>
      </c>
      <c r="K1938" s="19">
        <f>IF(I1938="Gasto",IF(IFERROR(INDEX(catClas,MATCH(D1938,catNom,0))&amp;"","")="","Variable",IFERROR(INDEX(catClas,MATCH(D1938,catNom,0))&amp;"","")),"")</f>
        <v/>
      </c>
      <c r="L1938" s="19">
        <f>IF(I1938="","",IFERROR(INDEX(catAlim,MATCH(D1938,catNom,0))&amp;"",""))</f>
        <v/>
      </c>
      <c r="M1938" s="19">
        <f>IF(I1938="","",IFERROR(INDEX(catComida,MATCH(D1938,catNom,0))&amp;"",""))</f>
        <v/>
      </c>
      <c r="N1938" s="19">
        <f>IF(I1938="","",IFERROR(INDEX(ctaMon,MATCH(E1938,ctaNom,0))&amp;"","DOP"))</f>
        <v/>
      </c>
      <c r="O1938" s="20">
        <f>IF(I1938="","",C1938*IF(N1938="USD",TasaUSD,1))</f>
        <v/>
      </c>
      <c r="P1938" s="20">
        <f>IF(I1938="","",IF(I1938="Gasto",O1938,0))</f>
        <v/>
      </c>
      <c r="Q1938" s="20">
        <f>IF(I1938="","",IF(I1938="Ingreso",O1938,0))</f>
        <v/>
      </c>
      <c r="R1938" s="20">
        <f>IF(I1938="","",IF(I1938="Trading",O1938,0))</f>
        <v/>
      </c>
      <c r="S1938" s="19">
        <f>IF(I1938="","",IF(AND(I1938="Gasto",K1938="Variable",J1938&lt;&gt;"Trading",O1938&gt;0,O1938&lt;=Umbral),1,0))</f>
        <v/>
      </c>
      <c r="T1938" s="20">
        <f>IF(OR(I1938="",E1938=""),"",IF(OR(I1938="Gasto",I1938="Transferencia",I1938="Pago tarjeta"),-1,1)*C1938)</f>
        <v/>
      </c>
      <c r="U1938" s="20">
        <f>IF(OR(G1938="",AND(I1938&lt;&gt;"Transferencia",I1938&lt;&gt;"Pago tarjeta")),"",IF(IFERROR(INDEX(ctaMon,MATCH(G1938,ctaNom,0))&amp;"","DOP")=N1938,C1938,IF(N1938="USD",C1938*TasaUSD,C1938/TasaUSD)))</f>
        <v/>
      </c>
      <c r="V1938" s="20">
        <f>IF(I1938="","",IF(IFERROR(INDEX(ctaLiq,MATCH(E1938,ctaNom,0))="Sí",FALSE),IF(OR(I1938="Gasto",I1938="Transferencia",I1938="Pago tarjeta"),-1,1)*O1938,0)+IF(AND(U1938&lt;&gt;"",IFERROR(INDEX(ctaLiq,MATCH(G1938,ctaNom,0))="Sí",FALSE)),O1938,0))</f>
        <v/>
      </c>
      <c r="W1938" s="19">
        <f>IF(OR(F1938="",I1938=""),"",IF(COUNTIFS(F$6:F1938,F1938,I$6:I1938,"?*")=1,MAX(W$5:W1937)+1,""))</f>
        <v/>
      </c>
    </row>
    <row r="1939">
      <c r="B1939" s="15" t="n"/>
      <c r="C1939" s="16" t="n"/>
      <c r="D1939" s="17" t="n"/>
      <c r="E1939" s="17" t="n"/>
      <c r="F1939" s="17" t="n"/>
      <c r="G1939" s="17" t="n"/>
      <c r="H1939" s="18">
        <f>IF(AND(B1939="",C1939="",D1939="",E1939=""),"",IF(B1939="","⚠ Falta fecha",IF(C1939="","⚠ Falta monto",IF(D1939="","⚠ Falta categoría",IF(ISNA(MATCH(D1939,catNom,0)),"⚠ Categoría no existe",IF(E1939="","⚠ Falta cuenta",IF(ISNA(MATCH(E1939,ctaNom,0)),"⚠ Cuenta no existe",IF(AND(OR(I1939="Transferencia",I1939="Pago tarjeta"),G1939=""),"⚠ Indica la cuenta «Hacia»",IF(AND(G1939&lt;&gt;"",G1939=E1939),"⚠ «Hacia» igual a la cuenta",IF(AND(G1939&lt;&gt;"",ISNA(MATCH(G1939,ctaNom,0))),"⚠ «Hacia» no existe",IF(AND(I1939="Pago tarjeta",IFERROR(INDEX(ctaTipo,MATCH(G1939,ctaNom,0)),"")&lt;&gt;"Tarjeta de crédito"),"⚠ «Hacia» debe ser la tarjeta",IF(AND(I1939="Trading",IFERROR(INDEX(ctaTipo,MATCH(E1939,ctaNom,0)),"")&lt;&gt;"Cuenta de trading"),"⚠ Usa la cuenta de trading","✓"))))))))))))</f>
        <v/>
      </c>
      <c r="I1939" s="19">
        <f>IF(OR(B1939="",C1939="",D1939=""),"",IFERROR(INDEX(catTipo,MATCH(D1939,catNom,0))&amp;"",""))</f>
        <v/>
      </c>
      <c r="J1939" s="19">
        <f>IF(I1939="","",IFERROR(INDEX(catGrupo,MATCH(D1939,catNom,0))&amp;"",""))</f>
        <v/>
      </c>
      <c r="K1939" s="19">
        <f>IF(I1939="Gasto",IF(IFERROR(INDEX(catClas,MATCH(D1939,catNom,0))&amp;"","")="","Variable",IFERROR(INDEX(catClas,MATCH(D1939,catNom,0))&amp;"","")),"")</f>
        <v/>
      </c>
      <c r="L1939" s="19">
        <f>IF(I1939="","",IFERROR(INDEX(catAlim,MATCH(D1939,catNom,0))&amp;"",""))</f>
        <v/>
      </c>
      <c r="M1939" s="19">
        <f>IF(I1939="","",IFERROR(INDEX(catComida,MATCH(D1939,catNom,0))&amp;"",""))</f>
        <v/>
      </c>
      <c r="N1939" s="19">
        <f>IF(I1939="","",IFERROR(INDEX(ctaMon,MATCH(E1939,ctaNom,0))&amp;"","DOP"))</f>
        <v/>
      </c>
      <c r="O1939" s="20">
        <f>IF(I1939="","",C1939*IF(N1939="USD",TasaUSD,1))</f>
        <v/>
      </c>
      <c r="P1939" s="20">
        <f>IF(I1939="","",IF(I1939="Gasto",O1939,0))</f>
        <v/>
      </c>
      <c r="Q1939" s="20">
        <f>IF(I1939="","",IF(I1939="Ingreso",O1939,0))</f>
        <v/>
      </c>
      <c r="R1939" s="20">
        <f>IF(I1939="","",IF(I1939="Trading",O1939,0))</f>
        <v/>
      </c>
      <c r="S1939" s="19">
        <f>IF(I1939="","",IF(AND(I1939="Gasto",K1939="Variable",J1939&lt;&gt;"Trading",O1939&gt;0,O1939&lt;=Umbral),1,0))</f>
        <v/>
      </c>
      <c r="T1939" s="20">
        <f>IF(OR(I1939="",E1939=""),"",IF(OR(I1939="Gasto",I1939="Transferencia",I1939="Pago tarjeta"),-1,1)*C1939)</f>
        <v/>
      </c>
      <c r="U1939" s="20">
        <f>IF(OR(G1939="",AND(I1939&lt;&gt;"Transferencia",I1939&lt;&gt;"Pago tarjeta")),"",IF(IFERROR(INDEX(ctaMon,MATCH(G1939,ctaNom,0))&amp;"","DOP")=N1939,C1939,IF(N1939="USD",C1939*TasaUSD,C1939/TasaUSD)))</f>
        <v/>
      </c>
      <c r="V1939" s="20">
        <f>IF(I1939="","",IF(IFERROR(INDEX(ctaLiq,MATCH(E1939,ctaNom,0))="Sí",FALSE),IF(OR(I1939="Gasto",I1939="Transferencia",I1939="Pago tarjeta"),-1,1)*O1939,0)+IF(AND(U1939&lt;&gt;"",IFERROR(INDEX(ctaLiq,MATCH(G1939,ctaNom,0))="Sí",FALSE)),O1939,0))</f>
        <v/>
      </c>
      <c r="W1939" s="19">
        <f>IF(OR(F1939="",I1939=""),"",IF(COUNTIFS(F$6:F1939,F1939,I$6:I1939,"?*")=1,MAX(W$5:W1938)+1,""))</f>
        <v/>
      </c>
    </row>
    <row r="1940">
      <c r="B1940" s="15" t="n"/>
      <c r="C1940" s="16" t="n"/>
      <c r="D1940" s="17" t="n"/>
      <c r="E1940" s="17" t="n"/>
      <c r="F1940" s="17" t="n"/>
      <c r="G1940" s="17" t="n"/>
      <c r="H1940" s="18">
        <f>IF(AND(B1940="",C1940="",D1940="",E1940=""),"",IF(B1940="","⚠ Falta fecha",IF(C1940="","⚠ Falta monto",IF(D1940="","⚠ Falta categoría",IF(ISNA(MATCH(D1940,catNom,0)),"⚠ Categoría no existe",IF(E1940="","⚠ Falta cuenta",IF(ISNA(MATCH(E1940,ctaNom,0)),"⚠ Cuenta no existe",IF(AND(OR(I1940="Transferencia",I1940="Pago tarjeta"),G1940=""),"⚠ Indica la cuenta «Hacia»",IF(AND(G1940&lt;&gt;"",G1940=E1940),"⚠ «Hacia» igual a la cuenta",IF(AND(G1940&lt;&gt;"",ISNA(MATCH(G1940,ctaNom,0))),"⚠ «Hacia» no existe",IF(AND(I1940="Pago tarjeta",IFERROR(INDEX(ctaTipo,MATCH(G1940,ctaNom,0)),"")&lt;&gt;"Tarjeta de crédito"),"⚠ «Hacia» debe ser la tarjeta",IF(AND(I1940="Trading",IFERROR(INDEX(ctaTipo,MATCH(E1940,ctaNom,0)),"")&lt;&gt;"Cuenta de trading"),"⚠ Usa la cuenta de trading","✓"))))))))))))</f>
        <v/>
      </c>
      <c r="I1940" s="19">
        <f>IF(OR(B1940="",C1940="",D1940=""),"",IFERROR(INDEX(catTipo,MATCH(D1940,catNom,0))&amp;"",""))</f>
        <v/>
      </c>
      <c r="J1940" s="19">
        <f>IF(I1940="","",IFERROR(INDEX(catGrupo,MATCH(D1940,catNom,0))&amp;"",""))</f>
        <v/>
      </c>
      <c r="K1940" s="19">
        <f>IF(I1940="Gasto",IF(IFERROR(INDEX(catClas,MATCH(D1940,catNom,0))&amp;"","")="","Variable",IFERROR(INDEX(catClas,MATCH(D1940,catNom,0))&amp;"","")),"")</f>
        <v/>
      </c>
      <c r="L1940" s="19">
        <f>IF(I1940="","",IFERROR(INDEX(catAlim,MATCH(D1940,catNom,0))&amp;"",""))</f>
        <v/>
      </c>
      <c r="M1940" s="19">
        <f>IF(I1940="","",IFERROR(INDEX(catComida,MATCH(D1940,catNom,0))&amp;"",""))</f>
        <v/>
      </c>
      <c r="N1940" s="19">
        <f>IF(I1940="","",IFERROR(INDEX(ctaMon,MATCH(E1940,ctaNom,0))&amp;"","DOP"))</f>
        <v/>
      </c>
      <c r="O1940" s="20">
        <f>IF(I1940="","",C1940*IF(N1940="USD",TasaUSD,1))</f>
        <v/>
      </c>
      <c r="P1940" s="20">
        <f>IF(I1940="","",IF(I1940="Gasto",O1940,0))</f>
        <v/>
      </c>
      <c r="Q1940" s="20">
        <f>IF(I1940="","",IF(I1940="Ingreso",O1940,0))</f>
        <v/>
      </c>
      <c r="R1940" s="20">
        <f>IF(I1940="","",IF(I1940="Trading",O1940,0))</f>
        <v/>
      </c>
      <c r="S1940" s="19">
        <f>IF(I1940="","",IF(AND(I1940="Gasto",K1940="Variable",J1940&lt;&gt;"Trading",O1940&gt;0,O1940&lt;=Umbral),1,0))</f>
        <v/>
      </c>
      <c r="T1940" s="20">
        <f>IF(OR(I1940="",E1940=""),"",IF(OR(I1940="Gasto",I1940="Transferencia",I1940="Pago tarjeta"),-1,1)*C1940)</f>
        <v/>
      </c>
      <c r="U1940" s="20">
        <f>IF(OR(G1940="",AND(I1940&lt;&gt;"Transferencia",I1940&lt;&gt;"Pago tarjeta")),"",IF(IFERROR(INDEX(ctaMon,MATCH(G1940,ctaNom,0))&amp;"","DOP")=N1940,C1940,IF(N1940="USD",C1940*TasaUSD,C1940/TasaUSD)))</f>
        <v/>
      </c>
      <c r="V1940" s="20">
        <f>IF(I1940="","",IF(IFERROR(INDEX(ctaLiq,MATCH(E1940,ctaNom,0))="Sí",FALSE),IF(OR(I1940="Gasto",I1940="Transferencia",I1940="Pago tarjeta"),-1,1)*O1940,0)+IF(AND(U1940&lt;&gt;"",IFERROR(INDEX(ctaLiq,MATCH(G1940,ctaNom,0))="Sí",FALSE)),O1940,0))</f>
        <v/>
      </c>
      <c r="W1940" s="19">
        <f>IF(OR(F1940="",I1940=""),"",IF(COUNTIFS(F$6:F1940,F1940,I$6:I1940,"?*")=1,MAX(W$5:W1939)+1,""))</f>
        <v/>
      </c>
    </row>
    <row r="1941">
      <c r="B1941" s="15" t="n"/>
      <c r="C1941" s="16" t="n"/>
      <c r="D1941" s="17" t="n"/>
      <c r="E1941" s="17" t="n"/>
      <c r="F1941" s="17" t="n"/>
      <c r="G1941" s="17" t="n"/>
      <c r="H1941" s="18">
        <f>IF(AND(B1941="",C1941="",D1941="",E1941=""),"",IF(B1941="","⚠ Falta fecha",IF(C1941="","⚠ Falta monto",IF(D1941="","⚠ Falta categoría",IF(ISNA(MATCH(D1941,catNom,0)),"⚠ Categoría no existe",IF(E1941="","⚠ Falta cuenta",IF(ISNA(MATCH(E1941,ctaNom,0)),"⚠ Cuenta no existe",IF(AND(OR(I1941="Transferencia",I1941="Pago tarjeta"),G1941=""),"⚠ Indica la cuenta «Hacia»",IF(AND(G1941&lt;&gt;"",G1941=E1941),"⚠ «Hacia» igual a la cuenta",IF(AND(G1941&lt;&gt;"",ISNA(MATCH(G1941,ctaNom,0))),"⚠ «Hacia» no existe",IF(AND(I1941="Pago tarjeta",IFERROR(INDEX(ctaTipo,MATCH(G1941,ctaNom,0)),"")&lt;&gt;"Tarjeta de crédito"),"⚠ «Hacia» debe ser la tarjeta",IF(AND(I1941="Trading",IFERROR(INDEX(ctaTipo,MATCH(E1941,ctaNom,0)),"")&lt;&gt;"Cuenta de trading"),"⚠ Usa la cuenta de trading","✓"))))))))))))</f>
        <v/>
      </c>
      <c r="I1941" s="19">
        <f>IF(OR(B1941="",C1941="",D1941=""),"",IFERROR(INDEX(catTipo,MATCH(D1941,catNom,0))&amp;"",""))</f>
        <v/>
      </c>
      <c r="J1941" s="19">
        <f>IF(I1941="","",IFERROR(INDEX(catGrupo,MATCH(D1941,catNom,0))&amp;"",""))</f>
        <v/>
      </c>
      <c r="K1941" s="19">
        <f>IF(I1941="Gasto",IF(IFERROR(INDEX(catClas,MATCH(D1941,catNom,0))&amp;"","")="","Variable",IFERROR(INDEX(catClas,MATCH(D1941,catNom,0))&amp;"","")),"")</f>
        <v/>
      </c>
      <c r="L1941" s="19">
        <f>IF(I1941="","",IFERROR(INDEX(catAlim,MATCH(D1941,catNom,0))&amp;"",""))</f>
        <v/>
      </c>
      <c r="M1941" s="19">
        <f>IF(I1941="","",IFERROR(INDEX(catComida,MATCH(D1941,catNom,0))&amp;"",""))</f>
        <v/>
      </c>
      <c r="N1941" s="19">
        <f>IF(I1941="","",IFERROR(INDEX(ctaMon,MATCH(E1941,ctaNom,0))&amp;"","DOP"))</f>
        <v/>
      </c>
      <c r="O1941" s="20">
        <f>IF(I1941="","",C1941*IF(N1941="USD",TasaUSD,1))</f>
        <v/>
      </c>
      <c r="P1941" s="20">
        <f>IF(I1941="","",IF(I1941="Gasto",O1941,0))</f>
        <v/>
      </c>
      <c r="Q1941" s="20">
        <f>IF(I1941="","",IF(I1941="Ingreso",O1941,0))</f>
        <v/>
      </c>
      <c r="R1941" s="20">
        <f>IF(I1941="","",IF(I1941="Trading",O1941,0))</f>
        <v/>
      </c>
      <c r="S1941" s="19">
        <f>IF(I1941="","",IF(AND(I1941="Gasto",K1941="Variable",J1941&lt;&gt;"Trading",O1941&gt;0,O1941&lt;=Umbral),1,0))</f>
        <v/>
      </c>
      <c r="T1941" s="20">
        <f>IF(OR(I1941="",E1941=""),"",IF(OR(I1941="Gasto",I1941="Transferencia",I1941="Pago tarjeta"),-1,1)*C1941)</f>
        <v/>
      </c>
      <c r="U1941" s="20">
        <f>IF(OR(G1941="",AND(I1941&lt;&gt;"Transferencia",I1941&lt;&gt;"Pago tarjeta")),"",IF(IFERROR(INDEX(ctaMon,MATCH(G1941,ctaNom,0))&amp;"","DOP")=N1941,C1941,IF(N1941="USD",C1941*TasaUSD,C1941/TasaUSD)))</f>
        <v/>
      </c>
      <c r="V1941" s="20">
        <f>IF(I1941="","",IF(IFERROR(INDEX(ctaLiq,MATCH(E1941,ctaNom,0))="Sí",FALSE),IF(OR(I1941="Gasto",I1941="Transferencia",I1941="Pago tarjeta"),-1,1)*O1941,0)+IF(AND(U1941&lt;&gt;"",IFERROR(INDEX(ctaLiq,MATCH(G1941,ctaNom,0))="Sí",FALSE)),O1941,0))</f>
        <v/>
      </c>
      <c r="W1941" s="19">
        <f>IF(OR(F1941="",I1941=""),"",IF(COUNTIFS(F$6:F1941,F1941,I$6:I1941,"?*")=1,MAX(W$5:W1940)+1,""))</f>
        <v/>
      </c>
    </row>
    <row r="1942">
      <c r="B1942" s="15" t="n"/>
      <c r="C1942" s="16" t="n"/>
      <c r="D1942" s="17" t="n"/>
      <c r="E1942" s="17" t="n"/>
      <c r="F1942" s="17" t="n"/>
      <c r="G1942" s="17" t="n"/>
      <c r="H1942" s="18">
        <f>IF(AND(B1942="",C1942="",D1942="",E1942=""),"",IF(B1942="","⚠ Falta fecha",IF(C1942="","⚠ Falta monto",IF(D1942="","⚠ Falta categoría",IF(ISNA(MATCH(D1942,catNom,0)),"⚠ Categoría no existe",IF(E1942="","⚠ Falta cuenta",IF(ISNA(MATCH(E1942,ctaNom,0)),"⚠ Cuenta no existe",IF(AND(OR(I1942="Transferencia",I1942="Pago tarjeta"),G1942=""),"⚠ Indica la cuenta «Hacia»",IF(AND(G1942&lt;&gt;"",G1942=E1942),"⚠ «Hacia» igual a la cuenta",IF(AND(G1942&lt;&gt;"",ISNA(MATCH(G1942,ctaNom,0))),"⚠ «Hacia» no existe",IF(AND(I1942="Pago tarjeta",IFERROR(INDEX(ctaTipo,MATCH(G1942,ctaNom,0)),"")&lt;&gt;"Tarjeta de crédito"),"⚠ «Hacia» debe ser la tarjeta",IF(AND(I1942="Trading",IFERROR(INDEX(ctaTipo,MATCH(E1942,ctaNom,0)),"")&lt;&gt;"Cuenta de trading"),"⚠ Usa la cuenta de trading","✓"))))))))))))</f>
        <v/>
      </c>
      <c r="I1942" s="19">
        <f>IF(OR(B1942="",C1942="",D1942=""),"",IFERROR(INDEX(catTipo,MATCH(D1942,catNom,0))&amp;"",""))</f>
        <v/>
      </c>
      <c r="J1942" s="19">
        <f>IF(I1942="","",IFERROR(INDEX(catGrupo,MATCH(D1942,catNom,0))&amp;"",""))</f>
        <v/>
      </c>
      <c r="K1942" s="19">
        <f>IF(I1942="Gasto",IF(IFERROR(INDEX(catClas,MATCH(D1942,catNom,0))&amp;"","")="","Variable",IFERROR(INDEX(catClas,MATCH(D1942,catNom,0))&amp;"","")),"")</f>
        <v/>
      </c>
      <c r="L1942" s="19">
        <f>IF(I1942="","",IFERROR(INDEX(catAlim,MATCH(D1942,catNom,0))&amp;"",""))</f>
        <v/>
      </c>
      <c r="M1942" s="19">
        <f>IF(I1942="","",IFERROR(INDEX(catComida,MATCH(D1942,catNom,0))&amp;"",""))</f>
        <v/>
      </c>
      <c r="N1942" s="19">
        <f>IF(I1942="","",IFERROR(INDEX(ctaMon,MATCH(E1942,ctaNom,0))&amp;"","DOP"))</f>
        <v/>
      </c>
      <c r="O1942" s="20">
        <f>IF(I1942="","",C1942*IF(N1942="USD",TasaUSD,1))</f>
        <v/>
      </c>
      <c r="P1942" s="20">
        <f>IF(I1942="","",IF(I1942="Gasto",O1942,0))</f>
        <v/>
      </c>
      <c r="Q1942" s="20">
        <f>IF(I1942="","",IF(I1942="Ingreso",O1942,0))</f>
        <v/>
      </c>
      <c r="R1942" s="20">
        <f>IF(I1942="","",IF(I1942="Trading",O1942,0))</f>
        <v/>
      </c>
      <c r="S1942" s="19">
        <f>IF(I1942="","",IF(AND(I1942="Gasto",K1942="Variable",J1942&lt;&gt;"Trading",O1942&gt;0,O1942&lt;=Umbral),1,0))</f>
        <v/>
      </c>
      <c r="T1942" s="20">
        <f>IF(OR(I1942="",E1942=""),"",IF(OR(I1942="Gasto",I1942="Transferencia",I1942="Pago tarjeta"),-1,1)*C1942)</f>
        <v/>
      </c>
      <c r="U1942" s="20">
        <f>IF(OR(G1942="",AND(I1942&lt;&gt;"Transferencia",I1942&lt;&gt;"Pago tarjeta")),"",IF(IFERROR(INDEX(ctaMon,MATCH(G1942,ctaNom,0))&amp;"","DOP")=N1942,C1942,IF(N1942="USD",C1942*TasaUSD,C1942/TasaUSD)))</f>
        <v/>
      </c>
      <c r="V1942" s="20">
        <f>IF(I1942="","",IF(IFERROR(INDEX(ctaLiq,MATCH(E1942,ctaNom,0))="Sí",FALSE),IF(OR(I1942="Gasto",I1942="Transferencia",I1942="Pago tarjeta"),-1,1)*O1942,0)+IF(AND(U1942&lt;&gt;"",IFERROR(INDEX(ctaLiq,MATCH(G1942,ctaNom,0))="Sí",FALSE)),O1942,0))</f>
        <v/>
      </c>
      <c r="W1942" s="19">
        <f>IF(OR(F1942="",I1942=""),"",IF(COUNTIFS(F$6:F1942,F1942,I$6:I1942,"?*")=1,MAX(W$5:W1941)+1,""))</f>
        <v/>
      </c>
    </row>
    <row r="1943">
      <c r="B1943" s="15" t="n"/>
      <c r="C1943" s="16" t="n"/>
      <c r="D1943" s="17" t="n"/>
      <c r="E1943" s="17" t="n"/>
      <c r="F1943" s="17" t="n"/>
      <c r="G1943" s="17" t="n"/>
      <c r="H1943" s="18">
        <f>IF(AND(B1943="",C1943="",D1943="",E1943=""),"",IF(B1943="","⚠ Falta fecha",IF(C1943="","⚠ Falta monto",IF(D1943="","⚠ Falta categoría",IF(ISNA(MATCH(D1943,catNom,0)),"⚠ Categoría no existe",IF(E1943="","⚠ Falta cuenta",IF(ISNA(MATCH(E1943,ctaNom,0)),"⚠ Cuenta no existe",IF(AND(OR(I1943="Transferencia",I1943="Pago tarjeta"),G1943=""),"⚠ Indica la cuenta «Hacia»",IF(AND(G1943&lt;&gt;"",G1943=E1943),"⚠ «Hacia» igual a la cuenta",IF(AND(G1943&lt;&gt;"",ISNA(MATCH(G1943,ctaNom,0))),"⚠ «Hacia» no existe",IF(AND(I1943="Pago tarjeta",IFERROR(INDEX(ctaTipo,MATCH(G1943,ctaNom,0)),"")&lt;&gt;"Tarjeta de crédito"),"⚠ «Hacia» debe ser la tarjeta",IF(AND(I1943="Trading",IFERROR(INDEX(ctaTipo,MATCH(E1943,ctaNom,0)),"")&lt;&gt;"Cuenta de trading"),"⚠ Usa la cuenta de trading","✓"))))))))))))</f>
        <v/>
      </c>
      <c r="I1943" s="19">
        <f>IF(OR(B1943="",C1943="",D1943=""),"",IFERROR(INDEX(catTipo,MATCH(D1943,catNom,0))&amp;"",""))</f>
        <v/>
      </c>
      <c r="J1943" s="19">
        <f>IF(I1943="","",IFERROR(INDEX(catGrupo,MATCH(D1943,catNom,0))&amp;"",""))</f>
        <v/>
      </c>
      <c r="K1943" s="19">
        <f>IF(I1943="Gasto",IF(IFERROR(INDEX(catClas,MATCH(D1943,catNom,0))&amp;"","")="","Variable",IFERROR(INDEX(catClas,MATCH(D1943,catNom,0))&amp;"","")),"")</f>
        <v/>
      </c>
      <c r="L1943" s="19">
        <f>IF(I1943="","",IFERROR(INDEX(catAlim,MATCH(D1943,catNom,0))&amp;"",""))</f>
        <v/>
      </c>
      <c r="M1943" s="19">
        <f>IF(I1943="","",IFERROR(INDEX(catComida,MATCH(D1943,catNom,0))&amp;"",""))</f>
        <v/>
      </c>
      <c r="N1943" s="19">
        <f>IF(I1943="","",IFERROR(INDEX(ctaMon,MATCH(E1943,ctaNom,0))&amp;"","DOP"))</f>
        <v/>
      </c>
      <c r="O1943" s="20">
        <f>IF(I1943="","",C1943*IF(N1943="USD",TasaUSD,1))</f>
        <v/>
      </c>
      <c r="P1943" s="20">
        <f>IF(I1943="","",IF(I1943="Gasto",O1943,0))</f>
        <v/>
      </c>
      <c r="Q1943" s="20">
        <f>IF(I1943="","",IF(I1943="Ingreso",O1943,0))</f>
        <v/>
      </c>
      <c r="R1943" s="20">
        <f>IF(I1943="","",IF(I1943="Trading",O1943,0))</f>
        <v/>
      </c>
      <c r="S1943" s="19">
        <f>IF(I1943="","",IF(AND(I1943="Gasto",K1943="Variable",J1943&lt;&gt;"Trading",O1943&gt;0,O1943&lt;=Umbral),1,0))</f>
        <v/>
      </c>
      <c r="T1943" s="20">
        <f>IF(OR(I1943="",E1943=""),"",IF(OR(I1943="Gasto",I1943="Transferencia",I1943="Pago tarjeta"),-1,1)*C1943)</f>
        <v/>
      </c>
      <c r="U1943" s="20">
        <f>IF(OR(G1943="",AND(I1943&lt;&gt;"Transferencia",I1943&lt;&gt;"Pago tarjeta")),"",IF(IFERROR(INDEX(ctaMon,MATCH(G1943,ctaNom,0))&amp;"","DOP")=N1943,C1943,IF(N1943="USD",C1943*TasaUSD,C1943/TasaUSD)))</f>
        <v/>
      </c>
      <c r="V1943" s="20">
        <f>IF(I1943="","",IF(IFERROR(INDEX(ctaLiq,MATCH(E1943,ctaNom,0))="Sí",FALSE),IF(OR(I1943="Gasto",I1943="Transferencia",I1943="Pago tarjeta"),-1,1)*O1943,0)+IF(AND(U1943&lt;&gt;"",IFERROR(INDEX(ctaLiq,MATCH(G1943,ctaNom,0))="Sí",FALSE)),O1943,0))</f>
        <v/>
      </c>
      <c r="W1943" s="19">
        <f>IF(OR(F1943="",I1943=""),"",IF(COUNTIFS(F$6:F1943,F1943,I$6:I1943,"?*")=1,MAX(W$5:W1942)+1,""))</f>
        <v/>
      </c>
    </row>
    <row r="1944">
      <c r="B1944" s="15" t="n"/>
      <c r="C1944" s="16" t="n"/>
      <c r="D1944" s="17" t="n"/>
      <c r="E1944" s="17" t="n"/>
      <c r="F1944" s="17" t="n"/>
      <c r="G1944" s="17" t="n"/>
      <c r="H1944" s="18">
        <f>IF(AND(B1944="",C1944="",D1944="",E1944=""),"",IF(B1944="","⚠ Falta fecha",IF(C1944="","⚠ Falta monto",IF(D1944="","⚠ Falta categoría",IF(ISNA(MATCH(D1944,catNom,0)),"⚠ Categoría no existe",IF(E1944="","⚠ Falta cuenta",IF(ISNA(MATCH(E1944,ctaNom,0)),"⚠ Cuenta no existe",IF(AND(OR(I1944="Transferencia",I1944="Pago tarjeta"),G1944=""),"⚠ Indica la cuenta «Hacia»",IF(AND(G1944&lt;&gt;"",G1944=E1944),"⚠ «Hacia» igual a la cuenta",IF(AND(G1944&lt;&gt;"",ISNA(MATCH(G1944,ctaNom,0))),"⚠ «Hacia» no existe",IF(AND(I1944="Pago tarjeta",IFERROR(INDEX(ctaTipo,MATCH(G1944,ctaNom,0)),"")&lt;&gt;"Tarjeta de crédito"),"⚠ «Hacia» debe ser la tarjeta",IF(AND(I1944="Trading",IFERROR(INDEX(ctaTipo,MATCH(E1944,ctaNom,0)),"")&lt;&gt;"Cuenta de trading"),"⚠ Usa la cuenta de trading","✓"))))))))))))</f>
        <v/>
      </c>
      <c r="I1944" s="19">
        <f>IF(OR(B1944="",C1944="",D1944=""),"",IFERROR(INDEX(catTipo,MATCH(D1944,catNom,0))&amp;"",""))</f>
        <v/>
      </c>
      <c r="J1944" s="19">
        <f>IF(I1944="","",IFERROR(INDEX(catGrupo,MATCH(D1944,catNom,0))&amp;"",""))</f>
        <v/>
      </c>
      <c r="K1944" s="19">
        <f>IF(I1944="Gasto",IF(IFERROR(INDEX(catClas,MATCH(D1944,catNom,0))&amp;"","")="","Variable",IFERROR(INDEX(catClas,MATCH(D1944,catNom,0))&amp;"","")),"")</f>
        <v/>
      </c>
      <c r="L1944" s="19">
        <f>IF(I1944="","",IFERROR(INDEX(catAlim,MATCH(D1944,catNom,0))&amp;"",""))</f>
        <v/>
      </c>
      <c r="M1944" s="19">
        <f>IF(I1944="","",IFERROR(INDEX(catComida,MATCH(D1944,catNom,0))&amp;"",""))</f>
        <v/>
      </c>
      <c r="N1944" s="19">
        <f>IF(I1944="","",IFERROR(INDEX(ctaMon,MATCH(E1944,ctaNom,0))&amp;"","DOP"))</f>
        <v/>
      </c>
      <c r="O1944" s="20">
        <f>IF(I1944="","",C1944*IF(N1944="USD",TasaUSD,1))</f>
        <v/>
      </c>
      <c r="P1944" s="20">
        <f>IF(I1944="","",IF(I1944="Gasto",O1944,0))</f>
        <v/>
      </c>
      <c r="Q1944" s="20">
        <f>IF(I1944="","",IF(I1944="Ingreso",O1944,0))</f>
        <v/>
      </c>
      <c r="R1944" s="20">
        <f>IF(I1944="","",IF(I1944="Trading",O1944,0))</f>
        <v/>
      </c>
      <c r="S1944" s="19">
        <f>IF(I1944="","",IF(AND(I1944="Gasto",K1944="Variable",J1944&lt;&gt;"Trading",O1944&gt;0,O1944&lt;=Umbral),1,0))</f>
        <v/>
      </c>
      <c r="T1944" s="20">
        <f>IF(OR(I1944="",E1944=""),"",IF(OR(I1944="Gasto",I1944="Transferencia",I1944="Pago tarjeta"),-1,1)*C1944)</f>
        <v/>
      </c>
      <c r="U1944" s="20">
        <f>IF(OR(G1944="",AND(I1944&lt;&gt;"Transferencia",I1944&lt;&gt;"Pago tarjeta")),"",IF(IFERROR(INDEX(ctaMon,MATCH(G1944,ctaNom,0))&amp;"","DOP")=N1944,C1944,IF(N1944="USD",C1944*TasaUSD,C1944/TasaUSD)))</f>
        <v/>
      </c>
      <c r="V1944" s="20">
        <f>IF(I1944="","",IF(IFERROR(INDEX(ctaLiq,MATCH(E1944,ctaNom,0))="Sí",FALSE),IF(OR(I1944="Gasto",I1944="Transferencia",I1944="Pago tarjeta"),-1,1)*O1944,0)+IF(AND(U1944&lt;&gt;"",IFERROR(INDEX(ctaLiq,MATCH(G1944,ctaNom,0))="Sí",FALSE)),O1944,0))</f>
        <v/>
      </c>
      <c r="W1944" s="19">
        <f>IF(OR(F1944="",I1944=""),"",IF(COUNTIFS(F$6:F1944,F1944,I$6:I1944,"?*")=1,MAX(W$5:W1943)+1,""))</f>
        <v/>
      </c>
    </row>
    <row r="1945">
      <c r="B1945" s="15" t="n"/>
      <c r="C1945" s="16" t="n"/>
      <c r="D1945" s="17" t="n"/>
      <c r="E1945" s="17" t="n"/>
      <c r="F1945" s="17" t="n"/>
      <c r="G1945" s="17" t="n"/>
      <c r="H1945" s="18">
        <f>IF(AND(B1945="",C1945="",D1945="",E1945=""),"",IF(B1945="","⚠ Falta fecha",IF(C1945="","⚠ Falta monto",IF(D1945="","⚠ Falta categoría",IF(ISNA(MATCH(D1945,catNom,0)),"⚠ Categoría no existe",IF(E1945="","⚠ Falta cuenta",IF(ISNA(MATCH(E1945,ctaNom,0)),"⚠ Cuenta no existe",IF(AND(OR(I1945="Transferencia",I1945="Pago tarjeta"),G1945=""),"⚠ Indica la cuenta «Hacia»",IF(AND(G1945&lt;&gt;"",G1945=E1945),"⚠ «Hacia» igual a la cuenta",IF(AND(G1945&lt;&gt;"",ISNA(MATCH(G1945,ctaNom,0))),"⚠ «Hacia» no existe",IF(AND(I1945="Pago tarjeta",IFERROR(INDEX(ctaTipo,MATCH(G1945,ctaNom,0)),"")&lt;&gt;"Tarjeta de crédito"),"⚠ «Hacia» debe ser la tarjeta",IF(AND(I1945="Trading",IFERROR(INDEX(ctaTipo,MATCH(E1945,ctaNom,0)),"")&lt;&gt;"Cuenta de trading"),"⚠ Usa la cuenta de trading","✓"))))))))))))</f>
        <v/>
      </c>
      <c r="I1945" s="19">
        <f>IF(OR(B1945="",C1945="",D1945=""),"",IFERROR(INDEX(catTipo,MATCH(D1945,catNom,0))&amp;"",""))</f>
        <v/>
      </c>
      <c r="J1945" s="19">
        <f>IF(I1945="","",IFERROR(INDEX(catGrupo,MATCH(D1945,catNom,0))&amp;"",""))</f>
        <v/>
      </c>
      <c r="K1945" s="19">
        <f>IF(I1945="Gasto",IF(IFERROR(INDEX(catClas,MATCH(D1945,catNom,0))&amp;"","")="","Variable",IFERROR(INDEX(catClas,MATCH(D1945,catNom,0))&amp;"","")),"")</f>
        <v/>
      </c>
      <c r="L1945" s="19">
        <f>IF(I1945="","",IFERROR(INDEX(catAlim,MATCH(D1945,catNom,0))&amp;"",""))</f>
        <v/>
      </c>
      <c r="M1945" s="19">
        <f>IF(I1945="","",IFERROR(INDEX(catComida,MATCH(D1945,catNom,0))&amp;"",""))</f>
        <v/>
      </c>
      <c r="N1945" s="19">
        <f>IF(I1945="","",IFERROR(INDEX(ctaMon,MATCH(E1945,ctaNom,0))&amp;"","DOP"))</f>
        <v/>
      </c>
      <c r="O1945" s="20">
        <f>IF(I1945="","",C1945*IF(N1945="USD",TasaUSD,1))</f>
        <v/>
      </c>
      <c r="P1945" s="20">
        <f>IF(I1945="","",IF(I1945="Gasto",O1945,0))</f>
        <v/>
      </c>
      <c r="Q1945" s="20">
        <f>IF(I1945="","",IF(I1945="Ingreso",O1945,0))</f>
        <v/>
      </c>
      <c r="R1945" s="20">
        <f>IF(I1945="","",IF(I1945="Trading",O1945,0))</f>
        <v/>
      </c>
      <c r="S1945" s="19">
        <f>IF(I1945="","",IF(AND(I1945="Gasto",K1945="Variable",J1945&lt;&gt;"Trading",O1945&gt;0,O1945&lt;=Umbral),1,0))</f>
        <v/>
      </c>
      <c r="T1945" s="20">
        <f>IF(OR(I1945="",E1945=""),"",IF(OR(I1945="Gasto",I1945="Transferencia",I1945="Pago tarjeta"),-1,1)*C1945)</f>
        <v/>
      </c>
      <c r="U1945" s="20">
        <f>IF(OR(G1945="",AND(I1945&lt;&gt;"Transferencia",I1945&lt;&gt;"Pago tarjeta")),"",IF(IFERROR(INDEX(ctaMon,MATCH(G1945,ctaNom,0))&amp;"","DOP")=N1945,C1945,IF(N1945="USD",C1945*TasaUSD,C1945/TasaUSD)))</f>
        <v/>
      </c>
      <c r="V1945" s="20">
        <f>IF(I1945="","",IF(IFERROR(INDEX(ctaLiq,MATCH(E1945,ctaNom,0))="Sí",FALSE),IF(OR(I1945="Gasto",I1945="Transferencia",I1945="Pago tarjeta"),-1,1)*O1945,0)+IF(AND(U1945&lt;&gt;"",IFERROR(INDEX(ctaLiq,MATCH(G1945,ctaNom,0))="Sí",FALSE)),O1945,0))</f>
        <v/>
      </c>
      <c r="W1945" s="19">
        <f>IF(OR(F1945="",I1945=""),"",IF(COUNTIFS(F$6:F1945,F1945,I$6:I1945,"?*")=1,MAX(W$5:W1944)+1,""))</f>
        <v/>
      </c>
    </row>
    <row r="1946">
      <c r="B1946" s="15" t="n"/>
      <c r="C1946" s="16" t="n"/>
      <c r="D1946" s="17" t="n"/>
      <c r="E1946" s="17" t="n"/>
      <c r="F1946" s="17" t="n"/>
      <c r="G1946" s="17" t="n"/>
      <c r="H1946" s="18">
        <f>IF(AND(B1946="",C1946="",D1946="",E1946=""),"",IF(B1946="","⚠ Falta fecha",IF(C1946="","⚠ Falta monto",IF(D1946="","⚠ Falta categoría",IF(ISNA(MATCH(D1946,catNom,0)),"⚠ Categoría no existe",IF(E1946="","⚠ Falta cuenta",IF(ISNA(MATCH(E1946,ctaNom,0)),"⚠ Cuenta no existe",IF(AND(OR(I1946="Transferencia",I1946="Pago tarjeta"),G1946=""),"⚠ Indica la cuenta «Hacia»",IF(AND(G1946&lt;&gt;"",G1946=E1946),"⚠ «Hacia» igual a la cuenta",IF(AND(G1946&lt;&gt;"",ISNA(MATCH(G1946,ctaNom,0))),"⚠ «Hacia» no existe",IF(AND(I1946="Pago tarjeta",IFERROR(INDEX(ctaTipo,MATCH(G1946,ctaNom,0)),"")&lt;&gt;"Tarjeta de crédito"),"⚠ «Hacia» debe ser la tarjeta",IF(AND(I1946="Trading",IFERROR(INDEX(ctaTipo,MATCH(E1946,ctaNom,0)),"")&lt;&gt;"Cuenta de trading"),"⚠ Usa la cuenta de trading","✓"))))))))))))</f>
        <v/>
      </c>
      <c r="I1946" s="19">
        <f>IF(OR(B1946="",C1946="",D1946=""),"",IFERROR(INDEX(catTipo,MATCH(D1946,catNom,0))&amp;"",""))</f>
        <v/>
      </c>
      <c r="J1946" s="19">
        <f>IF(I1946="","",IFERROR(INDEX(catGrupo,MATCH(D1946,catNom,0))&amp;"",""))</f>
        <v/>
      </c>
      <c r="K1946" s="19">
        <f>IF(I1946="Gasto",IF(IFERROR(INDEX(catClas,MATCH(D1946,catNom,0))&amp;"","")="","Variable",IFERROR(INDEX(catClas,MATCH(D1946,catNom,0))&amp;"","")),"")</f>
        <v/>
      </c>
      <c r="L1946" s="19">
        <f>IF(I1946="","",IFERROR(INDEX(catAlim,MATCH(D1946,catNom,0))&amp;"",""))</f>
        <v/>
      </c>
      <c r="M1946" s="19">
        <f>IF(I1946="","",IFERROR(INDEX(catComida,MATCH(D1946,catNom,0))&amp;"",""))</f>
        <v/>
      </c>
      <c r="N1946" s="19">
        <f>IF(I1946="","",IFERROR(INDEX(ctaMon,MATCH(E1946,ctaNom,0))&amp;"","DOP"))</f>
        <v/>
      </c>
      <c r="O1946" s="20">
        <f>IF(I1946="","",C1946*IF(N1946="USD",TasaUSD,1))</f>
        <v/>
      </c>
      <c r="P1946" s="20">
        <f>IF(I1946="","",IF(I1946="Gasto",O1946,0))</f>
        <v/>
      </c>
      <c r="Q1946" s="20">
        <f>IF(I1946="","",IF(I1946="Ingreso",O1946,0))</f>
        <v/>
      </c>
      <c r="R1946" s="20">
        <f>IF(I1946="","",IF(I1946="Trading",O1946,0))</f>
        <v/>
      </c>
      <c r="S1946" s="19">
        <f>IF(I1946="","",IF(AND(I1946="Gasto",K1946="Variable",J1946&lt;&gt;"Trading",O1946&gt;0,O1946&lt;=Umbral),1,0))</f>
        <v/>
      </c>
      <c r="T1946" s="20">
        <f>IF(OR(I1946="",E1946=""),"",IF(OR(I1946="Gasto",I1946="Transferencia",I1946="Pago tarjeta"),-1,1)*C1946)</f>
        <v/>
      </c>
      <c r="U1946" s="20">
        <f>IF(OR(G1946="",AND(I1946&lt;&gt;"Transferencia",I1946&lt;&gt;"Pago tarjeta")),"",IF(IFERROR(INDEX(ctaMon,MATCH(G1946,ctaNom,0))&amp;"","DOP")=N1946,C1946,IF(N1946="USD",C1946*TasaUSD,C1946/TasaUSD)))</f>
        <v/>
      </c>
      <c r="V1946" s="20">
        <f>IF(I1946="","",IF(IFERROR(INDEX(ctaLiq,MATCH(E1946,ctaNom,0))="Sí",FALSE),IF(OR(I1946="Gasto",I1946="Transferencia",I1946="Pago tarjeta"),-1,1)*O1946,0)+IF(AND(U1946&lt;&gt;"",IFERROR(INDEX(ctaLiq,MATCH(G1946,ctaNom,0))="Sí",FALSE)),O1946,0))</f>
        <v/>
      </c>
      <c r="W1946" s="19">
        <f>IF(OR(F1946="",I1946=""),"",IF(COUNTIFS(F$6:F1946,F1946,I$6:I1946,"?*")=1,MAX(W$5:W1945)+1,""))</f>
        <v/>
      </c>
    </row>
    <row r="1947">
      <c r="B1947" s="15" t="n"/>
      <c r="C1947" s="16" t="n"/>
      <c r="D1947" s="17" t="n"/>
      <c r="E1947" s="17" t="n"/>
      <c r="F1947" s="17" t="n"/>
      <c r="G1947" s="17" t="n"/>
      <c r="H1947" s="18">
        <f>IF(AND(B1947="",C1947="",D1947="",E1947=""),"",IF(B1947="","⚠ Falta fecha",IF(C1947="","⚠ Falta monto",IF(D1947="","⚠ Falta categoría",IF(ISNA(MATCH(D1947,catNom,0)),"⚠ Categoría no existe",IF(E1947="","⚠ Falta cuenta",IF(ISNA(MATCH(E1947,ctaNom,0)),"⚠ Cuenta no existe",IF(AND(OR(I1947="Transferencia",I1947="Pago tarjeta"),G1947=""),"⚠ Indica la cuenta «Hacia»",IF(AND(G1947&lt;&gt;"",G1947=E1947),"⚠ «Hacia» igual a la cuenta",IF(AND(G1947&lt;&gt;"",ISNA(MATCH(G1947,ctaNom,0))),"⚠ «Hacia» no existe",IF(AND(I1947="Pago tarjeta",IFERROR(INDEX(ctaTipo,MATCH(G1947,ctaNom,0)),"")&lt;&gt;"Tarjeta de crédito"),"⚠ «Hacia» debe ser la tarjeta",IF(AND(I1947="Trading",IFERROR(INDEX(ctaTipo,MATCH(E1947,ctaNom,0)),"")&lt;&gt;"Cuenta de trading"),"⚠ Usa la cuenta de trading","✓"))))))))))))</f>
        <v/>
      </c>
      <c r="I1947" s="19">
        <f>IF(OR(B1947="",C1947="",D1947=""),"",IFERROR(INDEX(catTipo,MATCH(D1947,catNom,0))&amp;"",""))</f>
        <v/>
      </c>
      <c r="J1947" s="19">
        <f>IF(I1947="","",IFERROR(INDEX(catGrupo,MATCH(D1947,catNom,0))&amp;"",""))</f>
        <v/>
      </c>
      <c r="K1947" s="19">
        <f>IF(I1947="Gasto",IF(IFERROR(INDEX(catClas,MATCH(D1947,catNom,0))&amp;"","")="","Variable",IFERROR(INDEX(catClas,MATCH(D1947,catNom,0))&amp;"","")),"")</f>
        <v/>
      </c>
      <c r="L1947" s="19">
        <f>IF(I1947="","",IFERROR(INDEX(catAlim,MATCH(D1947,catNom,0))&amp;"",""))</f>
        <v/>
      </c>
      <c r="M1947" s="19">
        <f>IF(I1947="","",IFERROR(INDEX(catComida,MATCH(D1947,catNom,0))&amp;"",""))</f>
        <v/>
      </c>
      <c r="N1947" s="19">
        <f>IF(I1947="","",IFERROR(INDEX(ctaMon,MATCH(E1947,ctaNom,0))&amp;"","DOP"))</f>
        <v/>
      </c>
      <c r="O1947" s="20">
        <f>IF(I1947="","",C1947*IF(N1947="USD",TasaUSD,1))</f>
        <v/>
      </c>
      <c r="P1947" s="20">
        <f>IF(I1947="","",IF(I1947="Gasto",O1947,0))</f>
        <v/>
      </c>
      <c r="Q1947" s="20">
        <f>IF(I1947="","",IF(I1947="Ingreso",O1947,0))</f>
        <v/>
      </c>
      <c r="R1947" s="20">
        <f>IF(I1947="","",IF(I1947="Trading",O1947,0))</f>
        <v/>
      </c>
      <c r="S1947" s="19">
        <f>IF(I1947="","",IF(AND(I1947="Gasto",K1947="Variable",J1947&lt;&gt;"Trading",O1947&gt;0,O1947&lt;=Umbral),1,0))</f>
        <v/>
      </c>
      <c r="T1947" s="20">
        <f>IF(OR(I1947="",E1947=""),"",IF(OR(I1947="Gasto",I1947="Transferencia",I1947="Pago tarjeta"),-1,1)*C1947)</f>
        <v/>
      </c>
      <c r="U1947" s="20">
        <f>IF(OR(G1947="",AND(I1947&lt;&gt;"Transferencia",I1947&lt;&gt;"Pago tarjeta")),"",IF(IFERROR(INDEX(ctaMon,MATCH(G1947,ctaNom,0))&amp;"","DOP")=N1947,C1947,IF(N1947="USD",C1947*TasaUSD,C1947/TasaUSD)))</f>
        <v/>
      </c>
      <c r="V1947" s="20">
        <f>IF(I1947="","",IF(IFERROR(INDEX(ctaLiq,MATCH(E1947,ctaNom,0))="Sí",FALSE),IF(OR(I1947="Gasto",I1947="Transferencia",I1947="Pago tarjeta"),-1,1)*O1947,0)+IF(AND(U1947&lt;&gt;"",IFERROR(INDEX(ctaLiq,MATCH(G1947,ctaNom,0))="Sí",FALSE)),O1947,0))</f>
        <v/>
      </c>
      <c r="W1947" s="19">
        <f>IF(OR(F1947="",I1947=""),"",IF(COUNTIFS(F$6:F1947,F1947,I$6:I1947,"?*")=1,MAX(W$5:W1946)+1,""))</f>
        <v/>
      </c>
    </row>
    <row r="1948">
      <c r="B1948" s="15" t="n"/>
      <c r="C1948" s="16" t="n"/>
      <c r="D1948" s="17" t="n"/>
      <c r="E1948" s="17" t="n"/>
      <c r="F1948" s="17" t="n"/>
      <c r="G1948" s="17" t="n"/>
      <c r="H1948" s="18">
        <f>IF(AND(B1948="",C1948="",D1948="",E1948=""),"",IF(B1948="","⚠ Falta fecha",IF(C1948="","⚠ Falta monto",IF(D1948="","⚠ Falta categoría",IF(ISNA(MATCH(D1948,catNom,0)),"⚠ Categoría no existe",IF(E1948="","⚠ Falta cuenta",IF(ISNA(MATCH(E1948,ctaNom,0)),"⚠ Cuenta no existe",IF(AND(OR(I1948="Transferencia",I1948="Pago tarjeta"),G1948=""),"⚠ Indica la cuenta «Hacia»",IF(AND(G1948&lt;&gt;"",G1948=E1948),"⚠ «Hacia» igual a la cuenta",IF(AND(G1948&lt;&gt;"",ISNA(MATCH(G1948,ctaNom,0))),"⚠ «Hacia» no existe",IF(AND(I1948="Pago tarjeta",IFERROR(INDEX(ctaTipo,MATCH(G1948,ctaNom,0)),"")&lt;&gt;"Tarjeta de crédito"),"⚠ «Hacia» debe ser la tarjeta",IF(AND(I1948="Trading",IFERROR(INDEX(ctaTipo,MATCH(E1948,ctaNom,0)),"")&lt;&gt;"Cuenta de trading"),"⚠ Usa la cuenta de trading","✓"))))))))))))</f>
        <v/>
      </c>
      <c r="I1948" s="19">
        <f>IF(OR(B1948="",C1948="",D1948=""),"",IFERROR(INDEX(catTipo,MATCH(D1948,catNom,0))&amp;"",""))</f>
        <v/>
      </c>
      <c r="J1948" s="19">
        <f>IF(I1948="","",IFERROR(INDEX(catGrupo,MATCH(D1948,catNom,0))&amp;"",""))</f>
        <v/>
      </c>
      <c r="K1948" s="19">
        <f>IF(I1948="Gasto",IF(IFERROR(INDEX(catClas,MATCH(D1948,catNom,0))&amp;"","")="","Variable",IFERROR(INDEX(catClas,MATCH(D1948,catNom,0))&amp;"","")),"")</f>
        <v/>
      </c>
      <c r="L1948" s="19">
        <f>IF(I1948="","",IFERROR(INDEX(catAlim,MATCH(D1948,catNom,0))&amp;"",""))</f>
        <v/>
      </c>
      <c r="M1948" s="19">
        <f>IF(I1948="","",IFERROR(INDEX(catComida,MATCH(D1948,catNom,0))&amp;"",""))</f>
        <v/>
      </c>
      <c r="N1948" s="19">
        <f>IF(I1948="","",IFERROR(INDEX(ctaMon,MATCH(E1948,ctaNom,0))&amp;"","DOP"))</f>
        <v/>
      </c>
      <c r="O1948" s="20">
        <f>IF(I1948="","",C1948*IF(N1948="USD",TasaUSD,1))</f>
        <v/>
      </c>
      <c r="P1948" s="20">
        <f>IF(I1948="","",IF(I1948="Gasto",O1948,0))</f>
        <v/>
      </c>
      <c r="Q1948" s="20">
        <f>IF(I1948="","",IF(I1948="Ingreso",O1948,0))</f>
        <v/>
      </c>
      <c r="R1948" s="20">
        <f>IF(I1948="","",IF(I1948="Trading",O1948,0))</f>
        <v/>
      </c>
      <c r="S1948" s="19">
        <f>IF(I1948="","",IF(AND(I1948="Gasto",K1948="Variable",J1948&lt;&gt;"Trading",O1948&gt;0,O1948&lt;=Umbral),1,0))</f>
        <v/>
      </c>
      <c r="T1948" s="20">
        <f>IF(OR(I1948="",E1948=""),"",IF(OR(I1948="Gasto",I1948="Transferencia",I1948="Pago tarjeta"),-1,1)*C1948)</f>
        <v/>
      </c>
      <c r="U1948" s="20">
        <f>IF(OR(G1948="",AND(I1948&lt;&gt;"Transferencia",I1948&lt;&gt;"Pago tarjeta")),"",IF(IFERROR(INDEX(ctaMon,MATCH(G1948,ctaNom,0))&amp;"","DOP")=N1948,C1948,IF(N1948="USD",C1948*TasaUSD,C1948/TasaUSD)))</f>
        <v/>
      </c>
      <c r="V1948" s="20">
        <f>IF(I1948="","",IF(IFERROR(INDEX(ctaLiq,MATCH(E1948,ctaNom,0))="Sí",FALSE),IF(OR(I1948="Gasto",I1948="Transferencia",I1948="Pago tarjeta"),-1,1)*O1948,0)+IF(AND(U1948&lt;&gt;"",IFERROR(INDEX(ctaLiq,MATCH(G1948,ctaNom,0))="Sí",FALSE)),O1948,0))</f>
        <v/>
      </c>
      <c r="W1948" s="19">
        <f>IF(OR(F1948="",I1948=""),"",IF(COUNTIFS(F$6:F1948,F1948,I$6:I1948,"?*")=1,MAX(W$5:W1947)+1,""))</f>
        <v/>
      </c>
    </row>
    <row r="1949">
      <c r="B1949" s="15" t="n"/>
      <c r="C1949" s="16" t="n"/>
      <c r="D1949" s="17" t="n"/>
      <c r="E1949" s="17" t="n"/>
      <c r="F1949" s="17" t="n"/>
      <c r="G1949" s="17" t="n"/>
      <c r="H1949" s="18">
        <f>IF(AND(B1949="",C1949="",D1949="",E1949=""),"",IF(B1949="","⚠ Falta fecha",IF(C1949="","⚠ Falta monto",IF(D1949="","⚠ Falta categoría",IF(ISNA(MATCH(D1949,catNom,0)),"⚠ Categoría no existe",IF(E1949="","⚠ Falta cuenta",IF(ISNA(MATCH(E1949,ctaNom,0)),"⚠ Cuenta no existe",IF(AND(OR(I1949="Transferencia",I1949="Pago tarjeta"),G1949=""),"⚠ Indica la cuenta «Hacia»",IF(AND(G1949&lt;&gt;"",G1949=E1949),"⚠ «Hacia» igual a la cuenta",IF(AND(G1949&lt;&gt;"",ISNA(MATCH(G1949,ctaNom,0))),"⚠ «Hacia» no existe",IF(AND(I1949="Pago tarjeta",IFERROR(INDEX(ctaTipo,MATCH(G1949,ctaNom,0)),"")&lt;&gt;"Tarjeta de crédito"),"⚠ «Hacia» debe ser la tarjeta",IF(AND(I1949="Trading",IFERROR(INDEX(ctaTipo,MATCH(E1949,ctaNom,0)),"")&lt;&gt;"Cuenta de trading"),"⚠ Usa la cuenta de trading","✓"))))))))))))</f>
        <v/>
      </c>
      <c r="I1949" s="19">
        <f>IF(OR(B1949="",C1949="",D1949=""),"",IFERROR(INDEX(catTipo,MATCH(D1949,catNom,0))&amp;"",""))</f>
        <v/>
      </c>
      <c r="J1949" s="19">
        <f>IF(I1949="","",IFERROR(INDEX(catGrupo,MATCH(D1949,catNom,0))&amp;"",""))</f>
        <v/>
      </c>
      <c r="K1949" s="19">
        <f>IF(I1949="Gasto",IF(IFERROR(INDEX(catClas,MATCH(D1949,catNom,0))&amp;"","")="","Variable",IFERROR(INDEX(catClas,MATCH(D1949,catNom,0))&amp;"","")),"")</f>
        <v/>
      </c>
      <c r="L1949" s="19">
        <f>IF(I1949="","",IFERROR(INDEX(catAlim,MATCH(D1949,catNom,0))&amp;"",""))</f>
        <v/>
      </c>
      <c r="M1949" s="19">
        <f>IF(I1949="","",IFERROR(INDEX(catComida,MATCH(D1949,catNom,0))&amp;"",""))</f>
        <v/>
      </c>
      <c r="N1949" s="19">
        <f>IF(I1949="","",IFERROR(INDEX(ctaMon,MATCH(E1949,ctaNom,0))&amp;"","DOP"))</f>
        <v/>
      </c>
      <c r="O1949" s="20">
        <f>IF(I1949="","",C1949*IF(N1949="USD",TasaUSD,1))</f>
        <v/>
      </c>
      <c r="P1949" s="20">
        <f>IF(I1949="","",IF(I1949="Gasto",O1949,0))</f>
        <v/>
      </c>
      <c r="Q1949" s="20">
        <f>IF(I1949="","",IF(I1949="Ingreso",O1949,0))</f>
        <v/>
      </c>
      <c r="R1949" s="20">
        <f>IF(I1949="","",IF(I1949="Trading",O1949,0))</f>
        <v/>
      </c>
      <c r="S1949" s="19">
        <f>IF(I1949="","",IF(AND(I1949="Gasto",K1949="Variable",J1949&lt;&gt;"Trading",O1949&gt;0,O1949&lt;=Umbral),1,0))</f>
        <v/>
      </c>
      <c r="T1949" s="20">
        <f>IF(OR(I1949="",E1949=""),"",IF(OR(I1949="Gasto",I1949="Transferencia",I1949="Pago tarjeta"),-1,1)*C1949)</f>
        <v/>
      </c>
      <c r="U1949" s="20">
        <f>IF(OR(G1949="",AND(I1949&lt;&gt;"Transferencia",I1949&lt;&gt;"Pago tarjeta")),"",IF(IFERROR(INDEX(ctaMon,MATCH(G1949,ctaNom,0))&amp;"","DOP")=N1949,C1949,IF(N1949="USD",C1949*TasaUSD,C1949/TasaUSD)))</f>
        <v/>
      </c>
      <c r="V1949" s="20">
        <f>IF(I1949="","",IF(IFERROR(INDEX(ctaLiq,MATCH(E1949,ctaNom,0))="Sí",FALSE),IF(OR(I1949="Gasto",I1949="Transferencia",I1949="Pago tarjeta"),-1,1)*O1949,0)+IF(AND(U1949&lt;&gt;"",IFERROR(INDEX(ctaLiq,MATCH(G1949,ctaNom,0))="Sí",FALSE)),O1949,0))</f>
        <v/>
      </c>
      <c r="W1949" s="19">
        <f>IF(OR(F1949="",I1949=""),"",IF(COUNTIFS(F$6:F1949,F1949,I$6:I1949,"?*")=1,MAX(W$5:W1948)+1,""))</f>
        <v/>
      </c>
    </row>
    <row r="1950">
      <c r="B1950" s="15" t="n"/>
      <c r="C1950" s="16" t="n"/>
      <c r="D1950" s="17" t="n"/>
      <c r="E1950" s="17" t="n"/>
      <c r="F1950" s="17" t="n"/>
      <c r="G1950" s="17" t="n"/>
      <c r="H1950" s="18">
        <f>IF(AND(B1950="",C1950="",D1950="",E1950=""),"",IF(B1950="","⚠ Falta fecha",IF(C1950="","⚠ Falta monto",IF(D1950="","⚠ Falta categoría",IF(ISNA(MATCH(D1950,catNom,0)),"⚠ Categoría no existe",IF(E1950="","⚠ Falta cuenta",IF(ISNA(MATCH(E1950,ctaNom,0)),"⚠ Cuenta no existe",IF(AND(OR(I1950="Transferencia",I1950="Pago tarjeta"),G1950=""),"⚠ Indica la cuenta «Hacia»",IF(AND(G1950&lt;&gt;"",G1950=E1950),"⚠ «Hacia» igual a la cuenta",IF(AND(G1950&lt;&gt;"",ISNA(MATCH(G1950,ctaNom,0))),"⚠ «Hacia» no existe",IF(AND(I1950="Pago tarjeta",IFERROR(INDEX(ctaTipo,MATCH(G1950,ctaNom,0)),"")&lt;&gt;"Tarjeta de crédito"),"⚠ «Hacia» debe ser la tarjeta",IF(AND(I1950="Trading",IFERROR(INDEX(ctaTipo,MATCH(E1950,ctaNom,0)),"")&lt;&gt;"Cuenta de trading"),"⚠ Usa la cuenta de trading","✓"))))))))))))</f>
        <v/>
      </c>
      <c r="I1950" s="19">
        <f>IF(OR(B1950="",C1950="",D1950=""),"",IFERROR(INDEX(catTipo,MATCH(D1950,catNom,0))&amp;"",""))</f>
        <v/>
      </c>
      <c r="J1950" s="19">
        <f>IF(I1950="","",IFERROR(INDEX(catGrupo,MATCH(D1950,catNom,0))&amp;"",""))</f>
        <v/>
      </c>
      <c r="K1950" s="19">
        <f>IF(I1950="Gasto",IF(IFERROR(INDEX(catClas,MATCH(D1950,catNom,0))&amp;"","")="","Variable",IFERROR(INDEX(catClas,MATCH(D1950,catNom,0))&amp;"","")),"")</f>
        <v/>
      </c>
      <c r="L1950" s="19">
        <f>IF(I1950="","",IFERROR(INDEX(catAlim,MATCH(D1950,catNom,0))&amp;"",""))</f>
        <v/>
      </c>
      <c r="M1950" s="19">
        <f>IF(I1950="","",IFERROR(INDEX(catComida,MATCH(D1950,catNom,0))&amp;"",""))</f>
        <v/>
      </c>
      <c r="N1950" s="19">
        <f>IF(I1950="","",IFERROR(INDEX(ctaMon,MATCH(E1950,ctaNom,0))&amp;"","DOP"))</f>
        <v/>
      </c>
      <c r="O1950" s="20">
        <f>IF(I1950="","",C1950*IF(N1950="USD",TasaUSD,1))</f>
        <v/>
      </c>
      <c r="P1950" s="20">
        <f>IF(I1950="","",IF(I1950="Gasto",O1950,0))</f>
        <v/>
      </c>
      <c r="Q1950" s="20">
        <f>IF(I1950="","",IF(I1950="Ingreso",O1950,0))</f>
        <v/>
      </c>
      <c r="R1950" s="20">
        <f>IF(I1950="","",IF(I1950="Trading",O1950,0))</f>
        <v/>
      </c>
      <c r="S1950" s="19">
        <f>IF(I1950="","",IF(AND(I1950="Gasto",K1950="Variable",J1950&lt;&gt;"Trading",O1950&gt;0,O1950&lt;=Umbral),1,0))</f>
        <v/>
      </c>
      <c r="T1950" s="20">
        <f>IF(OR(I1950="",E1950=""),"",IF(OR(I1950="Gasto",I1950="Transferencia",I1950="Pago tarjeta"),-1,1)*C1950)</f>
        <v/>
      </c>
      <c r="U1950" s="20">
        <f>IF(OR(G1950="",AND(I1950&lt;&gt;"Transferencia",I1950&lt;&gt;"Pago tarjeta")),"",IF(IFERROR(INDEX(ctaMon,MATCH(G1950,ctaNom,0))&amp;"","DOP")=N1950,C1950,IF(N1950="USD",C1950*TasaUSD,C1950/TasaUSD)))</f>
        <v/>
      </c>
      <c r="V1950" s="20">
        <f>IF(I1950="","",IF(IFERROR(INDEX(ctaLiq,MATCH(E1950,ctaNom,0))="Sí",FALSE),IF(OR(I1950="Gasto",I1950="Transferencia",I1950="Pago tarjeta"),-1,1)*O1950,0)+IF(AND(U1950&lt;&gt;"",IFERROR(INDEX(ctaLiq,MATCH(G1950,ctaNom,0))="Sí",FALSE)),O1950,0))</f>
        <v/>
      </c>
      <c r="W1950" s="19">
        <f>IF(OR(F1950="",I1950=""),"",IF(COUNTIFS(F$6:F1950,F1950,I$6:I1950,"?*")=1,MAX(W$5:W1949)+1,""))</f>
        <v/>
      </c>
    </row>
    <row r="1951">
      <c r="B1951" s="15" t="n"/>
      <c r="C1951" s="16" t="n"/>
      <c r="D1951" s="17" t="n"/>
      <c r="E1951" s="17" t="n"/>
      <c r="F1951" s="17" t="n"/>
      <c r="G1951" s="17" t="n"/>
      <c r="H1951" s="18">
        <f>IF(AND(B1951="",C1951="",D1951="",E1951=""),"",IF(B1951="","⚠ Falta fecha",IF(C1951="","⚠ Falta monto",IF(D1951="","⚠ Falta categoría",IF(ISNA(MATCH(D1951,catNom,0)),"⚠ Categoría no existe",IF(E1951="","⚠ Falta cuenta",IF(ISNA(MATCH(E1951,ctaNom,0)),"⚠ Cuenta no existe",IF(AND(OR(I1951="Transferencia",I1951="Pago tarjeta"),G1951=""),"⚠ Indica la cuenta «Hacia»",IF(AND(G1951&lt;&gt;"",G1951=E1951),"⚠ «Hacia» igual a la cuenta",IF(AND(G1951&lt;&gt;"",ISNA(MATCH(G1951,ctaNom,0))),"⚠ «Hacia» no existe",IF(AND(I1951="Pago tarjeta",IFERROR(INDEX(ctaTipo,MATCH(G1951,ctaNom,0)),"")&lt;&gt;"Tarjeta de crédito"),"⚠ «Hacia» debe ser la tarjeta",IF(AND(I1951="Trading",IFERROR(INDEX(ctaTipo,MATCH(E1951,ctaNom,0)),"")&lt;&gt;"Cuenta de trading"),"⚠ Usa la cuenta de trading","✓"))))))))))))</f>
        <v/>
      </c>
      <c r="I1951" s="19">
        <f>IF(OR(B1951="",C1951="",D1951=""),"",IFERROR(INDEX(catTipo,MATCH(D1951,catNom,0))&amp;"",""))</f>
        <v/>
      </c>
      <c r="J1951" s="19">
        <f>IF(I1951="","",IFERROR(INDEX(catGrupo,MATCH(D1951,catNom,0))&amp;"",""))</f>
        <v/>
      </c>
      <c r="K1951" s="19">
        <f>IF(I1951="Gasto",IF(IFERROR(INDEX(catClas,MATCH(D1951,catNom,0))&amp;"","")="","Variable",IFERROR(INDEX(catClas,MATCH(D1951,catNom,0))&amp;"","")),"")</f>
        <v/>
      </c>
      <c r="L1951" s="19">
        <f>IF(I1951="","",IFERROR(INDEX(catAlim,MATCH(D1951,catNom,0))&amp;"",""))</f>
        <v/>
      </c>
      <c r="M1951" s="19">
        <f>IF(I1951="","",IFERROR(INDEX(catComida,MATCH(D1951,catNom,0))&amp;"",""))</f>
        <v/>
      </c>
      <c r="N1951" s="19">
        <f>IF(I1951="","",IFERROR(INDEX(ctaMon,MATCH(E1951,ctaNom,0))&amp;"","DOP"))</f>
        <v/>
      </c>
      <c r="O1951" s="20">
        <f>IF(I1951="","",C1951*IF(N1951="USD",TasaUSD,1))</f>
        <v/>
      </c>
      <c r="P1951" s="20">
        <f>IF(I1951="","",IF(I1951="Gasto",O1951,0))</f>
        <v/>
      </c>
      <c r="Q1951" s="20">
        <f>IF(I1951="","",IF(I1951="Ingreso",O1951,0))</f>
        <v/>
      </c>
      <c r="R1951" s="20">
        <f>IF(I1951="","",IF(I1951="Trading",O1951,0))</f>
        <v/>
      </c>
      <c r="S1951" s="19">
        <f>IF(I1951="","",IF(AND(I1951="Gasto",K1951="Variable",J1951&lt;&gt;"Trading",O1951&gt;0,O1951&lt;=Umbral),1,0))</f>
        <v/>
      </c>
      <c r="T1951" s="20">
        <f>IF(OR(I1951="",E1951=""),"",IF(OR(I1951="Gasto",I1951="Transferencia",I1951="Pago tarjeta"),-1,1)*C1951)</f>
        <v/>
      </c>
      <c r="U1951" s="20">
        <f>IF(OR(G1951="",AND(I1951&lt;&gt;"Transferencia",I1951&lt;&gt;"Pago tarjeta")),"",IF(IFERROR(INDEX(ctaMon,MATCH(G1951,ctaNom,0))&amp;"","DOP")=N1951,C1951,IF(N1951="USD",C1951*TasaUSD,C1951/TasaUSD)))</f>
        <v/>
      </c>
      <c r="V1951" s="20">
        <f>IF(I1951="","",IF(IFERROR(INDEX(ctaLiq,MATCH(E1951,ctaNom,0))="Sí",FALSE),IF(OR(I1951="Gasto",I1951="Transferencia",I1951="Pago tarjeta"),-1,1)*O1951,0)+IF(AND(U1951&lt;&gt;"",IFERROR(INDEX(ctaLiq,MATCH(G1951,ctaNom,0))="Sí",FALSE)),O1951,0))</f>
        <v/>
      </c>
      <c r="W1951" s="19">
        <f>IF(OR(F1951="",I1951=""),"",IF(COUNTIFS(F$6:F1951,F1951,I$6:I1951,"?*")=1,MAX(W$5:W1950)+1,""))</f>
        <v/>
      </c>
    </row>
    <row r="1952">
      <c r="B1952" s="15" t="n"/>
      <c r="C1952" s="16" t="n"/>
      <c r="D1952" s="17" t="n"/>
      <c r="E1952" s="17" t="n"/>
      <c r="F1952" s="17" t="n"/>
      <c r="G1952" s="17" t="n"/>
      <c r="H1952" s="18">
        <f>IF(AND(B1952="",C1952="",D1952="",E1952=""),"",IF(B1952="","⚠ Falta fecha",IF(C1952="","⚠ Falta monto",IF(D1952="","⚠ Falta categoría",IF(ISNA(MATCH(D1952,catNom,0)),"⚠ Categoría no existe",IF(E1952="","⚠ Falta cuenta",IF(ISNA(MATCH(E1952,ctaNom,0)),"⚠ Cuenta no existe",IF(AND(OR(I1952="Transferencia",I1952="Pago tarjeta"),G1952=""),"⚠ Indica la cuenta «Hacia»",IF(AND(G1952&lt;&gt;"",G1952=E1952),"⚠ «Hacia» igual a la cuenta",IF(AND(G1952&lt;&gt;"",ISNA(MATCH(G1952,ctaNom,0))),"⚠ «Hacia» no existe",IF(AND(I1952="Pago tarjeta",IFERROR(INDEX(ctaTipo,MATCH(G1952,ctaNom,0)),"")&lt;&gt;"Tarjeta de crédito"),"⚠ «Hacia» debe ser la tarjeta",IF(AND(I1952="Trading",IFERROR(INDEX(ctaTipo,MATCH(E1952,ctaNom,0)),"")&lt;&gt;"Cuenta de trading"),"⚠ Usa la cuenta de trading","✓"))))))))))))</f>
        <v/>
      </c>
      <c r="I1952" s="19">
        <f>IF(OR(B1952="",C1952="",D1952=""),"",IFERROR(INDEX(catTipo,MATCH(D1952,catNom,0))&amp;"",""))</f>
        <v/>
      </c>
      <c r="J1952" s="19">
        <f>IF(I1952="","",IFERROR(INDEX(catGrupo,MATCH(D1952,catNom,0))&amp;"",""))</f>
        <v/>
      </c>
      <c r="K1952" s="19">
        <f>IF(I1952="Gasto",IF(IFERROR(INDEX(catClas,MATCH(D1952,catNom,0))&amp;"","")="","Variable",IFERROR(INDEX(catClas,MATCH(D1952,catNom,0))&amp;"","")),"")</f>
        <v/>
      </c>
      <c r="L1952" s="19">
        <f>IF(I1952="","",IFERROR(INDEX(catAlim,MATCH(D1952,catNom,0))&amp;"",""))</f>
        <v/>
      </c>
      <c r="M1952" s="19">
        <f>IF(I1952="","",IFERROR(INDEX(catComida,MATCH(D1952,catNom,0))&amp;"",""))</f>
        <v/>
      </c>
      <c r="N1952" s="19">
        <f>IF(I1952="","",IFERROR(INDEX(ctaMon,MATCH(E1952,ctaNom,0))&amp;"","DOP"))</f>
        <v/>
      </c>
      <c r="O1952" s="20">
        <f>IF(I1952="","",C1952*IF(N1952="USD",TasaUSD,1))</f>
        <v/>
      </c>
      <c r="P1952" s="20">
        <f>IF(I1952="","",IF(I1952="Gasto",O1952,0))</f>
        <v/>
      </c>
      <c r="Q1952" s="20">
        <f>IF(I1952="","",IF(I1952="Ingreso",O1952,0))</f>
        <v/>
      </c>
      <c r="R1952" s="20">
        <f>IF(I1952="","",IF(I1952="Trading",O1952,0))</f>
        <v/>
      </c>
      <c r="S1952" s="19">
        <f>IF(I1952="","",IF(AND(I1952="Gasto",K1952="Variable",J1952&lt;&gt;"Trading",O1952&gt;0,O1952&lt;=Umbral),1,0))</f>
        <v/>
      </c>
      <c r="T1952" s="20">
        <f>IF(OR(I1952="",E1952=""),"",IF(OR(I1952="Gasto",I1952="Transferencia",I1952="Pago tarjeta"),-1,1)*C1952)</f>
        <v/>
      </c>
      <c r="U1952" s="20">
        <f>IF(OR(G1952="",AND(I1952&lt;&gt;"Transferencia",I1952&lt;&gt;"Pago tarjeta")),"",IF(IFERROR(INDEX(ctaMon,MATCH(G1952,ctaNom,0))&amp;"","DOP")=N1952,C1952,IF(N1952="USD",C1952*TasaUSD,C1952/TasaUSD)))</f>
        <v/>
      </c>
      <c r="V1952" s="20">
        <f>IF(I1952="","",IF(IFERROR(INDEX(ctaLiq,MATCH(E1952,ctaNom,0))="Sí",FALSE),IF(OR(I1952="Gasto",I1952="Transferencia",I1952="Pago tarjeta"),-1,1)*O1952,0)+IF(AND(U1952&lt;&gt;"",IFERROR(INDEX(ctaLiq,MATCH(G1952,ctaNom,0))="Sí",FALSE)),O1952,0))</f>
        <v/>
      </c>
      <c r="W1952" s="19">
        <f>IF(OR(F1952="",I1952=""),"",IF(COUNTIFS(F$6:F1952,F1952,I$6:I1952,"?*")=1,MAX(W$5:W1951)+1,""))</f>
        <v/>
      </c>
    </row>
    <row r="1953">
      <c r="B1953" s="15" t="n"/>
      <c r="C1953" s="16" t="n"/>
      <c r="D1953" s="17" t="n"/>
      <c r="E1953" s="17" t="n"/>
      <c r="F1953" s="17" t="n"/>
      <c r="G1953" s="17" t="n"/>
      <c r="H1953" s="18">
        <f>IF(AND(B1953="",C1953="",D1953="",E1953=""),"",IF(B1953="","⚠ Falta fecha",IF(C1953="","⚠ Falta monto",IF(D1953="","⚠ Falta categoría",IF(ISNA(MATCH(D1953,catNom,0)),"⚠ Categoría no existe",IF(E1953="","⚠ Falta cuenta",IF(ISNA(MATCH(E1953,ctaNom,0)),"⚠ Cuenta no existe",IF(AND(OR(I1953="Transferencia",I1953="Pago tarjeta"),G1953=""),"⚠ Indica la cuenta «Hacia»",IF(AND(G1953&lt;&gt;"",G1953=E1953),"⚠ «Hacia» igual a la cuenta",IF(AND(G1953&lt;&gt;"",ISNA(MATCH(G1953,ctaNom,0))),"⚠ «Hacia» no existe",IF(AND(I1953="Pago tarjeta",IFERROR(INDEX(ctaTipo,MATCH(G1953,ctaNom,0)),"")&lt;&gt;"Tarjeta de crédito"),"⚠ «Hacia» debe ser la tarjeta",IF(AND(I1953="Trading",IFERROR(INDEX(ctaTipo,MATCH(E1953,ctaNom,0)),"")&lt;&gt;"Cuenta de trading"),"⚠ Usa la cuenta de trading","✓"))))))))))))</f>
        <v/>
      </c>
      <c r="I1953" s="19">
        <f>IF(OR(B1953="",C1953="",D1953=""),"",IFERROR(INDEX(catTipo,MATCH(D1953,catNom,0))&amp;"",""))</f>
        <v/>
      </c>
      <c r="J1953" s="19">
        <f>IF(I1953="","",IFERROR(INDEX(catGrupo,MATCH(D1953,catNom,0))&amp;"",""))</f>
        <v/>
      </c>
      <c r="K1953" s="19">
        <f>IF(I1953="Gasto",IF(IFERROR(INDEX(catClas,MATCH(D1953,catNom,0))&amp;"","")="","Variable",IFERROR(INDEX(catClas,MATCH(D1953,catNom,0))&amp;"","")),"")</f>
        <v/>
      </c>
      <c r="L1953" s="19">
        <f>IF(I1953="","",IFERROR(INDEX(catAlim,MATCH(D1953,catNom,0))&amp;"",""))</f>
        <v/>
      </c>
      <c r="M1953" s="19">
        <f>IF(I1953="","",IFERROR(INDEX(catComida,MATCH(D1953,catNom,0))&amp;"",""))</f>
        <v/>
      </c>
      <c r="N1953" s="19">
        <f>IF(I1953="","",IFERROR(INDEX(ctaMon,MATCH(E1953,ctaNom,0))&amp;"","DOP"))</f>
        <v/>
      </c>
      <c r="O1953" s="20">
        <f>IF(I1953="","",C1953*IF(N1953="USD",TasaUSD,1))</f>
        <v/>
      </c>
      <c r="P1953" s="20">
        <f>IF(I1953="","",IF(I1953="Gasto",O1953,0))</f>
        <v/>
      </c>
      <c r="Q1953" s="20">
        <f>IF(I1953="","",IF(I1953="Ingreso",O1953,0))</f>
        <v/>
      </c>
      <c r="R1953" s="20">
        <f>IF(I1953="","",IF(I1953="Trading",O1953,0))</f>
        <v/>
      </c>
      <c r="S1953" s="19">
        <f>IF(I1953="","",IF(AND(I1953="Gasto",K1953="Variable",J1953&lt;&gt;"Trading",O1953&gt;0,O1953&lt;=Umbral),1,0))</f>
        <v/>
      </c>
      <c r="T1953" s="20">
        <f>IF(OR(I1953="",E1953=""),"",IF(OR(I1953="Gasto",I1953="Transferencia",I1953="Pago tarjeta"),-1,1)*C1953)</f>
        <v/>
      </c>
      <c r="U1953" s="20">
        <f>IF(OR(G1953="",AND(I1953&lt;&gt;"Transferencia",I1953&lt;&gt;"Pago tarjeta")),"",IF(IFERROR(INDEX(ctaMon,MATCH(G1953,ctaNom,0))&amp;"","DOP")=N1953,C1953,IF(N1953="USD",C1953*TasaUSD,C1953/TasaUSD)))</f>
        <v/>
      </c>
      <c r="V1953" s="20">
        <f>IF(I1953="","",IF(IFERROR(INDEX(ctaLiq,MATCH(E1953,ctaNom,0))="Sí",FALSE),IF(OR(I1953="Gasto",I1953="Transferencia",I1953="Pago tarjeta"),-1,1)*O1953,0)+IF(AND(U1953&lt;&gt;"",IFERROR(INDEX(ctaLiq,MATCH(G1953,ctaNom,0))="Sí",FALSE)),O1953,0))</f>
        <v/>
      </c>
      <c r="W1953" s="19">
        <f>IF(OR(F1953="",I1953=""),"",IF(COUNTIFS(F$6:F1953,F1953,I$6:I1953,"?*")=1,MAX(W$5:W1952)+1,""))</f>
        <v/>
      </c>
    </row>
    <row r="1954">
      <c r="B1954" s="15" t="n"/>
      <c r="C1954" s="16" t="n"/>
      <c r="D1954" s="17" t="n"/>
      <c r="E1954" s="17" t="n"/>
      <c r="F1954" s="17" t="n"/>
      <c r="G1954" s="17" t="n"/>
      <c r="H1954" s="18">
        <f>IF(AND(B1954="",C1954="",D1954="",E1954=""),"",IF(B1954="","⚠ Falta fecha",IF(C1954="","⚠ Falta monto",IF(D1954="","⚠ Falta categoría",IF(ISNA(MATCH(D1954,catNom,0)),"⚠ Categoría no existe",IF(E1954="","⚠ Falta cuenta",IF(ISNA(MATCH(E1954,ctaNom,0)),"⚠ Cuenta no existe",IF(AND(OR(I1954="Transferencia",I1954="Pago tarjeta"),G1954=""),"⚠ Indica la cuenta «Hacia»",IF(AND(G1954&lt;&gt;"",G1954=E1954),"⚠ «Hacia» igual a la cuenta",IF(AND(G1954&lt;&gt;"",ISNA(MATCH(G1954,ctaNom,0))),"⚠ «Hacia» no existe",IF(AND(I1954="Pago tarjeta",IFERROR(INDEX(ctaTipo,MATCH(G1954,ctaNom,0)),"")&lt;&gt;"Tarjeta de crédito"),"⚠ «Hacia» debe ser la tarjeta",IF(AND(I1954="Trading",IFERROR(INDEX(ctaTipo,MATCH(E1954,ctaNom,0)),"")&lt;&gt;"Cuenta de trading"),"⚠ Usa la cuenta de trading","✓"))))))))))))</f>
        <v/>
      </c>
      <c r="I1954" s="19">
        <f>IF(OR(B1954="",C1954="",D1954=""),"",IFERROR(INDEX(catTipo,MATCH(D1954,catNom,0))&amp;"",""))</f>
        <v/>
      </c>
      <c r="J1954" s="19">
        <f>IF(I1954="","",IFERROR(INDEX(catGrupo,MATCH(D1954,catNom,0))&amp;"",""))</f>
        <v/>
      </c>
      <c r="K1954" s="19">
        <f>IF(I1954="Gasto",IF(IFERROR(INDEX(catClas,MATCH(D1954,catNom,0))&amp;"","")="","Variable",IFERROR(INDEX(catClas,MATCH(D1954,catNom,0))&amp;"","")),"")</f>
        <v/>
      </c>
      <c r="L1954" s="19">
        <f>IF(I1954="","",IFERROR(INDEX(catAlim,MATCH(D1954,catNom,0))&amp;"",""))</f>
        <v/>
      </c>
      <c r="M1954" s="19">
        <f>IF(I1954="","",IFERROR(INDEX(catComida,MATCH(D1954,catNom,0))&amp;"",""))</f>
        <v/>
      </c>
      <c r="N1954" s="19">
        <f>IF(I1954="","",IFERROR(INDEX(ctaMon,MATCH(E1954,ctaNom,0))&amp;"","DOP"))</f>
        <v/>
      </c>
      <c r="O1954" s="20">
        <f>IF(I1954="","",C1954*IF(N1954="USD",TasaUSD,1))</f>
        <v/>
      </c>
      <c r="P1954" s="20">
        <f>IF(I1954="","",IF(I1954="Gasto",O1954,0))</f>
        <v/>
      </c>
      <c r="Q1954" s="20">
        <f>IF(I1954="","",IF(I1954="Ingreso",O1954,0))</f>
        <v/>
      </c>
      <c r="R1954" s="20">
        <f>IF(I1954="","",IF(I1954="Trading",O1954,0))</f>
        <v/>
      </c>
      <c r="S1954" s="19">
        <f>IF(I1954="","",IF(AND(I1954="Gasto",K1954="Variable",J1954&lt;&gt;"Trading",O1954&gt;0,O1954&lt;=Umbral),1,0))</f>
        <v/>
      </c>
      <c r="T1954" s="20">
        <f>IF(OR(I1954="",E1954=""),"",IF(OR(I1954="Gasto",I1954="Transferencia",I1954="Pago tarjeta"),-1,1)*C1954)</f>
        <v/>
      </c>
      <c r="U1954" s="20">
        <f>IF(OR(G1954="",AND(I1954&lt;&gt;"Transferencia",I1954&lt;&gt;"Pago tarjeta")),"",IF(IFERROR(INDEX(ctaMon,MATCH(G1954,ctaNom,0))&amp;"","DOP")=N1954,C1954,IF(N1954="USD",C1954*TasaUSD,C1954/TasaUSD)))</f>
        <v/>
      </c>
      <c r="V1954" s="20">
        <f>IF(I1954="","",IF(IFERROR(INDEX(ctaLiq,MATCH(E1954,ctaNom,0))="Sí",FALSE),IF(OR(I1954="Gasto",I1954="Transferencia",I1954="Pago tarjeta"),-1,1)*O1954,0)+IF(AND(U1954&lt;&gt;"",IFERROR(INDEX(ctaLiq,MATCH(G1954,ctaNom,0))="Sí",FALSE)),O1954,0))</f>
        <v/>
      </c>
      <c r="W1954" s="19">
        <f>IF(OR(F1954="",I1954=""),"",IF(COUNTIFS(F$6:F1954,F1954,I$6:I1954,"?*")=1,MAX(W$5:W1953)+1,""))</f>
        <v/>
      </c>
    </row>
    <row r="1955">
      <c r="B1955" s="15" t="n"/>
      <c r="C1955" s="16" t="n"/>
      <c r="D1955" s="17" t="n"/>
      <c r="E1955" s="17" t="n"/>
      <c r="F1955" s="17" t="n"/>
      <c r="G1955" s="17" t="n"/>
      <c r="H1955" s="18">
        <f>IF(AND(B1955="",C1955="",D1955="",E1955=""),"",IF(B1955="","⚠ Falta fecha",IF(C1955="","⚠ Falta monto",IF(D1955="","⚠ Falta categoría",IF(ISNA(MATCH(D1955,catNom,0)),"⚠ Categoría no existe",IF(E1955="","⚠ Falta cuenta",IF(ISNA(MATCH(E1955,ctaNom,0)),"⚠ Cuenta no existe",IF(AND(OR(I1955="Transferencia",I1955="Pago tarjeta"),G1955=""),"⚠ Indica la cuenta «Hacia»",IF(AND(G1955&lt;&gt;"",G1955=E1955),"⚠ «Hacia» igual a la cuenta",IF(AND(G1955&lt;&gt;"",ISNA(MATCH(G1955,ctaNom,0))),"⚠ «Hacia» no existe",IF(AND(I1955="Pago tarjeta",IFERROR(INDEX(ctaTipo,MATCH(G1955,ctaNom,0)),"")&lt;&gt;"Tarjeta de crédito"),"⚠ «Hacia» debe ser la tarjeta",IF(AND(I1955="Trading",IFERROR(INDEX(ctaTipo,MATCH(E1955,ctaNom,0)),"")&lt;&gt;"Cuenta de trading"),"⚠ Usa la cuenta de trading","✓"))))))))))))</f>
        <v/>
      </c>
      <c r="I1955" s="19">
        <f>IF(OR(B1955="",C1955="",D1955=""),"",IFERROR(INDEX(catTipo,MATCH(D1955,catNom,0))&amp;"",""))</f>
        <v/>
      </c>
      <c r="J1955" s="19">
        <f>IF(I1955="","",IFERROR(INDEX(catGrupo,MATCH(D1955,catNom,0))&amp;"",""))</f>
        <v/>
      </c>
      <c r="K1955" s="19">
        <f>IF(I1955="Gasto",IF(IFERROR(INDEX(catClas,MATCH(D1955,catNom,0))&amp;"","")="","Variable",IFERROR(INDEX(catClas,MATCH(D1955,catNom,0))&amp;"","")),"")</f>
        <v/>
      </c>
      <c r="L1955" s="19">
        <f>IF(I1955="","",IFERROR(INDEX(catAlim,MATCH(D1955,catNom,0))&amp;"",""))</f>
        <v/>
      </c>
      <c r="M1955" s="19">
        <f>IF(I1955="","",IFERROR(INDEX(catComida,MATCH(D1955,catNom,0))&amp;"",""))</f>
        <v/>
      </c>
      <c r="N1955" s="19">
        <f>IF(I1955="","",IFERROR(INDEX(ctaMon,MATCH(E1955,ctaNom,0))&amp;"","DOP"))</f>
        <v/>
      </c>
      <c r="O1955" s="20">
        <f>IF(I1955="","",C1955*IF(N1955="USD",TasaUSD,1))</f>
        <v/>
      </c>
      <c r="P1955" s="20">
        <f>IF(I1955="","",IF(I1955="Gasto",O1955,0))</f>
        <v/>
      </c>
      <c r="Q1955" s="20">
        <f>IF(I1955="","",IF(I1955="Ingreso",O1955,0))</f>
        <v/>
      </c>
      <c r="R1955" s="20">
        <f>IF(I1955="","",IF(I1955="Trading",O1955,0))</f>
        <v/>
      </c>
      <c r="S1955" s="19">
        <f>IF(I1955="","",IF(AND(I1955="Gasto",K1955="Variable",J1955&lt;&gt;"Trading",O1955&gt;0,O1955&lt;=Umbral),1,0))</f>
        <v/>
      </c>
      <c r="T1955" s="20">
        <f>IF(OR(I1955="",E1955=""),"",IF(OR(I1955="Gasto",I1955="Transferencia",I1955="Pago tarjeta"),-1,1)*C1955)</f>
        <v/>
      </c>
      <c r="U1955" s="20">
        <f>IF(OR(G1955="",AND(I1955&lt;&gt;"Transferencia",I1955&lt;&gt;"Pago tarjeta")),"",IF(IFERROR(INDEX(ctaMon,MATCH(G1955,ctaNom,0))&amp;"","DOP")=N1955,C1955,IF(N1955="USD",C1955*TasaUSD,C1955/TasaUSD)))</f>
        <v/>
      </c>
      <c r="V1955" s="20">
        <f>IF(I1955="","",IF(IFERROR(INDEX(ctaLiq,MATCH(E1955,ctaNom,0))="Sí",FALSE),IF(OR(I1955="Gasto",I1955="Transferencia",I1955="Pago tarjeta"),-1,1)*O1955,0)+IF(AND(U1955&lt;&gt;"",IFERROR(INDEX(ctaLiq,MATCH(G1955,ctaNom,0))="Sí",FALSE)),O1955,0))</f>
        <v/>
      </c>
      <c r="W1955" s="19">
        <f>IF(OR(F1955="",I1955=""),"",IF(COUNTIFS(F$6:F1955,F1955,I$6:I1955,"?*")=1,MAX(W$5:W1954)+1,""))</f>
        <v/>
      </c>
    </row>
    <row r="1956">
      <c r="B1956" s="15" t="n"/>
      <c r="C1956" s="16" t="n"/>
      <c r="D1956" s="17" t="n"/>
      <c r="E1956" s="17" t="n"/>
      <c r="F1956" s="17" t="n"/>
      <c r="G1956" s="17" t="n"/>
      <c r="H1956" s="18">
        <f>IF(AND(B1956="",C1956="",D1956="",E1956=""),"",IF(B1956="","⚠ Falta fecha",IF(C1956="","⚠ Falta monto",IF(D1956="","⚠ Falta categoría",IF(ISNA(MATCH(D1956,catNom,0)),"⚠ Categoría no existe",IF(E1956="","⚠ Falta cuenta",IF(ISNA(MATCH(E1956,ctaNom,0)),"⚠ Cuenta no existe",IF(AND(OR(I1956="Transferencia",I1956="Pago tarjeta"),G1956=""),"⚠ Indica la cuenta «Hacia»",IF(AND(G1956&lt;&gt;"",G1956=E1956),"⚠ «Hacia» igual a la cuenta",IF(AND(G1956&lt;&gt;"",ISNA(MATCH(G1956,ctaNom,0))),"⚠ «Hacia» no existe",IF(AND(I1956="Pago tarjeta",IFERROR(INDEX(ctaTipo,MATCH(G1956,ctaNom,0)),"")&lt;&gt;"Tarjeta de crédito"),"⚠ «Hacia» debe ser la tarjeta",IF(AND(I1956="Trading",IFERROR(INDEX(ctaTipo,MATCH(E1956,ctaNom,0)),"")&lt;&gt;"Cuenta de trading"),"⚠ Usa la cuenta de trading","✓"))))))))))))</f>
        <v/>
      </c>
      <c r="I1956" s="19">
        <f>IF(OR(B1956="",C1956="",D1956=""),"",IFERROR(INDEX(catTipo,MATCH(D1956,catNom,0))&amp;"",""))</f>
        <v/>
      </c>
      <c r="J1956" s="19">
        <f>IF(I1956="","",IFERROR(INDEX(catGrupo,MATCH(D1956,catNom,0))&amp;"",""))</f>
        <v/>
      </c>
      <c r="K1956" s="19">
        <f>IF(I1956="Gasto",IF(IFERROR(INDEX(catClas,MATCH(D1956,catNom,0))&amp;"","")="","Variable",IFERROR(INDEX(catClas,MATCH(D1956,catNom,0))&amp;"","")),"")</f>
        <v/>
      </c>
      <c r="L1956" s="19">
        <f>IF(I1956="","",IFERROR(INDEX(catAlim,MATCH(D1956,catNom,0))&amp;"",""))</f>
        <v/>
      </c>
      <c r="M1956" s="19">
        <f>IF(I1956="","",IFERROR(INDEX(catComida,MATCH(D1956,catNom,0))&amp;"",""))</f>
        <v/>
      </c>
      <c r="N1956" s="19">
        <f>IF(I1956="","",IFERROR(INDEX(ctaMon,MATCH(E1956,ctaNom,0))&amp;"","DOP"))</f>
        <v/>
      </c>
      <c r="O1956" s="20">
        <f>IF(I1956="","",C1956*IF(N1956="USD",TasaUSD,1))</f>
        <v/>
      </c>
      <c r="P1956" s="20">
        <f>IF(I1956="","",IF(I1956="Gasto",O1956,0))</f>
        <v/>
      </c>
      <c r="Q1956" s="20">
        <f>IF(I1956="","",IF(I1956="Ingreso",O1956,0))</f>
        <v/>
      </c>
      <c r="R1956" s="20">
        <f>IF(I1956="","",IF(I1956="Trading",O1956,0))</f>
        <v/>
      </c>
      <c r="S1956" s="19">
        <f>IF(I1956="","",IF(AND(I1956="Gasto",K1956="Variable",J1956&lt;&gt;"Trading",O1956&gt;0,O1956&lt;=Umbral),1,0))</f>
        <v/>
      </c>
      <c r="T1956" s="20">
        <f>IF(OR(I1956="",E1956=""),"",IF(OR(I1956="Gasto",I1956="Transferencia",I1956="Pago tarjeta"),-1,1)*C1956)</f>
        <v/>
      </c>
      <c r="U1956" s="20">
        <f>IF(OR(G1956="",AND(I1956&lt;&gt;"Transferencia",I1956&lt;&gt;"Pago tarjeta")),"",IF(IFERROR(INDEX(ctaMon,MATCH(G1956,ctaNom,0))&amp;"","DOP")=N1956,C1956,IF(N1956="USD",C1956*TasaUSD,C1956/TasaUSD)))</f>
        <v/>
      </c>
      <c r="V1956" s="20">
        <f>IF(I1956="","",IF(IFERROR(INDEX(ctaLiq,MATCH(E1956,ctaNom,0))="Sí",FALSE),IF(OR(I1956="Gasto",I1956="Transferencia",I1956="Pago tarjeta"),-1,1)*O1956,0)+IF(AND(U1956&lt;&gt;"",IFERROR(INDEX(ctaLiq,MATCH(G1956,ctaNom,0))="Sí",FALSE)),O1956,0))</f>
        <v/>
      </c>
      <c r="W1956" s="19">
        <f>IF(OR(F1956="",I1956=""),"",IF(COUNTIFS(F$6:F1956,F1956,I$6:I1956,"?*")=1,MAX(W$5:W1955)+1,""))</f>
        <v/>
      </c>
    </row>
    <row r="1957">
      <c r="B1957" s="15" t="n"/>
      <c r="C1957" s="16" t="n"/>
      <c r="D1957" s="17" t="n"/>
      <c r="E1957" s="17" t="n"/>
      <c r="F1957" s="17" t="n"/>
      <c r="G1957" s="17" t="n"/>
      <c r="H1957" s="18">
        <f>IF(AND(B1957="",C1957="",D1957="",E1957=""),"",IF(B1957="","⚠ Falta fecha",IF(C1957="","⚠ Falta monto",IF(D1957="","⚠ Falta categoría",IF(ISNA(MATCH(D1957,catNom,0)),"⚠ Categoría no existe",IF(E1957="","⚠ Falta cuenta",IF(ISNA(MATCH(E1957,ctaNom,0)),"⚠ Cuenta no existe",IF(AND(OR(I1957="Transferencia",I1957="Pago tarjeta"),G1957=""),"⚠ Indica la cuenta «Hacia»",IF(AND(G1957&lt;&gt;"",G1957=E1957),"⚠ «Hacia» igual a la cuenta",IF(AND(G1957&lt;&gt;"",ISNA(MATCH(G1957,ctaNom,0))),"⚠ «Hacia» no existe",IF(AND(I1957="Pago tarjeta",IFERROR(INDEX(ctaTipo,MATCH(G1957,ctaNom,0)),"")&lt;&gt;"Tarjeta de crédito"),"⚠ «Hacia» debe ser la tarjeta",IF(AND(I1957="Trading",IFERROR(INDEX(ctaTipo,MATCH(E1957,ctaNom,0)),"")&lt;&gt;"Cuenta de trading"),"⚠ Usa la cuenta de trading","✓"))))))))))))</f>
        <v/>
      </c>
      <c r="I1957" s="19">
        <f>IF(OR(B1957="",C1957="",D1957=""),"",IFERROR(INDEX(catTipo,MATCH(D1957,catNom,0))&amp;"",""))</f>
        <v/>
      </c>
      <c r="J1957" s="19">
        <f>IF(I1957="","",IFERROR(INDEX(catGrupo,MATCH(D1957,catNom,0))&amp;"",""))</f>
        <v/>
      </c>
      <c r="K1957" s="19">
        <f>IF(I1957="Gasto",IF(IFERROR(INDEX(catClas,MATCH(D1957,catNom,0))&amp;"","")="","Variable",IFERROR(INDEX(catClas,MATCH(D1957,catNom,0))&amp;"","")),"")</f>
        <v/>
      </c>
      <c r="L1957" s="19">
        <f>IF(I1957="","",IFERROR(INDEX(catAlim,MATCH(D1957,catNom,0))&amp;"",""))</f>
        <v/>
      </c>
      <c r="M1957" s="19">
        <f>IF(I1957="","",IFERROR(INDEX(catComida,MATCH(D1957,catNom,0))&amp;"",""))</f>
        <v/>
      </c>
      <c r="N1957" s="19">
        <f>IF(I1957="","",IFERROR(INDEX(ctaMon,MATCH(E1957,ctaNom,0))&amp;"","DOP"))</f>
        <v/>
      </c>
      <c r="O1957" s="20">
        <f>IF(I1957="","",C1957*IF(N1957="USD",TasaUSD,1))</f>
        <v/>
      </c>
      <c r="P1957" s="20">
        <f>IF(I1957="","",IF(I1957="Gasto",O1957,0))</f>
        <v/>
      </c>
      <c r="Q1957" s="20">
        <f>IF(I1957="","",IF(I1957="Ingreso",O1957,0))</f>
        <v/>
      </c>
      <c r="R1957" s="20">
        <f>IF(I1957="","",IF(I1957="Trading",O1957,0))</f>
        <v/>
      </c>
      <c r="S1957" s="19">
        <f>IF(I1957="","",IF(AND(I1957="Gasto",K1957="Variable",J1957&lt;&gt;"Trading",O1957&gt;0,O1957&lt;=Umbral),1,0))</f>
        <v/>
      </c>
      <c r="T1957" s="20">
        <f>IF(OR(I1957="",E1957=""),"",IF(OR(I1957="Gasto",I1957="Transferencia",I1957="Pago tarjeta"),-1,1)*C1957)</f>
        <v/>
      </c>
      <c r="U1957" s="20">
        <f>IF(OR(G1957="",AND(I1957&lt;&gt;"Transferencia",I1957&lt;&gt;"Pago tarjeta")),"",IF(IFERROR(INDEX(ctaMon,MATCH(G1957,ctaNom,0))&amp;"","DOP")=N1957,C1957,IF(N1957="USD",C1957*TasaUSD,C1957/TasaUSD)))</f>
        <v/>
      </c>
      <c r="V1957" s="20">
        <f>IF(I1957="","",IF(IFERROR(INDEX(ctaLiq,MATCH(E1957,ctaNom,0))="Sí",FALSE),IF(OR(I1957="Gasto",I1957="Transferencia",I1957="Pago tarjeta"),-1,1)*O1957,0)+IF(AND(U1957&lt;&gt;"",IFERROR(INDEX(ctaLiq,MATCH(G1957,ctaNom,0))="Sí",FALSE)),O1957,0))</f>
        <v/>
      </c>
      <c r="W1957" s="19">
        <f>IF(OR(F1957="",I1957=""),"",IF(COUNTIFS(F$6:F1957,F1957,I$6:I1957,"?*")=1,MAX(W$5:W1956)+1,""))</f>
        <v/>
      </c>
    </row>
    <row r="1958">
      <c r="B1958" s="15" t="n"/>
      <c r="C1958" s="16" t="n"/>
      <c r="D1958" s="17" t="n"/>
      <c r="E1958" s="17" t="n"/>
      <c r="F1958" s="17" t="n"/>
      <c r="G1958" s="17" t="n"/>
      <c r="H1958" s="18">
        <f>IF(AND(B1958="",C1958="",D1958="",E1958=""),"",IF(B1958="","⚠ Falta fecha",IF(C1958="","⚠ Falta monto",IF(D1958="","⚠ Falta categoría",IF(ISNA(MATCH(D1958,catNom,0)),"⚠ Categoría no existe",IF(E1958="","⚠ Falta cuenta",IF(ISNA(MATCH(E1958,ctaNom,0)),"⚠ Cuenta no existe",IF(AND(OR(I1958="Transferencia",I1958="Pago tarjeta"),G1958=""),"⚠ Indica la cuenta «Hacia»",IF(AND(G1958&lt;&gt;"",G1958=E1958),"⚠ «Hacia» igual a la cuenta",IF(AND(G1958&lt;&gt;"",ISNA(MATCH(G1958,ctaNom,0))),"⚠ «Hacia» no existe",IF(AND(I1958="Pago tarjeta",IFERROR(INDEX(ctaTipo,MATCH(G1958,ctaNom,0)),"")&lt;&gt;"Tarjeta de crédito"),"⚠ «Hacia» debe ser la tarjeta",IF(AND(I1958="Trading",IFERROR(INDEX(ctaTipo,MATCH(E1958,ctaNom,0)),"")&lt;&gt;"Cuenta de trading"),"⚠ Usa la cuenta de trading","✓"))))))))))))</f>
        <v/>
      </c>
      <c r="I1958" s="19">
        <f>IF(OR(B1958="",C1958="",D1958=""),"",IFERROR(INDEX(catTipo,MATCH(D1958,catNom,0))&amp;"",""))</f>
        <v/>
      </c>
      <c r="J1958" s="19">
        <f>IF(I1958="","",IFERROR(INDEX(catGrupo,MATCH(D1958,catNom,0))&amp;"",""))</f>
        <v/>
      </c>
      <c r="K1958" s="19">
        <f>IF(I1958="Gasto",IF(IFERROR(INDEX(catClas,MATCH(D1958,catNom,0))&amp;"","")="","Variable",IFERROR(INDEX(catClas,MATCH(D1958,catNom,0))&amp;"","")),"")</f>
        <v/>
      </c>
      <c r="L1958" s="19">
        <f>IF(I1958="","",IFERROR(INDEX(catAlim,MATCH(D1958,catNom,0))&amp;"",""))</f>
        <v/>
      </c>
      <c r="M1958" s="19">
        <f>IF(I1958="","",IFERROR(INDEX(catComida,MATCH(D1958,catNom,0))&amp;"",""))</f>
        <v/>
      </c>
      <c r="N1958" s="19">
        <f>IF(I1958="","",IFERROR(INDEX(ctaMon,MATCH(E1958,ctaNom,0))&amp;"","DOP"))</f>
        <v/>
      </c>
      <c r="O1958" s="20">
        <f>IF(I1958="","",C1958*IF(N1958="USD",TasaUSD,1))</f>
        <v/>
      </c>
      <c r="P1958" s="20">
        <f>IF(I1958="","",IF(I1958="Gasto",O1958,0))</f>
        <v/>
      </c>
      <c r="Q1958" s="20">
        <f>IF(I1958="","",IF(I1958="Ingreso",O1958,0))</f>
        <v/>
      </c>
      <c r="R1958" s="20">
        <f>IF(I1958="","",IF(I1958="Trading",O1958,0))</f>
        <v/>
      </c>
      <c r="S1958" s="19">
        <f>IF(I1958="","",IF(AND(I1958="Gasto",K1958="Variable",J1958&lt;&gt;"Trading",O1958&gt;0,O1958&lt;=Umbral),1,0))</f>
        <v/>
      </c>
      <c r="T1958" s="20">
        <f>IF(OR(I1958="",E1958=""),"",IF(OR(I1958="Gasto",I1958="Transferencia",I1958="Pago tarjeta"),-1,1)*C1958)</f>
        <v/>
      </c>
      <c r="U1958" s="20">
        <f>IF(OR(G1958="",AND(I1958&lt;&gt;"Transferencia",I1958&lt;&gt;"Pago tarjeta")),"",IF(IFERROR(INDEX(ctaMon,MATCH(G1958,ctaNom,0))&amp;"","DOP")=N1958,C1958,IF(N1958="USD",C1958*TasaUSD,C1958/TasaUSD)))</f>
        <v/>
      </c>
      <c r="V1958" s="20">
        <f>IF(I1958="","",IF(IFERROR(INDEX(ctaLiq,MATCH(E1958,ctaNom,0))="Sí",FALSE),IF(OR(I1958="Gasto",I1958="Transferencia",I1958="Pago tarjeta"),-1,1)*O1958,0)+IF(AND(U1958&lt;&gt;"",IFERROR(INDEX(ctaLiq,MATCH(G1958,ctaNom,0))="Sí",FALSE)),O1958,0))</f>
        <v/>
      </c>
      <c r="W1958" s="19">
        <f>IF(OR(F1958="",I1958=""),"",IF(COUNTIFS(F$6:F1958,F1958,I$6:I1958,"?*")=1,MAX(W$5:W1957)+1,""))</f>
        <v/>
      </c>
    </row>
    <row r="1959">
      <c r="B1959" s="15" t="n"/>
      <c r="C1959" s="16" t="n"/>
      <c r="D1959" s="17" t="n"/>
      <c r="E1959" s="17" t="n"/>
      <c r="F1959" s="17" t="n"/>
      <c r="G1959" s="17" t="n"/>
      <c r="H1959" s="18">
        <f>IF(AND(B1959="",C1959="",D1959="",E1959=""),"",IF(B1959="","⚠ Falta fecha",IF(C1959="","⚠ Falta monto",IF(D1959="","⚠ Falta categoría",IF(ISNA(MATCH(D1959,catNom,0)),"⚠ Categoría no existe",IF(E1959="","⚠ Falta cuenta",IF(ISNA(MATCH(E1959,ctaNom,0)),"⚠ Cuenta no existe",IF(AND(OR(I1959="Transferencia",I1959="Pago tarjeta"),G1959=""),"⚠ Indica la cuenta «Hacia»",IF(AND(G1959&lt;&gt;"",G1959=E1959),"⚠ «Hacia» igual a la cuenta",IF(AND(G1959&lt;&gt;"",ISNA(MATCH(G1959,ctaNom,0))),"⚠ «Hacia» no existe",IF(AND(I1959="Pago tarjeta",IFERROR(INDEX(ctaTipo,MATCH(G1959,ctaNom,0)),"")&lt;&gt;"Tarjeta de crédito"),"⚠ «Hacia» debe ser la tarjeta",IF(AND(I1959="Trading",IFERROR(INDEX(ctaTipo,MATCH(E1959,ctaNom,0)),"")&lt;&gt;"Cuenta de trading"),"⚠ Usa la cuenta de trading","✓"))))))))))))</f>
        <v/>
      </c>
      <c r="I1959" s="19">
        <f>IF(OR(B1959="",C1959="",D1959=""),"",IFERROR(INDEX(catTipo,MATCH(D1959,catNom,0))&amp;"",""))</f>
        <v/>
      </c>
      <c r="J1959" s="19">
        <f>IF(I1959="","",IFERROR(INDEX(catGrupo,MATCH(D1959,catNom,0))&amp;"",""))</f>
        <v/>
      </c>
      <c r="K1959" s="19">
        <f>IF(I1959="Gasto",IF(IFERROR(INDEX(catClas,MATCH(D1959,catNom,0))&amp;"","")="","Variable",IFERROR(INDEX(catClas,MATCH(D1959,catNom,0))&amp;"","")),"")</f>
        <v/>
      </c>
      <c r="L1959" s="19">
        <f>IF(I1959="","",IFERROR(INDEX(catAlim,MATCH(D1959,catNom,0))&amp;"",""))</f>
        <v/>
      </c>
      <c r="M1959" s="19">
        <f>IF(I1959="","",IFERROR(INDEX(catComida,MATCH(D1959,catNom,0))&amp;"",""))</f>
        <v/>
      </c>
      <c r="N1959" s="19">
        <f>IF(I1959="","",IFERROR(INDEX(ctaMon,MATCH(E1959,ctaNom,0))&amp;"","DOP"))</f>
        <v/>
      </c>
      <c r="O1959" s="20">
        <f>IF(I1959="","",C1959*IF(N1959="USD",TasaUSD,1))</f>
        <v/>
      </c>
      <c r="P1959" s="20">
        <f>IF(I1959="","",IF(I1959="Gasto",O1959,0))</f>
        <v/>
      </c>
      <c r="Q1959" s="20">
        <f>IF(I1959="","",IF(I1959="Ingreso",O1959,0))</f>
        <v/>
      </c>
      <c r="R1959" s="20">
        <f>IF(I1959="","",IF(I1959="Trading",O1959,0))</f>
        <v/>
      </c>
      <c r="S1959" s="19">
        <f>IF(I1959="","",IF(AND(I1959="Gasto",K1959="Variable",J1959&lt;&gt;"Trading",O1959&gt;0,O1959&lt;=Umbral),1,0))</f>
        <v/>
      </c>
      <c r="T1959" s="20">
        <f>IF(OR(I1959="",E1959=""),"",IF(OR(I1959="Gasto",I1959="Transferencia",I1959="Pago tarjeta"),-1,1)*C1959)</f>
        <v/>
      </c>
      <c r="U1959" s="20">
        <f>IF(OR(G1959="",AND(I1959&lt;&gt;"Transferencia",I1959&lt;&gt;"Pago tarjeta")),"",IF(IFERROR(INDEX(ctaMon,MATCH(G1959,ctaNom,0))&amp;"","DOP")=N1959,C1959,IF(N1959="USD",C1959*TasaUSD,C1959/TasaUSD)))</f>
        <v/>
      </c>
      <c r="V1959" s="20">
        <f>IF(I1959="","",IF(IFERROR(INDEX(ctaLiq,MATCH(E1959,ctaNom,0))="Sí",FALSE),IF(OR(I1959="Gasto",I1959="Transferencia",I1959="Pago tarjeta"),-1,1)*O1959,0)+IF(AND(U1959&lt;&gt;"",IFERROR(INDEX(ctaLiq,MATCH(G1959,ctaNom,0))="Sí",FALSE)),O1959,0))</f>
        <v/>
      </c>
      <c r="W1959" s="19">
        <f>IF(OR(F1959="",I1959=""),"",IF(COUNTIFS(F$6:F1959,F1959,I$6:I1959,"?*")=1,MAX(W$5:W1958)+1,""))</f>
        <v/>
      </c>
    </row>
    <row r="1960">
      <c r="B1960" s="15" t="n"/>
      <c r="C1960" s="16" t="n"/>
      <c r="D1960" s="17" t="n"/>
      <c r="E1960" s="17" t="n"/>
      <c r="F1960" s="17" t="n"/>
      <c r="G1960" s="17" t="n"/>
      <c r="H1960" s="18">
        <f>IF(AND(B1960="",C1960="",D1960="",E1960=""),"",IF(B1960="","⚠ Falta fecha",IF(C1960="","⚠ Falta monto",IF(D1960="","⚠ Falta categoría",IF(ISNA(MATCH(D1960,catNom,0)),"⚠ Categoría no existe",IF(E1960="","⚠ Falta cuenta",IF(ISNA(MATCH(E1960,ctaNom,0)),"⚠ Cuenta no existe",IF(AND(OR(I1960="Transferencia",I1960="Pago tarjeta"),G1960=""),"⚠ Indica la cuenta «Hacia»",IF(AND(G1960&lt;&gt;"",G1960=E1960),"⚠ «Hacia» igual a la cuenta",IF(AND(G1960&lt;&gt;"",ISNA(MATCH(G1960,ctaNom,0))),"⚠ «Hacia» no existe",IF(AND(I1960="Pago tarjeta",IFERROR(INDEX(ctaTipo,MATCH(G1960,ctaNom,0)),"")&lt;&gt;"Tarjeta de crédito"),"⚠ «Hacia» debe ser la tarjeta",IF(AND(I1960="Trading",IFERROR(INDEX(ctaTipo,MATCH(E1960,ctaNom,0)),"")&lt;&gt;"Cuenta de trading"),"⚠ Usa la cuenta de trading","✓"))))))))))))</f>
        <v/>
      </c>
      <c r="I1960" s="19">
        <f>IF(OR(B1960="",C1960="",D1960=""),"",IFERROR(INDEX(catTipo,MATCH(D1960,catNom,0))&amp;"",""))</f>
        <v/>
      </c>
      <c r="J1960" s="19">
        <f>IF(I1960="","",IFERROR(INDEX(catGrupo,MATCH(D1960,catNom,0))&amp;"",""))</f>
        <v/>
      </c>
      <c r="K1960" s="19">
        <f>IF(I1960="Gasto",IF(IFERROR(INDEX(catClas,MATCH(D1960,catNom,0))&amp;"","")="","Variable",IFERROR(INDEX(catClas,MATCH(D1960,catNom,0))&amp;"","")),"")</f>
        <v/>
      </c>
      <c r="L1960" s="19">
        <f>IF(I1960="","",IFERROR(INDEX(catAlim,MATCH(D1960,catNom,0))&amp;"",""))</f>
        <v/>
      </c>
      <c r="M1960" s="19">
        <f>IF(I1960="","",IFERROR(INDEX(catComida,MATCH(D1960,catNom,0))&amp;"",""))</f>
        <v/>
      </c>
      <c r="N1960" s="19">
        <f>IF(I1960="","",IFERROR(INDEX(ctaMon,MATCH(E1960,ctaNom,0))&amp;"","DOP"))</f>
        <v/>
      </c>
      <c r="O1960" s="20">
        <f>IF(I1960="","",C1960*IF(N1960="USD",TasaUSD,1))</f>
        <v/>
      </c>
      <c r="P1960" s="20">
        <f>IF(I1960="","",IF(I1960="Gasto",O1960,0))</f>
        <v/>
      </c>
      <c r="Q1960" s="20">
        <f>IF(I1960="","",IF(I1960="Ingreso",O1960,0))</f>
        <v/>
      </c>
      <c r="R1960" s="20">
        <f>IF(I1960="","",IF(I1960="Trading",O1960,0))</f>
        <v/>
      </c>
      <c r="S1960" s="19">
        <f>IF(I1960="","",IF(AND(I1960="Gasto",K1960="Variable",J1960&lt;&gt;"Trading",O1960&gt;0,O1960&lt;=Umbral),1,0))</f>
        <v/>
      </c>
      <c r="T1960" s="20">
        <f>IF(OR(I1960="",E1960=""),"",IF(OR(I1960="Gasto",I1960="Transferencia",I1960="Pago tarjeta"),-1,1)*C1960)</f>
        <v/>
      </c>
      <c r="U1960" s="20">
        <f>IF(OR(G1960="",AND(I1960&lt;&gt;"Transferencia",I1960&lt;&gt;"Pago tarjeta")),"",IF(IFERROR(INDEX(ctaMon,MATCH(G1960,ctaNom,0))&amp;"","DOP")=N1960,C1960,IF(N1960="USD",C1960*TasaUSD,C1960/TasaUSD)))</f>
        <v/>
      </c>
      <c r="V1960" s="20">
        <f>IF(I1960="","",IF(IFERROR(INDEX(ctaLiq,MATCH(E1960,ctaNom,0))="Sí",FALSE),IF(OR(I1960="Gasto",I1960="Transferencia",I1960="Pago tarjeta"),-1,1)*O1960,0)+IF(AND(U1960&lt;&gt;"",IFERROR(INDEX(ctaLiq,MATCH(G1960,ctaNom,0))="Sí",FALSE)),O1960,0))</f>
        <v/>
      </c>
      <c r="W1960" s="19">
        <f>IF(OR(F1960="",I1960=""),"",IF(COUNTIFS(F$6:F1960,F1960,I$6:I1960,"?*")=1,MAX(W$5:W1959)+1,""))</f>
        <v/>
      </c>
    </row>
    <row r="1961">
      <c r="B1961" s="15" t="n"/>
      <c r="C1961" s="16" t="n"/>
      <c r="D1961" s="17" t="n"/>
      <c r="E1961" s="17" t="n"/>
      <c r="F1961" s="17" t="n"/>
      <c r="G1961" s="17" t="n"/>
      <c r="H1961" s="18">
        <f>IF(AND(B1961="",C1961="",D1961="",E1961=""),"",IF(B1961="","⚠ Falta fecha",IF(C1961="","⚠ Falta monto",IF(D1961="","⚠ Falta categoría",IF(ISNA(MATCH(D1961,catNom,0)),"⚠ Categoría no existe",IF(E1961="","⚠ Falta cuenta",IF(ISNA(MATCH(E1961,ctaNom,0)),"⚠ Cuenta no existe",IF(AND(OR(I1961="Transferencia",I1961="Pago tarjeta"),G1961=""),"⚠ Indica la cuenta «Hacia»",IF(AND(G1961&lt;&gt;"",G1961=E1961),"⚠ «Hacia» igual a la cuenta",IF(AND(G1961&lt;&gt;"",ISNA(MATCH(G1961,ctaNom,0))),"⚠ «Hacia» no existe",IF(AND(I1961="Pago tarjeta",IFERROR(INDEX(ctaTipo,MATCH(G1961,ctaNom,0)),"")&lt;&gt;"Tarjeta de crédito"),"⚠ «Hacia» debe ser la tarjeta",IF(AND(I1961="Trading",IFERROR(INDEX(ctaTipo,MATCH(E1961,ctaNom,0)),"")&lt;&gt;"Cuenta de trading"),"⚠ Usa la cuenta de trading","✓"))))))))))))</f>
        <v/>
      </c>
      <c r="I1961" s="19">
        <f>IF(OR(B1961="",C1961="",D1961=""),"",IFERROR(INDEX(catTipo,MATCH(D1961,catNom,0))&amp;"",""))</f>
        <v/>
      </c>
      <c r="J1961" s="19">
        <f>IF(I1961="","",IFERROR(INDEX(catGrupo,MATCH(D1961,catNom,0))&amp;"",""))</f>
        <v/>
      </c>
      <c r="K1961" s="19">
        <f>IF(I1961="Gasto",IF(IFERROR(INDEX(catClas,MATCH(D1961,catNom,0))&amp;"","")="","Variable",IFERROR(INDEX(catClas,MATCH(D1961,catNom,0))&amp;"","")),"")</f>
        <v/>
      </c>
      <c r="L1961" s="19">
        <f>IF(I1961="","",IFERROR(INDEX(catAlim,MATCH(D1961,catNom,0))&amp;"",""))</f>
        <v/>
      </c>
      <c r="M1961" s="19">
        <f>IF(I1961="","",IFERROR(INDEX(catComida,MATCH(D1961,catNom,0))&amp;"",""))</f>
        <v/>
      </c>
      <c r="N1961" s="19">
        <f>IF(I1961="","",IFERROR(INDEX(ctaMon,MATCH(E1961,ctaNom,0))&amp;"","DOP"))</f>
        <v/>
      </c>
      <c r="O1961" s="20">
        <f>IF(I1961="","",C1961*IF(N1961="USD",TasaUSD,1))</f>
        <v/>
      </c>
      <c r="P1961" s="20">
        <f>IF(I1961="","",IF(I1961="Gasto",O1961,0))</f>
        <v/>
      </c>
      <c r="Q1961" s="20">
        <f>IF(I1961="","",IF(I1961="Ingreso",O1961,0))</f>
        <v/>
      </c>
      <c r="R1961" s="20">
        <f>IF(I1961="","",IF(I1961="Trading",O1961,0))</f>
        <v/>
      </c>
      <c r="S1961" s="19">
        <f>IF(I1961="","",IF(AND(I1961="Gasto",K1961="Variable",J1961&lt;&gt;"Trading",O1961&gt;0,O1961&lt;=Umbral),1,0))</f>
        <v/>
      </c>
      <c r="T1961" s="20">
        <f>IF(OR(I1961="",E1961=""),"",IF(OR(I1961="Gasto",I1961="Transferencia",I1961="Pago tarjeta"),-1,1)*C1961)</f>
        <v/>
      </c>
      <c r="U1961" s="20">
        <f>IF(OR(G1961="",AND(I1961&lt;&gt;"Transferencia",I1961&lt;&gt;"Pago tarjeta")),"",IF(IFERROR(INDEX(ctaMon,MATCH(G1961,ctaNom,0))&amp;"","DOP")=N1961,C1961,IF(N1961="USD",C1961*TasaUSD,C1961/TasaUSD)))</f>
        <v/>
      </c>
      <c r="V1961" s="20">
        <f>IF(I1961="","",IF(IFERROR(INDEX(ctaLiq,MATCH(E1961,ctaNom,0))="Sí",FALSE),IF(OR(I1961="Gasto",I1961="Transferencia",I1961="Pago tarjeta"),-1,1)*O1961,0)+IF(AND(U1961&lt;&gt;"",IFERROR(INDEX(ctaLiq,MATCH(G1961,ctaNom,0))="Sí",FALSE)),O1961,0))</f>
        <v/>
      </c>
      <c r="W1961" s="19">
        <f>IF(OR(F1961="",I1961=""),"",IF(COUNTIFS(F$6:F1961,F1961,I$6:I1961,"?*")=1,MAX(W$5:W1960)+1,""))</f>
        <v/>
      </c>
    </row>
    <row r="1962">
      <c r="B1962" s="15" t="n"/>
      <c r="C1962" s="16" t="n"/>
      <c r="D1962" s="17" t="n"/>
      <c r="E1962" s="17" t="n"/>
      <c r="F1962" s="17" t="n"/>
      <c r="G1962" s="17" t="n"/>
      <c r="H1962" s="18">
        <f>IF(AND(B1962="",C1962="",D1962="",E1962=""),"",IF(B1962="","⚠ Falta fecha",IF(C1962="","⚠ Falta monto",IF(D1962="","⚠ Falta categoría",IF(ISNA(MATCH(D1962,catNom,0)),"⚠ Categoría no existe",IF(E1962="","⚠ Falta cuenta",IF(ISNA(MATCH(E1962,ctaNom,0)),"⚠ Cuenta no existe",IF(AND(OR(I1962="Transferencia",I1962="Pago tarjeta"),G1962=""),"⚠ Indica la cuenta «Hacia»",IF(AND(G1962&lt;&gt;"",G1962=E1962),"⚠ «Hacia» igual a la cuenta",IF(AND(G1962&lt;&gt;"",ISNA(MATCH(G1962,ctaNom,0))),"⚠ «Hacia» no existe",IF(AND(I1962="Pago tarjeta",IFERROR(INDEX(ctaTipo,MATCH(G1962,ctaNom,0)),"")&lt;&gt;"Tarjeta de crédito"),"⚠ «Hacia» debe ser la tarjeta",IF(AND(I1962="Trading",IFERROR(INDEX(ctaTipo,MATCH(E1962,ctaNom,0)),"")&lt;&gt;"Cuenta de trading"),"⚠ Usa la cuenta de trading","✓"))))))))))))</f>
        <v/>
      </c>
      <c r="I1962" s="19">
        <f>IF(OR(B1962="",C1962="",D1962=""),"",IFERROR(INDEX(catTipo,MATCH(D1962,catNom,0))&amp;"",""))</f>
        <v/>
      </c>
      <c r="J1962" s="19">
        <f>IF(I1962="","",IFERROR(INDEX(catGrupo,MATCH(D1962,catNom,0))&amp;"",""))</f>
        <v/>
      </c>
      <c r="K1962" s="19">
        <f>IF(I1962="Gasto",IF(IFERROR(INDEX(catClas,MATCH(D1962,catNom,0))&amp;"","")="","Variable",IFERROR(INDEX(catClas,MATCH(D1962,catNom,0))&amp;"","")),"")</f>
        <v/>
      </c>
      <c r="L1962" s="19">
        <f>IF(I1962="","",IFERROR(INDEX(catAlim,MATCH(D1962,catNom,0))&amp;"",""))</f>
        <v/>
      </c>
      <c r="M1962" s="19">
        <f>IF(I1962="","",IFERROR(INDEX(catComida,MATCH(D1962,catNom,0))&amp;"",""))</f>
        <v/>
      </c>
      <c r="N1962" s="19">
        <f>IF(I1962="","",IFERROR(INDEX(ctaMon,MATCH(E1962,ctaNom,0))&amp;"","DOP"))</f>
        <v/>
      </c>
      <c r="O1962" s="20">
        <f>IF(I1962="","",C1962*IF(N1962="USD",TasaUSD,1))</f>
        <v/>
      </c>
      <c r="P1962" s="20">
        <f>IF(I1962="","",IF(I1962="Gasto",O1962,0))</f>
        <v/>
      </c>
      <c r="Q1962" s="20">
        <f>IF(I1962="","",IF(I1962="Ingreso",O1962,0))</f>
        <v/>
      </c>
      <c r="R1962" s="20">
        <f>IF(I1962="","",IF(I1962="Trading",O1962,0))</f>
        <v/>
      </c>
      <c r="S1962" s="19">
        <f>IF(I1962="","",IF(AND(I1962="Gasto",K1962="Variable",J1962&lt;&gt;"Trading",O1962&gt;0,O1962&lt;=Umbral),1,0))</f>
        <v/>
      </c>
      <c r="T1962" s="20">
        <f>IF(OR(I1962="",E1962=""),"",IF(OR(I1962="Gasto",I1962="Transferencia",I1962="Pago tarjeta"),-1,1)*C1962)</f>
        <v/>
      </c>
      <c r="U1962" s="20">
        <f>IF(OR(G1962="",AND(I1962&lt;&gt;"Transferencia",I1962&lt;&gt;"Pago tarjeta")),"",IF(IFERROR(INDEX(ctaMon,MATCH(G1962,ctaNom,0))&amp;"","DOP")=N1962,C1962,IF(N1962="USD",C1962*TasaUSD,C1962/TasaUSD)))</f>
        <v/>
      </c>
      <c r="V1962" s="20">
        <f>IF(I1962="","",IF(IFERROR(INDEX(ctaLiq,MATCH(E1962,ctaNom,0))="Sí",FALSE),IF(OR(I1962="Gasto",I1962="Transferencia",I1962="Pago tarjeta"),-1,1)*O1962,0)+IF(AND(U1962&lt;&gt;"",IFERROR(INDEX(ctaLiq,MATCH(G1962,ctaNom,0))="Sí",FALSE)),O1962,0))</f>
        <v/>
      </c>
      <c r="W1962" s="19">
        <f>IF(OR(F1962="",I1962=""),"",IF(COUNTIFS(F$6:F1962,F1962,I$6:I1962,"?*")=1,MAX(W$5:W1961)+1,""))</f>
        <v/>
      </c>
    </row>
    <row r="1963">
      <c r="B1963" s="15" t="n"/>
      <c r="C1963" s="16" t="n"/>
      <c r="D1963" s="17" t="n"/>
      <c r="E1963" s="17" t="n"/>
      <c r="F1963" s="17" t="n"/>
      <c r="G1963" s="17" t="n"/>
      <c r="H1963" s="18">
        <f>IF(AND(B1963="",C1963="",D1963="",E1963=""),"",IF(B1963="","⚠ Falta fecha",IF(C1963="","⚠ Falta monto",IF(D1963="","⚠ Falta categoría",IF(ISNA(MATCH(D1963,catNom,0)),"⚠ Categoría no existe",IF(E1963="","⚠ Falta cuenta",IF(ISNA(MATCH(E1963,ctaNom,0)),"⚠ Cuenta no existe",IF(AND(OR(I1963="Transferencia",I1963="Pago tarjeta"),G1963=""),"⚠ Indica la cuenta «Hacia»",IF(AND(G1963&lt;&gt;"",G1963=E1963),"⚠ «Hacia» igual a la cuenta",IF(AND(G1963&lt;&gt;"",ISNA(MATCH(G1963,ctaNom,0))),"⚠ «Hacia» no existe",IF(AND(I1963="Pago tarjeta",IFERROR(INDEX(ctaTipo,MATCH(G1963,ctaNom,0)),"")&lt;&gt;"Tarjeta de crédito"),"⚠ «Hacia» debe ser la tarjeta",IF(AND(I1963="Trading",IFERROR(INDEX(ctaTipo,MATCH(E1963,ctaNom,0)),"")&lt;&gt;"Cuenta de trading"),"⚠ Usa la cuenta de trading","✓"))))))))))))</f>
        <v/>
      </c>
      <c r="I1963" s="19">
        <f>IF(OR(B1963="",C1963="",D1963=""),"",IFERROR(INDEX(catTipo,MATCH(D1963,catNom,0))&amp;"",""))</f>
        <v/>
      </c>
      <c r="J1963" s="19">
        <f>IF(I1963="","",IFERROR(INDEX(catGrupo,MATCH(D1963,catNom,0))&amp;"",""))</f>
        <v/>
      </c>
      <c r="K1963" s="19">
        <f>IF(I1963="Gasto",IF(IFERROR(INDEX(catClas,MATCH(D1963,catNom,0))&amp;"","")="","Variable",IFERROR(INDEX(catClas,MATCH(D1963,catNom,0))&amp;"","")),"")</f>
        <v/>
      </c>
      <c r="L1963" s="19">
        <f>IF(I1963="","",IFERROR(INDEX(catAlim,MATCH(D1963,catNom,0))&amp;"",""))</f>
        <v/>
      </c>
      <c r="M1963" s="19">
        <f>IF(I1963="","",IFERROR(INDEX(catComida,MATCH(D1963,catNom,0))&amp;"",""))</f>
        <v/>
      </c>
      <c r="N1963" s="19">
        <f>IF(I1963="","",IFERROR(INDEX(ctaMon,MATCH(E1963,ctaNom,0))&amp;"","DOP"))</f>
        <v/>
      </c>
      <c r="O1963" s="20">
        <f>IF(I1963="","",C1963*IF(N1963="USD",TasaUSD,1))</f>
        <v/>
      </c>
      <c r="P1963" s="20">
        <f>IF(I1963="","",IF(I1963="Gasto",O1963,0))</f>
        <v/>
      </c>
      <c r="Q1963" s="20">
        <f>IF(I1963="","",IF(I1963="Ingreso",O1963,0))</f>
        <v/>
      </c>
      <c r="R1963" s="20">
        <f>IF(I1963="","",IF(I1963="Trading",O1963,0))</f>
        <v/>
      </c>
      <c r="S1963" s="19">
        <f>IF(I1963="","",IF(AND(I1963="Gasto",K1963="Variable",J1963&lt;&gt;"Trading",O1963&gt;0,O1963&lt;=Umbral),1,0))</f>
        <v/>
      </c>
      <c r="T1963" s="20">
        <f>IF(OR(I1963="",E1963=""),"",IF(OR(I1963="Gasto",I1963="Transferencia",I1963="Pago tarjeta"),-1,1)*C1963)</f>
        <v/>
      </c>
      <c r="U1963" s="20">
        <f>IF(OR(G1963="",AND(I1963&lt;&gt;"Transferencia",I1963&lt;&gt;"Pago tarjeta")),"",IF(IFERROR(INDEX(ctaMon,MATCH(G1963,ctaNom,0))&amp;"","DOP")=N1963,C1963,IF(N1963="USD",C1963*TasaUSD,C1963/TasaUSD)))</f>
        <v/>
      </c>
      <c r="V1963" s="20">
        <f>IF(I1963="","",IF(IFERROR(INDEX(ctaLiq,MATCH(E1963,ctaNom,0))="Sí",FALSE),IF(OR(I1963="Gasto",I1963="Transferencia",I1963="Pago tarjeta"),-1,1)*O1963,0)+IF(AND(U1963&lt;&gt;"",IFERROR(INDEX(ctaLiq,MATCH(G1963,ctaNom,0))="Sí",FALSE)),O1963,0))</f>
        <v/>
      </c>
      <c r="W1963" s="19">
        <f>IF(OR(F1963="",I1963=""),"",IF(COUNTIFS(F$6:F1963,F1963,I$6:I1963,"?*")=1,MAX(W$5:W1962)+1,""))</f>
        <v/>
      </c>
    </row>
    <row r="1964">
      <c r="B1964" s="15" t="n"/>
      <c r="C1964" s="16" t="n"/>
      <c r="D1964" s="17" t="n"/>
      <c r="E1964" s="17" t="n"/>
      <c r="F1964" s="17" t="n"/>
      <c r="G1964" s="17" t="n"/>
      <c r="H1964" s="18">
        <f>IF(AND(B1964="",C1964="",D1964="",E1964=""),"",IF(B1964="","⚠ Falta fecha",IF(C1964="","⚠ Falta monto",IF(D1964="","⚠ Falta categoría",IF(ISNA(MATCH(D1964,catNom,0)),"⚠ Categoría no existe",IF(E1964="","⚠ Falta cuenta",IF(ISNA(MATCH(E1964,ctaNom,0)),"⚠ Cuenta no existe",IF(AND(OR(I1964="Transferencia",I1964="Pago tarjeta"),G1964=""),"⚠ Indica la cuenta «Hacia»",IF(AND(G1964&lt;&gt;"",G1964=E1964),"⚠ «Hacia» igual a la cuenta",IF(AND(G1964&lt;&gt;"",ISNA(MATCH(G1964,ctaNom,0))),"⚠ «Hacia» no existe",IF(AND(I1964="Pago tarjeta",IFERROR(INDEX(ctaTipo,MATCH(G1964,ctaNom,0)),"")&lt;&gt;"Tarjeta de crédito"),"⚠ «Hacia» debe ser la tarjeta",IF(AND(I1964="Trading",IFERROR(INDEX(ctaTipo,MATCH(E1964,ctaNom,0)),"")&lt;&gt;"Cuenta de trading"),"⚠ Usa la cuenta de trading","✓"))))))))))))</f>
        <v/>
      </c>
      <c r="I1964" s="19">
        <f>IF(OR(B1964="",C1964="",D1964=""),"",IFERROR(INDEX(catTipo,MATCH(D1964,catNom,0))&amp;"",""))</f>
        <v/>
      </c>
      <c r="J1964" s="19">
        <f>IF(I1964="","",IFERROR(INDEX(catGrupo,MATCH(D1964,catNom,0))&amp;"",""))</f>
        <v/>
      </c>
      <c r="K1964" s="19">
        <f>IF(I1964="Gasto",IF(IFERROR(INDEX(catClas,MATCH(D1964,catNom,0))&amp;"","")="","Variable",IFERROR(INDEX(catClas,MATCH(D1964,catNom,0))&amp;"","")),"")</f>
        <v/>
      </c>
      <c r="L1964" s="19">
        <f>IF(I1964="","",IFERROR(INDEX(catAlim,MATCH(D1964,catNom,0))&amp;"",""))</f>
        <v/>
      </c>
      <c r="M1964" s="19">
        <f>IF(I1964="","",IFERROR(INDEX(catComida,MATCH(D1964,catNom,0))&amp;"",""))</f>
        <v/>
      </c>
      <c r="N1964" s="19">
        <f>IF(I1964="","",IFERROR(INDEX(ctaMon,MATCH(E1964,ctaNom,0))&amp;"","DOP"))</f>
        <v/>
      </c>
      <c r="O1964" s="20">
        <f>IF(I1964="","",C1964*IF(N1964="USD",TasaUSD,1))</f>
        <v/>
      </c>
      <c r="P1964" s="20">
        <f>IF(I1964="","",IF(I1964="Gasto",O1964,0))</f>
        <v/>
      </c>
      <c r="Q1964" s="20">
        <f>IF(I1964="","",IF(I1964="Ingreso",O1964,0))</f>
        <v/>
      </c>
      <c r="R1964" s="20">
        <f>IF(I1964="","",IF(I1964="Trading",O1964,0))</f>
        <v/>
      </c>
      <c r="S1964" s="19">
        <f>IF(I1964="","",IF(AND(I1964="Gasto",K1964="Variable",J1964&lt;&gt;"Trading",O1964&gt;0,O1964&lt;=Umbral),1,0))</f>
        <v/>
      </c>
      <c r="T1964" s="20">
        <f>IF(OR(I1964="",E1964=""),"",IF(OR(I1964="Gasto",I1964="Transferencia",I1964="Pago tarjeta"),-1,1)*C1964)</f>
        <v/>
      </c>
      <c r="U1964" s="20">
        <f>IF(OR(G1964="",AND(I1964&lt;&gt;"Transferencia",I1964&lt;&gt;"Pago tarjeta")),"",IF(IFERROR(INDEX(ctaMon,MATCH(G1964,ctaNom,0))&amp;"","DOP")=N1964,C1964,IF(N1964="USD",C1964*TasaUSD,C1964/TasaUSD)))</f>
        <v/>
      </c>
      <c r="V1964" s="20">
        <f>IF(I1964="","",IF(IFERROR(INDEX(ctaLiq,MATCH(E1964,ctaNom,0))="Sí",FALSE),IF(OR(I1964="Gasto",I1964="Transferencia",I1964="Pago tarjeta"),-1,1)*O1964,0)+IF(AND(U1964&lt;&gt;"",IFERROR(INDEX(ctaLiq,MATCH(G1964,ctaNom,0))="Sí",FALSE)),O1964,0))</f>
        <v/>
      </c>
      <c r="W1964" s="19">
        <f>IF(OR(F1964="",I1964=""),"",IF(COUNTIFS(F$6:F1964,F1964,I$6:I1964,"?*")=1,MAX(W$5:W1963)+1,""))</f>
        <v/>
      </c>
    </row>
    <row r="1965">
      <c r="B1965" s="15" t="n"/>
      <c r="C1965" s="16" t="n"/>
      <c r="D1965" s="17" t="n"/>
      <c r="E1965" s="17" t="n"/>
      <c r="F1965" s="17" t="n"/>
      <c r="G1965" s="17" t="n"/>
      <c r="H1965" s="18">
        <f>IF(AND(B1965="",C1965="",D1965="",E1965=""),"",IF(B1965="","⚠ Falta fecha",IF(C1965="","⚠ Falta monto",IF(D1965="","⚠ Falta categoría",IF(ISNA(MATCH(D1965,catNom,0)),"⚠ Categoría no existe",IF(E1965="","⚠ Falta cuenta",IF(ISNA(MATCH(E1965,ctaNom,0)),"⚠ Cuenta no existe",IF(AND(OR(I1965="Transferencia",I1965="Pago tarjeta"),G1965=""),"⚠ Indica la cuenta «Hacia»",IF(AND(G1965&lt;&gt;"",G1965=E1965),"⚠ «Hacia» igual a la cuenta",IF(AND(G1965&lt;&gt;"",ISNA(MATCH(G1965,ctaNom,0))),"⚠ «Hacia» no existe",IF(AND(I1965="Pago tarjeta",IFERROR(INDEX(ctaTipo,MATCH(G1965,ctaNom,0)),"")&lt;&gt;"Tarjeta de crédito"),"⚠ «Hacia» debe ser la tarjeta",IF(AND(I1965="Trading",IFERROR(INDEX(ctaTipo,MATCH(E1965,ctaNom,0)),"")&lt;&gt;"Cuenta de trading"),"⚠ Usa la cuenta de trading","✓"))))))))))))</f>
        <v/>
      </c>
      <c r="I1965" s="19">
        <f>IF(OR(B1965="",C1965="",D1965=""),"",IFERROR(INDEX(catTipo,MATCH(D1965,catNom,0))&amp;"",""))</f>
        <v/>
      </c>
      <c r="J1965" s="19">
        <f>IF(I1965="","",IFERROR(INDEX(catGrupo,MATCH(D1965,catNom,0))&amp;"",""))</f>
        <v/>
      </c>
      <c r="K1965" s="19">
        <f>IF(I1965="Gasto",IF(IFERROR(INDEX(catClas,MATCH(D1965,catNom,0))&amp;"","")="","Variable",IFERROR(INDEX(catClas,MATCH(D1965,catNom,0))&amp;"","")),"")</f>
        <v/>
      </c>
      <c r="L1965" s="19">
        <f>IF(I1965="","",IFERROR(INDEX(catAlim,MATCH(D1965,catNom,0))&amp;"",""))</f>
        <v/>
      </c>
      <c r="M1965" s="19">
        <f>IF(I1965="","",IFERROR(INDEX(catComida,MATCH(D1965,catNom,0))&amp;"",""))</f>
        <v/>
      </c>
      <c r="N1965" s="19">
        <f>IF(I1965="","",IFERROR(INDEX(ctaMon,MATCH(E1965,ctaNom,0))&amp;"","DOP"))</f>
        <v/>
      </c>
      <c r="O1965" s="20">
        <f>IF(I1965="","",C1965*IF(N1965="USD",TasaUSD,1))</f>
        <v/>
      </c>
      <c r="P1965" s="20">
        <f>IF(I1965="","",IF(I1965="Gasto",O1965,0))</f>
        <v/>
      </c>
      <c r="Q1965" s="20">
        <f>IF(I1965="","",IF(I1965="Ingreso",O1965,0))</f>
        <v/>
      </c>
      <c r="R1965" s="20">
        <f>IF(I1965="","",IF(I1965="Trading",O1965,0))</f>
        <v/>
      </c>
      <c r="S1965" s="19">
        <f>IF(I1965="","",IF(AND(I1965="Gasto",K1965="Variable",J1965&lt;&gt;"Trading",O1965&gt;0,O1965&lt;=Umbral),1,0))</f>
        <v/>
      </c>
      <c r="T1965" s="20">
        <f>IF(OR(I1965="",E1965=""),"",IF(OR(I1965="Gasto",I1965="Transferencia",I1965="Pago tarjeta"),-1,1)*C1965)</f>
        <v/>
      </c>
      <c r="U1965" s="20">
        <f>IF(OR(G1965="",AND(I1965&lt;&gt;"Transferencia",I1965&lt;&gt;"Pago tarjeta")),"",IF(IFERROR(INDEX(ctaMon,MATCH(G1965,ctaNom,0))&amp;"","DOP")=N1965,C1965,IF(N1965="USD",C1965*TasaUSD,C1965/TasaUSD)))</f>
        <v/>
      </c>
      <c r="V1965" s="20">
        <f>IF(I1965="","",IF(IFERROR(INDEX(ctaLiq,MATCH(E1965,ctaNom,0))="Sí",FALSE),IF(OR(I1965="Gasto",I1965="Transferencia",I1965="Pago tarjeta"),-1,1)*O1965,0)+IF(AND(U1965&lt;&gt;"",IFERROR(INDEX(ctaLiq,MATCH(G1965,ctaNom,0))="Sí",FALSE)),O1965,0))</f>
        <v/>
      </c>
      <c r="W1965" s="19">
        <f>IF(OR(F1965="",I1965=""),"",IF(COUNTIFS(F$6:F1965,F1965,I$6:I1965,"?*")=1,MAX(W$5:W1964)+1,""))</f>
        <v/>
      </c>
    </row>
    <row r="1966">
      <c r="B1966" s="15" t="n"/>
      <c r="C1966" s="16" t="n"/>
      <c r="D1966" s="17" t="n"/>
      <c r="E1966" s="17" t="n"/>
      <c r="F1966" s="17" t="n"/>
      <c r="G1966" s="17" t="n"/>
      <c r="H1966" s="18">
        <f>IF(AND(B1966="",C1966="",D1966="",E1966=""),"",IF(B1966="","⚠ Falta fecha",IF(C1966="","⚠ Falta monto",IF(D1966="","⚠ Falta categoría",IF(ISNA(MATCH(D1966,catNom,0)),"⚠ Categoría no existe",IF(E1966="","⚠ Falta cuenta",IF(ISNA(MATCH(E1966,ctaNom,0)),"⚠ Cuenta no existe",IF(AND(OR(I1966="Transferencia",I1966="Pago tarjeta"),G1966=""),"⚠ Indica la cuenta «Hacia»",IF(AND(G1966&lt;&gt;"",G1966=E1966),"⚠ «Hacia» igual a la cuenta",IF(AND(G1966&lt;&gt;"",ISNA(MATCH(G1966,ctaNom,0))),"⚠ «Hacia» no existe",IF(AND(I1966="Pago tarjeta",IFERROR(INDEX(ctaTipo,MATCH(G1966,ctaNom,0)),"")&lt;&gt;"Tarjeta de crédito"),"⚠ «Hacia» debe ser la tarjeta",IF(AND(I1966="Trading",IFERROR(INDEX(ctaTipo,MATCH(E1966,ctaNom,0)),"")&lt;&gt;"Cuenta de trading"),"⚠ Usa la cuenta de trading","✓"))))))))))))</f>
        <v/>
      </c>
      <c r="I1966" s="19">
        <f>IF(OR(B1966="",C1966="",D1966=""),"",IFERROR(INDEX(catTipo,MATCH(D1966,catNom,0))&amp;"",""))</f>
        <v/>
      </c>
      <c r="J1966" s="19">
        <f>IF(I1966="","",IFERROR(INDEX(catGrupo,MATCH(D1966,catNom,0))&amp;"",""))</f>
        <v/>
      </c>
      <c r="K1966" s="19">
        <f>IF(I1966="Gasto",IF(IFERROR(INDEX(catClas,MATCH(D1966,catNom,0))&amp;"","")="","Variable",IFERROR(INDEX(catClas,MATCH(D1966,catNom,0))&amp;"","")),"")</f>
        <v/>
      </c>
      <c r="L1966" s="19">
        <f>IF(I1966="","",IFERROR(INDEX(catAlim,MATCH(D1966,catNom,0))&amp;"",""))</f>
        <v/>
      </c>
      <c r="M1966" s="19">
        <f>IF(I1966="","",IFERROR(INDEX(catComida,MATCH(D1966,catNom,0))&amp;"",""))</f>
        <v/>
      </c>
      <c r="N1966" s="19">
        <f>IF(I1966="","",IFERROR(INDEX(ctaMon,MATCH(E1966,ctaNom,0))&amp;"","DOP"))</f>
        <v/>
      </c>
      <c r="O1966" s="20">
        <f>IF(I1966="","",C1966*IF(N1966="USD",TasaUSD,1))</f>
        <v/>
      </c>
      <c r="P1966" s="20">
        <f>IF(I1966="","",IF(I1966="Gasto",O1966,0))</f>
        <v/>
      </c>
      <c r="Q1966" s="20">
        <f>IF(I1966="","",IF(I1966="Ingreso",O1966,0))</f>
        <v/>
      </c>
      <c r="R1966" s="20">
        <f>IF(I1966="","",IF(I1966="Trading",O1966,0))</f>
        <v/>
      </c>
      <c r="S1966" s="19">
        <f>IF(I1966="","",IF(AND(I1966="Gasto",K1966="Variable",J1966&lt;&gt;"Trading",O1966&gt;0,O1966&lt;=Umbral),1,0))</f>
        <v/>
      </c>
      <c r="T1966" s="20">
        <f>IF(OR(I1966="",E1966=""),"",IF(OR(I1966="Gasto",I1966="Transferencia",I1966="Pago tarjeta"),-1,1)*C1966)</f>
        <v/>
      </c>
      <c r="U1966" s="20">
        <f>IF(OR(G1966="",AND(I1966&lt;&gt;"Transferencia",I1966&lt;&gt;"Pago tarjeta")),"",IF(IFERROR(INDEX(ctaMon,MATCH(G1966,ctaNom,0))&amp;"","DOP")=N1966,C1966,IF(N1966="USD",C1966*TasaUSD,C1966/TasaUSD)))</f>
        <v/>
      </c>
      <c r="V1966" s="20">
        <f>IF(I1966="","",IF(IFERROR(INDEX(ctaLiq,MATCH(E1966,ctaNom,0))="Sí",FALSE),IF(OR(I1966="Gasto",I1966="Transferencia",I1966="Pago tarjeta"),-1,1)*O1966,0)+IF(AND(U1966&lt;&gt;"",IFERROR(INDEX(ctaLiq,MATCH(G1966,ctaNom,0))="Sí",FALSE)),O1966,0))</f>
        <v/>
      </c>
      <c r="W1966" s="19">
        <f>IF(OR(F1966="",I1966=""),"",IF(COUNTIFS(F$6:F1966,F1966,I$6:I1966,"?*")=1,MAX(W$5:W1965)+1,""))</f>
        <v/>
      </c>
    </row>
    <row r="1967">
      <c r="B1967" s="15" t="n"/>
      <c r="C1967" s="16" t="n"/>
      <c r="D1967" s="17" t="n"/>
      <c r="E1967" s="17" t="n"/>
      <c r="F1967" s="17" t="n"/>
      <c r="G1967" s="17" t="n"/>
      <c r="H1967" s="18">
        <f>IF(AND(B1967="",C1967="",D1967="",E1967=""),"",IF(B1967="","⚠ Falta fecha",IF(C1967="","⚠ Falta monto",IF(D1967="","⚠ Falta categoría",IF(ISNA(MATCH(D1967,catNom,0)),"⚠ Categoría no existe",IF(E1967="","⚠ Falta cuenta",IF(ISNA(MATCH(E1967,ctaNom,0)),"⚠ Cuenta no existe",IF(AND(OR(I1967="Transferencia",I1967="Pago tarjeta"),G1967=""),"⚠ Indica la cuenta «Hacia»",IF(AND(G1967&lt;&gt;"",G1967=E1967),"⚠ «Hacia» igual a la cuenta",IF(AND(G1967&lt;&gt;"",ISNA(MATCH(G1967,ctaNom,0))),"⚠ «Hacia» no existe",IF(AND(I1967="Pago tarjeta",IFERROR(INDEX(ctaTipo,MATCH(G1967,ctaNom,0)),"")&lt;&gt;"Tarjeta de crédito"),"⚠ «Hacia» debe ser la tarjeta",IF(AND(I1967="Trading",IFERROR(INDEX(ctaTipo,MATCH(E1967,ctaNom,0)),"")&lt;&gt;"Cuenta de trading"),"⚠ Usa la cuenta de trading","✓"))))))))))))</f>
        <v/>
      </c>
      <c r="I1967" s="19">
        <f>IF(OR(B1967="",C1967="",D1967=""),"",IFERROR(INDEX(catTipo,MATCH(D1967,catNom,0))&amp;"",""))</f>
        <v/>
      </c>
      <c r="J1967" s="19">
        <f>IF(I1967="","",IFERROR(INDEX(catGrupo,MATCH(D1967,catNom,0))&amp;"",""))</f>
        <v/>
      </c>
      <c r="K1967" s="19">
        <f>IF(I1967="Gasto",IF(IFERROR(INDEX(catClas,MATCH(D1967,catNom,0))&amp;"","")="","Variable",IFERROR(INDEX(catClas,MATCH(D1967,catNom,0))&amp;"","")),"")</f>
        <v/>
      </c>
      <c r="L1967" s="19">
        <f>IF(I1967="","",IFERROR(INDEX(catAlim,MATCH(D1967,catNom,0))&amp;"",""))</f>
        <v/>
      </c>
      <c r="M1967" s="19">
        <f>IF(I1967="","",IFERROR(INDEX(catComida,MATCH(D1967,catNom,0))&amp;"",""))</f>
        <v/>
      </c>
      <c r="N1967" s="19">
        <f>IF(I1967="","",IFERROR(INDEX(ctaMon,MATCH(E1967,ctaNom,0))&amp;"","DOP"))</f>
        <v/>
      </c>
      <c r="O1967" s="20">
        <f>IF(I1967="","",C1967*IF(N1967="USD",TasaUSD,1))</f>
        <v/>
      </c>
      <c r="P1967" s="20">
        <f>IF(I1967="","",IF(I1967="Gasto",O1967,0))</f>
        <v/>
      </c>
      <c r="Q1967" s="20">
        <f>IF(I1967="","",IF(I1967="Ingreso",O1967,0))</f>
        <v/>
      </c>
      <c r="R1967" s="20">
        <f>IF(I1967="","",IF(I1967="Trading",O1967,0))</f>
        <v/>
      </c>
      <c r="S1967" s="19">
        <f>IF(I1967="","",IF(AND(I1967="Gasto",K1967="Variable",J1967&lt;&gt;"Trading",O1967&gt;0,O1967&lt;=Umbral),1,0))</f>
        <v/>
      </c>
      <c r="T1967" s="20">
        <f>IF(OR(I1967="",E1967=""),"",IF(OR(I1967="Gasto",I1967="Transferencia",I1967="Pago tarjeta"),-1,1)*C1967)</f>
        <v/>
      </c>
      <c r="U1967" s="20">
        <f>IF(OR(G1967="",AND(I1967&lt;&gt;"Transferencia",I1967&lt;&gt;"Pago tarjeta")),"",IF(IFERROR(INDEX(ctaMon,MATCH(G1967,ctaNom,0))&amp;"","DOP")=N1967,C1967,IF(N1967="USD",C1967*TasaUSD,C1967/TasaUSD)))</f>
        <v/>
      </c>
      <c r="V1967" s="20">
        <f>IF(I1967="","",IF(IFERROR(INDEX(ctaLiq,MATCH(E1967,ctaNom,0))="Sí",FALSE),IF(OR(I1967="Gasto",I1967="Transferencia",I1967="Pago tarjeta"),-1,1)*O1967,0)+IF(AND(U1967&lt;&gt;"",IFERROR(INDEX(ctaLiq,MATCH(G1967,ctaNom,0))="Sí",FALSE)),O1967,0))</f>
        <v/>
      </c>
      <c r="W1967" s="19">
        <f>IF(OR(F1967="",I1967=""),"",IF(COUNTIFS(F$6:F1967,F1967,I$6:I1967,"?*")=1,MAX(W$5:W1966)+1,""))</f>
        <v/>
      </c>
    </row>
    <row r="1968">
      <c r="B1968" s="15" t="n"/>
      <c r="C1968" s="16" t="n"/>
      <c r="D1968" s="17" t="n"/>
      <c r="E1968" s="17" t="n"/>
      <c r="F1968" s="17" t="n"/>
      <c r="G1968" s="17" t="n"/>
      <c r="H1968" s="18">
        <f>IF(AND(B1968="",C1968="",D1968="",E1968=""),"",IF(B1968="","⚠ Falta fecha",IF(C1968="","⚠ Falta monto",IF(D1968="","⚠ Falta categoría",IF(ISNA(MATCH(D1968,catNom,0)),"⚠ Categoría no existe",IF(E1968="","⚠ Falta cuenta",IF(ISNA(MATCH(E1968,ctaNom,0)),"⚠ Cuenta no existe",IF(AND(OR(I1968="Transferencia",I1968="Pago tarjeta"),G1968=""),"⚠ Indica la cuenta «Hacia»",IF(AND(G1968&lt;&gt;"",G1968=E1968),"⚠ «Hacia» igual a la cuenta",IF(AND(G1968&lt;&gt;"",ISNA(MATCH(G1968,ctaNom,0))),"⚠ «Hacia» no existe",IF(AND(I1968="Pago tarjeta",IFERROR(INDEX(ctaTipo,MATCH(G1968,ctaNom,0)),"")&lt;&gt;"Tarjeta de crédito"),"⚠ «Hacia» debe ser la tarjeta",IF(AND(I1968="Trading",IFERROR(INDEX(ctaTipo,MATCH(E1968,ctaNom,0)),"")&lt;&gt;"Cuenta de trading"),"⚠ Usa la cuenta de trading","✓"))))))))))))</f>
        <v/>
      </c>
      <c r="I1968" s="19">
        <f>IF(OR(B1968="",C1968="",D1968=""),"",IFERROR(INDEX(catTipo,MATCH(D1968,catNom,0))&amp;"",""))</f>
        <v/>
      </c>
      <c r="J1968" s="19">
        <f>IF(I1968="","",IFERROR(INDEX(catGrupo,MATCH(D1968,catNom,0))&amp;"",""))</f>
        <v/>
      </c>
      <c r="K1968" s="19">
        <f>IF(I1968="Gasto",IF(IFERROR(INDEX(catClas,MATCH(D1968,catNom,0))&amp;"","")="","Variable",IFERROR(INDEX(catClas,MATCH(D1968,catNom,0))&amp;"","")),"")</f>
        <v/>
      </c>
      <c r="L1968" s="19">
        <f>IF(I1968="","",IFERROR(INDEX(catAlim,MATCH(D1968,catNom,0))&amp;"",""))</f>
        <v/>
      </c>
      <c r="M1968" s="19">
        <f>IF(I1968="","",IFERROR(INDEX(catComida,MATCH(D1968,catNom,0))&amp;"",""))</f>
        <v/>
      </c>
      <c r="N1968" s="19">
        <f>IF(I1968="","",IFERROR(INDEX(ctaMon,MATCH(E1968,ctaNom,0))&amp;"","DOP"))</f>
        <v/>
      </c>
      <c r="O1968" s="20">
        <f>IF(I1968="","",C1968*IF(N1968="USD",TasaUSD,1))</f>
        <v/>
      </c>
      <c r="P1968" s="20">
        <f>IF(I1968="","",IF(I1968="Gasto",O1968,0))</f>
        <v/>
      </c>
      <c r="Q1968" s="20">
        <f>IF(I1968="","",IF(I1968="Ingreso",O1968,0))</f>
        <v/>
      </c>
      <c r="R1968" s="20">
        <f>IF(I1968="","",IF(I1968="Trading",O1968,0))</f>
        <v/>
      </c>
      <c r="S1968" s="19">
        <f>IF(I1968="","",IF(AND(I1968="Gasto",K1968="Variable",J1968&lt;&gt;"Trading",O1968&gt;0,O1968&lt;=Umbral),1,0))</f>
        <v/>
      </c>
      <c r="T1968" s="20">
        <f>IF(OR(I1968="",E1968=""),"",IF(OR(I1968="Gasto",I1968="Transferencia",I1968="Pago tarjeta"),-1,1)*C1968)</f>
        <v/>
      </c>
      <c r="U1968" s="20">
        <f>IF(OR(G1968="",AND(I1968&lt;&gt;"Transferencia",I1968&lt;&gt;"Pago tarjeta")),"",IF(IFERROR(INDEX(ctaMon,MATCH(G1968,ctaNom,0))&amp;"","DOP")=N1968,C1968,IF(N1968="USD",C1968*TasaUSD,C1968/TasaUSD)))</f>
        <v/>
      </c>
      <c r="V1968" s="20">
        <f>IF(I1968="","",IF(IFERROR(INDEX(ctaLiq,MATCH(E1968,ctaNom,0))="Sí",FALSE),IF(OR(I1968="Gasto",I1968="Transferencia",I1968="Pago tarjeta"),-1,1)*O1968,0)+IF(AND(U1968&lt;&gt;"",IFERROR(INDEX(ctaLiq,MATCH(G1968,ctaNom,0))="Sí",FALSE)),O1968,0))</f>
        <v/>
      </c>
      <c r="W1968" s="19">
        <f>IF(OR(F1968="",I1968=""),"",IF(COUNTIFS(F$6:F1968,F1968,I$6:I1968,"?*")=1,MAX(W$5:W1967)+1,""))</f>
        <v/>
      </c>
    </row>
    <row r="1969">
      <c r="B1969" s="15" t="n"/>
      <c r="C1969" s="16" t="n"/>
      <c r="D1969" s="17" t="n"/>
      <c r="E1969" s="17" t="n"/>
      <c r="F1969" s="17" t="n"/>
      <c r="G1969" s="17" t="n"/>
      <c r="H1969" s="18">
        <f>IF(AND(B1969="",C1969="",D1969="",E1969=""),"",IF(B1969="","⚠ Falta fecha",IF(C1969="","⚠ Falta monto",IF(D1969="","⚠ Falta categoría",IF(ISNA(MATCH(D1969,catNom,0)),"⚠ Categoría no existe",IF(E1969="","⚠ Falta cuenta",IF(ISNA(MATCH(E1969,ctaNom,0)),"⚠ Cuenta no existe",IF(AND(OR(I1969="Transferencia",I1969="Pago tarjeta"),G1969=""),"⚠ Indica la cuenta «Hacia»",IF(AND(G1969&lt;&gt;"",G1969=E1969),"⚠ «Hacia» igual a la cuenta",IF(AND(G1969&lt;&gt;"",ISNA(MATCH(G1969,ctaNom,0))),"⚠ «Hacia» no existe",IF(AND(I1969="Pago tarjeta",IFERROR(INDEX(ctaTipo,MATCH(G1969,ctaNom,0)),"")&lt;&gt;"Tarjeta de crédito"),"⚠ «Hacia» debe ser la tarjeta",IF(AND(I1969="Trading",IFERROR(INDEX(ctaTipo,MATCH(E1969,ctaNom,0)),"")&lt;&gt;"Cuenta de trading"),"⚠ Usa la cuenta de trading","✓"))))))))))))</f>
        <v/>
      </c>
      <c r="I1969" s="19">
        <f>IF(OR(B1969="",C1969="",D1969=""),"",IFERROR(INDEX(catTipo,MATCH(D1969,catNom,0))&amp;"",""))</f>
        <v/>
      </c>
      <c r="J1969" s="19">
        <f>IF(I1969="","",IFERROR(INDEX(catGrupo,MATCH(D1969,catNom,0))&amp;"",""))</f>
        <v/>
      </c>
      <c r="K1969" s="19">
        <f>IF(I1969="Gasto",IF(IFERROR(INDEX(catClas,MATCH(D1969,catNom,0))&amp;"","")="","Variable",IFERROR(INDEX(catClas,MATCH(D1969,catNom,0))&amp;"","")),"")</f>
        <v/>
      </c>
      <c r="L1969" s="19">
        <f>IF(I1969="","",IFERROR(INDEX(catAlim,MATCH(D1969,catNom,0))&amp;"",""))</f>
        <v/>
      </c>
      <c r="M1969" s="19">
        <f>IF(I1969="","",IFERROR(INDEX(catComida,MATCH(D1969,catNom,0))&amp;"",""))</f>
        <v/>
      </c>
      <c r="N1969" s="19">
        <f>IF(I1969="","",IFERROR(INDEX(ctaMon,MATCH(E1969,ctaNom,0))&amp;"","DOP"))</f>
        <v/>
      </c>
      <c r="O1969" s="20">
        <f>IF(I1969="","",C1969*IF(N1969="USD",TasaUSD,1))</f>
        <v/>
      </c>
      <c r="P1969" s="20">
        <f>IF(I1969="","",IF(I1969="Gasto",O1969,0))</f>
        <v/>
      </c>
      <c r="Q1969" s="20">
        <f>IF(I1969="","",IF(I1969="Ingreso",O1969,0))</f>
        <v/>
      </c>
      <c r="R1969" s="20">
        <f>IF(I1969="","",IF(I1969="Trading",O1969,0))</f>
        <v/>
      </c>
      <c r="S1969" s="19">
        <f>IF(I1969="","",IF(AND(I1969="Gasto",K1969="Variable",J1969&lt;&gt;"Trading",O1969&gt;0,O1969&lt;=Umbral),1,0))</f>
        <v/>
      </c>
      <c r="T1969" s="20">
        <f>IF(OR(I1969="",E1969=""),"",IF(OR(I1969="Gasto",I1969="Transferencia",I1969="Pago tarjeta"),-1,1)*C1969)</f>
        <v/>
      </c>
      <c r="U1969" s="20">
        <f>IF(OR(G1969="",AND(I1969&lt;&gt;"Transferencia",I1969&lt;&gt;"Pago tarjeta")),"",IF(IFERROR(INDEX(ctaMon,MATCH(G1969,ctaNom,0))&amp;"","DOP")=N1969,C1969,IF(N1969="USD",C1969*TasaUSD,C1969/TasaUSD)))</f>
        <v/>
      </c>
      <c r="V1969" s="20">
        <f>IF(I1969="","",IF(IFERROR(INDEX(ctaLiq,MATCH(E1969,ctaNom,0))="Sí",FALSE),IF(OR(I1969="Gasto",I1969="Transferencia",I1969="Pago tarjeta"),-1,1)*O1969,0)+IF(AND(U1969&lt;&gt;"",IFERROR(INDEX(ctaLiq,MATCH(G1969,ctaNom,0))="Sí",FALSE)),O1969,0))</f>
        <v/>
      </c>
      <c r="W1969" s="19">
        <f>IF(OR(F1969="",I1969=""),"",IF(COUNTIFS(F$6:F1969,F1969,I$6:I1969,"?*")=1,MAX(W$5:W1968)+1,""))</f>
        <v/>
      </c>
    </row>
    <row r="1970">
      <c r="B1970" s="15" t="n"/>
      <c r="C1970" s="16" t="n"/>
      <c r="D1970" s="17" t="n"/>
      <c r="E1970" s="17" t="n"/>
      <c r="F1970" s="17" t="n"/>
      <c r="G1970" s="17" t="n"/>
      <c r="H1970" s="18">
        <f>IF(AND(B1970="",C1970="",D1970="",E1970=""),"",IF(B1970="","⚠ Falta fecha",IF(C1970="","⚠ Falta monto",IF(D1970="","⚠ Falta categoría",IF(ISNA(MATCH(D1970,catNom,0)),"⚠ Categoría no existe",IF(E1970="","⚠ Falta cuenta",IF(ISNA(MATCH(E1970,ctaNom,0)),"⚠ Cuenta no existe",IF(AND(OR(I1970="Transferencia",I1970="Pago tarjeta"),G1970=""),"⚠ Indica la cuenta «Hacia»",IF(AND(G1970&lt;&gt;"",G1970=E1970),"⚠ «Hacia» igual a la cuenta",IF(AND(G1970&lt;&gt;"",ISNA(MATCH(G1970,ctaNom,0))),"⚠ «Hacia» no existe",IF(AND(I1970="Pago tarjeta",IFERROR(INDEX(ctaTipo,MATCH(G1970,ctaNom,0)),"")&lt;&gt;"Tarjeta de crédito"),"⚠ «Hacia» debe ser la tarjeta",IF(AND(I1970="Trading",IFERROR(INDEX(ctaTipo,MATCH(E1970,ctaNom,0)),"")&lt;&gt;"Cuenta de trading"),"⚠ Usa la cuenta de trading","✓"))))))))))))</f>
        <v/>
      </c>
      <c r="I1970" s="19">
        <f>IF(OR(B1970="",C1970="",D1970=""),"",IFERROR(INDEX(catTipo,MATCH(D1970,catNom,0))&amp;"",""))</f>
        <v/>
      </c>
      <c r="J1970" s="19">
        <f>IF(I1970="","",IFERROR(INDEX(catGrupo,MATCH(D1970,catNom,0))&amp;"",""))</f>
        <v/>
      </c>
      <c r="K1970" s="19">
        <f>IF(I1970="Gasto",IF(IFERROR(INDEX(catClas,MATCH(D1970,catNom,0))&amp;"","")="","Variable",IFERROR(INDEX(catClas,MATCH(D1970,catNom,0))&amp;"","")),"")</f>
        <v/>
      </c>
      <c r="L1970" s="19">
        <f>IF(I1970="","",IFERROR(INDEX(catAlim,MATCH(D1970,catNom,0))&amp;"",""))</f>
        <v/>
      </c>
      <c r="M1970" s="19">
        <f>IF(I1970="","",IFERROR(INDEX(catComida,MATCH(D1970,catNom,0))&amp;"",""))</f>
        <v/>
      </c>
      <c r="N1970" s="19">
        <f>IF(I1970="","",IFERROR(INDEX(ctaMon,MATCH(E1970,ctaNom,0))&amp;"","DOP"))</f>
        <v/>
      </c>
      <c r="O1970" s="20">
        <f>IF(I1970="","",C1970*IF(N1970="USD",TasaUSD,1))</f>
        <v/>
      </c>
      <c r="P1970" s="20">
        <f>IF(I1970="","",IF(I1970="Gasto",O1970,0))</f>
        <v/>
      </c>
      <c r="Q1970" s="20">
        <f>IF(I1970="","",IF(I1970="Ingreso",O1970,0))</f>
        <v/>
      </c>
      <c r="R1970" s="20">
        <f>IF(I1970="","",IF(I1970="Trading",O1970,0))</f>
        <v/>
      </c>
      <c r="S1970" s="19">
        <f>IF(I1970="","",IF(AND(I1970="Gasto",K1970="Variable",J1970&lt;&gt;"Trading",O1970&gt;0,O1970&lt;=Umbral),1,0))</f>
        <v/>
      </c>
      <c r="T1970" s="20">
        <f>IF(OR(I1970="",E1970=""),"",IF(OR(I1970="Gasto",I1970="Transferencia",I1970="Pago tarjeta"),-1,1)*C1970)</f>
        <v/>
      </c>
      <c r="U1970" s="20">
        <f>IF(OR(G1970="",AND(I1970&lt;&gt;"Transferencia",I1970&lt;&gt;"Pago tarjeta")),"",IF(IFERROR(INDEX(ctaMon,MATCH(G1970,ctaNom,0))&amp;"","DOP")=N1970,C1970,IF(N1970="USD",C1970*TasaUSD,C1970/TasaUSD)))</f>
        <v/>
      </c>
      <c r="V1970" s="20">
        <f>IF(I1970="","",IF(IFERROR(INDEX(ctaLiq,MATCH(E1970,ctaNom,0))="Sí",FALSE),IF(OR(I1970="Gasto",I1970="Transferencia",I1970="Pago tarjeta"),-1,1)*O1970,0)+IF(AND(U1970&lt;&gt;"",IFERROR(INDEX(ctaLiq,MATCH(G1970,ctaNom,0))="Sí",FALSE)),O1970,0))</f>
        <v/>
      </c>
      <c r="W1970" s="19">
        <f>IF(OR(F1970="",I1970=""),"",IF(COUNTIFS(F$6:F1970,F1970,I$6:I1970,"?*")=1,MAX(W$5:W1969)+1,""))</f>
        <v/>
      </c>
    </row>
    <row r="1971">
      <c r="B1971" s="15" t="n"/>
      <c r="C1971" s="16" t="n"/>
      <c r="D1971" s="17" t="n"/>
      <c r="E1971" s="17" t="n"/>
      <c r="F1971" s="17" t="n"/>
      <c r="G1971" s="17" t="n"/>
      <c r="H1971" s="18">
        <f>IF(AND(B1971="",C1971="",D1971="",E1971=""),"",IF(B1971="","⚠ Falta fecha",IF(C1971="","⚠ Falta monto",IF(D1971="","⚠ Falta categoría",IF(ISNA(MATCH(D1971,catNom,0)),"⚠ Categoría no existe",IF(E1971="","⚠ Falta cuenta",IF(ISNA(MATCH(E1971,ctaNom,0)),"⚠ Cuenta no existe",IF(AND(OR(I1971="Transferencia",I1971="Pago tarjeta"),G1971=""),"⚠ Indica la cuenta «Hacia»",IF(AND(G1971&lt;&gt;"",G1971=E1971),"⚠ «Hacia» igual a la cuenta",IF(AND(G1971&lt;&gt;"",ISNA(MATCH(G1971,ctaNom,0))),"⚠ «Hacia» no existe",IF(AND(I1971="Pago tarjeta",IFERROR(INDEX(ctaTipo,MATCH(G1971,ctaNom,0)),"")&lt;&gt;"Tarjeta de crédito"),"⚠ «Hacia» debe ser la tarjeta",IF(AND(I1971="Trading",IFERROR(INDEX(ctaTipo,MATCH(E1971,ctaNom,0)),"")&lt;&gt;"Cuenta de trading"),"⚠ Usa la cuenta de trading","✓"))))))))))))</f>
        <v/>
      </c>
      <c r="I1971" s="19">
        <f>IF(OR(B1971="",C1971="",D1971=""),"",IFERROR(INDEX(catTipo,MATCH(D1971,catNom,0))&amp;"",""))</f>
        <v/>
      </c>
      <c r="J1971" s="19">
        <f>IF(I1971="","",IFERROR(INDEX(catGrupo,MATCH(D1971,catNom,0))&amp;"",""))</f>
        <v/>
      </c>
      <c r="K1971" s="19">
        <f>IF(I1971="Gasto",IF(IFERROR(INDEX(catClas,MATCH(D1971,catNom,0))&amp;"","")="","Variable",IFERROR(INDEX(catClas,MATCH(D1971,catNom,0))&amp;"","")),"")</f>
        <v/>
      </c>
      <c r="L1971" s="19">
        <f>IF(I1971="","",IFERROR(INDEX(catAlim,MATCH(D1971,catNom,0))&amp;"",""))</f>
        <v/>
      </c>
      <c r="M1971" s="19">
        <f>IF(I1971="","",IFERROR(INDEX(catComida,MATCH(D1971,catNom,0))&amp;"",""))</f>
        <v/>
      </c>
      <c r="N1971" s="19">
        <f>IF(I1971="","",IFERROR(INDEX(ctaMon,MATCH(E1971,ctaNom,0))&amp;"","DOP"))</f>
        <v/>
      </c>
      <c r="O1971" s="20">
        <f>IF(I1971="","",C1971*IF(N1971="USD",TasaUSD,1))</f>
        <v/>
      </c>
      <c r="P1971" s="20">
        <f>IF(I1971="","",IF(I1971="Gasto",O1971,0))</f>
        <v/>
      </c>
      <c r="Q1971" s="20">
        <f>IF(I1971="","",IF(I1971="Ingreso",O1971,0))</f>
        <v/>
      </c>
      <c r="R1971" s="20">
        <f>IF(I1971="","",IF(I1971="Trading",O1971,0))</f>
        <v/>
      </c>
      <c r="S1971" s="19">
        <f>IF(I1971="","",IF(AND(I1971="Gasto",K1971="Variable",J1971&lt;&gt;"Trading",O1971&gt;0,O1971&lt;=Umbral),1,0))</f>
        <v/>
      </c>
      <c r="T1971" s="20">
        <f>IF(OR(I1971="",E1971=""),"",IF(OR(I1971="Gasto",I1971="Transferencia",I1971="Pago tarjeta"),-1,1)*C1971)</f>
        <v/>
      </c>
      <c r="U1971" s="20">
        <f>IF(OR(G1971="",AND(I1971&lt;&gt;"Transferencia",I1971&lt;&gt;"Pago tarjeta")),"",IF(IFERROR(INDEX(ctaMon,MATCH(G1971,ctaNom,0))&amp;"","DOP")=N1971,C1971,IF(N1971="USD",C1971*TasaUSD,C1971/TasaUSD)))</f>
        <v/>
      </c>
      <c r="V1971" s="20">
        <f>IF(I1971="","",IF(IFERROR(INDEX(ctaLiq,MATCH(E1971,ctaNom,0))="Sí",FALSE),IF(OR(I1971="Gasto",I1971="Transferencia",I1971="Pago tarjeta"),-1,1)*O1971,0)+IF(AND(U1971&lt;&gt;"",IFERROR(INDEX(ctaLiq,MATCH(G1971,ctaNom,0))="Sí",FALSE)),O1971,0))</f>
        <v/>
      </c>
      <c r="W1971" s="19">
        <f>IF(OR(F1971="",I1971=""),"",IF(COUNTIFS(F$6:F1971,F1971,I$6:I1971,"?*")=1,MAX(W$5:W1970)+1,""))</f>
        <v/>
      </c>
    </row>
    <row r="1972">
      <c r="B1972" s="15" t="n"/>
      <c r="C1972" s="16" t="n"/>
      <c r="D1972" s="17" t="n"/>
      <c r="E1972" s="17" t="n"/>
      <c r="F1972" s="17" t="n"/>
      <c r="G1972" s="17" t="n"/>
      <c r="H1972" s="18">
        <f>IF(AND(B1972="",C1972="",D1972="",E1972=""),"",IF(B1972="","⚠ Falta fecha",IF(C1972="","⚠ Falta monto",IF(D1972="","⚠ Falta categoría",IF(ISNA(MATCH(D1972,catNom,0)),"⚠ Categoría no existe",IF(E1972="","⚠ Falta cuenta",IF(ISNA(MATCH(E1972,ctaNom,0)),"⚠ Cuenta no existe",IF(AND(OR(I1972="Transferencia",I1972="Pago tarjeta"),G1972=""),"⚠ Indica la cuenta «Hacia»",IF(AND(G1972&lt;&gt;"",G1972=E1972),"⚠ «Hacia» igual a la cuenta",IF(AND(G1972&lt;&gt;"",ISNA(MATCH(G1972,ctaNom,0))),"⚠ «Hacia» no existe",IF(AND(I1972="Pago tarjeta",IFERROR(INDEX(ctaTipo,MATCH(G1972,ctaNom,0)),"")&lt;&gt;"Tarjeta de crédito"),"⚠ «Hacia» debe ser la tarjeta",IF(AND(I1972="Trading",IFERROR(INDEX(ctaTipo,MATCH(E1972,ctaNom,0)),"")&lt;&gt;"Cuenta de trading"),"⚠ Usa la cuenta de trading","✓"))))))))))))</f>
        <v/>
      </c>
      <c r="I1972" s="19">
        <f>IF(OR(B1972="",C1972="",D1972=""),"",IFERROR(INDEX(catTipo,MATCH(D1972,catNom,0))&amp;"",""))</f>
        <v/>
      </c>
      <c r="J1972" s="19">
        <f>IF(I1972="","",IFERROR(INDEX(catGrupo,MATCH(D1972,catNom,0))&amp;"",""))</f>
        <v/>
      </c>
      <c r="K1972" s="19">
        <f>IF(I1972="Gasto",IF(IFERROR(INDEX(catClas,MATCH(D1972,catNom,0))&amp;"","")="","Variable",IFERROR(INDEX(catClas,MATCH(D1972,catNom,0))&amp;"","")),"")</f>
        <v/>
      </c>
      <c r="L1972" s="19">
        <f>IF(I1972="","",IFERROR(INDEX(catAlim,MATCH(D1972,catNom,0))&amp;"",""))</f>
        <v/>
      </c>
      <c r="M1972" s="19">
        <f>IF(I1972="","",IFERROR(INDEX(catComida,MATCH(D1972,catNom,0))&amp;"",""))</f>
        <v/>
      </c>
      <c r="N1972" s="19">
        <f>IF(I1972="","",IFERROR(INDEX(ctaMon,MATCH(E1972,ctaNom,0))&amp;"","DOP"))</f>
        <v/>
      </c>
      <c r="O1972" s="20">
        <f>IF(I1972="","",C1972*IF(N1972="USD",TasaUSD,1))</f>
        <v/>
      </c>
      <c r="P1972" s="20">
        <f>IF(I1972="","",IF(I1972="Gasto",O1972,0))</f>
        <v/>
      </c>
      <c r="Q1972" s="20">
        <f>IF(I1972="","",IF(I1972="Ingreso",O1972,0))</f>
        <v/>
      </c>
      <c r="R1972" s="20">
        <f>IF(I1972="","",IF(I1972="Trading",O1972,0))</f>
        <v/>
      </c>
      <c r="S1972" s="19">
        <f>IF(I1972="","",IF(AND(I1972="Gasto",K1972="Variable",J1972&lt;&gt;"Trading",O1972&gt;0,O1972&lt;=Umbral),1,0))</f>
        <v/>
      </c>
      <c r="T1972" s="20">
        <f>IF(OR(I1972="",E1972=""),"",IF(OR(I1972="Gasto",I1972="Transferencia",I1972="Pago tarjeta"),-1,1)*C1972)</f>
        <v/>
      </c>
      <c r="U1972" s="20">
        <f>IF(OR(G1972="",AND(I1972&lt;&gt;"Transferencia",I1972&lt;&gt;"Pago tarjeta")),"",IF(IFERROR(INDEX(ctaMon,MATCH(G1972,ctaNom,0))&amp;"","DOP")=N1972,C1972,IF(N1972="USD",C1972*TasaUSD,C1972/TasaUSD)))</f>
        <v/>
      </c>
      <c r="V1972" s="20">
        <f>IF(I1972="","",IF(IFERROR(INDEX(ctaLiq,MATCH(E1972,ctaNom,0))="Sí",FALSE),IF(OR(I1972="Gasto",I1972="Transferencia",I1972="Pago tarjeta"),-1,1)*O1972,0)+IF(AND(U1972&lt;&gt;"",IFERROR(INDEX(ctaLiq,MATCH(G1972,ctaNom,0))="Sí",FALSE)),O1972,0))</f>
        <v/>
      </c>
      <c r="W1972" s="19">
        <f>IF(OR(F1972="",I1972=""),"",IF(COUNTIFS(F$6:F1972,F1972,I$6:I1972,"?*")=1,MAX(W$5:W1971)+1,""))</f>
        <v/>
      </c>
    </row>
    <row r="1973">
      <c r="B1973" s="15" t="n"/>
      <c r="C1973" s="16" t="n"/>
      <c r="D1973" s="17" t="n"/>
      <c r="E1973" s="17" t="n"/>
      <c r="F1973" s="17" t="n"/>
      <c r="G1973" s="17" t="n"/>
      <c r="H1973" s="18">
        <f>IF(AND(B1973="",C1973="",D1973="",E1973=""),"",IF(B1973="","⚠ Falta fecha",IF(C1973="","⚠ Falta monto",IF(D1973="","⚠ Falta categoría",IF(ISNA(MATCH(D1973,catNom,0)),"⚠ Categoría no existe",IF(E1973="","⚠ Falta cuenta",IF(ISNA(MATCH(E1973,ctaNom,0)),"⚠ Cuenta no existe",IF(AND(OR(I1973="Transferencia",I1973="Pago tarjeta"),G1973=""),"⚠ Indica la cuenta «Hacia»",IF(AND(G1973&lt;&gt;"",G1973=E1973),"⚠ «Hacia» igual a la cuenta",IF(AND(G1973&lt;&gt;"",ISNA(MATCH(G1973,ctaNom,0))),"⚠ «Hacia» no existe",IF(AND(I1973="Pago tarjeta",IFERROR(INDEX(ctaTipo,MATCH(G1973,ctaNom,0)),"")&lt;&gt;"Tarjeta de crédito"),"⚠ «Hacia» debe ser la tarjeta",IF(AND(I1973="Trading",IFERROR(INDEX(ctaTipo,MATCH(E1973,ctaNom,0)),"")&lt;&gt;"Cuenta de trading"),"⚠ Usa la cuenta de trading","✓"))))))))))))</f>
        <v/>
      </c>
      <c r="I1973" s="19">
        <f>IF(OR(B1973="",C1973="",D1973=""),"",IFERROR(INDEX(catTipo,MATCH(D1973,catNom,0))&amp;"",""))</f>
        <v/>
      </c>
      <c r="J1973" s="19">
        <f>IF(I1973="","",IFERROR(INDEX(catGrupo,MATCH(D1973,catNom,0))&amp;"",""))</f>
        <v/>
      </c>
      <c r="K1973" s="19">
        <f>IF(I1973="Gasto",IF(IFERROR(INDEX(catClas,MATCH(D1973,catNom,0))&amp;"","")="","Variable",IFERROR(INDEX(catClas,MATCH(D1973,catNom,0))&amp;"","")),"")</f>
        <v/>
      </c>
      <c r="L1973" s="19">
        <f>IF(I1973="","",IFERROR(INDEX(catAlim,MATCH(D1973,catNom,0))&amp;"",""))</f>
        <v/>
      </c>
      <c r="M1973" s="19">
        <f>IF(I1973="","",IFERROR(INDEX(catComida,MATCH(D1973,catNom,0))&amp;"",""))</f>
        <v/>
      </c>
      <c r="N1973" s="19">
        <f>IF(I1973="","",IFERROR(INDEX(ctaMon,MATCH(E1973,ctaNom,0))&amp;"","DOP"))</f>
        <v/>
      </c>
      <c r="O1973" s="20">
        <f>IF(I1973="","",C1973*IF(N1973="USD",TasaUSD,1))</f>
        <v/>
      </c>
      <c r="P1973" s="20">
        <f>IF(I1973="","",IF(I1973="Gasto",O1973,0))</f>
        <v/>
      </c>
      <c r="Q1973" s="20">
        <f>IF(I1973="","",IF(I1973="Ingreso",O1973,0))</f>
        <v/>
      </c>
      <c r="R1973" s="20">
        <f>IF(I1973="","",IF(I1973="Trading",O1973,0))</f>
        <v/>
      </c>
      <c r="S1973" s="19">
        <f>IF(I1973="","",IF(AND(I1973="Gasto",K1973="Variable",J1973&lt;&gt;"Trading",O1973&gt;0,O1973&lt;=Umbral),1,0))</f>
        <v/>
      </c>
      <c r="T1973" s="20">
        <f>IF(OR(I1973="",E1973=""),"",IF(OR(I1973="Gasto",I1973="Transferencia",I1973="Pago tarjeta"),-1,1)*C1973)</f>
        <v/>
      </c>
      <c r="U1973" s="20">
        <f>IF(OR(G1973="",AND(I1973&lt;&gt;"Transferencia",I1973&lt;&gt;"Pago tarjeta")),"",IF(IFERROR(INDEX(ctaMon,MATCH(G1973,ctaNom,0))&amp;"","DOP")=N1973,C1973,IF(N1973="USD",C1973*TasaUSD,C1973/TasaUSD)))</f>
        <v/>
      </c>
      <c r="V1973" s="20">
        <f>IF(I1973="","",IF(IFERROR(INDEX(ctaLiq,MATCH(E1973,ctaNom,0))="Sí",FALSE),IF(OR(I1973="Gasto",I1973="Transferencia",I1973="Pago tarjeta"),-1,1)*O1973,0)+IF(AND(U1973&lt;&gt;"",IFERROR(INDEX(ctaLiq,MATCH(G1973,ctaNom,0))="Sí",FALSE)),O1973,0))</f>
        <v/>
      </c>
      <c r="W1973" s="19">
        <f>IF(OR(F1973="",I1973=""),"",IF(COUNTIFS(F$6:F1973,F1973,I$6:I1973,"?*")=1,MAX(W$5:W1972)+1,""))</f>
        <v/>
      </c>
    </row>
    <row r="1974">
      <c r="B1974" s="15" t="n"/>
      <c r="C1974" s="16" t="n"/>
      <c r="D1974" s="17" t="n"/>
      <c r="E1974" s="17" t="n"/>
      <c r="F1974" s="17" t="n"/>
      <c r="G1974" s="17" t="n"/>
      <c r="H1974" s="18">
        <f>IF(AND(B1974="",C1974="",D1974="",E1974=""),"",IF(B1974="","⚠ Falta fecha",IF(C1974="","⚠ Falta monto",IF(D1974="","⚠ Falta categoría",IF(ISNA(MATCH(D1974,catNom,0)),"⚠ Categoría no existe",IF(E1974="","⚠ Falta cuenta",IF(ISNA(MATCH(E1974,ctaNom,0)),"⚠ Cuenta no existe",IF(AND(OR(I1974="Transferencia",I1974="Pago tarjeta"),G1974=""),"⚠ Indica la cuenta «Hacia»",IF(AND(G1974&lt;&gt;"",G1974=E1974),"⚠ «Hacia» igual a la cuenta",IF(AND(G1974&lt;&gt;"",ISNA(MATCH(G1974,ctaNom,0))),"⚠ «Hacia» no existe",IF(AND(I1974="Pago tarjeta",IFERROR(INDEX(ctaTipo,MATCH(G1974,ctaNom,0)),"")&lt;&gt;"Tarjeta de crédito"),"⚠ «Hacia» debe ser la tarjeta",IF(AND(I1974="Trading",IFERROR(INDEX(ctaTipo,MATCH(E1974,ctaNom,0)),"")&lt;&gt;"Cuenta de trading"),"⚠ Usa la cuenta de trading","✓"))))))))))))</f>
        <v/>
      </c>
      <c r="I1974" s="19">
        <f>IF(OR(B1974="",C1974="",D1974=""),"",IFERROR(INDEX(catTipo,MATCH(D1974,catNom,0))&amp;"",""))</f>
        <v/>
      </c>
      <c r="J1974" s="19">
        <f>IF(I1974="","",IFERROR(INDEX(catGrupo,MATCH(D1974,catNom,0))&amp;"",""))</f>
        <v/>
      </c>
      <c r="K1974" s="19">
        <f>IF(I1974="Gasto",IF(IFERROR(INDEX(catClas,MATCH(D1974,catNom,0))&amp;"","")="","Variable",IFERROR(INDEX(catClas,MATCH(D1974,catNom,0))&amp;"","")),"")</f>
        <v/>
      </c>
      <c r="L1974" s="19">
        <f>IF(I1974="","",IFERROR(INDEX(catAlim,MATCH(D1974,catNom,0))&amp;"",""))</f>
        <v/>
      </c>
      <c r="M1974" s="19">
        <f>IF(I1974="","",IFERROR(INDEX(catComida,MATCH(D1974,catNom,0))&amp;"",""))</f>
        <v/>
      </c>
      <c r="N1974" s="19">
        <f>IF(I1974="","",IFERROR(INDEX(ctaMon,MATCH(E1974,ctaNom,0))&amp;"","DOP"))</f>
        <v/>
      </c>
      <c r="O1974" s="20">
        <f>IF(I1974="","",C1974*IF(N1974="USD",TasaUSD,1))</f>
        <v/>
      </c>
      <c r="P1974" s="20">
        <f>IF(I1974="","",IF(I1974="Gasto",O1974,0))</f>
        <v/>
      </c>
      <c r="Q1974" s="20">
        <f>IF(I1974="","",IF(I1974="Ingreso",O1974,0))</f>
        <v/>
      </c>
      <c r="R1974" s="20">
        <f>IF(I1974="","",IF(I1974="Trading",O1974,0))</f>
        <v/>
      </c>
      <c r="S1974" s="19">
        <f>IF(I1974="","",IF(AND(I1974="Gasto",K1974="Variable",J1974&lt;&gt;"Trading",O1974&gt;0,O1974&lt;=Umbral),1,0))</f>
        <v/>
      </c>
      <c r="T1974" s="20">
        <f>IF(OR(I1974="",E1974=""),"",IF(OR(I1974="Gasto",I1974="Transferencia",I1974="Pago tarjeta"),-1,1)*C1974)</f>
        <v/>
      </c>
      <c r="U1974" s="20">
        <f>IF(OR(G1974="",AND(I1974&lt;&gt;"Transferencia",I1974&lt;&gt;"Pago tarjeta")),"",IF(IFERROR(INDEX(ctaMon,MATCH(G1974,ctaNom,0))&amp;"","DOP")=N1974,C1974,IF(N1974="USD",C1974*TasaUSD,C1974/TasaUSD)))</f>
        <v/>
      </c>
      <c r="V1974" s="20">
        <f>IF(I1974="","",IF(IFERROR(INDEX(ctaLiq,MATCH(E1974,ctaNom,0))="Sí",FALSE),IF(OR(I1974="Gasto",I1974="Transferencia",I1974="Pago tarjeta"),-1,1)*O1974,0)+IF(AND(U1974&lt;&gt;"",IFERROR(INDEX(ctaLiq,MATCH(G1974,ctaNom,0))="Sí",FALSE)),O1974,0))</f>
        <v/>
      </c>
      <c r="W1974" s="19">
        <f>IF(OR(F1974="",I1974=""),"",IF(COUNTIFS(F$6:F1974,F1974,I$6:I1974,"?*")=1,MAX(W$5:W1973)+1,""))</f>
        <v/>
      </c>
    </row>
    <row r="1975">
      <c r="B1975" s="15" t="n"/>
      <c r="C1975" s="16" t="n"/>
      <c r="D1975" s="17" t="n"/>
      <c r="E1975" s="17" t="n"/>
      <c r="F1975" s="17" t="n"/>
      <c r="G1975" s="17" t="n"/>
      <c r="H1975" s="18">
        <f>IF(AND(B1975="",C1975="",D1975="",E1975=""),"",IF(B1975="","⚠ Falta fecha",IF(C1975="","⚠ Falta monto",IF(D1975="","⚠ Falta categoría",IF(ISNA(MATCH(D1975,catNom,0)),"⚠ Categoría no existe",IF(E1975="","⚠ Falta cuenta",IF(ISNA(MATCH(E1975,ctaNom,0)),"⚠ Cuenta no existe",IF(AND(OR(I1975="Transferencia",I1975="Pago tarjeta"),G1975=""),"⚠ Indica la cuenta «Hacia»",IF(AND(G1975&lt;&gt;"",G1975=E1975),"⚠ «Hacia» igual a la cuenta",IF(AND(G1975&lt;&gt;"",ISNA(MATCH(G1975,ctaNom,0))),"⚠ «Hacia» no existe",IF(AND(I1975="Pago tarjeta",IFERROR(INDEX(ctaTipo,MATCH(G1975,ctaNom,0)),"")&lt;&gt;"Tarjeta de crédito"),"⚠ «Hacia» debe ser la tarjeta",IF(AND(I1975="Trading",IFERROR(INDEX(ctaTipo,MATCH(E1975,ctaNom,0)),"")&lt;&gt;"Cuenta de trading"),"⚠ Usa la cuenta de trading","✓"))))))))))))</f>
        <v/>
      </c>
      <c r="I1975" s="19">
        <f>IF(OR(B1975="",C1975="",D1975=""),"",IFERROR(INDEX(catTipo,MATCH(D1975,catNom,0))&amp;"",""))</f>
        <v/>
      </c>
      <c r="J1975" s="19">
        <f>IF(I1975="","",IFERROR(INDEX(catGrupo,MATCH(D1975,catNom,0))&amp;"",""))</f>
        <v/>
      </c>
      <c r="K1975" s="19">
        <f>IF(I1975="Gasto",IF(IFERROR(INDEX(catClas,MATCH(D1975,catNom,0))&amp;"","")="","Variable",IFERROR(INDEX(catClas,MATCH(D1975,catNom,0))&amp;"","")),"")</f>
        <v/>
      </c>
      <c r="L1975" s="19">
        <f>IF(I1975="","",IFERROR(INDEX(catAlim,MATCH(D1975,catNom,0))&amp;"",""))</f>
        <v/>
      </c>
      <c r="M1975" s="19">
        <f>IF(I1975="","",IFERROR(INDEX(catComida,MATCH(D1975,catNom,0))&amp;"",""))</f>
        <v/>
      </c>
      <c r="N1975" s="19">
        <f>IF(I1975="","",IFERROR(INDEX(ctaMon,MATCH(E1975,ctaNom,0))&amp;"","DOP"))</f>
        <v/>
      </c>
      <c r="O1975" s="20">
        <f>IF(I1975="","",C1975*IF(N1975="USD",TasaUSD,1))</f>
        <v/>
      </c>
      <c r="P1975" s="20">
        <f>IF(I1975="","",IF(I1975="Gasto",O1975,0))</f>
        <v/>
      </c>
      <c r="Q1975" s="20">
        <f>IF(I1975="","",IF(I1975="Ingreso",O1975,0))</f>
        <v/>
      </c>
      <c r="R1975" s="20">
        <f>IF(I1975="","",IF(I1975="Trading",O1975,0))</f>
        <v/>
      </c>
      <c r="S1975" s="19">
        <f>IF(I1975="","",IF(AND(I1975="Gasto",K1975="Variable",J1975&lt;&gt;"Trading",O1975&gt;0,O1975&lt;=Umbral),1,0))</f>
        <v/>
      </c>
      <c r="T1975" s="20">
        <f>IF(OR(I1975="",E1975=""),"",IF(OR(I1975="Gasto",I1975="Transferencia",I1975="Pago tarjeta"),-1,1)*C1975)</f>
        <v/>
      </c>
      <c r="U1975" s="20">
        <f>IF(OR(G1975="",AND(I1975&lt;&gt;"Transferencia",I1975&lt;&gt;"Pago tarjeta")),"",IF(IFERROR(INDEX(ctaMon,MATCH(G1975,ctaNom,0))&amp;"","DOP")=N1975,C1975,IF(N1975="USD",C1975*TasaUSD,C1975/TasaUSD)))</f>
        <v/>
      </c>
      <c r="V1975" s="20">
        <f>IF(I1975="","",IF(IFERROR(INDEX(ctaLiq,MATCH(E1975,ctaNom,0))="Sí",FALSE),IF(OR(I1975="Gasto",I1975="Transferencia",I1975="Pago tarjeta"),-1,1)*O1975,0)+IF(AND(U1975&lt;&gt;"",IFERROR(INDEX(ctaLiq,MATCH(G1975,ctaNom,0))="Sí",FALSE)),O1975,0))</f>
        <v/>
      </c>
      <c r="W1975" s="19">
        <f>IF(OR(F1975="",I1975=""),"",IF(COUNTIFS(F$6:F1975,F1975,I$6:I1975,"?*")=1,MAX(W$5:W1974)+1,""))</f>
        <v/>
      </c>
    </row>
    <row r="1976">
      <c r="B1976" s="15" t="n"/>
      <c r="C1976" s="16" t="n"/>
      <c r="D1976" s="17" t="n"/>
      <c r="E1976" s="17" t="n"/>
      <c r="F1976" s="17" t="n"/>
      <c r="G1976" s="17" t="n"/>
      <c r="H1976" s="18">
        <f>IF(AND(B1976="",C1976="",D1976="",E1976=""),"",IF(B1976="","⚠ Falta fecha",IF(C1976="","⚠ Falta monto",IF(D1976="","⚠ Falta categoría",IF(ISNA(MATCH(D1976,catNom,0)),"⚠ Categoría no existe",IF(E1976="","⚠ Falta cuenta",IF(ISNA(MATCH(E1976,ctaNom,0)),"⚠ Cuenta no existe",IF(AND(OR(I1976="Transferencia",I1976="Pago tarjeta"),G1976=""),"⚠ Indica la cuenta «Hacia»",IF(AND(G1976&lt;&gt;"",G1976=E1976),"⚠ «Hacia» igual a la cuenta",IF(AND(G1976&lt;&gt;"",ISNA(MATCH(G1976,ctaNom,0))),"⚠ «Hacia» no existe",IF(AND(I1976="Pago tarjeta",IFERROR(INDEX(ctaTipo,MATCH(G1976,ctaNom,0)),"")&lt;&gt;"Tarjeta de crédito"),"⚠ «Hacia» debe ser la tarjeta",IF(AND(I1976="Trading",IFERROR(INDEX(ctaTipo,MATCH(E1976,ctaNom,0)),"")&lt;&gt;"Cuenta de trading"),"⚠ Usa la cuenta de trading","✓"))))))))))))</f>
        <v/>
      </c>
      <c r="I1976" s="19">
        <f>IF(OR(B1976="",C1976="",D1976=""),"",IFERROR(INDEX(catTipo,MATCH(D1976,catNom,0))&amp;"",""))</f>
        <v/>
      </c>
      <c r="J1976" s="19">
        <f>IF(I1976="","",IFERROR(INDEX(catGrupo,MATCH(D1976,catNom,0))&amp;"",""))</f>
        <v/>
      </c>
      <c r="K1976" s="19">
        <f>IF(I1976="Gasto",IF(IFERROR(INDEX(catClas,MATCH(D1976,catNom,0))&amp;"","")="","Variable",IFERROR(INDEX(catClas,MATCH(D1976,catNom,0))&amp;"","")),"")</f>
        <v/>
      </c>
      <c r="L1976" s="19">
        <f>IF(I1976="","",IFERROR(INDEX(catAlim,MATCH(D1976,catNom,0))&amp;"",""))</f>
        <v/>
      </c>
      <c r="M1976" s="19">
        <f>IF(I1976="","",IFERROR(INDEX(catComida,MATCH(D1976,catNom,0))&amp;"",""))</f>
        <v/>
      </c>
      <c r="N1976" s="19">
        <f>IF(I1976="","",IFERROR(INDEX(ctaMon,MATCH(E1976,ctaNom,0))&amp;"","DOP"))</f>
        <v/>
      </c>
      <c r="O1976" s="20">
        <f>IF(I1976="","",C1976*IF(N1976="USD",TasaUSD,1))</f>
        <v/>
      </c>
      <c r="P1976" s="20">
        <f>IF(I1976="","",IF(I1976="Gasto",O1976,0))</f>
        <v/>
      </c>
      <c r="Q1976" s="20">
        <f>IF(I1976="","",IF(I1976="Ingreso",O1976,0))</f>
        <v/>
      </c>
      <c r="R1976" s="20">
        <f>IF(I1976="","",IF(I1976="Trading",O1976,0))</f>
        <v/>
      </c>
      <c r="S1976" s="19">
        <f>IF(I1976="","",IF(AND(I1976="Gasto",K1976="Variable",J1976&lt;&gt;"Trading",O1976&gt;0,O1976&lt;=Umbral),1,0))</f>
        <v/>
      </c>
      <c r="T1976" s="20">
        <f>IF(OR(I1976="",E1976=""),"",IF(OR(I1976="Gasto",I1976="Transferencia",I1976="Pago tarjeta"),-1,1)*C1976)</f>
        <v/>
      </c>
      <c r="U1976" s="20">
        <f>IF(OR(G1976="",AND(I1976&lt;&gt;"Transferencia",I1976&lt;&gt;"Pago tarjeta")),"",IF(IFERROR(INDEX(ctaMon,MATCH(G1976,ctaNom,0))&amp;"","DOP")=N1976,C1976,IF(N1976="USD",C1976*TasaUSD,C1976/TasaUSD)))</f>
        <v/>
      </c>
      <c r="V1976" s="20">
        <f>IF(I1976="","",IF(IFERROR(INDEX(ctaLiq,MATCH(E1976,ctaNom,0))="Sí",FALSE),IF(OR(I1976="Gasto",I1976="Transferencia",I1976="Pago tarjeta"),-1,1)*O1976,0)+IF(AND(U1976&lt;&gt;"",IFERROR(INDEX(ctaLiq,MATCH(G1976,ctaNom,0))="Sí",FALSE)),O1976,0))</f>
        <v/>
      </c>
      <c r="W1976" s="19">
        <f>IF(OR(F1976="",I1976=""),"",IF(COUNTIFS(F$6:F1976,F1976,I$6:I1976,"?*")=1,MAX(W$5:W1975)+1,""))</f>
        <v/>
      </c>
    </row>
    <row r="1977">
      <c r="B1977" s="15" t="n"/>
      <c r="C1977" s="16" t="n"/>
      <c r="D1977" s="17" t="n"/>
      <c r="E1977" s="17" t="n"/>
      <c r="F1977" s="17" t="n"/>
      <c r="G1977" s="17" t="n"/>
      <c r="H1977" s="18">
        <f>IF(AND(B1977="",C1977="",D1977="",E1977=""),"",IF(B1977="","⚠ Falta fecha",IF(C1977="","⚠ Falta monto",IF(D1977="","⚠ Falta categoría",IF(ISNA(MATCH(D1977,catNom,0)),"⚠ Categoría no existe",IF(E1977="","⚠ Falta cuenta",IF(ISNA(MATCH(E1977,ctaNom,0)),"⚠ Cuenta no existe",IF(AND(OR(I1977="Transferencia",I1977="Pago tarjeta"),G1977=""),"⚠ Indica la cuenta «Hacia»",IF(AND(G1977&lt;&gt;"",G1977=E1977),"⚠ «Hacia» igual a la cuenta",IF(AND(G1977&lt;&gt;"",ISNA(MATCH(G1977,ctaNom,0))),"⚠ «Hacia» no existe",IF(AND(I1977="Pago tarjeta",IFERROR(INDEX(ctaTipo,MATCH(G1977,ctaNom,0)),"")&lt;&gt;"Tarjeta de crédito"),"⚠ «Hacia» debe ser la tarjeta",IF(AND(I1977="Trading",IFERROR(INDEX(ctaTipo,MATCH(E1977,ctaNom,0)),"")&lt;&gt;"Cuenta de trading"),"⚠ Usa la cuenta de trading","✓"))))))))))))</f>
        <v/>
      </c>
      <c r="I1977" s="19">
        <f>IF(OR(B1977="",C1977="",D1977=""),"",IFERROR(INDEX(catTipo,MATCH(D1977,catNom,0))&amp;"",""))</f>
        <v/>
      </c>
      <c r="J1977" s="19">
        <f>IF(I1977="","",IFERROR(INDEX(catGrupo,MATCH(D1977,catNom,0))&amp;"",""))</f>
        <v/>
      </c>
      <c r="K1977" s="19">
        <f>IF(I1977="Gasto",IF(IFERROR(INDEX(catClas,MATCH(D1977,catNom,0))&amp;"","")="","Variable",IFERROR(INDEX(catClas,MATCH(D1977,catNom,0))&amp;"","")),"")</f>
        <v/>
      </c>
      <c r="L1977" s="19">
        <f>IF(I1977="","",IFERROR(INDEX(catAlim,MATCH(D1977,catNom,0))&amp;"",""))</f>
        <v/>
      </c>
      <c r="M1977" s="19">
        <f>IF(I1977="","",IFERROR(INDEX(catComida,MATCH(D1977,catNom,0))&amp;"",""))</f>
        <v/>
      </c>
      <c r="N1977" s="19">
        <f>IF(I1977="","",IFERROR(INDEX(ctaMon,MATCH(E1977,ctaNom,0))&amp;"","DOP"))</f>
        <v/>
      </c>
      <c r="O1977" s="20">
        <f>IF(I1977="","",C1977*IF(N1977="USD",TasaUSD,1))</f>
        <v/>
      </c>
      <c r="P1977" s="20">
        <f>IF(I1977="","",IF(I1977="Gasto",O1977,0))</f>
        <v/>
      </c>
      <c r="Q1977" s="20">
        <f>IF(I1977="","",IF(I1977="Ingreso",O1977,0))</f>
        <v/>
      </c>
      <c r="R1977" s="20">
        <f>IF(I1977="","",IF(I1977="Trading",O1977,0))</f>
        <v/>
      </c>
      <c r="S1977" s="19">
        <f>IF(I1977="","",IF(AND(I1977="Gasto",K1977="Variable",J1977&lt;&gt;"Trading",O1977&gt;0,O1977&lt;=Umbral),1,0))</f>
        <v/>
      </c>
      <c r="T1977" s="20">
        <f>IF(OR(I1977="",E1977=""),"",IF(OR(I1977="Gasto",I1977="Transferencia",I1977="Pago tarjeta"),-1,1)*C1977)</f>
        <v/>
      </c>
      <c r="U1977" s="20">
        <f>IF(OR(G1977="",AND(I1977&lt;&gt;"Transferencia",I1977&lt;&gt;"Pago tarjeta")),"",IF(IFERROR(INDEX(ctaMon,MATCH(G1977,ctaNom,0))&amp;"","DOP")=N1977,C1977,IF(N1977="USD",C1977*TasaUSD,C1977/TasaUSD)))</f>
        <v/>
      </c>
      <c r="V1977" s="20">
        <f>IF(I1977="","",IF(IFERROR(INDEX(ctaLiq,MATCH(E1977,ctaNom,0))="Sí",FALSE),IF(OR(I1977="Gasto",I1977="Transferencia",I1977="Pago tarjeta"),-1,1)*O1977,0)+IF(AND(U1977&lt;&gt;"",IFERROR(INDEX(ctaLiq,MATCH(G1977,ctaNom,0))="Sí",FALSE)),O1977,0))</f>
        <v/>
      </c>
      <c r="W1977" s="19">
        <f>IF(OR(F1977="",I1977=""),"",IF(COUNTIFS(F$6:F1977,F1977,I$6:I1977,"?*")=1,MAX(W$5:W1976)+1,""))</f>
        <v/>
      </c>
    </row>
    <row r="1978">
      <c r="B1978" s="15" t="n"/>
      <c r="C1978" s="16" t="n"/>
      <c r="D1978" s="17" t="n"/>
      <c r="E1978" s="17" t="n"/>
      <c r="F1978" s="17" t="n"/>
      <c r="G1978" s="17" t="n"/>
      <c r="H1978" s="18">
        <f>IF(AND(B1978="",C1978="",D1978="",E1978=""),"",IF(B1978="","⚠ Falta fecha",IF(C1978="","⚠ Falta monto",IF(D1978="","⚠ Falta categoría",IF(ISNA(MATCH(D1978,catNom,0)),"⚠ Categoría no existe",IF(E1978="","⚠ Falta cuenta",IF(ISNA(MATCH(E1978,ctaNom,0)),"⚠ Cuenta no existe",IF(AND(OR(I1978="Transferencia",I1978="Pago tarjeta"),G1978=""),"⚠ Indica la cuenta «Hacia»",IF(AND(G1978&lt;&gt;"",G1978=E1978),"⚠ «Hacia» igual a la cuenta",IF(AND(G1978&lt;&gt;"",ISNA(MATCH(G1978,ctaNom,0))),"⚠ «Hacia» no existe",IF(AND(I1978="Pago tarjeta",IFERROR(INDEX(ctaTipo,MATCH(G1978,ctaNom,0)),"")&lt;&gt;"Tarjeta de crédito"),"⚠ «Hacia» debe ser la tarjeta",IF(AND(I1978="Trading",IFERROR(INDEX(ctaTipo,MATCH(E1978,ctaNom,0)),"")&lt;&gt;"Cuenta de trading"),"⚠ Usa la cuenta de trading","✓"))))))))))))</f>
        <v/>
      </c>
      <c r="I1978" s="19">
        <f>IF(OR(B1978="",C1978="",D1978=""),"",IFERROR(INDEX(catTipo,MATCH(D1978,catNom,0))&amp;"",""))</f>
        <v/>
      </c>
      <c r="J1978" s="19">
        <f>IF(I1978="","",IFERROR(INDEX(catGrupo,MATCH(D1978,catNom,0))&amp;"",""))</f>
        <v/>
      </c>
      <c r="K1978" s="19">
        <f>IF(I1978="Gasto",IF(IFERROR(INDEX(catClas,MATCH(D1978,catNom,0))&amp;"","")="","Variable",IFERROR(INDEX(catClas,MATCH(D1978,catNom,0))&amp;"","")),"")</f>
        <v/>
      </c>
      <c r="L1978" s="19">
        <f>IF(I1978="","",IFERROR(INDEX(catAlim,MATCH(D1978,catNom,0))&amp;"",""))</f>
        <v/>
      </c>
      <c r="M1978" s="19">
        <f>IF(I1978="","",IFERROR(INDEX(catComida,MATCH(D1978,catNom,0))&amp;"",""))</f>
        <v/>
      </c>
      <c r="N1978" s="19">
        <f>IF(I1978="","",IFERROR(INDEX(ctaMon,MATCH(E1978,ctaNom,0))&amp;"","DOP"))</f>
        <v/>
      </c>
      <c r="O1978" s="20">
        <f>IF(I1978="","",C1978*IF(N1978="USD",TasaUSD,1))</f>
        <v/>
      </c>
      <c r="P1978" s="20">
        <f>IF(I1978="","",IF(I1978="Gasto",O1978,0))</f>
        <v/>
      </c>
      <c r="Q1978" s="20">
        <f>IF(I1978="","",IF(I1978="Ingreso",O1978,0))</f>
        <v/>
      </c>
      <c r="R1978" s="20">
        <f>IF(I1978="","",IF(I1978="Trading",O1978,0))</f>
        <v/>
      </c>
      <c r="S1978" s="19">
        <f>IF(I1978="","",IF(AND(I1978="Gasto",K1978="Variable",J1978&lt;&gt;"Trading",O1978&gt;0,O1978&lt;=Umbral),1,0))</f>
        <v/>
      </c>
      <c r="T1978" s="20">
        <f>IF(OR(I1978="",E1978=""),"",IF(OR(I1978="Gasto",I1978="Transferencia",I1978="Pago tarjeta"),-1,1)*C1978)</f>
        <v/>
      </c>
      <c r="U1978" s="20">
        <f>IF(OR(G1978="",AND(I1978&lt;&gt;"Transferencia",I1978&lt;&gt;"Pago tarjeta")),"",IF(IFERROR(INDEX(ctaMon,MATCH(G1978,ctaNom,0))&amp;"","DOP")=N1978,C1978,IF(N1978="USD",C1978*TasaUSD,C1978/TasaUSD)))</f>
        <v/>
      </c>
      <c r="V1978" s="20">
        <f>IF(I1978="","",IF(IFERROR(INDEX(ctaLiq,MATCH(E1978,ctaNom,0))="Sí",FALSE),IF(OR(I1978="Gasto",I1978="Transferencia",I1978="Pago tarjeta"),-1,1)*O1978,0)+IF(AND(U1978&lt;&gt;"",IFERROR(INDEX(ctaLiq,MATCH(G1978,ctaNom,0))="Sí",FALSE)),O1978,0))</f>
        <v/>
      </c>
      <c r="W1978" s="19">
        <f>IF(OR(F1978="",I1978=""),"",IF(COUNTIFS(F$6:F1978,F1978,I$6:I1978,"?*")=1,MAX(W$5:W1977)+1,""))</f>
        <v/>
      </c>
    </row>
    <row r="1979">
      <c r="B1979" s="15" t="n"/>
      <c r="C1979" s="16" t="n"/>
      <c r="D1979" s="17" t="n"/>
      <c r="E1979" s="17" t="n"/>
      <c r="F1979" s="17" t="n"/>
      <c r="G1979" s="17" t="n"/>
      <c r="H1979" s="18">
        <f>IF(AND(B1979="",C1979="",D1979="",E1979=""),"",IF(B1979="","⚠ Falta fecha",IF(C1979="","⚠ Falta monto",IF(D1979="","⚠ Falta categoría",IF(ISNA(MATCH(D1979,catNom,0)),"⚠ Categoría no existe",IF(E1979="","⚠ Falta cuenta",IF(ISNA(MATCH(E1979,ctaNom,0)),"⚠ Cuenta no existe",IF(AND(OR(I1979="Transferencia",I1979="Pago tarjeta"),G1979=""),"⚠ Indica la cuenta «Hacia»",IF(AND(G1979&lt;&gt;"",G1979=E1979),"⚠ «Hacia» igual a la cuenta",IF(AND(G1979&lt;&gt;"",ISNA(MATCH(G1979,ctaNom,0))),"⚠ «Hacia» no existe",IF(AND(I1979="Pago tarjeta",IFERROR(INDEX(ctaTipo,MATCH(G1979,ctaNom,0)),"")&lt;&gt;"Tarjeta de crédito"),"⚠ «Hacia» debe ser la tarjeta",IF(AND(I1979="Trading",IFERROR(INDEX(ctaTipo,MATCH(E1979,ctaNom,0)),"")&lt;&gt;"Cuenta de trading"),"⚠ Usa la cuenta de trading","✓"))))))))))))</f>
        <v/>
      </c>
      <c r="I1979" s="19">
        <f>IF(OR(B1979="",C1979="",D1979=""),"",IFERROR(INDEX(catTipo,MATCH(D1979,catNom,0))&amp;"",""))</f>
        <v/>
      </c>
      <c r="J1979" s="19">
        <f>IF(I1979="","",IFERROR(INDEX(catGrupo,MATCH(D1979,catNom,0))&amp;"",""))</f>
        <v/>
      </c>
      <c r="K1979" s="19">
        <f>IF(I1979="Gasto",IF(IFERROR(INDEX(catClas,MATCH(D1979,catNom,0))&amp;"","")="","Variable",IFERROR(INDEX(catClas,MATCH(D1979,catNom,0))&amp;"","")),"")</f>
        <v/>
      </c>
      <c r="L1979" s="19">
        <f>IF(I1979="","",IFERROR(INDEX(catAlim,MATCH(D1979,catNom,0))&amp;"",""))</f>
        <v/>
      </c>
      <c r="M1979" s="19">
        <f>IF(I1979="","",IFERROR(INDEX(catComida,MATCH(D1979,catNom,0))&amp;"",""))</f>
        <v/>
      </c>
      <c r="N1979" s="19">
        <f>IF(I1979="","",IFERROR(INDEX(ctaMon,MATCH(E1979,ctaNom,0))&amp;"","DOP"))</f>
        <v/>
      </c>
      <c r="O1979" s="20">
        <f>IF(I1979="","",C1979*IF(N1979="USD",TasaUSD,1))</f>
        <v/>
      </c>
      <c r="P1979" s="20">
        <f>IF(I1979="","",IF(I1979="Gasto",O1979,0))</f>
        <v/>
      </c>
      <c r="Q1979" s="20">
        <f>IF(I1979="","",IF(I1979="Ingreso",O1979,0))</f>
        <v/>
      </c>
      <c r="R1979" s="20">
        <f>IF(I1979="","",IF(I1979="Trading",O1979,0))</f>
        <v/>
      </c>
      <c r="S1979" s="19">
        <f>IF(I1979="","",IF(AND(I1979="Gasto",K1979="Variable",J1979&lt;&gt;"Trading",O1979&gt;0,O1979&lt;=Umbral),1,0))</f>
        <v/>
      </c>
      <c r="T1979" s="20">
        <f>IF(OR(I1979="",E1979=""),"",IF(OR(I1979="Gasto",I1979="Transferencia",I1979="Pago tarjeta"),-1,1)*C1979)</f>
        <v/>
      </c>
      <c r="U1979" s="20">
        <f>IF(OR(G1979="",AND(I1979&lt;&gt;"Transferencia",I1979&lt;&gt;"Pago tarjeta")),"",IF(IFERROR(INDEX(ctaMon,MATCH(G1979,ctaNom,0))&amp;"","DOP")=N1979,C1979,IF(N1979="USD",C1979*TasaUSD,C1979/TasaUSD)))</f>
        <v/>
      </c>
      <c r="V1979" s="20">
        <f>IF(I1979="","",IF(IFERROR(INDEX(ctaLiq,MATCH(E1979,ctaNom,0))="Sí",FALSE),IF(OR(I1979="Gasto",I1979="Transferencia",I1979="Pago tarjeta"),-1,1)*O1979,0)+IF(AND(U1979&lt;&gt;"",IFERROR(INDEX(ctaLiq,MATCH(G1979,ctaNom,0))="Sí",FALSE)),O1979,0))</f>
        <v/>
      </c>
      <c r="W1979" s="19">
        <f>IF(OR(F1979="",I1979=""),"",IF(COUNTIFS(F$6:F1979,F1979,I$6:I1979,"?*")=1,MAX(W$5:W1978)+1,""))</f>
        <v/>
      </c>
    </row>
    <row r="1980">
      <c r="B1980" s="15" t="n"/>
      <c r="C1980" s="16" t="n"/>
      <c r="D1980" s="17" t="n"/>
      <c r="E1980" s="17" t="n"/>
      <c r="F1980" s="17" t="n"/>
      <c r="G1980" s="17" t="n"/>
      <c r="H1980" s="18">
        <f>IF(AND(B1980="",C1980="",D1980="",E1980=""),"",IF(B1980="","⚠ Falta fecha",IF(C1980="","⚠ Falta monto",IF(D1980="","⚠ Falta categoría",IF(ISNA(MATCH(D1980,catNom,0)),"⚠ Categoría no existe",IF(E1980="","⚠ Falta cuenta",IF(ISNA(MATCH(E1980,ctaNom,0)),"⚠ Cuenta no existe",IF(AND(OR(I1980="Transferencia",I1980="Pago tarjeta"),G1980=""),"⚠ Indica la cuenta «Hacia»",IF(AND(G1980&lt;&gt;"",G1980=E1980),"⚠ «Hacia» igual a la cuenta",IF(AND(G1980&lt;&gt;"",ISNA(MATCH(G1980,ctaNom,0))),"⚠ «Hacia» no existe",IF(AND(I1980="Pago tarjeta",IFERROR(INDEX(ctaTipo,MATCH(G1980,ctaNom,0)),"")&lt;&gt;"Tarjeta de crédito"),"⚠ «Hacia» debe ser la tarjeta",IF(AND(I1980="Trading",IFERROR(INDEX(ctaTipo,MATCH(E1980,ctaNom,0)),"")&lt;&gt;"Cuenta de trading"),"⚠ Usa la cuenta de trading","✓"))))))))))))</f>
        <v/>
      </c>
      <c r="I1980" s="19">
        <f>IF(OR(B1980="",C1980="",D1980=""),"",IFERROR(INDEX(catTipo,MATCH(D1980,catNom,0))&amp;"",""))</f>
        <v/>
      </c>
      <c r="J1980" s="19">
        <f>IF(I1980="","",IFERROR(INDEX(catGrupo,MATCH(D1980,catNom,0))&amp;"",""))</f>
        <v/>
      </c>
      <c r="K1980" s="19">
        <f>IF(I1980="Gasto",IF(IFERROR(INDEX(catClas,MATCH(D1980,catNom,0))&amp;"","")="","Variable",IFERROR(INDEX(catClas,MATCH(D1980,catNom,0))&amp;"","")),"")</f>
        <v/>
      </c>
      <c r="L1980" s="19">
        <f>IF(I1980="","",IFERROR(INDEX(catAlim,MATCH(D1980,catNom,0))&amp;"",""))</f>
        <v/>
      </c>
      <c r="M1980" s="19">
        <f>IF(I1980="","",IFERROR(INDEX(catComida,MATCH(D1980,catNom,0))&amp;"",""))</f>
        <v/>
      </c>
      <c r="N1980" s="19">
        <f>IF(I1980="","",IFERROR(INDEX(ctaMon,MATCH(E1980,ctaNom,0))&amp;"","DOP"))</f>
        <v/>
      </c>
      <c r="O1980" s="20">
        <f>IF(I1980="","",C1980*IF(N1980="USD",TasaUSD,1))</f>
        <v/>
      </c>
      <c r="P1980" s="20">
        <f>IF(I1980="","",IF(I1980="Gasto",O1980,0))</f>
        <v/>
      </c>
      <c r="Q1980" s="20">
        <f>IF(I1980="","",IF(I1980="Ingreso",O1980,0))</f>
        <v/>
      </c>
      <c r="R1980" s="20">
        <f>IF(I1980="","",IF(I1980="Trading",O1980,0))</f>
        <v/>
      </c>
      <c r="S1980" s="19">
        <f>IF(I1980="","",IF(AND(I1980="Gasto",K1980="Variable",J1980&lt;&gt;"Trading",O1980&gt;0,O1980&lt;=Umbral),1,0))</f>
        <v/>
      </c>
      <c r="T1980" s="20">
        <f>IF(OR(I1980="",E1980=""),"",IF(OR(I1980="Gasto",I1980="Transferencia",I1980="Pago tarjeta"),-1,1)*C1980)</f>
        <v/>
      </c>
      <c r="U1980" s="20">
        <f>IF(OR(G1980="",AND(I1980&lt;&gt;"Transferencia",I1980&lt;&gt;"Pago tarjeta")),"",IF(IFERROR(INDEX(ctaMon,MATCH(G1980,ctaNom,0))&amp;"","DOP")=N1980,C1980,IF(N1980="USD",C1980*TasaUSD,C1980/TasaUSD)))</f>
        <v/>
      </c>
      <c r="V1980" s="20">
        <f>IF(I1980="","",IF(IFERROR(INDEX(ctaLiq,MATCH(E1980,ctaNom,0))="Sí",FALSE),IF(OR(I1980="Gasto",I1980="Transferencia",I1980="Pago tarjeta"),-1,1)*O1980,0)+IF(AND(U1980&lt;&gt;"",IFERROR(INDEX(ctaLiq,MATCH(G1980,ctaNom,0))="Sí",FALSE)),O1980,0))</f>
        <v/>
      </c>
      <c r="W1980" s="19">
        <f>IF(OR(F1980="",I1980=""),"",IF(COUNTIFS(F$6:F1980,F1980,I$6:I1980,"?*")=1,MAX(W$5:W1979)+1,""))</f>
        <v/>
      </c>
    </row>
    <row r="1981">
      <c r="B1981" s="15" t="n"/>
      <c r="C1981" s="16" t="n"/>
      <c r="D1981" s="17" t="n"/>
      <c r="E1981" s="17" t="n"/>
      <c r="F1981" s="17" t="n"/>
      <c r="G1981" s="17" t="n"/>
      <c r="H1981" s="18">
        <f>IF(AND(B1981="",C1981="",D1981="",E1981=""),"",IF(B1981="","⚠ Falta fecha",IF(C1981="","⚠ Falta monto",IF(D1981="","⚠ Falta categoría",IF(ISNA(MATCH(D1981,catNom,0)),"⚠ Categoría no existe",IF(E1981="","⚠ Falta cuenta",IF(ISNA(MATCH(E1981,ctaNom,0)),"⚠ Cuenta no existe",IF(AND(OR(I1981="Transferencia",I1981="Pago tarjeta"),G1981=""),"⚠ Indica la cuenta «Hacia»",IF(AND(G1981&lt;&gt;"",G1981=E1981),"⚠ «Hacia» igual a la cuenta",IF(AND(G1981&lt;&gt;"",ISNA(MATCH(G1981,ctaNom,0))),"⚠ «Hacia» no existe",IF(AND(I1981="Pago tarjeta",IFERROR(INDEX(ctaTipo,MATCH(G1981,ctaNom,0)),"")&lt;&gt;"Tarjeta de crédito"),"⚠ «Hacia» debe ser la tarjeta",IF(AND(I1981="Trading",IFERROR(INDEX(ctaTipo,MATCH(E1981,ctaNom,0)),"")&lt;&gt;"Cuenta de trading"),"⚠ Usa la cuenta de trading","✓"))))))))))))</f>
        <v/>
      </c>
      <c r="I1981" s="19">
        <f>IF(OR(B1981="",C1981="",D1981=""),"",IFERROR(INDEX(catTipo,MATCH(D1981,catNom,0))&amp;"",""))</f>
        <v/>
      </c>
      <c r="J1981" s="19">
        <f>IF(I1981="","",IFERROR(INDEX(catGrupo,MATCH(D1981,catNom,0))&amp;"",""))</f>
        <v/>
      </c>
      <c r="K1981" s="19">
        <f>IF(I1981="Gasto",IF(IFERROR(INDEX(catClas,MATCH(D1981,catNom,0))&amp;"","")="","Variable",IFERROR(INDEX(catClas,MATCH(D1981,catNom,0))&amp;"","")),"")</f>
        <v/>
      </c>
      <c r="L1981" s="19">
        <f>IF(I1981="","",IFERROR(INDEX(catAlim,MATCH(D1981,catNom,0))&amp;"",""))</f>
        <v/>
      </c>
      <c r="M1981" s="19">
        <f>IF(I1981="","",IFERROR(INDEX(catComida,MATCH(D1981,catNom,0))&amp;"",""))</f>
        <v/>
      </c>
      <c r="N1981" s="19">
        <f>IF(I1981="","",IFERROR(INDEX(ctaMon,MATCH(E1981,ctaNom,0))&amp;"","DOP"))</f>
        <v/>
      </c>
      <c r="O1981" s="20">
        <f>IF(I1981="","",C1981*IF(N1981="USD",TasaUSD,1))</f>
        <v/>
      </c>
      <c r="P1981" s="20">
        <f>IF(I1981="","",IF(I1981="Gasto",O1981,0))</f>
        <v/>
      </c>
      <c r="Q1981" s="20">
        <f>IF(I1981="","",IF(I1981="Ingreso",O1981,0))</f>
        <v/>
      </c>
      <c r="R1981" s="20">
        <f>IF(I1981="","",IF(I1981="Trading",O1981,0))</f>
        <v/>
      </c>
      <c r="S1981" s="19">
        <f>IF(I1981="","",IF(AND(I1981="Gasto",K1981="Variable",J1981&lt;&gt;"Trading",O1981&gt;0,O1981&lt;=Umbral),1,0))</f>
        <v/>
      </c>
      <c r="T1981" s="20">
        <f>IF(OR(I1981="",E1981=""),"",IF(OR(I1981="Gasto",I1981="Transferencia",I1981="Pago tarjeta"),-1,1)*C1981)</f>
        <v/>
      </c>
      <c r="U1981" s="20">
        <f>IF(OR(G1981="",AND(I1981&lt;&gt;"Transferencia",I1981&lt;&gt;"Pago tarjeta")),"",IF(IFERROR(INDEX(ctaMon,MATCH(G1981,ctaNom,0))&amp;"","DOP")=N1981,C1981,IF(N1981="USD",C1981*TasaUSD,C1981/TasaUSD)))</f>
        <v/>
      </c>
      <c r="V1981" s="20">
        <f>IF(I1981="","",IF(IFERROR(INDEX(ctaLiq,MATCH(E1981,ctaNom,0))="Sí",FALSE),IF(OR(I1981="Gasto",I1981="Transferencia",I1981="Pago tarjeta"),-1,1)*O1981,0)+IF(AND(U1981&lt;&gt;"",IFERROR(INDEX(ctaLiq,MATCH(G1981,ctaNom,0))="Sí",FALSE)),O1981,0))</f>
        <v/>
      </c>
      <c r="W1981" s="19">
        <f>IF(OR(F1981="",I1981=""),"",IF(COUNTIFS(F$6:F1981,F1981,I$6:I1981,"?*")=1,MAX(W$5:W1980)+1,""))</f>
        <v/>
      </c>
    </row>
    <row r="1982">
      <c r="B1982" s="15" t="n"/>
      <c r="C1982" s="16" t="n"/>
      <c r="D1982" s="17" t="n"/>
      <c r="E1982" s="17" t="n"/>
      <c r="F1982" s="17" t="n"/>
      <c r="G1982" s="17" t="n"/>
      <c r="H1982" s="18">
        <f>IF(AND(B1982="",C1982="",D1982="",E1982=""),"",IF(B1982="","⚠ Falta fecha",IF(C1982="","⚠ Falta monto",IF(D1982="","⚠ Falta categoría",IF(ISNA(MATCH(D1982,catNom,0)),"⚠ Categoría no existe",IF(E1982="","⚠ Falta cuenta",IF(ISNA(MATCH(E1982,ctaNom,0)),"⚠ Cuenta no existe",IF(AND(OR(I1982="Transferencia",I1982="Pago tarjeta"),G1982=""),"⚠ Indica la cuenta «Hacia»",IF(AND(G1982&lt;&gt;"",G1982=E1982),"⚠ «Hacia» igual a la cuenta",IF(AND(G1982&lt;&gt;"",ISNA(MATCH(G1982,ctaNom,0))),"⚠ «Hacia» no existe",IF(AND(I1982="Pago tarjeta",IFERROR(INDEX(ctaTipo,MATCH(G1982,ctaNom,0)),"")&lt;&gt;"Tarjeta de crédito"),"⚠ «Hacia» debe ser la tarjeta",IF(AND(I1982="Trading",IFERROR(INDEX(ctaTipo,MATCH(E1982,ctaNom,0)),"")&lt;&gt;"Cuenta de trading"),"⚠ Usa la cuenta de trading","✓"))))))))))))</f>
        <v/>
      </c>
      <c r="I1982" s="19">
        <f>IF(OR(B1982="",C1982="",D1982=""),"",IFERROR(INDEX(catTipo,MATCH(D1982,catNom,0))&amp;"",""))</f>
        <v/>
      </c>
      <c r="J1982" s="19">
        <f>IF(I1982="","",IFERROR(INDEX(catGrupo,MATCH(D1982,catNom,0))&amp;"",""))</f>
        <v/>
      </c>
      <c r="K1982" s="19">
        <f>IF(I1982="Gasto",IF(IFERROR(INDEX(catClas,MATCH(D1982,catNom,0))&amp;"","")="","Variable",IFERROR(INDEX(catClas,MATCH(D1982,catNom,0))&amp;"","")),"")</f>
        <v/>
      </c>
      <c r="L1982" s="19">
        <f>IF(I1982="","",IFERROR(INDEX(catAlim,MATCH(D1982,catNom,0))&amp;"",""))</f>
        <v/>
      </c>
      <c r="M1982" s="19">
        <f>IF(I1982="","",IFERROR(INDEX(catComida,MATCH(D1982,catNom,0))&amp;"",""))</f>
        <v/>
      </c>
      <c r="N1982" s="19">
        <f>IF(I1982="","",IFERROR(INDEX(ctaMon,MATCH(E1982,ctaNom,0))&amp;"","DOP"))</f>
        <v/>
      </c>
      <c r="O1982" s="20">
        <f>IF(I1982="","",C1982*IF(N1982="USD",TasaUSD,1))</f>
        <v/>
      </c>
      <c r="P1982" s="20">
        <f>IF(I1982="","",IF(I1982="Gasto",O1982,0))</f>
        <v/>
      </c>
      <c r="Q1982" s="20">
        <f>IF(I1982="","",IF(I1982="Ingreso",O1982,0))</f>
        <v/>
      </c>
      <c r="R1982" s="20">
        <f>IF(I1982="","",IF(I1982="Trading",O1982,0))</f>
        <v/>
      </c>
      <c r="S1982" s="19">
        <f>IF(I1982="","",IF(AND(I1982="Gasto",K1982="Variable",J1982&lt;&gt;"Trading",O1982&gt;0,O1982&lt;=Umbral),1,0))</f>
        <v/>
      </c>
      <c r="T1982" s="20">
        <f>IF(OR(I1982="",E1982=""),"",IF(OR(I1982="Gasto",I1982="Transferencia",I1982="Pago tarjeta"),-1,1)*C1982)</f>
        <v/>
      </c>
      <c r="U1982" s="20">
        <f>IF(OR(G1982="",AND(I1982&lt;&gt;"Transferencia",I1982&lt;&gt;"Pago tarjeta")),"",IF(IFERROR(INDEX(ctaMon,MATCH(G1982,ctaNom,0))&amp;"","DOP")=N1982,C1982,IF(N1982="USD",C1982*TasaUSD,C1982/TasaUSD)))</f>
        <v/>
      </c>
      <c r="V1982" s="20">
        <f>IF(I1982="","",IF(IFERROR(INDEX(ctaLiq,MATCH(E1982,ctaNom,0))="Sí",FALSE),IF(OR(I1982="Gasto",I1982="Transferencia",I1982="Pago tarjeta"),-1,1)*O1982,0)+IF(AND(U1982&lt;&gt;"",IFERROR(INDEX(ctaLiq,MATCH(G1982,ctaNom,0))="Sí",FALSE)),O1982,0))</f>
        <v/>
      </c>
      <c r="W1982" s="19">
        <f>IF(OR(F1982="",I1982=""),"",IF(COUNTIFS(F$6:F1982,F1982,I$6:I1982,"?*")=1,MAX(W$5:W1981)+1,""))</f>
        <v/>
      </c>
    </row>
    <row r="1983">
      <c r="B1983" s="15" t="n"/>
      <c r="C1983" s="16" t="n"/>
      <c r="D1983" s="17" t="n"/>
      <c r="E1983" s="17" t="n"/>
      <c r="F1983" s="17" t="n"/>
      <c r="G1983" s="17" t="n"/>
      <c r="H1983" s="18">
        <f>IF(AND(B1983="",C1983="",D1983="",E1983=""),"",IF(B1983="","⚠ Falta fecha",IF(C1983="","⚠ Falta monto",IF(D1983="","⚠ Falta categoría",IF(ISNA(MATCH(D1983,catNom,0)),"⚠ Categoría no existe",IF(E1983="","⚠ Falta cuenta",IF(ISNA(MATCH(E1983,ctaNom,0)),"⚠ Cuenta no existe",IF(AND(OR(I1983="Transferencia",I1983="Pago tarjeta"),G1983=""),"⚠ Indica la cuenta «Hacia»",IF(AND(G1983&lt;&gt;"",G1983=E1983),"⚠ «Hacia» igual a la cuenta",IF(AND(G1983&lt;&gt;"",ISNA(MATCH(G1983,ctaNom,0))),"⚠ «Hacia» no existe",IF(AND(I1983="Pago tarjeta",IFERROR(INDEX(ctaTipo,MATCH(G1983,ctaNom,0)),"")&lt;&gt;"Tarjeta de crédito"),"⚠ «Hacia» debe ser la tarjeta",IF(AND(I1983="Trading",IFERROR(INDEX(ctaTipo,MATCH(E1983,ctaNom,0)),"")&lt;&gt;"Cuenta de trading"),"⚠ Usa la cuenta de trading","✓"))))))))))))</f>
        <v/>
      </c>
      <c r="I1983" s="19">
        <f>IF(OR(B1983="",C1983="",D1983=""),"",IFERROR(INDEX(catTipo,MATCH(D1983,catNom,0))&amp;"",""))</f>
        <v/>
      </c>
      <c r="J1983" s="19">
        <f>IF(I1983="","",IFERROR(INDEX(catGrupo,MATCH(D1983,catNom,0))&amp;"",""))</f>
        <v/>
      </c>
      <c r="K1983" s="19">
        <f>IF(I1983="Gasto",IF(IFERROR(INDEX(catClas,MATCH(D1983,catNom,0))&amp;"","")="","Variable",IFERROR(INDEX(catClas,MATCH(D1983,catNom,0))&amp;"","")),"")</f>
        <v/>
      </c>
      <c r="L1983" s="19">
        <f>IF(I1983="","",IFERROR(INDEX(catAlim,MATCH(D1983,catNom,0))&amp;"",""))</f>
        <v/>
      </c>
      <c r="M1983" s="19">
        <f>IF(I1983="","",IFERROR(INDEX(catComida,MATCH(D1983,catNom,0))&amp;"",""))</f>
        <v/>
      </c>
      <c r="N1983" s="19">
        <f>IF(I1983="","",IFERROR(INDEX(ctaMon,MATCH(E1983,ctaNom,0))&amp;"","DOP"))</f>
        <v/>
      </c>
      <c r="O1983" s="20">
        <f>IF(I1983="","",C1983*IF(N1983="USD",TasaUSD,1))</f>
        <v/>
      </c>
      <c r="P1983" s="20">
        <f>IF(I1983="","",IF(I1983="Gasto",O1983,0))</f>
        <v/>
      </c>
      <c r="Q1983" s="20">
        <f>IF(I1983="","",IF(I1983="Ingreso",O1983,0))</f>
        <v/>
      </c>
      <c r="R1983" s="20">
        <f>IF(I1983="","",IF(I1983="Trading",O1983,0))</f>
        <v/>
      </c>
      <c r="S1983" s="19">
        <f>IF(I1983="","",IF(AND(I1983="Gasto",K1983="Variable",J1983&lt;&gt;"Trading",O1983&gt;0,O1983&lt;=Umbral),1,0))</f>
        <v/>
      </c>
      <c r="T1983" s="20">
        <f>IF(OR(I1983="",E1983=""),"",IF(OR(I1983="Gasto",I1983="Transferencia",I1983="Pago tarjeta"),-1,1)*C1983)</f>
        <v/>
      </c>
      <c r="U1983" s="20">
        <f>IF(OR(G1983="",AND(I1983&lt;&gt;"Transferencia",I1983&lt;&gt;"Pago tarjeta")),"",IF(IFERROR(INDEX(ctaMon,MATCH(G1983,ctaNom,0))&amp;"","DOP")=N1983,C1983,IF(N1983="USD",C1983*TasaUSD,C1983/TasaUSD)))</f>
        <v/>
      </c>
      <c r="V1983" s="20">
        <f>IF(I1983="","",IF(IFERROR(INDEX(ctaLiq,MATCH(E1983,ctaNom,0))="Sí",FALSE),IF(OR(I1983="Gasto",I1983="Transferencia",I1983="Pago tarjeta"),-1,1)*O1983,0)+IF(AND(U1983&lt;&gt;"",IFERROR(INDEX(ctaLiq,MATCH(G1983,ctaNom,0))="Sí",FALSE)),O1983,0))</f>
        <v/>
      </c>
      <c r="W1983" s="19">
        <f>IF(OR(F1983="",I1983=""),"",IF(COUNTIFS(F$6:F1983,F1983,I$6:I1983,"?*")=1,MAX(W$5:W1982)+1,""))</f>
        <v/>
      </c>
    </row>
    <row r="1984">
      <c r="B1984" s="15" t="n"/>
      <c r="C1984" s="16" t="n"/>
      <c r="D1984" s="17" t="n"/>
      <c r="E1984" s="17" t="n"/>
      <c r="F1984" s="17" t="n"/>
      <c r="G1984" s="17" t="n"/>
      <c r="H1984" s="18">
        <f>IF(AND(B1984="",C1984="",D1984="",E1984=""),"",IF(B1984="","⚠ Falta fecha",IF(C1984="","⚠ Falta monto",IF(D1984="","⚠ Falta categoría",IF(ISNA(MATCH(D1984,catNom,0)),"⚠ Categoría no existe",IF(E1984="","⚠ Falta cuenta",IF(ISNA(MATCH(E1984,ctaNom,0)),"⚠ Cuenta no existe",IF(AND(OR(I1984="Transferencia",I1984="Pago tarjeta"),G1984=""),"⚠ Indica la cuenta «Hacia»",IF(AND(G1984&lt;&gt;"",G1984=E1984),"⚠ «Hacia» igual a la cuenta",IF(AND(G1984&lt;&gt;"",ISNA(MATCH(G1984,ctaNom,0))),"⚠ «Hacia» no existe",IF(AND(I1984="Pago tarjeta",IFERROR(INDEX(ctaTipo,MATCH(G1984,ctaNom,0)),"")&lt;&gt;"Tarjeta de crédito"),"⚠ «Hacia» debe ser la tarjeta",IF(AND(I1984="Trading",IFERROR(INDEX(ctaTipo,MATCH(E1984,ctaNom,0)),"")&lt;&gt;"Cuenta de trading"),"⚠ Usa la cuenta de trading","✓"))))))))))))</f>
        <v/>
      </c>
      <c r="I1984" s="19">
        <f>IF(OR(B1984="",C1984="",D1984=""),"",IFERROR(INDEX(catTipo,MATCH(D1984,catNom,0))&amp;"",""))</f>
        <v/>
      </c>
      <c r="J1984" s="19">
        <f>IF(I1984="","",IFERROR(INDEX(catGrupo,MATCH(D1984,catNom,0))&amp;"",""))</f>
        <v/>
      </c>
      <c r="K1984" s="19">
        <f>IF(I1984="Gasto",IF(IFERROR(INDEX(catClas,MATCH(D1984,catNom,0))&amp;"","")="","Variable",IFERROR(INDEX(catClas,MATCH(D1984,catNom,0))&amp;"","")),"")</f>
        <v/>
      </c>
      <c r="L1984" s="19">
        <f>IF(I1984="","",IFERROR(INDEX(catAlim,MATCH(D1984,catNom,0))&amp;"",""))</f>
        <v/>
      </c>
      <c r="M1984" s="19">
        <f>IF(I1984="","",IFERROR(INDEX(catComida,MATCH(D1984,catNom,0))&amp;"",""))</f>
        <v/>
      </c>
      <c r="N1984" s="19">
        <f>IF(I1984="","",IFERROR(INDEX(ctaMon,MATCH(E1984,ctaNom,0))&amp;"","DOP"))</f>
        <v/>
      </c>
      <c r="O1984" s="20">
        <f>IF(I1984="","",C1984*IF(N1984="USD",TasaUSD,1))</f>
        <v/>
      </c>
      <c r="P1984" s="20">
        <f>IF(I1984="","",IF(I1984="Gasto",O1984,0))</f>
        <v/>
      </c>
      <c r="Q1984" s="20">
        <f>IF(I1984="","",IF(I1984="Ingreso",O1984,0))</f>
        <v/>
      </c>
      <c r="R1984" s="20">
        <f>IF(I1984="","",IF(I1984="Trading",O1984,0))</f>
        <v/>
      </c>
      <c r="S1984" s="19">
        <f>IF(I1984="","",IF(AND(I1984="Gasto",K1984="Variable",J1984&lt;&gt;"Trading",O1984&gt;0,O1984&lt;=Umbral),1,0))</f>
        <v/>
      </c>
      <c r="T1984" s="20">
        <f>IF(OR(I1984="",E1984=""),"",IF(OR(I1984="Gasto",I1984="Transferencia",I1984="Pago tarjeta"),-1,1)*C1984)</f>
        <v/>
      </c>
      <c r="U1984" s="20">
        <f>IF(OR(G1984="",AND(I1984&lt;&gt;"Transferencia",I1984&lt;&gt;"Pago tarjeta")),"",IF(IFERROR(INDEX(ctaMon,MATCH(G1984,ctaNom,0))&amp;"","DOP")=N1984,C1984,IF(N1984="USD",C1984*TasaUSD,C1984/TasaUSD)))</f>
        <v/>
      </c>
      <c r="V1984" s="20">
        <f>IF(I1984="","",IF(IFERROR(INDEX(ctaLiq,MATCH(E1984,ctaNom,0))="Sí",FALSE),IF(OR(I1984="Gasto",I1984="Transferencia",I1984="Pago tarjeta"),-1,1)*O1984,0)+IF(AND(U1984&lt;&gt;"",IFERROR(INDEX(ctaLiq,MATCH(G1984,ctaNom,0))="Sí",FALSE)),O1984,0))</f>
        <v/>
      </c>
      <c r="W1984" s="19">
        <f>IF(OR(F1984="",I1984=""),"",IF(COUNTIFS(F$6:F1984,F1984,I$6:I1984,"?*")=1,MAX(W$5:W1983)+1,""))</f>
        <v/>
      </c>
    </row>
    <row r="1985">
      <c r="B1985" s="15" t="n"/>
      <c r="C1985" s="16" t="n"/>
      <c r="D1985" s="17" t="n"/>
      <c r="E1985" s="17" t="n"/>
      <c r="F1985" s="17" t="n"/>
      <c r="G1985" s="17" t="n"/>
      <c r="H1985" s="18">
        <f>IF(AND(B1985="",C1985="",D1985="",E1985=""),"",IF(B1985="","⚠ Falta fecha",IF(C1985="","⚠ Falta monto",IF(D1985="","⚠ Falta categoría",IF(ISNA(MATCH(D1985,catNom,0)),"⚠ Categoría no existe",IF(E1985="","⚠ Falta cuenta",IF(ISNA(MATCH(E1985,ctaNom,0)),"⚠ Cuenta no existe",IF(AND(OR(I1985="Transferencia",I1985="Pago tarjeta"),G1985=""),"⚠ Indica la cuenta «Hacia»",IF(AND(G1985&lt;&gt;"",G1985=E1985),"⚠ «Hacia» igual a la cuenta",IF(AND(G1985&lt;&gt;"",ISNA(MATCH(G1985,ctaNom,0))),"⚠ «Hacia» no existe",IF(AND(I1985="Pago tarjeta",IFERROR(INDEX(ctaTipo,MATCH(G1985,ctaNom,0)),"")&lt;&gt;"Tarjeta de crédito"),"⚠ «Hacia» debe ser la tarjeta",IF(AND(I1985="Trading",IFERROR(INDEX(ctaTipo,MATCH(E1985,ctaNom,0)),"")&lt;&gt;"Cuenta de trading"),"⚠ Usa la cuenta de trading","✓"))))))))))))</f>
        <v/>
      </c>
      <c r="I1985" s="19">
        <f>IF(OR(B1985="",C1985="",D1985=""),"",IFERROR(INDEX(catTipo,MATCH(D1985,catNom,0))&amp;"",""))</f>
        <v/>
      </c>
      <c r="J1985" s="19">
        <f>IF(I1985="","",IFERROR(INDEX(catGrupo,MATCH(D1985,catNom,0))&amp;"",""))</f>
        <v/>
      </c>
      <c r="K1985" s="19">
        <f>IF(I1985="Gasto",IF(IFERROR(INDEX(catClas,MATCH(D1985,catNom,0))&amp;"","")="","Variable",IFERROR(INDEX(catClas,MATCH(D1985,catNom,0))&amp;"","")),"")</f>
        <v/>
      </c>
      <c r="L1985" s="19">
        <f>IF(I1985="","",IFERROR(INDEX(catAlim,MATCH(D1985,catNom,0))&amp;"",""))</f>
        <v/>
      </c>
      <c r="M1985" s="19">
        <f>IF(I1985="","",IFERROR(INDEX(catComida,MATCH(D1985,catNom,0))&amp;"",""))</f>
        <v/>
      </c>
      <c r="N1985" s="19">
        <f>IF(I1985="","",IFERROR(INDEX(ctaMon,MATCH(E1985,ctaNom,0))&amp;"","DOP"))</f>
        <v/>
      </c>
      <c r="O1985" s="20">
        <f>IF(I1985="","",C1985*IF(N1985="USD",TasaUSD,1))</f>
        <v/>
      </c>
      <c r="P1985" s="20">
        <f>IF(I1985="","",IF(I1985="Gasto",O1985,0))</f>
        <v/>
      </c>
      <c r="Q1985" s="20">
        <f>IF(I1985="","",IF(I1985="Ingreso",O1985,0))</f>
        <v/>
      </c>
      <c r="R1985" s="20">
        <f>IF(I1985="","",IF(I1985="Trading",O1985,0))</f>
        <v/>
      </c>
      <c r="S1985" s="19">
        <f>IF(I1985="","",IF(AND(I1985="Gasto",K1985="Variable",J1985&lt;&gt;"Trading",O1985&gt;0,O1985&lt;=Umbral),1,0))</f>
        <v/>
      </c>
      <c r="T1985" s="20">
        <f>IF(OR(I1985="",E1985=""),"",IF(OR(I1985="Gasto",I1985="Transferencia",I1985="Pago tarjeta"),-1,1)*C1985)</f>
        <v/>
      </c>
      <c r="U1985" s="20">
        <f>IF(OR(G1985="",AND(I1985&lt;&gt;"Transferencia",I1985&lt;&gt;"Pago tarjeta")),"",IF(IFERROR(INDEX(ctaMon,MATCH(G1985,ctaNom,0))&amp;"","DOP")=N1985,C1985,IF(N1985="USD",C1985*TasaUSD,C1985/TasaUSD)))</f>
        <v/>
      </c>
      <c r="V1985" s="20">
        <f>IF(I1985="","",IF(IFERROR(INDEX(ctaLiq,MATCH(E1985,ctaNom,0))="Sí",FALSE),IF(OR(I1985="Gasto",I1985="Transferencia",I1985="Pago tarjeta"),-1,1)*O1985,0)+IF(AND(U1985&lt;&gt;"",IFERROR(INDEX(ctaLiq,MATCH(G1985,ctaNom,0))="Sí",FALSE)),O1985,0))</f>
        <v/>
      </c>
      <c r="W1985" s="19">
        <f>IF(OR(F1985="",I1985=""),"",IF(COUNTIFS(F$6:F1985,F1985,I$6:I1985,"?*")=1,MAX(W$5:W1984)+1,""))</f>
        <v/>
      </c>
    </row>
    <row r="1986">
      <c r="B1986" s="15" t="n"/>
      <c r="C1986" s="16" t="n"/>
      <c r="D1986" s="17" t="n"/>
      <c r="E1986" s="17" t="n"/>
      <c r="F1986" s="17" t="n"/>
      <c r="G1986" s="17" t="n"/>
      <c r="H1986" s="18">
        <f>IF(AND(B1986="",C1986="",D1986="",E1986=""),"",IF(B1986="","⚠ Falta fecha",IF(C1986="","⚠ Falta monto",IF(D1986="","⚠ Falta categoría",IF(ISNA(MATCH(D1986,catNom,0)),"⚠ Categoría no existe",IF(E1986="","⚠ Falta cuenta",IF(ISNA(MATCH(E1986,ctaNom,0)),"⚠ Cuenta no existe",IF(AND(OR(I1986="Transferencia",I1986="Pago tarjeta"),G1986=""),"⚠ Indica la cuenta «Hacia»",IF(AND(G1986&lt;&gt;"",G1986=E1986),"⚠ «Hacia» igual a la cuenta",IF(AND(G1986&lt;&gt;"",ISNA(MATCH(G1986,ctaNom,0))),"⚠ «Hacia» no existe",IF(AND(I1986="Pago tarjeta",IFERROR(INDEX(ctaTipo,MATCH(G1986,ctaNom,0)),"")&lt;&gt;"Tarjeta de crédito"),"⚠ «Hacia» debe ser la tarjeta",IF(AND(I1986="Trading",IFERROR(INDEX(ctaTipo,MATCH(E1986,ctaNom,0)),"")&lt;&gt;"Cuenta de trading"),"⚠ Usa la cuenta de trading","✓"))))))))))))</f>
        <v/>
      </c>
      <c r="I1986" s="19">
        <f>IF(OR(B1986="",C1986="",D1986=""),"",IFERROR(INDEX(catTipo,MATCH(D1986,catNom,0))&amp;"",""))</f>
        <v/>
      </c>
      <c r="J1986" s="19">
        <f>IF(I1986="","",IFERROR(INDEX(catGrupo,MATCH(D1986,catNom,0))&amp;"",""))</f>
        <v/>
      </c>
      <c r="K1986" s="19">
        <f>IF(I1986="Gasto",IF(IFERROR(INDEX(catClas,MATCH(D1986,catNom,0))&amp;"","")="","Variable",IFERROR(INDEX(catClas,MATCH(D1986,catNom,0))&amp;"","")),"")</f>
        <v/>
      </c>
      <c r="L1986" s="19">
        <f>IF(I1986="","",IFERROR(INDEX(catAlim,MATCH(D1986,catNom,0))&amp;"",""))</f>
        <v/>
      </c>
      <c r="M1986" s="19">
        <f>IF(I1986="","",IFERROR(INDEX(catComida,MATCH(D1986,catNom,0))&amp;"",""))</f>
        <v/>
      </c>
      <c r="N1986" s="19">
        <f>IF(I1986="","",IFERROR(INDEX(ctaMon,MATCH(E1986,ctaNom,0))&amp;"","DOP"))</f>
        <v/>
      </c>
      <c r="O1986" s="20">
        <f>IF(I1986="","",C1986*IF(N1986="USD",TasaUSD,1))</f>
        <v/>
      </c>
      <c r="P1986" s="20">
        <f>IF(I1986="","",IF(I1986="Gasto",O1986,0))</f>
        <v/>
      </c>
      <c r="Q1986" s="20">
        <f>IF(I1986="","",IF(I1986="Ingreso",O1986,0))</f>
        <v/>
      </c>
      <c r="R1986" s="20">
        <f>IF(I1986="","",IF(I1986="Trading",O1986,0))</f>
        <v/>
      </c>
      <c r="S1986" s="19">
        <f>IF(I1986="","",IF(AND(I1986="Gasto",K1986="Variable",J1986&lt;&gt;"Trading",O1986&gt;0,O1986&lt;=Umbral),1,0))</f>
        <v/>
      </c>
      <c r="T1986" s="20">
        <f>IF(OR(I1986="",E1986=""),"",IF(OR(I1986="Gasto",I1986="Transferencia",I1986="Pago tarjeta"),-1,1)*C1986)</f>
        <v/>
      </c>
      <c r="U1986" s="20">
        <f>IF(OR(G1986="",AND(I1986&lt;&gt;"Transferencia",I1986&lt;&gt;"Pago tarjeta")),"",IF(IFERROR(INDEX(ctaMon,MATCH(G1986,ctaNom,0))&amp;"","DOP")=N1986,C1986,IF(N1986="USD",C1986*TasaUSD,C1986/TasaUSD)))</f>
        <v/>
      </c>
      <c r="V1986" s="20">
        <f>IF(I1986="","",IF(IFERROR(INDEX(ctaLiq,MATCH(E1986,ctaNom,0))="Sí",FALSE),IF(OR(I1986="Gasto",I1986="Transferencia",I1986="Pago tarjeta"),-1,1)*O1986,0)+IF(AND(U1986&lt;&gt;"",IFERROR(INDEX(ctaLiq,MATCH(G1986,ctaNom,0))="Sí",FALSE)),O1986,0))</f>
        <v/>
      </c>
      <c r="W1986" s="19">
        <f>IF(OR(F1986="",I1986=""),"",IF(COUNTIFS(F$6:F1986,F1986,I$6:I1986,"?*")=1,MAX(W$5:W1985)+1,""))</f>
        <v/>
      </c>
    </row>
    <row r="1987">
      <c r="B1987" s="15" t="n"/>
      <c r="C1987" s="16" t="n"/>
      <c r="D1987" s="17" t="n"/>
      <c r="E1987" s="17" t="n"/>
      <c r="F1987" s="17" t="n"/>
      <c r="G1987" s="17" t="n"/>
      <c r="H1987" s="18">
        <f>IF(AND(B1987="",C1987="",D1987="",E1987=""),"",IF(B1987="","⚠ Falta fecha",IF(C1987="","⚠ Falta monto",IF(D1987="","⚠ Falta categoría",IF(ISNA(MATCH(D1987,catNom,0)),"⚠ Categoría no existe",IF(E1987="","⚠ Falta cuenta",IF(ISNA(MATCH(E1987,ctaNom,0)),"⚠ Cuenta no existe",IF(AND(OR(I1987="Transferencia",I1987="Pago tarjeta"),G1987=""),"⚠ Indica la cuenta «Hacia»",IF(AND(G1987&lt;&gt;"",G1987=E1987),"⚠ «Hacia» igual a la cuenta",IF(AND(G1987&lt;&gt;"",ISNA(MATCH(G1987,ctaNom,0))),"⚠ «Hacia» no existe",IF(AND(I1987="Pago tarjeta",IFERROR(INDEX(ctaTipo,MATCH(G1987,ctaNom,0)),"")&lt;&gt;"Tarjeta de crédito"),"⚠ «Hacia» debe ser la tarjeta",IF(AND(I1987="Trading",IFERROR(INDEX(ctaTipo,MATCH(E1987,ctaNom,0)),"")&lt;&gt;"Cuenta de trading"),"⚠ Usa la cuenta de trading","✓"))))))))))))</f>
        <v/>
      </c>
      <c r="I1987" s="19">
        <f>IF(OR(B1987="",C1987="",D1987=""),"",IFERROR(INDEX(catTipo,MATCH(D1987,catNom,0))&amp;"",""))</f>
        <v/>
      </c>
      <c r="J1987" s="19">
        <f>IF(I1987="","",IFERROR(INDEX(catGrupo,MATCH(D1987,catNom,0))&amp;"",""))</f>
        <v/>
      </c>
      <c r="K1987" s="19">
        <f>IF(I1987="Gasto",IF(IFERROR(INDEX(catClas,MATCH(D1987,catNom,0))&amp;"","")="","Variable",IFERROR(INDEX(catClas,MATCH(D1987,catNom,0))&amp;"","")),"")</f>
        <v/>
      </c>
      <c r="L1987" s="19">
        <f>IF(I1987="","",IFERROR(INDEX(catAlim,MATCH(D1987,catNom,0))&amp;"",""))</f>
        <v/>
      </c>
      <c r="M1987" s="19">
        <f>IF(I1987="","",IFERROR(INDEX(catComida,MATCH(D1987,catNom,0))&amp;"",""))</f>
        <v/>
      </c>
      <c r="N1987" s="19">
        <f>IF(I1987="","",IFERROR(INDEX(ctaMon,MATCH(E1987,ctaNom,0))&amp;"","DOP"))</f>
        <v/>
      </c>
      <c r="O1987" s="20">
        <f>IF(I1987="","",C1987*IF(N1987="USD",TasaUSD,1))</f>
        <v/>
      </c>
      <c r="P1987" s="20">
        <f>IF(I1987="","",IF(I1987="Gasto",O1987,0))</f>
        <v/>
      </c>
      <c r="Q1987" s="20">
        <f>IF(I1987="","",IF(I1987="Ingreso",O1987,0))</f>
        <v/>
      </c>
      <c r="R1987" s="20">
        <f>IF(I1987="","",IF(I1987="Trading",O1987,0))</f>
        <v/>
      </c>
      <c r="S1987" s="19">
        <f>IF(I1987="","",IF(AND(I1987="Gasto",K1987="Variable",J1987&lt;&gt;"Trading",O1987&gt;0,O1987&lt;=Umbral),1,0))</f>
        <v/>
      </c>
      <c r="T1987" s="20">
        <f>IF(OR(I1987="",E1987=""),"",IF(OR(I1987="Gasto",I1987="Transferencia",I1987="Pago tarjeta"),-1,1)*C1987)</f>
        <v/>
      </c>
      <c r="U1987" s="20">
        <f>IF(OR(G1987="",AND(I1987&lt;&gt;"Transferencia",I1987&lt;&gt;"Pago tarjeta")),"",IF(IFERROR(INDEX(ctaMon,MATCH(G1987,ctaNom,0))&amp;"","DOP")=N1987,C1987,IF(N1987="USD",C1987*TasaUSD,C1987/TasaUSD)))</f>
        <v/>
      </c>
      <c r="V1987" s="20">
        <f>IF(I1987="","",IF(IFERROR(INDEX(ctaLiq,MATCH(E1987,ctaNom,0))="Sí",FALSE),IF(OR(I1987="Gasto",I1987="Transferencia",I1987="Pago tarjeta"),-1,1)*O1987,0)+IF(AND(U1987&lt;&gt;"",IFERROR(INDEX(ctaLiq,MATCH(G1987,ctaNom,0))="Sí",FALSE)),O1987,0))</f>
        <v/>
      </c>
      <c r="W1987" s="19">
        <f>IF(OR(F1987="",I1987=""),"",IF(COUNTIFS(F$6:F1987,F1987,I$6:I1987,"?*")=1,MAX(W$5:W1986)+1,""))</f>
        <v/>
      </c>
    </row>
    <row r="1988">
      <c r="B1988" s="15" t="n"/>
      <c r="C1988" s="16" t="n"/>
      <c r="D1988" s="17" t="n"/>
      <c r="E1988" s="17" t="n"/>
      <c r="F1988" s="17" t="n"/>
      <c r="G1988" s="17" t="n"/>
      <c r="H1988" s="18">
        <f>IF(AND(B1988="",C1988="",D1988="",E1988=""),"",IF(B1988="","⚠ Falta fecha",IF(C1988="","⚠ Falta monto",IF(D1988="","⚠ Falta categoría",IF(ISNA(MATCH(D1988,catNom,0)),"⚠ Categoría no existe",IF(E1988="","⚠ Falta cuenta",IF(ISNA(MATCH(E1988,ctaNom,0)),"⚠ Cuenta no existe",IF(AND(OR(I1988="Transferencia",I1988="Pago tarjeta"),G1988=""),"⚠ Indica la cuenta «Hacia»",IF(AND(G1988&lt;&gt;"",G1988=E1988),"⚠ «Hacia» igual a la cuenta",IF(AND(G1988&lt;&gt;"",ISNA(MATCH(G1988,ctaNom,0))),"⚠ «Hacia» no existe",IF(AND(I1988="Pago tarjeta",IFERROR(INDEX(ctaTipo,MATCH(G1988,ctaNom,0)),"")&lt;&gt;"Tarjeta de crédito"),"⚠ «Hacia» debe ser la tarjeta",IF(AND(I1988="Trading",IFERROR(INDEX(ctaTipo,MATCH(E1988,ctaNom,0)),"")&lt;&gt;"Cuenta de trading"),"⚠ Usa la cuenta de trading","✓"))))))))))))</f>
        <v/>
      </c>
      <c r="I1988" s="19">
        <f>IF(OR(B1988="",C1988="",D1988=""),"",IFERROR(INDEX(catTipo,MATCH(D1988,catNom,0))&amp;"",""))</f>
        <v/>
      </c>
      <c r="J1988" s="19">
        <f>IF(I1988="","",IFERROR(INDEX(catGrupo,MATCH(D1988,catNom,0))&amp;"",""))</f>
        <v/>
      </c>
      <c r="K1988" s="19">
        <f>IF(I1988="Gasto",IF(IFERROR(INDEX(catClas,MATCH(D1988,catNom,0))&amp;"","")="","Variable",IFERROR(INDEX(catClas,MATCH(D1988,catNom,0))&amp;"","")),"")</f>
        <v/>
      </c>
      <c r="L1988" s="19">
        <f>IF(I1988="","",IFERROR(INDEX(catAlim,MATCH(D1988,catNom,0))&amp;"",""))</f>
        <v/>
      </c>
      <c r="M1988" s="19">
        <f>IF(I1988="","",IFERROR(INDEX(catComida,MATCH(D1988,catNom,0))&amp;"",""))</f>
        <v/>
      </c>
      <c r="N1988" s="19">
        <f>IF(I1988="","",IFERROR(INDEX(ctaMon,MATCH(E1988,ctaNom,0))&amp;"","DOP"))</f>
        <v/>
      </c>
      <c r="O1988" s="20">
        <f>IF(I1988="","",C1988*IF(N1988="USD",TasaUSD,1))</f>
        <v/>
      </c>
      <c r="P1988" s="20">
        <f>IF(I1988="","",IF(I1988="Gasto",O1988,0))</f>
        <v/>
      </c>
      <c r="Q1988" s="20">
        <f>IF(I1988="","",IF(I1988="Ingreso",O1988,0))</f>
        <v/>
      </c>
      <c r="R1988" s="20">
        <f>IF(I1988="","",IF(I1988="Trading",O1988,0))</f>
        <v/>
      </c>
      <c r="S1988" s="19">
        <f>IF(I1988="","",IF(AND(I1988="Gasto",K1988="Variable",J1988&lt;&gt;"Trading",O1988&gt;0,O1988&lt;=Umbral),1,0))</f>
        <v/>
      </c>
      <c r="T1988" s="20">
        <f>IF(OR(I1988="",E1988=""),"",IF(OR(I1988="Gasto",I1988="Transferencia",I1988="Pago tarjeta"),-1,1)*C1988)</f>
        <v/>
      </c>
      <c r="U1988" s="20">
        <f>IF(OR(G1988="",AND(I1988&lt;&gt;"Transferencia",I1988&lt;&gt;"Pago tarjeta")),"",IF(IFERROR(INDEX(ctaMon,MATCH(G1988,ctaNom,0))&amp;"","DOP")=N1988,C1988,IF(N1988="USD",C1988*TasaUSD,C1988/TasaUSD)))</f>
        <v/>
      </c>
      <c r="V1988" s="20">
        <f>IF(I1988="","",IF(IFERROR(INDEX(ctaLiq,MATCH(E1988,ctaNom,0))="Sí",FALSE),IF(OR(I1988="Gasto",I1988="Transferencia",I1988="Pago tarjeta"),-1,1)*O1988,0)+IF(AND(U1988&lt;&gt;"",IFERROR(INDEX(ctaLiq,MATCH(G1988,ctaNom,0))="Sí",FALSE)),O1988,0))</f>
        <v/>
      </c>
      <c r="W1988" s="19">
        <f>IF(OR(F1988="",I1988=""),"",IF(COUNTIFS(F$6:F1988,F1988,I$6:I1988,"?*")=1,MAX(W$5:W1987)+1,""))</f>
        <v/>
      </c>
    </row>
    <row r="1989">
      <c r="B1989" s="15" t="n"/>
      <c r="C1989" s="16" t="n"/>
      <c r="D1989" s="17" t="n"/>
      <c r="E1989" s="17" t="n"/>
      <c r="F1989" s="17" t="n"/>
      <c r="G1989" s="17" t="n"/>
      <c r="H1989" s="18">
        <f>IF(AND(B1989="",C1989="",D1989="",E1989=""),"",IF(B1989="","⚠ Falta fecha",IF(C1989="","⚠ Falta monto",IF(D1989="","⚠ Falta categoría",IF(ISNA(MATCH(D1989,catNom,0)),"⚠ Categoría no existe",IF(E1989="","⚠ Falta cuenta",IF(ISNA(MATCH(E1989,ctaNom,0)),"⚠ Cuenta no existe",IF(AND(OR(I1989="Transferencia",I1989="Pago tarjeta"),G1989=""),"⚠ Indica la cuenta «Hacia»",IF(AND(G1989&lt;&gt;"",G1989=E1989),"⚠ «Hacia» igual a la cuenta",IF(AND(G1989&lt;&gt;"",ISNA(MATCH(G1989,ctaNom,0))),"⚠ «Hacia» no existe",IF(AND(I1989="Pago tarjeta",IFERROR(INDEX(ctaTipo,MATCH(G1989,ctaNom,0)),"")&lt;&gt;"Tarjeta de crédito"),"⚠ «Hacia» debe ser la tarjeta",IF(AND(I1989="Trading",IFERROR(INDEX(ctaTipo,MATCH(E1989,ctaNom,0)),"")&lt;&gt;"Cuenta de trading"),"⚠ Usa la cuenta de trading","✓"))))))))))))</f>
        <v/>
      </c>
      <c r="I1989" s="19">
        <f>IF(OR(B1989="",C1989="",D1989=""),"",IFERROR(INDEX(catTipo,MATCH(D1989,catNom,0))&amp;"",""))</f>
        <v/>
      </c>
      <c r="J1989" s="19">
        <f>IF(I1989="","",IFERROR(INDEX(catGrupo,MATCH(D1989,catNom,0))&amp;"",""))</f>
        <v/>
      </c>
      <c r="K1989" s="19">
        <f>IF(I1989="Gasto",IF(IFERROR(INDEX(catClas,MATCH(D1989,catNom,0))&amp;"","")="","Variable",IFERROR(INDEX(catClas,MATCH(D1989,catNom,0))&amp;"","")),"")</f>
        <v/>
      </c>
      <c r="L1989" s="19">
        <f>IF(I1989="","",IFERROR(INDEX(catAlim,MATCH(D1989,catNom,0))&amp;"",""))</f>
        <v/>
      </c>
      <c r="M1989" s="19">
        <f>IF(I1989="","",IFERROR(INDEX(catComida,MATCH(D1989,catNom,0))&amp;"",""))</f>
        <v/>
      </c>
      <c r="N1989" s="19">
        <f>IF(I1989="","",IFERROR(INDEX(ctaMon,MATCH(E1989,ctaNom,0))&amp;"","DOP"))</f>
        <v/>
      </c>
      <c r="O1989" s="20">
        <f>IF(I1989="","",C1989*IF(N1989="USD",TasaUSD,1))</f>
        <v/>
      </c>
      <c r="P1989" s="20">
        <f>IF(I1989="","",IF(I1989="Gasto",O1989,0))</f>
        <v/>
      </c>
      <c r="Q1989" s="20">
        <f>IF(I1989="","",IF(I1989="Ingreso",O1989,0))</f>
        <v/>
      </c>
      <c r="R1989" s="20">
        <f>IF(I1989="","",IF(I1989="Trading",O1989,0))</f>
        <v/>
      </c>
      <c r="S1989" s="19">
        <f>IF(I1989="","",IF(AND(I1989="Gasto",K1989="Variable",J1989&lt;&gt;"Trading",O1989&gt;0,O1989&lt;=Umbral),1,0))</f>
        <v/>
      </c>
      <c r="T1989" s="20">
        <f>IF(OR(I1989="",E1989=""),"",IF(OR(I1989="Gasto",I1989="Transferencia",I1989="Pago tarjeta"),-1,1)*C1989)</f>
        <v/>
      </c>
      <c r="U1989" s="20">
        <f>IF(OR(G1989="",AND(I1989&lt;&gt;"Transferencia",I1989&lt;&gt;"Pago tarjeta")),"",IF(IFERROR(INDEX(ctaMon,MATCH(G1989,ctaNom,0))&amp;"","DOP")=N1989,C1989,IF(N1989="USD",C1989*TasaUSD,C1989/TasaUSD)))</f>
        <v/>
      </c>
      <c r="V1989" s="20">
        <f>IF(I1989="","",IF(IFERROR(INDEX(ctaLiq,MATCH(E1989,ctaNom,0))="Sí",FALSE),IF(OR(I1989="Gasto",I1989="Transferencia",I1989="Pago tarjeta"),-1,1)*O1989,0)+IF(AND(U1989&lt;&gt;"",IFERROR(INDEX(ctaLiq,MATCH(G1989,ctaNom,0))="Sí",FALSE)),O1989,0))</f>
        <v/>
      </c>
      <c r="W1989" s="19">
        <f>IF(OR(F1989="",I1989=""),"",IF(COUNTIFS(F$6:F1989,F1989,I$6:I1989,"?*")=1,MAX(W$5:W1988)+1,""))</f>
        <v/>
      </c>
    </row>
    <row r="1990">
      <c r="B1990" s="15" t="n"/>
      <c r="C1990" s="16" t="n"/>
      <c r="D1990" s="17" t="n"/>
      <c r="E1990" s="17" t="n"/>
      <c r="F1990" s="17" t="n"/>
      <c r="G1990" s="17" t="n"/>
      <c r="H1990" s="18">
        <f>IF(AND(B1990="",C1990="",D1990="",E1990=""),"",IF(B1990="","⚠ Falta fecha",IF(C1990="","⚠ Falta monto",IF(D1990="","⚠ Falta categoría",IF(ISNA(MATCH(D1990,catNom,0)),"⚠ Categoría no existe",IF(E1990="","⚠ Falta cuenta",IF(ISNA(MATCH(E1990,ctaNom,0)),"⚠ Cuenta no existe",IF(AND(OR(I1990="Transferencia",I1990="Pago tarjeta"),G1990=""),"⚠ Indica la cuenta «Hacia»",IF(AND(G1990&lt;&gt;"",G1990=E1990),"⚠ «Hacia» igual a la cuenta",IF(AND(G1990&lt;&gt;"",ISNA(MATCH(G1990,ctaNom,0))),"⚠ «Hacia» no existe",IF(AND(I1990="Pago tarjeta",IFERROR(INDEX(ctaTipo,MATCH(G1990,ctaNom,0)),"")&lt;&gt;"Tarjeta de crédito"),"⚠ «Hacia» debe ser la tarjeta",IF(AND(I1990="Trading",IFERROR(INDEX(ctaTipo,MATCH(E1990,ctaNom,0)),"")&lt;&gt;"Cuenta de trading"),"⚠ Usa la cuenta de trading","✓"))))))))))))</f>
        <v/>
      </c>
      <c r="I1990" s="19">
        <f>IF(OR(B1990="",C1990="",D1990=""),"",IFERROR(INDEX(catTipo,MATCH(D1990,catNom,0))&amp;"",""))</f>
        <v/>
      </c>
      <c r="J1990" s="19">
        <f>IF(I1990="","",IFERROR(INDEX(catGrupo,MATCH(D1990,catNom,0))&amp;"",""))</f>
        <v/>
      </c>
      <c r="K1990" s="19">
        <f>IF(I1990="Gasto",IF(IFERROR(INDEX(catClas,MATCH(D1990,catNom,0))&amp;"","")="","Variable",IFERROR(INDEX(catClas,MATCH(D1990,catNom,0))&amp;"","")),"")</f>
        <v/>
      </c>
      <c r="L1990" s="19">
        <f>IF(I1990="","",IFERROR(INDEX(catAlim,MATCH(D1990,catNom,0))&amp;"",""))</f>
        <v/>
      </c>
      <c r="M1990" s="19">
        <f>IF(I1990="","",IFERROR(INDEX(catComida,MATCH(D1990,catNom,0))&amp;"",""))</f>
        <v/>
      </c>
      <c r="N1990" s="19">
        <f>IF(I1990="","",IFERROR(INDEX(ctaMon,MATCH(E1990,ctaNom,0))&amp;"","DOP"))</f>
        <v/>
      </c>
      <c r="O1990" s="20">
        <f>IF(I1990="","",C1990*IF(N1990="USD",TasaUSD,1))</f>
        <v/>
      </c>
      <c r="P1990" s="20">
        <f>IF(I1990="","",IF(I1990="Gasto",O1990,0))</f>
        <v/>
      </c>
      <c r="Q1990" s="20">
        <f>IF(I1990="","",IF(I1990="Ingreso",O1990,0))</f>
        <v/>
      </c>
      <c r="R1990" s="20">
        <f>IF(I1990="","",IF(I1990="Trading",O1990,0))</f>
        <v/>
      </c>
      <c r="S1990" s="19">
        <f>IF(I1990="","",IF(AND(I1990="Gasto",K1990="Variable",J1990&lt;&gt;"Trading",O1990&gt;0,O1990&lt;=Umbral),1,0))</f>
        <v/>
      </c>
      <c r="T1990" s="20">
        <f>IF(OR(I1990="",E1990=""),"",IF(OR(I1990="Gasto",I1990="Transferencia",I1990="Pago tarjeta"),-1,1)*C1990)</f>
        <v/>
      </c>
      <c r="U1990" s="20">
        <f>IF(OR(G1990="",AND(I1990&lt;&gt;"Transferencia",I1990&lt;&gt;"Pago tarjeta")),"",IF(IFERROR(INDEX(ctaMon,MATCH(G1990,ctaNom,0))&amp;"","DOP")=N1990,C1990,IF(N1990="USD",C1990*TasaUSD,C1990/TasaUSD)))</f>
        <v/>
      </c>
      <c r="V1990" s="20">
        <f>IF(I1990="","",IF(IFERROR(INDEX(ctaLiq,MATCH(E1990,ctaNom,0))="Sí",FALSE),IF(OR(I1990="Gasto",I1990="Transferencia",I1990="Pago tarjeta"),-1,1)*O1990,0)+IF(AND(U1990&lt;&gt;"",IFERROR(INDEX(ctaLiq,MATCH(G1990,ctaNom,0))="Sí",FALSE)),O1990,0))</f>
        <v/>
      </c>
      <c r="W1990" s="19">
        <f>IF(OR(F1990="",I1990=""),"",IF(COUNTIFS(F$6:F1990,F1990,I$6:I1990,"?*")=1,MAX(W$5:W1989)+1,""))</f>
        <v/>
      </c>
    </row>
    <row r="1991">
      <c r="B1991" s="15" t="n"/>
      <c r="C1991" s="16" t="n"/>
      <c r="D1991" s="17" t="n"/>
      <c r="E1991" s="17" t="n"/>
      <c r="F1991" s="17" t="n"/>
      <c r="G1991" s="17" t="n"/>
      <c r="H1991" s="18">
        <f>IF(AND(B1991="",C1991="",D1991="",E1991=""),"",IF(B1991="","⚠ Falta fecha",IF(C1991="","⚠ Falta monto",IF(D1991="","⚠ Falta categoría",IF(ISNA(MATCH(D1991,catNom,0)),"⚠ Categoría no existe",IF(E1991="","⚠ Falta cuenta",IF(ISNA(MATCH(E1991,ctaNom,0)),"⚠ Cuenta no existe",IF(AND(OR(I1991="Transferencia",I1991="Pago tarjeta"),G1991=""),"⚠ Indica la cuenta «Hacia»",IF(AND(G1991&lt;&gt;"",G1991=E1991),"⚠ «Hacia» igual a la cuenta",IF(AND(G1991&lt;&gt;"",ISNA(MATCH(G1991,ctaNom,0))),"⚠ «Hacia» no existe",IF(AND(I1991="Pago tarjeta",IFERROR(INDEX(ctaTipo,MATCH(G1991,ctaNom,0)),"")&lt;&gt;"Tarjeta de crédito"),"⚠ «Hacia» debe ser la tarjeta",IF(AND(I1991="Trading",IFERROR(INDEX(ctaTipo,MATCH(E1991,ctaNom,0)),"")&lt;&gt;"Cuenta de trading"),"⚠ Usa la cuenta de trading","✓"))))))))))))</f>
        <v/>
      </c>
      <c r="I1991" s="19">
        <f>IF(OR(B1991="",C1991="",D1991=""),"",IFERROR(INDEX(catTipo,MATCH(D1991,catNom,0))&amp;"",""))</f>
        <v/>
      </c>
      <c r="J1991" s="19">
        <f>IF(I1991="","",IFERROR(INDEX(catGrupo,MATCH(D1991,catNom,0))&amp;"",""))</f>
        <v/>
      </c>
      <c r="K1991" s="19">
        <f>IF(I1991="Gasto",IF(IFERROR(INDEX(catClas,MATCH(D1991,catNom,0))&amp;"","")="","Variable",IFERROR(INDEX(catClas,MATCH(D1991,catNom,0))&amp;"","")),"")</f>
        <v/>
      </c>
      <c r="L1991" s="19">
        <f>IF(I1991="","",IFERROR(INDEX(catAlim,MATCH(D1991,catNom,0))&amp;"",""))</f>
        <v/>
      </c>
      <c r="M1991" s="19">
        <f>IF(I1991="","",IFERROR(INDEX(catComida,MATCH(D1991,catNom,0))&amp;"",""))</f>
        <v/>
      </c>
      <c r="N1991" s="19">
        <f>IF(I1991="","",IFERROR(INDEX(ctaMon,MATCH(E1991,ctaNom,0))&amp;"","DOP"))</f>
        <v/>
      </c>
      <c r="O1991" s="20">
        <f>IF(I1991="","",C1991*IF(N1991="USD",TasaUSD,1))</f>
        <v/>
      </c>
      <c r="P1991" s="20">
        <f>IF(I1991="","",IF(I1991="Gasto",O1991,0))</f>
        <v/>
      </c>
      <c r="Q1991" s="20">
        <f>IF(I1991="","",IF(I1991="Ingreso",O1991,0))</f>
        <v/>
      </c>
      <c r="R1991" s="20">
        <f>IF(I1991="","",IF(I1991="Trading",O1991,0))</f>
        <v/>
      </c>
      <c r="S1991" s="19">
        <f>IF(I1991="","",IF(AND(I1991="Gasto",K1991="Variable",J1991&lt;&gt;"Trading",O1991&gt;0,O1991&lt;=Umbral),1,0))</f>
        <v/>
      </c>
      <c r="T1991" s="20">
        <f>IF(OR(I1991="",E1991=""),"",IF(OR(I1991="Gasto",I1991="Transferencia",I1991="Pago tarjeta"),-1,1)*C1991)</f>
        <v/>
      </c>
      <c r="U1991" s="20">
        <f>IF(OR(G1991="",AND(I1991&lt;&gt;"Transferencia",I1991&lt;&gt;"Pago tarjeta")),"",IF(IFERROR(INDEX(ctaMon,MATCH(G1991,ctaNom,0))&amp;"","DOP")=N1991,C1991,IF(N1991="USD",C1991*TasaUSD,C1991/TasaUSD)))</f>
        <v/>
      </c>
      <c r="V1991" s="20">
        <f>IF(I1991="","",IF(IFERROR(INDEX(ctaLiq,MATCH(E1991,ctaNom,0))="Sí",FALSE),IF(OR(I1991="Gasto",I1991="Transferencia",I1991="Pago tarjeta"),-1,1)*O1991,0)+IF(AND(U1991&lt;&gt;"",IFERROR(INDEX(ctaLiq,MATCH(G1991,ctaNom,0))="Sí",FALSE)),O1991,0))</f>
        <v/>
      </c>
      <c r="W1991" s="19">
        <f>IF(OR(F1991="",I1991=""),"",IF(COUNTIFS(F$6:F1991,F1991,I$6:I1991,"?*")=1,MAX(W$5:W1990)+1,""))</f>
        <v/>
      </c>
    </row>
    <row r="1992">
      <c r="B1992" s="15" t="n"/>
      <c r="C1992" s="16" t="n"/>
      <c r="D1992" s="17" t="n"/>
      <c r="E1992" s="17" t="n"/>
      <c r="F1992" s="17" t="n"/>
      <c r="G1992" s="17" t="n"/>
      <c r="H1992" s="18">
        <f>IF(AND(B1992="",C1992="",D1992="",E1992=""),"",IF(B1992="","⚠ Falta fecha",IF(C1992="","⚠ Falta monto",IF(D1992="","⚠ Falta categoría",IF(ISNA(MATCH(D1992,catNom,0)),"⚠ Categoría no existe",IF(E1992="","⚠ Falta cuenta",IF(ISNA(MATCH(E1992,ctaNom,0)),"⚠ Cuenta no existe",IF(AND(OR(I1992="Transferencia",I1992="Pago tarjeta"),G1992=""),"⚠ Indica la cuenta «Hacia»",IF(AND(G1992&lt;&gt;"",G1992=E1992),"⚠ «Hacia» igual a la cuenta",IF(AND(G1992&lt;&gt;"",ISNA(MATCH(G1992,ctaNom,0))),"⚠ «Hacia» no existe",IF(AND(I1992="Pago tarjeta",IFERROR(INDEX(ctaTipo,MATCH(G1992,ctaNom,0)),"")&lt;&gt;"Tarjeta de crédito"),"⚠ «Hacia» debe ser la tarjeta",IF(AND(I1992="Trading",IFERROR(INDEX(ctaTipo,MATCH(E1992,ctaNom,0)),"")&lt;&gt;"Cuenta de trading"),"⚠ Usa la cuenta de trading","✓"))))))))))))</f>
        <v/>
      </c>
      <c r="I1992" s="19">
        <f>IF(OR(B1992="",C1992="",D1992=""),"",IFERROR(INDEX(catTipo,MATCH(D1992,catNom,0))&amp;"",""))</f>
        <v/>
      </c>
      <c r="J1992" s="19">
        <f>IF(I1992="","",IFERROR(INDEX(catGrupo,MATCH(D1992,catNom,0))&amp;"",""))</f>
        <v/>
      </c>
      <c r="K1992" s="19">
        <f>IF(I1992="Gasto",IF(IFERROR(INDEX(catClas,MATCH(D1992,catNom,0))&amp;"","")="","Variable",IFERROR(INDEX(catClas,MATCH(D1992,catNom,0))&amp;"","")),"")</f>
        <v/>
      </c>
      <c r="L1992" s="19">
        <f>IF(I1992="","",IFERROR(INDEX(catAlim,MATCH(D1992,catNom,0))&amp;"",""))</f>
        <v/>
      </c>
      <c r="M1992" s="19">
        <f>IF(I1992="","",IFERROR(INDEX(catComida,MATCH(D1992,catNom,0))&amp;"",""))</f>
        <v/>
      </c>
      <c r="N1992" s="19">
        <f>IF(I1992="","",IFERROR(INDEX(ctaMon,MATCH(E1992,ctaNom,0))&amp;"","DOP"))</f>
        <v/>
      </c>
      <c r="O1992" s="20">
        <f>IF(I1992="","",C1992*IF(N1992="USD",TasaUSD,1))</f>
        <v/>
      </c>
      <c r="P1992" s="20">
        <f>IF(I1992="","",IF(I1992="Gasto",O1992,0))</f>
        <v/>
      </c>
      <c r="Q1992" s="20">
        <f>IF(I1992="","",IF(I1992="Ingreso",O1992,0))</f>
        <v/>
      </c>
      <c r="R1992" s="20">
        <f>IF(I1992="","",IF(I1992="Trading",O1992,0))</f>
        <v/>
      </c>
      <c r="S1992" s="19">
        <f>IF(I1992="","",IF(AND(I1992="Gasto",K1992="Variable",J1992&lt;&gt;"Trading",O1992&gt;0,O1992&lt;=Umbral),1,0))</f>
        <v/>
      </c>
      <c r="T1992" s="20">
        <f>IF(OR(I1992="",E1992=""),"",IF(OR(I1992="Gasto",I1992="Transferencia",I1992="Pago tarjeta"),-1,1)*C1992)</f>
        <v/>
      </c>
      <c r="U1992" s="20">
        <f>IF(OR(G1992="",AND(I1992&lt;&gt;"Transferencia",I1992&lt;&gt;"Pago tarjeta")),"",IF(IFERROR(INDEX(ctaMon,MATCH(G1992,ctaNom,0))&amp;"","DOP")=N1992,C1992,IF(N1992="USD",C1992*TasaUSD,C1992/TasaUSD)))</f>
        <v/>
      </c>
      <c r="V1992" s="20">
        <f>IF(I1992="","",IF(IFERROR(INDEX(ctaLiq,MATCH(E1992,ctaNom,0))="Sí",FALSE),IF(OR(I1992="Gasto",I1992="Transferencia",I1992="Pago tarjeta"),-1,1)*O1992,0)+IF(AND(U1992&lt;&gt;"",IFERROR(INDEX(ctaLiq,MATCH(G1992,ctaNom,0))="Sí",FALSE)),O1992,0))</f>
        <v/>
      </c>
      <c r="W1992" s="19">
        <f>IF(OR(F1992="",I1992=""),"",IF(COUNTIFS(F$6:F1992,F1992,I$6:I1992,"?*")=1,MAX(W$5:W1991)+1,""))</f>
        <v/>
      </c>
    </row>
    <row r="1993">
      <c r="B1993" s="15" t="n"/>
      <c r="C1993" s="16" t="n"/>
      <c r="D1993" s="17" t="n"/>
      <c r="E1993" s="17" t="n"/>
      <c r="F1993" s="17" t="n"/>
      <c r="G1993" s="17" t="n"/>
      <c r="H1993" s="18">
        <f>IF(AND(B1993="",C1993="",D1993="",E1993=""),"",IF(B1993="","⚠ Falta fecha",IF(C1993="","⚠ Falta monto",IF(D1993="","⚠ Falta categoría",IF(ISNA(MATCH(D1993,catNom,0)),"⚠ Categoría no existe",IF(E1993="","⚠ Falta cuenta",IF(ISNA(MATCH(E1993,ctaNom,0)),"⚠ Cuenta no existe",IF(AND(OR(I1993="Transferencia",I1993="Pago tarjeta"),G1993=""),"⚠ Indica la cuenta «Hacia»",IF(AND(G1993&lt;&gt;"",G1993=E1993),"⚠ «Hacia» igual a la cuenta",IF(AND(G1993&lt;&gt;"",ISNA(MATCH(G1993,ctaNom,0))),"⚠ «Hacia» no existe",IF(AND(I1993="Pago tarjeta",IFERROR(INDEX(ctaTipo,MATCH(G1993,ctaNom,0)),"")&lt;&gt;"Tarjeta de crédito"),"⚠ «Hacia» debe ser la tarjeta",IF(AND(I1993="Trading",IFERROR(INDEX(ctaTipo,MATCH(E1993,ctaNom,0)),"")&lt;&gt;"Cuenta de trading"),"⚠ Usa la cuenta de trading","✓"))))))))))))</f>
        <v/>
      </c>
      <c r="I1993" s="19">
        <f>IF(OR(B1993="",C1993="",D1993=""),"",IFERROR(INDEX(catTipo,MATCH(D1993,catNom,0))&amp;"",""))</f>
        <v/>
      </c>
      <c r="J1993" s="19">
        <f>IF(I1993="","",IFERROR(INDEX(catGrupo,MATCH(D1993,catNom,0))&amp;"",""))</f>
        <v/>
      </c>
      <c r="K1993" s="19">
        <f>IF(I1993="Gasto",IF(IFERROR(INDEX(catClas,MATCH(D1993,catNom,0))&amp;"","")="","Variable",IFERROR(INDEX(catClas,MATCH(D1993,catNom,0))&amp;"","")),"")</f>
        <v/>
      </c>
      <c r="L1993" s="19">
        <f>IF(I1993="","",IFERROR(INDEX(catAlim,MATCH(D1993,catNom,0))&amp;"",""))</f>
        <v/>
      </c>
      <c r="M1993" s="19">
        <f>IF(I1993="","",IFERROR(INDEX(catComida,MATCH(D1993,catNom,0))&amp;"",""))</f>
        <v/>
      </c>
      <c r="N1993" s="19">
        <f>IF(I1993="","",IFERROR(INDEX(ctaMon,MATCH(E1993,ctaNom,0))&amp;"","DOP"))</f>
        <v/>
      </c>
      <c r="O1993" s="20">
        <f>IF(I1993="","",C1993*IF(N1993="USD",TasaUSD,1))</f>
        <v/>
      </c>
      <c r="P1993" s="20">
        <f>IF(I1993="","",IF(I1993="Gasto",O1993,0))</f>
        <v/>
      </c>
      <c r="Q1993" s="20">
        <f>IF(I1993="","",IF(I1993="Ingreso",O1993,0))</f>
        <v/>
      </c>
      <c r="R1993" s="20">
        <f>IF(I1993="","",IF(I1993="Trading",O1993,0))</f>
        <v/>
      </c>
      <c r="S1993" s="19">
        <f>IF(I1993="","",IF(AND(I1993="Gasto",K1993="Variable",J1993&lt;&gt;"Trading",O1993&gt;0,O1993&lt;=Umbral),1,0))</f>
        <v/>
      </c>
      <c r="T1993" s="20">
        <f>IF(OR(I1993="",E1993=""),"",IF(OR(I1993="Gasto",I1993="Transferencia",I1993="Pago tarjeta"),-1,1)*C1993)</f>
        <v/>
      </c>
      <c r="U1993" s="20">
        <f>IF(OR(G1993="",AND(I1993&lt;&gt;"Transferencia",I1993&lt;&gt;"Pago tarjeta")),"",IF(IFERROR(INDEX(ctaMon,MATCH(G1993,ctaNom,0))&amp;"","DOP")=N1993,C1993,IF(N1993="USD",C1993*TasaUSD,C1993/TasaUSD)))</f>
        <v/>
      </c>
      <c r="V1993" s="20">
        <f>IF(I1993="","",IF(IFERROR(INDEX(ctaLiq,MATCH(E1993,ctaNom,0))="Sí",FALSE),IF(OR(I1993="Gasto",I1993="Transferencia",I1993="Pago tarjeta"),-1,1)*O1993,0)+IF(AND(U1993&lt;&gt;"",IFERROR(INDEX(ctaLiq,MATCH(G1993,ctaNom,0))="Sí",FALSE)),O1993,0))</f>
        <v/>
      </c>
      <c r="W1993" s="19">
        <f>IF(OR(F1993="",I1993=""),"",IF(COUNTIFS(F$6:F1993,F1993,I$6:I1993,"?*")=1,MAX(W$5:W1992)+1,""))</f>
        <v/>
      </c>
    </row>
    <row r="1994">
      <c r="B1994" s="15" t="n"/>
      <c r="C1994" s="16" t="n"/>
      <c r="D1994" s="17" t="n"/>
      <c r="E1994" s="17" t="n"/>
      <c r="F1994" s="17" t="n"/>
      <c r="G1994" s="17" t="n"/>
      <c r="H1994" s="18">
        <f>IF(AND(B1994="",C1994="",D1994="",E1994=""),"",IF(B1994="","⚠ Falta fecha",IF(C1994="","⚠ Falta monto",IF(D1994="","⚠ Falta categoría",IF(ISNA(MATCH(D1994,catNom,0)),"⚠ Categoría no existe",IF(E1994="","⚠ Falta cuenta",IF(ISNA(MATCH(E1994,ctaNom,0)),"⚠ Cuenta no existe",IF(AND(OR(I1994="Transferencia",I1994="Pago tarjeta"),G1994=""),"⚠ Indica la cuenta «Hacia»",IF(AND(G1994&lt;&gt;"",G1994=E1994),"⚠ «Hacia» igual a la cuenta",IF(AND(G1994&lt;&gt;"",ISNA(MATCH(G1994,ctaNom,0))),"⚠ «Hacia» no existe",IF(AND(I1994="Pago tarjeta",IFERROR(INDEX(ctaTipo,MATCH(G1994,ctaNom,0)),"")&lt;&gt;"Tarjeta de crédito"),"⚠ «Hacia» debe ser la tarjeta",IF(AND(I1994="Trading",IFERROR(INDEX(ctaTipo,MATCH(E1994,ctaNom,0)),"")&lt;&gt;"Cuenta de trading"),"⚠ Usa la cuenta de trading","✓"))))))))))))</f>
        <v/>
      </c>
      <c r="I1994" s="19">
        <f>IF(OR(B1994="",C1994="",D1994=""),"",IFERROR(INDEX(catTipo,MATCH(D1994,catNom,0))&amp;"",""))</f>
        <v/>
      </c>
      <c r="J1994" s="19">
        <f>IF(I1994="","",IFERROR(INDEX(catGrupo,MATCH(D1994,catNom,0))&amp;"",""))</f>
        <v/>
      </c>
      <c r="K1994" s="19">
        <f>IF(I1994="Gasto",IF(IFERROR(INDEX(catClas,MATCH(D1994,catNom,0))&amp;"","")="","Variable",IFERROR(INDEX(catClas,MATCH(D1994,catNom,0))&amp;"","")),"")</f>
        <v/>
      </c>
      <c r="L1994" s="19">
        <f>IF(I1994="","",IFERROR(INDEX(catAlim,MATCH(D1994,catNom,0))&amp;"",""))</f>
        <v/>
      </c>
      <c r="M1994" s="19">
        <f>IF(I1994="","",IFERROR(INDEX(catComida,MATCH(D1994,catNom,0))&amp;"",""))</f>
        <v/>
      </c>
      <c r="N1994" s="19">
        <f>IF(I1994="","",IFERROR(INDEX(ctaMon,MATCH(E1994,ctaNom,0))&amp;"","DOP"))</f>
        <v/>
      </c>
      <c r="O1994" s="20">
        <f>IF(I1994="","",C1994*IF(N1994="USD",TasaUSD,1))</f>
        <v/>
      </c>
      <c r="P1994" s="20">
        <f>IF(I1994="","",IF(I1994="Gasto",O1994,0))</f>
        <v/>
      </c>
      <c r="Q1994" s="20">
        <f>IF(I1994="","",IF(I1994="Ingreso",O1994,0))</f>
        <v/>
      </c>
      <c r="R1994" s="20">
        <f>IF(I1994="","",IF(I1994="Trading",O1994,0))</f>
        <v/>
      </c>
      <c r="S1994" s="19">
        <f>IF(I1994="","",IF(AND(I1994="Gasto",K1994="Variable",J1994&lt;&gt;"Trading",O1994&gt;0,O1994&lt;=Umbral),1,0))</f>
        <v/>
      </c>
      <c r="T1994" s="20">
        <f>IF(OR(I1994="",E1994=""),"",IF(OR(I1994="Gasto",I1994="Transferencia",I1994="Pago tarjeta"),-1,1)*C1994)</f>
        <v/>
      </c>
      <c r="U1994" s="20">
        <f>IF(OR(G1994="",AND(I1994&lt;&gt;"Transferencia",I1994&lt;&gt;"Pago tarjeta")),"",IF(IFERROR(INDEX(ctaMon,MATCH(G1994,ctaNom,0))&amp;"","DOP")=N1994,C1994,IF(N1994="USD",C1994*TasaUSD,C1994/TasaUSD)))</f>
        <v/>
      </c>
      <c r="V1994" s="20">
        <f>IF(I1994="","",IF(IFERROR(INDEX(ctaLiq,MATCH(E1994,ctaNom,0))="Sí",FALSE),IF(OR(I1994="Gasto",I1994="Transferencia",I1994="Pago tarjeta"),-1,1)*O1994,0)+IF(AND(U1994&lt;&gt;"",IFERROR(INDEX(ctaLiq,MATCH(G1994,ctaNom,0))="Sí",FALSE)),O1994,0))</f>
        <v/>
      </c>
      <c r="W1994" s="19">
        <f>IF(OR(F1994="",I1994=""),"",IF(COUNTIFS(F$6:F1994,F1994,I$6:I1994,"?*")=1,MAX(W$5:W1993)+1,""))</f>
        <v/>
      </c>
    </row>
    <row r="1995">
      <c r="B1995" s="15" t="n"/>
      <c r="C1995" s="16" t="n"/>
      <c r="D1995" s="17" t="n"/>
      <c r="E1995" s="17" t="n"/>
      <c r="F1995" s="17" t="n"/>
      <c r="G1995" s="17" t="n"/>
      <c r="H1995" s="18">
        <f>IF(AND(B1995="",C1995="",D1995="",E1995=""),"",IF(B1995="","⚠ Falta fecha",IF(C1995="","⚠ Falta monto",IF(D1995="","⚠ Falta categoría",IF(ISNA(MATCH(D1995,catNom,0)),"⚠ Categoría no existe",IF(E1995="","⚠ Falta cuenta",IF(ISNA(MATCH(E1995,ctaNom,0)),"⚠ Cuenta no existe",IF(AND(OR(I1995="Transferencia",I1995="Pago tarjeta"),G1995=""),"⚠ Indica la cuenta «Hacia»",IF(AND(G1995&lt;&gt;"",G1995=E1995),"⚠ «Hacia» igual a la cuenta",IF(AND(G1995&lt;&gt;"",ISNA(MATCH(G1995,ctaNom,0))),"⚠ «Hacia» no existe",IF(AND(I1995="Pago tarjeta",IFERROR(INDEX(ctaTipo,MATCH(G1995,ctaNom,0)),"")&lt;&gt;"Tarjeta de crédito"),"⚠ «Hacia» debe ser la tarjeta",IF(AND(I1995="Trading",IFERROR(INDEX(ctaTipo,MATCH(E1995,ctaNom,0)),"")&lt;&gt;"Cuenta de trading"),"⚠ Usa la cuenta de trading","✓"))))))))))))</f>
        <v/>
      </c>
      <c r="I1995" s="19">
        <f>IF(OR(B1995="",C1995="",D1995=""),"",IFERROR(INDEX(catTipo,MATCH(D1995,catNom,0))&amp;"",""))</f>
        <v/>
      </c>
      <c r="J1995" s="19">
        <f>IF(I1995="","",IFERROR(INDEX(catGrupo,MATCH(D1995,catNom,0))&amp;"",""))</f>
        <v/>
      </c>
      <c r="K1995" s="19">
        <f>IF(I1995="Gasto",IF(IFERROR(INDEX(catClas,MATCH(D1995,catNom,0))&amp;"","")="","Variable",IFERROR(INDEX(catClas,MATCH(D1995,catNom,0))&amp;"","")),"")</f>
        <v/>
      </c>
      <c r="L1995" s="19">
        <f>IF(I1995="","",IFERROR(INDEX(catAlim,MATCH(D1995,catNom,0))&amp;"",""))</f>
        <v/>
      </c>
      <c r="M1995" s="19">
        <f>IF(I1995="","",IFERROR(INDEX(catComida,MATCH(D1995,catNom,0))&amp;"",""))</f>
        <v/>
      </c>
      <c r="N1995" s="19">
        <f>IF(I1995="","",IFERROR(INDEX(ctaMon,MATCH(E1995,ctaNom,0))&amp;"","DOP"))</f>
        <v/>
      </c>
      <c r="O1995" s="20">
        <f>IF(I1995="","",C1995*IF(N1995="USD",TasaUSD,1))</f>
        <v/>
      </c>
      <c r="P1995" s="20">
        <f>IF(I1995="","",IF(I1995="Gasto",O1995,0))</f>
        <v/>
      </c>
      <c r="Q1995" s="20">
        <f>IF(I1995="","",IF(I1995="Ingreso",O1995,0))</f>
        <v/>
      </c>
      <c r="R1995" s="20">
        <f>IF(I1995="","",IF(I1995="Trading",O1995,0))</f>
        <v/>
      </c>
      <c r="S1995" s="19">
        <f>IF(I1995="","",IF(AND(I1995="Gasto",K1995="Variable",J1995&lt;&gt;"Trading",O1995&gt;0,O1995&lt;=Umbral),1,0))</f>
        <v/>
      </c>
      <c r="T1995" s="20">
        <f>IF(OR(I1995="",E1995=""),"",IF(OR(I1995="Gasto",I1995="Transferencia",I1995="Pago tarjeta"),-1,1)*C1995)</f>
        <v/>
      </c>
      <c r="U1995" s="20">
        <f>IF(OR(G1995="",AND(I1995&lt;&gt;"Transferencia",I1995&lt;&gt;"Pago tarjeta")),"",IF(IFERROR(INDEX(ctaMon,MATCH(G1995,ctaNom,0))&amp;"","DOP")=N1995,C1995,IF(N1995="USD",C1995*TasaUSD,C1995/TasaUSD)))</f>
        <v/>
      </c>
      <c r="V1995" s="20">
        <f>IF(I1995="","",IF(IFERROR(INDEX(ctaLiq,MATCH(E1995,ctaNom,0))="Sí",FALSE),IF(OR(I1995="Gasto",I1995="Transferencia",I1995="Pago tarjeta"),-1,1)*O1995,0)+IF(AND(U1995&lt;&gt;"",IFERROR(INDEX(ctaLiq,MATCH(G1995,ctaNom,0))="Sí",FALSE)),O1995,0))</f>
        <v/>
      </c>
      <c r="W1995" s="19">
        <f>IF(OR(F1995="",I1995=""),"",IF(COUNTIFS(F$6:F1995,F1995,I$6:I1995,"?*")=1,MAX(W$5:W1994)+1,""))</f>
        <v/>
      </c>
    </row>
    <row r="1996">
      <c r="B1996" s="15" t="n"/>
      <c r="C1996" s="16" t="n"/>
      <c r="D1996" s="17" t="n"/>
      <c r="E1996" s="17" t="n"/>
      <c r="F1996" s="17" t="n"/>
      <c r="G1996" s="17" t="n"/>
      <c r="H1996" s="18">
        <f>IF(AND(B1996="",C1996="",D1996="",E1996=""),"",IF(B1996="","⚠ Falta fecha",IF(C1996="","⚠ Falta monto",IF(D1996="","⚠ Falta categoría",IF(ISNA(MATCH(D1996,catNom,0)),"⚠ Categoría no existe",IF(E1996="","⚠ Falta cuenta",IF(ISNA(MATCH(E1996,ctaNom,0)),"⚠ Cuenta no existe",IF(AND(OR(I1996="Transferencia",I1996="Pago tarjeta"),G1996=""),"⚠ Indica la cuenta «Hacia»",IF(AND(G1996&lt;&gt;"",G1996=E1996),"⚠ «Hacia» igual a la cuenta",IF(AND(G1996&lt;&gt;"",ISNA(MATCH(G1996,ctaNom,0))),"⚠ «Hacia» no existe",IF(AND(I1996="Pago tarjeta",IFERROR(INDEX(ctaTipo,MATCH(G1996,ctaNom,0)),"")&lt;&gt;"Tarjeta de crédito"),"⚠ «Hacia» debe ser la tarjeta",IF(AND(I1996="Trading",IFERROR(INDEX(ctaTipo,MATCH(E1996,ctaNom,0)),"")&lt;&gt;"Cuenta de trading"),"⚠ Usa la cuenta de trading","✓"))))))))))))</f>
        <v/>
      </c>
      <c r="I1996" s="19">
        <f>IF(OR(B1996="",C1996="",D1996=""),"",IFERROR(INDEX(catTipo,MATCH(D1996,catNom,0))&amp;"",""))</f>
        <v/>
      </c>
      <c r="J1996" s="19">
        <f>IF(I1996="","",IFERROR(INDEX(catGrupo,MATCH(D1996,catNom,0))&amp;"",""))</f>
        <v/>
      </c>
      <c r="K1996" s="19">
        <f>IF(I1996="Gasto",IF(IFERROR(INDEX(catClas,MATCH(D1996,catNom,0))&amp;"","")="","Variable",IFERROR(INDEX(catClas,MATCH(D1996,catNom,0))&amp;"","")),"")</f>
        <v/>
      </c>
      <c r="L1996" s="19">
        <f>IF(I1996="","",IFERROR(INDEX(catAlim,MATCH(D1996,catNom,0))&amp;"",""))</f>
        <v/>
      </c>
      <c r="M1996" s="19">
        <f>IF(I1996="","",IFERROR(INDEX(catComida,MATCH(D1996,catNom,0))&amp;"",""))</f>
        <v/>
      </c>
      <c r="N1996" s="19">
        <f>IF(I1996="","",IFERROR(INDEX(ctaMon,MATCH(E1996,ctaNom,0))&amp;"","DOP"))</f>
        <v/>
      </c>
      <c r="O1996" s="20">
        <f>IF(I1996="","",C1996*IF(N1996="USD",TasaUSD,1))</f>
        <v/>
      </c>
      <c r="P1996" s="20">
        <f>IF(I1996="","",IF(I1996="Gasto",O1996,0))</f>
        <v/>
      </c>
      <c r="Q1996" s="20">
        <f>IF(I1996="","",IF(I1996="Ingreso",O1996,0))</f>
        <v/>
      </c>
      <c r="R1996" s="20">
        <f>IF(I1996="","",IF(I1996="Trading",O1996,0))</f>
        <v/>
      </c>
      <c r="S1996" s="19">
        <f>IF(I1996="","",IF(AND(I1996="Gasto",K1996="Variable",J1996&lt;&gt;"Trading",O1996&gt;0,O1996&lt;=Umbral),1,0))</f>
        <v/>
      </c>
      <c r="T1996" s="20">
        <f>IF(OR(I1996="",E1996=""),"",IF(OR(I1996="Gasto",I1996="Transferencia",I1996="Pago tarjeta"),-1,1)*C1996)</f>
        <v/>
      </c>
      <c r="U1996" s="20">
        <f>IF(OR(G1996="",AND(I1996&lt;&gt;"Transferencia",I1996&lt;&gt;"Pago tarjeta")),"",IF(IFERROR(INDEX(ctaMon,MATCH(G1996,ctaNom,0))&amp;"","DOP")=N1996,C1996,IF(N1996="USD",C1996*TasaUSD,C1996/TasaUSD)))</f>
        <v/>
      </c>
      <c r="V1996" s="20">
        <f>IF(I1996="","",IF(IFERROR(INDEX(ctaLiq,MATCH(E1996,ctaNom,0))="Sí",FALSE),IF(OR(I1996="Gasto",I1996="Transferencia",I1996="Pago tarjeta"),-1,1)*O1996,0)+IF(AND(U1996&lt;&gt;"",IFERROR(INDEX(ctaLiq,MATCH(G1996,ctaNom,0))="Sí",FALSE)),O1996,0))</f>
        <v/>
      </c>
      <c r="W1996" s="19">
        <f>IF(OR(F1996="",I1996=""),"",IF(COUNTIFS(F$6:F1996,F1996,I$6:I1996,"?*")=1,MAX(W$5:W1995)+1,""))</f>
        <v/>
      </c>
    </row>
    <row r="1997">
      <c r="B1997" s="15" t="n"/>
      <c r="C1997" s="16" t="n"/>
      <c r="D1997" s="17" t="n"/>
      <c r="E1997" s="17" t="n"/>
      <c r="F1997" s="17" t="n"/>
      <c r="G1997" s="17" t="n"/>
      <c r="H1997" s="18">
        <f>IF(AND(B1997="",C1997="",D1997="",E1997=""),"",IF(B1997="","⚠ Falta fecha",IF(C1997="","⚠ Falta monto",IF(D1997="","⚠ Falta categoría",IF(ISNA(MATCH(D1997,catNom,0)),"⚠ Categoría no existe",IF(E1997="","⚠ Falta cuenta",IF(ISNA(MATCH(E1997,ctaNom,0)),"⚠ Cuenta no existe",IF(AND(OR(I1997="Transferencia",I1997="Pago tarjeta"),G1997=""),"⚠ Indica la cuenta «Hacia»",IF(AND(G1997&lt;&gt;"",G1997=E1997),"⚠ «Hacia» igual a la cuenta",IF(AND(G1997&lt;&gt;"",ISNA(MATCH(G1997,ctaNom,0))),"⚠ «Hacia» no existe",IF(AND(I1997="Pago tarjeta",IFERROR(INDEX(ctaTipo,MATCH(G1997,ctaNom,0)),"")&lt;&gt;"Tarjeta de crédito"),"⚠ «Hacia» debe ser la tarjeta",IF(AND(I1997="Trading",IFERROR(INDEX(ctaTipo,MATCH(E1997,ctaNom,0)),"")&lt;&gt;"Cuenta de trading"),"⚠ Usa la cuenta de trading","✓"))))))))))))</f>
        <v/>
      </c>
      <c r="I1997" s="19">
        <f>IF(OR(B1997="",C1997="",D1997=""),"",IFERROR(INDEX(catTipo,MATCH(D1997,catNom,0))&amp;"",""))</f>
        <v/>
      </c>
      <c r="J1997" s="19">
        <f>IF(I1997="","",IFERROR(INDEX(catGrupo,MATCH(D1997,catNom,0))&amp;"",""))</f>
        <v/>
      </c>
      <c r="K1997" s="19">
        <f>IF(I1997="Gasto",IF(IFERROR(INDEX(catClas,MATCH(D1997,catNom,0))&amp;"","")="","Variable",IFERROR(INDEX(catClas,MATCH(D1997,catNom,0))&amp;"","")),"")</f>
        <v/>
      </c>
      <c r="L1997" s="19">
        <f>IF(I1997="","",IFERROR(INDEX(catAlim,MATCH(D1997,catNom,0))&amp;"",""))</f>
        <v/>
      </c>
      <c r="M1997" s="19">
        <f>IF(I1997="","",IFERROR(INDEX(catComida,MATCH(D1997,catNom,0))&amp;"",""))</f>
        <v/>
      </c>
      <c r="N1997" s="19">
        <f>IF(I1997="","",IFERROR(INDEX(ctaMon,MATCH(E1997,ctaNom,0))&amp;"","DOP"))</f>
        <v/>
      </c>
      <c r="O1997" s="20">
        <f>IF(I1997="","",C1997*IF(N1997="USD",TasaUSD,1))</f>
        <v/>
      </c>
      <c r="P1997" s="20">
        <f>IF(I1997="","",IF(I1997="Gasto",O1997,0))</f>
        <v/>
      </c>
      <c r="Q1997" s="20">
        <f>IF(I1997="","",IF(I1997="Ingreso",O1997,0))</f>
        <v/>
      </c>
      <c r="R1997" s="20">
        <f>IF(I1997="","",IF(I1997="Trading",O1997,0))</f>
        <v/>
      </c>
      <c r="S1997" s="19">
        <f>IF(I1997="","",IF(AND(I1997="Gasto",K1997="Variable",J1997&lt;&gt;"Trading",O1997&gt;0,O1997&lt;=Umbral),1,0))</f>
        <v/>
      </c>
      <c r="T1997" s="20">
        <f>IF(OR(I1997="",E1997=""),"",IF(OR(I1997="Gasto",I1997="Transferencia",I1997="Pago tarjeta"),-1,1)*C1997)</f>
        <v/>
      </c>
      <c r="U1997" s="20">
        <f>IF(OR(G1997="",AND(I1997&lt;&gt;"Transferencia",I1997&lt;&gt;"Pago tarjeta")),"",IF(IFERROR(INDEX(ctaMon,MATCH(G1997,ctaNom,0))&amp;"","DOP")=N1997,C1997,IF(N1997="USD",C1997*TasaUSD,C1997/TasaUSD)))</f>
        <v/>
      </c>
      <c r="V1997" s="20">
        <f>IF(I1997="","",IF(IFERROR(INDEX(ctaLiq,MATCH(E1997,ctaNom,0))="Sí",FALSE),IF(OR(I1997="Gasto",I1997="Transferencia",I1997="Pago tarjeta"),-1,1)*O1997,0)+IF(AND(U1997&lt;&gt;"",IFERROR(INDEX(ctaLiq,MATCH(G1997,ctaNom,0))="Sí",FALSE)),O1997,0))</f>
        <v/>
      </c>
      <c r="W1997" s="19">
        <f>IF(OR(F1997="",I1997=""),"",IF(COUNTIFS(F$6:F1997,F1997,I$6:I1997,"?*")=1,MAX(W$5:W1996)+1,""))</f>
        <v/>
      </c>
    </row>
    <row r="1998">
      <c r="B1998" s="15" t="n"/>
      <c r="C1998" s="16" t="n"/>
      <c r="D1998" s="17" t="n"/>
      <c r="E1998" s="17" t="n"/>
      <c r="F1998" s="17" t="n"/>
      <c r="G1998" s="17" t="n"/>
      <c r="H1998" s="18">
        <f>IF(AND(B1998="",C1998="",D1998="",E1998=""),"",IF(B1998="","⚠ Falta fecha",IF(C1998="","⚠ Falta monto",IF(D1998="","⚠ Falta categoría",IF(ISNA(MATCH(D1998,catNom,0)),"⚠ Categoría no existe",IF(E1998="","⚠ Falta cuenta",IF(ISNA(MATCH(E1998,ctaNom,0)),"⚠ Cuenta no existe",IF(AND(OR(I1998="Transferencia",I1998="Pago tarjeta"),G1998=""),"⚠ Indica la cuenta «Hacia»",IF(AND(G1998&lt;&gt;"",G1998=E1998),"⚠ «Hacia» igual a la cuenta",IF(AND(G1998&lt;&gt;"",ISNA(MATCH(G1998,ctaNom,0))),"⚠ «Hacia» no existe",IF(AND(I1998="Pago tarjeta",IFERROR(INDEX(ctaTipo,MATCH(G1998,ctaNom,0)),"")&lt;&gt;"Tarjeta de crédito"),"⚠ «Hacia» debe ser la tarjeta",IF(AND(I1998="Trading",IFERROR(INDEX(ctaTipo,MATCH(E1998,ctaNom,0)),"")&lt;&gt;"Cuenta de trading"),"⚠ Usa la cuenta de trading","✓"))))))))))))</f>
        <v/>
      </c>
      <c r="I1998" s="19">
        <f>IF(OR(B1998="",C1998="",D1998=""),"",IFERROR(INDEX(catTipo,MATCH(D1998,catNom,0))&amp;"",""))</f>
        <v/>
      </c>
      <c r="J1998" s="19">
        <f>IF(I1998="","",IFERROR(INDEX(catGrupo,MATCH(D1998,catNom,0))&amp;"",""))</f>
        <v/>
      </c>
      <c r="K1998" s="19">
        <f>IF(I1998="Gasto",IF(IFERROR(INDEX(catClas,MATCH(D1998,catNom,0))&amp;"","")="","Variable",IFERROR(INDEX(catClas,MATCH(D1998,catNom,0))&amp;"","")),"")</f>
        <v/>
      </c>
      <c r="L1998" s="19">
        <f>IF(I1998="","",IFERROR(INDEX(catAlim,MATCH(D1998,catNom,0))&amp;"",""))</f>
        <v/>
      </c>
      <c r="M1998" s="19">
        <f>IF(I1998="","",IFERROR(INDEX(catComida,MATCH(D1998,catNom,0))&amp;"",""))</f>
        <v/>
      </c>
      <c r="N1998" s="19">
        <f>IF(I1998="","",IFERROR(INDEX(ctaMon,MATCH(E1998,ctaNom,0))&amp;"","DOP"))</f>
        <v/>
      </c>
      <c r="O1998" s="20">
        <f>IF(I1998="","",C1998*IF(N1998="USD",TasaUSD,1))</f>
        <v/>
      </c>
      <c r="P1998" s="20">
        <f>IF(I1998="","",IF(I1998="Gasto",O1998,0))</f>
        <v/>
      </c>
      <c r="Q1998" s="20">
        <f>IF(I1998="","",IF(I1998="Ingreso",O1998,0))</f>
        <v/>
      </c>
      <c r="R1998" s="20">
        <f>IF(I1998="","",IF(I1998="Trading",O1998,0))</f>
        <v/>
      </c>
      <c r="S1998" s="19">
        <f>IF(I1998="","",IF(AND(I1998="Gasto",K1998="Variable",J1998&lt;&gt;"Trading",O1998&gt;0,O1998&lt;=Umbral),1,0))</f>
        <v/>
      </c>
      <c r="T1998" s="20">
        <f>IF(OR(I1998="",E1998=""),"",IF(OR(I1998="Gasto",I1998="Transferencia",I1998="Pago tarjeta"),-1,1)*C1998)</f>
        <v/>
      </c>
      <c r="U1998" s="20">
        <f>IF(OR(G1998="",AND(I1998&lt;&gt;"Transferencia",I1998&lt;&gt;"Pago tarjeta")),"",IF(IFERROR(INDEX(ctaMon,MATCH(G1998,ctaNom,0))&amp;"","DOP")=N1998,C1998,IF(N1998="USD",C1998*TasaUSD,C1998/TasaUSD)))</f>
        <v/>
      </c>
      <c r="V1998" s="20">
        <f>IF(I1998="","",IF(IFERROR(INDEX(ctaLiq,MATCH(E1998,ctaNom,0))="Sí",FALSE),IF(OR(I1998="Gasto",I1998="Transferencia",I1998="Pago tarjeta"),-1,1)*O1998,0)+IF(AND(U1998&lt;&gt;"",IFERROR(INDEX(ctaLiq,MATCH(G1998,ctaNom,0))="Sí",FALSE)),O1998,0))</f>
        <v/>
      </c>
      <c r="W1998" s="19">
        <f>IF(OR(F1998="",I1998=""),"",IF(COUNTIFS(F$6:F1998,F1998,I$6:I1998,"?*")=1,MAX(W$5:W1997)+1,""))</f>
        <v/>
      </c>
    </row>
    <row r="1999">
      <c r="B1999" s="15" t="n"/>
      <c r="C1999" s="16" t="n"/>
      <c r="D1999" s="17" t="n"/>
      <c r="E1999" s="17" t="n"/>
      <c r="F1999" s="17" t="n"/>
      <c r="G1999" s="17" t="n"/>
      <c r="H1999" s="18">
        <f>IF(AND(B1999="",C1999="",D1999="",E1999=""),"",IF(B1999="","⚠ Falta fecha",IF(C1999="","⚠ Falta monto",IF(D1999="","⚠ Falta categoría",IF(ISNA(MATCH(D1999,catNom,0)),"⚠ Categoría no existe",IF(E1999="","⚠ Falta cuenta",IF(ISNA(MATCH(E1999,ctaNom,0)),"⚠ Cuenta no existe",IF(AND(OR(I1999="Transferencia",I1999="Pago tarjeta"),G1999=""),"⚠ Indica la cuenta «Hacia»",IF(AND(G1999&lt;&gt;"",G1999=E1999),"⚠ «Hacia» igual a la cuenta",IF(AND(G1999&lt;&gt;"",ISNA(MATCH(G1999,ctaNom,0))),"⚠ «Hacia» no existe",IF(AND(I1999="Pago tarjeta",IFERROR(INDEX(ctaTipo,MATCH(G1999,ctaNom,0)),"")&lt;&gt;"Tarjeta de crédito"),"⚠ «Hacia» debe ser la tarjeta",IF(AND(I1999="Trading",IFERROR(INDEX(ctaTipo,MATCH(E1999,ctaNom,0)),"")&lt;&gt;"Cuenta de trading"),"⚠ Usa la cuenta de trading","✓"))))))))))))</f>
        <v/>
      </c>
      <c r="I1999" s="19">
        <f>IF(OR(B1999="",C1999="",D1999=""),"",IFERROR(INDEX(catTipo,MATCH(D1999,catNom,0))&amp;"",""))</f>
        <v/>
      </c>
      <c r="J1999" s="19">
        <f>IF(I1999="","",IFERROR(INDEX(catGrupo,MATCH(D1999,catNom,0))&amp;"",""))</f>
        <v/>
      </c>
      <c r="K1999" s="19">
        <f>IF(I1999="Gasto",IF(IFERROR(INDEX(catClas,MATCH(D1999,catNom,0))&amp;"","")="","Variable",IFERROR(INDEX(catClas,MATCH(D1999,catNom,0))&amp;"","")),"")</f>
        <v/>
      </c>
      <c r="L1999" s="19">
        <f>IF(I1999="","",IFERROR(INDEX(catAlim,MATCH(D1999,catNom,0))&amp;"",""))</f>
        <v/>
      </c>
      <c r="M1999" s="19">
        <f>IF(I1999="","",IFERROR(INDEX(catComida,MATCH(D1999,catNom,0))&amp;"",""))</f>
        <v/>
      </c>
      <c r="N1999" s="19">
        <f>IF(I1999="","",IFERROR(INDEX(ctaMon,MATCH(E1999,ctaNom,0))&amp;"","DOP"))</f>
        <v/>
      </c>
      <c r="O1999" s="20">
        <f>IF(I1999="","",C1999*IF(N1999="USD",TasaUSD,1))</f>
        <v/>
      </c>
      <c r="P1999" s="20">
        <f>IF(I1999="","",IF(I1999="Gasto",O1999,0))</f>
        <v/>
      </c>
      <c r="Q1999" s="20">
        <f>IF(I1999="","",IF(I1999="Ingreso",O1999,0))</f>
        <v/>
      </c>
      <c r="R1999" s="20">
        <f>IF(I1999="","",IF(I1999="Trading",O1999,0))</f>
        <v/>
      </c>
      <c r="S1999" s="19">
        <f>IF(I1999="","",IF(AND(I1999="Gasto",K1999="Variable",J1999&lt;&gt;"Trading",O1999&gt;0,O1999&lt;=Umbral),1,0))</f>
        <v/>
      </c>
      <c r="T1999" s="20">
        <f>IF(OR(I1999="",E1999=""),"",IF(OR(I1999="Gasto",I1999="Transferencia",I1999="Pago tarjeta"),-1,1)*C1999)</f>
        <v/>
      </c>
      <c r="U1999" s="20">
        <f>IF(OR(G1999="",AND(I1999&lt;&gt;"Transferencia",I1999&lt;&gt;"Pago tarjeta")),"",IF(IFERROR(INDEX(ctaMon,MATCH(G1999,ctaNom,0))&amp;"","DOP")=N1999,C1999,IF(N1999="USD",C1999*TasaUSD,C1999/TasaUSD)))</f>
        <v/>
      </c>
      <c r="V1999" s="20">
        <f>IF(I1999="","",IF(IFERROR(INDEX(ctaLiq,MATCH(E1999,ctaNom,0))="Sí",FALSE),IF(OR(I1999="Gasto",I1999="Transferencia",I1999="Pago tarjeta"),-1,1)*O1999,0)+IF(AND(U1999&lt;&gt;"",IFERROR(INDEX(ctaLiq,MATCH(G1999,ctaNom,0))="Sí",FALSE)),O1999,0))</f>
        <v/>
      </c>
      <c r="W1999" s="19">
        <f>IF(OR(F1999="",I1999=""),"",IF(COUNTIFS(F$6:F1999,F1999,I$6:I1999,"?*")=1,MAX(W$5:W1998)+1,""))</f>
        <v/>
      </c>
    </row>
    <row r="2000">
      <c r="B2000" s="15" t="n"/>
      <c r="C2000" s="16" t="n"/>
      <c r="D2000" s="17" t="n"/>
      <c r="E2000" s="17" t="n"/>
      <c r="F2000" s="17" t="n"/>
      <c r="G2000" s="17" t="n"/>
      <c r="H2000" s="18">
        <f>IF(AND(B2000="",C2000="",D2000="",E2000=""),"",IF(B2000="","⚠ Falta fecha",IF(C2000="","⚠ Falta monto",IF(D2000="","⚠ Falta categoría",IF(ISNA(MATCH(D2000,catNom,0)),"⚠ Categoría no existe",IF(E2000="","⚠ Falta cuenta",IF(ISNA(MATCH(E2000,ctaNom,0)),"⚠ Cuenta no existe",IF(AND(OR(I2000="Transferencia",I2000="Pago tarjeta"),G2000=""),"⚠ Indica la cuenta «Hacia»",IF(AND(G2000&lt;&gt;"",G2000=E2000),"⚠ «Hacia» igual a la cuenta",IF(AND(G2000&lt;&gt;"",ISNA(MATCH(G2000,ctaNom,0))),"⚠ «Hacia» no existe",IF(AND(I2000="Pago tarjeta",IFERROR(INDEX(ctaTipo,MATCH(G2000,ctaNom,0)),"")&lt;&gt;"Tarjeta de crédito"),"⚠ «Hacia» debe ser la tarjeta",IF(AND(I2000="Trading",IFERROR(INDEX(ctaTipo,MATCH(E2000,ctaNom,0)),"")&lt;&gt;"Cuenta de trading"),"⚠ Usa la cuenta de trading","✓"))))))))))))</f>
        <v/>
      </c>
      <c r="I2000" s="19">
        <f>IF(OR(B2000="",C2000="",D2000=""),"",IFERROR(INDEX(catTipo,MATCH(D2000,catNom,0))&amp;"",""))</f>
        <v/>
      </c>
      <c r="J2000" s="19">
        <f>IF(I2000="","",IFERROR(INDEX(catGrupo,MATCH(D2000,catNom,0))&amp;"",""))</f>
        <v/>
      </c>
      <c r="K2000" s="19">
        <f>IF(I2000="Gasto",IF(IFERROR(INDEX(catClas,MATCH(D2000,catNom,0))&amp;"","")="","Variable",IFERROR(INDEX(catClas,MATCH(D2000,catNom,0))&amp;"","")),"")</f>
        <v/>
      </c>
      <c r="L2000" s="19">
        <f>IF(I2000="","",IFERROR(INDEX(catAlim,MATCH(D2000,catNom,0))&amp;"",""))</f>
        <v/>
      </c>
      <c r="M2000" s="19">
        <f>IF(I2000="","",IFERROR(INDEX(catComida,MATCH(D2000,catNom,0))&amp;"",""))</f>
        <v/>
      </c>
      <c r="N2000" s="19">
        <f>IF(I2000="","",IFERROR(INDEX(ctaMon,MATCH(E2000,ctaNom,0))&amp;"","DOP"))</f>
        <v/>
      </c>
      <c r="O2000" s="20">
        <f>IF(I2000="","",C2000*IF(N2000="USD",TasaUSD,1))</f>
        <v/>
      </c>
      <c r="P2000" s="20">
        <f>IF(I2000="","",IF(I2000="Gasto",O2000,0))</f>
        <v/>
      </c>
      <c r="Q2000" s="20">
        <f>IF(I2000="","",IF(I2000="Ingreso",O2000,0))</f>
        <v/>
      </c>
      <c r="R2000" s="20">
        <f>IF(I2000="","",IF(I2000="Trading",O2000,0))</f>
        <v/>
      </c>
      <c r="S2000" s="19">
        <f>IF(I2000="","",IF(AND(I2000="Gasto",K2000="Variable",J2000&lt;&gt;"Trading",O2000&gt;0,O2000&lt;=Umbral),1,0))</f>
        <v/>
      </c>
      <c r="T2000" s="20">
        <f>IF(OR(I2000="",E2000=""),"",IF(OR(I2000="Gasto",I2000="Transferencia",I2000="Pago tarjeta"),-1,1)*C2000)</f>
        <v/>
      </c>
      <c r="U2000" s="20">
        <f>IF(OR(G2000="",AND(I2000&lt;&gt;"Transferencia",I2000&lt;&gt;"Pago tarjeta")),"",IF(IFERROR(INDEX(ctaMon,MATCH(G2000,ctaNom,0))&amp;"","DOP")=N2000,C2000,IF(N2000="USD",C2000*TasaUSD,C2000/TasaUSD)))</f>
        <v/>
      </c>
      <c r="V2000" s="20">
        <f>IF(I2000="","",IF(IFERROR(INDEX(ctaLiq,MATCH(E2000,ctaNom,0))="Sí",FALSE),IF(OR(I2000="Gasto",I2000="Transferencia",I2000="Pago tarjeta"),-1,1)*O2000,0)+IF(AND(U2000&lt;&gt;"",IFERROR(INDEX(ctaLiq,MATCH(G2000,ctaNom,0))="Sí",FALSE)),O2000,0))</f>
        <v/>
      </c>
      <c r="W2000" s="19">
        <f>IF(OR(F2000="",I2000=""),"",IF(COUNTIFS(F$6:F2000,F2000,I$6:I2000,"?*")=1,MAX(W$5:W1999)+1,""))</f>
        <v/>
      </c>
    </row>
    <row r="2001">
      <c r="B2001" s="15" t="n"/>
      <c r="C2001" s="16" t="n"/>
      <c r="D2001" s="17" t="n"/>
      <c r="E2001" s="17" t="n"/>
      <c r="F2001" s="17" t="n"/>
      <c r="G2001" s="17" t="n"/>
      <c r="H2001" s="18">
        <f>IF(AND(B2001="",C2001="",D2001="",E2001=""),"",IF(B2001="","⚠ Falta fecha",IF(C2001="","⚠ Falta monto",IF(D2001="","⚠ Falta categoría",IF(ISNA(MATCH(D2001,catNom,0)),"⚠ Categoría no existe",IF(E2001="","⚠ Falta cuenta",IF(ISNA(MATCH(E2001,ctaNom,0)),"⚠ Cuenta no existe",IF(AND(OR(I2001="Transferencia",I2001="Pago tarjeta"),G2001=""),"⚠ Indica la cuenta «Hacia»",IF(AND(G2001&lt;&gt;"",G2001=E2001),"⚠ «Hacia» igual a la cuenta",IF(AND(G2001&lt;&gt;"",ISNA(MATCH(G2001,ctaNom,0))),"⚠ «Hacia» no existe",IF(AND(I2001="Pago tarjeta",IFERROR(INDEX(ctaTipo,MATCH(G2001,ctaNom,0)),"")&lt;&gt;"Tarjeta de crédito"),"⚠ «Hacia» debe ser la tarjeta",IF(AND(I2001="Trading",IFERROR(INDEX(ctaTipo,MATCH(E2001,ctaNom,0)),"")&lt;&gt;"Cuenta de trading"),"⚠ Usa la cuenta de trading","✓"))))))))))))</f>
        <v/>
      </c>
      <c r="I2001" s="19">
        <f>IF(OR(B2001="",C2001="",D2001=""),"",IFERROR(INDEX(catTipo,MATCH(D2001,catNom,0))&amp;"",""))</f>
        <v/>
      </c>
      <c r="J2001" s="19">
        <f>IF(I2001="","",IFERROR(INDEX(catGrupo,MATCH(D2001,catNom,0))&amp;"",""))</f>
        <v/>
      </c>
      <c r="K2001" s="19">
        <f>IF(I2001="Gasto",IF(IFERROR(INDEX(catClas,MATCH(D2001,catNom,0))&amp;"","")="","Variable",IFERROR(INDEX(catClas,MATCH(D2001,catNom,0))&amp;"","")),"")</f>
        <v/>
      </c>
      <c r="L2001" s="19">
        <f>IF(I2001="","",IFERROR(INDEX(catAlim,MATCH(D2001,catNom,0))&amp;"",""))</f>
        <v/>
      </c>
      <c r="M2001" s="19">
        <f>IF(I2001="","",IFERROR(INDEX(catComida,MATCH(D2001,catNom,0))&amp;"",""))</f>
        <v/>
      </c>
      <c r="N2001" s="19">
        <f>IF(I2001="","",IFERROR(INDEX(ctaMon,MATCH(E2001,ctaNom,0))&amp;"","DOP"))</f>
        <v/>
      </c>
      <c r="O2001" s="20">
        <f>IF(I2001="","",C2001*IF(N2001="USD",TasaUSD,1))</f>
        <v/>
      </c>
      <c r="P2001" s="20">
        <f>IF(I2001="","",IF(I2001="Gasto",O2001,0))</f>
        <v/>
      </c>
      <c r="Q2001" s="20">
        <f>IF(I2001="","",IF(I2001="Ingreso",O2001,0))</f>
        <v/>
      </c>
      <c r="R2001" s="20">
        <f>IF(I2001="","",IF(I2001="Trading",O2001,0))</f>
        <v/>
      </c>
      <c r="S2001" s="19">
        <f>IF(I2001="","",IF(AND(I2001="Gasto",K2001="Variable",J2001&lt;&gt;"Trading",O2001&gt;0,O2001&lt;=Umbral),1,0))</f>
        <v/>
      </c>
      <c r="T2001" s="20">
        <f>IF(OR(I2001="",E2001=""),"",IF(OR(I2001="Gasto",I2001="Transferencia",I2001="Pago tarjeta"),-1,1)*C2001)</f>
        <v/>
      </c>
      <c r="U2001" s="20">
        <f>IF(OR(G2001="",AND(I2001&lt;&gt;"Transferencia",I2001&lt;&gt;"Pago tarjeta")),"",IF(IFERROR(INDEX(ctaMon,MATCH(G2001,ctaNom,0))&amp;"","DOP")=N2001,C2001,IF(N2001="USD",C2001*TasaUSD,C2001/TasaUSD)))</f>
        <v/>
      </c>
      <c r="V2001" s="20">
        <f>IF(I2001="","",IF(IFERROR(INDEX(ctaLiq,MATCH(E2001,ctaNom,0))="Sí",FALSE),IF(OR(I2001="Gasto",I2001="Transferencia",I2001="Pago tarjeta"),-1,1)*O2001,0)+IF(AND(U2001&lt;&gt;"",IFERROR(INDEX(ctaLiq,MATCH(G2001,ctaNom,0))="Sí",FALSE)),O2001,0))</f>
        <v/>
      </c>
      <c r="W2001" s="19">
        <f>IF(OR(F2001="",I2001=""),"",IF(COUNTIFS(F$6:F2001,F2001,I$6:I2001,"?*")=1,MAX(W$5:W2000)+1,""))</f>
        <v/>
      </c>
    </row>
    <row r="2002">
      <c r="B2002" s="15" t="n"/>
      <c r="C2002" s="16" t="n"/>
      <c r="D2002" s="17" t="n"/>
      <c r="E2002" s="17" t="n"/>
      <c r="F2002" s="17" t="n"/>
      <c r="G2002" s="17" t="n"/>
      <c r="H2002" s="18">
        <f>IF(AND(B2002="",C2002="",D2002="",E2002=""),"",IF(B2002="","⚠ Falta fecha",IF(C2002="","⚠ Falta monto",IF(D2002="","⚠ Falta categoría",IF(ISNA(MATCH(D2002,catNom,0)),"⚠ Categoría no existe",IF(E2002="","⚠ Falta cuenta",IF(ISNA(MATCH(E2002,ctaNom,0)),"⚠ Cuenta no existe",IF(AND(OR(I2002="Transferencia",I2002="Pago tarjeta"),G2002=""),"⚠ Indica la cuenta «Hacia»",IF(AND(G2002&lt;&gt;"",G2002=E2002),"⚠ «Hacia» igual a la cuenta",IF(AND(G2002&lt;&gt;"",ISNA(MATCH(G2002,ctaNom,0))),"⚠ «Hacia» no existe",IF(AND(I2002="Pago tarjeta",IFERROR(INDEX(ctaTipo,MATCH(G2002,ctaNom,0)),"")&lt;&gt;"Tarjeta de crédito"),"⚠ «Hacia» debe ser la tarjeta",IF(AND(I2002="Trading",IFERROR(INDEX(ctaTipo,MATCH(E2002,ctaNom,0)),"")&lt;&gt;"Cuenta de trading"),"⚠ Usa la cuenta de trading","✓"))))))))))))</f>
        <v/>
      </c>
      <c r="I2002" s="19">
        <f>IF(OR(B2002="",C2002="",D2002=""),"",IFERROR(INDEX(catTipo,MATCH(D2002,catNom,0))&amp;"",""))</f>
        <v/>
      </c>
      <c r="J2002" s="19">
        <f>IF(I2002="","",IFERROR(INDEX(catGrupo,MATCH(D2002,catNom,0))&amp;"",""))</f>
        <v/>
      </c>
      <c r="K2002" s="19">
        <f>IF(I2002="Gasto",IF(IFERROR(INDEX(catClas,MATCH(D2002,catNom,0))&amp;"","")="","Variable",IFERROR(INDEX(catClas,MATCH(D2002,catNom,0))&amp;"","")),"")</f>
        <v/>
      </c>
      <c r="L2002" s="19">
        <f>IF(I2002="","",IFERROR(INDEX(catAlim,MATCH(D2002,catNom,0))&amp;"",""))</f>
        <v/>
      </c>
      <c r="M2002" s="19">
        <f>IF(I2002="","",IFERROR(INDEX(catComida,MATCH(D2002,catNom,0))&amp;"",""))</f>
        <v/>
      </c>
      <c r="N2002" s="19">
        <f>IF(I2002="","",IFERROR(INDEX(ctaMon,MATCH(E2002,ctaNom,0))&amp;"","DOP"))</f>
        <v/>
      </c>
      <c r="O2002" s="20">
        <f>IF(I2002="","",C2002*IF(N2002="USD",TasaUSD,1))</f>
        <v/>
      </c>
      <c r="P2002" s="20">
        <f>IF(I2002="","",IF(I2002="Gasto",O2002,0))</f>
        <v/>
      </c>
      <c r="Q2002" s="20">
        <f>IF(I2002="","",IF(I2002="Ingreso",O2002,0))</f>
        <v/>
      </c>
      <c r="R2002" s="20">
        <f>IF(I2002="","",IF(I2002="Trading",O2002,0))</f>
        <v/>
      </c>
      <c r="S2002" s="19">
        <f>IF(I2002="","",IF(AND(I2002="Gasto",K2002="Variable",J2002&lt;&gt;"Trading",O2002&gt;0,O2002&lt;=Umbral),1,0))</f>
        <v/>
      </c>
      <c r="T2002" s="20">
        <f>IF(OR(I2002="",E2002=""),"",IF(OR(I2002="Gasto",I2002="Transferencia",I2002="Pago tarjeta"),-1,1)*C2002)</f>
        <v/>
      </c>
      <c r="U2002" s="20">
        <f>IF(OR(G2002="",AND(I2002&lt;&gt;"Transferencia",I2002&lt;&gt;"Pago tarjeta")),"",IF(IFERROR(INDEX(ctaMon,MATCH(G2002,ctaNom,0))&amp;"","DOP")=N2002,C2002,IF(N2002="USD",C2002*TasaUSD,C2002/TasaUSD)))</f>
        <v/>
      </c>
      <c r="V2002" s="20">
        <f>IF(I2002="","",IF(IFERROR(INDEX(ctaLiq,MATCH(E2002,ctaNom,0))="Sí",FALSE),IF(OR(I2002="Gasto",I2002="Transferencia",I2002="Pago tarjeta"),-1,1)*O2002,0)+IF(AND(U2002&lt;&gt;"",IFERROR(INDEX(ctaLiq,MATCH(G2002,ctaNom,0))="Sí",FALSE)),O2002,0))</f>
        <v/>
      </c>
      <c r="W2002" s="19">
        <f>IF(OR(F2002="",I2002=""),"",IF(COUNTIFS(F$6:F2002,F2002,I$6:I2002,"?*")=1,MAX(W$5:W2001)+1,""))</f>
        <v/>
      </c>
    </row>
    <row r="2003">
      <c r="B2003" s="15" t="n"/>
      <c r="C2003" s="16" t="n"/>
      <c r="D2003" s="17" t="n"/>
      <c r="E2003" s="17" t="n"/>
      <c r="F2003" s="17" t="n"/>
      <c r="G2003" s="17" t="n"/>
      <c r="H2003" s="18">
        <f>IF(AND(B2003="",C2003="",D2003="",E2003=""),"",IF(B2003="","⚠ Falta fecha",IF(C2003="","⚠ Falta monto",IF(D2003="","⚠ Falta categoría",IF(ISNA(MATCH(D2003,catNom,0)),"⚠ Categoría no existe",IF(E2003="","⚠ Falta cuenta",IF(ISNA(MATCH(E2003,ctaNom,0)),"⚠ Cuenta no existe",IF(AND(OR(I2003="Transferencia",I2003="Pago tarjeta"),G2003=""),"⚠ Indica la cuenta «Hacia»",IF(AND(G2003&lt;&gt;"",G2003=E2003),"⚠ «Hacia» igual a la cuenta",IF(AND(G2003&lt;&gt;"",ISNA(MATCH(G2003,ctaNom,0))),"⚠ «Hacia» no existe",IF(AND(I2003="Pago tarjeta",IFERROR(INDEX(ctaTipo,MATCH(G2003,ctaNom,0)),"")&lt;&gt;"Tarjeta de crédito"),"⚠ «Hacia» debe ser la tarjeta",IF(AND(I2003="Trading",IFERROR(INDEX(ctaTipo,MATCH(E2003,ctaNom,0)),"")&lt;&gt;"Cuenta de trading"),"⚠ Usa la cuenta de trading","✓"))))))))))))</f>
        <v/>
      </c>
      <c r="I2003" s="19">
        <f>IF(OR(B2003="",C2003="",D2003=""),"",IFERROR(INDEX(catTipo,MATCH(D2003,catNom,0))&amp;"",""))</f>
        <v/>
      </c>
      <c r="J2003" s="19">
        <f>IF(I2003="","",IFERROR(INDEX(catGrupo,MATCH(D2003,catNom,0))&amp;"",""))</f>
        <v/>
      </c>
      <c r="K2003" s="19">
        <f>IF(I2003="Gasto",IF(IFERROR(INDEX(catClas,MATCH(D2003,catNom,0))&amp;"","")="","Variable",IFERROR(INDEX(catClas,MATCH(D2003,catNom,0))&amp;"","")),"")</f>
        <v/>
      </c>
      <c r="L2003" s="19">
        <f>IF(I2003="","",IFERROR(INDEX(catAlim,MATCH(D2003,catNom,0))&amp;"",""))</f>
        <v/>
      </c>
      <c r="M2003" s="19">
        <f>IF(I2003="","",IFERROR(INDEX(catComida,MATCH(D2003,catNom,0))&amp;"",""))</f>
        <v/>
      </c>
      <c r="N2003" s="19">
        <f>IF(I2003="","",IFERROR(INDEX(ctaMon,MATCH(E2003,ctaNom,0))&amp;"","DOP"))</f>
        <v/>
      </c>
      <c r="O2003" s="20">
        <f>IF(I2003="","",C2003*IF(N2003="USD",TasaUSD,1))</f>
        <v/>
      </c>
      <c r="P2003" s="20">
        <f>IF(I2003="","",IF(I2003="Gasto",O2003,0))</f>
        <v/>
      </c>
      <c r="Q2003" s="20">
        <f>IF(I2003="","",IF(I2003="Ingreso",O2003,0))</f>
        <v/>
      </c>
      <c r="R2003" s="20">
        <f>IF(I2003="","",IF(I2003="Trading",O2003,0))</f>
        <v/>
      </c>
      <c r="S2003" s="19">
        <f>IF(I2003="","",IF(AND(I2003="Gasto",K2003="Variable",J2003&lt;&gt;"Trading",O2003&gt;0,O2003&lt;=Umbral),1,0))</f>
        <v/>
      </c>
      <c r="T2003" s="20">
        <f>IF(OR(I2003="",E2003=""),"",IF(OR(I2003="Gasto",I2003="Transferencia",I2003="Pago tarjeta"),-1,1)*C2003)</f>
        <v/>
      </c>
      <c r="U2003" s="20">
        <f>IF(OR(G2003="",AND(I2003&lt;&gt;"Transferencia",I2003&lt;&gt;"Pago tarjeta")),"",IF(IFERROR(INDEX(ctaMon,MATCH(G2003,ctaNom,0))&amp;"","DOP")=N2003,C2003,IF(N2003="USD",C2003*TasaUSD,C2003/TasaUSD)))</f>
        <v/>
      </c>
      <c r="V2003" s="20">
        <f>IF(I2003="","",IF(IFERROR(INDEX(ctaLiq,MATCH(E2003,ctaNom,0))="Sí",FALSE),IF(OR(I2003="Gasto",I2003="Transferencia",I2003="Pago tarjeta"),-1,1)*O2003,0)+IF(AND(U2003&lt;&gt;"",IFERROR(INDEX(ctaLiq,MATCH(G2003,ctaNom,0))="Sí",FALSE)),O2003,0))</f>
        <v/>
      </c>
      <c r="W2003" s="19">
        <f>IF(OR(F2003="",I2003=""),"",IF(COUNTIFS(F$6:F2003,F2003,I$6:I2003,"?*")=1,MAX(W$5:W2002)+1,""))</f>
        <v/>
      </c>
    </row>
    <row r="2004">
      <c r="B2004" s="15" t="n"/>
      <c r="C2004" s="16" t="n"/>
      <c r="D2004" s="17" t="n"/>
      <c r="E2004" s="17" t="n"/>
      <c r="F2004" s="17" t="n"/>
      <c r="G2004" s="17" t="n"/>
      <c r="H2004" s="18">
        <f>IF(AND(B2004="",C2004="",D2004="",E2004=""),"",IF(B2004="","⚠ Falta fecha",IF(C2004="","⚠ Falta monto",IF(D2004="","⚠ Falta categoría",IF(ISNA(MATCH(D2004,catNom,0)),"⚠ Categoría no existe",IF(E2004="","⚠ Falta cuenta",IF(ISNA(MATCH(E2004,ctaNom,0)),"⚠ Cuenta no existe",IF(AND(OR(I2004="Transferencia",I2004="Pago tarjeta"),G2004=""),"⚠ Indica la cuenta «Hacia»",IF(AND(G2004&lt;&gt;"",G2004=E2004),"⚠ «Hacia» igual a la cuenta",IF(AND(G2004&lt;&gt;"",ISNA(MATCH(G2004,ctaNom,0))),"⚠ «Hacia» no existe",IF(AND(I2004="Pago tarjeta",IFERROR(INDEX(ctaTipo,MATCH(G2004,ctaNom,0)),"")&lt;&gt;"Tarjeta de crédito"),"⚠ «Hacia» debe ser la tarjeta",IF(AND(I2004="Trading",IFERROR(INDEX(ctaTipo,MATCH(E2004,ctaNom,0)),"")&lt;&gt;"Cuenta de trading"),"⚠ Usa la cuenta de trading","✓"))))))))))))</f>
        <v/>
      </c>
      <c r="I2004" s="19">
        <f>IF(OR(B2004="",C2004="",D2004=""),"",IFERROR(INDEX(catTipo,MATCH(D2004,catNom,0))&amp;"",""))</f>
        <v/>
      </c>
      <c r="J2004" s="19">
        <f>IF(I2004="","",IFERROR(INDEX(catGrupo,MATCH(D2004,catNom,0))&amp;"",""))</f>
        <v/>
      </c>
      <c r="K2004" s="19">
        <f>IF(I2004="Gasto",IF(IFERROR(INDEX(catClas,MATCH(D2004,catNom,0))&amp;"","")="","Variable",IFERROR(INDEX(catClas,MATCH(D2004,catNom,0))&amp;"","")),"")</f>
        <v/>
      </c>
      <c r="L2004" s="19">
        <f>IF(I2004="","",IFERROR(INDEX(catAlim,MATCH(D2004,catNom,0))&amp;"",""))</f>
        <v/>
      </c>
      <c r="M2004" s="19">
        <f>IF(I2004="","",IFERROR(INDEX(catComida,MATCH(D2004,catNom,0))&amp;"",""))</f>
        <v/>
      </c>
      <c r="N2004" s="19">
        <f>IF(I2004="","",IFERROR(INDEX(ctaMon,MATCH(E2004,ctaNom,0))&amp;"","DOP"))</f>
        <v/>
      </c>
      <c r="O2004" s="20">
        <f>IF(I2004="","",C2004*IF(N2004="USD",TasaUSD,1))</f>
        <v/>
      </c>
      <c r="P2004" s="20">
        <f>IF(I2004="","",IF(I2004="Gasto",O2004,0))</f>
        <v/>
      </c>
      <c r="Q2004" s="20">
        <f>IF(I2004="","",IF(I2004="Ingreso",O2004,0))</f>
        <v/>
      </c>
      <c r="R2004" s="20">
        <f>IF(I2004="","",IF(I2004="Trading",O2004,0))</f>
        <v/>
      </c>
      <c r="S2004" s="19">
        <f>IF(I2004="","",IF(AND(I2004="Gasto",K2004="Variable",J2004&lt;&gt;"Trading",O2004&gt;0,O2004&lt;=Umbral),1,0))</f>
        <v/>
      </c>
      <c r="T2004" s="20">
        <f>IF(OR(I2004="",E2004=""),"",IF(OR(I2004="Gasto",I2004="Transferencia",I2004="Pago tarjeta"),-1,1)*C2004)</f>
        <v/>
      </c>
      <c r="U2004" s="20">
        <f>IF(OR(G2004="",AND(I2004&lt;&gt;"Transferencia",I2004&lt;&gt;"Pago tarjeta")),"",IF(IFERROR(INDEX(ctaMon,MATCH(G2004,ctaNom,0))&amp;"","DOP")=N2004,C2004,IF(N2004="USD",C2004*TasaUSD,C2004/TasaUSD)))</f>
        <v/>
      </c>
      <c r="V2004" s="20">
        <f>IF(I2004="","",IF(IFERROR(INDEX(ctaLiq,MATCH(E2004,ctaNom,0))="Sí",FALSE),IF(OR(I2004="Gasto",I2004="Transferencia",I2004="Pago tarjeta"),-1,1)*O2004,0)+IF(AND(U2004&lt;&gt;"",IFERROR(INDEX(ctaLiq,MATCH(G2004,ctaNom,0))="Sí",FALSE)),O2004,0))</f>
        <v/>
      </c>
      <c r="W2004" s="19">
        <f>IF(OR(F2004="",I2004=""),"",IF(COUNTIFS(F$6:F2004,F2004,I$6:I2004,"?*")=1,MAX(W$5:W2003)+1,""))</f>
        <v/>
      </c>
    </row>
    <row r="2005">
      <c r="B2005" s="15" t="n"/>
      <c r="C2005" s="16" t="n"/>
      <c r="D2005" s="17" t="n"/>
      <c r="E2005" s="17" t="n"/>
      <c r="F2005" s="17" t="n"/>
      <c r="G2005" s="17" t="n"/>
      <c r="H2005" s="18">
        <f>IF(AND(B2005="",C2005="",D2005="",E2005=""),"",IF(B2005="","⚠ Falta fecha",IF(C2005="","⚠ Falta monto",IF(D2005="","⚠ Falta categoría",IF(ISNA(MATCH(D2005,catNom,0)),"⚠ Categoría no existe",IF(E2005="","⚠ Falta cuenta",IF(ISNA(MATCH(E2005,ctaNom,0)),"⚠ Cuenta no existe",IF(AND(OR(I2005="Transferencia",I2005="Pago tarjeta"),G2005=""),"⚠ Indica la cuenta «Hacia»",IF(AND(G2005&lt;&gt;"",G2005=E2005),"⚠ «Hacia» igual a la cuenta",IF(AND(G2005&lt;&gt;"",ISNA(MATCH(G2005,ctaNom,0))),"⚠ «Hacia» no existe",IF(AND(I2005="Pago tarjeta",IFERROR(INDEX(ctaTipo,MATCH(G2005,ctaNom,0)),"")&lt;&gt;"Tarjeta de crédito"),"⚠ «Hacia» debe ser la tarjeta",IF(AND(I2005="Trading",IFERROR(INDEX(ctaTipo,MATCH(E2005,ctaNom,0)),"")&lt;&gt;"Cuenta de trading"),"⚠ Usa la cuenta de trading","✓"))))))))))))</f>
        <v/>
      </c>
      <c r="I2005" s="19">
        <f>IF(OR(B2005="",C2005="",D2005=""),"",IFERROR(INDEX(catTipo,MATCH(D2005,catNom,0))&amp;"",""))</f>
        <v/>
      </c>
      <c r="J2005" s="19">
        <f>IF(I2005="","",IFERROR(INDEX(catGrupo,MATCH(D2005,catNom,0))&amp;"",""))</f>
        <v/>
      </c>
      <c r="K2005" s="19">
        <f>IF(I2005="Gasto",IF(IFERROR(INDEX(catClas,MATCH(D2005,catNom,0))&amp;"","")="","Variable",IFERROR(INDEX(catClas,MATCH(D2005,catNom,0))&amp;"","")),"")</f>
        <v/>
      </c>
      <c r="L2005" s="19">
        <f>IF(I2005="","",IFERROR(INDEX(catAlim,MATCH(D2005,catNom,0))&amp;"",""))</f>
        <v/>
      </c>
      <c r="M2005" s="19">
        <f>IF(I2005="","",IFERROR(INDEX(catComida,MATCH(D2005,catNom,0))&amp;"",""))</f>
        <v/>
      </c>
      <c r="N2005" s="19">
        <f>IF(I2005="","",IFERROR(INDEX(ctaMon,MATCH(E2005,ctaNom,0))&amp;"","DOP"))</f>
        <v/>
      </c>
      <c r="O2005" s="20">
        <f>IF(I2005="","",C2005*IF(N2005="USD",TasaUSD,1))</f>
        <v/>
      </c>
      <c r="P2005" s="20">
        <f>IF(I2005="","",IF(I2005="Gasto",O2005,0))</f>
        <v/>
      </c>
      <c r="Q2005" s="20">
        <f>IF(I2005="","",IF(I2005="Ingreso",O2005,0))</f>
        <v/>
      </c>
      <c r="R2005" s="20">
        <f>IF(I2005="","",IF(I2005="Trading",O2005,0))</f>
        <v/>
      </c>
      <c r="S2005" s="19">
        <f>IF(I2005="","",IF(AND(I2005="Gasto",K2005="Variable",J2005&lt;&gt;"Trading",O2005&gt;0,O2005&lt;=Umbral),1,0))</f>
        <v/>
      </c>
      <c r="T2005" s="20">
        <f>IF(OR(I2005="",E2005=""),"",IF(OR(I2005="Gasto",I2005="Transferencia",I2005="Pago tarjeta"),-1,1)*C2005)</f>
        <v/>
      </c>
      <c r="U2005" s="20">
        <f>IF(OR(G2005="",AND(I2005&lt;&gt;"Transferencia",I2005&lt;&gt;"Pago tarjeta")),"",IF(IFERROR(INDEX(ctaMon,MATCH(G2005,ctaNom,0))&amp;"","DOP")=N2005,C2005,IF(N2005="USD",C2005*TasaUSD,C2005/TasaUSD)))</f>
        <v/>
      </c>
      <c r="V2005" s="20">
        <f>IF(I2005="","",IF(IFERROR(INDEX(ctaLiq,MATCH(E2005,ctaNom,0))="Sí",FALSE),IF(OR(I2005="Gasto",I2005="Transferencia",I2005="Pago tarjeta"),-1,1)*O2005,0)+IF(AND(U2005&lt;&gt;"",IFERROR(INDEX(ctaLiq,MATCH(G2005,ctaNom,0))="Sí",FALSE)),O2005,0))</f>
        <v/>
      </c>
      <c r="W2005" s="19">
        <f>IF(OR(F2005="",I2005=""),"",IF(COUNTIFS(F$6:F2005,F2005,I$6:I2005,"?*")=1,MAX(W$5:W2004)+1,""))</f>
        <v/>
      </c>
    </row>
    <row r="2006">
      <c r="B2006" s="15" t="n"/>
      <c r="C2006" s="16" t="n"/>
      <c r="D2006" s="17" t="n"/>
      <c r="E2006" s="17" t="n"/>
      <c r="F2006" s="17" t="n"/>
      <c r="G2006" s="17" t="n"/>
      <c r="H2006" s="18">
        <f>IF(AND(B2006="",C2006="",D2006="",E2006=""),"",IF(B2006="","⚠ Falta fecha",IF(C2006="","⚠ Falta monto",IF(D2006="","⚠ Falta categoría",IF(ISNA(MATCH(D2006,catNom,0)),"⚠ Categoría no existe",IF(E2006="","⚠ Falta cuenta",IF(ISNA(MATCH(E2006,ctaNom,0)),"⚠ Cuenta no existe",IF(AND(OR(I2006="Transferencia",I2006="Pago tarjeta"),G2006=""),"⚠ Indica la cuenta «Hacia»",IF(AND(G2006&lt;&gt;"",G2006=E2006),"⚠ «Hacia» igual a la cuenta",IF(AND(G2006&lt;&gt;"",ISNA(MATCH(G2006,ctaNom,0))),"⚠ «Hacia» no existe",IF(AND(I2006="Pago tarjeta",IFERROR(INDEX(ctaTipo,MATCH(G2006,ctaNom,0)),"")&lt;&gt;"Tarjeta de crédito"),"⚠ «Hacia» debe ser la tarjeta",IF(AND(I2006="Trading",IFERROR(INDEX(ctaTipo,MATCH(E2006,ctaNom,0)),"")&lt;&gt;"Cuenta de trading"),"⚠ Usa la cuenta de trading","✓"))))))))))))</f>
        <v/>
      </c>
      <c r="I2006" s="19">
        <f>IF(OR(B2006="",C2006="",D2006=""),"",IFERROR(INDEX(catTipo,MATCH(D2006,catNom,0))&amp;"",""))</f>
        <v/>
      </c>
      <c r="J2006" s="19">
        <f>IF(I2006="","",IFERROR(INDEX(catGrupo,MATCH(D2006,catNom,0))&amp;"",""))</f>
        <v/>
      </c>
      <c r="K2006" s="19">
        <f>IF(I2006="Gasto",IF(IFERROR(INDEX(catClas,MATCH(D2006,catNom,0))&amp;"","")="","Variable",IFERROR(INDEX(catClas,MATCH(D2006,catNom,0))&amp;"","")),"")</f>
        <v/>
      </c>
      <c r="L2006" s="19">
        <f>IF(I2006="","",IFERROR(INDEX(catAlim,MATCH(D2006,catNom,0))&amp;"",""))</f>
        <v/>
      </c>
      <c r="M2006" s="19">
        <f>IF(I2006="","",IFERROR(INDEX(catComida,MATCH(D2006,catNom,0))&amp;"",""))</f>
        <v/>
      </c>
      <c r="N2006" s="19">
        <f>IF(I2006="","",IFERROR(INDEX(ctaMon,MATCH(E2006,ctaNom,0))&amp;"","DOP"))</f>
        <v/>
      </c>
      <c r="O2006" s="20">
        <f>IF(I2006="","",C2006*IF(N2006="USD",TasaUSD,1))</f>
        <v/>
      </c>
      <c r="P2006" s="20">
        <f>IF(I2006="","",IF(I2006="Gasto",O2006,0))</f>
        <v/>
      </c>
      <c r="Q2006" s="20">
        <f>IF(I2006="","",IF(I2006="Ingreso",O2006,0))</f>
        <v/>
      </c>
      <c r="R2006" s="20">
        <f>IF(I2006="","",IF(I2006="Trading",O2006,0))</f>
        <v/>
      </c>
      <c r="S2006" s="19">
        <f>IF(I2006="","",IF(AND(I2006="Gasto",K2006="Variable",J2006&lt;&gt;"Trading",O2006&gt;0,O2006&lt;=Umbral),1,0))</f>
        <v/>
      </c>
      <c r="T2006" s="20">
        <f>IF(OR(I2006="",E2006=""),"",IF(OR(I2006="Gasto",I2006="Transferencia",I2006="Pago tarjeta"),-1,1)*C2006)</f>
        <v/>
      </c>
      <c r="U2006" s="20">
        <f>IF(OR(G2006="",AND(I2006&lt;&gt;"Transferencia",I2006&lt;&gt;"Pago tarjeta")),"",IF(IFERROR(INDEX(ctaMon,MATCH(G2006,ctaNom,0))&amp;"","DOP")=N2006,C2006,IF(N2006="USD",C2006*TasaUSD,C2006/TasaUSD)))</f>
        <v/>
      </c>
      <c r="V2006" s="20">
        <f>IF(I2006="","",IF(IFERROR(INDEX(ctaLiq,MATCH(E2006,ctaNom,0))="Sí",FALSE),IF(OR(I2006="Gasto",I2006="Transferencia",I2006="Pago tarjeta"),-1,1)*O2006,0)+IF(AND(U2006&lt;&gt;"",IFERROR(INDEX(ctaLiq,MATCH(G2006,ctaNom,0))="Sí",FALSE)),O2006,0))</f>
        <v/>
      </c>
      <c r="W2006" s="19">
        <f>IF(OR(F2006="",I2006=""),"",IF(COUNTIFS(F$6:F2006,F2006,I$6:I2006,"?*")=1,MAX(W$5:W2005)+1,""))</f>
        <v/>
      </c>
    </row>
    <row r="2007">
      <c r="B2007" s="15" t="n"/>
      <c r="C2007" s="16" t="n"/>
      <c r="D2007" s="17" t="n"/>
      <c r="E2007" s="17" t="n"/>
      <c r="F2007" s="17" t="n"/>
      <c r="G2007" s="17" t="n"/>
      <c r="H2007" s="18">
        <f>IF(AND(B2007="",C2007="",D2007="",E2007=""),"",IF(B2007="","⚠ Falta fecha",IF(C2007="","⚠ Falta monto",IF(D2007="","⚠ Falta categoría",IF(ISNA(MATCH(D2007,catNom,0)),"⚠ Categoría no existe",IF(E2007="","⚠ Falta cuenta",IF(ISNA(MATCH(E2007,ctaNom,0)),"⚠ Cuenta no existe",IF(AND(OR(I2007="Transferencia",I2007="Pago tarjeta"),G2007=""),"⚠ Indica la cuenta «Hacia»",IF(AND(G2007&lt;&gt;"",G2007=E2007),"⚠ «Hacia» igual a la cuenta",IF(AND(G2007&lt;&gt;"",ISNA(MATCH(G2007,ctaNom,0))),"⚠ «Hacia» no existe",IF(AND(I2007="Pago tarjeta",IFERROR(INDEX(ctaTipo,MATCH(G2007,ctaNom,0)),"")&lt;&gt;"Tarjeta de crédito"),"⚠ «Hacia» debe ser la tarjeta",IF(AND(I2007="Trading",IFERROR(INDEX(ctaTipo,MATCH(E2007,ctaNom,0)),"")&lt;&gt;"Cuenta de trading"),"⚠ Usa la cuenta de trading","✓"))))))))))))</f>
        <v/>
      </c>
      <c r="I2007" s="19">
        <f>IF(OR(B2007="",C2007="",D2007=""),"",IFERROR(INDEX(catTipo,MATCH(D2007,catNom,0))&amp;"",""))</f>
        <v/>
      </c>
      <c r="J2007" s="19">
        <f>IF(I2007="","",IFERROR(INDEX(catGrupo,MATCH(D2007,catNom,0))&amp;"",""))</f>
        <v/>
      </c>
      <c r="K2007" s="19">
        <f>IF(I2007="Gasto",IF(IFERROR(INDEX(catClas,MATCH(D2007,catNom,0))&amp;"","")="","Variable",IFERROR(INDEX(catClas,MATCH(D2007,catNom,0))&amp;"","")),"")</f>
        <v/>
      </c>
      <c r="L2007" s="19">
        <f>IF(I2007="","",IFERROR(INDEX(catAlim,MATCH(D2007,catNom,0))&amp;"",""))</f>
        <v/>
      </c>
      <c r="M2007" s="19">
        <f>IF(I2007="","",IFERROR(INDEX(catComida,MATCH(D2007,catNom,0))&amp;"",""))</f>
        <v/>
      </c>
      <c r="N2007" s="19">
        <f>IF(I2007="","",IFERROR(INDEX(ctaMon,MATCH(E2007,ctaNom,0))&amp;"","DOP"))</f>
        <v/>
      </c>
      <c r="O2007" s="20">
        <f>IF(I2007="","",C2007*IF(N2007="USD",TasaUSD,1))</f>
        <v/>
      </c>
      <c r="P2007" s="20">
        <f>IF(I2007="","",IF(I2007="Gasto",O2007,0))</f>
        <v/>
      </c>
      <c r="Q2007" s="20">
        <f>IF(I2007="","",IF(I2007="Ingreso",O2007,0))</f>
        <v/>
      </c>
      <c r="R2007" s="20">
        <f>IF(I2007="","",IF(I2007="Trading",O2007,0))</f>
        <v/>
      </c>
      <c r="S2007" s="19">
        <f>IF(I2007="","",IF(AND(I2007="Gasto",K2007="Variable",J2007&lt;&gt;"Trading",O2007&gt;0,O2007&lt;=Umbral),1,0))</f>
        <v/>
      </c>
      <c r="T2007" s="20">
        <f>IF(OR(I2007="",E2007=""),"",IF(OR(I2007="Gasto",I2007="Transferencia",I2007="Pago tarjeta"),-1,1)*C2007)</f>
        <v/>
      </c>
      <c r="U2007" s="20">
        <f>IF(OR(G2007="",AND(I2007&lt;&gt;"Transferencia",I2007&lt;&gt;"Pago tarjeta")),"",IF(IFERROR(INDEX(ctaMon,MATCH(G2007,ctaNom,0))&amp;"","DOP")=N2007,C2007,IF(N2007="USD",C2007*TasaUSD,C2007/TasaUSD)))</f>
        <v/>
      </c>
      <c r="V2007" s="20">
        <f>IF(I2007="","",IF(IFERROR(INDEX(ctaLiq,MATCH(E2007,ctaNom,0))="Sí",FALSE),IF(OR(I2007="Gasto",I2007="Transferencia",I2007="Pago tarjeta"),-1,1)*O2007,0)+IF(AND(U2007&lt;&gt;"",IFERROR(INDEX(ctaLiq,MATCH(G2007,ctaNom,0))="Sí",FALSE)),O2007,0))</f>
        <v/>
      </c>
      <c r="W2007" s="19">
        <f>IF(OR(F2007="",I2007=""),"",IF(COUNTIFS(F$6:F2007,F2007,I$6:I2007,"?*")=1,MAX(W$5:W2006)+1,""))</f>
        <v/>
      </c>
    </row>
    <row r="2008">
      <c r="B2008" s="15" t="n"/>
      <c r="C2008" s="16" t="n"/>
      <c r="D2008" s="17" t="n"/>
      <c r="E2008" s="17" t="n"/>
      <c r="F2008" s="17" t="n"/>
      <c r="G2008" s="17" t="n"/>
      <c r="H2008" s="18">
        <f>IF(AND(B2008="",C2008="",D2008="",E2008=""),"",IF(B2008="","⚠ Falta fecha",IF(C2008="","⚠ Falta monto",IF(D2008="","⚠ Falta categoría",IF(ISNA(MATCH(D2008,catNom,0)),"⚠ Categoría no existe",IF(E2008="","⚠ Falta cuenta",IF(ISNA(MATCH(E2008,ctaNom,0)),"⚠ Cuenta no existe",IF(AND(OR(I2008="Transferencia",I2008="Pago tarjeta"),G2008=""),"⚠ Indica la cuenta «Hacia»",IF(AND(G2008&lt;&gt;"",G2008=E2008),"⚠ «Hacia» igual a la cuenta",IF(AND(G2008&lt;&gt;"",ISNA(MATCH(G2008,ctaNom,0))),"⚠ «Hacia» no existe",IF(AND(I2008="Pago tarjeta",IFERROR(INDEX(ctaTipo,MATCH(G2008,ctaNom,0)),"")&lt;&gt;"Tarjeta de crédito"),"⚠ «Hacia» debe ser la tarjeta",IF(AND(I2008="Trading",IFERROR(INDEX(ctaTipo,MATCH(E2008,ctaNom,0)),"")&lt;&gt;"Cuenta de trading"),"⚠ Usa la cuenta de trading","✓"))))))))))))</f>
        <v/>
      </c>
      <c r="I2008" s="19">
        <f>IF(OR(B2008="",C2008="",D2008=""),"",IFERROR(INDEX(catTipo,MATCH(D2008,catNom,0))&amp;"",""))</f>
        <v/>
      </c>
      <c r="J2008" s="19">
        <f>IF(I2008="","",IFERROR(INDEX(catGrupo,MATCH(D2008,catNom,0))&amp;"",""))</f>
        <v/>
      </c>
      <c r="K2008" s="19">
        <f>IF(I2008="Gasto",IF(IFERROR(INDEX(catClas,MATCH(D2008,catNom,0))&amp;"","")="","Variable",IFERROR(INDEX(catClas,MATCH(D2008,catNom,0))&amp;"","")),"")</f>
        <v/>
      </c>
      <c r="L2008" s="19">
        <f>IF(I2008="","",IFERROR(INDEX(catAlim,MATCH(D2008,catNom,0))&amp;"",""))</f>
        <v/>
      </c>
      <c r="M2008" s="19">
        <f>IF(I2008="","",IFERROR(INDEX(catComida,MATCH(D2008,catNom,0))&amp;"",""))</f>
        <v/>
      </c>
      <c r="N2008" s="19">
        <f>IF(I2008="","",IFERROR(INDEX(ctaMon,MATCH(E2008,ctaNom,0))&amp;"","DOP"))</f>
        <v/>
      </c>
      <c r="O2008" s="20">
        <f>IF(I2008="","",C2008*IF(N2008="USD",TasaUSD,1))</f>
        <v/>
      </c>
      <c r="P2008" s="20">
        <f>IF(I2008="","",IF(I2008="Gasto",O2008,0))</f>
        <v/>
      </c>
      <c r="Q2008" s="20">
        <f>IF(I2008="","",IF(I2008="Ingreso",O2008,0))</f>
        <v/>
      </c>
      <c r="R2008" s="20">
        <f>IF(I2008="","",IF(I2008="Trading",O2008,0))</f>
        <v/>
      </c>
      <c r="S2008" s="19">
        <f>IF(I2008="","",IF(AND(I2008="Gasto",K2008="Variable",J2008&lt;&gt;"Trading",O2008&gt;0,O2008&lt;=Umbral),1,0))</f>
        <v/>
      </c>
      <c r="T2008" s="20">
        <f>IF(OR(I2008="",E2008=""),"",IF(OR(I2008="Gasto",I2008="Transferencia",I2008="Pago tarjeta"),-1,1)*C2008)</f>
        <v/>
      </c>
      <c r="U2008" s="20">
        <f>IF(OR(G2008="",AND(I2008&lt;&gt;"Transferencia",I2008&lt;&gt;"Pago tarjeta")),"",IF(IFERROR(INDEX(ctaMon,MATCH(G2008,ctaNom,0))&amp;"","DOP")=N2008,C2008,IF(N2008="USD",C2008*TasaUSD,C2008/TasaUSD)))</f>
        <v/>
      </c>
      <c r="V2008" s="20">
        <f>IF(I2008="","",IF(IFERROR(INDEX(ctaLiq,MATCH(E2008,ctaNom,0))="Sí",FALSE),IF(OR(I2008="Gasto",I2008="Transferencia",I2008="Pago tarjeta"),-1,1)*O2008,0)+IF(AND(U2008&lt;&gt;"",IFERROR(INDEX(ctaLiq,MATCH(G2008,ctaNom,0))="Sí",FALSE)),O2008,0))</f>
        <v/>
      </c>
      <c r="W2008" s="19">
        <f>IF(OR(F2008="",I2008=""),"",IF(COUNTIFS(F$6:F2008,F2008,I$6:I2008,"?*")=1,MAX(W$5:W2007)+1,""))</f>
        <v/>
      </c>
    </row>
    <row r="2009">
      <c r="B2009" s="15" t="n"/>
      <c r="C2009" s="16" t="n"/>
      <c r="D2009" s="17" t="n"/>
      <c r="E2009" s="17" t="n"/>
      <c r="F2009" s="17" t="n"/>
      <c r="G2009" s="17" t="n"/>
      <c r="H2009" s="18">
        <f>IF(AND(B2009="",C2009="",D2009="",E2009=""),"",IF(B2009="","⚠ Falta fecha",IF(C2009="","⚠ Falta monto",IF(D2009="","⚠ Falta categoría",IF(ISNA(MATCH(D2009,catNom,0)),"⚠ Categoría no existe",IF(E2009="","⚠ Falta cuenta",IF(ISNA(MATCH(E2009,ctaNom,0)),"⚠ Cuenta no existe",IF(AND(OR(I2009="Transferencia",I2009="Pago tarjeta"),G2009=""),"⚠ Indica la cuenta «Hacia»",IF(AND(G2009&lt;&gt;"",G2009=E2009),"⚠ «Hacia» igual a la cuenta",IF(AND(G2009&lt;&gt;"",ISNA(MATCH(G2009,ctaNom,0))),"⚠ «Hacia» no existe",IF(AND(I2009="Pago tarjeta",IFERROR(INDEX(ctaTipo,MATCH(G2009,ctaNom,0)),"")&lt;&gt;"Tarjeta de crédito"),"⚠ «Hacia» debe ser la tarjeta",IF(AND(I2009="Trading",IFERROR(INDEX(ctaTipo,MATCH(E2009,ctaNom,0)),"")&lt;&gt;"Cuenta de trading"),"⚠ Usa la cuenta de trading","✓"))))))))))))</f>
        <v/>
      </c>
      <c r="I2009" s="19">
        <f>IF(OR(B2009="",C2009="",D2009=""),"",IFERROR(INDEX(catTipo,MATCH(D2009,catNom,0))&amp;"",""))</f>
        <v/>
      </c>
      <c r="J2009" s="19">
        <f>IF(I2009="","",IFERROR(INDEX(catGrupo,MATCH(D2009,catNom,0))&amp;"",""))</f>
        <v/>
      </c>
      <c r="K2009" s="19">
        <f>IF(I2009="Gasto",IF(IFERROR(INDEX(catClas,MATCH(D2009,catNom,0))&amp;"","")="","Variable",IFERROR(INDEX(catClas,MATCH(D2009,catNom,0))&amp;"","")),"")</f>
        <v/>
      </c>
      <c r="L2009" s="19">
        <f>IF(I2009="","",IFERROR(INDEX(catAlim,MATCH(D2009,catNom,0))&amp;"",""))</f>
        <v/>
      </c>
      <c r="M2009" s="19">
        <f>IF(I2009="","",IFERROR(INDEX(catComida,MATCH(D2009,catNom,0))&amp;"",""))</f>
        <v/>
      </c>
      <c r="N2009" s="19">
        <f>IF(I2009="","",IFERROR(INDEX(ctaMon,MATCH(E2009,ctaNom,0))&amp;"","DOP"))</f>
        <v/>
      </c>
      <c r="O2009" s="20">
        <f>IF(I2009="","",C2009*IF(N2009="USD",TasaUSD,1))</f>
        <v/>
      </c>
      <c r="P2009" s="20">
        <f>IF(I2009="","",IF(I2009="Gasto",O2009,0))</f>
        <v/>
      </c>
      <c r="Q2009" s="20">
        <f>IF(I2009="","",IF(I2009="Ingreso",O2009,0))</f>
        <v/>
      </c>
      <c r="R2009" s="20">
        <f>IF(I2009="","",IF(I2009="Trading",O2009,0))</f>
        <v/>
      </c>
      <c r="S2009" s="19">
        <f>IF(I2009="","",IF(AND(I2009="Gasto",K2009="Variable",J2009&lt;&gt;"Trading",O2009&gt;0,O2009&lt;=Umbral),1,0))</f>
        <v/>
      </c>
      <c r="T2009" s="20">
        <f>IF(OR(I2009="",E2009=""),"",IF(OR(I2009="Gasto",I2009="Transferencia",I2009="Pago tarjeta"),-1,1)*C2009)</f>
        <v/>
      </c>
      <c r="U2009" s="20">
        <f>IF(OR(G2009="",AND(I2009&lt;&gt;"Transferencia",I2009&lt;&gt;"Pago tarjeta")),"",IF(IFERROR(INDEX(ctaMon,MATCH(G2009,ctaNom,0))&amp;"","DOP")=N2009,C2009,IF(N2009="USD",C2009*TasaUSD,C2009/TasaUSD)))</f>
        <v/>
      </c>
      <c r="V2009" s="20">
        <f>IF(I2009="","",IF(IFERROR(INDEX(ctaLiq,MATCH(E2009,ctaNom,0))="Sí",FALSE),IF(OR(I2009="Gasto",I2009="Transferencia",I2009="Pago tarjeta"),-1,1)*O2009,0)+IF(AND(U2009&lt;&gt;"",IFERROR(INDEX(ctaLiq,MATCH(G2009,ctaNom,0))="Sí",FALSE)),O2009,0))</f>
        <v/>
      </c>
      <c r="W2009" s="19">
        <f>IF(OR(F2009="",I2009=""),"",IF(COUNTIFS(F$6:F2009,F2009,I$6:I2009,"?*")=1,MAX(W$5:W2008)+1,""))</f>
        <v/>
      </c>
    </row>
    <row r="2010">
      <c r="B2010" s="15" t="n"/>
      <c r="C2010" s="16" t="n"/>
      <c r="D2010" s="17" t="n"/>
      <c r="E2010" s="17" t="n"/>
      <c r="F2010" s="17" t="n"/>
      <c r="G2010" s="17" t="n"/>
      <c r="H2010" s="18">
        <f>IF(AND(B2010="",C2010="",D2010="",E2010=""),"",IF(B2010="","⚠ Falta fecha",IF(C2010="","⚠ Falta monto",IF(D2010="","⚠ Falta categoría",IF(ISNA(MATCH(D2010,catNom,0)),"⚠ Categoría no existe",IF(E2010="","⚠ Falta cuenta",IF(ISNA(MATCH(E2010,ctaNom,0)),"⚠ Cuenta no existe",IF(AND(OR(I2010="Transferencia",I2010="Pago tarjeta"),G2010=""),"⚠ Indica la cuenta «Hacia»",IF(AND(G2010&lt;&gt;"",G2010=E2010),"⚠ «Hacia» igual a la cuenta",IF(AND(G2010&lt;&gt;"",ISNA(MATCH(G2010,ctaNom,0))),"⚠ «Hacia» no existe",IF(AND(I2010="Pago tarjeta",IFERROR(INDEX(ctaTipo,MATCH(G2010,ctaNom,0)),"")&lt;&gt;"Tarjeta de crédito"),"⚠ «Hacia» debe ser la tarjeta",IF(AND(I2010="Trading",IFERROR(INDEX(ctaTipo,MATCH(E2010,ctaNom,0)),"")&lt;&gt;"Cuenta de trading"),"⚠ Usa la cuenta de trading","✓"))))))))))))</f>
        <v/>
      </c>
      <c r="I2010" s="19">
        <f>IF(OR(B2010="",C2010="",D2010=""),"",IFERROR(INDEX(catTipo,MATCH(D2010,catNom,0))&amp;"",""))</f>
        <v/>
      </c>
      <c r="J2010" s="19">
        <f>IF(I2010="","",IFERROR(INDEX(catGrupo,MATCH(D2010,catNom,0))&amp;"",""))</f>
        <v/>
      </c>
      <c r="K2010" s="19">
        <f>IF(I2010="Gasto",IF(IFERROR(INDEX(catClas,MATCH(D2010,catNom,0))&amp;"","")="","Variable",IFERROR(INDEX(catClas,MATCH(D2010,catNom,0))&amp;"","")),"")</f>
        <v/>
      </c>
      <c r="L2010" s="19">
        <f>IF(I2010="","",IFERROR(INDEX(catAlim,MATCH(D2010,catNom,0))&amp;"",""))</f>
        <v/>
      </c>
      <c r="M2010" s="19">
        <f>IF(I2010="","",IFERROR(INDEX(catComida,MATCH(D2010,catNom,0))&amp;"",""))</f>
        <v/>
      </c>
      <c r="N2010" s="19">
        <f>IF(I2010="","",IFERROR(INDEX(ctaMon,MATCH(E2010,ctaNom,0))&amp;"","DOP"))</f>
        <v/>
      </c>
      <c r="O2010" s="20">
        <f>IF(I2010="","",C2010*IF(N2010="USD",TasaUSD,1))</f>
        <v/>
      </c>
      <c r="P2010" s="20">
        <f>IF(I2010="","",IF(I2010="Gasto",O2010,0))</f>
        <v/>
      </c>
      <c r="Q2010" s="20">
        <f>IF(I2010="","",IF(I2010="Ingreso",O2010,0))</f>
        <v/>
      </c>
      <c r="R2010" s="20">
        <f>IF(I2010="","",IF(I2010="Trading",O2010,0))</f>
        <v/>
      </c>
      <c r="S2010" s="19">
        <f>IF(I2010="","",IF(AND(I2010="Gasto",K2010="Variable",J2010&lt;&gt;"Trading",O2010&gt;0,O2010&lt;=Umbral),1,0))</f>
        <v/>
      </c>
      <c r="T2010" s="20">
        <f>IF(OR(I2010="",E2010=""),"",IF(OR(I2010="Gasto",I2010="Transferencia",I2010="Pago tarjeta"),-1,1)*C2010)</f>
        <v/>
      </c>
      <c r="U2010" s="20">
        <f>IF(OR(G2010="",AND(I2010&lt;&gt;"Transferencia",I2010&lt;&gt;"Pago tarjeta")),"",IF(IFERROR(INDEX(ctaMon,MATCH(G2010,ctaNom,0))&amp;"","DOP")=N2010,C2010,IF(N2010="USD",C2010*TasaUSD,C2010/TasaUSD)))</f>
        <v/>
      </c>
      <c r="V2010" s="20">
        <f>IF(I2010="","",IF(IFERROR(INDEX(ctaLiq,MATCH(E2010,ctaNom,0))="Sí",FALSE),IF(OR(I2010="Gasto",I2010="Transferencia",I2010="Pago tarjeta"),-1,1)*O2010,0)+IF(AND(U2010&lt;&gt;"",IFERROR(INDEX(ctaLiq,MATCH(G2010,ctaNom,0))="Sí",FALSE)),O2010,0))</f>
        <v/>
      </c>
      <c r="W2010" s="19">
        <f>IF(OR(F2010="",I2010=""),"",IF(COUNTIFS(F$6:F2010,F2010,I$6:I2010,"?*")=1,MAX(W$5:W2009)+1,""))</f>
        <v/>
      </c>
    </row>
    <row r="2011">
      <c r="B2011" s="15" t="n"/>
      <c r="C2011" s="16" t="n"/>
      <c r="D2011" s="17" t="n"/>
      <c r="E2011" s="17" t="n"/>
      <c r="F2011" s="17" t="n"/>
      <c r="G2011" s="17" t="n"/>
      <c r="H2011" s="18">
        <f>IF(AND(B2011="",C2011="",D2011="",E2011=""),"",IF(B2011="","⚠ Falta fecha",IF(C2011="","⚠ Falta monto",IF(D2011="","⚠ Falta categoría",IF(ISNA(MATCH(D2011,catNom,0)),"⚠ Categoría no existe",IF(E2011="","⚠ Falta cuenta",IF(ISNA(MATCH(E2011,ctaNom,0)),"⚠ Cuenta no existe",IF(AND(OR(I2011="Transferencia",I2011="Pago tarjeta"),G2011=""),"⚠ Indica la cuenta «Hacia»",IF(AND(G2011&lt;&gt;"",G2011=E2011),"⚠ «Hacia» igual a la cuenta",IF(AND(G2011&lt;&gt;"",ISNA(MATCH(G2011,ctaNom,0))),"⚠ «Hacia» no existe",IF(AND(I2011="Pago tarjeta",IFERROR(INDEX(ctaTipo,MATCH(G2011,ctaNom,0)),"")&lt;&gt;"Tarjeta de crédito"),"⚠ «Hacia» debe ser la tarjeta",IF(AND(I2011="Trading",IFERROR(INDEX(ctaTipo,MATCH(E2011,ctaNom,0)),"")&lt;&gt;"Cuenta de trading"),"⚠ Usa la cuenta de trading","✓"))))))))))))</f>
        <v/>
      </c>
      <c r="I2011" s="19">
        <f>IF(OR(B2011="",C2011="",D2011=""),"",IFERROR(INDEX(catTipo,MATCH(D2011,catNom,0))&amp;"",""))</f>
        <v/>
      </c>
      <c r="J2011" s="19">
        <f>IF(I2011="","",IFERROR(INDEX(catGrupo,MATCH(D2011,catNom,0))&amp;"",""))</f>
        <v/>
      </c>
      <c r="K2011" s="19">
        <f>IF(I2011="Gasto",IF(IFERROR(INDEX(catClas,MATCH(D2011,catNom,0))&amp;"","")="","Variable",IFERROR(INDEX(catClas,MATCH(D2011,catNom,0))&amp;"","")),"")</f>
        <v/>
      </c>
      <c r="L2011" s="19">
        <f>IF(I2011="","",IFERROR(INDEX(catAlim,MATCH(D2011,catNom,0))&amp;"",""))</f>
        <v/>
      </c>
      <c r="M2011" s="19">
        <f>IF(I2011="","",IFERROR(INDEX(catComida,MATCH(D2011,catNom,0))&amp;"",""))</f>
        <v/>
      </c>
      <c r="N2011" s="19">
        <f>IF(I2011="","",IFERROR(INDEX(ctaMon,MATCH(E2011,ctaNom,0))&amp;"","DOP"))</f>
        <v/>
      </c>
      <c r="O2011" s="20">
        <f>IF(I2011="","",C2011*IF(N2011="USD",TasaUSD,1))</f>
        <v/>
      </c>
      <c r="P2011" s="20">
        <f>IF(I2011="","",IF(I2011="Gasto",O2011,0))</f>
        <v/>
      </c>
      <c r="Q2011" s="20">
        <f>IF(I2011="","",IF(I2011="Ingreso",O2011,0))</f>
        <v/>
      </c>
      <c r="R2011" s="20">
        <f>IF(I2011="","",IF(I2011="Trading",O2011,0))</f>
        <v/>
      </c>
      <c r="S2011" s="19">
        <f>IF(I2011="","",IF(AND(I2011="Gasto",K2011="Variable",J2011&lt;&gt;"Trading",O2011&gt;0,O2011&lt;=Umbral),1,0))</f>
        <v/>
      </c>
      <c r="T2011" s="20">
        <f>IF(OR(I2011="",E2011=""),"",IF(OR(I2011="Gasto",I2011="Transferencia",I2011="Pago tarjeta"),-1,1)*C2011)</f>
        <v/>
      </c>
      <c r="U2011" s="20">
        <f>IF(OR(G2011="",AND(I2011&lt;&gt;"Transferencia",I2011&lt;&gt;"Pago tarjeta")),"",IF(IFERROR(INDEX(ctaMon,MATCH(G2011,ctaNom,0))&amp;"","DOP")=N2011,C2011,IF(N2011="USD",C2011*TasaUSD,C2011/TasaUSD)))</f>
        <v/>
      </c>
      <c r="V2011" s="20">
        <f>IF(I2011="","",IF(IFERROR(INDEX(ctaLiq,MATCH(E2011,ctaNom,0))="Sí",FALSE),IF(OR(I2011="Gasto",I2011="Transferencia",I2011="Pago tarjeta"),-1,1)*O2011,0)+IF(AND(U2011&lt;&gt;"",IFERROR(INDEX(ctaLiq,MATCH(G2011,ctaNom,0))="Sí",FALSE)),O2011,0))</f>
        <v/>
      </c>
      <c r="W2011" s="19">
        <f>IF(OR(F2011="",I2011=""),"",IF(COUNTIFS(F$6:F2011,F2011,I$6:I2011,"?*")=1,MAX(W$5:W2010)+1,""))</f>
        <v/>
      </c>
    </row>
    <row r="2012">
      <c r="B2012" s="15" t="n"/>
      <c r="C2012" s="16" t="n"/>
      <c r="D2012" s="17" t="n"/>
      <c r="E2012" s="17" t="n"/>
      <c r="F2012" s="17" t="n"/>
      <c r="G2012" s="17" t="n"/>
      <c r="H2012" s="18">
        <f>IF(AND(B2012="",C2012="",D2012="",E2012=""),"",IF(B2012="","⚠ Falta fecha",IF(C2012="","⚠ Falta monto",IF(D2012="","⚠ Falta categoría",IF(ISNA(MATCH(D2012,catNom,0)),"⚠ Categoría no existe",IF(E2012="","⚠ Falta cuenta",IF(ISNA(MATCH(E2012,ctaNom,0)),"⚠ Cuenta no existe",IF(AND(OR(I2012="Transferencia",I2012="Pago tarjeta"),G2012=""),"⚠ Indica la cuenta «Hacia»",IF(AND(G2012&lt;&gt;"",G2012=E2012),"⚠ «Hacia» igual a la cuenta",IF(AND(G2012&lt;&gt;"",ISNA(MATCH(G2012,ctaNom,0))),"⚠ «Hacia» no existe",IF(AND(I2012="Pago tarjeta",IFERROR(INDEX(ctaTipo,MATCH(G2012,ctaNom,0)),"")&lt;&gt;"Tarjeta de crédito"),"⚠ «Hacia» debe ser la tarjeta",IF(AND(I2012="Trading",IFERROR(INDEX(ctaTipo,MATCH(E2012,ctaNom,0)),"")&lt;&gt;"Cuenta de trading"),"⚠ Usa la cuenta de trading","✓"))))))))))))</f>
        <v/>
      </c>
      <c r="I2012" s="19">
        <f>IF(OR(B2012="",C2012="",D2012=""),"",IFERROR(INDEX(catTipo,MATCH(D2012,catNom,0))&amp;"",""))</f>
        <v/>
      </c>
      <c r="J2012" s="19">
        <f>IF(I2012="","",IFERROR(INDEX(catGrupo,MATCH(D2012,catNom,0))&amp;"",""))</f>
        <v/>
      </c>
      <c r="K2012" s="19">
        <f>IF(I2012="Gasto",IF(IFERROR(INDEX(catClas,MATCH(D2012,catNom,0))&amp;"","")="","Variable",IFERROR(INDEX(catClas,MATCH(D2012,catNom,0))&amp;"","")),"")</f>
        <v/>
      </c>
      <c r="L2012" s="19">
        <f>IF(I2012="","",IFERROR(INDEX(catAlim,MATCH(D2012,catNom,0))&amp;"",""))</f>
        <v/>
      </c>
      <c r="M2012" s="19">
        <f>IF(I2012="","",IFERROR(INDEX(catComida,MATCH(D2012,catNom,0))&amp;"",""))</f>
        <v/>
      </c>
      <c r="N2012" s="19">
        <f>IF(I2012="","",IFERROR(INDEX(ctaMon,MATCH(E2012,ctaNom,0))&amp;"","DOP"))</f>
        <v/>
      </c>
      <c r="O2012" s="20">
        <f>IF(I2012="","",C2012*IF(N2012="USD",TasaUSD,1))</f>
        <v/>
      </c>
      <c r="P2012" s="20">
        <f>IF(I2012="","",IF(I2012="Gasto",O2012,0))</f>
        <v/>
      </c>
      <c r="Q2012" s="20">
        <f>IF(I2012="","",IF(I2012="Ingreso",O2012,0))</f>
        <v/>
      </c>
      <c r="R2012" s="20">
        <f>IF(I2012="","",IF(I2012="Trading",O2012,0))</f>
        <v/>
      </c>
      <c r="S2012" s="19">
        <f>IF(I2012="","",IF(AND(I2012="Gasto",K2012="Variable",J2012&lt;&gt;"Trading",O2012&gt;0,O2012&lt;=Umbral),1,0))</f>
        <v/>
      </c>
      <c r="T2012" s="20">
        <f>IF(OR(I2012="",E2012=""),"",IF(OR(I2012="Gasto",I2012="Transferencia",I2012="Pago tarjeta"),-1,1)*C2012)</f>
        <v/>
      </c>
      <c r="U2012" s="20">
        <f>IF(OR(G2012="",AND(I2012&lt;&gt;"Transferencia",I2012&lt;&gt;"Pago tarjeta")),"",IF(IFERROR(INDEX(ctaMon,MATCH(G2012,ctaNom,0))&amp;"","DOP")=N2012,C2012,IF(N2012="USD",C2012*TasaUSD,C2012/TasaUSD)))</f>
        <v/>
      </c>
      <c r="V2012" s="20">
        <f>IF(I2012="","",IF(IFERROR(INDEX(ctaLiq,MATCH(E2012,ctaNom,0))="Sí",FALSE),IF(OR(I2012="Gasto",I2012="Transferencia",I2012="Pago tarjeta"),-1,1)*O2012,0)+IF(AND(U2012&lt;&gt;"",IFERROR(INDEX(ctaLiq,MATCH(G2012,ctaNom,0))="Sí",FALSE)),O2012,0))</f>
        <v/>
      </c>
      <c r="W2012" s="19">
        <f>IF(OR(F2012="",I2012=""),"",IF(COUNTIFS(F$6:F2012,F2012,I$6:I2012,"?*")=1,MAX(W$5:W2011)+1,""))</f>
        <v/>
      </c>
    </row>
    <row r="2013">
      <c r="B2013" s="15" t="n"/>
      <c r="C2013" s="16" t="n"/>
      <c r="D2013" s="17" t="n"/>
      <c r="E2013" s="17" t="n"/>
      <c r="F2013" s="17" t="n"/>
      <c r="G2013" s="17" t="n"/>
      <c r="H2013" s="18">
        <f>IF(AND(B2013="",C2013="",D2013="",E2013=""),"",IF(B2013="","⚠ Falta fecha",IF(C2013="","⚠ Falta monto",IF(D2013="","⚠ Falta categoría",IF(ISNA(MATCH(D2013,catNom,0)),"⚠ Categoría no existe",IF(E2013="","⚠ Falta cuenta",IF(ISNA(MATCH(E2013,ctaNom,0)),"⚠ Cuenta no existe",IF(AND(OR(I2013="Transferencia",I2013="Pago tarjeta"),G2013=""),"⚠ Indica la cuenta «Hacia»",IF(AND(G2013&lt;&gt;"",G2013=E2013),"⚠ «Hacia» igual a la cuenta",IF(AND(G2013&lt;&gt;"",ISNA(MATCH(G2013,ctaNom,0))),"⚠ «Hacia» no existe",IF(AND(I2013="Pago tarjeta",IFERROR(INDEX(ctaTipo,MATCH(G2013,ctaNom,0)),"")&lt;&gt;"Tarjeta de crédito"),"⚠ «Hacia» debe ser la tarjeta",IF(AND(I2013="Trading",IFERROR(INDEX(ctaTipo,MATCH(E2013,ctaNom,0)),"")&lt;&gt;"Cuenta de trading"),"⚠ Usa la cuenta de trading","✓"))))))))))))</f>
        <v/>
      </c>
      <c r="I2013" s="19">
        <f>IF(OR(B2013="",C2013="",D2013=""),"",IFERROR(INDEX(catTipo,MATCH(D2013,catNom,0))&amp;"",""))</f>
        <v/>
      </c>
      <c r="J2013" s="19">
        <f>IF(I2013="","",IFERROR(INDEX(catGrupo,MATCH(D2013,catNom,0))&amp;"",""))</f>
        <v/>
      </c>
      <c r="K2013" s="19">
        <f>IF(I2013="Gasto",IF(IFERROR(INDEX(catClas,MATCH(D2013,catNom,0))&amp;"","")="","Variable",IFERROR(INDEX(catClas,MATCH(D2013,catNom,0))&amp;"","")),"")</f>
        <v/>
      </c>
      <c r="L2013" s="19">
        <f>IF(I2013="","",IFERROR(INDEX(catAlim,MATCH(D2013,catNom,0))&amp;"",""))</f>
        <v/>
      </c>
      <c r="M2013" s="19">
        <f>IF(I2013="","",IFERROR(INDEX(catComida,MATCH(D2013,catNom,0))&amp;"",""))</f>
        <v/>
      </c>
      <c r="N2013" s="19">
        <f>IF(I2013="","",IFERROR(INDEX(ctaMon,MATCH(E2013,ctaNom,0))&amp;"","DOP"))</f>
        <v/>
      </c>
      <c r="O2013" s="20">
        <f>IF(I2013="","",C2013*IF(N2013="USD",TasaUSD,1))</f>
        <v/>
      </c>
      <c r="P2013" s="20">
        <f>IF(I2013="","",IF(I2013="Gasto",O2013,0))</f>
        <v/>
      </c>
      <c r="Q2013" s="20">
        <f>IF(I2013="","",IF(I2013="Ingreso",O2013,0))</f>
        <v/>
      </c>
      <c r="R2013" s="20">
        <f>IF(I2013="","",IF(I2013="Trading",O2013,0))</f>
        <v/>
      </c>
      <c r="S2013" s="19">
        <f>IF(I2013="","",IF(AND(I2013="Gasto",K2013="Variable",J2013&lt;&gt;"Trading",O2013&gt;0,O2013&lt;=Umbral),1,0))</f>
        <v/>
      </c>
      <c r="T2013" s="20">
        <f>IF(OR(I2013="",E2013=""),"",IF(OR(I2013="Gasto",I2013="Transferencia",I2013="Pago tarjeta"),-1,1)*C2013)</f>
        <v/>
      </c>
      <c r="U2013" s="20">
        <f>IF(OR(G2013="",AND(I2013&lt;&gt;"Transferencia",I2013&lt;&gt;"Pago tarjeta")),"",IF(IFERROR(INDEX(ctaMon,MATCH(G2013,ctaNom,0))&amp;"","DOP")=N2013,C2013,IF(N2013="USD",C2013*TasaUSD,C2013/TasaUSD)))</f>
        <v/>
      </c>
      <c r="V2013" s="20">
        <f>IF(I2013="","",IF(IFERROR(INDEX(ctaLiq,MATCH(E2013,ctaNom,0))="Sí",FALSE),IF(OR(I2013="Gasto",I2013="Transferencia",I2013="Pago tarjeta"),-1,1)*O2013,0)+IF(AND(U2013&lt;&gt;"",IFERROR(INDEX(ctaLiq,MATCH(G2013,ctaNom,0))="Sí",FALSE)),O2013,0))</f>
        <v/>
      </c>
      <c r="W2013" s="19">
        <f>IF(OR(F2013="",I2013=""),"",IF(COUNTIFS(F$6:F2013,F2013,I$6:I2013,"?*")=1,MAX(W$5:W2012)+1,""))</f>
        <v/>
      </c>
    </row>
    <row r="2014">
      <c r="B2014" s="15" t="n"/>
      <c r="C2014" s="16" t="n"/>
      <c r="D2014" s="17" t="n"/>
      <c r="E2014" s="17" t="n"/>
      <c r="F2014" s="17" t="n"/>
      <c r="G2014" s="17" t="n"/>
      <c r="H2014" s="18">
        <f>IF(AND(B2014="",C2014="",D2014="",E2014=""),"",IF(B2014="","⚠ Falta fecha",IF(C2014="","⚠ Falta monto",IF(D2014="","⚠ Falta categoría",IF(ISNA(MATCH(D2014,catNom,0)),"⚠ Categoría no existe",IF(E2014="","⚠ Falta cuenta",IF(ISNA(MATCH(E2014,ctaNom,0)),"⚠ Cuenta no existe",IF(AND(OR(I2014="Transferencia",I2014="Pago tarjeta"),G2014=""),"⚠ Indica la cuenta «Hacia»",IF(AND(G2014&lt;&gt;"",G2014=E2014),"⚠ «Hacia» igual a la cuenta",IF(AND(G2014&lt;&gt;"",ISNA(MATCH(G2014,ctaNom,0))),"⚠ «Hacia» no existe",IF(AND(I2014="Pago tarjeta",IFERROR(INDEX(ctaTipo,MATCH(G2014,ctaNom,0)),"")&lt;&gt;"Tarjeta de crédito"),"⚠ «Hacia» debe ser la tarjeta",IF(AND(I2014="Trading",IFERROR(INDEX(ctaTipo,MATCH(E2014,ctaNom,0)),"")&lt;&gt;"Cuenta de trading"),"⚠ Usa la cuenta de trading","✓"))))))))))))</f>
        <v/>
      </c>
      <c r="I2014" s="19">
        <f>IF(OR(B2014="",C2014="",D2014=""),"",IFERROR(INDEX(catTipo,MATCH(D2014,catNom,0))&amp;"",""))</f>
        <v/>
      </c>
      <c r="J2014" s="19">
        <f>IF(I2014="","",IFERROR(INDEX(catGrupo,MATCH(D2014,catNom,0))&amp;"",""))</f>
        <v/>
      </c>
      <c r="K2014" s="19">
        <f>IF(I2014="Gasto",IF(IFERROR(INDEX(catClas,MATCH(D2014,catNom,0))&amp;"","")="","Variable",IFERROR(INDEX(catClas,MATCH(D2014,catNom,0))&amp;"","")),"")</f>
        <v/>
      </c>
      <c r="L2014" s="19">
        <f>IF(I2014="","",IFERROR(INDEX(catAlim,MATCH(D2014,catNom,0))&amp;"",""))</f>
        <v/>
      </c>
      <c r="M2014" s="19">
        <f>IF(I2014="","",IFERROR(INDEX(catComida,MATCH(D2014,catNom,0))&amp;"",""))</f>
        <v/>
      </c>
      <c r="N2014" s="19">
        <f>IF(I2014="","",IFERROR(INDEX(ctaMon,MATCH(E2014,ctaNom,0))&amp;"","DOP"))</f>
        <v/>
      </c>
      <c r="O2014" s="20">
        <f>IF(I2014="","",C2014*IF(N2014="USD",TasaUSD,1))</f>
        <v/>
      </c>
      <c r="P2014" s="20">
        <f>IF(I2014="","",IF(I2014="Gasto",O2014,0))</f>
        <v/>
      </c>
      <c r="Q2014" s="20">
        <f>IF(I2014="","",IF(I2014="Ingreso",O2014,0))</f>
        <v/>
      </c>
      <c r="R2014" s="20">
        <f>IF(I2014="","",IF(I2014="Trading",O2014,0))</f>
        <v/>
      </c>
      <c r="S2014" s="19">
        <f>IF(I2014="","",IF(AND(I2014="Gasto",K2014="Variable",J2014&lt;&gt;"Trading",O2014&gt;0,O2014&lt;=Umbral),1,0))</f>
        <v/>
      </c>
      <c r="T2014" s="20">
        <f>IF(OR(I2014="",E2014=""),"",IF(OR(I2014="Gasto",I2014="Transferencia",I2014="Pago tarjeta"),-1,1)*C2014)</f>
        <v/>
      </c>
      <c r="U2014" s="20">
        <f>IF(OR(G2014="",AND(I2014&lt;&gt;"Transferencia",I2014&lt;&gt;"Pago tarjeta")),"",IF(IFERROR(INDEX(ctaMon,MATCH(G2014,ctaNom,0))&amp;"","DOP")=N2014,C2014,IF(N2014="USD",C2014*TasaUSD,C2014/TasaUSD)))</f>
        <v/>
      </c>
      <c r="V2014" s="20">
        <f>IF(I2014="","",IF(IFERROR(INDEX(ctaLiq,MATCH(E2014,ctaNom,0))="Sí",FALSE),IF(OR(I2014="Gasto",I2014="Transferencia",I2014="Pago tarjeta"),-1,1)*O2014,0)+IF(AND(U2014&lt;&gt;"",IFERROR(INDEX(ctaLiq,MATCH(G2014,ctaNom,0))="Sí",FALSE)),O2014,0))</f>
        <v/>
      </c>
      <c r="W2014" s="19">
        <f>IF(OR(F2014="",I2014=""),"",IF(COUNTIFS(F$6:F2014,F2014,I$6:I2014,"?*")=1,MAX(W$5:W2013)+1,""))</f>
        <v/>
      </c>
    </row>
    <row r="2015">
      <c r="B2015" s="15" t="n"/>
      <c r="C2015" s="16" t="n"/>
      <c r="D2015" s="17" t="n"/>
      <c r="E2015" s="17" t="n"/>
      <c r="F2015" s="17" t="n"/>
      <c r="G2015" s="17" t="n"/>
      <c r="H2015" s="18">
        <f>IF(AND(B2015="",C2015="",D2015="",E2015=""),"",IF(B2015="","⚠ Falta fecha",IF(C2015="","⚠ Falta monto",IF(D2015="","⚠ Falta categoría",IF(ISNA(MATCH(D2015,catNom,0)),"⚠ Categoría no existe",IF(E2015="","⚠ Falta cuenta",IF(ISNA(MATCH(E2015,ctaNom,0)),"⚠ Cuenta no existe",IF(AND(OR(I2015="Transferencia",I2015="Pago tarjeta"),G2015=""),"⚠ Indica la cuenta «Hacia»",IF(AND(G2015&lt;&gt;"",G2015=E2015),"⚠ «Hacia» igual a la cuenta",IF(AND(G2015&lt;&gt;"",ISNA(MATCH(G2015,ctaNom,0))),"⚠ «Hacia» no existe",IF(AND(I2015="Pago tarjeta",IFERROR(INDEX(ctaTipo,MATCH(G2015,ctaNom,0)),"")&lt;&gt;"Tarjeta de crédito"),"⚠ «Hacia» debe ser la tarjeta",IF(AND(I2015="Trading",IFERROR(INDEX(ctaTipo,MATCH(E2015,ctaNom,0)),"")&lt;&gt;"Cuenta de trading"),"⚠ Usa la cuenta de trading","✓"))))))))))))</f>
        <v/>
      </c>
      <c r="I2015" s="19">
        <f>IF(OR(B2015="",C2015="",D2015=""),"",IFERROR(INDEX(catTipo,MATCH(D2015,catNom,0))&amp;"",""))</f>
        <v/>
      </c>
      <c r="J2015" s="19">
        <f>IF(I2015="","",IFERROR(INDEX(catGrupo,MATCH(D2015,catNom,0))&amp;"",""))</f>
        <v/>
      </c>
      <c r="K2015" s="19">
        <f>IF(I2015="Gasto",IF(IFERROR(INDEX(catClas,MATCH(D2015,catNom,0))&amp;"","")="","Variable",IFERROR(INDEX(catClas,MATCH(D2015,catNom,0))&amp;"","")),"")</f>
        <v/>
      </c>
      <c r="L2015" s="19">
        <f>IF(I2015="","",IFERROR(INDEX(catAlim,MATCH(D2015,catNom,0))&amp;"",""))</f>
        <v/>
      </c>
      <c r="M2015" s="19">
        <f>IF(I2015="","",IFERROR(INDEX(catComida,MATCH(D2015,catNom,0))&amp;"",""))</f>
        <v/>
      </c>
      <c r="N2015" s="19">
        <f>IF(I2015="","",IFERROR(INDEX(ctaMon,MATCH(E2015,ctaNom,0))&amp;"","DOP"))</f>
        <v/>
      </c>
      <c r="O2015" s="20">
        <f>IF(I2015="","",C2015*IF(N2015="USD",TasaUSD,1))</f>
        <v/>
      </c>
      <c r="P2015" s="20">
        <f>IF(I2015="","",IF(I2015="Gasto",O2015,0))</f>
        <v/>
      </c>
      <c r="Q2015" s="20">
        <f>IF(I2015="","",IF(I2015="Ingreso",O2015,0))</f>
        <v/>
      </c>
      <c r="R2015" s="20">
        <f>IF(I2015="","",IF(I2015="Trading",O2015,0))</f>
        <v/>
      </c>
      <c r="S2015" s="19">
        <f>IF(I2015="","",IF(AND(I2015="Gasto",K2015="Variable",J2015&lt;&gt;"Trading",O2015&gt;0,O2015&lt;=Umbral),1,0))</f>
        <v/>
      </c>
      <c r="T2015" s="20">
        <f>IF(OR(I2015="",E2015=""),"",IF(OR(I2015="Gasto",I2015="Transferencia",I2015="Pago tarjeta"),-1,1)*C2015)</f>
        <v/>
      </c>
      <c r="U2015" s="20">
        <f>IF(OR(G2015="",AND(I2015&lt;&gt;"Transferencia",I2015&lt;&gt;"Pago tarjeta")),"",IF(IFERROR(INDEX(ctaMon,MATCH(G2015,ctaNom,0))&amp;"","DOP")=N2015,C2015,IF(N2015="USD",C2015*TasaUSD,C2015/TasaUSD)))</f>
        <v/>
      </c>
      <c r="V2015" s="20">
        <f>IF(I2015="","",IF(IFERROR(INDEX(ctaLiq,MATCH(E2015,ctaNom,0))="Sí",FALSE),IF(OR(I2015="Gasto",I2015="Transferencia",I2015="Pago tarjeta"),-1,1)*O2015,0)+IF(AND(U2015&lt;&gt;"",IFERROR(INDEX(ctaLiq,MATCH(G2015,ctaNom,0))="Sí",FALSE)),O2015,0))</f>
        <v/>
      </c>
      <c r="W2015" s="19">
        <f>IF(OR(F2015="",I2015=""),"",IF(COUNTIFS(F$6:F2015,F2015,I$6:I2015,"?*")=1,MAX(W$5:W2014)+1,""))</f>
        <v/>
      </c>
    </row>
    <row r="2016">
      <c r="B2016" s="15" t="n"/>
      <c r="C2016" s="16" t="n"/>
      <c r="D2016" s="17" t="n"/>
      <c r="E2016" s="17" t="n"/>
      <c r="F2016" s="17" t="n"/>
      <c r="G2016" s="17" t="n"/>
      <c r="H2016" s="18">
        <f>IF(AND(B2016="",C2016="",D2016="",E2016=""),"",IF(B2016="","⚠ Falta fecha",IF(C2016="","⚠ Falta monto",IF(D2016="","⚠ Falta categoría",IF(ISNA(MATCH(D2016,catNom,0)),"⚠ Categoría no existe",IF(E2016="","⚠ Falta cuenta",IF(ISNA(MATCH(E2016,ctaNom,0)),"⚠ Cuenta no existe",IF(AND(OR(I2016="Transferencia",I2016="Pago tarjeta"),G2016=""),"⚠ Indica la cuenta «Hacia»",IF(AND(G2016&lt;&gt;"",G2016=E2016),"⚠ «Hacia» igual a la cuenta",IF(AND(G2016&lt;&gt;"",ISNA(MATCH(G2016,ctaNom,0))),"⚠ «Hacia» no existe",IF(AND(I2016="Pago tarjeta",IFERROR(INDEX(ctaTipo,MATCH(G2016,ctaNom,0)),"")&lt;&gt;"Tarjeta de crédito"),"⚠ «Hacia» debe ser la tarjeta",IF(AND(I2016="Trading",IFERROR(INDEX(ctaTipo,MATCH(E2016,ctaNom,0)),"")&lt;&gt;"Cuenta de trading"),"⚠ Usa la cuenta de trading","✓"))))))))))))</f>
        <v/>
      </c>
      <c r="I2016" s="19">
        <f>IF(OR(B2016="",C2016="",D2016=""),"",IFERROR(INDEX(catTipo,MATCH(D2016,catNom,0))&amp;"",""))</f>
        <v/>
      </c>
      <c r="J2016" s="19">
        <f>IF(I2016="","",IFERROR(INDEX(catGrupo,MATCH(D2016,catNom,0))&amp;"",""))</f>
        <v/>
      </c>
      <c r="K2016" s="19">
        <f>IF(I2016="Gasto",IF(IFERROR(INDEX(catClas,MATCH(D2016,catNom,0))&amp;"","")="","Variable",IFERROR(INDEX(catClas,MATCH(D2016,catNom,0))&amp;"","")),"")</f>
        <v/>
      </c>
      <c r="L2016" s="19">
        <f>IF(I2016="","",IFERROR(INDEX(catAlim,MATCH(D2016,catNom,0))&amp;"",""))</f>
        <v/>
      </c>
      <c r="M2016" s="19">
        <f>IF(I2016="","",IFERROR(INDEX(catComida,MATCH(D2016,catNom,0))&amp;"",""))</f>
        <v/>
      </c>
      <c r="N2016" s="19">
        <f>IF(I2016="","",IFERROR(INDEX(ctaMon,MATCH(E2016,ctaNom,0))&amp;"","DOP"))</f>
        <v/>
      </c>
      <c r="O2016" s="20">
        <f>IF(I2016="","",C2016*IF(N2016="USD",TasaUSD,1))</f>
        <v/>
      </c>
      <c r="P2016" s="20">
        <f>IF(I2016="","",IF(I2016="Gasto",O2016,0))</f>
        <v/>
      </c>
      <c r="Q2016" s="20">
        <f>IF(I2016="","",IF(I2016="Ingreso",O2016,0))</f>
        <v/>
      </c>
      <c r="R2016" s="20">
        <f>IF(I2016="","",IF(I2016="Trading",O2016,0))</f>
        <v/>
      </c>
      <c r="S2016" s="19">
        <f>IF(I2016="","",IF(AND(I2016="Gasto",K2016="Variable",J2016&lt;&gt;"Trading",O2016&gt;0,O2016&lt;=Umbral),1,0))</f>
        <v/>
      </c>
      <c r="T2016" s="20">
        <f>IF(OR(I2016="",E2016=""),"",IF(OR(I2016="Gasto",I2016="Transferencia",I2016="Pago tarjeta"),-1,1)*C2016)</f>
        <v/>
      </c>
      <c r="U2016" s="20">
        <f>IF(OR(G2016="",AND(I2016&lt;&gt;"Transferencia",I2016&lt;&gt;"Pago tarjeta")),"",IF(IFERROR(INDEX(ctaMon,MATCH(G2016,ctaNom,0))&amp;"","DOP")=N2016,C2016,IF(N2016="USD",C2016*TasaUSD,C2016/TasaUSD)))</f>
        <v/>
      </c>
      <c r="V2016" s="20">
        <f>IF(I2016="","",IF(IFERROR(INDEX(ctaLiq,MATCH(E2016,ctaNom,0))="Sí",FALSE),IF(OR(I2016="Gasto",I2016="Transferencia",I2016="Pago tarjeta"),-1,1)*O2016,0)+IF(AND(U2016&lt;&gt;"",IFERROR(INDEX(ctaLiq,MATCH(G2016,ctaNom,0))="Sí",FALSE)),O2016,0))</f>
        <v/>
      </c>
      <c r="W2016" s="19">
        <f>IF(OR(F2016="",I2016=""),"",IF(COUNTIFS(F$6:F2016,F2016,I$6:I2016,"?*")=1,MAX(W$5:W2015)+1,""))</f>
        <v/>
      </c>
    </row>
    <row r="2017">
      <c r="B2017" s="15" t="n"/>
      <c r="C2017" s="16" t="n"/>
      <c r="D2017" s="17" t="n"/>
      <c r="E2017" s="17" t="n"/>
      <c r="F2017" s="17" t="n"/>
      <c r="G2017" s="17" t="n"/>
      <c r="H2017" s="18">
        <f>IF(AND(B2017="",C2017="",D2017="",E2017=""),"",IF(B2017="","⚠ Falta fecha",IF(C2017="","⚠ Falta monto",IF(D2017="","⚠ Falta categoría",IF(ISNA(MATCH(D2017,catNom,0)),"⚠ Categoría no existe",IF(E2017="","⚠ Falta cuenta",IF(ISNA(MATCH(E2017,ctaNom,0)),"⚠ Cuenta no existe",IF(AND(OR(I2017="Transferencia",I2017="Pago tarjeta"),G2017=""),"⚠ Indica la cuenta «Hacia»",IF(AND(G2017&lt;&gt;"",G2017=E2017),"⚠ «Hacia» igual a la cuenta",IF(AND(G2017&lt;&gt;"",ISNA(MATCH(G2017,ctaNom,0))),"⚠ «Hacia» no existe",IF(AND(I2017="Pago tarjeta",IFERROR(INDEX(ctaTipo,MATCH(G2017,ctaNom,0)),"")&lt;&gt;"Tarjeta de crédito"),"⚠ «Hacia» debe ser la tarjeta",IF(AND(I2017="Trading",IFERROR(INDEX(ctaTipo,MATCH(E2017,ctaNom,0)),"")&lt;&gt;"Cuenta de trading"),"⚠ Usa la cuenta de trading","✓"))))))))))))</f>
        <v/>
      </c>
      <c r="I2017" s="19">
        <f>IF(OR(B2017="",C2017="",D2017=""),"",IFERROR(INDEX(catTipo,MATCH(D2017,catNom,0))&amp;"",""))</f>
        <v/>
      </c>
      <c r="J2017" s="19">
        <f>IF(I2017="","",IFERROR(INDEX(catGrupo,MATCH(D2017,catNom,0))&amp;"",""))</f>
        <v/>
      </c>
      <c r="K2017" s="19">
        <f>IF(I2017="Gasto",IF(IFERROR(INDEX(catClas,MATCH(D2017,catNom,0))&amp;"","")="","Variable",IFERROR(INDEX(catClas,MATCH(D2017,catNom,0))&amp;"","")),"")</f>
        <v/>
      </c>
      <c r="L2017" s="19">
        <f>IF(I2017="","",IFERROR(INDEX(catAlim,MATCH(D2017,catNom,0))&amp;"",""))</f>
        <v/>
      </c>
      <c r="M2017" s="19">
        <f>IF(I2017="","",IFERROR(INDEX(catComida,MATCH(D2017,catNom,0))&amp;"",""))</f>
        <v/>
      </c>
      <c r="N2017" s="19">
        <f>IF(I2017="","",IFERROR(INDEX(ctaMon,MATCH(E2017,ctaNom,0))&amp;"","DOP"))</f>
        <v/>
      </c>
      <c r="O2017" s="20">
        <f>IF(I2017="","",C2017*IF(N2017="USD",TasaUSD,1))</f>
        <v/>
      </c>
      <c r="P2017" s="20">
        <f>IF(I2017="","",IF(I2017="Gasto",O2017,0))</f>
        <v/>
      </c>
      <c r="Q2017" s="20">
        <f>IF(I2017="","",IF(I2017="Ingreso",O2017,0))</f>
        <v/>
      </c>
      <c r="R2017" s="20">
        <f>IF(I2017="","",IF(I2017="Trading",O2017,0))</f>
        <v/>
      </c>
      <c r="S2017" s="19">
        <f>IF(I2017="","",IF(AND(I2017="Gasto",K2017="Variable",J2017&lt;&gt;"Trading",O2017&gt;0,O2017&lt;=Umbral),1,0))</f>
        <v/>
      </c>
      <c r="T2017" s="20">
        <f>IF(OR(I2017="",E2017=""),"",IF(OR(I2017="Gasto",I2017="Transferencia",I2017="Pago tarjeta"),-1,1)*C2017)</f>
        <v/>
      </c>
      <c r="U2017" s="20">
        <f>IF(OR(G2017="",AND(I2017&lt;&gt;"Transferencia",I2017&lt;&gt;"Pago tarjeta")),"",IF(IFERROR(INDEX(ctaMon,MATCH(G2017,ctaNom,0))&amp;"","DOP")=N2017,C2017,IF(N2017="USD",C2017*TasaUSD,C2017/TasaUSD)))</f>
        <v/>
      </c>
      <c r="V2017" s="20">
        <f>IF(I2017="","",IF(IFERROR(INDEX(ctaLiq,MATCH(E2017,ctaNom,0))="Sí",FALSE),IF(OR(I2017="Gasto",I2017="Transferencia",I2017="Pago tarjeta"),-1,1)*O2017,0)+IF(AND(U2017&lt;&gt;"",IFERROR(INDEX(ctaLiq,MATCH(G2017,ctaNom,0))="Sí",FALSE)),O2017,0))</f>
        <v/>
      </c>
      <c r="W2017" s="19">
        <f>IF(OR(F2017="",I2017=""),"",IF(COUNTIFS(F$6:F2017,F2017,I$6:I2017,"?*")=1,MAX(W$5:W2016)+1,""))</f>
        <v/>
      </c>
    </row>
    <row r="2018">
      <c r="B2018" s="15" t="n"/>
      <c r="C2018" s="16" t="n"/>
      <c r="D2018" s="17" t="n"/>
      <c r="E2018" s="17" t="n"/>
      <c r="F2018" s="17" t="n"/>
      <c r="G2018" s="17" t="n"/>
      <c r="H2018" s="18">
        <f>IF(AND(B2018="",C2018="",D2018="",E2018=""),"",IF(B2018="","⚠ Falta fecha",IF(C2018="","⚠ Falta monto",IF(D2018="","⚠ Falta categoría",IF(ISNA(MATCH(D2018,catNom,0)),"⚠ Categoría no existe",IF(E2018="","⚠ Falta cuenta",IF(ISNA(MATCH(E2018,ctaNom,0)),"⚠ Cuenta no existe",IF(AND(OR(I2018="Transferencia",I2018="Pago tarjeta"),G2018=""),"⚠ Indica la cuenta «Hacia»",IF(AND(G2018&lt;&gt;"",G2018=E2018),"⚠ «Hacia» igual a la cuenta",IF(AND(G2018&lt;&gt;"",ISNA(MATCH(G2018,ctaNom,0))),"⚠ «Hacia» no existe",IF(AND(I2018="Pago tarjeta",IFERROR(INDEX(ctaTipo,MATCH(G2018,ctaNom,0)),"")&lt;&gt;"Tarjeta de crédito"),"⚠ «Hacia» debe ser la tarjeta",IF(AND(I2018="Trading",IFERROR(INDEX(ctaTipo,MATCH(E2018,ctaNom,0)),"")&lt;&gt;"Cuenta de trading"),"⚠ Usa la cuenta de trading","✓"))))))))))))</f>
        <v/>
      </c>
      <c r="I2018" s="19">
        <f>IF(OR(B2018="",C2018="",D2018=""),"",IFERROR(INDEX(catTipo,MATCH(D2018,catNom,0))&amp;"",""))</f>
        <v/>
      </c>
      <c r="J2018" s="19">
        <f>IF(I2018="","",IFERROR(INDEX(catGrupo,MATCH(D2018,catNom,0))&amp;"",""))</f>
        <v/>
      </c>
      <c r="K2018" s="19">
        <f>IF(I2018="Gasto",IF(IFERROR(INDEX(catClas,MATCH(D2018,catNom,0))&amp;"","")="","Variable",IFERROR(INDEX(catClas,MATCH(D2018,catNom,0))&amp;"","")),"")</f>
        <v/>
      </c>
      <c r="L2018" s="19">
        <f>IF(I2018="","",IFERROR(INDEX(catAlim,MATCH(D2018,catNom,0))&amp;"",""))</f>
        <v/>
      </c>
      <c r="M2018" s="19">
        <f>IF(I2018="","",IFERROR(INDEX(catComida,MATCH(D2018,catNom,0))&amp;"",""))</f>
        <v/>
      </c>
      <c r="N2018" s="19">
        <f>IF(I2018="","",IFERROR(INDEX(ctaMon,MATCH(E2018,ctaNom,0))&amp;"","DOP"))</f>
        <v/>
      </c>
      <c r="O2018" s="20">
        <f>IF(I2018="","",C2018*IF(N2018="USD",TasaUSD,1))</f>
        <v/>
      </c>
      <c r="P2018" s="20">
        <f>IF(I2018="","",IF(I2018="Gasto",O2018,0))</f>
        <v/>
      </c>
      <c r="Q2018" s="20">
        <f>IF(I2018="","",IF(I2018="Ingreso",O2018,0))</f>
        <v/>
      </c>
      <c r="R2018" s="20">
        <f>IF(I2018="","",IF(I2018="Trading",O2018,0))</f>
        <v/>
      </c>
      <c r="S2018" s="19">
        <f>IF(I2018="","",IF(AND(I2018="Gasto",K2018="Variable",J2018&lt;&gt;"Trading",O2018&gt;0,O2018&lt;=Umbral),1,0))</f>
        <v/>
      </c>
      <c r="T2018" s="20">
        <f>IF(OR(I2018="",E2018=""),"",IF(OR(I2018="Gasto",I2018="Transferencia",I2018="Pago tarjeta"),-1,1)*C2018)</f>
        <v/>
      </c>
      <c r="U2018" s="20">
        <f>IF(OR(G2018="",AND(I2018&lt;&gt;"Transferencia",I2018&lt;&gt;"Pago tarjeta")),"",IF(IFERROR(INDEX(ctaMon,MATCH(G2018,ctaNom,0))&amp;"","DOP")=N2018,C2018,IF(N2018="USD",C2018*TasaUSD,C2018/TasaUSD)))</f>
        <v/>
      </c>
      <c r="V2018" s="20">
        <f>IF(I2018="","",IF(IFERROR(INDEX(ctaLiq,MATCH(E2018,ctaNom,0))="Sí",FALSE),IF(OR(I2018="Gasto",I2018="Transferencia",I2018="Pago tarjeta"),-1,1)*O2018,0)+IF(AND(U2018&lt;&gt;"",IFERROR(INDEX(ctaLiq,MATCH(G2018,ctaNom,0))="Sí",FALSE)),O2018,0))</f>
        <v/>
      </c>
      <c r="W2018" s="19">
        <f>IF(OR(F2018="",I2018=""),"",IF(COUNTIFS(F$6:F2018,F2018,I$6:I2018,"?*")=1,MAX(W$5:W2017)+1,""))</f>
        <v/>
      </c>
    </row>
    <row r="2019">
      <c r="B2019" s="15" t="n"/>
      <c r="C2019" s="16" t="n"/>
      <c r="D2019" s="17" t="n"/>
      <c r="E2019" s="17" t="n"/>
      <c r="F2019" s="17" t="n"/>
      <c r="G2019" s="17" t="n"/>
      <c r="H2019" s="18">
        <f>IF(AND(B2019="",C2019="",D2019="",E2019=""),"",IF(B2019="","⚠ Falta fecha",IF(C2019="","⚠ Falta monto",IF(D2019="","⚠ Falta categoría",IF(ISNA(MATCH(D2019,catNom,0)),"⚠ Categoría no existe",IF(E2019="","⚠ Falta cuenta",IF(ISNA(MATCH(E2019,ctaNom,0)),"⚠ Cuenta no existe",IF(AND(OR(I2019="Transferencia",I2019="Pago tarjeta"),G2019=""),"⚠ Indica la cuenta «Hacia»",IF(AND(G2019&lt;&gt;"",G2019=E2019),"⚠ «Hacia» igual a la cuenta",IF(AND(G2019&lt;&gt;"",ISNA(MATCH(G2019,ctaNom,0))),"⚠ «Hacia» no existe",IF(AND(I2019="Pago tarjeta",IFERROR(INDEX(ctaTipo,MATCH(G2019,ctaNom,0)),"")&lt;&gt;"Tarjeta de crédito"),"⚠ «Hacia» debe ser la tarjeta",IF(AND(I2019="Trading",IFERROR(INDEX(ctaTipo,MATCH(E2019,ctaNom,0)),"")&lt;&gt;"Cuenta de trading"),"⚠ Usa la cuenta de trading","✓"))))))))))))</f>
        <v/>
      </c>
      <c r="I2019" s="19">
        <f>IF(OR(B2019="",C2019="",D2019=""),"",IFERROR(INDEX(catTipo,MATCH(D2019,catNom,0))&amp;"",""))</f>
        <v/>
      </c>
      <c r="J2019" s="19">
        <f>IF(I2019="","",IFERROR(INDEX(catGrupo,MATCH(D2019,catNom,0))&amp;"",""))</f>
        <v/>
      </c>
      <c r="K2019" s="19">
        <f>IF(I2019="Gasto",IF(IFERROR(INDEX(catClas,MATCH(D2019,catNom,0))&amp;"","")="","Variable",IFERROR(INDEX(catClas,MATCH(D2019,catNom,0))&amp;"","")),"")</f>
        <v/>
      </c>
      <c r="L2019" s="19">
        <f>IF(I2019="","",IFERROR(INDEX(catAlim,MATCH(D2019,catNom,0))&amp;"",""))</f>
        <v/>
      </c>
      <c r="M2019" s="19">
        <f>IF(I2019="","",IFERROR(INDEX(catComida,MATCH(D2019,catNom,0))&amp;"",""))</f>
        <v/>
      </c>
      <c r="N2019" s="19">
        <f>IF(I2019="","",IFERROR(INDEX(ctaMon,MATCH(E2019,ctaNom,0))&amp;"","DOP"))</f>
        <v/>
      </c>
      <c r="O2019" s="20">
        <f>IF(I2019="","",C2019*IF(N2019="USD",TasaUSD,1))</f>
        <v/>
      </c>
      <c r="P2019" s="20">
        <f>IF(I2019="","",IF(I2019="Gasto",O2019,0))</f>
        <v/>
      </c>
      <c r="Q2019" s="20">
        <f>IF(I2019="","",IF(I2019="Ingreso",O2019,0))</f>
        <v/>
      </c>
      <c r="R2019" s="20">
        <f>IF(I2019="","",IF(I2019="Trading",O2019,0))</f>
        <v/>
      </c>
      <c r="S2019" s="19">
        <f>IF(I2019="","",IF(AND(I2019="Gasto",K2019="Variable",J2019&lt;&gt;"Trading",O2019&gt;0,O2019&lt;=Umbral),1,0))</f>
        <v/>
      </c>
      <c r="T2019" s="20">
        <f>IF(OR(I2019="",E2019=""),"",IF(OR(I2019="Gasto",I2019="Transferencia",I2019="Pago tarjeta"),-1,1)*C2019)</f>
        <v/>
      </c>
      <c r="U2019" s="20">
        <f>IF(OR(G2019="",AND(I2019&lt;&gt;"Transferencia",I2019&lt;&gt;"Pago tarjeta")),"",IF(IFERROR(INDEX(ctaMon,MATCH(G2019,ctaNom,0))&amp;"","DOP")=N2019,C2019,IF(N2019="USD",C2019*TasaUSD,C2019/TasaUSD)))</f>
        <v/>
      </c>
      <c r="V2019" s="20">
        <f>IF(I2019="","",IF(IFERROR(INDEX(ctaLiq,MATCH(E2019,ctaNom,0))="Sí",FALSE),IF(OR(I2019="Gasto",I2019="Transferencia",I2019="Pago tarjeta"),-1,1)*O2019,0)+IF(AND(U2019&lt;&gt;"",IFERROR(INDEX(ctaLiq,MATCH(G2019,ctaNom,0))="Sí",FALSE)),O2019,0))</f>
        <v/>
      </c>
      <c r="W2019" s="19">
        <f>IF(OR(F2019="",I2019=""),"",IF(COUNTIFS(F$6:F2019,F2019,I$6:I2019,"?*")=1,MAX(W$5:W2018)+1,""))</f>
        <v/>
      </c>
    </row>
    <row r="2020">
      <c r="B2020" s="15" t="n"/>
      <c r="C2020" s="16" t="n"/>
      <c r="D2020" s="17" t="n"/>
      <c r="E2020" s="17" t="n"/>
      <c r="F2020" s="17" t="n"/>
      <c r="G2020" s="17" t="n"/>
      <c r="H2020" s="18">
        <f>IF(AND(B2020="",C2020="",D2020="",E2020=""),"",IF(B2020="","⚠ Falta fecha",IF(C2020="","⚠ Falta monto",IF(D2020="","⚠ Falta categoría",IF(ISNA(MATCH(D2020,catNom,0)),"⚠ Categoría no existe",IF(E2020="","⚠ Falta cuenta",IF(ISNA(MATCH(E2020,ctaNom,0)),"⚠ Cuenta no existe",IF(AND(OR(I2020="Transferencia",I2020="Pago tarjeta"),G2020=""),"⚠ Indica la cuenta «Hacia»",IF(AND(G2020&lt;&gt;"",G2020=E2020),"⚠ «Hacia» igual a la cuenta",IF(AND(G2020&lt;&gt;"",ISNA(MATCH(G2020,ctaNom,0))),"⚠ «Hacia» no existe",IF(AND(I2020="Pago tarjeta",IFERROR(INDEX(ctaTipo,MATCH(G2020,ctaNom,0)),"")&lt;&gt;"Tarjeta de crédito"),"⚠ «Hacia» debe ser la tarjeta",IF(AND(I2020="Trading",IFERROR(INDEX(ctaTipo,MATCH(E2020,ctaNom,0)),"")&lt;&gt;"Cuenta de trading"),"⚠ Usa la cuenta de trading","✓"))))))))))))</f>
        <v/>
      </c>
      <c r="I2020" s="19">
        <f>IF(OR(B2020="",C2020="",D2020=""),"",IFERROR(INDEX(catTipo,MATCH(D2020,catNom,0))&amp;"",""))</f>
        <v/>
      </c>
      <c r="J2020" s="19">
        <f>IF(I2020="","",IFERROR(INDEX(catGrupo,MATCH(D2020,catNom,0))&amp;"",""))</f>
        <v/>
      </c>
      <c r="K2020" s="19">
        <f>IF(I2020="Gasto",IF(IFERROR(INDEX(catClas,MATCH(D2020,catNom,0))&amp;"","")="","Variable",IFERROR(INDEX(catClas,MATCH(D2020,catNom,0))&amp;"","")),"")</f>
        <v/>
      </c>
      <c r="L2020" s="19">
        <f>IF(I2020="","",IFERROR(INDEX(catAlim,MATCH(D2020,catNom,0))&amp;"",""))</f>
        <v/>
      </c>
      <c r="M2020" s="19">
        <f>IF(I2020="","",IFERROR(INDEX(catComida,MATCH(D2020,catNom,0))&amp;"",""))</f>
        <v/>
      </c>
      <c r="N2020" s="19">
        <f>IF(I2020="","",IFERROR(INDEX(ctaMon,MATCH(E2020,ctaNom,0))&amp;"","DOP"))</f>
        <v/>
      </c>
      <c r="O2020" s="20">
        <f>IF(I2020="","",C2020*IF(N2020="USD",TasaUSD,1))</f>
        <v/>
      </c>
      <c r="P2020" s="20">
        <f>IF(I2020="","",IF(I2020="Gasto",O2020,0))</f>
        <v/>
      </c>
      <c r="Q2020" s="20">
        <f>IF(I2020="","",IF(I2020="Ingreso",O2020,0))</f>
        <v/>
      </c>
      <c r="R2020" s="20">
        <f>IF(I2020="","",IF(I2020="Trading",O2020,0))</f>
        <v/>
      </c>
      <c r="S2020" s="19">
        <f>IF(I2020="","",IF(AND(I2020="Gasto",K2020="Variable",J2020&lt;&gt;"Trading",O2020&gt;0,O2020&lt;=Umbral),1,0))</f>
        <v/>
      </c>
      <c r="T2020" s="20">
        <f>IF(OR(I2020="",E2020=""),"",IF(OR(I2020="Gasto",I2020="Transferencia",I2020="Pago tarjeta"),-1,1)*C2020)</f>
        <v/>
      </c>
      <c r="U2020" s="20">
        <f>IF(OR(G2020="",AND(I2020&lt;&gt;"Transferencia",I2020&lt;&gt;"Pago tarjeta")),"",IF(IFERROR(INDEX(ctaMon,MATCH(G2020,ctaNom,0))&amp;"","DOP")=N2020,C2020,IF(N2020="USD",C2020*TasaUSD,C2020/TasaUSD)))</f>
        <v/>
      </c>
      <c r="V2020" s="20">
        <f>IF(I2020="","",IF(IFERROR(INDEX(ctaLiq,MATCH(E2020,ctaNom,0))="Sí",FALSE),IF(OR(I2020="Gasto",I2020="Transferencia",I2020="Pago tarjeta"),-1,1)*O2020,0)+IF(AND(U2020&lt;&gt;"",IFERROR(INDEX(ctaLiq,MATCH(G2020,ctaNom,0))="Sí",FALSE)),O2020,0))</f>
        <v/>
      </c>
      <c r="W2020" s="19">
        <f>IF(OR(F2020="",I2020=""),"",IF(COUNTIFS(F$6:F2020,F2020,I$6:I2020,"?*")=1,MAX(W$5:W2019)+1,""))</f>
        <v/>
      </c>
    </row>
    <row r="2021">
      <c r="B2021" s="15" t="n"/>
      <c r="C2021" s="16" t="n"/>
      <c r="D2021" s="17" t="n"/>
      <c r="E2021" s="17" t="n"/>
      <c r="F2021" s="17" t="n"/>
      <c r="G2021" s="17" t="n"/>
      <c r="H2021" s="18">
        <f>IF(AND(B2021="",C2021="",D2021="",E2021=""),"",IF(B2021="","⚠ Falta fecha",IF(C2021="","⚠ Falta monto",IF(D2021="","⚠ Falta categoría",IF(ISNA(MATCH(D2021,catNom,0)),"⚠ Categoría no existe",IF(E2021="","⚠ Falta cuenta",IF(ISNA(MATCH(E2021,ctaNom,0)),"⚠ Cuenta no existe",IF(AND(OR(I2021="Transferencia",I2021="Pago tarjeta"),G2021=""),"⚠ Indica la cuenta «Hacia»",IF(AND(G2021&lt;&gt;"",G2021=E2021),"⚠ «Hacia» igual a la cuenta",IF(AND(G2021&lt;&gt;"",ISNA(MATCH(G2021,ctaNom,0))),"⚠ «Hacia» no existe",IF(AND(I2021="Pago tarjeta",IFERROR(INDEX(ctaTipo,MATCH(G2021,ctaNom,0)),"")&lt;&gt;"Tarjeta de crédito"),"⚠ «Hacia» debe ser la tarjeta",IF(AND(I2021="Trading",IFERROR(INDEX(ctaTipo,MATCH(E2021,ctaNom,0)),"")&lt;&gt;"Cuenta de trading"),"⚠ Usa la cuenta de trading","✓"))))))))))))</f>
        <v/>
      </c>
      <c r="I2021" s="19">
        <f>IF(OR(B2021="",C2021="",D2021=""),"",IFERROR(INDEX(catTipo,MATCH(D2021,catNom,0))&amp;"",""))</f>
        <v/>
      </c>
      <c r="J2021" s="19">
        <f>IF(I2021="","",IFERROR(INDEX(catGrupo,MATCH(D2021,catNom,0))&amp;"",""))</f>
        <v/>
      </c>
      <c r="K2021" s="19">
        <f>IF(I2021="Gasto",IF(IFERROR(INDEX(catClas,MATCH(D2021,catNom,0))&amp;"","")="","Variable",IFERROR(INDEX(catClas,MATCH(D2021,catNom,0))&amp;"","")),"")</f>
        <v/>
      </c>
      <c r="L2021" s="19">
        <f>IF(I2021="","",IFERROR(INDEX(catAlim,MATCH(D2021,catNom,0))&amp;"",""))</f>
        <v/>
      </c>
      <c r="M2021" s="19">
        <f>IF(I2021="","",IFERROR(INDEX(catComida,MATCH(D2021,catNom,0))&amp;"",""))</f>
        <v/>
      </c>
      <c r="N2021" s="19">
        <f>IF(I2021="","",IFERROR(INDEX(ctaMon,MATCH(E2021,ctaNom,0))&amp;"","DOP"))</f>
        <v/>
      </c>
      <c r="O2021" s="20">
        <f>IF(I2021="","",C2021*IF(N2021="USD",TasaUSD,1))</f>
        <v/>
      </c>
      <c r="P2021" s="20">
        <f>IF(I2021="","",IF(I2021="Gasto",O2021,0))</f>
        <v/>
      </c>
      <c r="Q2021" s="20">
        <f>IF(I2021="","",IF(I2021="Ingreso",O2021,0))</f>
        <v/>
      </c>
      <c r="R2021" s="20">
        <f>IF(I2021="","",IF(I2021="Trading",O2021,0))</f>
        <v/>
      </c>
      <c r="S2021" s="19">
        <f>IF(I2021="","",IF(AND(I2021="Gasto",K2021="Variable",J2021&lt;&gt;"Trading",O2021&gt;0,O2021&lt;=Umbral),1,0))</f>
        <v/>
      </c>
      <c r="T2021" s="20">
        <f>IF(OR(I2021="",E2021=""),"",IF(OR(I2021="Gasto",I2021="Transferencia",I2021="Pago tarjeta"),-1,1)*C2021)</f>
        <v/>
      </c>
      <c r="U2021" s="20">
        <f>IF(OR(G2021="",AND(I2021&lt;&gt;"Transferencia",I2021&lt;&gt;"Pago tarjeta")),"",IF(IFERROR(INDEX(ctaMon,MATCH(G2021,ctaNom,0))&amp;"","DOP")=N2021,C2021,IF(N2021="USD",C2021*TasaUSD,C2021/TasaUSD)))</f>
        <v/>
      </c>
      <c r="V2021" s="20">
        <f>IF(I2021="","",IF(IFERROR(INDEX(ctaLiq,MATCH(E2021,ctaNom,0))="Sí",FALSE),IF(OR(I2021="Gasto",I2021="Transferencia",I2021="Pago tarjeta"),-1,1)*O2021,0)+IF(AND(U2021&lt;&gt;"",IFERROR(INDEX(ctaLiq,MATCH(G2021,ctaNom,0))="Sí",FALSE)),O2021,0))</f>
        <v/>
      </c>
      <c r="W2021" s="19">
        <f>IF(OR(F2021="",I2021=""),"",IF(COUNTIFS(F$6:F2021,F2021,I$6:I2021,"?*")=1,MAX(W$5:W2020)+1,""))</f>
        <v/>
      </c>
    </row>
    <row r="2022">
      <c r="B2022" s="15" t="n"/>
      <c r="C2022" s="16" t="n"/>
      <c r="D2022" s="17" t="n"/>
      <c r="E2022" s="17" t="n"/>
      <c r="F2022" s="17" t="n"/>
      <c r="G2022" s="17" t="n"/>
      <c r="H2022" s="18">
        <f>IF(AND(B2022="",C2022="",D2022="",E2022=""),"",IF(B2022="","⚠ Falta fecha",IF(C2022="","⚠ Falta monto",IF(D2022="","⚠ Falta categoría",IF(ISNA(MATCH(D2022,catNom,0)),"⚠ Categoría no existe",IF(E2022="","⚠ Falta cuenta",IF(ISNA(MATCH(E2022,ctaNom,0)),"⚠ Cuenta no existe",IF(AND(OR(I2022="Transferencia",I2022="Pago tarjeta"),G2022=""),"⚠ Indica la cuenta «Hacia»",IF(AND(G2022&lt;&gt;"",G2022=E2022),"⚠ «Hacia» igual a la cuenta",IF(AND(G2022&lt;&gt;"",ISNA(MATCH(G2022,ctaNom,0))),"⚠ «Hacia» no existe",IF(AND(I2022="Pago tarjeta",IFERROR(INDEX(ctaTipo,MATCH(G2022,ctaNom,0)),"")&lt;&gt;"Tarjeta de crédito"),"⚠ «Hacia» debe ser la tarjeta",IF(AND(I2022="Trading",IFERROR(INDEX(ctaTipo,MATCH(E2022,ctaNom,0)),"")&lt;&gt;"Cuenta de trading"),"⚠ Usa la cuenta de trading","✓"))))))))))))</f>
        <v/>
      </c>
      <c r="I2022" s="19">
        <f>IF(OR(B2022="",C2022="",D2022=""),"",IFERROR(INDEX(catTipo,MATCH(D2022,catNom,0))&amp;"",""))</f>
        <v/>
      </c>
      <c r="J2022" s="19">
        <f>IF(I2022="","",IFERROR(INDEX(catGrupo,MATCH(D2022,catNom,0))&amp;"",""))</f>
        <v/>
      </c>
      <c r="K2022" s="19">
        <f>IF(I2022="Gasto",IF(IFERROR(INDEX(catClas,MATCH(D2022,catNom,0))&amp;"","")="","Variable",IFERROR(INDEX(catClas,MATCH(D2022,catNom,0))&amp;"","")),"")</f>
        <v/>
      </c>
      <c r="L2022" s="19">
        <f>IF(I2022="","",IFERROR(INDEX(catAlim,MATCH(D2022,catNom,0))&amp;"",""))</f>
        <v/>
      </c>
      <c r="M2022" s="19">
        <f>IF(I2022="","",IFERROR(INDEX(catComida,MATCH(D2022,catNom,0))&amp;"",""))</f>
        <v/>
      </c>
      <c r="N2022" s="19">
        <f>IF(I2022="","",IFERROR(INDEX(ctaMon,MATCH(E2022,ctaNom,0))&amp;"","DOP"))</f>
        <v/>
      </c>
      <c r="O2022" s="20">
        <f>IF(I2022="","",C2022*IF(N2022="USD",TasaUSD,1))</f>
        <v/>
      </c>
      <c r="P2022" s="20">
        <f>IF(I2022="","",IF(I2022="Gasto",O2022,0))</f>
        <v/>
      </c>
      <c r="Q2022" s="20">
        <f>IF(I2022="","",IF(I2022="Ingreso",O2022,0))</f>
        <v/>
      </c>
      <c r="R2022" s="20">
        <f>IF(I2022="","",IF(I2022="Trading",O2022,0))</f>
        <v/>
      </c>
      <c r="S2022" s="19">
        <f>IF(I2022="","",IF(AND(I2022="Gasto",K2022="Variable",J2022&lt;&gt;"Trading",O2022&gt;0,O2022&lt;=Umbral),1,0))</f>
        <v/>
      </c>
      <c r="T2022" s="20">
        <f>IF(OR(I2022="",E2022=""),"",IF(OR(I2022="Gasto",I2022="Transferencia",I2022="Pago tarjeta"),-1,1)*C2022)</f>
        <v/>
      </c>
      <c r="U2022" s="20">
        <f>IF(OR(G2022="",AND(I2022&lt;&gt;"Transferencia",I2022&lt;&gt;"Pago tarjeta")),"",IF(IFERROR(INDEX(ctaMon,MATCH(G2022,ctaNom,0))&amp;"","DOP")=N2022,C2022,IF(N2022="USD",C2022*TasaUSD,C2022/TasaUSD)))</f>
        <v/>
      </c>
      <c r="V2022" s="20">
        <f>IF(I2022="","",IF(IFERROR(INDEX(ctaLiq,MATCH(E2022,ctaNom,0))="Sí",FALSE),IF(OR(I2022="Gasto",I2022="Transferencia",I2022="Pago tarjeta"),-1,1)*O2022,0)+IF(AND(U2022&lt;&gt;"",IFERROR(INDEX(ctaLiq,MATCH(G2022,ctaNom,0))="Sí",FALSE)),O2022,0))</f>
        <v/>
      </c>
      <c r="W2022" s="19">
        <f>IF(OR(F2022="",I2022=""),"",IF(COUNTIFS(F$6:F2022,F2022,I$6:I2022,"?*")=1,MAX(W$5:W2021)+1,""))</f>
        <v/>
      </c>
    </row>
    <row r="2023">
      <c r="B2023" s="15" t="n"/>
      <c r="C2023" s="16" t="n"/>
      <c r="D2023" s="17" t="n"/>
      <c r="E2023" s="17" t="n"/>
      <c r="F2023" s="17" t="n"/>
      <c r="G2023" s="17" t="n"/>
      <c r="H2023" s="18">
        <f>IF(AND(B2023="",C2023="",D2023="",E2023=""),"",IF(B2023="","⚠ Falta fecha",IF(C2023="","⚠ Falta monto",IF(D2023="","⚠ Falta categoría",IF(ISNA(MATCH(D2023,catNom,0)),"⚠ Categoría no existe",IF(E2023="","⚠ Falta cuenta",IF(ISNA(MATCH(E2023,ctaNom,0)),"⚠ Cuenta no existe",IF(AND(OR(I2023="Transferencia",I2023="Pago tarjeta"),G2023=""),"⚠ Indica la cuenta «Hacia»",IF(AND(G2023&lt;&gt;"",G2023=E2023),"⚠ «Hacia» igual a la cuenta",IF(AND(G2023&lt;&gt;"",ISNA(MATCH(G2023,ctaNom,0))),"⚠ «Hacia» no existe",IF(AND(I2023="Pago tarjeta",IFERROR(INDEX(ctaTipo,MATCH(G2023,ctaNom,0)),"")&lt;&gt;"Tarjeta de crédito"),"⚠ «Hacia» debe ser la tarjeta",IF(AND(I2023="Trading",IFERROR(INDEX(ctaTipo,MATCH(E2023,ctaNom,0)),"")&lt;&gt;"Cuenta de trading"),"⚠ Usa la cuenta de trading","✓"))))))))))))</f>
        <v/>
      </c>
      <c r="I2023" s="19">
        <f>IF(OR(B2023="",C2023="",D2023=""),"",IFERROR(INDEX(catTipo,MATCH(D2023,catNom,0))&amp;"",""))</f>
        <v/>
      </c>
      <c r="J2023" s="19">
        <f>IF(I2023="","",IFERROR(INDEX(catGrupo,MATCH(D2023,catNom,0))&amp;"",""))</f>
        <v/>
      </c>
      <c r="K2023" s="19">
        <f>IF(I2023="Gasto",IF(IFERROR(INDEX(catClas,MATCH(D2023,catNom,0))&amp;"","")="","Variable",IFERROR(INDEX(catClas,MATCH(D2023,catNom,0))&amp;"","")),"")</f>
        <v/>
      </c>
      <c r="L2023" s="19">
        <f>IF(I2023="","",IFERROR(INDEX(catAlim,MATCH(D2023,catNom,0))&amp;"",""))</f>
        <v/>
      </c>
      <c r="M2023" s="19">
        <f>IF(I2023="","",IFERROR(INDEX(catComida,MATCH(D2023,catNom,0))&amp;"",""))</f>
        <v/>
      </c>
      <c r="N2023" s="19">
        <f>IF(I2023="","",IFERROR(INDEX(ctaMon,MATCH(E2023,ctaNom,0))&amp;"","DOP"))</f>
        <v/>
      </c>
      <c r="O2023" s="20">
        <f>IF(I2023="","",C2023*IF(N2023="USD",TasaUSD,1))</f>
        <v/>
      </c>
      <c r="P2023" s="20">
        <f>IF(I2023="","",IF(I2023="Gasto",O2023,0))</f>
        <v/>
      </c>
      <c r="Q2023" s="20">
        <f>IF(I2023="","",IF(I2023="Ingreso",O2023,0))</f>
        <v/>
      </c>
      <c r="R2023" s="20">
        <f>IF(I2023="","",IF(I2023="Trading",O2023,0))</f>
        <v/>
      </c>
      <c r="S2023" s="19">
        <f>IF(I2023="","",IF(AND(I2023="Gasto",K2023="Variable",J2023&lt;&gt;"Trading",O2023&gt;0,O2023&lt;=Umbral),1,0))</f>
        <v/>
      </c>
      <c r="T2023" s="20">
        <f>IF(OR(I2023="",E2023=""),"",IF(OR(I2023="Gasto",I2023="Transferencia",I2023="Pago tarjeta"),-1,1)*C2023)</f>
        <v/>
      </c>
      <c r="U2023" s="20">
        <f>IF(OR(G2023="",AND(I2023&lt;&gt;"Transferencia",I2023&lt;&gt;"Pago tarjeta")),"",IF(IFERROR(INDEX(ctaMon,MATCH(G2023,ctaNom,0))&amp;"","DOP")=N2023,C2023,IF(N2023="USD",C2023*TasaUSD,C2023/TasaUSD)))</f>
        <v/>
      </c>
      <c r="V2023" s="20">
        <f>IF(I2023="","",IF(IFERROR(INDEX(ctaLiq,MATCH(E2023,ctaNom,0))="Sí",FALSE),IF(OR(I2023="Gasto",I2023="Transferencia",I2023="Pago tarjeta"),-1,1)*O2023,0)+IF(AND(U2023&lt;&gt;"",IFERROR(INDEX(ctaLiq,MATCH(G2023,ctaNom,0))="Sí",FALSE)),O2023,0))</f>
        <v/>
      </c>
      <c r="W2023" s="19">
        <f>IF(OR(F2023="",I2023=""),"",IF(COUNTIFS(F$6:F2023,F2023,I$6:I2023,"?*")=1,MAX(W$5:W2022)+1,""))</f>
        <v/>
      </c>
    </row>
    <row r="2024">
      <c r="B2024" s="15" t="n"/>
      <c r="C2024" s="16" t="n"/>
      <c r="D2024" s="17" t="n"/>
      <c r="E2024" s="17" t="n"/>
      <c r="F2024" s="17" t="n"/>
      <c r="G2024" s="17" t="n"/>
      <c r="H2024" s="18">
        <f>IF(AND(B2024="",C2024="",D2024="",E2024=""),"",IF(B2024="","⚠ Falta fecha",IF(C2024="","⚠ Falta monto",IF(D2024="","⚠ Falta categoría",IF(ISNA(MATCH(D2024,catNom,0)),"⚠ Categoría no existe",IF(E2024="","⚠ Falta cuenta",IF(ISNA(MATCH(E2024,ctaNom,0)),"⚠ Cuenta no existe",IF(AND(OR(I2024="Transferencia",I2024="Pago tarjeta"),G2024=""),"⚠ Indica la cuenta «Hacia»",IF(AND(G2024&lt;&gt;"",G2024=E2024),"⚠ «Hacia» igual a la cuenta",IF(AND(G2024&lt;&gt;"",ISNA(MATCH(G2024,ctaNom,0))),"⚠ «Hacia» no existe",IF(AND(I2024="Pago tarjeta",IFERROR(INDEX(ctaTipo,MATCH(G2024,ctaNom,0)),"")&lt;&gt;"Tarjeta de crédito"),"⚠ «Hacia» debe ser la tarjeta",IF(AND(I2024="Trading",IFERROR(INDEX(ctaTipo,MATCH(E2024,ctaNom,0)),"")&lt;&gt;"Cuenta de trading"),"⚠ Usa la cuenta de trading","✓"))))))))))))</f>
        <v/>
      </c>
      <c r="I2024" s="19">
        <f>IF(OR(B2024="",C2024="",D2024=""),"",IFERROR(INDEX(catTipo,MATCH(D2024,catNom,0))&amp;"",""))</f>
        <v/>
      </c>
      <c r="J2024" s="19">
        <f>IF(I2024="","",IFERROR(INDEX(catGrupo,MATCH(D2024,catNom,0))&amp;"",""))</f>
        <v/>
      </c>
      <c r="K2024" s="19">
        <f>IF(I2024="Gasto",IF(IFERROR(INDEX(catClas,MATCH(D2024,catNom,0))&amp;"","")="","Variable",IFERROR(INDEX(catClas,MATCH(D2024,catNom,0))&amp;"","")),"")</f>
        <v/>
      </c>
      <c r="L2024" s="19">
        <f>IF(I2024="","",IFERROR(INDEX(catAlim,MATCH(D2024,catNom,0))&amp;"",""))</f>
        <v/>
      </c>
      <c r="M2024" s="19">
        <f>IF(I2024="","",IFERROR(INDEX(catComida,MATCH(D2024,catNom,0))&amp;"",""))</f>
        <v/>
      </c>
      <c r="N2024" s="19">
        <f>IF(I2024="","",IFERROR(INDEX(ctaMon,MATCH(E2024,ctaNom,0))&amp;"","DOP"))</f>
        <v/>
      </c>
      <c r="O2024" s="20">
        <f>IF(I2024="","",C2024*IF(N2024="USD",TasaUSD,1))</f>
        <v/>
      </c>
      <c r="P2024" s="20">
        <f>IF(I2024="","",IF(I2024="Gasto",O2024,0))</f>
        <v/>
      </c>
      <c r="Q2024" s="20">
        <f>IF(I2024="","",IF(I2024="Ingreso",O2024,0))</f>
        <v/>
      </c>
      <c r="R2024" s="20">
        <f>IF(I2024="","",IF(I2024="Trading",O2024,0))</f>
        <v/>
      </c>
      <c r="S2024" s="19">
        <f>IF(I2024="","",IF(AND(I2024="Gasto",K2024="Variable",J2024&lt;&gt;"Trading",O2024&gt;0,O2024&lt;=Umbral),1,0))</f>
        <v/>
      </c>
      <c r="T2024" s="20">
        <f>IF(OR(I2024="",E2024=""),"",IF(OR(I2024="Gasto",I2024="Transferencia",I2024="Pago tarjeta"),-1,1)*C2024)</f>
        <v/>
      </c>
      <c r="U2024" s="20">
        <f>IF(OR(G2024="",AND(I2024&lt;&gt;"Transferencia",I2024&lt;&gt;"Pago tarjeta")),"",IF(IFERROR(INDEX(ctaMon,MATCH(G2024,ctaNom,0))&amp;"","DOP")=N2024,C2024,IF(N2024="USD",C2024*TasaUSD,C2024/TasaUSD)))</f>
        <v/>
      </c>
      <c r="V2024" s="20">
        <f>IF(I2024="","",IF(IFERROR(INDEX(ctaLiq,MATCH(E2024,ctaNom,0))="Sí",FALSE),IF(OR(I2024="Gasto",I2024="Transferencia",I2024="Pago tarjeta"),-1,1)*O2024,0)+IF(AND(U2024&lt;&gt;"",IFERROR(INDEX(ctaLiq,MATCH(G2024,ctaNom,0))="Sí",FALSE)),O2024,0))</f>
        <v/>
      </c>
      <c r="W2024" s="19">
        <f>IF(OR(F2024="",I2024=""),"",IF(COUNTIFS(F$6:F2024,F2024,I$6:I2024,"?*")=1,MAX(W$5:W2023)+1,""))</f>
        <v/>
      </c>
    </row>
    <row r="2025">
      <c r="B2025" s="15" t="n"/>
      <c r="C2025" s="16" t="n"/>
      <c r="D2025" s="17" t="n"/>
      <c r="E2025" s="17" t="n"/>
      <c r="F2025" s="17" t="n"/>
      <c r="G2025" s="17" t="n"/>
      <c r="H2025" s="18">
        <f>IF(AND(B2025="",C2025="",D2025="",E2025=""),"",IF(B2025="","⚠ Falta fecha",IF(C2025="","⚠ Falta monto",IF(D2025="","⚠ Falta categoría",IF(ISNA(MATCH(D2025,catNom,0)),"⚠ Categoría no existe",IF(E2025="","⚠ Falta cuenta",IF(ISNA(MATCH(E2025,ctaNom,0)),"⚠ Cuenta no existe",IF(AND(OR(I2025="Transferencia",I2025="Pago tarjeta"),G2025=""),"⚠ Indica la cuenta «Hacia»",IF(AND(G2025&lt;&gt;"",G2025=E2025),"⚠ «Hacia» igual a la cuenta",IF(AND(G2025&lt;&gt;"",ISNA(MATCH(G2025,ctaNom,0))),"⚠ «Hacia» no existe",IF(AND(I2025="Pago tarjeta",IFERROR(INDEX(ctaTipo,MATCH(G2025,ctaNom,0)),"")&lt;&gt;"Tarjeta de crédito"),"⚠ «Hacia» debe ser la tarjeta",IF(AND(I2025="Trading",IFERROR(INDEX(ctaTipo,MATCH(E2025,ctaNom,0)),"")&lt;&gt;"Cuenta de trading"),"⚠ Usa la cuenta de trading","✓"))))))))))))</f>
        <v/>
      </c>
      <c r="I2025" s="19">
        <f>IF(OR(B2025="",C2025="",D2025=""),"",IFERROR(INDEX(catTipo,MATCH(D2025,catNom,0))&amp;"",""))</f>
        <v/>
      </c>
      <c r="J2025" s="19">
        <f>IF(I2025="","",IFERROR(INDEX(catGrupo,MATCH(D2025,catNom,0))&amp;"",""))</f>
        <v/>
      </c>
      <c r="K2025" s="19">
        <f>IF(I2025="Gasto",IF(IFERROR(INDEX(catClas,MATCH(D2025,catNom,0))&amp;"","")="","Variable",IFERROR(INDEX(catClas,MATCH(D2025,catNom,0))&amp;"","")),"")</f>
        <v/>
      </c>
      <c r="L2025" s="19">
        <f>IF(I2025="","",IFERROR(INDEX(catAlim,MATCH(D2025,catNom,0))&amp;"",""))</f>
        <v/>
      </c>
      <c r="M2025" s="19">
        <f>IF(I2025="","",IFERROR(INDEX(catComida,MATCH(D2025,catNom,0))&amp;"",""))</f>
        <v/>
      </c>
      <c r="N2025" s="19">
        <f>IF(I2025="","",IFERROR(INDEX(ctaMon,MATCH(E2025,ctaNom,0))&amp;"","DOP"))</f>
        <v/>
      </c>
      <c r="O2025" s="20">
        <f>IF(I2025="","",C2025*IF(N2025="USD",TasaUSD,1))</f>
        <v/>
      </c>
      <c r="P2025" s="20">
        <f>IF(I2025="","",IF(I2025="Gasto",O2025,0))</f>
        <v/>
      </c>
      <c r="Q2025" s="20">
        <f>IF(I2025="","",IF(I2025="Ingreso",O2025,0))</f>
        <v/>
      </c>
      <c r="R2025" s="20">
        <f>IF(I2025="","",IF(I2025="Trading",O2025,0))</f>
        <v/>
      </c>
      <c r="S2025" s="19">
        <f>IF(I2025="","",IF(AND(I2025="Gasto",K2025="Variable",J2025&lt;&gt;"Trading",O2025&gt;0,O2025&lt;=Umbral),1,0))</f>
        <v/>
      </c>
      <c r="T2025" s="20">
        <f>IF(OR(I2025="",E2025=""),"",IF(OR(I2025="Gasto",I2025="Transferencia",I2025="Pago tarjeta"),-1,1)*C2025)</f>
        <v/>
      </c>
      <c r="U2025" s="20">
        <f>IF(OR(G2025="",AND(I2025&lt;&gt;"Transferencia",I2025&lt;&gt;"Pago tarjeta")),"",IF(IFERROR(INDEX(ctaMon,MATCH(G2025,ctaNom,0))&amp;"","DOP")=N2025,C2025,IF(N2025="USD",C2025*TasaUSD,C2025/TasaUSD)))</f>
        <v/>
      </c>
      <c r="V2025" s="20">
        <f>IF(I2025="","",IF(IFERROR(INDEX(ctaLiq,MATCH(E2025,ctaNom,0))="Sí",FALSE),IF(OR(I2025="Gasto",I2025="Transferencia",I2025="Pago tarjeta"),-1,1)*O2025,0)+IF(AND(U2025&lt;&gt;"",IFERROR(INDEX(ctaLiq,MATCH(G2025,ctaNom,0))="Sí",FALSE)),O2025,0))</f>
        <v/>
      </c>
      <c r="W2025" s="19">
        <f>IF(OR(F2025="",I2025=""),"",IF(COUNTIFS(F$6:F2025,F2025,I$6:I2025,"?*")=1,MAX(W$5:W2024)+1,""))</f>
        <v/>
      </c>
    </row>
    <row r="2026">
      <c r="B2026" s="15" t="n"/>
      <c r="C2026" s="16" t="n"/>
      <c r="D2026" s="17" t="n"/>
      <c r="E2026" s="17" t="n"/>
      <c r="F2026" s="17" t="n"/>
      <c r="G2026" s="17" t="n"/>
      <c r="H2026" s="18">
        <f>IF(AND(B2026="",C2026="",D2026="",E2026=""),"",IF(B2026="","⚠ Falta fecha",IF(C2026="","⚠ Falta monto",IF(D2026="","⚠ Falta categoría",IF(ISNA(MATCH(D2026,catNom,0)),"⚠ Categoría no existe",IF(E2026="","⚠ Falta cuenta",IF(ISNA(MATCH(E2026,ctaNom,0)),"⚠ Cuenta no existe",IF(AND(OR(I2026="Transferencia",I2026="Pago tarjeta"),G2026=""),"⚠ Indica la cuenta «Hacia»",IF(AND(G2026&lt;&gt;"",G2026=E2026),"⚠ «Hacia» igual a la cuenta",IF(AND(G2026&lt;&gt;"",ISNA(MATCH(G2026,ctaNom,0))),"⚠ «Hacia» no existe",IF(AND(I2026="Pago tarjeta",IFERROR(INDEX(ctaTipo,MATCH(G2026,ctaNom,0)),"")&lt;&gt;"Tarjeta de crédito"),"⚠ «Hacia» debe ser la tarjeta",IF(AND(I2026="Trading",IFERROR(INDEX(ctaTipo,MATCH(E2026,ctaNom,0)),"")&lt;&gt;"Cuenta de trading"),"⚠ Usa la cuenta de trading","✓"))))))))))))</f>
        <v/>
      </c>
      <c r="I2026" s="19">
        <f>IF(OR(B2026="",C2026="",D2026=""),"",IFERROR(INDEX(catTipo,MATCH(D2026,catNom,0))&amp;"",""))</f>
        <v/>
      </c>
      <c r="J2026" s="19">
        <f>IF(I2026="","",IFERROR(INDEX(catGrupo,MATCH(D2026,catNom,0))&amp;"",""))</f>
        <v/>
      </c>
      <c r="K2026" s="19">
        <f>IF(I2026="Gasto",IF(IFERROR(INDEX(catClas,MATCH(D2026,catNom,0))&amp;"","")="","Variable",IFERROR(INDEX(catClas,MATCH(D2026,catNom,0))&amp;"","")),"")</f>
        <v/>
      </c>
      <c r="L2026" s="19">
        <f>IF(I2026="","",IFERROR(INDEX(catAlim,MATCH(D2026,catNom,0))&amp;"",""))</f>
        <v/>
      </c>
      <c r="M2026" s="19">
        <f>IF(I2026="","",IFERROR(INDEX(catComida,MATCH(D2026,catNom,0))&amp;"",""))</f>
        <v/>
      </c>
      <c r="N2026" s="19">
        <f>IF(I2026="","",IFERROR(INDEX(ctaMon,MATCH(E2026,ctaNom,0))&amp;"","DOP"))</f>
        <v/>
      </c>
      <c r="O2026" s="20">
        <f>IF(I2026="","",C2026*IF(N2026="USD",TasaUSD,1))</f>
        <v/>
      </c>
      <c r="P2026" s="20">
        <f>IF(I2026="","",IF(I2026="Gasto",O2026,0))</f>
        <v/>
      </c>
      <c r="Q2026" s="20">
        <f>IF(I2026="","",IF(I2026="Ingreso",O2026,0))</f>
        <v/>
      </c>
      <c r="R2026" s="20">
        <f>IF(I2026="","",IF(I2026="Trading",O2026,0))</f>
        <v/>
      </c>
      <c r="S2026" s="19">
        <f>IF(I2026="","",IF(AND(I2026="Gasto",K2026="Variable",J2026&lt;&gt;"Trading",O2026&gt;0,O2026&lt;=Umbral),1,0))</f>
        <v/>
      </c>
      <c r="T2026" s="20">
        <f>IF(OR(I2026="",E2026=""),"",IF(OR(I2026="Gasto",I2026="Transferencia",I2026="Pago tarjeta"),-1,1)*C2026)</f>
        <v/>
      </c>
      <c r="U2026" s="20">
        <f>IF(OR(G2026="",AND(I2026&lt;&gt;"Transferencia",I2026&lt;&gt;"Pago tarjeta")),"",IF(IFERROR(INDEX(ctaMon,MATCH(G2026,ctaNom,0))&amp;"","DOP")=N2026,C2026,IF(N2026="USD",C2026*TasaUSD,C2026/TasaUSD)))</f>
        <v/>
      </c>
      <c r="V2026" s="20">
        <f>IF(I2026="","",IF(IFERROR(INDEX(ctaLiq,MATCH(E2026,ctaNom,0))="Sí",FALSE),IF(OR(I2026="Gasto",I2026="Transferencia",I2026="Pago tarjeta"),-1,1)*O2026,0)+IF(AND(U2026&lt;&gt;"",IFERROR(INDEX(ctaLiq,MATCH(G2026,ctaNom,0))="Sí",FALSE)),O2026,0))</f>
        <v/>
      </c>
      <c r="W2026" s="19">
        <f>IF(OR(F2026="",I2026=""),"",IF(COUNTIFS(F$6:F2026,F2026,I$6:I2026,"?*")=1,MAX(W$5:W2025)+1,""))</f>
        <v/>
      </c>
    </row>
    <row r="2027">
      <c r="B2027" s="15" t="n"/>
      <c r="C2027" s="16" t="n"/>
      <c r="D2027" s="17" t="n"/>
      <c r="E2027" s="17" t="n"/>
      <c r="F2027" s="17" t="n"/>
      <c r="G2027" s="17" t="n"/>
      <c r="H2027" s="18">
        <f>IF(AND(B2027="",C2027="",D2027="",E2027=""),"",IF(B2027="","⚠ Falta fecha",IF(C2027="","⚠ Falta monto",IF(D2027="","⚠ Falta categoría",IF(ISNA(MATCH(D2027,catNom,0)),"⚠ Categoría no existe",IF(E2027="","⚠ Falta cuenta",IF(ISNA(MATCH(E2027,ctaNom,0)),"⚠ Cuenta no existe",IF(AND(OR(I2027="Transferencia",I2027="Pago tarjeta"),G2027=""),"⚠ Indica la cuenta «Hacia»",IF(AND(G2027&lt;&gt;"",G2027=E2027),"⚠ «Hacia» igual a la cuenta",IF(AND(G2027&lt;&gt;"",ISNA(MATCH(G2027,ctaNom,0))),"⚠ «Hacia» no existe",IF(AND(I2027="Pago tarjeta",IFERROR(INDEX(ctaTipo,MATCH(G2027,ctaNom,0)),"")&lt;&gt;"Tarjeta de crédito"),"⚠ «Hacia» debe ser la tarjeta",IF(AND(I2027="Trading",IFERROR(INDEX(ctaTipo,MATCH(E2027,ctaNom,0)),"")&lt;&gt;"Cuenta de trading"),"⚠ Usa la cuenta de trading","✓"))))))))))))</f>
        <v/>
      </c>
      <c r="I2027" s="19">
        <f>IF(OR(B2027="",C2027="",D2027=""),"",IFERROR(INDEX(catTipo,MATCH(D2027,catNom,0))&amp;"",""))</f>
        <v/>
      </c>
      <c r="J2027" s="19">
        <f>IF(I2027="","",IFERROR(INDEX(catGrupo,MATCH(D2027,catNom,0))&amp;"",""))</f>
        <v/>
      </c>
      <c r="K2027" s="19">
        <f>IF(I2027="Gasto",IF(IFERROR(INDEX(catClas,MATCH(D2027,catNom,0))&amp;"","")="","Variable",IFERROR(INDEX(catClas,MATCH(D2027,catNom,0))&amp;"","")),"")</f>
        <v/>
      </c>
      <c r="L2027" s="19">
        <f>IF(I2027="","",IFERROR(INDEX(catAlim,MATCH(D2027,catNom,0))&amp;"",""))</f>
        <v/>
      </c>
      <c r="M2027" s="19">
        <f>IF(I2027="","",IFERROR(INDEX(catComida,MATCH(D2027,catNom,0))&amp;"",""))</f>
        <v/>
      </c>
      <c r="N2027" s="19">
        <f>IF(I2027="","",IFERROR(INDEX(ctaMon,MATCH(E2027,ctaNom,0))&amp;"","DOP"))</f>
        <v/>
      </c>
      <c r="O2027" s="20">
        <f>IF(I2027="","",C2027*IF(N2027="USD",TasaUSD,1))</f>
        <v/>
      </c>
      <c r="P2027" s="20">
        <f>IF(I2027="","",IF(I2027="Gasto",O2027,0))</f>
        <v/>
      </c>
      <c r="Q2027" s="20">
        <f>IF(I2027="","",IF(I2027="Ingreso",O2027,0))</f>
        <v/>
      </c>
      <c r="R2027" s="20">
        <f>IF(I2027="","",IF(I2027="Trading",O2027,0))</f>
        <v/>
      </c>
      <c r="S2027" s="19">
        <f>IF(I2027="","",IF(AND(I2027="Gasto",K2027="Variable",J2027&lt;&gt;"Trading",O2027&gt;0,O2027&lt;=Umbral),1,0))</f>
        <v/>
      </c>
      <c r="T2027" s="20">
        <f>IF(OR(I2027="",E2027=""),"",IF(OR(I2027="Gasto",I2027="Transferencia",I2027="Pago tarjeta"),-1,1)*C2027)</f>
        <v/>
      </c>
      <c r="U2027" s="20">
        <f>IF(OR(G2027="",AND(I2027&lt;&gt;"Transferencia",I2027&lt;&gt;"Pago tarjeta")),"",IF(IFERROR(INDEX(ctaMon,MATCH(G2027,ctaNom,0))&amp;"","DOP")=N2027,C2027,IF(N2027="USD",C2027*TasaUSD,C2027/TasaUSD)))</f>
        <v/>
      </c>
      <c r="V2027" s="20">
        <f>IF(I2027="","",IF(IFERROR(INDEX(ctaLiq,MATCH(E2027,ctaNom,0))="Sí",FALSE),IF(OR(I2027="Gasto",I2027="Transferencia",I2027="Pago tarjeta"),-1,1)*O2027,0)+IF(AND(U2027&lt;&gt;"",IFERROR(INDEX(ctaLiq,MATCH(G2027,ctaNom,0))="Sí",FALSE)),O2027,0))</f>
        <v/>
      </c>
      <c r="W2027" s="19">
        <f>IF(OR(F2027="",I2027=""),"",IF(COUNTIFS(F$6:F2027,F2027,I$6:I2027,"?*")=1,MAX(W$5:W2026)+1,""))</f>
        <v/>
      </c>
    </row>
    <row r="2028">
      <c r="B2028" s="15" t="n"/>
      <c r="C2028" s="16" t="n"/>
      <c r="D2028" s="17" t="n"/>
      <c r="E2028" s="17" t="n"/>
      <c r="F2028" s="17" t="n"/>
      <c r="G2028" s="17" t="n"/>
      <c r="H2028" s="18">
        <f>IF(AND(B2028="",C2028="",D2028="",E2028=""),"",IF(B2028="","⚠ Falta fecha",IF(C2028="","⚠ Falta monto",IF(D2028="","⚠ Falta categoría",IF(ISNA(MATCH(D2028,catNom,0)),"⚠ Categoría no existe",IF(E2028="","⚠ Falta cuenta",IF(ISNA(MATCH(E2028,ctaNom,0)),"⚠ Cuenta no existe",IF(AND(OR(I2028="Transferencia",I2028="Pago tarjeta"),G2028=""),"⚠ Indica la cuenta «Hacia»",IF(AND(G2028&lt;&gt;"",G2028=E2028),"⚠ «Hacia» igual a la cuenta",IF(AND(G2028&lt;&gt;"",ISNA(MATCH(G2028,ctaNom,0))),"⚠ «Hacia» no existe",IF(AND(I2028="Pago tarjeta",IFERROR(INDEX(ctaTipo,MATCH(G2028,ctaNom,0)),"")&lt;&gt;"Tarjeta de crédito"),"⚠ «Hacia» debe ser la tarjeta",IF(AND(I2028="Trading",IFERROR(INDEX(ctaTipo,MATCH(E2028,ctaNom,0)),"")&lt;&gt;"Cuenta de trading"),"⚠ Usa la cuenta de trading","✓"))))))))))))</f>
        <v/>
      </c>
      <c r="I2028" s="19">
        <f>IF(OR(B2028="",C2028="",D2028=""),"",IFERROR(INDEX(catTipo,MATCH(D2028,catNom,0))&amp;"",""))</f>
        <v/>
      </c>
      <c r="J2028" s="19">
        <f>IF(I2028="","",IFERROR(INDEX(catGrupo,MATCH(D2028,catNom,0))&amp;"",""))</f>
        <v/>
      </c>
      <c r="K2028" s="19">
        <f>IF(I2028="Gasto",IF(IFERROR(INDEX(catClas,MATCH(D2028,catNom,0))&amp;"","")="","Variable",IFERROR(INDEX(catClas,MATCH(D2028,catNom,0))&amp;"","")),"")</f>
        <v/>
      </c>
      <c r="L2028" s="19">
        <f>IF(I2028="","",IFERROR(INDEX(catAlim,MATCH(D2028,catNom,0))&amp;"",""))</f>
        <v/>
      </c>
      <c r="M2028" s="19">
        <f>IF(I2028="","",IFERROR(INDEX(catComida,MATCH(D2028,catNom,0))&amp;"",""))</f>
        <v/>
      </c>
      <c r="N2028" s="19">
        <f>IF(I2028="","",IFERROR(INDEX(ctaMon,MATCH(E2028,ctaNom,0))&amp;"","DOP"))</f>
        <v/>
      </c>
      <c r="O2028" s="20">
        <f>IF(I2028="","",C2028*IF(N2028="USD",TasaUSD,1))</f>
        <v/>
      </c>
      <c r="P2028" s="20">
        <f>IF(I2028="","",IF(I2028="Gasto",O2028,0))</f>
        <v/>
      </c>
      <c r="Q2028" s="20">
        <f>IF(I2028="","",IF(I2028="Ingreso",O2028,0))</f>
        <v/>
      </c>
      <c r="R2028" s="20">
        <f>IF(I2028="","",IF(I2028="Trading",O2028,0))</f>
        <v/>
      </c>
      <c r="S2028" s="19">
        <f>IF(I2028="","",IF(AND(I2028="Gasto",K2028="Variable",J2028&lt;&gt;"Trading",O2028&gt;0,O2028&lt;=Umbral),1,0))</f>
        <v/>
      </c>
      <c r="T2028" s="20">
        <f>IF(OR(I2028="",E2028=""),"",IF(OR(I2028="Gasto",I2028="Transferencia",I2028="Pago tarjeta"),-1,1)*C2028)</f>
        <v/>
      </c>
      <c r="U2028" s="20">
        <f>IF(OR(G2028="",AND(I2028&lt;&gt;"Transferencia",I2028&lt;&gt;"Pago tarjeta")),"",IF(IFERROR(INDEX(ctaMon,MATCH(G2028,ctaNom,0))&amp;"","DOP")=N2028,C2028,IF(N2028="USD",C2028*TasaUSD,C2028/TasaUSD)))</f>
        <v/>
      </c>
      <c r="V2028" s="20">
        <f>IF(I2028="","",IF(IFERROR(INDEX(ctaLiq,MATCH(E2028,ctaNom,0))="Sí",FALSE),IF(OR(I2028="Gasto",I2028="Transferencia",I2028="Pago tarjeta"),-1,1)*O2028,0)+IF(AND(U2028&lt;&gt;"",IFERROR(INDEX(ctaLiq,MATCH(G2028,ctaNom,0))="Sí",FALSE)),O2028,0))</f>
        <v/>
      </c>
      <c r="W2028" s="19">
        <f>IF(OR(F2028="",I2028=""),"",IF(COUNTIFS(F$6:F2028,F2028,I$6:I2028,"?*")=1,MAX(W$5:W2027)+1,""))</f>
        <v/>
      </c>
    </row>
    <row r="2029">
      <c r="B2029" s="15" t="n"/>
      <c r="C2029" s="16" t="n"/>
      <c r="D2029" s="17" t="n"/>
      <c r="E2029" s="17" t="n"/>
      <c r="F2029" s="17" t="n"/>
      <c r="G2029" s="17" t="n"/>
      <c r="H2029" s="18">
        <f>IF(AND(B2029="",C2029="",D2029="",E2029=""),"",IF(B2029="","⚠ Falta fecha",IF(C2029="","⚠ Falta monto",IF(D2029="","⚠ Falta categoría",IF(ISNA(MATCH(D2029,catNom,0)),"⚠ Categoría no existe",IF(E2029="","⚠ Falta cuenta",IF(ISNA(MATCH(E2029,ctaNom,0)),"⚠ Cuenta no existe",IF(AND(OR(I2029="Transferencia",I2029="Pago tarjeta"),G2029=""),"⚠ Indica la cuenta «Hacia»",IF(AND(G2029&lt;&gt;"",G2029=E2029),"⚠ «Hacia» igual a la cuenta",IF(AND(G2029&lt;&gt;"",ISNA(MATCH(G2029,ctaNom,0))),"⚠ «Hacia» no existe",IF(AND(I2029="Pago tarjeta",IFERROR(INDEX(ctaTipo,MATCH(G2029,ctaNom,0)),"")&lt;&gt;"Tarjeta de crédito"),"⚠ «Hacia» debe ser la tarjeta",IF(AND(I2029="Trading",IFERROR(INDEX(ctaTipo,MATCH(E2029,ctaNom,0)),"")&lt;&gt;"Cuenta de trading"),"⚠ Usa la cuenta de trading","✓"))))))))))))</f>
        <v/>
      </c>
      <c r="I2029" s="19">
        <f>IF(OR(B2029="",C2029="",D2029=""),"",IFERROR(INDEX(catTipo,MATCH(D2029,catNom,0))&amp;"",""))</f>
        <v/>
      </c>
      <c r="J2029" s="19">
        <f>IF(I2029="","",IFERROR(INDEX(catGrupo,MATCH(D2029,catNom,0))&amp;"",""))</f>
        <v/>
      </c>
      <c r="K2029" s="19">
        <f>IF(I2029="Gasto",IF(IFERROR(INDEX(catClas,MATCH(D2029,catNom,0))&amp;"","")="","Variable",IFERROR(INDEX(catClas,MATCH(D2029,catNom,0))&amp;"","")),"")</f>
        <v/>
      </c>
      <c r="L2029" s="19">
        <f>IF(I2029="","",IFERROR(INDEX(catAlim,MATCH(D2029,catNom,0))&amp;"",""))</f>
        <v/>
      </c>
      <c r="M2029" s="19">
        <f>IF(I2029="","",IFERROR(INDEX(catComida,MATCH(D2029,catNom,0))&amp;"",""))</f>
        <v/>
      </c>
      <c r="N2029" s="19">
        <f>IF(I2029="","",IFERROR(INDEX(ctaMon,MATCH(E2029,ctaNom,0))&amp;"","DOP"))</f>
        <v/>
      </c>
      <c r="O2029" s="20">
        <f>IF(I2029="","",C2029*IF(N2029="USD",TasaUSD,1))</f>
        <v/>
      </c>
      <c r="P2029" s="20">
        <f>IF(I2029="","",IF(I2029="Gasto",O2029,0))</f>
        <v/>
      </c>
      <c r="Q2029" s="20">
        <f>IF(I2029="","",IF(I2029="Ingreso",O2029,0))</f>
        <v/>
      </c>
      <c r="R2029" s="20">
        <f>IF(I2029="","",IF(I2029="Trading",O2029,0))</f>
        <v/>
      </c>
      <c r="S2029" s="19">
        <f>IF(I2029="","",IF(AND(I2029="Gasto",K2029="Variable",J2029&lt;&gt;"Trading",O2029&gt;0,O2029&lt;=Umbral),1,0))</f>
        <v/>
      </c>
      <c r="T2029" s="20">
        <f>IF(OR(I2029="",E2029=""),"",IF(OR(I2029="Gasto",I2029="Transferencia",I2029="Pago tarjeta"),-1,1)*C2029)</f>
        <v/>
      </c>
      <c r="U2029" s="20">
        <f>IF(OR(G2029="",AND(I2029&lt;&gt;"Transferencia",I2029&lt;&gt;"Pago tarjeta")),"",IF(IFERROR(INDEX(ctaMon,MATCH(G2029,ctaNom,0))&amp;"","DOP")=N2029,C2029,IF(N2029="USD",C2029*TasaUSD,C2029/TasaUSD)))</f>
        <v/>
      </c>
      <c r="V2029" s="20">
        <f>IF(I2029="","",IF(IFERROR(INDEX(ctaLiq,MATCH(E2029,ctaNom,0))="Sí",FALSE),IF(OR(I2029="Gasto",I2029="Transferencia",I2029="Pago tarjeta"),-1,1)*O2029,0)+IF(AND(U2029&lt;&gt;"",IFERROR(INDEX(ctaLiq,MATCH(G2029,ctaNom,0))="Sí",FALSE)),O2029,0))</f>
        <v/>
      </c>
      <c r="W2029" s="19">
        <f>IF(OR(F2029="",I2029=""),"",IF(COUNTIFS(F$6:F2029,F2029,I$6:I2029,"?*")=1,MAX(W$5:W2028)+1,""))</f>
        <v/>
      </c>
    </row>
    <row r="2030">
      <c r="B2030" s="15" t="n"/>
      <c r="C2030" s="16" t="n"/>
      <c r="D2030" s="17" t="n"/>
      <c r="E2030" s="17" t="n"/>
      <c r="F2030" s="17" t="n"/>
      <c r="G2030" s="17" t="n"/>
      <c r="H2030" s="18">
        <f>IF(AND(B2030="",C2030="",D2030="",E2030=""),"",IF(B2030="","⚠ Falta fecha",IF(C2030="","⚠ Falta monto",IF(D2030="","⚠ Falta categoría",IF(ISNA(MATCH(D2030,catNom,0)),"⚠ Categoría no existe",IF(E2030="","⚠ Falta cuenta",IF(ISNA(MATCH(E2030,ctaNom,0)),"⚠ Cuenta no existe",IF(AND(OR(I2030="Transferencia",I2030="Pago tarjeta"),G2030=""),"⚠ Indica la cuenta «Hacia»",IF(AND(G2030&lt;&gt;"",G2030=E2030),"⚠ «Hacia» igual a la cuenta",IF(AND(G2030&lt;&gt;"",ISNA(MATCH(G2030,ctaNom,0))),"⚠ «Hacia» no existe",IF(AND(I2030="Pago tarjeta",IFERROR(INDEX(ctaTipo,MATCH(G2030,ctaNom,0)),"")&lt;&gt;"Tarjeta de crédito"),"⚠ «Hacia» debe ser la tarjeta",IF(AND(I2030="Trading",IFERROR(INDEX(ctaTipo,MATCH(E2030,ctaNom,0)),"")&lt;&gt;"Cuenta de trading"),"⚠ Usa la cuenta de trading","✓"))))))))))))</f>
        <v/>
      </c>
      <c r="I2030" s="19">
        <f>IF(OR(B2030="",C2030="",D2030=""),"",IFERROR(INDEX(catTipo,MATCH(D2030,catNom,0))&amp;"",""))</f>
        <v/>
      </c>
      <c r="J2030" s="19">
        <f>IF(I2030="","",IFERROR(INDEX(catGrupo,MATCH(D2030,catNom,0))&amp;"",""))</f>
        <v/>
      </c>
      <c r="K2030" s="19">
        <f>IF(I2030="Gasto",IF(IFERROR(INDEX(catClas,MATCH(D2030,catNom,0))&amp;"","")="","Variable",IFERROR(INDEX(catClas,MATCH(D2030,catNom,0))&amp;"","")),"")</f>
        <v/>
      </c>
      <c r="L2030" s="19">
        <f>IF(I2030="","",IFERROR(INDEX(catAlim,MATCH(D2030,catNom,0))&amp;"",""))</f>
        <v/>
      </c>
      <c r="M2030" s="19">
        <f>IF(I2030="","",IFERROR(INDEX(catComida,MATCH(D2030,catNom,0))&amp;"",""))</f>
        <v/>
      </c>
      <c r="N2030" s="19">
        <f>IF(I2030="","",IFERROR(INDEX(ctaMon,MATCH(E2030,ctaNom,0))&amp;"","DOP"))</f>
        <v/>
      </c>
      <c r="O2030" s="20">
        <f>IF(I2030="","",C2030*IF(N2030="USD",TasaUSD,1))</f>
        <v/>
      </c>
      <c r="P2030" s="20">
        <f>IF(I2030="","",IF(I2030="Gasto",O2030,0))</f>
        <v/>
      </c>
      <c r="Q2030" s="20">
        <f>IF(I2030="","",IF(I2030="Ingreso",O2030,0))</f>
        <v/>
      </c>
      <c r="R2030" s="20">
        <f>IF(I2030="","",IF(I2030="Trading",O2030,0))</f>
        <v/>
      </c>
      <c r="S2030" s="19">
        <f>IF(I2030="","",IF(AND(I2030="Gasto",K2030="Variable",J2030&lt;&gt;"Trading",O2030&gt;0,O2030&lt;=Umbral),1,0))</f>
        <v/>
      </c>
      <c r="T2030" s="20">
        <f>IF(OR(I2030="",E2030=""),"",IF(OR(I2030="Gasto",I2030="Transferencia",I2030="Pago tarjeta"),-1,1)*C2030)</f>
        <v/>
      </c>
      <c r="U2030" s="20">
        <f>IF(OR(G2030="",AND(I2030&lt;&gt;"Transferencia",I2030&lt;&gt;"Pago tarjeta")),"",IF(IFERROR(INDEX(ctaMon,MATCH(G2030,ctaNom,0))&amp;"","DOP")=N2030,C2030,IF(N2030="USD",C2030*TasaUSD,C2030/TasaUSD)))</f>
        <v/>
      </c>
      <c r="V2030" s="20">
        <f>IF(I2030="","",IF(IFERROR(INDEX(ctaLiq,MATCH(E2030,ctaNom,0))="Sí",FALSE),IF(OR(I2030="Gasto",I2030="Transferencia",I2030="Pago tarjeta"),-1,1)*O2030,0)+IF(AND(U2030&lt;&gt;"",IFERROR(INDEX(ctaLiq,MATCH(G2030,ctaNom,0))="Sí",FALSE)),O2030,0))</f>
        <v/>
      </c>
      <c r="W2030" s="19">
        <f>IF(OR(F2030="",I2030=""),"",IF(COUNTIFS(F$6:F2030,F2030,I$6:I2030,"?*")=1,MAX(W$5:W2029)+1,""))</f>
        <v/>
      </c>
    </row>
    <row r="2031">
      <c r="B2031" s="15" t="n"/>
      <c r="C2031" s="16" t="n"/>
      <c r="D2031" s="17" t="n"/>
      <c r="E2031" s="17" t="n"/>
      <c r="F2031" s="17" t="n"/>
      <c r="G2031" s="17" t="n"/>
      <c r="H2031" s="18">
        <f>IF(AND(B2031="",C2031="",D2031="",E2031=""),"",IF(B2031="","⚠ Falta fecha",IF(C2031="","⚠ Falta monto",IF(D2031="","⚠ Falta categoría",IF(ISNA(MATCH(D2031,catNom,0)),"⚠ Categoría no existe",IF(E2031="","⚠ Falta cuenta",IF(ISNA(MATCH(E2031,ctaNom,0)),"⚠ Cuenta no existe",IF(AND(OR(I2031="Transferencia",I2031="Pago tarjeta"),G2031=""),"⚠ Indica la cuenta «Hacia»",IF(AND(G2031&lt;&gt;"",G2031=E2031),"⚠ «Hacia» igual a la cuenta",IF(AND(G2031&lt;&gt;"",ISNA(MATCH(G2031,ctaNom,0))),"⚠ «Hacia» no existe",IF(AND(I2031="Pago tarjeta",IFERROR(INDEX(ctaTipo,MATCH(G2031,ctaNom,0)),"")&lt;&gt;"Tarjeta de crédito"),"⚠ «Hacia» debe ser la tarjeta",IF(AND(I2031="Trading",IFERROR(INDEX(ctaTipo,MATCH(E2031,ctaNom,0)),"")&lt;&gt;"Cuenta de trading"),"⚠ Usa la cuenta de trading","✓"))))))))))))</f>
        <v/>
      </c>
      <c r="I2031" s="19">
        <f>IF(OR(B2031="",C2031="",D2031=""),"",IFERROR(INDEX(catTipo,MATCH(D2031,catNom,0))&amp;"",""))</f>
        <v/>
      </c>
      <c r="J2031" s="19">
        <f>IF(I2031="","",IFERROR(INDEX(catGrupo,MATCH(D2031,catNom,0))&amp;"",""))</f>
        <v/>
      </c>
      <c r="K2031" s="19">
        <f>IF(I2031="Gasto",IF(IFERROR(INDEX(catClas,MATCH(D2031,catNom,0))&amp;"","")="","Variable",IFERROR(INDEX(catClas,MATCH(D2031,catNom,0))&amp;"","")),"")</f>
        <v/>
      </c>
      <c r="L2031" s="19">
        <f>IF(I2031="","",IFERROR(INDEX(catAlim,MATCH(D2031,catNom,0))&amp;"",""))</f>
        <v/>
      </c>
      <c r="M2031" s="19">
        <f>IF(I2031="","",IFERROR(INDEX(catComida,MATCH(D2031,catNom,0))&amp;"",""))</f>
        <v/>
      </c>
      <c r="N2031" s="19">
        <f>IF(I2031="","",IFERROR(INDEX(ctaMon,MATCH(E2031,ctaNom,0))&amp;"","DOP"))</f>
        <v/>
      </c>
      <c r="O2031" s="20">
        <f>IF(I2031="","",C2031*IF(N2031="USD",TasaUSD,1))</f>
        <v/>
      </c>
      <c r="P2031" s="20">
        <f>IF(I2031="","",IF(I2031="Gasto",O2031,0))</f>
        <v/>
      </c>
      <c r="Q2031" s="20">
        <f>IF(I2031="","",IF(I2031="Ingreso",O2031,0))</f>
        <v/>
      </c>
      <c r="R2031" s="20">
        <f>IF(I2031="","",IF(I2031="Trading",O2031,0))</f>
        <v/>
      </c>
      <c r="S2031" s="19">
        <f>IF(I2031="","",IF(AND(I2031="Gasto",K2031="Variable",J2031&lt;&gt;"Trading",O2031&gt;0,O2031&lt;=Umbral),1,0))</f>
        <v/>
      </c>
      <c r="T2031" s="20">
        <f>IF(OR(I2031="",E2031=""),"",IF(OR(I2031="Gasto",I2031="Transferencia",I2031="Pago tarjeta"),-1,1)*C2031)</f>
        <v/>
      </c>
      <c r="U2031" s="20">
        <f>IF(OR(G2031="",AND(I2031&lt;&gt;"Transferencia",I2031&lt;&gt;"Pago tarjeta")),"",IF(IFERROR(INDEX(ctaMon,MATCH(G2031,ctaNom,0))&amp;"","DOP")=N2031,C2031,IF(N2031="USD",C2031*TasaUSD,C2031/TasaUSD)))</f>
        <v/>
      </c>
      <c r="V2031" s="20">
        <f>IF(I2031="","",IF(IFERROR(INDEX(ctaLiq,MATCH(E2031,ctaNom,0))="Sí",FALSE),IF(OR(I2031="Gasto",I2031="Transferencia",I2031="Pago tarjeta"),-1,1)*O2031,0)+IF(AND(U2031&lt;&gt;"",IFERROR(INDEX(ctaLiq,MATCH(G2031,ctaNom,0))="Sí",FALSE)),O2031,0))</f>
        <v/>
      </c>
      <c r="W2031" s="19">
        <f>IF(OR(F2031="",I2031=""),"",IF(COUNTIFS(F$6:F2031,F2031,I$6:I2031,"?*")=1,MAX(W$5:W2030)+1,""))</f>
        <v/>
      </c>
    </row>
    <row r="2032">
      <c r="B2032" s="15" t="n"/>
      <c r="C2032" s="16" t="n"/>
      <c r="D2032" s="17" t="n"/>
      <c r="E2032" s="17" t="n"/>
      <c r="F2032" s="17" t="n"/>
      <c r="G2032" s="17" t="n"/>
      <c r="H2032" s="18">
        <f>IF(AND(B2032="",C2032="",D2032="",E2032=""),"",IF(B2032="","⚠ Falta fecha",IF(C2032="","⚠ Falta monto",IF(D2032="","⚠ Falta categoría",IF(ISNA(MATCH(D2032,catNom,0)),"⚠ Categoría no existe",IF(E2032="","⚠ Falta cuenta",IF(ISNA(MATCH(E2032,ctaNom,0)),"⚠ Cuenta no existe",IF(AND(OR(I2032="Transferencia",I2032="Pago tarjeta"),G2032=""),"⚠ Indica la cuenta «Hacia»",IF(AND(G2032&lt;&gt;"",G2032=E2032),"⚠ «Hacia» igual a la cuenta",IF(AND(G2032&lt;&gt;"",ISNA(MATCH(G2032,ctaNom,0))),"⚠ «Hacia» no existe",IF(AND(I2032="Pago tarjeta",IFERROR(INDEX(ctaTipo,MATCH(G2032,ctaNom,0)),"")&lt;&gt;"Tarjeta de crédito"),"⚠ «Hacia» debe ser la tarjeta",IF(AND(I2032="Trading",IFERROR(INDEX(ctaTipo,MATCH(E2032,ctaNom,0)),"")&lt;&gt;"Cuenta de trading"),"⚠ Usa la cuenta de trading","✓"))))))))))))</f>
        <v/>
      </c>
      <c r="I2032" s="19">
        <f>IF(OR(B2032="",C2032="",D2032=""),"",IFERROR(INDEX(catTipo,MATCH(D2032,catNom,0))&amp;"",""))</f>
        <v/>
      </c>
      <c r="J2032" s="19">
        <f>IF(I2032="","",IFERROR(INDEX(catGrupo,MATCH(D2032,catNom,0))&amp;"",""))</f>
        <v/>
      </c>
      <c r="K2032" s="19">
        <f>IF(I2032="Gasto",IF(IFERROR(INDEX(catClas,MATCH(D2032,catNom,0))&amp;"","")="","Variable",IFERROR(INDEX(catClas,MATCH(D2032,catNom,0))&amp;"","")),"")</f>
        <v/>
      </c>
      <c r="L2032" s="19">
        <f>IF(I2032="","",IFERROR(INDEX(catAlim,MATCH(D2032,catNom,0))&amp;"",""))</f>
        <v/>
      </c>
      <c r="M2032" s="19">
        <f>IF(I2032="","",IFERROR(INDEX(catComida,MATCH(D2032,catNom,0))&amp;"",""))</f>
        <v/>
      </c>
      <c r="N2032" s="19">
        <f>IF(I2032="","",IFERROR(INDEX(ctaMon,MATCH(E2032,ctaNom,0))&amp;"","DOP"))</f>
        <v/>
      </c>
      <c r="O2032" s="20">
        <f>IF(I2032="","",C2032*IF(N2032="USD",TasaUSD,1))</f>
        <v/>
      </c>
      <c r="P2032" s="20">
        <f>IF(I2032="","",IF(I2032="Gasto",O2032,0))</f>
        <v/>
      </c>
      <c r="Q2032" s="20">
        <f>IF(I2032="","",IF(I2032="Ingreso",O2032,0))</f>
        <v/>
      </c>
      <c r="R2032" s="20">
        <f>IF(I2032="","",IF(I2032="Trading",O2032,0))</f>
        <v/>
      </c>
      <c r="S2032" s="19">
        <f>IF(I2032="","",IF(AND(I2032="Gasto",K2032="Variable",J2032&lt;&gt;"Trading",O2032&gt;0,O2032&lt;=Umbral),1,0))</f>
        <v/>
      </c>
      <c r="T2032" s="20">
        <f>IF(OR(I2032="",E2032=""),"",IF(OR(I2032="Gasto",I2032="Transferencia",I2032="Pago tarjeta"),-1,1)*C2032)</f>
        <v/>
      </c>
      <c r="U2032" s="20">
        <f>IF(OR(G2032="",AND(I2032&lt;&gt;"Transferencia",I2032&lt;&gt;"Pago tarjeta")),"",IF(IFERROR(INDEX(ctaMon,MATCH(G2032,ctaNom,0))&amp;"","DOP")=N2032,C2032,IF(N2032="USD",C2032*TasaUSD,C2032/TasaUSD)))</f>
        <v/>
      </c>
      <c r="V2032" s="20">
        <f>IF(I2032="","",IF(IFERROR(INDEX(ctaLiq,MATCH(E2032,ctaNom,0))="Sí",FALSE),IF(OR(I2032="Gasto",I2032="Transferencia",I2032="Pago tarjeta"),-1,1)*O2032,0)+IF(AND(U2032&lt;&gt;"",IFERROR(INDEX(ctaLiq,MATCH(G2032,ctaNom,0))="Sí",FALSE)),O2032,0))</f>
        <v/>
      </c>
      <c r="W2032" s="19">
        <f>IF(OR(F2032="",I2032=""),"",IF(COUNTIFS(F$6:F2032,F2032,I$6:I2032,"?*")=1,MAX(W$5:W2031)+1,""))</f>
        <v/>
      </c>
    </row>
    <row r="2033">
      <c r="B2033" s="15" t="n"/>
      <c r="C2033" s="16" t="n"/>
      <c r="D2033" s="17" t="n"/>
      <c r="E2033" s="17" t="n"/>
      <c r="F2033" s="17" t="n"/>
      <c r="G2033" s="17" t="n"/>
      <c r="H2033" s="18">
        <f>IF(AND(B2033="",C2033="",D2033="",E2033=""),"",IF(B2033="","⚠ Falta fecha",IF(C2033="","⚠ Falta monto",IF(D2033="","⚠ Falta categoría",IF(ISNA(MATCH(D2033,catNom,0)),"⚠ Categoría no existe",IF(E2033="","⚠ Falta cuenta",IF(ISNA(MATCH(E2033,ctaNom,0)),"⚠ Cuenta no existe",IF(AND(OR(I2033="Transferencia",I2033="Pago tarjeta"),G2033=""),"⚠ Indica la cuenta «Hacia»",IF(AND(G2033&lt;&gt;"",G2033=E2033),"⚠ «Hacia» igual a la cuenta",IF(AND(G2033&lt;&gt;"",ISNA(MATCH(G2033,ctaNom,0))),"⚠ «Hacia» no existe",IF(AND(I2033="Pago tarjeta",IFERROR(INDEX(ctaTipo,MATCH(G2033,ctaNom,0)),"")&lt;&gt;"Tarjeta de crédito"),"⚠ «Hacia» debe ser la tarjeta",IF(AND(I2033="Trading",IFERROR(INDEX(ctaTipo,MATCH(E2033,ctaNom,0)),"")&lt;&gt;"Cuenta de trading"),"⚠ Usa la cuenta de trading","✓"))))))))))))</f>
        <v/>
      </c>
      <c r="I2033" s="19">
        <f>IF(OR(B2033="",C2033="",D2033=""),"",IFERROR(INDEX(catTipo,MATCH(D2033,catNom,0))&amp;"",""))</f>
        <v/>
      </c>
      <c r="J2033" s="19">
        <f>IF(I2033="","",IFERROR(INDEX(catGrupo,MATCH(D2033,catNom,0))&amp;"",""))</f>
        <v/>
      </c>
      <c r="K2033" s="19">
        <f>IF(I2033="Gasto",IF(IFERROR(INDEX(catClas,MATCH(D2033,catNom,0))&amp;"","")="","Variable",IFERROR(INDEX(catClas,MATCH(D2033,catNom,0))&amp;"","")),"")</f>
        <v/>
      </c>
      <c r="L2033" s="19">
        <f>IF(I2033="","",IFERROR(INDEX(catAlim,MATCH(D2033,catNom,0))&amp;"",""))</f>
        <v/>
      </c>
      <c r="M2033" s="19">
        <f>IF(I2033="","",IFERROR(INDEX(catComida,MATCH(D2033,catNom,0))&amp;"",""))</f>
        <v/>
      </c>
      <c r="N2033" s="19">
        <f>IF(I2033="","",IFERROR(INDEX(ctaMon,MATCH(E2033,ctaNom,0))&amp;"","DOP"))</f>
        <v/>
      </c>
      <c r="O2033" s="20">
        <f>IF(I2033="","",C2033*IF(N2033="USD",TasaUSD,1))</f>
        <v/>
      </c>
      <c r="P2033" s="20">
        <f>IF(I2033="","",IF(I2033="Gasto",O2033,0))</f>
        <v/>
      </c>
      <c r="Q2033" s="20">
        <f>IF(I2033="","",IF(I2033="Ingreso",O2033,0))</f>
        <v/>
      </c>
      <c r="R2033" s="20">
        <f>IF(I2033="","",IF(I2033="Trading",O2033,0))</f>
        <v/>
      </c>
      <c r="S2033" s="19">
        <f>IF(I2033="","",IF(AND(I2033="Gasto",K2033="Variable",J2033&lt;&gt;"Trading",O2033&gt;0,O2033&lt;=Umbral),1,0))</f>
        <v/>
      </c>
      <c r="T2033" s="20">
        <f>IF(OR(I2033="",E2033=""),"",IF(OR(I2033="Gasto",I2033="Transferencia",I2033="Pago tarjeta"),-1,1)*C2033)</f>
        <v/>
      </c>
      <c r="U2033" s="20">
        <f>IF(OR(G2033="",AND(I2033&lt;&gt;"Transferencia",I2033&lt;&gt;"Pago tarjeta")),"",IF(IFERROR(INDEX(ctaMon,MATCH(G2033,ctaNom,0))&amp;"","DOP")=N2033,C2033,IF(N2033="USD",C2033*TasaUSD,C2033/TasaUSD)))</f>
        <v/>
      </c>
      <c r="V2033" s="20">
        <f>IF(I2033="","",IF(IFERROR(INDEX(ctaLiq,MATCH(E2033,ctaNom,0))="Sí",FALSE),IF(OR(I2033="Gasto",I2033="Transferencia",I2033="Pago tarjeta"),-1,1)*O2033,0)+IF(AND(U2033&lt;&gt;"",IFERROR(INDEX(ctaLiq,MATCH(G2033,ctaNom,0))="Sí",FALSE)),O2033,0))</f>
        <v/>
      </c>
      <c r="W2033" s="19">
        <f>IF(OR(F2033="",I2033=""),"",IF(COUNTIFS(F$6:F2033,F2033,I$6:I2033,"?*")=1,MAX(W$5:W2032)+1,""))</f>
        <v/>
      </c>
    </row>
    <row r="2034">
      <c r="B2034" s="15" t="n"/>
      <c r="C2034" s="16" t="n"/>
      <c r="D2034" s="17" t="n"/>
      <c r="E2034" s="17" t="n"/>
      <c r="F2034" s="17" t="n"/>
      <c r="G2034" s="17" t="n"/>
      <c r="H2034" s="18">
        <f>IF(AND(B2034="",C2034="",D2034="",E2034=""),"",IF(B2034="","⚠ Falta fecha",IF(C2034="","⚠ Falta monto",IF(D2034="","⚠ Falta categoría",IF(ISNA(MATCH(D2034,catNom,0)),"⚠ Categoría no existe",IF(E2034="","⚠ Falta cuenta",IF(ISNA(MATCH(E2034,ctaNom,0)),"⚠ Cuenta no existe",IF(AND(OR(I2034="Transferencia",I2034="Pago tarjeta"),G2034=""),"⚠ Indica la cuenta «Hacia»",IF(AND(G2034&lt;&gt;"",G2034=E2034),"⚠ «Hacia» igual a la cuenta",IF(AND(G2034&lt;&gt;"",ISNA(MATCH(G2034,ctaNom,0))),"⚠ «Hacia» no existe",IF(AND(I2034="Pago tarjeta",IFERROR(INDEX(ctaTipo,MATCH(G2034,ctaNom,0)),"")&lt;&gt;"Tarjeta de crédito"),"⚠ «Hacia» debe ser la tarjeta",IF(AND(I2034="Trading",IFERROR(INDEX(ctaTipo,MATCH(E2034,ctaNom,0)),"")&lt;&gt;"Cuenta de trading"),"⚠ Usa la cuenta de trading","✓"))))))))))))</f>
        <v/>
      </c>
      <c r="I2034" s="19">
        <f>IF(OR(B2034="",C2034="",D2034=""),"",IFERROR(INDEX(catTipo,MATCH(D2034,catNom,0))&amp;"",""))</f>
        <v/>
      </c>
      <c r="J2034" s="19">
        <f>IF(I2034="","",IFERROR(INDEX(catGrupo,MATCH(D2034,catNom,0))&amp;"",""))</f>
        <v/>
      </c>
      <c r="K2034" s="19">
        <f>IF(I2034="Gasto",IF(IFERROR(INDEX(catClas,MATCH(D2034,catNom,0))&amp;"","")="","Variable",IFERROR(INDEX(catClas,MATCH(D2034,catNom,0))&amp;"","")),"")</f>
        <v/>
      </c>
      <c r="L2034" s="19">
        <f>IF(I2034="","",IFERROR(INDEX(catAlim,MATCH(D2034,catNom,0))&amp;"",""))</f>
        <v/>
      </c>
      <c r="M2034" s="19">
        <f>IF(I2034="","",IFERROR(INDEX(catComida,MATCH(D2034,catNom,0))&amp;"",""))</f>
        <v/>
      </c>
      <c r="N2034" s="19">
        <f>IF(I2034="","",IFERROR(INDEX(ctaMon,MATCH(E2034,ctaNom,0))&amp;"","DOP"))</f>
        <v/>
      </c>
      <c r="O2034" s="20">
        <f>IF(I2034="","",C2034*IF(N2034="USD",TasaUSD,1))</f>
        <v/>
      </c>
      <c r="P2034" s="20">
        <f>IF(I2034="","",IF(I2034="Gasto",O2034,0))</f>
        <v/>
      </c>
      <c r="Q2034" s="20">
        <f>IF(I2034="","",IF(I2034="Ingreso",O2034,0))</f>
        <v/>
      </c>
      <c r="R2034" s="20">
        <f>IF(I2034="","",IF(I2034="Trading",O2034,0))</f>
        <v/>
      </c>
      <c r="S2034" s="19">
        <f>IF(I2034="","",IF(AND(I2034="Gasto",K2034="Variable",J2034&lt;&gt;"Trading",O2034&gt;0,O2034&lt;=Umbral),1,0))</f>
        <v/>
      </c>
      <c r="T2034" s="20">
        <f>IF(OR(I2034="",E2034=""),"",IF(OR(I2034="Gasto",I2034="Transferencia",I2034="Pago tarjeta"),-1,1)*C2034)</f>
        <v/>
      </c>
      <c r="U2034" s="20">
        <f>IF(OR(G2034="",AND(I2034&lt;&gt;"Transferencia",I2034&lt;&gt;"Pago tarjeta")),"",IF(IFERROR(INDEX(ctaMon,MATCH(G2034,ctaNom,0))&amp;"","DOP")=N2034,C2034,IF(N2034="USD",C2034*TasaUSD,C2034/TasaUSD)))</f>
        <v/>
      </c>
      <c r="V2034" s="20">
        <f>IF(I2034="","",IF(IFERROR(INDEX(ctaLiq,MATCH(E2034,ctaNom,0))="Sí",FALSE),IF(OR(I2034="Gasto",I2034="Transferencia",I2034="Pago tarjeta"),-1,1)*O2034,0)+IF(AND(U2034&lt;&gt;"",IFERROR(INDEX(ctaLiq,MATCH(G2034,ctaNom,0))="Sí",FALSE)),O2034,0))</f>
        <v/>
      </c>
      <c r="W2034" s="19">
        <f>IF(OR(F2034="",I2034=""),"",IF(COUNTIFS(F$6:F2034,F2034,I$6:I2034,"?*")=1,MAX(W$5:W2033)+1,""))</f>
        <v/>
      </c>
    </row>
    <row r="2035">
      <c r="B2035" s="15" t="n"/>
      <c r="C2035" s="16" t="n"/>
      <c r="D2035" s="17" t="n"/>
      <c r="E2035" s="17" t="n"/>
      <c r="F2035" s="17" t="n"/>
      <c r="G2035" s="17" t="n"/>
      <c r="H2035" s="18">
        <f>IF(AND(B2035="",C2035="",D2035="",E2035=""),"",IF(B2035="","⚠ Falta fecha",IF(C2035="","⚠ Falta monto",IF(D2035="","⚠ Falta categoría",IF(ISNA(MATCH(D2035,catNom,0)),"⚠ Categoría no existe",IF(E2035="","⚠ Falta cuenta",IF(ISNA(MATCH(E2035,ctaNom,0)),"⚠ Cuenta no existe",IF(AND(OR(I2035="Transferencia",I2035="Pago tarjeta"),G2035=""),"⚠ Indica la cuenta «Hacia»",IF(AND(G2035&lt;&gt;"",G2035=E2035),"⚠ «Hacia» igual a la cuenta",IF(AND(G2035&lt;&gt;"",ISNA(MATCH(G2035,ctaNom,0))),"⚠ «Hacia» no existe",IF(AND(I2035="Pago tarjeta",IFERROR(INDEX(ctaTipo,MATCH(G2035,ctaNom,0)),"")&lt;&gt;"Tarjeta de crédito"),"⚠ «Hacia» debe ser la tarjeta",IF(AND(I2035="Trading",IFERROR(INDEX(ctaTipo,MATCH(E2035,ctaNom,0)),"")&lt;&gt;"Cuenta de trading"),"⚠ Usa la cuenta de trading","✓"))))))))))))</f>
        <v/>
      </c>
      <c r="I2035" s="19">
        <f>IF(OR(B2035="",C2035="",D2035=""),"",IFERROR(INDEX(catTipo,MATCH(D2035,catNom,0))&amp;"",""))</f>
        <v/>
      </c>
      <c r="J2035" s="19">
        <f>IF(I2035="","",IFERROR(INDEX(catGrupo,MATCH(D2035,catNom,0))&amp;"",""))</f>
        <v/>
      </c>
      <c r="K2035" s="19">
        <f>IF(I2035="Gasto",IF(IFERROR(INDEX(catClas,MATCH(D2035,catNom,0))&amp;"","")="","Variable",IFERROR(INDEX(catClas,MATCH(D2035,catNom,0))&amp;"","")),"")</f>
        <v/>
      </c>
      <c r="L2035" s="19">
        <f>IF(I2035="","",IFERROR(INDEX(catAlim,MATCH(D2035,catNom,0))&amp;"",""))</f>
        <v/>
      </c>
      <c r="M2035" s="19">
        <f>IF(I2035="","",IFERROR(INDEX(catComida,MATCH(D2035,catNom,0))&amp;"",""))</f>
        <v/>
      </c>
      <c r="N2035" s="19">
        <f>IF(I2035="","",IFERROR(INDEX(ctaMon,MATCH(E2035,ctaNom,0))&amp;"","DOP"))</f>
        <v/>
      </c>
      <c r="O2035" s="20">
        <f>IF(I2035="","",C2035*IF(N2035="USD",TasaUSD,1))</f>
        <v/>
      </c>
      <c r="P2035" s="20">
        <f>IF(I2035="","",IF(I2035="Gasto",O2035,0))</f>
        <v/>
      </c>
      <c r="Q2035" s="20">
        <f>IF(I2035="","",IF(I2035="Ingreso",O2035,0))</f>
        <v/>
      </c>
      <c r="R2035" s="20">
        <f>IF(I2035="","",IF(I2035="Trading",O2035,0))</f>
        <v/>
      </c>
      <c r="S2035" s="19">
        <f>IF(I2035="","",IF(AND(I2035="Gasto",K2035="Variable",J2035&lt;&gt;"Trading",O2035&gt;0,O2035&lt;=Umbral),1,0))</f>
        <v/>
      </c>
      <c r="T2035" s="20">
        <f>IF(OR(I2035="",E2035=""),"",IF(OR(I2035="Gasto",I2035="Transferencia",I2035="Pago tarjeta"),-1,1)*C2035)</f>
        <v/>
      </c>
      <c r="U2035" s="20">
        <f>IF(OR(G2035="",AND(I2035&lt;&gt;"Transferencia",I2035&lt;&gt;"Pago tarjeta")),"",IF(IFERROR(INDEX(ctaMon,MATCH(G2035,ctaNom,0))&amp;"","DOP")=N2035,C2035,IF(N2035="USD",C2035*TasaUSD,C2035/TasaUSD)))</f>
        <v/>
      </c>
      <c r="V2035" s="20">
        <f>IF(I2035="","",IF(IFERROR(INDEX(ctaLiq,MATCH(E2035,ctaNom,0))="Sí",FALSE),IF(OR(I2035="Gasto",I2035="Transferencia",I2035="Pago tarjeta"),-1,1)*O2035,0)+IF(AND(U2035&lt;&gt;"",IFERROR(INDEX(ctaLiq,MATCH(G2035,ctaNom,0))="Sí",FALSE)),O2035,0))</f>
        <v/>
      </c>
      <c r="W2035" s="19">
        <f>IF(OR(F2035="",I2035=""),"",IF(COUNTIFS(F$6:F2035,F2035,I$6:I2035,"?*")=1,MAX(W$5:W2034)+1,""))</f>
        <v/>
      </c>
    </row>
    <row r="2036">
      <c r="B2036" s="15" t="n"/>
      <c r="C2036" s="16" t="n"/>
      <c r="D2036" s="17" t="n"/>
      <c r="E2036" s="17" t="n"/>
      <c r="F2036" s="17" t="n"/>
      <c r="G2036" s="17" t="n"/>
      <c r="H2036" s="18">
        <f>IF(AND(B2036="",C2036="",D2036="",E2036=""),"",IF(B2036="","⚠ Falta fecha",IF(C2036="","⚠ Falta monto",IF(D2036="","⚠ Falta categoría",IF(ISNA(MATCH(D2036,catNom,0)),"⚠ Categoría no existe",IF(E2036="","⚠ Falta cuenta",IF(ISNA(MATCH(E2036,ctaNom,0)),"⚠ Cuenta no existe",IF(AND(OR(I2036="Transferencia",I2036="Pago tarjeta"),G2036=""),"⚠ Indica la cuenta «Hacia»",IF(AND(G2036&lt;&gt;"",G2036=E2036),"⚠ «Hacia» igual a la cuenta",IF(AND(G2036&lt;&gt;"",ISNA(MATCH(G2036,ctaNom,0))),"⚠ «Hacia» no existe",IF(AND(I2036="Pago tarjeta",IFERROR(INDEX(ctaTipo,MATCH(G2036,ctaNom,0)),"")&lt;&gt;"Tarjeta de crédito"),"⚠ «Hacia» debe ser la tarjeta",IF(AND(I2036="Trading",IFERROR(INDEX(ctaTipo,MATCH(E2036,ctaNom,0)),"")&lt;&gt;"Cuenta de trading"),"⚠ Usa la cuenta de trading","✓"))))))))))))</f>
        <v/>
      </c>
      <c r="I2036" s="19">
        <f>IF(OR(B2036="",C2036="",D2036=""),"",IFERROR(INDEX(catTipo,MATCH(D2036,catNom,0))&amp;"",""))</f>
        <v/>
      </c>
      <c r="J2036" s="19">
        <f>IF(I2036="","",IFERROR(INDEX(catGrupo,MATCH(D2036,catNom,0))&amp;"",""))</f>
        <v/>
      </c>
      <c r="K2036" s="19">
        <f>IF(I2036="Gasto",IF(IFERROR(INDEX(catClas,MATCH(D2036,catNom,0))&amp;"","")="","Variable",IFERROR(INDEX(catClas,MATCH(D2036,catNom,0))&amp;"","")),"")</f>
        <v/>
      </c>
      <c r="L2036" s="19">
        <f>IF(I2036="","",IFERROR(INDEX(catAlim,MATCH(D2036,catNom,0))&amp;"",""))</f>
        <v/>
      </c>
      <c r="M2036" s="19">
        <f>IF(I2036="","",IFERROR(INDEX(catComida,MATCH(D2036,catNom,0))&amp;"",""))</f>
        <v/>
      </c>
      <c r="N2036" s="19">
        <f>IF(I2036="","",IFERROR(INDEX(ctaMon,MATCH(E2036,ctaNom,0))&amp;"","DOP"))</f>
        <v/>
      </c>
      <c r="O2036" s="20">
        <f>IF(I2036="","",C2036*IF(N2036="USD",TasaUSD,1))</f>
        <v/>
      </c>
      <c r="P2036" s="20">
        <f>IF(I2036="","",IF(I2036="Gasto",O2036,0))</f>
        <v/>
      </c>
      <c r="Q2036" s="20">
        <f>IF(I2036="","",IF(I2036="Ingreso",O2036,0))</f>
        <v/>
      </c>
      <c r="R2036" s="20">
        <f>IF(I2036="","",IF(I2036="Trading",O2036,0))</f>
        <v/>
      </c>
      <c r="S2036" s="19">
        <f>IF(I2036="","",IF(AND(I2036="Gasto",K2036="Variable",J2036&lt;&gt;"Trading",O2036&gt;0,O2036&lt;=Umbral),1,0))</f>
        <v/>
      </c>
      <c r="T2036" s="20">
        <f>IF(OR(I2036="",E2036=""),"",IF(OR(I2036="Gasto",I2036="Transferencia",I2036="Pago tarjeta"),-1,1)*C2036)</f>
        <v/>
      </c>
      <c r="U2036" s="20">
        <f>IF(OR(G2036="",AND(I2036&lt;&gt;"Transferencia",I2036&lt;&gt;"Pago tarjeta")),"",IF(IFERROR(INDEX(ctaMon,MATCH(G2036,ctaNom,0))&amp;"","DOP")=N2036,C2036,IF(N2036="USD",C2036*TasaUSD,C2036/TasaUSD)))</f>
        <v/>
      </c>
      <c r="V2036" s="20">
        <f>IF(I2036="","",IF(IFERROR(INDEX(ctaLiq,MATCH(E2036,ctaNom,0))="Sí",FALSE),IF(OR(I2036="Gasto",I2036="Transferencia",I2036="Pago tarjeta"),-1,1)*O2036,0)+IF(AND(U2036&lt;&gt;"",IFERROR(INDEX(ctaLiq,MATCH(G2036,ctaNom,0))="Sí",FALSE)),O2036,0))</f>
        <v/>
      </c>
      <c r="W2036" s="19">
        <f>IF(OR(F2036="",I2036=""),"",IF(COUNTIFS(F$6:F2036,F2036,I$6:I2036,"?*")=1,MAX(W$5:W2035)+1,""))</f>
        <v/>
      </c>
    </row>
    <row r="2037">
      <c r="B2037" s="15" t="n"/>
      <c r="C2037" s="16" t="n"/>
      <c r="D2037" s="17" t="n"/>
      <c r="E2037" s="17" t="n"/>
      <c r="F2037" s="17" t="n"/>
      <c r="G2037" s="17" t="n"/>
      <c r="H2037" s="18">
        <f>IF(AND(B2037="",C2037="",D2037="",E2037=""),"",IF(B2037="","⚠ Falta fecha",IF(C2037="","⚠ Falta monto",IF(D2037="","⚠ Falta categoría",IF(ISNA(MATCH(D2037,catNom,0)),"⚠ Categoría no existe",IF(E2037="","⚠ Falta cuenta",IF(ISNA(MATCH(E2037,ctaNom,0)),"⚠ Cuenta no existe",IF(AND(OR(I2037="Transferencia",I2037="Pago tarjeta"),G2037=""),"⚠ Indica la cuenta «Hacia»",IF(AND(G2037&lt;&gt;"",G2037=E2037),"⚠ «Hacia» igual a la cuenta",IF(AND(G2037&lt;&gt;"",ISNA(MATCH(G2037,ctaNom,0))),"⚠ «Hacia» no existe",IF(AND(I2037="Pago tarjeta",IFERROR(INDEX(ctaTipo,MATCH(G2037,ctaNom,0)),"")&lt;&gt;"Tarjeta de crédito"),"⚠ «Hacia» debe ser la tarjeta",IF(AND(I2037="Trading",IFERROR(INDEX(ctaTipo,MATCH(E2037,ctaNom,0)),"")&lt;&gt;"Cuenta de trading"),"⚠ Usa la cuenta de trading","✓"))))))))))))</f>
        <v/>
      </c>
      <c r="I2037" s="19">
        <f>IF(OR(B2037="",C2037="",D2037=""),"",IFERROR(INDEX(catTipo,MATCH(D2037,catNom,0))&amp;"",""))</f>
        <v/>
      </c>
      <c r="J2037" s="19">
        <f>IF(I2037="","",IFERROR(INDEX(catGrupo,MATCH(D2037,catNom,0))&amp;"",""))</f>
        <v/>
      </c>
      <c r="K2037" s="19">
        <f>IF(I2037="Gasto",IF(IFERROR(INDEX(catClas,MATCH(D2037,catNom,0))&amp;"","")="","Variable",IFERROR(INDEX(catClas,MATCH(D2037,catNom,0))&amp;"","")),"")</f>
        <v/>
      </c>
      <c r="L2037" s="19">
        <f>IF(I2037="","",IFERROR(INDEX(catAlim,MATCH(D2037,catNom,0))&amp;"",""))</f>
        <v/>
      </c>
      <c r="M2037" s="19">
        <f>IF(I2037="","",IFERROR(INDEX(catComida,MATCH(D2037,catNom,0))&amp;"",""))</f>
        <v/>
      </c>
      <c r="N2037" s="19">
        <f>IF(I2037="","",IFERROR(INDEX(ctaMon,MATCH(E2037,ctaNom,0))&amp;"","DOP"))</f>
        <v/>
      </c>
      <c r="O2037" s="20">
        <f>IF(I2037="","",C2037*IF(N2037="USD",TasaUSD,1))</f>
        <v/>
      </c>
      <c r="P2037" s="20">
        <f>IF(I2037="","",IF(I2037="Gasto",O2037,0))</f>
        <v/>
      </c>
      <c r="Q2037" s="20">
        <f>IF(I2037="","",IF(I2037="Ingreso",O2037,0))</f>
        <v/>
      </c>
      <c r="R2037" s="20">
        <f>IF(I2037="","",IF(I2037="Trading",O2037,0))</f>
        <v/>
      </c>
      <c r="S2037" s="19">
        <f>IF(I2037="","",IF(AND(I2037="Gasto",K2037="Variable",J2037&lt;&gt;"Trading",O2037&gt;0,O2037&lt;=Umbral),1,0))</f>
        <v/>
      </c>
      <c r="T2037" s="20">
        <f>IF(OR(I2037="",E2037=""),"",IF(OR(I2037="Gasto",I2037="Transferencia",I2037="Pago tarjeta"),-1,1)*C2037)</f>
        <v/>
      </c>
      <c r="U2037" s="20">
        <f>IF(OR(G2037="",AND(I2037&lt;&gt;"Transferencia",I2037&lt;&gt;"Pago tarjeta")),"",IF(IFERROR(INDEX(ctaMon,MATCH(G2037,ctaNom,0))&amp;"","DOP")=N2037,C2037,IF(N2037="USD",C2037*TasaUSD,C2037/TasaUSD)))</f>
        <v/>
      </c>
      <c r="V2037" s="20">
        <f>IF(I2037="","",IF(IFERROR(INDEX(ctaLiq,MATCH(E2037,ctaNom,0))="Sí",FALSE),IF(OR(I2037="Gasto",I2037="Transferencia",I2037="Pago tarjeta"),-1,1)*O2037,0)+IF(AND(U2037&lt;&gt;"",IFERROR(INDEX(ctaLiq,MATCH(G2037,ctaNom,0))="Sí",FALSE)),O2037,0))</f>
        <v/>
      </c>
      <c r="W2037" s="19">
        <f>IF(OR(F2037="",I2037=""),"",IF(COUNTIFS(F$6:F2037,F2037,I$6:I2037,"?*")=1,MAX(W$5:W2036)+1,""))</f>
        <v/>
      </c>
    </row>
    <row r="2038">
      <c r="B2038" s="15" t="n"/>
      <c r="C2038" s="16" t="n"/>
      <c r="D2038" s="17" t="n"/>
      <c r="E2038" s="17" t="n"/>
      <c r="F2038" s="17" t="n"/>
      <c r="G2038" s="17" t="n"/>
      <c r="H2038" s="18">
        <f>IF(AND(B2038="",C2038="",D2038="",E2038=""),"",IF(B2038="","⚠ Falta fecha",IF(C2038="","⚠ Falta monto",IF(D2038="","⚠ Falta categoría",IF(ISNA(MATCH(D2038,catNom,0)),"⚠ Categoría no existe",IF(E2038="","⚠ Falta cuenta",IF(ISNA(MATCH(E2038,ctaNom,0)),"⚠ Cuenta no existe",IF(AND(OR(I2038="Transferencia",I2038="Pago tarjeta"),G2038=""),"⚠ Indica la cuenta «Hacia»",IF(AND(G2038&lt;&gt;"",G2038=E2038),"⚠ «Hacia» igual a la cuenta",IF(AND(G2038&lt;&gt;"",ISNA(MATCH(G2038,ctaNom,0))),"⚠ «Hacia» no existe",IF(AND(I2038="Pago tarjeta",IFERROR(INDEX(ctaTipo,MATCH(G2038,ctaNom,0)),"")&lt;&gt;"Tarjeta de crédito"),"⚠ «Hacia» debe ser la tarjeta",IF(AND(I2038="Trading",IFERROR(INDEX(ctaTipo,MATCH(E2038,ctaNom,0)),"")&lt;&gt;"Cuenta de trading"),"⚠ Usa la cuenta de trading","✓"))))))))))))</f>
        <v/>
      </c>
      <c r="I2038" s="19">
        <f>IF(OR(B2038="",C2038="",D2038=""),"",IFERROR(INDEX(catTipo,MATCH(D2038,catNom,0))&amp;"",""))</f>
        <v/>
      </c>
      <c r="J2038" s="19">
        <f>IF(I2038="","",IFERROR(INDEX(catGrupo,MATCH(D2038,catNom,0))&amp;"",""))</f>
        <v/>
      </c>
      <c r="K2038" s="19">
        <f>IF(I2038="Gasto",IF(IFERROR(INDEX(catClas,MATCH(D2038,catNom,0))&amp;"","")="","Variable",IFERROR(INDEX(catClas,MATCH(D2038,catNom,0))&amp;"","")),"")</f>
        <v/>
      </c>
      <c r="L2038" s="19">
        <f>IF(I2038="","",IFERROR(INDEX(catAlim,MATCH(D2038,catNom,0))&amp;"",""))</f>
        <v/>
      </c>
      <c r="M2038" s="19">
        <f>IF(I2038="","",IFERROR(INDEX(catComida,MATCH(D2038,catNom,0))&amp;"",""))</f>
        <v/>
      </c>
      <c r="N2038" s="19">
        <f>IF(I2038="","",IFERROR(INDEX(ctaMon,MATCH(E2038,ctaNom,0))&amp;"","DOP"))</f>
        <v/>
      </c>
      <c r="O2038" s="20">
        <f>IF(I2038="","",C2038*IF(N2038="USD",TasaUSD,1))</f>
        <v/>
      </c>
      <c r="P2038" s="20">
        <f>IF(I2038="","",IF(I2038="Gasto",O2038,0))</f>
        <v/>
      </c>
      <c r="Q2038" s="20">
        <f>IF(I2038="","",IF(I2038="Ingreso",O2038,0))</f>
        <v/>
      </c>
      <c r="R2038" s="20">
        <f>IF(I2038="","",IF(I2038="Trading",O2038,0))</f>
        <v/>
      </c>
      <c r="S2038" s="19">
        <f>IF(I2038="","",IF(AND(I2038="Gasto",K2038="Variable",J2038&lt;&gt;"Trading",O2038&gt;0,O2038&lt;=Umbral),1,0))</f>
        <v/>
      </c>
      <c r="T2038" s="20">
        <f>IF(OR(I2038="",E2038=""),"",IF(OR(I2038="Gasto",I2038="Transferencia",I2038="Pago tarjeta"),-1,1)*C2038)</f>
        <v/>
      </c>
      <c r="U2038" s="20">
        <f>IF(OR(G2038="",AND(I2038&lt;&gt;"Transferencia",I2038&lt;&gt;"Pago tarjeta")),"",IF(IFERROR(INDEX(ctaMon,MATCH(G2038,ctaNom,0))&amp;"","DOP")=N2038,C2038,IF(N2038="USD",C2038*TasaUSD,C2038/TasaUSD)))</f>
        <v/>
      </c>
      <c r="V2038" s="20">
        <f>IF(I2038="","",IF(IFERROR(INDEX(ctaLiq,MATCH(E2038,ctaNom,0))="Sí",FALSE),IF(OR(I2038="Gasto",I2038="Transferencia",I2038="Pago tarjeta"),-1,1)*O2038,0)+IF(AND(U2038&lt;&gt;"",IFERROR(INDEX(ctaLiq,MATCH(G2038,ctaNom,0))="Sí",FALSE)),O2038,0))</f>
        <v/>
      </c>
      <c r="W2038" s="19">
        <f>IF(OR(F2038="",I2038=""),"",IF(COUNTIFS(F$6:F2038,F2038,I$6:I2038,"?*")=1,MAX(W$5:W2037)+1,""))</f>
        <v/>
      </c>
    </row>
    <row r="2039">
      <c r="B2039" s="15" t="n"/>
      <c r="C2039" s="16" t="n"/>
      <c r="D2039" s="17" t="n"/>
      <c r="E2039" s="17" t="n"/>
      <c r="F2039" s="17" t="n"/>
      <c r="G2039" s="17" t="n"/>
      <c r="H2039" s="18">
        <f>IF(AND(B2039="",C2039="",D2039="",E2039=""),"",IF(B2039="","⚠ Falta fecha",IF(C2039="","⚠ Falta monto",IF(D2039="","⚠ Falta categoría",IF(ISNA(MATCH(D2039,catNom,0)),"⚠ Categoría no existe",IF(E2039="","⚠ Falta cuenta",IF(ISNA(MATCH(E2039,ctaNom,0)),"⚠ Cuenta no existe",IF(AND(OR(I2039="Transferencia",I2039="Pago tarjeta"),G2039=""),"⚠ Indica la cuenta «Hacia»",IF(AND(G2039&lt;&gt;"",G2039=E2039),"⚠ «Hacia» igual a la cuenta",IF(AND(G2039&lt;&gt;"",ISNA(MATCH(G2039,ctaNom,0))),"⚠ «Hacia» no existe",IF(AND(I2039="Pago tarjeta",IFERROR(INDEX(ctaTipo,MATCH(G2039,ctaNom,0)),"")&lt;&gt;"Tarjeta de crédito"),"⚠ «Hacia» debe ser la tarjeta",IF(AND(I2039="Trading",IFERROR(INDEX(ctaTipo,MATCH(E2039,ctaNom,0)),"")&lt;&gt;"Cuenta de trading"),"⚠ Usa la cuenta de trading","✓"))))))))))))</f>
        <v/>
      </c>
      <c r="I2039" s="19">
        <f>IF(OR(B2039="",C2039="",D2039=""),"",IFERROR(INDEX(catTipo,MATCH(D2039,catNom,0))&amp;"",""))</f>
        <v/>
      </c>
      <c r="J2039" s="19">
        <f>IF(I2039="","",IFERROR(INDEX(catGrupo,MATCH(D2039,catNom,0))&amp;"",""))</f>
        <v/>
      </c>
      <c r="K2039" s="19">
        <f>IF(I2039="Gasto",IF(IFERROR(INDEX(catClas,MATCH(D2039,catNom,0))&amp;"","")="","Variable",IFERROR(INDEX(catClas,MATCH(D2039,catNom,0))&amp;"","")),"")</f>
        <v/>
      </c>
      <c r="L2039" s="19">
        <f>IF(I2039="","",IFERROR(INDEX(catAlim,MATCH(D2039,catNom,0))&amp;"",""))</f>
        <v/>
      </c>
      <c r="M2039" s="19">
        <f>IF(I2039="","",IFERROR(INDEX(catComida,MATCH(D2039,catNom,0))&amp;"",""))</f>
        <v/>
      </c>
      <c r="N2039" s="19">
        <f>IF(I2039="","",IFERROR(INDEX(ctaMon,MATCH(E2039,ctaNom,0))&amp;"","DOP"))</f>
        <v/>
      </c>
      <c r="O2039" s="20">
        <f>IF(I2039="","",C2039*IF(N2039="USD",TasaUSD,1))</f>
        <v/>
      </c>
      <c r="P2039" s="20">
        <f>IF(I2039="","",IF(I2039="Gasto",O2039,0))</f>
        <v/>
      </c>
      <c r="Q2039" s="20">
        <f>IF(I2039="","",IF(I2039="Ingreso",O2039,0))</f>
        <v/>
      </c>
      <c r="R2039" s="20">
        <f>IF(I2039="","",IF(I2039="Trading",O2039,0))</f>
        <v/>
      </c>
      <c r="S2039" s="19">
        <f>IF(I2039="","",IF(AND(I2039="Gasto",K2039="Variable",J2039&lt;&gt;"Trading",O2039&gt;0,O2039&lt;=Umbral),1,0))</f>
        <v/>
      </c>
      <c r="T2039" s="20">
        <f>IF(OR(I2039="",E2039=""),"",IF(OR(I2039="Gasto",I2039="Transferencia",I2039="Pago tarjeta"),-1,1)*C2039)</f>
        <v/>
      </c>
      <c r="U2039" s="20">
        <f>IF(OR(G2039="",AND(I2039&lt;&gt;"Transferencia",I2039&lt;&gt;"Pago tarjeta")),"",IF(IFERROR(INDEX(ctaMon,MATCH(G2039,ctaNom,0))&amp;"","DOP")=N2039,C2039,IF(N2039="USD",C2039*TasaUSD,C2039/TasaUSD)))</f>
        <v/>
      </c>
      <c r="V2039" s="20">
        <f>IF(I2039="","",IF(IFERROR(INDEX(ctaLiq,MATCH(E2039,ctaNom,0))="Sí",FALSE),IF(OR(I2039="Gasto",I2039="Transferencia",I2039="Pago tarjeta"),-1,1)*O2039,0)+IF(AND(U2039&lt;&gt;"",IFERROR(INDEX(ctaLiq,MATCH(G2039,ctaNom,0))="Sí",FALSE)),O2039,0))</f>
        <v/>
      </c>
      <c r="W2039" s="19">
        <f>IF(OR(F2039="",I2039=""),"",IF(COUNTIFS(F$6:F2039,F2039,I$6:I2039,"?*")=1,MAX(W$5:W2038)+1,""))</f>
        <v/>
      </c>
    </row>
    <row r="2040">
      <c r="B2040" s="15" t="n"/>
      <c r="C2040" s="16" t="n"/>
      <c r="D2040" s="17" t="n"/>
      <c r="E2040" s="17" t="n"/>
      <c r="F2040" s="17" t="n"/>
      <c r="G2040" s="17" t="n"/>
      <c r="H2040" s="18">
        <f>IF(AND(B2040="",C2040="",D2040="",E2040=""),"",IF(B2040="","⚠ Falta fecha",IF(C2040="","⚠ Falta monto",IF(D2040="","⚠ Falta categoría",IF(ISNA(MATCH(D2040,catNom,0)),"⚠ Categoría no existe",IF(E2040="","⚠ Falta cuenta",IF(ISNA(MATCH(E2040,ctaNom,0)),"⚠ Cuenta no existe",IF(AND(OR(I2040="Transferencia",I2040="Pago tarjeta"),G2040=""),"⚠ Indica la cuenta «Hacia»",IF(AND(G2040&lt;&gt;"",G2040=E2040),"⚠ «Hacia» igual a la cuenta",IF(AND(G2040&lt;&gt;"",ISNA(MATCH(G2040,ctaNom,0))),"⚠ «Hacia» no existe",IF(AND(I2040="Pago tarjeta",IFERROR(INDEX(ctaTipo,MATCH(G2040,ctaNom,0)),"")&lt;&gt;"Tarjeta de crédito"),"⚠ «Hacia» debe ser la tarjeta",IF(AND(I2040="Trading",IFERROR(INDEX(ctaTipo,MATCH(E2040,ctaNom,0)),"")&lt;&gt;"Cuenta de trading"),"⚠ Usa la cuenta de trading","✓"))))))))))))</f>
        <v/>
      </c>
      <c r="I2040" s="19">
        <f>IF(OR(B2040="",C2040="",D2040=""),"",IFERROR(INDEX(catTipo,MATCH(D2040,catNom,0))&amp;"",""))</f>
        <v/>
      </c>
      <c r="J2040" s="19">
        <f>IF(I2040="","",IFERROR(INDEX(catGrupo,MATCH(D2040,catNom,0))&amp;"",""))</f>
        <v/>
      </c>
      <c r="K2040" s="19">
        <f>IF(I2040="Gasto",IF(IFERROR(INDEX(catClas,MATCH(D2040,catNom,0))&amp;"","")="","Variable",IFERROR(INDEX(catClas,MATCH(D2040,catNom,0))&amp;"","")),"")</f>
        <v/>
      </c>
      <c r="L2040" s="19">
        <f>IF(I2040="","",IFERROR(INDEX(catAlim,MATCH(D2040,catNom,0))&amp;"",""))</f>
        <v/>
      </c>
      <c r="M2040" s="19">
        <f>IF(I2040="","",IFERROR(INDEX(catComida,MATCH(D2040,catNom,0))&amp;"",""))</f>
        <v/>
      </c>
      <c r="N2040" s="19">
        <f>IF(I2040="","",IFERROR(INDEX(ctaMon,MATCH(E2040,ctaNom,0))&amp;"","DOP"))</f>
        <v/>
      </c>
      <c r="O2040" s="20">
        <f>IF(I2040="","",C2040*IF(N2040="USD",TasaUSD,1))</f>
        <v/>
      </c>
      <c r="P2040" s="20">
        <f>IF(I2040="","",IF(I2040="Gasto",O2040,0))</f>
        <v/>
      </c>
      <c r="Q2040" s="20">
        <f>IF(I2040="","",IF(I2040="Ingreso",O2040,0))</f>
        <v/>
      </c>
      <c r="R2040" s="20">
        <f>IF(I2040="","",IF(I2040="Trading",O2040,0))</f>
        <v/>
      </c>
      <c r="S2040" s="19">
        <f>IF(I2040="","",IF(AND(I2040="Gasto",K2040="Variable",J2040&lt;&gt;"Trading",O2040&gt;0,O2040&lt;=Umbral),1,0))</f>
        <v/>
      </c>
      <c r="T2040" s="20">
        <f>IF(OR(I2040="",E2040=""),"",IF(OR(I2040="Gasto",I2040="Transferencia",I2040="Pago tarjeta"),-1,1)*C2040)</f>
        <v/>
      </c>
      <c r="U2040" s="20">
        <f>IF(OR(G2040="",AND(I2040&lt;&gt;"Transferencia",I2040&lt;&gt;"Pago tarjeta")),"",IF(IFERROR(INDEX(ctaMon,MATCH(G2040,ctaNom,0))&amp;"","DOP")=N2040,C2040,IF(N2040="USD",C2040*TasaUSD,C2040/TasaUSD)))</f>
        <v/>
      </c>
      <c r="V2040" s="20">
        <f>IF(I2040="","",IF(IFERROR(INDEX(ctaLiq,MATCH(E2040,ctaNom,0))="Sí",FALSE),IF(OR(I2040="Gasto",I2040="Transferencia",I2040="Pago tarjeta"),-1,1)*O2040,0)+IF(AND(U2040&lt;&gt;"",IFERROR(INDEX(ctaLiq,MATCH(G2040,ctaNom,0))="Sí",FALSE)),O2040,0))</f>
        <v/>
      </c>
      <c r="W2040" s="19">
        <f>IF(OR(F2040="",I2040=""),"",IF(COUNTIFS(F$6:F2040,F2040,I$6:I2040,"?*")=1,MAX(W$5:W2039)+1,""))</f>
        <v/>
      </c>
    </row>
    <row r="2041">
      <c r="B2041" s="15" t="n"/>
      <c r="C2041" s="16" t="n"/>
      <c r="D2041" s="17" t="n"/>
      <c r="E2041" s="17" t="n"/>
      <c r="F2041" s="17" t="n"/>
      <c r="G2041" s="17" t="n"/>
      <c r="H2041" s="18">
        <f>IF(AND(B2041="",C2041="",D2041="",E2041=""),"",IF(B2041="","⚠ Falta fecha",IF(C2041="","⚠ Falta monto",IF(D2041="","⚠ Falta categoría",IF(ISNA(MATCH(D2041,catNom,0)),"⚠ Categoría no existe",IF(E2041="","⚠ Falta cuenta",IF(ISNA(MATCH(E2041,ctaNom,0)),"⚠ Cuenta no existe",IF(AND(OR(I2041="Transferencia",I2041="Pago tarjeta"),G2041=""),"⚠ Indica la cuenta «Hacia»",IF(AND(G2041&lt;&gt;"",G2041=E2041),"⚠ «Hacia» igual a la cuenta",IF(AND(G2041&lt;&gt;"",ISNA(MATCH(G2041,ctaNom,0))),"⚠ «Hacia» no existe",IF(AND(I2041="Pago tarjeta",IFERROR(INDEX(ctaTipo,MATCH(G2041,ctaNom,0)),"")&lt;&gt;"Tarjeta de crédito"),"⚠ «Hacia» debe ser la tarjeta",IF(AND(I2041="Trading",IFERROR(INDEX(ctaTipo,MATCH(E2041,ctaNom,0)),"")&lt;&gt;"Cuenta de trading"),"⚠ Usa la cuenta de trading","✓"))))))))))))</f>
        <v/>
      </c>
      <c r="I2041" s="19">
        <f>IF(OR(B2041="",C2041="",D2041=""),"",IFERROR(INDEX(catTipo,MATCH(D2041,catNom,0))&amp;"",""))</f>
        <v/>
      </c>
      <c r="J2041" s="19">
        <f>IF(I2041="","",IFERROR(INDEX(catGrupo,MATCH(D2041,catNom,0))&amp;"",""))</f>
        <v/>
      </c>
      <c r="K2041" s="19">
        <f>IF(I2041="Gasto",IF(IFERROR(INDEX(catClas,MATCH(D2041,catNom,0))&amp;"","")="","Variable",IFERROR(INDEX(catClas,MATCH(D2041,catNom,0))&amp;"","")),"")</f>
        <v/>
      </c>
      <c r="L2041" s="19">
        <f>IF(I2041="","",IFERROR(INDEX(catAlim,MATCH(D2041,catNom,0))&amp;"",""))</f>
        <v/>
      </c>
      <c r="M2041" s="19">
        <f>IF(I2041="","",IFERROR(INDEX(catComida,MATCH(D2041,catNom,0))&amp;"",""))</f>
        <v/>
      </c>
      <c r="N2041" s="19">
        <f>IF(I2041="","",IFERROR(INDEX(ctaMon,MATCH(E2041,ctaNom,0))&amp;"","DOP"))</f>
        <v/>
      </c>
      <c r="O2041" s="20">
        <f>IF(I2041="","",C2041*IF(N2041="USD",TasaUSD,1))</f>
        <v/>
      </c>
      <c r="P2041" s="20">
        <f>IF(I2041="","",IF(I2041="Gasto",O2041,0))</f>
        <v/>
      </c>
      <c r="Q2041" s="20">
        <f>IF(I2041="","",IF(I2041="Ingreso",O2041,0))</f>
        <v/>
      </c>
      <c r="R2041" s="20">
        <f>IF(I2041="","",IF(I2041="Trading",O2041,0))</f>
        <v/>
      </c>
      <c r="S2041" s="19">
        <f>IF(I2041="","",IF(AND(I2041="Gasto",K2041="Variable",J2041&lt;&gt;"Trading",O2041&gt;0,O2041&lt;=Umbral),1,0))</f>
        <v/>
      </c>
      <c r="T2041" s="20">
        <f>IF(OR(I2041="",E2041=""),"",IF(OR(I2041="Gasto",I2041="Transferencia",I2041="Pago tarjeta"),-1,1)*C2041)</f>
        <v/>
      </c>
      <c r="U2041" s="20">
        <f>IF(OR(G2041="",AND(I2041&lt;&gt;"Transferencia",I2041&lt;&gt;"Pago tarjeta")),"",IF(IFERROR(INDEX(ctaMon,MATCH(G2041,ctaNom,0))&amp;"","DOP")=N2041,C2041,IF(N2041="USD",C2041*TasaUSD,C2041/TasaUSD)))</f>
        <v/>
      </c>
      <c r="V2041" s="20">
        <f>IF(I2041="","",IF(IFERROR(INDEX(ctaLiq,MATCH(E2041,ctaNom,0))="Sí",FALSE),IF(OR(I2041="Gasto",I2041="Transferencia",I2041="Pago tarjeta"),-1,1)*O2041,0)+IF(AND(U2041&lt;&gt;"",IFERROR(INDEX(ctaLiq,MATCH(G2041,ctaNom,0))="Sí",FALSE)),O2041,0))</f>
        <v/>
      </c>
      <c r="W2041" s="19">
        <f>IF(OR(F2041="",I2041=""),"",IF(COUNTIFS(F$6:F2041,F2041,I$6:I2041,"?*")=1,MAX(W$5:W2040)+1,""))</f>
        <v/>
      </c>
    </row>
    <row r="2042">
      <c r="B2042" s="15" t="n"/>
      <c r="C2042" s="16" t="n"/>
      <c r="D2042" s="17" t="n"/>
      <c r="E2042" s="17" t="n"/>
      <c r="F2042" s="17" t="n"/>
      <c r="G2042" s="17" t="n"/>
      <c r="H2042" s="18">
        <f>IF(AND(B2042="",C2042="",D2042="",E2042=""),"",IF(B2042="","⚠ Falta fecha",IF(C2042="","⚠ Falta monto",IF(D2042="","⚠ Falta categoría",IF(ISNA(MATCH(D2042,catNom,0)),"⚠ Categoría no existe",IF(E2042="","⚠ Falta cuenta",IF(ISNA(MATCH(E2042,ctaNom,0)),"⚠ Cuenta no existe",IF(AND(OR(I2042="Transferencia",I2042="Pago tarjeta"),G2042=""),"⚠ Indica la cuenta «Hacia»",IF(AND(G2042&lt;&gt;"",G2042=E2042),"⚠ «Hacia» igual a la cuenta",IF(AND(G2042&lt;&gt;"",ISNA(MATCH(G2042,ctaNom,0))),"⚠ «Hacia» no existe",IF(AND(I2042="Pago tarjeta",IFERROR(INDEX(ctaTipo,MATCH(G2042,ctaNom,0)),"")&lt;&gt;"Tarjeta de crédito"),"⚠ «Hacia» debe ser la tarjeta",IF(AND(I2042="Trading",IFERROR(INDEX(ctaTipo,MATCH(E2042,ctaNom,0)),"")&lt;&gt;"Cuenta de trading"),"⚠ Usa la cuenta de trading","✓"))))))))))))</f>
        <v/>
      </c>
      <c r="I2042" s="19">
        <f>IF(OR(B2042="",C2042="",D2042=""),"",IFERROR(INDEX(catTipo,MATCH(D2042,catNom,0))&amp;"",""))</f>
        <v/>
      </c>
      <c r="J2042" s="19">
        <f>IF(I2042="","",IFERROR(INDEX(catGrupo,MATCH(D2042,catNom,0))&amp;"",""))</f>
        <v/>
      </c>
      <c r="K2042" s="19">
        <f>IF(I2042="Gasto",IF(IFERROR(INDEX(catClas,MATCH(D2042,catNom,0))&amp;"","")="","Variable",IFERROR(INDEX(catClas,MATCH(D2042,catNom,0))&amp;"","")),"")</f>
        <v/>
      </c>
      <c r="L2042" s="19">
        <f>IF(I2042="","",IFERROR(INDEX(catAlim,MATCH(D2042,catNom,0))&amp;"",""))</f>
        <v/>
      </c>
      <c r="M2042" s="19">
        <f>IF(I2042="","",IFERROR(INDEX(catComida,MATCH(D2042,catNom,0))&amp;"",""))</f>
        <v/>
      </c>
      <c r="N2042" s="19">
        <f>IF(I2042="","",IFERROR(INDEX(ctaMon,MATCH(E2042,ctaNom,0))&amp;"","DOP"))</f>
        <v/>
      </c>
      <c r="O2042" s="20">
        <f>IF(I2042="","",C2042*IF(N2042="USD",TasaUSD,1))</f>
        <v/>
      </c>
      <c r="P2042" s="20">
        <f>IF(I2042="","",IF(I2042="Gasto",O2042,0))</f>
        <v/>
      </c>
      <c r="Q2042" s="20">
        <f>IF(I2042="","",IF(I2042="Ingreso",O2042,0))</f>
        <v/>
      </c>
      <c r="R2042" s="20">
        <f>IF(I2042="","",IF(I2042="Trading",O2042,0))</f>
        <v/>
      </c>
      <c r="S2042" s="19">
        <f>IF(I2042="","",IF(AND(I2042="Gasto",K2042="Variable",J2042&lt;&gt;"Trading",O2042&gt;0,O2042&lt;=Umbral),1,0))</f>
        <v/>
      </c>
      <c r="T2042" s="20">
        <f>IF(OR(I2042="",E2042=""),"",IF(OR(I2042="Gasto",I2042="Transferencia",I2042="Pago tarjeta"),-1,1)*C2042)</f>
        <v/>
      </c>
      <c r="U2042" s="20">
        <f>IF(OR(G2042="",AND(I2042&lt;&gt;"Transferencia",I2042&lt;&gt;"Pago tarjeta")),"",IF(IFERROR(INDEX(ctaMon,MATCH(G2042,ctaNom,0))&amp;"","DOP")=N2042,C2042,IF(N2042="USD",C2042*TasaUSD,C2042/TasaUSD)))</f>
        <v/>
      </c>
      <c r="V2042" s="20">
        <f>IF(I2042="","",IF(IFERROR(INDEX(ctaLiq,MATCH(E2042,ctaNom,0))="Sí",FALSE),IF(OR(I2042="Gasto",I2042="Transferencia",I2042="Pago tarjeta"),-1,1)*O2042,0)+IF(AND(U2042&lt;&gt;"",IFERROR(INDEX(ctaLiq,MATCH(G2042,ctaNom,0))="Sí",FALSE)),O2042,0))</f>
        <v/>
      </c>
      <c r="W2042" s="19">
        <f>IF(OR(F2042="",I2042=""),"",IF(COUNTIFS(F$6:F2042,F2042,I$6:I2042,"?*")=1,MAX(W$5:W2041)+1,""))</f>
        <v/>
      </c>
    </row>
    <row r="2043">
      <c r="B2043" s="15" t="n"/>
      <c r="C2043" s="16" t="n"/>
      <c r="D2043" s="17" t="n"/>
      <c r="E2043" s="17" t="n"/>
      <c r="F2043" s="17" t="n"/>
      <c r="G2043" s="17" t="n"/>
      <c r="H2043" s="18">
        <f>IF(AND(B2043="",C2043="",D2043="",E2043=""),"",IF(B2043="","⚠ Falta fecha",IF(C2043="","⚠ Falta monto",IF(D2043="","⚠ Falta categoría",IF(ISNA(MATCH(D2043,catNom,0)),"⚠ Categoría no existe",IF(E2043="","⚠ Falta cuenta",IF(ISNA(MATCH(E2043,ctaNom,0)),"⚠ Cuenta no existe",IF(AND(OR(I2043="Transferencia",I2043="Pago tarjeta"),G2043=""),"⚠ Indica la cuenta «Hacia»",IF(AND(G2043&lt;&gt;"",G2043=E2043),"⚠ «Hacia» igual a la cuenta",IF(AND(G2043&lt;&gt;"",ISNA(MATCH(G2043,ctaNom,0))),"⚠ «Hacia» no existe",IF(AND(I2043="Pago tarjeta",IFERROR(INDEX(ctaTipo,MATCH(G2043,ctaNom,0)),"")&lt;&gt;"Tarjeta de crédito"),"⚠ «Hacia» debe ser la tarjeta",IF(AND(I2043="Trading",IFERROR(INDEX(ctaTipo,MATCH(E2043,ctaNom,0)),"")&lt;&gt;"Cuenta de trading"),"⚠ Usa la cuenta de trading","✓"))))))))))))</f>
        <v/>
      </c>
      <c r="I2043" s="19">
        <f>IF(OR(B2043="",C2043="",D2043=""),"",IFERROR(INDEX(catTipo,MATCH(D2043,catNom,0))&amp;"",""))</f>
        <v/>
      </c>
      <c r="J2043" s="19">
        <f>IF(I2043="","",IFERROR(INDEX(catGrupo,MATCH(D2043,catNom,0))&amp;"",""))</f>
        <v/>
      </c>
      <c r="K2043" s="19">
        <f>IF(I2043="Gasto",IF(IFERROR(INDEX(catClas,MATCH(D2043,catNom,0))&amp;"","")="","Variable",IFERROR(INDEX(catClas,MATCH(D2043,catNom,0))&amp;"","")),"")</f>
        <v/>
      </c>
      <c r="L2043" s="19">
        <f>IF(I2043="","",IFERROR(INDEX(catAlim,MATCH(D2043,catNom,0))&amp;"",""))</f>
        <v/>
      </c>
      <c r="M2043" s="19">
        <f>IF(I2043="","",IFERROR(INDEX(catComida,MATCH(D2043,catNom,0))&amp;"",""))</f>
        <v/>
      </c>
      <c r="N2043" s="19">
        <f>IF(I2043="","",IFERROR(INDEX(ctaMon,MATCH(E2043,ctaNom,0))&amp;"","DOP"))</f>
        <v/>
      </c>
      <c r="O2043" s="20">
        <f>IF(I2043="","",C2043*IF(N2043="USD",TasaUSD,1))</f>
        <v/>
      </c>
      <c r="P2043" s="20">
        <f>IF(I2043="","",IF(I2043="Gasto",O2043,0))</f>
        <v/>
      </c>
      <c r="Q2043" s="20">
        <f>IF(I2043="","",IF(I2043="Ingreso",O2043,0))</f>
        <v/>
      </c>
      <c r="R2043" s="20">
        <f>IF(I2043="","",IF(I2043="Trading",O2043,0))</f>
        <v/>
      </c>
      <c r="S2043" s="19">
        <f>IF(I2043="","",IF(AND(I2043="Gasto",K2043="Variable",J2043&lt;&gt;"Trading",O2043&gt;0,O2043&lt;=Umbral),1,0))</f>
        <v/>
      </c>
      <c r="T2043" s="20">
        <f>IF(OR(I2043="",E2043=""),"",IF(OR(I2043="Gasto",I2043="Transferencia",I2043="Pago tarjeta"),-1,1)*C2043)</f>
        <v/>
      </c>
      <c r="U2043" s="20">
        <f>IF(OR(G2043="",AND(I2043&lt;&gt;"Transferencia",I2043&lt;&gt;"Pago tarjeta")),"",IF(IFERROR(INDEX(ctaMon,MATCH(G2043,ctaNom,0))&amp;"","DOP")=N2043,C2043,IF(N2043="USD",C2043*TasaUSD,C2043/TasaUSD)))</f>
        <v/>
      </c>
      <c r="V2043" s="20">
        <f>IF(I2043="","",IF(IFERROR(INDEX(ctaLiq,MATCH(E2043,ctaNom,0))="Sí",FALSE),IF(OR(I2043="Gasto",I2043="Transferencia",I2043="Pago tarjeta"),-1,1)*O2043,0)+IF(AND(U2043&lt;&gt;"",IFERROR(INDEX(ctaLiq,MATCH(G2043,ctaNom,0))="Sí",FALSE)),O2043,0))</f>
        <v/>
      </c>
      <c r="W2043" s="19">
        <f>IF(OR(F2043="",I2043=""),"",IF(COUNTIFS(F$6:F2043,F2043,I$6:I2043,"?*")=1,MAX(W$5:W2042)+1,""))</f>
        <v/>
      </c>
    </row>
    <row r="2044">
      <c r="B2044" s="15" t="n"/>
      <c r="C2044" s="16" t="n"/>
      <c r="D2044" s="17" t="n"/>
      <c r="E2044" s="17" t="n"/>
      <c r="F2044" s="17" t="n"/>
      <c r="G2044" s="17" t="n"/>
      <c r="H2044" s="18">
        <f>IF(AND(B2044="",C2044="",D2044="",E2044=""),"",IF(B2044="","⚠ Falta fecha",IF(C2044="","⚠ Falta monto",IF(D2044="","⚠ Falta categoría",IF(ISNA(MATCH(D2044,catNom,0)),"⚠ Categoría no existe",IF(E2044="","⚠ Falta cuenta",IF(ISNA(MATCH(E2044,ctaNom,0)),"⚠ Cuenta no existe",IF(AND(OR(I2044="Transferencia",I2044="Pago tarjeta"),G2044=""),"⚠ Indica la cuenta «Hacia»",IF(AND(G2044&lt;&gt;"",G2044=E2044),"⚠ «Hacia» igual a la cuenta",IF(AND(G2044&lt;&gt;"",ISNA(MATCH(G2044,ctaNom,0))),"⚠ «Hacia» no existe",IF(AND(I2044="Pago tarjeta",IFERROR(INDEX(ctaTipo,MATCH(G2044,ctaNom,0)),"")&lt;&gt;"Tarjeta de crédito"),"⚠ «Hacia» debe ser la tarjeta",IF(AND(I2044="Trading",IFERROR(INDEX(ctaTipo,MATCH(E2044,ctaNom,0)),"")&lt;&gt;"Cuenta de trading"),"⚠ Usa la cuenta de trading","✓"))))))))))))</f>
        <v/>
      </c>
      <c r="I2044" s="19">
        <f>IF(OR(B2044="",C2044="",D2044=""),"",IFERROR(INDEX(catTipo,MATCH(D2044,catNom,0))&amp;"",""))</f>
        <v/>
      </c>
      <c r="J2044" s="19">
        <f>IF(I2044="","",IFERROR(INDEX(catGrupo,MATCH(D2044,catNom,0))&amp;"",""))</f>
        <v/>
      </c>
      <c r="K2044" s="19">
        <f>IF(I2044="Gasto",IF(IFERROR(INDEX(catClas,MATCH(D2044,catNom,0))&amp;"","")="","Variable",IFERROR(INDEX(catClas,MATCH(D2044,catNom,0))&amp;"","")),"")</f>
        <v/>
      </c>
      <c r="L2044" s="19">
        <f>IF(I2044="","",IFERROR(INDEX(catAlim,MATCH(D2044,catNom,0))&amp;"",""))</f>
        <v/>
      </c>
      <c r="M2044" s="19">
        <f>IF(I2044="","",IFERROR(INDEX(catComida,MATCH(D2044,catNom,0))&amp;"",""))</f>
        <v/>
      </c>
      <c r="N2044" s="19">
        <f>IF(I2044="","",IFERROR(INDEX(ctaMon,MATCH(E2044,ctaNom,0))&amp;"","DOP"))</f>
        <v/>
      </c>
      <c r="O2044" s="20">
        <f>IF(I2044="","",C2044*IF(N2044="USD",TasaUSD,1))</f>
        <v/>
      </c>
      <c r="P2044" s="20">
        <f>IF(I2044="","",IF(I2044="Gasto",O2044,0))</f>
        <v/>
      </c>
      <c r="Q2044" s="20">
        <f>IF(I2044="","",IF(I2044="Ingreso",O2044,0))</f>
        <v/>
      </c>
      <c r="R2044" s="20">
        <f>IF(I2044="","",IF(I2044="Trading",O2044,0))</f>
        <v/>
      </c>
      <c r="S2044" s="19">
        <f>IF(I2044="","",IF(AND(I2044="Gasto",K2044="Variable",J2044&lt;&gt;"Trading",O2044&gt;0,O2044&lt;=Umbral),1,0))</f>
        <v/>
      </c>
      <c r="T2044" s="20">
        <f>IF(OR(I2044="",E2044=""),"",IF(OR(I2044="Gasto",I2044="Transferencia",I2044="Pago tarjeta"),-1,1)*C2044)</f>
        <v/>
      </c>
      <c r="U2044" s="20">
        <f>IF(OR(G2044="",AND(I2044&lt;&gt;"Transferencia",I2044&lt;&gt;"Pago tarjeta")),"",IF(IFERROR(INDEX(ctaMon,MATCH(G2044,ctaNom,0))&amp;"","DOP")=N2044,C2044,IF(N2044="USD",C2044*TasaUSD,C2044/TasaUSD)))</f>
        <v/>
      </c>
      <c r="V2044" s="20">
        <f>IF(I2044="","",IF(IFERROR(INDEX(ctaLiq,MATCH(E2044,ctaNom,0))="Sí",FALSE),IF(OR(I2044="Gasto",I2044="Transferencia",I2044="Pago tarjeta"),-1,1)*O2044,0)+IF(AND(U2044&lt;&gt;"",IFERROR(INDEX(ctaLiq,MATCH(G2044,ctaNom,0))="Sí",FALSE)),O2044,0))</f>
        <v/>
      </c>
      <c r="W2044" s="19">
        <f>IF(OR(F2044="",I2044=""),"",IF(COUNTIFS(F$6:F2044,F2044,I$6:I2044,"?*")=1,MAX(W$5:W2043)+1,""))</f>
        <v/>
      </c>
    </row>
    <row r="2045">
      <c r="B2045" s="15" t="n"/>
      <c r="C2045" s="16" t="n"/>
      <c r="D2045" s="17" t="n"/>
      <c r="E2045" s="17" t="n"/>
      <c r="F2045" s="17" t="n"/>
      <c r="G2045" s="17" t="n"/>
      <c r="H2045" s="18">
        <f>IF(AND(B2045="",C2045="",D2045="",E2045=""),"",IF(B2045="","⚠ Falta fecha",IF(C2045="","⚠ Falta monto",IF(D2045="","⚠ Falta categoría",IF(ISNA(MATCH(D2045,catNom,0)),"⚠ Categoría no existe",IF(E2045="","⚠ Falta cuenta",IF(ISNA(MATCH(E2045,ctaNom,0)),"⚠ Cuenta no existe",IF(AND(OR(I2045="Transferencia",I2045="Pago tarjeta"),G2045=""),"⚠ Indica la cuenta «Hacia»",IF(AND(G2045&lt;&gt;"",G2045=E2045),"⚠ «Hacia» igual a la cuenta",IF(AND(G2045&lt;&gt;"",ISNA(MATCH(G2045,ctaNom,0))),"⚠ «Hacia» no existe",IF(AND(I2045="Pago tarjeta",IFERROR(INDEX(ctaTipo,MATCH(G2045,ctaNom,0)),"")&lt;&gt;"Tarjeta de crédito"),"⚠ «Hacia» debe ser la tarjeta",IF(AND(I2045="Trading",IFERROR(INDEX(ctaTipo,MATCH(E2045,ctaNom,0)),"")&lt;&gt;"Cuenta de trading"),"⚠ Usa la cuenta de trading","✓"))))))))))))</f>
        <v/>
      </c>
      <c r="I2045" s="19">
        <f>IF(OR(B2045="",C2045="",D2045=""),"",IFERROR(INDEX(catTipo,MATCH(D2045,catNom,0))&amp;"",""))</f>
        <v/>
      </c>
      <c r="J2045" s="19">
        <f>IF(I2045="","",IFERROR(INDEX(catGrupo,MATCH(D2045,catNom,0))&amp;"",""))</f>
        <v/>
      </c>
      <c r="K2045" s="19">
        <f>IF(I2045="Gasto",IF(IFERROR(INDEX(catClas,MATCH(D2045,catNom,0))&amp;"","")="","Variable",IFERROR(INDEX(catClas,MATCH(D2045,catNom,0))&amp;"","")),"")</f>
        <v/>
      </c>
      <c r="L2045" s="19">
        <f>IF(I2045="","",IFERROR(INDEX(catAlim,MATCH(D2045,catNom,0))&amp;"",""))</f>
        <v/>
      </c>
      <c r="M2045" s="19">
        <f>IF(I2045="","",IFERROR(INDEX(catComida,MATCH(D2045,catNom,0))&amp;"",""))</f>
        <v/>
      </c>
      <c r="N2045" s="19">
        <f>IF(I2045="","",IFERROR(INDEX(ctaMon,MATCH(E2045,ctaNom,0))&amp;"","DOP"))</f>
        <v/>
      </c>
      <c r="O2045" s="20">
        <f>IF(I2045="","",C2045*IF(N2045="USD",TasaUSD,1))</f>
        <v/>
      </c>
      <c r="P2045" s="20">
        <f>IF(I2045="","",IF(I2045="Gasto",O2045,0))</f>
        <v/>
      </c>
      <c r="Q2045" s="20">
        <f>IF(I2045="","",IF(I2045="Ingreso",O2045,0))</f>
        <v/>
      </c>
      <c r="R2045" s="20">
        <f>IF(I2045="","",IF(I2045="Trading",O2045,0))</f>
        <v/>
      </c>
      <c r="S2045" s="19">
        <f>IF(I2045="","",IF(AND(I2045="Gasto",K2045="Variable",J2045&lt;&gt;"Trading",O2045&gt;0,O2045&lt;=Umbral),1,0))</f>
        <v/>
      </c>
      <c r="T2045" s="20">
        <f>IF(OR(I2045="",E2045=""),"",IF(OR(I2045="Gasto",I2045="Transferencia",I2045="Pago tarjeta"),-1,1)*C2045)</f>
        <v/>
      </c>
      <c r="U2045" s="20">
        <f>IF(OR(G2045="",AND(I2045&lt;&gt;"Transferencia",I2045&lt;&gt;"Pago tarjeta")),"",IF(IFERROR(INDEX(ctaMon,MATCH(G2045,ctaNom,0))&amp;"","DOP")=N2045,C2045,IF(N2045="USD",C2045*TasaUSD,C2045/TasaUSD)))</f>
        <v/>
      </c>
      <c r="V2045" s="20">
        <f>IF(I2045="","",IF(IFERROR(INDEX(ctaLiq,MATCH(E2045,ctaNom,0))="Sí",FALSE),IF(OR(I2045="Gasto",I2045="Transferencia",I2045="Pago tarjeta"),-1,1)*O2045,0)+IF(AND(U2045&lt;&gt;"",IFERROR(INDEX(ctaLiq,MATCH(G2045,ctaNom,0))="Sí",FALSE)),O2045,0))</f>
        <v/>
      </c>
      <c r="W2045" s="19">
        <f>IF(OR(F2045="",I2045=""),"",IF(COUNTIFS(F$6:F2045,F2045,I$6:I2045,"?*")=1,MAX(W$5:W2044)+1,""))</f>
        <v/>
      </c>
    </row>
    <row r="2046">
      <c r="B2046" s="15" t="n"/>
      <c r="C2046" s="16" t="n"/>
      <c r="D2046" s="17" t="n"/>
      <c r="E2046" s="17" t="n"/>
      <c r="F2046" s="17" t="n"/>
      <c r="G2046" s="17" t="n"/>
      <c r="H2046" s="18">
        <f>IF(AND(B2046="",C2046="",D2046="",E2046=""),"",IF(B2046="","⚠ Falta fecha",IF(C2046="","⚠ Falta monto",IF(D2046="","⚠ Falta categoría",IF(ISNA(MATCH(D2046,catNom,0)),"⚠ Categoría no existe",IF(E2046="","⚠ Falta cuenta",IF(ISNA(MATCH(E2046,ctaNom,0)),"⚠ Cuenta no existe",IF(AND(OR(I2046="Transferencia",I2046="Pago tarjeta"),G2046=""),"⚠ Indica la cuenta «Hacia»",IF(AND(G2046&lt;&gt;"",G2046=E2046),"⚠ «Hacia» igual a la cuenta",IF(AND(G2046&lt;&gt;"",ISNA(MATCH(G2046,ctaNom,0))),"⚠ «Hacia» no existe",IF(AND(I2046="Pago tarjeta",IFERROR(INDEX(ctaTipo,MATCH(G2046,ctaNom,0)),"")&lt;&gt;"Tarjeta de crédito"),"⚠ «Hacia» debe ser la tarjeta",IF(AND(I2046="Trading",IFERROR(INDEX(ctaTipo,MATCH(E2046,ctaNom,0)),"")&lt;&gt;"Cuenta de trading"),"⚠ Usa la cuenta de trading","✓"))))))))))))</f>
        <v/>
      </c>
      <c r="I2046" s="19">
        <f>IF(OR(B2046="",C2046="",D2046=""),"",IFERROR(INDEX(catTipo,MATCH(D2046,catNom,0))&amp;"",""))</f>
        <v/>
      </c>
      <c r="J2046" s="19">
        <f>IF(I2046="","",IFERROR(INDEX(catGrupo,MATCH(D2046,catNom,0))&amp;"",""))</f>
        <v/>
      </c>
      <c r="K2046" s="19">
        <f>IF(I2046="Gasto",IF(IFERROR(INDEX(catClas,MATCH(D2046,catNom,0))&amp;"","")="","Variable",IFERROR(INDEX(catClas,MATCH(D2046,catNom,0))&amp;"","")),"")</f>
        <v/>
      </c>
      <c r="L2046" s="19">
        <f>IF(I2046="","",IFERROR(INDEX(catAlim,MATCH(D2046,catNom,0))&amp;"",""))</f>
        <v/>
      </c>
      <c r="M2046" s="19">
        <f>IF(I2046="","",IFERROR(INDEX(catComida,MATCH(D2046,catNom,0))&amp;"",""))</f>
        <v/>
      </c>
      <c r="N2046" s="19">
        <f>IF(I2046="","",IFERROR(INDEX(ctaMon,MATCH(E2046,ctaNom,0))&amp;"","DOP"))</f>
        <v/>
      </c>
      <c r="O2046" s="20">
        <f>IF(I2046="","",C2046*IF(N2046="USD",TasaUSD,1))</f>
        <v/>
      </c>
      <c r="P2046" s="20">
        <f>IF(I2046="","",IF(I2046="Gasto",O2046,0))</f>
        <v/>
      </c>
      <c r="Q2046" s="20">
        <f>IF(I2046="","",IF(I2046="Ingreso",O2046,0))</f>
        <v/>
      </c>
      <c r="R2046" s="20">
        <f>IF(I2046="","",IF(I2046="Trading",O2046,0))</f>
        <v/>
      </c>
      <c r="S2046" s="19">
        <f>IF(I2046="","",IF(AND(I2046="Gasto",K2046="Variable",J2046&lt;&gt;"Trading",O2046&gt;0,O2046&lt;=Umbral),1,0))</f>
        <v/>
      </c>
      <c r="T2046" s="20">
        <f>IF(OR(I2046="",E2046=""),"",IF(OR(I2046="Gasto",I2046="Transferencia",I2046="Pago tarjeta"),-1,1)*C2046)</f>
        <v/>
      </c>
      <c r="U2046" s="20">
        <f>IF(OR(G2046="",AND(I2046&lt;&gt;"Transferencia",I2046&lt;&gt;"Pago tarjeta")),"",IF(IFERROR(INDEX(ctaMon,MATCH(G2046,ctaNom,0))&amp;"","DOP")=N2046,C2046,IF(N2046="USD",C2046*TasaUSD,C2046/TasaUSD)))</f>
        <v/>
      </c>
      <c r="V2046" s="20">
        <f>IF(I2046="","",IF(IFERROR(INDEX(ctaLiq,MATCH(E2046,ctaNom,0))="Sí",FALSE),IF(OR(I2046="Gasto",I2046="Transferencia",I2046="Pago tarjeta"),-1,1)*O2046,0)+IF(AND(U2046&lt;&gt;"",IFERROR(INDEX(ctaLiq,MATCH(G2046,ctaNom,0))="Sí",FALSE)),O2046,0))</f>
        <v/>
      </c>
      <c r="W2046" s="19">
        <f>IF(OR(F2046="",I2046=""),"",IF(COUNTIFS(F$6:F2046,F2046,I$6:I2046,"?*")=1,MAX(W$5:W2045)+1,""))</f>
        <v/>
      </c>
    </row>
    <row r="2047">
      <c r="B2047" s="15" t="n"/>
      <c r="C2047" s="16" t="n"/>
      <c r="D2047" s="17" t="n"/>
      <c r="E2047" s="17" t="n"/>
      <c r="F2047" s="17" t="n"/>
      <c r="G2047" s="17" t="n"/>
      <c r="H2047" s="18">
        <f>IF(AND(B2047="",C2047="",D2047="",E2047=""),"",IF(B2047="","⚠ Falta fecha",IF(C2047="","⚠ Falta monto",IF(D2047="","⚠ Falta categoría",IF(ISNA(MATCH(D2047,catNom,0)),"⚠ Categoría no existe",IF(E2047="","⚠ Falta cuenta",IF(ISNA(MATCH(E2047,ctaNom,0)),"⚠ Cuenta no existe",IF(AND(OR(I2047="Transferencia",I2047="Pago tarjeta"),G2047=""),"⚠ Indica la cuenta «Hacia»",IF(AND(G2047&lt;&gt;"",G2047=E2047),"⚠ «Hacia» igual a la cuenta",IF(AND(G2047&lt;&gt;"",ISNA(MATCH(G2047,ctaNom,0))),"⚠ «Hacia» no existe",IF(AND(I2047="Pago tarjeta",IFERROR(INDEX(ctaTipo,MATCH(G2047,ctaNom,0)),"")&lt;&gt;"Tarjeta de crédito"),"⚠ «Hacia» debe ser la tarjeta",IF(AND(I2047="Trading",IFERROR(INDEX(ctaTipo,MATCH(E2047,ctaNom,0)),"")&lt;&gt;"Cuenta de trading"),"⚠ Usa la cuenta de trading","✓"))))))))))))</f>
        <v/>
      </c>
      <c r="I2047" s="19">
        <f>IF(OR(B2047="",C2047="",D2047=""),"",IFERROR(INDEX(catTipo,MATCH(D2047,catNom,0))&amp;"",""))</f>
        <v/>
      </c>
      <c r="J2047" s="19">
        <f>IF(I2047="","",IFERROR(INDEX(catGrupo,MATCH(D2047,catNom,0))&amp;"",""))</f>
        <v/>
      </c>
      <c r="K2047" s="19">
        <f>IF(I2047="Gasto",IF(IFERROR(INDEX(catClas,MATCH(D2047,catNom,0))&amp;"","")="","Variable",IFERROR(INDEX(catClas,MATCH(D2047,catNom,0))&amp;"","")),"")</f>
        <v/>
      </c>
      <c r="L2047" s="19">
        <f>IF(I2047="","",IFERROR(INDEX(catAlim,MATCH(D2047,catNom,0))&amp;"",""))</f>
        <v/>
      </c>
      <c r="M2047" s="19">
        <f>IF(I2047="","",IFERROR(INDEX(catComida,MATCH(D2047,catNom,0))&amp;"",""))</f>
        <v/>
      </c>
      <c r="N2047" s="19">
        <f>IF(I2047="","",IFERROR(INDEX(ctaMon,MATCH(E2047,ctaNom,0))&amp;"","DOP"))</f>
        <v/>
      </c>
      <c r="O2047" s="20">
        <f>IF(I2047="","",C2047*IF(N2047="USD",TasaUSD,1))</f>
        <v/>
      </c>
      <c r="P2047" s="20">
        <f>IF(I2047="","",IF(I2047="Gasto",O2047,0))</f>
        <v/>
      </c>
      <c r="Q2047" s="20">
        <f>IF(I2047="","",IF(I2047="Ingreso",O2047,0))</f>
        <v/>
      </c>
      <c r="R2047" s="20">
        <f>IF(I2047="","",IF(I2047="Trading",O2047,0))</f>
        <v/>
      </c>
      <c r="S2047" s="19">
        <f>IF(I2047="","",IF(AND(I2047="Gasto",K2047="Variable",J2047&lt;&gt;"Trading",O2047&gt;0,O2047&lt;=Umbral),1,0))</f>
        <v/>
      </c>
      <c r="T2047" s="20">
        <f>IF(OR(I2047="",E2047=""),"",IF(OR(I2047="Gasto",I2047="Transferencia",I2047="Pago tarjeta"),-1,1)*C2047)</f>
        <v/>
      </c>
      <c r="U2047" s="20">
        <f>IF(OR(G2047="",AND(I2047&lt;&gt;"Transferencia",I2047&lt;&gt;"Pago tarjeta")),"",IF(IFERROR(INDEX(ctaMon,MATCH(G2047,ctaNom,0))&amp;"","DOP")=N2047,C2047,IF(N2047="USD",C2047*TasaUSD,C2047/TasaUSD)))</f>
        <v/>
      </c>
      <c r="V2047" s="20">
        <f>IF(I2047="","",IF(IFERROR(INDEX(ctaLiq,MATCH(E2047,ctaNom,0))="Sí",FALSE),IF(OR(I2047="Gasto",I2047="Transferencia",I2047="Pago tarjeta"),-1,1)*O2047,0)+IF(AND(U2047&lt;&gt;"",IFERROR(INDEX(ctaLiq,MATCH(G2047,ctaNom,0))="Sí",FALSE)),O2047,0))</f>
        <v/>
      </c>
      <c r="W2047" s="19">
        <f>IF(OR(F2047="",I2047=""),"",IF(COUNTIFS(F$6:F2047,F2047,I$6:I2047,"?*")=1,MAX(W$5:W2046)+1,""))</f>
        <v/>
      </c>
    </row>
    <row r="2048">
      <c r="B2048" s="15" t="n"/>
      <c r="C2048" s="16" t="n"/>
      <c r="D2048" s="17" t="n"/>
      <c r="E2048" s="17" t="n"/>
      <c r="F2048" s="17" t="n"/>
      <c r="G2048" s="17" t="n"/>
      <c r="H2048" s="18">
        <f>IF(AND(B2048="",C2048="",D2048="",E2048=""),"",IF(B2048="","⚠ Falta fecha",IF(C2048="","⚠ Falta monto",IF(D2048="","⚠ Falta categoría",IF(ISNA(MATCH(D2048,catNom,0)),"⚠ Categoría no existe",IF(E2048="","⚠ Falta cuenta",IF(ISNA(MATCH(E2048,ctaNom,0)),"⚠ Cuenta no existe",IF(AND(OR(I2048="Transferencia",I2048="Pago tarjeta"),G2048=""),"⚠ Indica la cuenta «Hacia»",IF(AND(G2048&lt;&gt;"",G2048=E2048),"⚠ «Hacia» igual a la cuenta",IF(AND(G2048&lt;&gt;"",ISNA(MATCH(G2048,ctaNom,0))),"⚠ «Hacia» no existe",IF(AND(I2048="Pago tarjeta",IFERROR(INDEX(ctaTipo,MATCH(G2048,ctaNom,0)),"")&lt;&gt;"Tarjeta de crédito"),"⚠ «Hacia» debe ser la tarjeta",IF(AND(I2048="Trading",IFERROR(INDEX(ctaTipo,MATCH(E2048,ctaNom,0)),"")&lt;&gt;"Cuenta de trading"),"⚠ Usa la cuenta de trading","✓"))))))))))))</f>
        <v/>
      </c>
      <c r="I2048" s="19">
        <f>IF(OR(B2048="",C2048="",D2048=""),"",IFERROR(INDEX(catTipo,MATCH(D2048,catNom,0))&amp;"",""))</f>
        <v/>
      </c>
      <c r="J2048" s="19">
        <f>IF(I2048="","",IFERROR(INDEX(catGrupo,MATCH(D2048,catNom,0))&amp;"",""))</f>
        <v/>
      </c>
      <c r="K2048" s="19">
        <f>IF(I2048="Gasto",IF(IFERROR(INDEX(catClas,MATCH(D2048,catNom,0))&amp;"","")="","Variable",IFERROR(INDEX(catClas,MATCH(D2048,catNom,0))&amp;"","")),"")</f>
        <v/>
      </c>
      <c r="L2048" s="19">
        <f>IF(I2048="","",IFERROR(INDEX(catAlim,MATCH(D2048,catNom,0))&amp;"",""))</f>
        <v/>
      </c>
      <c r="M2048" s="19">
        <f>IF(I2048="","",IFERROR(INDEX(catComida,MATCH(D2048,catNom,0))&amp;"",""))</f>
        <v/>
      </c>
      <c r="N2048" s="19">
        <f>IF(I2048="","",IFERROR(INDEX(ctaMon,MATCH(E2048,ctaNom,0))&amp;"","DOP"))</f>
        <v/>
      </c>
      <c r="O2048" s="20">
        <f>IF(I2048="","",C2048*IF(N2048="USD",TasaUSD,1))</f>
        <v/>
      </c>
      <c r="P2048" s="20">
        <f>IF(I2048="","",IF(I2048="Gasto",O2048,0))</f>
        <v/>
      </c>
      <c r="Q2048" s="20">
        <f>IF(I2048="","",IF(I2048="Ingreso",O2048,0))</f>
        <v/>
      </c>
      <c r="R2048" s="20">
        <f>IF(I2048="","",IF(I2048="Trading",O2048,0))</f>
        <v/>
      </c>
      <c r="S2048" s="19">
        <f>IF(I2048="","",IF(AND(I2048="Gasto",K2048="Variable",J2048&lt;&gt;"Trading",O2048&gt;0,O2048&lt;=Umbral),1,0))</f>
        <v/>
      </c>
      <c r="T2048" s="20">
        <f>IF(OR(I2048="",E2048=""),"",IF(OR(I2048="Gasto",I2048="Transferencia",I2048="Pago tarjeta"),-1,1)*C2048)</f>
        <v/>
      </c>
      <c r="U2048" s="20">
        <f>IF(OR(G2048="",AND(I2048&lt;&gt;"Transferencia",I2048&lt;&gt;"Pago tarjeta")),"",IF(IFERROR(INDEX(ctaMon,MATCH(G2048,ctaNom,0))&amp;"","DOP")=N2048,C2048,IF(N2048="USD",C2048*TasaUSD,C2048/TasaUSD)))</f>
        <v/>
      </c>
      <c r="V2048" s="20">
        <f>IF(I2048="","",IF(IFERROR(INDEX(ctaLiq,MATCH(E2048,ctaNom,0))="Sí",FALSE),IF(OR(I2048="Gasto",I2048="Transferencia",I2048="Pago tarjeta"),-1,1)*O2048,0)+IF(AND(U2048&lt;&gt;"",IFERROR(INDEX(ctaLiq,MATCH(G2048,ctaNom,0))="Sí",FALSE)),O2048,0))</f>
        <v/>
      </c>
      <c r="W2048" s="19">
        <f>IF(OR(F2048="",I2048=""),"",IF(COUNTIFS(F$6:F2048,F2048,I$6:I2048,"?*")=1,MAX(W$5:W2047)+1,""))</f>
        <v/>
      </c>
    </row>
    <row r="2049">
      <c r="B2049" s="15" t="n"/>
      <c r="C2049" s="16" t="n"/>
      <c r="D2049" s="17" t="n"/>
      <c r="E2049" s="17" t="n"/>
      <c r="F2049" s="17" t="n"/>
      <c r="G2049" s="17" t="n"/>
      <c r="H2049" s="18">
        <f>IF(AND(B2049="",C2049="",D2049="",E2049=""),"",IF(B2049="","⚠ Falta fecha",IF(C2049="","⚠ Falta monto",IF(D2049="","⚠ Falta categoría",IF(ISNA(MATCH(D2049,catNom,0)),"⚠ Categoría no existe",IF(E2049="","⚠ Falta cuenta",IF(ISNA(MATCH(E2049,ctaNom,0)),"⚠ Cuenta no existe",IF(AND(OR(I2049="Transferencia",I2049="Pago tarjeta"),G2049=""),"⚠ Indica la cuenta «Hacia»",IF(AND(G2049&lt;&gt;"",G2049=E2049),"⚠ «Hacia» igual a la cuenta",IF(AND(G2049&lt;&gt;"",ISNA(MATCH(G2049,ctaNom,0))),"⚠ «Hacia» no existe",IF(AND(I2049="Pago tarjeta",IFERROR(INDEX(ctaTipo,MATCH(G2049,ctaNom,0)),"")&lt;&gt;"Tarjeta de crédito"),"⚠ «Hacia» debe ser la tarjeta",IF(AND(I2049="Trading",IFERROR(INDEX(ctaTipo,MATCH(E2049,ctaNom,0)),"")&lt;&gt;"Cuenta de trading"),"⚠ Usa la cuenta de trading","✓"))))))))))))</f>
        <v/>
      </c>
      <c r="I2049" s="19">
        <f>IF(OR(B2049="",C2049="",D2049=""),"",IFERROR(INDEX(catTipo,MATCH(D2049,catNom,0))&amp;"",""))</f>
        <v/>
      </c>
      <c r="J2049" s="19">
        <f>IF(I2049="","",IFERROR(INDEX(catGrupo,MATCH(D2049,catNom,0))&amp;"",""))</f>
        <v/>
      </c>
      <c r="K2049" s="19">
        <f>IF(I2049="Gasto",IF(IFERROR(INDEX(catClas,MATCH(D2049,catNom,0))&amp;"","")="","Variable",IFERROR(INDEX(catClas,MATCH(D2049,catNom,0))&amp;"","")),"")</f>
        <v/>
      </c>
      <c r="L2049" s="19">
        <f>IF(I2049="","",IFERROR(INDEX(catAlim,MATCH(D2049,catNom,0))&amp;"",""))</f>
        <v/>
      </c>
      <c r="M2049" s="19">
        <f>IF(I2049="","",IFERROR(INDEX(catComida,MATCH(D2049,catNom,0))&amp;"",""))</f>
        <v/>
      </c>
      <c r="N2049" s="19">
        <f>IF(I2049="","",IFERROR(INDEX(ctaMon,MATCH(E2049,ctaNom,0))&amp;"","DOP"))</f>
        <v/>
      </c>
      <c r="O2049" s="20">
        <f>IF(I2049="","",C2049*IF(N2049="USD",TasaUSD,1))</f>
        <v/>
      </c>
      <c r="P2049" s="20">
        <f>IF(I2049="","",IF(I2049="Gasto",O2049,0))</f>
        <v/>
      </c>
      <c r="Q2049" s="20">
        <f>IF(I2049="","",IF(I2049="Ingreso",O2049,0))</f>
        <v/>
      </c>
      <c r="R2049" s="20">
        <f>IF(I2049="","",IF(I2049="Trading",O2049,0))</f>
        <v/>
      </c>
      <c r="S2049" s="19">
        <f>IF(I2049="","",IF(AND(I2049="Gasto",K2049="Variable",J2049&lt;&gt;"Trading",O2049&gt;0,O2049&lt;=Umbral),1,0))</f>
        <v/>
      </c>
      <c r="T2049" s="20">
        <f>IF(OR(I2049="",E2049=""),"",IF(OR(I2049="Gasto",I2049="Transferencia",I2049="Pago tarjeta"),-1,1)*C2049)</f>
        <v/>
      </c>
      <c r="U2049" s="20">
        <f>IF(OR(G2049="",AND(I2049&lt;&gt;"Transferencia",I2049&lt;&gt;"Pago tarjeta")),"",IF(IFERROR(INDEX(ctaMon,MATCH(G2049,ctaNom,0))&amp;"","DOP")=N2049,C2049,IF(N2049="USD",C2049*TasaUSD,C2049/TasaUSD)))</f>
        <v/>
      </c>
      <c r="V2049" s="20">
        <f>IF(I2049="","",IF(IFERROR(INDEX(ctaLiq,MATCH(E2049,ctaNom,0))="Sí",FALSE),IF(OR(I2049="Gasto",I2049="Transferencia",I2049="Pago tarjeta"),-1,1)*O2049,0)+IF(AND(U2049&lt;&gt;"",IFERROR(INDEX(ctaLiq,MATCH(G2049,ctaNom,0))="Sí",FALSE)),O2049,0))</f>
        <v/>
      </c>
      <c r="W2049" s="19">
        <f>IF(OR(F2049="",I2049=""),"",IF(COUNTIFS(F$6:F2049,F2049,I$6:I2049,"?*")=1,MAX(W$5:W2048)+1,""))</f>
        <v/>
      </c>
    </row>
    <row r="2050">
      <c r="B2050" s="15" t="n"/>
      <c r="C2050" s="16" t="n"/>
      <c r="D2050" s="17" t="n"/>
      <c r="E2050" s="17" t="n"/>
      <c r="F2050" s="17" t="n"/>
      <c r="G2050" s="17" t="n"/>
      <c r="H2050" s="18">
        <f>IF(AND(B2050="",C2050="",D2050="",E2050=""),"",IF(B2050="","⚠ Falta fecha",IF(C2050="","⚠ Falta monto",IF(D2050="","⚠ Falta categoría",IF(ISNA(MATCH(D2050,catNom,0)),"⚠ Categoría no existe",IF(E2050="","⚠ Falta cuenta",IF(ISNA(MATCH(E2050,ctaNom,0)),"⚠ Cuenta no existe",IF(AND(OR(I2050="Transferencia",I2050="Pago tarjeta"),G2050=""),"⚠ Indica la cuenta «Hacia»",IF(AND(G2050&lt;&gt;"",G2050=E2050),"⚠ «Hacia» igual a la cuenta",IF(AND(G2050&lt;&gt;"",ISNA(MATCH(G2050,ctaNom,0))),"⚠ «Hacia» no existe",IF(AND(I2050="Pago tarjeta",IFERROR(INDEX(ctaTipo,MATCH(G2050,ctaNom,0)),"")&lt;&gt;"Tarjeta de crédito"),"⚠ «Hacia» debe ser la tarjeta",IF(AND(I2050="Trading",IFERROR(INDEX(ctaTipo,MATCH(E2050,ctaNom,0)),"")&lt;&gt;"Cuenta de trading"),"⚠ Usa la cuenta de trading","✓"))))))))))))</f>
        <v/>
      </c>
      <c r="I2050" s="19">
        <f>IF(OR(B2050="",C2050="",D2050=""),"",IFERROR(INDEX(catTipo,MATCH(D2050,catNom,0))&amp;"",""))</f>
        <v/>
      </c>
      <c r="J2050" s="19">
        <f>IF(I2050="","",IFERROR(INDEX(catGrupo,MATCH(D2050,catNom,0))&amp;"",""))</f>
        <v/>
      </c>
      <c r="K2050" s="19">
        <f>IF(I2050="Gasto",IF(IFERROR(INDEX(catClas,MATCH(D2050,catNom,0))&amp;"","")="","Variable",IFERROR(INDEX(catClas,MATCH(D2050,catNom,0))&amp;"","")),"")</f>
        <v/>
      </c>
      <c r="L2050" s="19">
        <f>IF(I2050="","",IFERROR(INDEX(catAlim,MATCH(D2050,catNom,0))&amp;"",""))</f>
        <v/>
      </c>
      <c r="M2050" s="19">
        <f>IF(I2050="","",IFERROR(INDEX(catComida,MATCH(D2050,catNom,0))&amp;"",""))</f>
        <v/>
      </c>
      <c r="N2050" s="19">
        <f>IF(I2050="","",IFERROR(INDEX(ctaMon,MATCH(E2050,ctaNom,0))&amp;"","DOP"))</f>
        <v/>
      </c>
      <c r="O2050" s="20">
        <f>IF(I2050="","",C2050*IF(N2050="USD",TasaUSD,1))</f>
        <v/>
      </c>
      <c r="P2050" s="20">
        <f>IF(I2050="","",IF(I2050="Gasto",O2050,0))</f>
        <v/>
      </c>
      <c r="Q2050" s="20">
        <f>IF(I2050="","",IF(I2050="Ingreso",O2050,0))</f>
        <v/>
      </c>
      <c r="R2050" s="20">
        <f>IF(I2050="","",IF(I2050="Trading",O2050,0))</f>
        <v/>
      </c>
      <c r="S2050" s="19">
        <f>IF(I2050="","",IF(AND(I2050="Gasto",K2050="Variable",J2050&lt;&gt;"Trading",O2050&gt;0,O2050&lt;=Umbral),1,0))</f>
        <v/>
      </c>
      <c r="T2050" s="20">
        <f>IF(OR(I2050="",E2050=""),"",IF(OR(I2050="Gasto",I2050="Transferencia",I2050="Pago tarjeta"),-1,1)*C2050)</f>
        <v/>
      </c>
      <c r="U2050" s="20">
        <f>IF(OR(G2050="",AND(I2050&lt;&gt;"Transferencia",I2050&lt;&gt;"Pago tarjeta")),"",IF(IFERROR(INDEX(ctaMon,MATCH(G2050,ctaNom,0))&amp;"","DOP")=N2050,C2050,IF(N2050="USD",C2050*TasaUSD,C2050/TasaUSD)))</f>
        <v/>
      </c>
      <c r="V2050" s="20">
        <f>IF(I2050="","",IF(IFERROR(INDEX(ctaLiq,MATCH(E2050,ctaNom,0))="Sí",FALSE),IF(OR(I2050="Gasto",I2050="Transferencia",I2050="Pago tarjeta"),-1,1)*O2050,0)+IF(AND(U2050&lt;&gt;"",IFERROR(INDEX(ctaLiq,MATCH(G2050,ctaNom,0))="Sí",FALSE)),O2050,0))</f>
        <v/>
      </c>
      <c r="W2050" s="19">
        <f>IF(OR(F2050="",I2050=""),"",IF(COUNTIFS(F$6:F2050,F2050,I$6:I2050,"?*")=1,MAX(W$5:W2049)+1,""))</f>
        <v/>
      </c>
    </row>
    <row r="2051">
      <c r="B2051" s="15" t="n"/>
      <c r="C2051" s="16" t="n"/>
      <c r="D2051" s="17" t="n"/>
      <c r="E2051" s="17" t="n"/>
      <c r="F2051" s="17" t="n"/>
      <c r="G2051" s="17" t="n"/>
      <c r="H2051" s="18">
        <f>IF(AND(B2051="",C2051="",D2051="",E2051=""),"",IF(B2051="","⚠ Falta fecha",IF(C2051="","⚠ Falta monto",IF(D2051="","⚠ Falta categoría",IF(ISNA(MATCH(D2051,catNom,0)),"⚠ Categoría no existe",IF(E2051="","⚠ Falta cuenta",IF(ISNA(MATCH(E2051,ctaNom,0)),"⚠ Cuenta no existe",IF(AND(OR(I2051="Transferencia",I2051="Pago tarjeta"),G2051=""),"⚠ Indica la cuenta «Hacia»",IF(AND(G2051&lt;&gt;"",G2051=E2051),"⚠ «Hacia» igual a la cuenta",IF(AND(G2051&lt;&gt;"",ISNA(MATCH(G2051,ctaNom,0))),"⚠ «Hacia» no existe",IF(AND(I2051="Pago tarjeta",IFERROR(INDEX(ctaTipo,MATCH(G2051,ctaNom,0)),"")&lt;&gt;"Tarjeta de crédito"),"⚠ «Hacia» debe ser la tarjeta",IF(AND(I2051="Trading",IFERROR(INDEX(ctaTipo,MATCH(E2051,ctaNom,0)),"")&lt;&gt;"Cuenta de trading"),"⚠ Usa la cuenta de trading","✓"))))))))))))</f>
        <v/>
      </c>
      <c r="I2051" s="19">
        <f>IF(OR(B2051="",C2051="",D2051=""),"",IFERROR(INDEX(catTipo,MATCH(D2051,catNom,0))&amp;"",""))</f>
        <v/>
      </c>
      <c r="J2051" s="19">
        <f>IF(I2051="","",IFERROR(INDEX(catGrupo,MATCH(D2051,catNom,0))&amp;"",""))</f>
        <v/>
      </c>
      <c r="K2051" s="19">
        <f>IF(I2051="Gasto",IF(IFERROR(INDEX(catClas,MATCH(D2051,catNom,0))&amp;"","")="","Variable",IFERROR(INDEX(catClas,MATCH(D2051,catNom,0))&amp;"","")),"")</f>
        <v/>
      </c>
      <c r="L2051" s="19">
        <f>IF(I2051="","",IFERROR(INDEX(catAlim,MATCH(D2051,catNom,0))&amp;"",""))</f>
        <v/>
      </c>
      <c r="M2051" s="19">
        <f>IF(I2051="","",IFERROR(INDEX(catComida,MATCH(D2051,catNom,0))&amp;"",""))</f>
        <v/>
      </c>
      <c r="N2051" s="19">
        <f>IF(I2051="","",IFERROR(INDEX(ctaMon,MATCH(E2051,ctaNom,0))&amp;"","DOP"))</f>
        <v/>
      </c>
      <c r="O2051" s="20">
        <f>IF(I2051="","",C2051*IF(N2051="USD",TasaUSD,1))</f>
        <v/>
      </c>
      <c r="P2051" s="20">
        <f>IF(I2051="","",IF(I2051="Gasto",O2051,0))</f>
        <v/>
      </c>
      <c r="Q2051" s="20">
        <f>IF(I2051="","",IF(I2051="Ingreso",O2051,0))</f>
        <v/>
      </c>
      <c r="R2051" s="20">
        <f>IF(I2051="","",IF(I2051="Trading",O2051,0))</f>
        <v/>
      </c>
      <c r="S2051" s="19">
        <f>IF(I2051="","",IF(AND(I2051="Gasto",K2051="Variable",J2051&lt;&gt;"Trading",O2051&gt;0,O2051&lt;=Umbral),1,0))</f>
        <v/>
      </c>
      <c r="T2051" s="20">
        <f>IF(OR(I2051="",E2051=""),"",IF(OR(I2051="Gasto",I2051="Transferencia",I2051="Pago tarjeta"),-1,1)*C2051)</f>
        <v/>
      </c>
      <c r="U2051" s="20">
        <f>IF(OR(G2051="",AND(I2051&lt;&gt;"Transferencia",I2051&lt;&gt;"Pago tarjeta")),"",IF(IFERROR(INDEX(ctaMon,MATCH(G2051,ctaNom,0))&amp;"","DOP")=N2051,C2051,IF(N2051="USD",C2051*TasaUSD,C2051/TasaUSD)))</f>
        <v/>
      </c>
      <c r="V2051" s="20">
        <f>IF(I2051="","",IF(IFERROR(INDEX(ctaLiq,MATCH(E2051,ctaNom,0))="Sí",FALSE),IF(OR(I2051="Gasto",I2051="Transferencia",I2051="Pago tarjeta"),-1,1)*O2051,0)+IF(AND(U2051&lt;&gt;"",IFERROR(INDEX(ctaLiq,MATCH(G2051,ctaNom,0))="Sí",FALSE)),O2051,0))</f>
        <v/>
      </c>
      <c r="W2051" s="19">
        <f>IF(OR(F2051="",I2051=""),"",IF(COUNTIFS(F$6:F2051,F2051,I$6:I2051,"?*")=1,MAX(W$5:W2050)+1,""))</f>
        <v/>
      </c>
    </row>
    <row r="2052">
      <c r="B2052" s="15" t="n"/>
      <c r="C2052" s="16" t="n"/>
      <c r="D2052" s="17" t="n"/>
      <c r="E2052" s="17" t="n"/>
      <c r="F2052" s="17" t="n"/>
      <c r="G2052" s="17" t="n"/>
      <c r="H2052" s="18">
        <f>IF(AND(B2052="",C2052="",D2052="",E2052=""),"",IF(B2052="","⚠ Falta fecha",IF(C2052="","⚠ Falta monto",IF(D2052="","⚠ Falta categoría",IF(ISNA(MATCH(D2052,catNom,0)),"⚠ Categoría no existe",IF(E2052="","⚠ Falta cuenta",IF(ISNA(MATCH(E2052,ctaNom,0)),"⚠ Cuenta no existe",IF(AND(OR(I2052="Transferencia",I2052="Pago tarjeta"),G2052=""),"⚠ Indica la cuenta «Hacia»",IF(AND(G2052&lt;&gt;"",G2052=E2052),"⚠ «Hacia» igual a la cuenta",IF(AND(G2052&lt;&gt;"",ISNA(MATCH(G2052,ctaNom,0))),"⚠ «Hacia» no existe",IF(AND(I2052="Pago tarjeta",IFERROR(INDEX(ctaTipo,MATCH(G2052,ctaNom,0)),"")&lt;&gt;"Tarjeta de crédito"),"⚠ «Hacia» debe ser la tarjeta",IF(AND(I2052="Trading",IFERROR(INDEX(ctaTipo,MATCH(E2052,ctaNom,0)),"")&lt;&gt;"Cuenta de trading"),"⚠ Usa la cuenta de trading","✓"))))))))))))</f>
        <v/>
      </c>
      <c r="I2052" s="19">
        <f>IF(OR(B2052="",C2052="",D2052=""),"",IFERROR(INDEX(catTipo,MATCH(D2052,catNom,0))&amp;"",""))</f>
        <v/>
      </c>
      <c r="J2052" s="19">
        <f>IF(I2052="","",IFERROR(INDEX(catGrupo,MATCH(D2052,catNom,0))&amp;"",""))</f>
        <v/>
      </c>
      <c r="K2052" s="19">
        <f>IF(I2052="Gasto",IF(IFERROR(INDEX(catClas,MATCH(D2052,catNom,0))&amp;"","")="","Variable",IFERROR(INDEX(catClas,MATCH(D2052,catNom,0))&amp;"","")),"")</f>
        <v/>
      </c>
      <c r="L2052" s="19">
        <f>IF(I2052="","",IFERROR(INDEX(catAlim,MATCH(D2052,catNom,0))&amp;"",""))</f>
        <v/>
      </c>
      <c r="M2052" s="19">
        <f>IF(I2052="","",IFERROR(INDEX(catComida,MATCH(D2052,catNom,0))&amp;"",""))</f>
        <v/>
      </c>
      <c r="N2052" s="19">
        <f>IF(I2052="","",IFERROR(INDEX(ctaMon,MATCH(E2052,ctaNom,0))&amp;"","DOP"))</f>
        <v/>
      </c>
      <c r="O2052" s="20">
        <f>IF(I2052="","",C2052*IF(N2052="USD",TasaUSD,1))</f>
        <v/>
      </c>
      <c r="P2052" s="20">
        <f>IF(I2052="","",IF(I2052="Gasto",O2052,0))</f>
        <v/>
      </c>
      <c r="Q2052" s="20">
        <f>IF(I2052="","",IF(I2052="Ingreso",O2052,0))</f>
        <v/>
      </c>
      <c r="R2052" s="20">
        <f>IF(I2052="","",IF(I2052="Trading",O2052,0))</f>
        <v/>
      </c>
      <c r="S2052" s="19">
        <f>IF(I2052="","",IF(AND(I2052="Gasto",K2052="Variable",J2052&lt;&gt;"Trading",O2052&gt;0,O2052&lt;=Umbral),1,0))</f>
        <v/>
      </c>
      <c r="T2052" s="20">
        <f>IF(OR(I2052="",E2052=""),"",IF(OR(I2052="Gasto",I2052="Transferencia",I2052="Pago tarjeta"),-1,1)*C2052)</f>
        <v/>
      </c>
      <c r="U2052" s="20">
        <f>IF(OR(G2052="",AND(I2052&lt;&gt;"Transferencia",I2052&lt;&gt;"Pago tarjeta")),"",IF(IFERROR(INDEX(ctaMon,MATCH(G2052,ctaNom,0))&amp;"","DOP")=N2052,C2052,IF(N2052="USD",C2052*TasaUSD,C2052/TasaUSD)))</f>
        <v/>
      </c>
      <c r="V2052" s="20">
        <f>IF(I2052="","",IF(IFERROR(INDEX(ctaLiq,MATCH(E2052,ctaNom,0))="Sí",FALSE),IF(OR(I2052="Gasto",I2052="Transferencia",I2052="Pago tarjeta"),-1,1)*O2052,0)+IF(AND(U2052&lt;&gt;"",IFERROR(INDEX(ctaLiq,MATCH(G2052,ctaNom,0))="Sí",FALSE)),O2052,0))</f>
        <v/>
      </c>
      <c r="W2052" s="19">
        <f>IF(OR(F2052="",I2052=""),"",IF(COUNTIFS(F$6:F2052,F2052,I$6:I2052,"?*")=1,MAX(W$5:W2051)+1,""))</f>
        <v/>
      </c>
    </row>
    <row r="2053">
      <c r="B2053" s="15" t="n"/>
      <c r="C2053" s="16" t="n"/>
      <c r="D2053" s="17" t="n"/>
      <c r="E2053" s="17" t="n"/>
      <c r="F2053" s="17" t="n"/>
      <c r="G2053" s="17" t="n"/>
      <c r="H2053" s="18">
        <f>IF(AND(B2053="",C2053="",D2053="",E2053=""),"",IF(B2053="","⚠ Falta fecha",IF(C2053="","⚠ Falta monto",IF(D2053="","⚠ Falta categoría",IF(ISNA(MATCH(D2053,catNom,0)),"⚠ Categoría no existe",IF(E2053="","⚠ Falta cuenta",IF(ISNA(MATCH(E2053,ctaNom,0)),"⚠ Cuenta no existe",IF(AND(OR(I2053="Transferencia",I2053="Pago tarjeta"),G2053=""),"⚠ Indica la cuenta «Hacia»",IF(AND(G2053&lt;&gt;"",G2053=E2053),"⚠ «Hacia» igual a la cuenta",IF(AND(G2053&lt;&gt;"",ISNA(MATCH(G2053,ctaNom,0))),"⚠ «Hacia» no existe",IF(AND(I2053="Pago tarjeta",IFERROR(INDEX(ctaTipo,MATCH(G2053,ctaNom,0)),"")&lt;&gt;"Tarjeta de crédito"),"⚠ «Hacia» debe ser la tarjeta",IF(AND(I2053="Trading",IFERROR(INDEX(ctaTipo,MATCH(E2053,ctaNom,0)),"")&lt;&gt;"Cuenta de trading"),"⚠ Usa la cuenta de trading","✓"))))))))))))</f>
        <v/>
      </c>
      <c r="I2053" s="19">
        <f>IF(OR(B2053="",C2053="",D2053=""),"",IFERROR(INDEX(catTipo,MATCH(D2053,catNom,0))&amp;"",""))</f>
        <v/>
      </c>
      <c r="J2053" s="19">
        <f>IF(I2053="","",IFERROR(INDEX(catGrupo,MATCH(D2053,catNom,0))&amp;"",""))</f>
        <v/>
      </c>
      <c r="K2053" s="19">
        <f>IF(I2053="Gasto",IF(IFERROR(INDEX(catClas,MATCH(D2053,catNom,0))&amp;"","")="","Variable",IFERROR(INDEX(catClas,MATCH(D2053,catNom,0))&amp;"","")),"")</f>
        <v/>
      </c>
      <c r="L2053" s="19">
        <f>IF(I2053="","",IFERROR(INDEX(catAlim,MATCH(D2053,catNom,0))&amp;"",""))</f>
        <v/>
      </c>
      <c r="M2053" s="19">
        <f>IF(I2053="","",IFERROR(INDEX(catComida,MATCH(D2053,catNom,0))&amp;"",""))</f>
        <v/>
      </c>
      <c r="N2053" s="19">
        <f>IF(I2053="","",IFERROR(INDEX(ctaMon,MATCH(E2053,ctaNom,0))&amp;"","DOP"))</f>
        <v/>
      </c>
      <c r="O2053" s="20">
        <f>IF(I2053="","",C2053*IF(N2053="USD",TasaUSD,1))</f>
        <v/>
      </c>
      <c r="P2053" s="20">
        <f>IF(I2053="","",IF(I2053="Gasto",O2053,0))</f>
        <v/>
      </c>
      <c r="Q2053" s="20">
        <f>IF(I2053="","",IF(I2053="Ingreso",O2053,0))</f>
        <v/>
      </c>
      <c r="R2053" s="20">
        <f>IF(I2053="","",IF(I2053="Trading",O2053,0))</f>
        <v/>
      </c>
      <c r="S2053" s="19">
        <f>IF(I2053="","",IF(AND(I2053="Gasto",K2053="Variable",J2053&lt;&gt;"Trading",O2053&gt;0,O2053&lt;=Umbral),1,0))</f>
        <v/>
      </c>
      <c r="T2053" s="20">
        <f>IF(OR(I2053="",E2053=""),"",IF(OR(I2053="Gasto",I2053="Transferencia",I2053="Pago tarjeta"),-1,1)*C2053)</f>
        <v/>
      </c>
      <c r="U2053" s="20">
        <f>IF(OR(G2053="",AND(I2053&lt;&gt;"Transferencia",I2053&lt;&gt;"Pago tarjeta")),"",IF(IFERROR(INDEX(ctaMon,MATCH(G2053,ctaNom,0))&amp;"","DOP")=N2053,C2053,IF(N2053="USD",C2053*TasaUSD,C2053/TasaUSD)))</f>
        <v/>
      </c>
      <c r="V2053" s="20">
        <f>IF(I2053="","",IF(IFERROR(INDEX(ctaLiq,MATCH(E2053,ctaNom,0))="Sí",FALSE),IF(OR(I2053="Gasto",I2053="Transferencia",I2053="Pago tarjeta"),-1,1)*O2053,0)+IF(AND(U2053&lt;&gt;"",IFERROR(INDEX(ctaLiq,MATCH(G2053,ctaNom,0))="Sí",FALSE)),O2053,0))</f>
        <v/>
      </c>
      <c r="W2053" s="19">
        <f>IF(OR(F2053="",I2053=""),"",IF(COUNTIFS(F$6:F2053,F2053,I$6:I2053,"?*")=1,MAX(W$5:W2052)+1,""))</f>
        <v/>
      </c>
    </row>
    <row r="2054">
      <c r="B2054" s="15" t="n"/>
      <c r="C2054" s="16" t="n"/>
      <c r="D2054" s="17" t="n"/>
      <c r="E2054" s="17" t="n"/>
      <c r="F2054" s="17" t="n"/>
      <c r="G2054" s="17" t="n"/>
      <c r="H2054" s="18">
        <f>IF(AND(B2054="",C2054="",D2054="",E2054=""),"",IF(B2054="","⚠ Falta fecha",IF(C2054="","⚠ Falta monto",IF(D2054="","⚠ Falta categoría",IF(ISNA(MATCH(D2054,catNom,0)),"⚠ Categoría no existe",IF(E2054="","⚠ Falta cuenta",IF(ISNA(MATCH(E2054,ctaNom,0)),"⚠ Cuenta no existe",IF(AND(OR(I2054="Transferencia",I2054="Pago tarjeta"),G2054=""),"⚠ Indica la cuenta «Hacia»",IF(AND(G2054&lt;&gt;"",G2054=E2054),"⚠ «Hacia» igual a la cuenta",IF(AND(G2054&lt;&gt;"",ISNA(MATCH(G2054,ctaNom,0))),"⚠ «Hacia» no existe",IF(AND(I2054="Pago tarjeta",IFERROR(INDEX(ctaTipo,MATCH(G2054,ctaNom,0)),"")&lt;&gt;"Tarjeta de crédito"),"⚠ «Hacia» debe ser la tarjeta",IF(AND(I2054="Trading",IFERROR(INDEX(ctaTipo,MATCH(E2054,ctaNom,0)),"")&lt;&gt;"Cuenta de trading"),"⚠ Usa la cuenta de trading","✓"))))))))))))</f>
        <v/>
      </c>
      <c r="I2054" s="19">
        <f>IF(OR(B2054="",C2054="",D2054=""),"",IFERROR(INDEX(catTipo,MATCH(D2054,catNom,0))&amp;"",""))</f>
        <v/>
      </c>
      <c r="J2054" s="19">
        <f>IF(I2054="","",IFERROR(INDEX(catGrupo,MATCH(D2054,catNom,0))&amp;"",""))</f>
        <v/>
      </c>
      <c r="K2054" s="19">
        <f>IF(I2054="Gasto",IF(IFERROR(INDEX(catClas,MATCH(D2054,catNom,0))&amp;"","")="","Variable",IFERROR(INDEX(catClas,MATCH(D2054,catNom,0))&amp;"","")),"")</f>
        <v/>
      </c>
      <c r="L2054" s="19">
        <f>IF(I2054="","",IFERROR(INDEX(catAlim,MATCH(D2054,catNom,0))&amp;"",""))</f>
        <v/>
      </c>
      <c r="M2054" s="19">
        <f>IF(I2054="","",IFERROR(INDEX(catComida,MATCH(D2054,catNom,0))&amp;"",""))</f>
        <v/>
      </c>
      <c r="N2054" s="19">
        <f>IF(I2054="","",IFERROR(INDEX(ctaMon,MATCH(E2054,ctaNom,0))&amp;"","DOP"))</f>
        <v/>
      </c>
      <c r="O2054" s="20">
        <f>IF(I2054="","",C2054*IF(N2054="USD",TasaUSD,1))</f>
        <v/>
      </c>
      <c r="P2054" s="20">
        <f>IF(I2054="","",IF(I2054="Gasto",O2054,0))</f>
        <v/>
      </c>
      <c r="Q2054" s="20">
        <f>IF(I2054="","",IF(I2054="Ingreso",O2054,0))</f>
        <v/>
      </c>
      <c r="R2054" s="20">
        <f>IF(I2054="","",IF(I2054="Trading",O2054,0))</f>
        <v/>
      </c>
      <c r="S2054" s="19">
        <f>IF(I2054="","",IF(AND(I2054="Gasto",K2054="Variable",J2054&lt;&gt;"Trading",O2054&gt;0,O2054&lt;=Umbral),1,0))</f>
        <v/>
      </c>
      <c r="T2054" s="20">
        <f>IF(OR(I2054="",E2054=""),"",IF(OR(I2054="Gasto",I2054="Transferencia",I2054="Pago tarjeta"),-1,1)*C2054)</f>
        <v/>
      </c>
      <c r="U2054" s="20">
        <f>IF(OR(G2054="",AND(I2054&lt;&gt;"Transferencia",I2054&lt;&gt;"Pago tarjeta")),"",IF(IFERROR(INDEX(ctaMon,MATCH(G2054,ctaNom,0))&amp;"","DOP")=N2054,C2054,IF(N2054="USD",C2054*TasaUSD,C2054/TasaUSD)))</f>
        <v/>
      </c>
      <c r="V2054" s="20">
        <f>IF(I2054="","",IF(IFERROR(INDEX(ctaLiq,MATCH(E2054,ctaNom,0))="Sí",FALSE),IF(OR(I2054="Gasto",I2054="Transferencia",I2054="Pago tarjeta"),-1,1)*O2054,0)+IF(AND(U2054&lt;&gt;"",IFERROR(INDEX(ctaLiq,MATCH(G2054,ctaNom,0))="Sí",FALSE)),O2054,0))</f>
        <v/>
      </c>
      <c r="W2054" s="19">
        <f>IF(OR(F2054="",I2054=""),"",IF(COUNTIFS(F$6:F2054,F2054,I$6:I2054,"?*")=1,MAX(W$5:W2053)+1,""))</f>
        <v/>
      </c>
    </row>
    <row r="2055">
      <c r="B2055" s="15" t="n"/>
      <c r="C2055" s="16" t="n"/>
      <c r="D2055" s="17" t="n"/>
      <c r="E2055" s="17" t="n"/>
      <c r="F2055" s="17" t="n"/>
      <c r="G2055" s="17" t="n"/>
      <c r="H2055" s="18">
        <f>IF(AND(B2055="",C2055="",D2055="",E2055=""),"",IF(B2055="","⚠ Falta fecha",IF(C2055="","⚠ Falta monto",IF(D2055="","⚠ Falta categoría",IF(ISNA(MATCH(D2055,catNom,0)),"⚠ Categoría no existe",IF(E2055="","⚠ Falta cuenta",IF(ISNA(MATCH(E2055,ctaNom,0)),"⚠ Cuenta no existe",IF(AND(OR(I2055="Transferencia",I2055="Pago tarjeta"),G2055=""),"⚠ Indica la cuenta «Hacia»",IF(AND(G2055&lt;&gt;"",G2055=E2055),"⚠ «Hacia» igual a la cuenta",IF(AND(G2055&lt;&gt;"",ISNA(MATCH(G2055,ctaNom,0))),"⚠ «Hacia» no existe",IF(AND(I2055="Pago tarjeta",IFERROR(INDEX(ctaTipo,MATCH(G2055,ctaNom,0)),"")&lt;&gt;"Tarjeta de crédito"),"⚠ «Hacia» debe ser la tarjeta",IF(AND(I2055="Trading",IFERROR(INDEX(ctaTipo,MATCH(E2055,ctaNom,0)),"")&lt;&gt;"Cuenta de trading"),"⚠ Usa la cuenta de trading","✓"))))))))))))</f>
        <v/>
      </c>
      <c r="I2055" s="19">
        <f>IF(OR(B2055="",C2055="",D2055=""),"",IFERROR(INDEX(catTipo,MATCH(D2055,catNom,0))&amp;"",""))</f>
        <v/>
      </c>
      <c r="J2055" s="19">
        <f>IF(I2055="","",IFERROR(INDEX(catGrupo,MATCH(D2055,catNom,0))&amp;"",""))</f>
        <v/>
      </c>
      <c r="K2055" s="19">
        <f>IF(I2055="Gasto",IF(IFERROR(INDEX(catClas,MATCH(D2055,catNom,0))&amp;"","")="","Variable",IFERROR(INDEX(catClas,MATCH(D2055,catNom,0))&amp;"","")),"")</f>
        <v/>
      </c>
      <c r="L2055" s="19">
        <f>IF(I2055="","",IFERROR(INDEX(catAlim,MATCH(D2055,catNom,0))&amp;"",""))</f>
        <v/>
      </c>
      <c r="M2055" s="19">
        <f>IF(I2055="","",IFERROR(INDEX(catComida,MATCH(D2055,catNom,0))&amp;"",""))</f>
        <v/>
      </c>
      <c r="N2055" s="19">
        <f>IF(I2055="","",IFERROR(INDEX(ctaMon,MATCH(E2055,ctaNom,0))&amp;"","DOP"))</f>
        <v/>
      </c>
      <c r="O2055" s="20">
        <f>IF(I2055="","",C2055*IF(N2055="USD",TasaUSD,1))</f>
        <v/>
      </c>
      <c r="P2055" s="20">
        <f>IF(I2055="","",IF(I2055="Gasto",O2055,0))</f>
        <v/>
      </c>
      <c r="Q2055" s="20">
        <f>IF(I2055="","",IF(I2055="Ingreso",O2055,0))</f>
        <v/>
      </c>
      <c r="R2055" s="20">
        <f>IF(I2055="","",IF(I2055="Trading",O2055,0))</f>
        <v/>
      </c>
      <c r="S2055" s="19">
        <f>IF(I2055="","",IF(AND(I2055="Gasto",K2055="Variable",J2055&lt;&gt;"Trading",O2055&gt;0,O2055&lt;=Umbral),1,0))</f>
        <v/>
      </c>
      <c r="T2055" s="20">
        <f>IF(OR(I2055="",E2055=""),"",IF(OR(I2055="Gasto",I2055="Transferencia",I2055="Pago tarjeta"),-1,1)*C2055)</f>
        <v/>
      </c>
      <c r="U2055" s="20">
        <f>IF(OR(G2055="",AND(I2055&lt;&gt;"Transferencia",I2055&lt;&gt;"Pago tarjeta")),"",IF(IFERROR(INDEX(ctaMon,MATCH(G2055,ctaNom,0))&amp;"","DOP")=N2055,C2055,IF(N2055="USD",C2055*TasaUSD,C2055/TasaUSD)))</f>
        <v/>
      </c>
      <c r="V2055" s="20">
        <f>IF(I2055="","",IF(IFERROR(INDEX(ctaLiq,MATCH(E2055,ctaNom,0))="Sí",FALSE),IF(OR(I2055="Gasto",I2055="Transferencia",I2055="Pago tarjeta"),-1,1)*O2055,0)+IF(AND(U2055&lt;&gt;"",IFERROR(INDEX(ctaLiq,MATCH(G2055,ctaNom,0))="Sí",FALSE)),O2055,0))</f>
        <v/>
      </c>
      <c r="W2055" s="19">
        <f>IF(OR(F2055="",I2055=""),"",IF(COUNTIFS(F$6:F2055,F2055,I$6:I2055,"?*")=1,MAX(W$5:W2054)+1,""))</f>
        <v/>
      </c>
    </row>
    <row r="2056">
      <c r="B2056" s="15" t="n"/>
      <c r="C2056" s="16" t="n"/>
      <c r="D2056" s="17" t="n"/>
      <c r="E2056" s="17" t="n"/>
      <c r="F2056" s="17" t="n"/>
      <c r="G2056" s="17" t="n"/>
      <c r="H2056" s="18">
        <f>IF(AND(B2056="",C2056="",D2056="",E2056=""),"",IF(B2056="","⚠ Falta fecha",IF(C2056="","⚠ Falta monto",IF(D2056="","⚠ Falta categoría",IF(ISNA(MATCH(D2056,catNom,0)),"⚠ Categoría no existe",IF(E2056="","⚠ Falta cuenta",IF(ISNA(MATCH(E2056,ctaNom,0)),"⚠ Cuenta no existe",IF(AND(OR(I2056="Transferencia",I2056="Pago tarjeta"),G2056=""),"⚠ Indica la cuenta «Hacia»",IF(AND(G2056&lt;&gt;"",G2056=E2056),"⚠ «Hacia» igual a la cuenta",IF(AND(G2056&lt;&gt;"",ISNA(MATCH(G2056,ctaNom,0))),"⚠ «Hacia» no existe",IF(AND(I2056="Pago tarjeta",IFERROR(INDEX(ctaTipo,MATCH(G2056,ctaNom,0)),"")&lt;&gt;"Tarjeta de crédito"),"⚠ «Hacia» debe ser la tarjeta",IF(AND(I2056="Trading",IFERROR(INDEX(ctaTipo,MATCH(E2056,ctaNom,0)),"")&lt;&gt;"Cuenta de trading"),"⚠ Usa la cuenta de trading","✓"))))))))))))</f>
        <v/>
      </c>
      <c r="I2056" s="19">
        <f>IF(OR(B2056="",C2056="",D2056=""),"",IFERROR(INDEX(catTipo,MATCH(D2056,catNom,0))&amp;"",""))</f>
        <v/>
      </c>
      <c r="J2056" s="19">
        <f>IF(I2056="","",IFERROR(INDEX(catGrupo,MATCH(D2056,catNom,0))&amp;"",""))</f>
        <v/>
      </c>
      <c r="K2056" s="19">
        <f>IF(I2056="Gasto",IF(IFERROR(INDEX(catClas,MATCH(D2056,catNom,0))&amp;"","")="","Variable",IFERROR(INDEX(catClas,MATCH(D2056,catNom,0))&amp;"","")),"")</f>
        <v/>
      </c>
      <c r="L2056" s="19">
        <f>IF(I2056="","",IFERROR(INDEX(catAlim,MATCH(D2056,catNom,0))&amp;"",""))</f>
        <v/>
      </c>
      <c r="M2056" s="19">
        <f>IF(I2056="","",IFERROR(INDEX(catComida,MATCH(D2056,catNom,0))&amp;"",""))</f>
        <v/>
      </c>
      <c r="N2056" s="19">
        <f>IF(I2056="","",IFERROR(INDEX(ctaMon,MATCH(E2056,ctaNom,0))&amp;"","DOP"))</f>
        <v/>
      </c>
      <c r="O2056" s="20">
        <f>IF(I2056="","",C2056*IF(N2056="USD",TasaUSD,1))</f>
        <v/>
      </c>
      <c r="P2056" s="20">
        <f>IF(I2056="","",IF(I2056="Gasto",O2056,0))</f>
        <v/>
      </c>
      <c r="Q2056" s="20">
        <f>IF(I2056="","",IF(I2056="Ingreso",O2056,0))</f>
        <v/>
      </c>
      <c r="R2056" s="20">
        <f>IF(I2056="","",IF(I2056="Trading",O2056,0))</f>
        <v/>
      </c>
      <c r="S2056" s="19">
        <f>IF(I2056="","",IF(AND(I2056="Gasto",K2056="Variable",J2056&lt;&gt;"Trading",O2056&gt;0,O2056&lt;=Umbral),1,0))</f>
        <v/>
      </c>
      <c r="T2056" s="20">
        <f>IF(OR(I2056="",E2056=""),"",IF(OR(I2056="Gasto",I2056="Transferencia",I2056="Pago tarjeta"),-1,1)*C2056)</f>
        <v/>
      </c>
      <c r="U2056" s="20">
        <f>IF(OR(G2056="",AND(I2056&lt;&gt;"Transferencia",I2056&lt;&gt;"Pago tarjeta")),"",IF(IFERROR(INDEX(ctaMon,MATCH(G2056,ctaNom,0))&amp;"","DOP")=N2056,C2056,IF(N2056="USD",C2056*TasaUSD,C2056/TasaUSD)))</f>
        <v/>
      </c>
      <c r="V2056" s="20">
        <f>IF(I2056="","",IF(IFERROR(INDEX(ctaLiq,MATCH(E2056,ctaNom,0))="Sí",FALSE),IF(OR(I2056="Gasto",I2056="Transferencia",I2056="Pago tarjeta"),-1,1)*O2056,0)+IF(AND(U2056&lt;&gt;"",IFERROR(INDEX(ctaLiq,MATCH(G2056,ctaNom,0))="Sí",FALSE)),O2056,0))</f>
        <v/>
      </c>
      <c r="W2056" s="19">
        <f>IF(OR(F2056="",I2056=""),"",IF(COUNTIFS(F$6:F2056,F2056,I$6:I2056,"?*")=1,MAX(W$5:W2055)+1,""))</f>
        <v/>
      </c>
    </row>
    <row r="2057">
      <c r="B2057" s="15" t="n"/>
      <c r="C2057" s="16" t="n"/>
      <c r="D2057" s="17" t="n"/>
      <c r="E2057" s="17" t="n"/>
      <c r="F2057" s="17" t="n"/>
      <c r="G2057" s="17" t="n"/>
      <c r="H2057" s="18">
        <f>IF(AND(B2057="",C2057="",D2057="",E2057=""),"",IF(B2057="","⚠ Falta fecha",IF(C2057="","⚠ Falta monto",IF(D2057="","⚠ Falta categoría",IF(ISNA(MATCH(D2057,catNom,0)),"⚠ Categoría no existe",IF(E2057="","⚠ Falta cuenta",IF(ISNA(MATCH(E2057,ctaNom,0)),"⚠ Cuenta no existe",IF(AND(OR(I2057="Transferencia",I2057="Pago tarjeta"),G2057=""),"⚠ Indica la cuenta «Hacia»",IF(AND(G2057&lt;&gt;"",G2057=E2057),"⚠ «Hacia» igual a la cuenta",IF(AND(G2057&lt;&gt;"",ISNA(MATCH(G2057,ctaNom,0))),"⚠ «Hacia» no existe",IF(AND(I2057="Pago tarjeta",IFERROR(INDEX(ctaTipo,MATCH(G2057,ctaNom,0)),"")&lt;&gt;"Tarjeta de crédito"),"⚠ «Hacia» debe ser la tarjeta",IF(AND(I2057="Trading",IFERROR(INDEX(ctaTipo,MATCH(E2057,ctaNom,0)),"")&lt;&gt;"Cuenta de trading"),"⚠ Usa la cuenta de trading","✓"))))))))))))</f>
        <v/>
      </c>
      <c r="I2057" s="19">
        <f>IF(OR(B2057="",C2057="",D2057=""),"",IFERROR(INDEX(catTipo,MATCH(D2057,catNom,0))&amp;"",""))</f>
        <v/>
      </c>
      <c r="J2057" s="19">
        <f>IF(I2057="","",IFERROR(INDEX(catGrupo,MATCH(D2057,catNom,0))&amp;"",""))</f>
        <v/>
      </c>
      <c r="K2057" s="19">
        <f>IF(I2057="Gasto",IF(IFERROR(INDEX(catClas,MATCH(D2057,catNom,0))&amp;"","")="","Variable",IFERROR(INDEX(catClas,MATCH(D2057,catNom,0))&amp;"","")),"")</f>
        <v/>
      </c>
      <c r="L2057" s="19">
        <f>IF(I2057="","",IFERROR(INDEX(catAlim,MATCH(D2057,catNom,0))&amp;"",""))</f>
        <v/>
      </c>
      <c r="M2057" s="19">
        <f>IF(I2057="","",IFERROR(INDEX(catComida,MATCH(D2057,catNom,0))&amp;"",""))</f>
        <v/>
      </c>
      <c r="N2057" s="19">
        <f>IF(I2057="","",IFERROR(INDEX(ctaMon,MATCH(E2057,ctaNom,0))&amp;"","DOP"))</f>
        <v/>
      </c>
      <c r="O2057" s="20">
        <f>IF(I2057="","",C2057*IF(N2057="USD",TasaUSD,1))</f>
        <v/>
      </c>
      <c r="P2057" s="20">
        <f>IF(I2057="","",IF(I2057="Gasto",O2057,0))</f>
        <v/>
      </c>
      <c r="Q2057" s="20">
        <f>IF(I2057="","",IF(I2057="Ingreso",O2057,0))</f>
        <v/>
      </c>
      <c r="R2057" s="20">
        <f>IF(I2057="","",IF(I2057="Trading",O2057,0))</f>
        <v/>
      </c>
      <c r="S2057" s="19">
        <f>IF(I2057="","",IF(AND(I2057="Gasto",K2057="Variable",J2057&lt;&gt;"Trading",O2057&gt;0,O2057&lt;=Umbral),1,0))</f>
        <v/>
      </c>
      <c r="T2057" s="20">
        <f>IF(OR(I2057="",E2057=""),"",IF(OR(I2057="Gasto",I2057="Transferencia",I2057="Pago tarjeta"),-1,1)*C2057)</f>
        <v/>
      </c>
      <c r="U2057" s="20">
        <f>IF(OR(G2057="",AND(I2057&lt;&gt;"Transferencia",I2057&lt;&gt;"Pago tarjeta")),"",IF(IFERROR(INDEX(ctaMon,MATCH(G2057,ctaNom,0))&amp;"","DOP")=N2057,C2057,IF(N2057="USD",C2057*TasaUSD,C2057/TasaUSD)))</f>
        <v/>
      </c>
      <c r="V2057" s="20">
        <f>IF(I2057="","",IF(IFERROR(INDEX(ctaLiq,MATCH(E2057,ctaNom,0))="Sí",FALSE),IF(OR(I2057="Gasto",I2057="Transferencia",I2057="Pago tarjeta"),-1,1)*O2057,0)+IF(AND(U2057&lt;&gt;"",IFERROR(INDEX(ctaLiq,MATCH(G2057,ctaNom,0))="Sí",FALSE)),O2057,0))</f>
        <v/>
      </c>
      <c r="W2057" s="19">
        <f>IF(OR(F2057="",I2057=""),"",IF(COUNTIFS(F$6:F2057,F2057,I$6:I2057,"?*")=1,MAX(W$5:W2056)+1,""))</f>
        <v/>
      </c>
    </row>
    <row r="2058">
      <c r="B2058" s="15" t="n"/>
      <c r="C2058" s="16" t="n"/>
      <c r="D2058" s="17" t="n"/>
      <c r="E2058" s="17" t="n"/>
      <c r="F2058" s="17" t="n"/>
      <c r="G2058" s="17" t="n"/>
      <c r="H2058" s="18">
        <f>IF(AND(B2058="",C2058="",D2058="",E2058=""),"",IF(B2058="","⚠ Falta fecha",IF(C2058="","⚠ Falta monto",IF(D2058="","⚠ Falta categoría",IF(ISNA(MATCH(D2058,catNom,0)),"⚠ Categoría no existe",IF(E2058="","⚠ Falta cuenta",IF(ISNA(MATCH(E2058,ctaNom,0)),"⚠ Cuenta no existe",IF(AND(OR(I2058="Transferencia",I2058="Pago tarjeta"),G2058=""),"⚠ Indica la cuenta «Hacia»",IF(AND(G2058&lt;&gt;"",G2058=E2058),"⚠ «Hacia» igual a la cuenta",IF(AND(G2058&lt;&gt;"",ISNA(MATCH(G2058,ctaNom,0))),"⚠ «Hacia» no existe",IF(AND(I2058="Pago tarjeta",IFERROR(INDEX(ctaTipo,MATCH(G2058,ctaNom,0)),"")&lt;&gt;"Tarjeta de crédito"),"⚠ «Hacia» debe ser la tarjeta",IF(AND(I2058="Trading",IFERROR(INDEX(ctaTipo,MATCH(E2058,ctaNom,0)),"")&lt;&gt;"Cuenta de trading"),"⚠ Usa la cuenta de trading","✓"))))))))))))</f>
        <v/>
      </c>
      <c r="I2058" s="19">
        <f>IF(OR(B2058="",C2058="",D2058=""),"",IFERROR(INDEX(catTipo,MATCH(D2058,catNom,0))&amp;"",""))</f>
        <v/>
      </c>
      <c r="J2058" s="19">
        <f>IF(I2058="","",IFERROR(INDEX(catGrupo,MATCH(D2058,catNom,0))&amp;"",""))</f>
        <v/>
      </c>
      <c r="K2058" s="19">
        <f>IF(I2058="Gasto",IF(IFERROR(INDEX(catClas,MATCH(D2058,catNom,0))&amp;"","")="","Variable",IFERROR(INDEX(catClas,MATCH(D2058,catNom,0))&amp;"","")),"")</f>
        <v/>
      </c>
      <c r="L2058" s="19">
        <f>IF(I2058="","",IFERROR(INDEX(catAlim,MATCH(D2058,catNom,0))&amp;"",""))</f>
        <v/>
      </c>
      <c r="M2058" s="19">
        <f>IF(I2058="","",IFERROR(INDEX(catComida,MATCH(D2058,catNom,0))&amp;"",""))</f>
        <v/>
      </c>
      <c r="N2058" s="19">
        <f>IF(I2058="","",IFERROR(INDEX(ctaMon,MATCH(E2058,ctaNom,0))&amp;"","DOP"))</f>
        <v/>
      </c>
      <c r="O2058" s="20">
        <f>IF(I2058="","",C2058*IF(N2058="USD",TasaUSD,1))</f>
        <v/>
      </c>
      <c r="P2058" s="20">
        <f>IF(I2058="","",IF(I2058="Gasto",O2058,0))</f>
        <v/>
      </c>
      <c r="Q2058" s="20">
        <f>IF(I2058="","",IF(I2058="Ingreso",O2058,0))</f>
        <v/>
      </c>
      <c r="R2058" s="20">
        <f>IF(I2058="","",IF(I2058="Trading",O2058,0))</f>
        <v/>
      </c>
      <c r="S2058" s="19">
        <f>IF(I2058="","",IF(AND(I2058="Gasto",K2058="Variable",J2058&lt;&gt;"Trading",O2058&gt;0,O2058&lt;=Umbral),1,0))</f>
        <v/>
      </c>
      <c r="T2058" s="20">
        <f>IF(OR(I2058="",E2058=""),"",IF(OR(I2058="Gasto",I2058="Transferencia",I2058="Pago tarjeta"),-1,1)*C2058)</f>
        <v/>
      </c>
      <c r="U2058" s="20">
        <f>IF(OR(G2058="",AND(I2058&lt;&gt;"Transferencia",I2058&lt;&gt;"Pago tarjeta")),"",IF(IFERROR(INDEX(ctaMon,MATCH(G2058,ctaNom,0))&amp;"","DOP")=N2058,C2058,IF(N2058="USD",C2058*TasaUSD,C2058/TasaUSD)))</f>
        <v/>
      </c>
      <c r="V2058" s="20">
        <f>IF(I2058="","",IF(IFERROR(INDEX(ctaLiq,MATCH(E2058,ctaNom,0))="Sí",FALSE),IF(OR(I2058="Gasto",I2058="Transferencia",I2058="Pago tarjeta"),-1,1)*O2058,0)+IF(AND(U2058&lt;&gt;"",IFERROR(INDEX(ctaLiq,MATCH(G2058,ctaNom,0))="Sí",FALSE)),O2058,0))</f>
        <v/>
      </c>
      <c r="W2058" s="19">
        <f>IF(OR(F2058="",I2058=""),"",IF(COUNTIFS(F$6:F2058,F2058,I$6:I2058,"?*")=1,MAX(W$5:W2057)+1,""))</f>
        <v/>
      </c>
    </row>
    <row r="2059">
      <c r="B2059" s="15" t="n"/>
      <c r="C2059" s="16" t="n"/>
      <c r="D2059" s="17" t="n"/>
      <c r="E2059" s="17" t="n"/>
      <c r="F2059" s="17" t="n"/>
      <c r="G2059" s="17" t="n"/>
      <c r="H2059" s="18">
        <f>IF(AND(B2059="",C2059="",D2059="",E2059=""),"",IF(B2059="","⚠ Falta fecha",IF(C2059="","⚠ Falta monto",IF(D2059="","⚠ Falta categoría",IF(ISNA(MATCH(D2059,catNom,0)),"⚠ Categoría no existe",IF(E2059="","⚠ Falta cuenta",IF(ISNA(MATCH(E2059,ctaNom,0)),"⚠ Cuenta no existe",IF(AND(OR(I2059="Transferencia",I2059="Pago tarjeta"),G2059=""),"⚠ Indica la cuenta «Hacia»",IF(AND(G2059&lt;&gt;"",G2059=E2059),"⚠ «Hacia» igual a la cuenta",IF(AND(G2059&lt;&gt;"",ISNA(MATCH(G2059,ctaNom,0))),"⚠ «Hacia» no existe",IF(AND(I2059="Pago tarjeta",IFERROR(INDEX(ctaTipo,MATCH(G2059,ctaNom,0)),"")&lt;&gt;"Tarjeta de crédito"),"⚠ «Hacia» debe ser la tarjeta",IF(AND(I2059="Trading",IFERROR(INDEX(ctaTipo,MATCH(E2059,ctaNom,0)),"")&lt;&gt;"Cuenta de trading"),"⚠ Usa la cuenta de trading","✓"))))))))))))</f>
        <v/>
      </c>
      <c r="I2059" s="19">
        <f>IF(OR(B2059="",C2059="",D2059=""),"",IFERROR(INDEX(catTipo,MATCH(D2059,catNom,0))&amp;"",""))</f>
        <v/>
      </c>
      <c r="J2059" s="19">
        <f>IF(I2059="","",IFERROR(INDEX(catGrupo,MATCH(D2059,catNom,0))&amp;"",""))</f>
        <v/>
      </c>
      <c r="K2059" s="19">
        <f>IF(I2059="Gasto",IF(IFERROR(INDEX(catClas,MATCH(D2059,catNom,0))&amp;"","")="","Variable",IFERROR(INDEX(catClas,MATCH(D2059,catNom,0))&amp;"","")),"")</f>
        <v/>
      </c>
      <c r="L2059" s="19">
        <f>IF(I2059="","",IFERROR(INDEX(catAlim,MATCH(D2059,catNom,0))&amp;"",""))</f>
        <v/>
      </c>
      <c r="M2059" s="19">
        <f>IF(I2059="","",IFERROR(INDEX(catComida,MATCH(D2059,catNom,0))&amp;"",""))</f>
        <v/>
      </c>
      <c r="N2059" s="19">
        <f>IF(I2059="","",IFERROR(INDEX(ctaMon,MATCH(E2059,ctaNom,0))&amp;"","DOP"))</f>
        <v/>
      </c>
      <c r="O2059" s="20">
        <f>IF(I2059="","",C2059*IF(N2059="USD",TasaUSD,1))</f>
        <v/>
      </c>
      <c r="P2059" s="20">
        <f>IF(I2059="","",IF(I2059="Gasto",O2059,0))</f>
        <v/>
      </c>
      <c r="Q2059" s="20">
        <f>IF(I2059="","",IF(I2059="Ingreso",O2059,0))</f>
        <v/>
      </c>
      <c r="R2059" s="20">
        <f>IF(I2059="","",IF(I2059="Trading",O2059,0))</f>
        <v/>
      </c>
      <c r="S2059" s="19">
        <f>IF(I2059="","",IF(AND(I2059="Gasto",K2059="Variable",J2059&lt;&gt;"Trading",O2059&gt;0,O2059&lt;=Umbral),1,0))</f>
        <v/>
      </c>
      <c r="T2059" s="20">
        <f>IF(OR(I2059="",E2059=""),"",IF(OR(I2059="Gasto",I2059="Transferencia",I2059="Pago tarjeta"),-1,1)*C2059)</f>
        <v/>
      </c>
      <c r="U2059" s="20">
        <f>IF(OR(G2059="",AND(I2059&lt;&gt;"Transferencia",I2059&lt;&gt;"Pago tarjeta")),"",IF(IFERROR(INDEX(ctaMon,MATCH(G2059,ctaNom,0))&amp;"","DOP")=N2059,C2059,IF(N2059="USD",C2059*TasaUSD,C2059/TasaUSD)))</f>
        <v/>
      </c>
      <c r="V2059" s="20">
        <f>IF(I2059="","",IF(IFERROR(INDEX(ctaLiq,MATCH(E2059,ctaNom,0))="Sí",FALSE),IF(OR(I2059="Gasto",I2059="Transferencia",I2059="Pago tarjeta"),-1,1)*O2059,0)+IF(AND(U2059&lt;&gt;"",IFERROR(INDEX(ctaLiq,MATCH(G2059,ctaNom,0))="Sí",FALSE)),O2059,0))</f>
        <v/>
      </c>
      <c r="W2059" s="19">
        <f>IF(OR(F2059="",I2059=""),"",IF(COUNTIFS(F$6:F2059,F2059,I$6:I2059,"?*")=1,MAX(W$5:W2058)+1,""))</f>
        <v/>
      </c>
    </row>
    <row r="2060">
      <c r="B2060" s="15" t="n"/>
      <c r="C2060" s="16" t="n"/>
      <c r="D2060" s="17" t="n"/>
      <c r="E2060" s="17" t="n"/>
      <c r="F2060" s="17" t="n"/>
      <c r="G2060" s="17" t="n"/>
      <c r="H2060" s="18">
        <f>IF(AND(B2060="",C2060="",D2060="",E2060=""),"",IF(B2060="","⚠ Falta fecha",IF(C2060="","⚠ Falta monto",IF(D2060="","⚠ Falta categoría",IF(ISNA(MATCH(D2060,catNom,0)),"⚠ Categoría no existe",IF(E2060="","⚠ Falta cuenta",IF(ISNA(MATCH(E2060,ctaNom,0)),"⚠ Cuenta no existe",IF(AND(OR(I2060="Transferencia",I2060="Pago tarjeta"),G2060=""),"⚠ Indica la cuenta «Hacia»",IF(AND(G2060&lt;&gt;"",G2060=E2060),"⚠ «Hacia» igual a la cuenta",IF(AND(G2060&lt;&gt;"",ISNA(MATCH(G2060,ctaNom,0))),"⚠ «Hacia» no existe",IF(AND(I2060="Pago tarjeta",IFERROR(INDEX(ctaTipo,MATCH(G2060,ctaNom,0)),"")&lt;&gt;"Tarjeta de crédito"),"⚠ «Hacia» debe ser la tarjeta",IF(AND(I2060="Trading",IFERROR(INDEX(ctaTipo,MATCH(E2060,ctaNom,0)),"")&lt;&gt;"Cuenta de trading"),"⚠ Usa la cuenta de trading","✓"))))))))))))</f>
        <v/>
      </c>
      <c r="I2060" s="19">
        <f>IF(OR(B2060="",C2060="",D2060=""),"",IFERROR(INDEX(catTipo,MATCH(D2060,catNom,0))&amp;"",""))</f>
        <v/>
      </c>
      <c r="J2060" s="19">
        <f>IF(I2060="","",IFERROR(INDEX(catGrupo,MATCH(D2060,catNom,0))&amp;"",""))</f>
        <v/>
      </c>
      <c r="K2060" s="19">
        <f>IF(I2060="Gasto",IF(IFERROR(INDEX(catClas,MATCH(D2060,catNom,0))&amp;"","")="","Variable",IFERROR(INDEX(catClas,MATCH(D2060,catNom,0))&amp;"","")),"")</f>
        <v/>
      </c>
      <c r="L2060" s="19">
        <f>IF(I2060="","",IFERROR(INDEX(catAlim,MATCH(D2060,catNom,0))&amp;"",""))</f>
        <v/>
      </c>
      <c r="M2060" s="19">
        <f>IF(I2060="","",IFERROR(INDEX(catComida,MATCH(D2060,catNom,0))&amp;"",""))</f>
        <v/>
      </c>
      <c r="N2060" s="19">
        <f>IF(I2060="","",IFERROR(INDEX(ctaMon,MATCH(E2060,ctaNom,0))&amp;"","DOP"))</f>
        <v/>
      </c>
      <c r="O2060" s="20">
        <f>IF(I2060="","",C2060*IF(N2060="USD",TasaUSD,1))</f>
        <v/>
      </c>
      <c r="P2060" s="20">
        <f>IF(I2060="","",IF(I2060="Gasto",O2060,0))</f>
        <v/>
      </c>
      <c r="Q2060" s="20">
        <f>IF(I2060="","",IF(I2060="Ingreso",O2060,0))</f>
        <v/>
      </c>
      <c r="R2060" s="20">
        <f>IF(I2060="","",IF(I2060="Trading",O2060,0))</f>
        <v/>
      </c>
      <c r="S2060" s="19">
        <f>IF(I2060="","",IF(AND(I2060="Gasto",K2060="Variable",J2060&lt;&gt;"Trading",O2060&gt;0,O2060&lt;=Umbral),1,0))</f>
        <v/>
      </c>
      <c r="T2060" s="20">
        <f>IF(OR(I2060="",E2060=""),"",IF(OR(I2060="Gasto",I2060="Transferencia",I2060="Pago tarjeta"),-1,1)*C2060)</f>
        <v/>
      </c>
      <c r="U2060" s="20">
        <f>IF(OR(G2060="",AND(I2060&lt;&gt;"Transferencia",I2060&lt;&gt;"Pago tarjeta")),"",IF(IFERROR(INDEX(ctaMon,MATCH(G2060,ctaNom,0))&amp;"","DOP")=N2060,C2060,IF(N2060="USD",C2060*TasaUSD,C2060/TasaUSD)))</f>
        <v/>
      </c>
      <c r="V2060" s="20">
        <f>IF(I2060="","",IF(IFERROR(INDEX(ctaLiq,MATCH(E2060,ctaNom,0))="Sí",FALSE),IF(OR(I2060="Gasto",I2060="Transferencia",I2060="Pago tarjeta"),-1,1)*O2060,0)+IF(AND(U2060&lt;&gt;"",IFERROR(INDEX(ctaLiq,MATCH(G2060,ctaNom,0))="Sí",FALSE)),O2060,0))</f>
        <v/>
      </c>
      <c r="W2060" s="19">
        <f>IF(OR(F2060="",I2060=""),"",IF(COUNTIFS(F$6:F2060,F2060,I$6:I2060,"?*")=1,MAX(W$5:W2059)+1,""))</f>
        <v/>
      </c>
    </row>
    <row r="2061">
      <c r="B2061" s="15" t="n"/>
      <c r="C2061" s="16" t="n"/>
      <c r="D2061" s="17" t="n"/>
      <c r="E2061" s="17" t="n"/>
      <c r="F2061" s="17" t="n"/>
      <c r="G2061" s="17" t="n"/>
      <c r="H2061" s="18">
        <f>IF(AND(B2061="",C2061="",D2061="",E2061=""),"",IF(B2061="","⚠ Falta fecha",IF(C2061="","⚠ Falta monto",IF(D2061="","⚠ Falta categoría",IF(ISNA(MATCH(D2061,catNom,0)),"⚠ Categoría no existe",IF(E2061="","⚠ Falta cuenta",IF(ISNA(MATCH(E2061,ctaNom,0)),"⚠ Cuenta no existe",IF(AND(OR(I2061="Transferencia",I2061="Pago tarjeta"),G2061=""),"⚠ Indica la cuenta «Hacia»",IF(AND(G2061&lt;&gt;"",G2061=E2061),"⚠ «Hacia» igual a la cuenta",IF(AND(G2061&lt;&gt;"",ISNA(MATCH(G2061,ctaNom,0))),"⚠ «Hacia» no existe",IF(AND(I2061="Pago tarjeta",IFERROR(INDEX(ctaTipo,MATCH(G2061,ctaNom,0)),"")&lt;&gt;"Tarjeta de crédito"),"⚠ «Hacia» debe ser la tarjeta",IF(AND(I2061="Trading",IFERROR(INDEX(ctaTipo,MATCH(E2061,ctaNom,0)),"")&lt;&gt;"Cuenta de trading"),"⚠ Usa la cuenta de trading","✓"))))))))))))</f>
        <v/>
      </c>
      <c r="I2061" s="19">
        <f>IF(OR(B2061="",C2061="",D2061=""),"",IFERROR(INDEX(catTipo,MATCH(D2061,catNom,0))&amp;"",""))</f>
        <v/>
      </c>
      <c r="J2061" s="19">
        <f>IF(I2061="","",IFERROR(INDEX(catGrupo,MATCH(D2061,catNom,0))&amp;"",""))</f>
        <v/>
      </c>
      <c r="K2061" s="19">
        <f>IF(I2061="Gasto",IF(IFERROR(INDEX(catClas,MATCH(D2061,catNom,0))&amp;"","")="","Variable",IFERROR(INDEX(catClas,MATCH(D2061,catNom,0))&amp;"","")),"")</f>
        <v/>
      </c>
      <c r="L2061" s="19">
        <f>IF(I2061="","",IFERROR(INDEX(catAlim,MATCH(D2061,catNom,0))&amp;"",""))</f>
        <v/>
      </c>
      <c r="M2061" s="19">
        <f>IF(I2061="","",IFERROR(INDEX(catComida,MATCH(D2061,catNom,0))&amp;"",""))</f>
        <v/>
      </c>
      <c r="N2061" s="19">
        <f>IF(I2061="","",IFERROR(INDEX(ctaMon,MATCH(E2061,ctaNom,0))&amp;"","DOP"))</f>
        <v/>
      </c>
      <c r="O2061" s="20">
        <f>IF(I2061="","",C2061*IF(N2061="USD",TasaUSD,1))</f>
        <v/>
      </c>
      <c r="P2061" s="20">
        <f>IF(I2061="","",IF(I2061="Gasto",O2061,0))</f>
        <v/>
      </c>
      <c r="Q2061" s="20">
        <f>IF(I2061="","",IF(I2061="Ingreso",O2061,0))</f>
        <v/>
      </c>
      <c r="R2061" s="20">
        <f>IF(I2061="","",IF(I2061="Trading",O2061,0))</f>
        <v/>
      </c>
      <c r="S2061" s="19">
        <f>IF(I2061="","",IF(AND(I2061="Gasto",K2061="Variable",J2061&lt;&gt;"Trading",O2061&gt;0,O2061&lt;=Umbral),1,0))</f>
        <v/>
      </c>
      <c r="T2061" s="20">
        <f>IF(OR(I2061="",E2061=""),"",IF(OR(I2061="Gasto",I2061="Transferencia",I2061="Pago tarjeta"),-1,1)*C2061)</f>
        <v/>
      </c>
      <c r="U2061" s="20">
        <f>IF(OR(G2061="",AND(I2061&lt;&gt;"Transferencia",I2061&lt;&gt;"Pago tarjeta")),"",IF(IFERROR(INDEX(ctaMon,MATCH(G2061,ctaNom,0))&amp;"","DOP")=N2061,C2061,IF(N2061="USD",C2061*TasaUSD,C2061/TasaUSD)))</f>
        <v/>
      </c>
      <c r="V2061" s="20">
        <f>IF(I2061="","",IF(IFERROR(INDEX(ctaLiq,MATCH(E2061,ctaNom,0))="Sí",FALSE),IF(OR(I2061="Gasto",I2061="Transferencia",I2061="Pago tarjeta"),-1,1)*O2061,0)+IF(AND(U2061&lt;&gt;"",IFERROR(INDEX(ctaLiq,MATCH(G2061,ctaNom,0))="Sí",FALSE)),O2061,0))</f>
        <v/>
      </c>
      <c r="W2061" s="19">
        <f>IF(OR(F2061="",I2061=""),"",IF(COUNTIFS(F$6:F2061,F2061,I$6:I2061,"?*")=1,MAX(W$5:W2060)+1,""))</f>
        <v/>
      </c>
    </row>
    <row r="2062">
      <c r="B2062" s="15" t="n"/>
      <c r="C2062" s="16" t="n"/>
      <c r="D2062" s="17" t="n"/>
      <c r="E2062" s="17" t="n"/>
      <c r="F2062" s="17" t="n"/>
      <c r="G2062" s="17" t="n"/>
      <c r="H2062" s="18">
        <f>IF(AND(B2062="",C2062="",D2062="",E2062=""),"",IF(B2062="","⚠ Falta fecha",IF(C2062="","⚠ Falta monto",IF(D2062="","⚠ Falta categoría",IF(ISNA(MATCH(D2062,catNom,0)),"⚠ Categoría no existe",IF(E2062="","⚠ Falta cuenta",IF(ISNA(MATCH(E2062,ctaNom,0)),"⚠ Cuenta no existe",IF(AND(OR(I2062="Transferencia",I2062="Pago tarjeta"),G2062=""),"⚠ Indica la cuenta «Hacia»",IF(AND(G2062&lt;&gt;"",G2062=E2062),"⚠ «Hacia» igual a la cuenta",IF(AND(G2062&lt;&gt;"",ISNA(MATCH(G2062,ctaNom,0))),"⚠ «Hacia» no existe",IF(AND(I2062="Pago tarjeta",IFERROR(INDEX(ctaTipo,MATCH(G2062,ctaNom,0)),"")&lt;&gt;"Tarjeta de crédito"),"⚠ «Hacia» debe ser la tarjeta",IF(AND(I2062="Trading",IFERROR(INDEX(ctaTipo,MATCH(E2062,ctaNom,0)),"")&lt;&gt;"Cuenta de trading"),"⚠ Usa la cuenta de trading","✓"))))))))))))</f>
        <v/>
      </c>
      <c r="I2062" s="19">
        <f>IF(OR(B2062="",C2062="",D2062=""),"",IFERROR(INDEX(catTipo,MATCH(D2062,catNom,0))&amp;"",""))</f>
        <v/>
      </c>
      <c r="J2062" s="19">
        <f>IF(I2062="","",IFERROR(INDEX(catGrupo,MATCH(D2062,catNom,0))&amp;"",""))</f>
        <v/>
      </c>
      <c r="K2062" s="19">
        <f>IF(I2062="Gasto",IF(IFERROR(INDEX(catClas,MATCH(D2062,catNom,0))&amp;"","")="","Variable",IFERROR(INDEX(catClas,MATCH(D2062,catNom,0))&amp;"","")),"")</f>
        <v/>
      </c>
      <c r="L2062" s="19">
        <f>IF(I2062="","",IFERROR(INDEX(catAlim,MATCH(D2062,catNom,0))&amp;"",""))</f>
        <v/>
      </c>
      <c r="M2062" s="19">
        <f>IF(I2062="","",IFERROR(INDEX(catComida,MATCH(D2062,catNom,0))&amp;"",""))</f>
        <v/>
      </c>
      <c r="N2062" s="19">
        <f>IF(I2062="","",IFERROR(INDEX(ctaMon,MATCH(E2062,ctaNom,0))&amp;"","DOP"))</f>
        <v/>
      </c>
      <c r="O2062" s="20">
        <f>IF(I2062="","",C2062*IF(N2062="USD",TasaUSD,1))</f>
        <v/>
      </c>
      <c r="P2062" s="20">
        <f>IF(I2062="","",IF(I2062="Gasto",O2062,0))</f>
        <v/>
      </c>
      <c r="Q2062" s="20">
        <f>IF(I2062="","",IF(I2062="Ingreso",O2062,0))</f>
        <v/>
      </c>
      <c r="R2062" s="20">
        <f>IF(I2062="","",IF(I2062="Trading",O2062,0))</f>
        <v/>
      </c>
      <c r="S2062" s="19">
        <f>IF(I2062="","",IF(AND(I2062="Gasto",K2062="Variable",J2062&lt;&gt;"Trading",O2062&gt;0,O2062&lt;=Umbral),1,0))</f>
        <v/>
      </c>
      <c r="T2062" s="20">
        <f>IF(OR(I2062="",E2062=""),"",IF(OR(I2062="Gasto",I2062="Transferencia",I2062="Pago tarjeta"),-1,1)*C2062)</f>
        <v/>
      </c>
      <c r="U2062" s="20">
        <f>IF(OR(G2062="",AND(I2062&lt;&gt;"Transferencia",I2062&lt;&gt;"Pago tarjeta")),"",IF(IFERROR(INDEX(ctaMon,MATCH(G2062,ctaNom,0))&amp;"","DOP")=N2062,C2062,IF(N2062="USD",C2062*TasaUSD,C2062/TasaUSD)))</f>
        <v/>
      </c>
      <c r="V2062" s="20">
        <f>IF(I2062="","",IF(IFERROR(INDEX(ctaLiq,MATCH(E2062,ctaNom,0))="Sí",FALSE),IF(OR(I2062="Gasto",I2062="Transferencia",I2062="Pago tarjeta"),-1,1)*O2062,0)+IF(AND(U2062&lt;&gt;"",IFERROR(INDEX(ctaLiq,MATCH(G2062,ctaNom,0))="Sí",FALSE)),O2062,0))</f>
        <v/>
      </c>
      <c r="W2062" s="19">
        <f>IF(OR(F2062="",I2062=""),"",IF(COUNTIFS(F$6:F2062,F2062,I$6:I2062,"?*")=1,MAX(W$5:W2061)+1,""))</f>
        <v/>
      </c>
    </row>
    <row r="2063">
      <c r="B2063" s="15" t="n"/>
      <c r="C2063" s="16" t="n"/>
      <c r="D2063" s="17" t="n"/>
      <c r="E2063" s="17" t="n"/>
      <c r="F2063" s="17" t="n"/>
      <c r="G2063" s="17" t="n"/>
      <c r="H2063" s="18">
        <f>IF(AND(B2063="",C2063="",D2063="",E2063=""),"",IF(B2063="","⚠ Falta fecha",IF(C2063="","⚠ Falta monto",IF(D2063="","⚠ Falta categoría",IF(ISNA(MATCH(D2063,catNom,0)),"⚠ Categoría no existe",IF(E2063="","⚠ Falta cuenta",IF(ISNA(MATCH(E2063,ctaNom,0)),"⚠ Cuenta no existe",IF(AND(OR(I2063="Transferencia",I2063="Pago tarjeta"),G2063=""),"⚠ Indica la cuenta «Hacia»",IF(AND(G2063&lt;&gt;"",G2063=E2063),"⚠ «Hacia» igual a la cuenta",IF(AND(G2063&lt;&gt;"",ISNA(MATCH(G2063,ctaNom,0))),"⚠ «Hacia» no existe",IF(AND(I2063="Pago tarjeta",IFERROR(INDEX(ctaTipo,MATCH(G2063,ctaNom,0)),"")&lt;&gt;"Tarjeta de crédito"),"⚠ «Hacia» debe ser la tarjeta",IF(AND(I2063="Trading",IFERROR(INDEX(ctaTipo,MATCH(E2063,ctaNom,0)),"")&lt;&gt;"Cuenta de trading"),"⚠ Usa la cuenta de trading","✓"))))))))))))</f>
        <v/>
      </c>
      <c r="I2063" s="19">
        <f>IF(OR(B2063="",C2063="",D2063=""),"",IFERROR(INDEX(catTipo,MATCH(D2063,catNom,0))&amp;"",""))</f>
        <v/>
      </c>
      <c r="J2063" s="19">
        <f>IF(I2063="","",IFERROR(INDEX(catGrupo,MATCH(D2063,catNom,0))&amp;"",""))</f>
        <v/>
      </c>
      <c r="K2063" s="19">
        <f>IF(I2063="Gasto",IF(IFERROR(INDEX(catClas,MATCH(D2063,catNom,0))&amp;"","")="","Variable",IFERROR(INDEX(catClas,MATCH(D2063,catNom,0))&amp;"","")),"")</f>
        <v/>
      </c>
      <c r="L2063" s="19">
        <f>IF(I2063="","",IFERROR(INDEX(catAlim,MATCH(D2063,catNom,0))&amp;"",""))</f>
        <v/>
      </c>
      <c r="M2063" s="19">
        <f>IF(I2063="","",IFERROR(INDEX(catComida,MATCH(D2063,catNom,0))&amp;"",""))</f>
        <v/>
      </c>
      <c r="N2063" s="19">
        <f>IF(I2063="","",IFERROR(INDEX(ctaMon,MATCH(E2063,ctaNom,0))&amp;"","DOP"))</f>
        <v/>
      </c>
      <c r="O2063" s="20">
        <f>IF(I2063="","",C2063*IF(N2063="USD",TasaUSD,1))</f>
        <v/>
      </c>
      <c r="P2063" s="20">
        <f>IF(I2063="","",IF(I2063="Gasto",O2063,0))</f>
        <v/>
      </c>
      <c r="Q2063" s="20">
        <f>IF(I2063="","",IF(I2063="Ingreso",O2063,0))</f>
        <v/>
      </c>
      <c r="R2063" s="20">
        <f>IF(I2063="","",IF(I2063="Trading",O2063,0))</f>
        <v/>
      </c>
      <c r="S2063" s="19">
        <f>IF(I2063="","",IF(AND(I2063="Gasto",K2063="Variable",J2063&lt;&gt;"Trading",O2063&gt;0,O2063&lt;=Umbral),1,0))</f>
        <v/>
      </c>
      <c r="T2063" s="20">
        <f>IF(OR(I2063="",E2063=""),"",IF(OR(I2063="Gasto",I2063="Transferencia",I2063="Pago tarjeta"),-1,1)*C2063)</f>
        <v/>
      </c>
      <c r="U2063" s="20">
        <f>IF(OR(G2063="",AND(I2063&lt;&gt;"Transferencia",I2063&lt;&gt;"Pago tarjeta")),"",IF(IFERROR(INDEX(ctaMon,MATCH(G2063,ctaNom,0))&amp;"","DOP")=N2063,C2063,IF(N2063="USD",C2063*TasaUSD,C2063/TasaUSD)))</f>
        <v/>
      </c>
      <c r="V2063" s="20">
        <f>IF(I2063="","",IF(IFERROR(INDEX(ctaLiq,MATCH(E2063,ctaNom,0))="Sí",FALSE),IF(OR(I2063="Gasto",I2063="Transferencia",I2063="Pago tarjeta"),-1,1)*O2063,0)+IF(AND(U2063&lt;&gt;"",IFERROR(INDEX(ctaLiq,MATCH(G2063,ctaNom,0))="Sí",FALSE)),O2063,0))</f>
        <v/>
      </c>
      <c r="W2063" s="19">
        <f>IF(OR(F2063="",I2063=""),"",IF(COUNTIFS(F$6:F2063,F2063,I$6:I2063,"?*")=1,MAX(W$5:W2062)+1,""))</f>
        <v/>
      </c>
    </row>
    <row r="2064">
      <c r="B2064" s="15" t="n"/>
      <c r="C2064" s="16" t="n"/>
      <c r="D2064" s="17" t="n"/>
      <c r="E2064" s="17" t="n"/>
      <c r="F2064" s="17" t="n"/>
      <c r="G2064" s="17" t="n"/>
      <c r="H2064" s="18">
        <f>IF(AND(B2064="",C2064="",D2064="",E2064=""),"",IF(B2064="","⚠ Falta fecha",IF(C2064="","⚠ Falta monto",IF(D2064="","⚠ Falta categoría",IF(ISNA(MATCH(D2064,catNom,0)),"⚠ Categoría no existe",IF(E2064="","⚠ Falta cuenta",IF(ISNA(MATCH(E2064,ctaNom,0)),"⚠ Cuenta no existe",IF(AND(OR(I2064="Transferencia",I2064="Pago tarjeta"),G2064=""),"⚠ Indica la cuenta «Hacia»",IF(AND(G2064&lt;&gt;"",G2064=E2064),"⚠ «Hacia» igual a la cuenta",IF(AND(G2064&lt;&gt;"",ISNA(MATCH(G2064,ctaNom,0))),"⚠ «Hacia» no existe",IF(AND(I2064="Pago tarjeta",IFERROR(INDEX(ctaTipo,MATCH(G2064,ctaNom,0)),"")&lt;&gt;"Tarjeta de crédito"),"⚠ «Hacia» debe ser la tarjeta",IF(AND(I2064="Trading",IFERROR(INDEX(ctaTipo,MATCH(E2064,ctaNom,0)),"")&lt;&gt;"Cuenta de trading"),"⚠ Usa la cuenta de trading","✓"))))))))))))</f>
        <v/>
      </c>
      <c r="I2064" s="19">
        <f>IF(OR(B2064="",C2064="",D2064=""),"",IFERROR(INDEX(catTipo,MATCH(D2064,catNom,0))&amp;"",""))</f>
        <v/>
      </c>
      <c r="J2064" s="19">
        <f>IF(I2064="","",IFERROR(INDEX(catGrupo,MATCH(D2064,catNom,0))&amp;"",""))</f>
        <v/>
      </c>
      <c r="K2064" s="19">
        <f>IF(I2064="Gasto",IF(IFERROR(INDEX(catClas,MATCH(D2064,catNom,0))&amp;"","")="","Variable",IFERROR(INDEX(catClas,MATCH(D2064,catNom,0))&amp;"","")),"")</f>
        <v/>
      </c>
      <c r="L2064" s="19">
        <f>IF(I2064="","",IFERROR(INDEX(catAlim,MATCH(D2064,catNom,0))&amp;"",""))</f>
        <v/>
      </c>
      <c r="M2064" s="19">
        <f>IF(I2064="","",IFERROR(INDEX(catComida,MATCH(D2064,catNom,0))&amp;"",""))</f>
        <v/>
      </c>
      <c r="N2064" s="19">
        <f>IF(I2064="","",IFERROR(INDEX(ctaMon,MATCH(E2064,ctaNom,0))&amp;"","DOP"))</f>
        <v/>
      </c>
      <c r="O2064" s="20">
        <f>IF(I2064="","",C2064*IF(N2064="USD",TasaUSD,1))</f>
        <v/>
      </c>
      <c r="P2064" s="20">
        <f>IF(I2064="","",IF(I2064="Gasto",O2064,0))</f>
        <v/>
      </c>
      <c r="Q2064" s="20">
        <f>IF(I2064="","",IF(I2064="Ingreso",O2064,0))</f>
        <v/>
      </c>
      <c r="R2064" s="20">
        <f>IF(I2064="","",IF(I2064="Trading",O2064,0))</f>
        <v/>
      </c>
      <c r="S2064" s="19">
        <f>IF(I2064="","",IF(AND(I2064="Gasto",K2064="Variable",J2064&lt;&gt;"Trading",O2064&gt;0,O2064&lt;=Umbral),1,0))</f>
        <v/>
      </c>
      <c r="T2064" s="20">
        <f>IF(OR(I2064="",E2064=""),"",IF(OR(I2064="Gasto",I2064="Transferencia",I2064="Pago tarjeta"),-1,1)*C2064)</f>
        <v/>
      </c>
      <c r="U2064" s="20">
        <f>IF(OR(G2064="",AND(I2064&lt;&gt;"Transferencia",I2064&lt;&gt;"Pago tarjeta")),"",IF(IFERROR(INDEX(ctaMon,MATCH(G2064,ctaNom,0))&amp;"","DOP")=N2064,C2064,IF(N2064="USD",C2064*TasaUSD,C2064/TasaUSD)))</f>
        <v/>
      </c>
      <c r="V2064" s="20">
        <f>IF(I2064="","",IF(IFERROR(INDEX(ctaLiq,MATCH(E2064,ctaNom,0))="Sí",FALSE),IF(OR(I2064="Gasto",I2064="Transferencia",I2064="Pago tarjeta"),-1,1)*O2064,0)+IF(AND(U2064&lt;&gt;"",IFERROR(INDEX(ctaLiq,MATCH(G2064,ctaNom,0))="Sí",FALSE)),O2064,0))</f>
        <v/>
      </c>
      <c r="W2064" s="19">
        <f>IF(OR(F2064="",I2064=""),"",IF(COUNTIFS(F$6:F2064,F2064,I$6:I2064,"?*")=1,MAX(W$5:W2063)+1,""))</f>
        <v/>
      </c>
    </row>
    <row r="2065">
      <c r="B2065" s="15" t="n"/>
      <c r="C2065" s="16" t="n"/>
      <c r="D2065" s="17" t="n"/>
      <c r="E2065" s="17" t="n"/>
      <c r="F2065" s="17" t="n"/>
      <c r="G2065" s="17" t="n"/>
      <c r="H2065" s="18">
        <f>IF(AND(B2065="",C2065="",D2065="",E2065=""),"",IF(B2065="","⚠ Falta fecha",IF(C2065="","⚠ Falta monto",IF(D2065="","⚠ Falta categoría",IF(ISNA(MATCH(D2065,catNom,0)),"⚠ Categoría no existe",IF(E2065="","⚠ Falta cuenta",IF(ISNA(MATCH(E2065,ctaNom,0)),"⚠ Cuenta no existe",IF(AND(OR(I2065="Transferencia",I2065="Pago tarjeta"),G2065=""),"⚠ Indica la cuenta «Hacia»",IF(AND(G2065&lt;&gt;"",G2065=E2065),"⚠ «Hacia» igual a la cuenta",IF(AND(G2065&lt;&gt;"",ISNA(MATCH(G2065,ctaNom,0))),"⚠ «Hacia» no existe",IF(AND(I2065="Pago tarjeta",IFERROR(INDEX(ctaTipo,MATCH(G2065,ctaNom,0)),"")&lt;&gt;"Tarjeta de crédito"),"⚠ «Hacia» debe ser la tarjeta",IF(AND(I2065="Trading",IFERROR(INDEX(ctaTipo,MATCH(E2065,ctaNom,0)),"")&lt;&gt;"Cuenta de trading"),"⚠ Usa la cuenta de trading","✓"))))))))))))</f>
        <v/>
      </c>
      <c r="I2065" s="19">
        <f>IF(OR(B2065="",C2065="",D2065=""),"",IFERROR(INDEX(catTipo,MATCH(D2065,catNom,0))&amp;"",""))</f>
        <v/>
      </c>
      <c r="J2065" s="19">
        <f>IF(I2065="","",IFERROR(INDEX(catGrupo,MATCH(D2065,catNom,0))&amp;"",""))</f>
        <v/>
      </c>
      <c r="K2065" s="19">
        <f>IF(I2065="Gasto",IF(IFERROR(INDEX(catClas,MATCH(D2065,catNom,0))&amp;"","")="","Variable",IFERROR(INDEX(catClas,MATCH(D2065,catNom,0))&amp;"","")),"")</f>
        <v/>
      </c>
      <c r="L2065" s="19">
        <f>IF(I2065="","",IFERROR(INDEX(catAlim,MATCH(D2065,catNom,0))&amp;"",""))</f>
        <v/>
      </c>
      <c r="M2065" s="19">
        <f>IF(I2065="","",IFERROR(INDEX(catComida,MATCH(D2065,catNom,0))&amp;"",""))</f>
        <v/>
      </c>
      <c r="N2065" s="19">
        <f>IF(I2065="","",IFERROR(INDEX(ctaMon,MATCH(E2065,ctaNom,0))&amp;"","DOP"))</f>
        <v/>
      </c>
      <c r="O2065" s="20">
        <f>IF(I2065="","",C2065*IF(N2065="USD",TasaUSD,1))</f>
        <v/>
      </c>
      <c r="P2065" s="20">
        <f>IF(I2065="","",IF(I2065="Gasto",O2065,0))</f>
        <v/>
      </c>
      <c r="Q2065" s="20">
        <f>IF(I2065="","",IF(I2065="Ingreso",O2065,0))</f>
        <v/>
      </c>
      <c r="R2065" s="20">
        <f>IF(I2065="","",IF(I2065="Trading",O2065,0))</f>
        <v/>
      </c>
      <c r="S2065" s="19">
        <f>IF(I2065="","",IF(AND(I2065="Gasto",K2065="Variable",J2065&lt;&gt;"Trading",O2065&gt;0,O2065&lt;=Umbral),1,0))</f>
        <v/>
      </c>
      <c r="T2065" s="20">
        <f>IF(OR(I2065="",E2065=""),"",IF(OR(I2065="Gasto",I2065="Transferencia",I2065="Pago tarjeta"),-1,1)*C2065)</f>
        <v/>
      </c>
      <c r="U2065" s="20">
        <f>IF(OR(G2065="",AND(I2065&lt;&gt;"Transferencia",I2065&lt;&gt;"Pago tarjeta")),"",IF(IFERROR(INDEX(ctaMon,MATCH(G2065,ctaNom,0))&amp;"","DOP")=N2065,C2065,IF(N2065="USD",C2065*TasaUSD,C2065/TasaUSD)))</f>
        <v/>
      </c>
      <c r="V2065" s="20">
        <f>IF(I2065="","",IF(IFERROR(INDEX(ctaLiq,MATCH(E2065,ctaNom,0))="Sí",FALSE),IF(OR(I2065="Gasto",I2065="Transferencia",I2065="Pago tarjeta"),-1,1)*O2065,0)+IF(AND(U2065&lt;&gt;"",IFERROR(INDEX(ctaLiq,MATCH(G2065,ctaNom,0))="Sí",FALSE)),O2065,0))</f>
        <v/>
      </c>
      <c r="W2065" s="19">
        <f>IF(OR(F2065="",I2065=""),"",IF(COUNTIFS(F$6:F2065,F2065,I$6:I2065,"?*")=1,MAX(W$5:W2064)+1,""))</f>
        <v/>
      </c>
    </row>
    <row r="2066">
      <c r="B2066" s="15" t="n"/>
      <c r="C2066" s="16" t="n"/>
      <c r="D2066" s="17" t="n"/>
      <c r="E2066" s="17" t="n"/>
      <c r="F2066" s="17" t="n"/>
      <c r="G2066" s="17" t="n"/>
      <c r="H2066" s="18">
        <f>IF(AND(B2066="",C2066="",D2066="",E2066=""),"",IF(B2066="","⚠ Falta fecha",IF(C2066="","⚠ Falta monto",IF(D2066="","⚠ Falta categoría",IF(ISNA(MATCH(D2066,catNom,0)),"⚠ Categoría no existe",IF(E2066="","⚠ Falta cuenta",IF(ISNA(MATCH(E2066,ctaNom,0)),"⚠ Cuenta no existe",IF(AND(OR(I2066="Transferencia",I2066="Pago tarjeta"),G2066=""),"⚠ Indica la cuenta «Hacia»",IF(AND(G2066&lt;&gt;"",G2066=E2066),"⚠ «Hacia» igual a la cuenta",IF(AND(G2066&lt;&gt;"",ISNA(MATCH(G2066,ctaNom,0))),"⚠ «Hacia» no existe",IF(AND(I2066="Pago tarjeta",IFERROR(INDEX(ctaTipo,MATCH(G2066,ctaNom,0)),"")&lt;&gt;"Tarjeta de crédito"),"⚠ «Hacia» debe ser la tarjeta",IF(AND(I2066="Trading",IFERROR(INDEX(ctaTipo,MATCH(E2066,ctaNom,0)),"")&lt;&gt;"Cuenta de trading"),"⚠ Usa la cuenta de trading","✓"))))))))))))</f>
        <v/>
      </c>
      <c r="I2066" s="19">
        <f>IF(OR(B2066="",C2066="",D2066=""),"",IFERROR(INDEX(catTipo,MATCH(D2066,catNom,0))&amp;"",""))</f>
        <v/>
      </c>
      <c r="J2066" s="19">
        <f>IF(I2066="","",IFERROR(INDEX(catGrupo,MATCH(D2066,catNom,0))&amp;"",""))</f>
        <v/>
      </c>
      <c r="K2066" s="19">
        <f>IF(I2066="Gasto",IF(IFERROR(INDEX(catClas,MATCH(D2066,catNom,0))&amp;"","")="","Variable",IFERROR(INDEX(catClas,MATCH(D2066,catNom,0))&amp;"","")),"")</f>
        <v/>
      </c>
      <c r="L2066" s="19">
        <f>IF(I2066="","",IFERROR(INDEX(catAlim,MATCH(D2066,catNom,0))&amp;"",""))</f>
        <v/>
      </c>
      <c r="M2066" s="19">
        <f>IF(I2066="","",IFERROR(INDEX(catComida,MATCH(D2066,catNom,0))&amp;"",""))</f>
        <v/>
      </c>
      <c r="N2066" s="19">
        <f>IF(I2066="","",IFERROR(INDEX(ctaMon,MATCH(E2066,ctaNom,0))&amp;"","DOP"))</f>
        <v/>
      </c>
      <c r="O2066" s="20">
        <f>IF(I2066="","",C2066*IF(N2066="USD",TasaUSD,1))</f>
        <v/>
      </c>
      <c r="P2066" s="20">
        <f>IF(I2066="","",IF(I2066="Gasto",O2066,0))</f>
        <v/>
      </c>
      <c r="Q2066" s="20">
        <f>IF(I2066="","",IF(I2066="Ingreso",O2066,0))</f>
        <v/>
      </c>
      <c r="R2066" s="20">
        <f>IF(I2066="","",IF(I2066="Trading",O2066,0))</f>
        <v/>
      </c>
      <c r="S2066" s="19">
        <f>IF(I2066="","",IF(AND(I2066="Gasto",K2066="Variable",J2066&lt;&gt;"Trading",O2066&gt;0,O2066&lt;=Umbral),1,0))</f>
        <v/>
      </c>
      <c r="T2066" s="20">
        <f>IF(OR(I2066="",E2066=""),"",IF(OR(I2066="Gasto",I2066="Transferencia",I2066="Pago tarjeta"),-1,1)*C2066)</f>
        <v/>
      </c>
      <c r="U2066" s="20">
        <f>IF(OR(G2066="",AND(I2066&lt;&gt;"Transferencia",I2066&lt;&gt;"Pago tarjeta")),"",IF(IFERROR(INDEX(ctaMon,MATCH(G2066,ctaNom,0))&amp;"","DOP")=N2066,C2066,IF(N2066="USD",C2066*TasaUSD,C2066/TasaUSD)))</f>
        <v/>
      </c>
      <c r="V2066" s="20">
        <f>IF(I2066="","",IF(IFERROR(INDEX(ctaLiq,MATCH(E2066,ctaNom,0))="Sí",FALSE),IF(OR(I2066="Gasto",I2066="Transferencia",I2066="Pago tarjeta"),-1,1)*O2066,0)+IF(AND(U2066&lt;&gt;"",IFERROR(INDEX(ctaLiq,MATCH(G2066,ctaNom,0))="Sí",FALSE)),O2066,0))</f>
        <v/>
      </c>
      <c r="W2066" s="19">
        <f>IF(OR(F2066="",I2066=""),"",IF(COUNTIFS(F$6:F2066,F2066,I$6:I2066,"?*")=1,MAX(W$5:W2065)+1,""))</f>
        <v/>
      </c>
    </row>
    <row r="2067">
      <c r="B2067" s="15" t="n"/>
      <c r="C2067" s="16" t="n"/>
      <c r="D2067" s="17" t="n"/>
      <c r="E2067" s="17" t="n"/>
      <c r="F2067" s="17" t="n"/>
      <c r="G2067" s="17" t="n"/>
      <c r="H2067" s="18">
        <f>IF(AND(B2067="",C2067="",D2067="",E2067=""),"",IF(B2067="","⚠ Falta fecha",IF(C2067="","⚠ Falta monto",IF(D2067="","⚠ Falta categoría",IF(ISNA(MATCH(D2067,catNom,0)),"⚠ Categoría no existe",IF(E2067="","⚠ Falta cuenta",IF(ISNA(MATCH(E2067,ctaNom,0)),"⚠ Cuenta no existe",IF(AND(OR(I2067="Transferencia",I2067="Pago tarjeta"),G2067=""),"⚠ Indica la cuenta «Hacia»",IF(AND(G2067&lt;&gt;"",G2067=E2067),"⚠ «Hacia» igual a la cuenta",IF(AND(G2067&lt;&gt;"",ISNA(MATCH(G2067,ctaNom,0))),"⚠ «Hacia» no existe",IF(AND(I2067="Pago tarjeta",IFERROR(INDEX(ctaTipo,MATCH(G2067,ctaNom,0)),"")&lt;&gt;"Tarjeta de crédito"),"⚠ «Hacia» debe ser la tarjeta",IF(AND(I2067="Trading",IFERROR(INDEX(ctaTipo,MATCH(E2067,ctaNom,0)),"")&lt;&gt;"Cuenta de trading"),"⚠ Usa la cuenta de trading","✓"))))))))))))</f>
        <v/>
      </c>
      <c r="I2067" s="19">
        <f>IF(OR(B2067="",C2067="",D2067=""),"",IFERROR(INDEX(catTipo,MATCH(D2067,catNom,0))&amp;"",""))</f>
        <v/>
      </c>
      <c r="J2067" s="19">
        <f>IF(I2067="","",IFERROR(INDEX(catGrupo,MATCH(D2067,catNom,0))&amp;"",""))</f>
        <v/>
      </c>
      <c r="K2067" s="19">
        <f>IF(I2067="Gasto",IF(IFERROR(INDEX(catClas,MATCH(D2067,catNom,0))&amp;"","")="","Variable",IFERROR(INDEX(catClas,MATCH(D2067,catNom,0))&amp;"","")),"")</f>
        <v/>
      </c>
      <c r="L2067" s="19">
        <f>IF(I2067="","",IFERROR(INDEX(catAlim,MATCH(D2067,catNom,0))&amp;"",""))</f>
        <v/>
      </c>
      <c r="M2067" s="19">
        <f>IF(I2067="","",IFERROR(INDEX(catComida,MATCH(D2067,catNom,0))&amp;"",""))</f>
        <v/>
      </c>
      <c r="N2067" s="19">
        <f>IF(I2067="","",IFERROR(INDEX(ctaMon,MATCH(E2067,ctaNom,0))&amp;"","DOP"))</f>
        <v/>
      </c>
      <c r="O2067" s="20">
        <f>IF(I2067="","",C2067*IF(N2067="USD",TasaUSD,1))</f>
        <v/>
      </c>
      <c r="P2067" s="20">
        <f>IF(I2067="","",IF(I2067="Gasto",O2067,0))</f>
        <v/>
      </c>
      <c r="Q2067" s="20">
        <f>IF(I2067="","",IF(I2067="Ingreso",O2067,0))</f>
        <v/>
      </c>
      <c r="R2067" s="20">
        <f>IF(I2067="","",IF(I2067="Trading",O2067,0))</f>
        <v/>
      </c>
      <c r="S2067" s="19">
        <f>IF(I2067="","",IF(AND(I2067="Gasto",K2067="Variable",J2067&lt;&gt;"Trading",O2067&gt;0,O2067&lt;=Umbral),1,0))</f>
        <v/>
      </c>
      <c r="T2067" s="20">
        <f>IF(OR(I2067="",E2067=""),"",IF(OR(I2067="Gasto",I2067="Transferencia",I2067="Pago tarjeta"),-1,1)*C2067)</f>
        <v/>
      </c>
      <c r="U2067" s="20">
        <f>IF(OR(G2067="",AND(I2067&lt;&gt;"Transferencia",I2067&lt;&gt;"Pago tarjeta")),"",IF(IFERROR(INDEX(ctaMon,MATCH(G2067,ctaNom,0))&amp;"","DOP")=N2067,C2067,IF(N2067="USD",C2067*TasaUSD,C2067/TasaUSD)))</f>
        <v/>
      </c>
      <c r="V2067" s="20">
        <f>IF(I2067="","",IF(IFERROR(INDEX(ctaLiq,MATCH(E2067,ctaNom,0))="Sí",FALSE),IF(OR(I2067="Gasto",I2067="Transferencia",I2067="Pago tarjeta"),-1,1)*O2067,0)+IF(AND(U2067&lt;&gt;"",IFERROR(INDEX(ctaLiq,MATCH(G2067,ctaNom,0))="Sí",FALSE)),O2067,0))</f>
        <v/>
      </c>
      <c r="W2067" s="19">
        <f>IF(OR(F2067="",I2067=""),"",IF(COUNTIFS(F$6:F2067,F2067,I$6:I2067,"?*")=1,MAX(W$5:W2066)+1,""))</f>
        <v/>
      </c>
    </row>
    <row r="2068">
      <c r="B2068" s="15" t="n"/>
      <c r="C2068" s="16" t="n"/>
      <c r="D2068" s="17" t="n"/>
      <c r="E2068" s="17" t="n"/>
      <c r="F2068" s="17" t="n"/>
      <c r="G2068" s="17" t="n"/>
      <c r="H2068" s="18">
        <f>IF(AND(B2068="",C2068="",D2068="",E2068=""),"",IF(B2068="","⚠ Falta fecha",IF(C2068="","⚠ Falta monto",IF(D2068="","⚠ Falta categoría",IF(ISNA(MATCH(D2068,catNom,0)),"⚠ Categoría no existe",IF(E2068="","⚠ Falta cuenta",IF(ISNA(MATCH(E2068,ctaNom,0)),"⚠ Cuenta no existe",IF(AND(OR(I2068="Transferencia",I2068="Pago tarjeta"),G2068=""),"⚠ Indica la cuenta «Hacia»",IF(AND(G2068&lt;&gt;"",G2068=E2068),"⚠ «Hacia» igual a la cuenta",IF(AND(G2068&lt;&gt;"",ISNA(MATCH(G2068,ctaNom,0))),"⚠ «Hacia» no existe",IF(AND(I2068="Pago tarjeta",IFERROR(INDEX(ctaTipo,MATCH(G2068,ctaNom,0)),"")&lt;&gt;"Tarjeta de crédito"),"⚠ «Hacia» debe ser la tarjeta",IF(AND(I2068="Trading",IFERROR(INDEX(ctaTipo,MATCH(E2068,ctaNom,0)),"")&lt;&gt;"Cuenta de trading"),"⚠ Usa la cuenta de trading","✓"))))))))))))</f>
        <v/>
      </c>
      <c r="I2068" s="19">
        <f>IF(OR(B2068="",C2068="",D2068=""),"",IFERROR(INDEX(catTipo,MATCH(D2068,catNom,0))&amp;"",""))</f>
        <v/>
      </c>
      <c r="J2068" s="19">
        <f>IF(I2068="","",IFERROR(INDEX(catGrupo,MATCH(D2068,catNom,0))&amp;"",""))</f>
        <v/>
      </c>
      <c r="K2068" s="19">
        <f>IF(I2068="Gasto",IF(IFERROR(INDEX(catClas,MATCH(D2068,catNom,0))&amp;"","")="","Variable",IFERROR(INDEX(catClas,MATCH(D2068,catNom,0))&amp;"","")),"")</f>
        <v/>
      </c>
      <c r="L2068" s="19">
        <f>IF(I2068="","",IFERROR(INDEX(catAlim,MATCH(D2068,catNom,0))&amp;"",""))</f>
        <v/>
      </c>
      <c r="M2068" s="19">
        <f>IF(I2068="","",IFERROR(INDEX(catComida,MATCH(D2068,catNom,0))&amp;"",""))</f>
        <v/>
      </c>
      <c r="N2068" s="19">
        <f>IF(I2068="","",IFERROR(INDEX(ctaMon,MATCH(E2068,ctaNom,0))&amp;"","DOP"))</f>
        <v/>
      </c>
      <c r="O2068" s="20">
        <f>IF(I2068="","",C2068*IF(N2068="USD",TasaUSD,1))</f>
        <v/>
      </c>
      <c r="P2068" s="20">
        <f>IF(I2068="","",IF(I2068="Gasto",O2068,0))</f>
        <v/>
      </c>
      <c r="Q2068" s="20">
        <f>IF(I2068="","",IF(I2068="Ingreso",O2068,0))</f>
        <v/>
      </c>
      <c r="R2068" s="20">
        <f>IF(I2068="","",IF(I2068="Trading",O2068,0))</f>
        <v/>
      </c>
      <c r="S2068" s="19">
        <f>IF(I2068="","",IF(AND(I2068="Gasto",K2068="Variable",J2068&lt;&gt;"Trading",O2068&gt;0,O2068&lt;=Umbral),1,0))</f>
        <v/>
      </c>
      <c r="T2068" s="20">
        <f>IF(OR(I2068="",E2068=""),"",IF(OR(I2068="Gasto",I2068="Transferencia",I2068="Pago tarjeta"),-1,1)*C2068)</f>
        <v/>
      </c>
      <c r="U2068" s="20">
        <f>IF(OR(G2068="",AND(I2068&lt;&gt;"Transferencia",I2068&lt;&gt;"Pago tarjeta")),"",IF(IFERROR(INDEX(ctaMon,MATCH(G2068,ctaNom,0))&amp;"","DOP")=N2068,C2068,IF(N2068="USD",C2068*TasaUSD,C2068/TasaUSD)))</f>
        <v/>
      </c>
      <c r="V2068" s="20">
        <f>IF(I2068="","",IF(IFERROR(INDEX(ctaLiq,MATCH(E2068,ctaNom,0))="Sí",FALSE),IF(OR(I2068="Gasto",I2068="Transferencia",I2068="Pago tarjeta"),-1,1)*O2068,0)+IF(AND(U2068&lt;&gt;"",IFERROR(INDEX(ctaLiq,MATCH(G2068,ctaNom,0))="Sí",FALSE)),O2068,0))</f>
        <v/>
      </c>
      <c r="W2068" s="19">
        <f>IF(OR(F2068="",I2068=""),"",IF(COUNTIFS(F$6:F2068,F2068,I$6:I2068,"?*")=1,MAX(W$5:W2067)+1,""))</f>
        <v/>
      </c>
    </row>
    <row r="2069">
      <c r="B2069" s="15" t="n"/>
      <c r="C2069" s="16" t="n"/>
      <c r="D2069" s="17" t="n"/>
      <c r="E2069" s="17" t="n"/>
      <c r="F2069" s="17" t="n"/>
      <c r="G2069" s="17" t="n"/>
      <c r="H2069" s="18">
        <f>IF(AND(B2069="",C2069="",D2069="",E2069=""),"",IF(B2069="","⚠ Falta fecha",IF(C2069="","⚠ Falta monto",IF(D2069="","⚠ Falta categoría",IF(ISNA(MATCH(D2069,catNom,0)),"⚠ Categoría no existe",IF(E2069="","⚠ Falta cuenta",IF(ISNA(MATCH(E2069,ctaNom,0)),"⚠ Cuenta no existe",IF(AND(OR(I2069="Transferencia",I2069="Pago tarjeta"),G2069=""),"⚠ Indica la cuenta «Hacia»",IF(AND(G2069&lt;&gt;"",G2069=E2069),"⚠ «Hacia» igual a la cuenta",IF(AND(G2069&lt;&gt;"",ISNA(MATCH(G2069,ctaNom,0))),"⚠ «Hacia» no existe",IF(AND(I2069="Pago tarjeta",IFERROR(INDEX(ctaTipo,MATCH(G2069,ctaNom,0)),"")&lt;&gt;"Tarjeta de crédito"),"⚠ «Hacia» debe ser la tarjeta",IF(AND(I2069="Trading",IFERROR(INDEX(ctaTipo,MATCH(E2069,ctaNom,0)),"")&lt;&gt;"Cuenta de trading"),"⚠ Usa la cuenta de trading","✓"))))))))))))</f>
        <v/>
      </c>
      <c r="I2069" s="19">
        <f>IF(OR(B2069="",C2069="",D2069=""),"",IFERROR(INDEX(catTipo,MATCH(D2069,catNom,0))&amp;"",""))</f>
        <v/>
      </c>
      <c r="J2069" s="19">
        <f>IF(I2069="","",IFERROR(INDEX(catGrupo,MATCH(D2069,catNom,0))&amp;"",""))</f>
        <v/>
      </c>
      <c r="K2069" s="19">
        <f>IF(I2069="Gasto",IF(IFERROR(INDEX(catClas,MATCH(D2069,catNom,0))&amp;"","")="","Variable",IFERROR(INDEX(catClas,MATCH(D2069,catNom,0))&amp;"","")),"")</f>
        <v/>
      </c>
      <c r="L2069" s="19">
        <f>IF(I2069="","",IFERROR(INDEX(catAlim,MATCH(D2069,catNom,0))&amp;"",""))</f>
        <v/>
      </c>
      <c r="M2069" s="19">
        <f>IF(I2069="","",IFERROR(INDEX(catComida,MATCH(D2069,catNom,0))&amp;"",""))</f>
        <v/>
      </c>
      <c r="N2069" s="19">
        <f>IF(I2069="","",IFERROR(INDEX(ctaMon,MATCH(E2069,ctaNom,0))&amp;"","DOP"))</f>
        <v/>
      </c>
      <c r="O2069" s="20">
        <f>IF(I2069="","",C2069*IF(N2069="USD",TasaUSD,1))</f>
        <v/>
      </c>
      <c r="P2069" s="20">
        <f>IF(I2069="","",IF(I2069="Gasto",O2069,0))</f>
        <v/>
      </c>
      <c r="Q2069" s="20">
        <f>IF(I2069="","",IF(I2069="Ingreso",O2069,0))</f>
        <v/>
      </c>
      <c r="R2069" s="20">
        <f>IF(I2069="","",IF(I2069="Trading",O2069,0))</f>
        <v/>
      </c>
      <c r="S2069" s="19">
        <f>IF(I2069="","",IF(AND(I2069="Gasto",K2069="Variable",J2069&lt;&gt;"Trading",O2069&gt;0,O2069&lt;=Umbral),1,0))</f>
        <v/>
      </c>
      <c r="T2069" s="20">
        <f>IF(OR(I2069="",E2069=""),"",IF(OR(I2069="Gasto",I2069="Transferencia",I2069="Pago tarjeta"),-1,1)*C2069)</f>
        <v/>
      </c>
      <c r="U2069" s="20">
        <f>IF(OR(G2069="",AND(I2069&lt;&gt;"Transferencia",I2069&lt;&gt;"Pago tarjeta")),"",IF(IFERROR(INDEX(ctaMon,MATCH(G2069,ctaNom,0))&amp;"","DOP")=N2069,C2069,IF(N2069="USD",C2069*TasaUSD,C2069/TasaUSD)))</f>
        <v/>
      </c>
      <c r="V2069" s="20">
        <f>IF(I2069="","",IF(IFERROR(INDEX(ctaLiq,MATCH(E2069,ctaNom,0))="Sí",FALSE),IF(OR(I2069="Gasto",I2069="Transferencia",I2069="Pago tarjeta"),-1,1)*O2069,0)+IF(AND(U2069&lt;&gt;"",IFERROR(INDEX(ctaLiq,MATCH(G2069,ctaNom,0))="Sí",FALSE)),O2069,0))</f>
        <v/>
      </c>
      <c r="W2069" s="19">
        <f>IF(OR(F2069="",I2069=""),"",IF(COUNTIFS(F$6:F2069,F2069,I$6:I2069,"?*")=1,MAX(W$5:W2068)+1,""))</f>
        <v/>
      </c>
    </row>
    <row r="2070">
      <c r="B2070" s="15" t="n"/>
      <c r="C2070" s="16" t="n"/>
      <c r="D2070" s="17" t="n"/>
      <c r="E2070" s="17" t="n"/>
      <c r="F2070" s="17" t="n"/>
      <c r="G2070" s="17" t="n"/>
      <c r="H2070" s="18">
        <f>IF(AND(B2070="",C2070="",D2070="",E2070=""),"",IF(B2070="","⚠ Falta fecha",IF(C2070="","⚠ Falta monto",IF(D2070="","⚠ Falta categoría",IF(ISNA(MATCH(D2070,catNom,0)),"⚠ Categoría no existe",IF(E2070="","⚠ Falta cuenta",IF(ISNA(MATCH(E2070,ctaNom,0)),"⚠ Cuenta no existe",IF(AND(OR(I2070="Transferencia",I2070="Pago tarjeta"),G2070=""),"⚠ Indica la cuenta «Hacia»",IF(AND(G2070&lt;&gt;"",G2070=E2070),"⚠ «Hacia» igual a la cuenta",IF(AND(G2070&lt;&gt;"",ISNA(MATCH(G2070,ctaNom,0))),"⚠ «Hacia» no existe",IF(AND(I2070="Pago tarjeta",IFERROR(INDEX(ctaTipo,MATCH(G2070,ctaNom,0)),"")&lt;&gt;"Tarjeta de crédito"),"⚠ «Hacia» debe ser la tarjeta",IF(AND(I2070="Trading",IFERROR(INDEX(ctaTipo,MATCH(E2070,ctaNom,0)),"")&lt;&gt;"Cuenta de trading"),"⚠ Usa la cuenta de trading","✓"))))))))))))</f>
        <v/>
      </c>
      <c r="I2070" s="19">
        <f>IF(OR(B2070="",C2070="",D2070=""),"",IFERROR(INDEX(catTipo,MATCH(D2070,catNom,0))&amp;"",""))</f>
        <v/>
      </c>
      <c r="J2070" s="19">
        <f>IF(I2070="","",IFERROR(INDEX(catGrupo,MATCH(D2070,catNom,0))&amp;"",""))</f>
        <v/>
      </c>
      <c r="K2070" s="19">
        <f>IF(I2070="Gasto",IF(IFERROR(INDEX(catClas,MATCH(D2070,catNom,0))&amp;"","")="","Variable",IFERROR(INDEX(catClas,MATCH(D2070,catNom,0))&amp;"","")),"")</f>
        <v/>
      </c>
      <c r="L2070" s="19">
        <f>IF(I2070="","",IFERROR(INDEX(catAlim,MATCH(D2070,catNom,0))&amp;"",""))</f>
        <v/>
      </c>
      <c r="M2070" s="19">
        <f>IF(I2070="","",IFERROR(INDEX(catComida,MATCH(D2070,catNom,0))&amp;"",""))</f>
        <v/>
      </c>
      <c r="N2070" s="19">
        <f>IF(I2070="","",IFERROR(INDEX(ctaMon,MATCH(E2070,ctaNom,0))&amp;"","DOP"))</f>
        <v/>
      </c>
      <c r="O2070" s="20">
        <f>IF(I2070="","",C2070*IF(N2070="USD",TasaUSD,1))</f>
        <v/>
      </c>
      <c r="P2070" s="20">
        <f>IF(I2070="","",IF(I2070="Gasto",O2070,0))</f>
        <v/>
      </c>
      <c r="Q2070" s="20">
        <f>IF(I2070="","",IF(I2070="Ingreso",O2070,0))</f>
        <v/>
      </c>
      <c r="R2070" s="20">
        <f>IF(I2070="","",IF(I2070="Trading",O2070,0))</f>
        <v/>
      </c>
      <c r="S2070" s="19">
        <f>IF(I2070="","",IF(AND(I2070="Gasto",K2070="Variable",J2070&lt;&gt;"Trading",O2070&gt;0,O2070&lt;=Umbral),1,0))</f>
        <v/>
      </c>
      <c r="T2070" s="20">
        <f>IF(OR(I2070="",E2070=""),"",IF(OR(I2070="Gasto",I2070="Transferencia",I2070="Pago tarjeta"),-1,1)*C2070)</f>
        <v/>
      </c>
      <c r="U2070" s="20">
        <f>IF(OR(G2070="",AND(I2070&lt;&gt;"Transferencia",I2070&lt;&gt;"Pago tarjeta")),"",IF(IFERROR(INDEX(ctaMon,MATCH(G2070,ctaNom,0))&amp;"","DOP")=N2070,C2070,IF(N2070="USD",C2070*TasaUSD,C2070/TasaUSD)))</f>
        <v/>
      </c>
      <c r="V2070" s="20">
        <f>IF(I2070="","",IF(IFERROR(INDEX(ctaLiq,MATCH(E2070,ctaNom,0))="Sí",FALSE),IF(OR(I2070="Gasto",I2070="Transferencia",I2070="Pago tarjeta"),-1,1)*O2070,0)+IF(AND(U2070&lt;&gt;"",IFERROR(INDEX(ctaLiq,MATCH(G2070,ctaNom,0))="Sí",FALSE)),O2070,0))</f>
        <v/>
      </c>
      <c r="W2070" s="19">
        <f>IF(OR(F2070="",I2070=""),"",IF(COUNTIFS(F$6:F2070,F2070,I$6:I2070,"?*")=1,MAX(W$5:W2069)+1,""))</f>
        <v/>
      </c>
    </row>
    <row r="2071">
      <c r="B2071" s="15" t="n"/>
      <c r="C2071" s="16" t="n"/>
      <c r="D2071" s="17" t="n"/>
      <c r="E2071" s="17" t="n"/>
      <c r="F2071" s="17" t="n"/>
      <c r="G2071" s="17" t="n"/>
      <c r="H2071" s="18">
        <f>IF(AND(B2071="",C2071="",D2071="",E2071=""),"",IF(B2071="","⚠ Falta fecha",IF(C2071="","⚠ Falta monto",IF(D2071="","⚠ Falta categoría",IF(ISNA(MATCH(D2071,catNom,0)),"⚠ Categoría no existe",IF(E2071="","⚠ Falta cuenta",IF(ISNA(MATCH(E2071,ctaNom,0)),"⚠ Cuenta no existe",IF(AND(OR(I2071="Transferencia",I2071="Pago tarjeta"),G2071=""),"⚠ Indica la cuenta «Hacia»",IF(AND(G2071&lt;&gt;"",G2071=E2071),"⚠ «Hacia» igual a la cuenta",IF(AND(G2071&lt;&gt;"",ISNA(MATCH(G2071,ctaNom,0))),"⚠ «Hacia» no existe",IF(AND(I2071="Pago tarjeta",IFERROR(INDEX(ctaTipo,MATCH(G2071,ctaNom,0)),"")&lt;&gt;"Tarjeta de crédito"),"⚠ «Hacia» debe ser la tarjeta",IF(AND(I2071="Trading",IFERROR(INDEX(ctaTipo,MATCH(E2071,ctaNom,0)),"")&lt;&gt;"Cuenta de trading"),"⚠ Usa la cuenta de trading","✓"))))))))))))</f>
        <v/>
      </c>
      <c r="I2071" s="19">
        <f>IF(OR(B2071="",C2071="",D2071=""),"",IFERROR(INDEX(catTipo,MATCH(D2071,catNom,0))&amp;"",""))</f>
        <v/>
      </c>
      <c r="J2071" s="19">
        <f>IF(I2071="","",IFERROR(INDEX(catGrupo,MATCH(D2071,catNom,0))&amp;"",""))</f>
        <v/>
      </c>
      <c r="K2071" s="19">
        <f>IF(I2071="Gasto",IF(IFERROR(INDEX(catClas,MATCH(D2071,catNom,0))&amp;"","")="","Variable",IFERROR(INDEX(catClas,MATCH(D2071,catNom,0))&amp;"","")),"")</f>
        <v/>
      </c>
      <c r="L2071" s="19">
        <f>IF(I2071="","",IFERROR(INDEX(catAlim,MATCH(D2071,catNom,0))&amp;"",""))</f>
        <v/>
      </c>
      <c r="M2071" s="19">
        <f>IF(I2071="","",IFERROR(INDEX(catComida,MATCH(D2071,catNom,0))&amp;"",""))</f>
        <v/>
      </c>
      <c r="N2071" s="19">
        <f>IF(I2071="","",IFERROR(INDEX(ctaMon,MATCH(E2071,ctaNom,0))&amp;"","DOP"))</f>
        <v/>
      </c>
      <c r="O2071" s="20">
        <f>IF(I2071="","",C2071*IF(N2071="USD",TasaUSD,1))</f>
        <v/>
      </c>
      <c r="P2071" s="20">
        <f>IF(I2071="","",IF(I2071="Gasto",O2071,0))</f>
        <v/>
      </c>
      <c r="Q2071" s="20">
        <f>IF(I2071="","",IF(I2071="Ingreso",O2071,0))</f>
        <v/>
      </c>
      <c r="R2071" s="20">
        <f>IF(I2071="","",IF(I2071="Trading",O2071,0))</f>
        <v/>
      </c>
      <c r="S2071" s="19">
        <f>IF(I2071="","",IF(AND(I2071="Gasto",K2071="Variable",J2071&lt;&gt;"Trading",O2071&gt;0,O2071&lt;=Umbral),1,0))</f>
        <v/>
      </c>
      <c r="T2071" s="20">
        <f>IF(OR(I2071="",E2071=""),"",IF(OR(I2071="Gasto",I2071="Transferencia",I2071="Pago tarjeta"),-1,1)*C2071)</f>
        <v/>
      </c>
      <c r="U2071" s="20">
        <f>IF(OR(G2071="",AND(I2071&lt;&gt;"Transferencia",I2071&lt;&gt;"Pago tarjeta")),"",IF(IFERROR(INDEX(ctaMon,MATCH(G2071,ctaNom,0))&amp;"","DOP")=N2071,C2071,IF(N2071="USD",C2071*TasaUSD,C2071/TasaUSD)))</f>
        <v/>
      </c>
      <c r="V2071" s="20">
        <f>IF(I2071="","",IF(IFERROR(INDEX(ctaLiq,MATCH(E2071,ctaNom,0))="Sí",FALSE),IF(OR(I2071="Gasto",I2071="Transferencia",I2071="Pago tarjeta"),-1,1)*O2071,0)+IF(AND(U2071&lt;&gt;"",IFERROR(INDEX(ctaLiq,MATCH(G2071,ctaNom,0))="Sí",FALSE)),O2071,0))</f>
        <v/>
      </c>
      <c r="W2071" s="19">
        <f>IF(OR(F2071="",I2071=""),"",IF(COUNTIFS(F$6:F2071,F2071,I$6:I2071,"?*")=1,MAX(W$5:W2070)+1,""))</f>
        <v/>
      </c>
    </row>
    <row r="2072">
      <c r="B2072" s="15" t="n"/>
      <c r="C2072" s="16" t="n"/>
      <c r="D2072" s="17" t="n"/>
      <c r="E2072" s="17" t="n"/>
      <c r="F2072" s="17" t="n"/>
      <c r="G2072" s="17" t="n"/>
      <c r="H2072" s="18">
        <f>IF(AND(B2072="",C2072="",D2072="",E2072=""),"",IF(B2072="","⚠ Falta fecha",IF(C2072="","⚠ Falta monto",IF(D2072="","⚠ Falta categoría",IF(ISNA(MATCH(D2072,catNom,0)),"⚠ Categoría no existe",IF(E2072="","⚠ Falta cuenta",IF(ISNA(MATCH(E2072,ctaNom,0)),"⚠ Cuenta no existe",IF(AND(OR(I2072="Transferencia",I2072="Pago tarjeta"),G2072=""),"⚠ Indica la cuenta «Hacia»",IF(AND(G2072&lt;&gt;"",G2072=E2072),"⚠ «Hacia» igual a la cuenta",IF(AND(G2072&lt;&gt;"",ISNA(MATCH(G2072,ctaNom,0))),"⚠ «Hacia» no existe",IF(AND(I2072="Pago tarjeta",IFERROR(INDEX(ctaTipo,MATCH(G2072,ctaNom,0)),"")&lt;&gt;"Tarjeta de crédito"),"⚠ «Hacia» debe ser la tarjeta",IF(AND(I2072="Trading",IFERROR(INDEX(ctaTipo,MATCH(E2072,ctaNom,0)),"")&lt;&gt;"Cuenta de trading"),"⚠ Usa la cuenta de trading","✓"))))))))))))</f>
        <v/>
      </c>
      <c r="I2072" s="19">
        <f>IF(OR(B2072="",C2072="",D2072=""),"",IFERROR(INDEX(catTipo,MATCH(D2072,catNom,0))&amp;"",""))</f>
        <v/>
      </c>
      <c r="J2072" s="19">
        <f>IF(I2072="","",IFERROR(INDEX(catGrupo,MATCH(D2072,catNom,0))&amp;"",""))</f>
        <v/>
      </c>
      <c r="K2072" s="19">
        <f>IF(I2072="Gasto",IF(IFERROR(INDEX(catClas,MATCH(D2072,catNom,0))&amp;"","")="","Variable",IFERROR(INDEX(catClas,MATCH(D2072,catNom,0))&amp;"","")),"")</f>
        <v/>
      </c>
      <c r="L2072" s="19">
        <f>IF(I2072="","",IFERROR(INDEX(catAlim,MATCH(D2072,catNom,0))&amp;"",""))</f>
        <v/>
      </c>
      <c r="M2072" s="19">
        <f>IF(I2072="","",IFERROR(INDEX(catComida,MATCH(D2072,catNom,0))&amp;"",""))</f>
        <v/>
      </c>
      <c r="N2072" s="19">
        <f>IF(I2072="","",IFERROR(INDEX(ctaMon,MATCH(E2072,ctaNom,0))&amp;"","DOP"))</f>
        <v/>
      </c>
      <c r="O2072" s="20">
        <f>IF(I2072="","",C2072*IF(N2072="USD",TasaUSD,1))</f>
        <v/>
      </c>
      <c r="P2072" s="20">
        <f>IF(I2072="","",IF(I2072="Gasto",O2072,0))</f>
        <v/>
      </c>
      <c r="Q2072" s="20">
        <f>IF(I2072="","",IF(I2072="Ingreso",O2072,0))</f>
        <v/>
      </c>
      <c r="R2072" s="20">
        <f>IF(I2072="","",IF(I2072="Trading",O2072,0))</f>
        <v/>
      </c>
      <c r="S2072" s="19">
        <f>IF(I2072="","",IF(AND(I2072="Gasto",K2072="Variable",J2072&lt;&gt;"Trading",O2072&gt;0,O2072&lt;=Umbral),1,0))</f>
        <v/>
      </c>
      <c r="T2072" s="20">
        <f>IF(OR(I2072="",E2072=""),"",IF(OR(I2072="Gasto",I2072="Transferencia",I2072="Pago tarjeta"),-1,1)*C2072)</f>
        <v/>
      </c>
      <c r="U2072" s="20">
        <f>IF(OR(G2072="",AND(I2072&lt;&gt;"Transferencia",I2072&lt;&gt;"Pago tarjeta")),"",IF(IFERROR(INDEX(ctaMon,MATCH(G2072,ctaNom,0))&amp;"","DOP")=N2072,C2072,IF(N2072="USD",C2072*TasaUSD,C2072/TasaUSD)))</f>
        <v/>
      </c>
      <c r="V2072" s="20">
        <f>IF(I2072="","",IF(IFERROR(INDEX(ctaLiq,MATCH(E2072,ctaNom,0))="Sí",FALSE),IF(OR(I2072="Gasto",I2072="Transferencia",I2072="Pago tarjeta"),-1,1)*O2072,0)+IF(AND(U2072&lt;&gt;"",IFERROR(INDEX(ctaLiq,MATCH(G2072,ctaNom,0))="Sí",FALSE)),O2072,0))</f>
        <v/>
      </c>
      <c r="W2072" s="19">
        <f>IF(OR(F2072="",I2072=""),"",IF(COUNTIFS(F$6:F2072,F2072,I$6:I2072,"?*")=1,MAX(W$5:W2071)+1,""))</f>
        <v/>
      </c>
    </row>
    <row r="2073">
      <c r="B2073" s="15" t="n"/>
      <c r="C2073" s="16" t="n"/>
      <c r="D2073" s="17" t="n"/>
      <c r="E2073" s="17" t="n"/>
      <c r="F2073" s="17" t="n"/>
      <c r="G2073" s="17" t="n"/>
      <c r="H2073" s="18">
        <f>IF(AND(B2073="",C2073="",D2073="",E2073=""),"",IF(B2073="","⚠ Falta fecha",IF(C2073="","⚠ Falta monto",IF(D2073="","⚠ Falta categoría",IF(ISNA(MATCH(D2073,catNom,0)),"⚠ Categoría no existe",IF(E2073="","⚠ Falta cuenta",IF(ISNA(MATCH(E2073,ctaNom,0)),"⚠ Cuenta no existe",IF(AND(OR(I2073="Transferencia",I2073="Pago tarjeta"),G2073=""),"⚠ Indica la cuenta «Hacia»",IF(AND(G2073&lt;&gt;"",G2073=E2073),"⚠ «Hacia» igual a la cuenta",IF(AND(G2073&lt;&gt;"",ISNA(MATCH(G2073,ctaNom,0))),"⚠ «Hacia» no existe",IF(AND(I2073="Pago tarjeta",IFERROR(INDEX(ctaTipo,MATCH(G2073,ctaNom,0)),"")&lt;&gt;"Tarjeta de crédito"),"⚠ «Hacia» debe ser la tarjeta",IF(AND(I2073="Trading",IFERROR(INDEX(ctaTipo,MATCH(E2073,ctaNom,0)),"")&lt;&gt;"Cuenta de trading"),"⚠ Usa la cuenta de trading","✓"))))))))))))</f>
        <v/>
      </c>
      <c r="I2073" s="19">
        <f>IF(OR(B2073="",C2073="",D2073=""),"",IFERROR(INDEX(catTipo,MATCH(D2073,catNom,0))&amp;"",""))</f>
        <v/>
      </c>
      <c r="J2073" s="19">
        <f>IF(I2073="","",IFERROR(INDEX(catGrupo,MATCH(D2073,catNom,0))&amp;"",""))</f>
        <v/>
      </c>
      <c r="K2073" s="19">
        <f>IF(I2073="Gasto",IF(IFERROR(INDEX(catClas,MATCH(D2073,catNom,0))&amp;"","")="","Variable",IFERROR(INDEX(catClas,MATCH(D2073,catNom,0))&amp;"","")),"")</f>
        <v/>
      </c>
      <c r="L2073" s="19">
        <f>IF(I2073="","",IFERROR(INDEX(catAlim,MATCH(D2073,catNom,0))&amp;"",""))</f>
        <v/>
      </c>
      <c r="M2073" s="19">
        <f>IF(I2073="","",IFERROR(INDEX(catComida,MATCH(D2073,catNom,0))&amp;"",""))</f>
        <v/>
      </c>
      <c r="N2073" s="19">
        <f>IF(I2073="","",IFERROR(INDEX(ctaMon,MATCH(E2073,ctaNom,0))&amp;"","DOP"))</f>
        <v/>
      </c>
      <c r="O2073" s="20">
        <f>IF(I2073="","",C2073*IF(N2073="USD",TasaUSD,1))</f>
        <v/>
      </c>
      <c r="P2073" s="20">
        <f>IF(I2073="","",IF(I2073="Gasto",O2073,0))</f>
        <v/>
      </c>
      <c r="Q2073" s="20">
        <f>IF(I2073="","",IF(I2073="Ingreso",O2073,0))</f>
        <v/>
      </c>
      <c r="R2073" s="20">
        <f>IF(I2073="","",IF(I2073="Trading",O2073,0))</f>
        <v/>
      </c>
      <c r="S2073" s="19">
        <f>IF(I2073="","",IF(AND(I2073="Gasto",K2073="Variable",J2073&lt;&gt;"Trading",O2073&gt;0,O2073&lt;=Umbral),1,0))</f>
        <v/>
      </c>
      <c r="T2073" s="20">
        <f>IF(OR(I2073="",E2073=""),"",IF(OR(I2073="Gasto",I2073="Transferencia",I2073="Pago tarjeta"),-1,1)*C2073)</f>
        <v/>
      </c>
      <c r="U2073" s="20">
        <f>IF(OR(G2073="",AND(I2073&lt;&gt;"Transferencia",I2073&lt;&gt;"Pago tarjeta")),"",IF(IFERROR(INDEX(ctaMon,MATCH(G2073,ctaNom,0))&amp;"","DOP")=N2073,C2073,IF(N2073="USD",C2073*TasaUSD,C2073/TasaUSD)))</f>
        <v/>
      </c>
      <c r="V2073" s="20">
        <f>IF(I2073="","",IF(IFERROR(INDEX(ctaLiq,MATCH(E2073,ctaNom,0))="Sí",FALSE),IF(OR(I2073="Gasto",I2073="Transferencia",I2073="Pago tarjeta"),-1,1)*O2073,0)+IF(AND(U2073&lt;&gt;"",IFERROR(INDEX(ctaLiq,MATCH(G2073,ctaNom,0))="Sí",FALSE)),O2073,0))</f>
        <v/>
      </c>
      <c r="W2073" s="19">
        <f>IF(OR(F2073="",I2073=""),"",IF(COUNTIFS(F$6:F2073,F2073,I$6:I2073,"?*")=1,MAX(W$5:W2072)+1,""))</f>
        <v/>
      </c>
    </row>
    <row r="2074">
      <c r="B2074" s="15" t="n"/>
      <c r="C2074" s="16" t="n"/>
      <c r="D2074" s="17" t="n"/>
      <c r="E2074" s="17" t="n"/>
      <c r="F2074" s="17" t="n"/>
      <c r="G2074" s="17" t="n"/>
      <c r="H2074" s="18">
        <f>IF(AND(B2074="",C2074="",D2074="",E2074=""),"",IF(B2074="","⚠ Falta fecha",IF(C2074="","⚠ Falta monto",IF(D2074="","⚠ Falta categoría",IF(ISNA(MATCH(D2074,catNom,0)),"⚠ Categoría no existe",IF(E2074="","⚠ Falta cuenta",IF(ISNA(MATCH(E2074,ctaNom,0)),"⚠ Cuenta no existe",IF(AND(OR(I2074="Transferencia",I2074="Pago tarjeta"),G2074=""),"⚠ Indica la cuenta «Hacia»",IF(AND(G2074&lt;&gt;"",G2074=E2074),"⚠ «Hacia» igual a la cuenta",IF(AND(G2074&lt;&gt;"",ISNA(MATCH(G2074,ctaNom,0))),"⚠ «Hacia» no existe",IF(AND(I2074="Pago tarjeta",IFERROR(INDEX(ctaTipo,MATCH(G2074,ctaNom,0)),"")&lt;&gt;"Tarjeta de crédito"),"⚠ «Hacia» debe ser la tarjeta",IF(AND(I2074="Trading",IFERROR(INDEX(ctaTipo,MATCH(E2074,ctaNom,0)),"")&lt;&gt;"Cuenta de trading"),"⚠ Usa la cuenta de trading","✓"))))))))))))</f>
        <v/>
      </c>
      <c r="I2074" s="19">
        <f>IF(OR(B2074="",C2074="",D2074=""),"",IFERROR(INDEX(catTipo,MATCH(D2074,catNom,0))&amp;"",""))</f>
        <v/>
      </c>
      <c r="J2074" s="19">
        <f>IF(I2074="","",IFERROR(INDEX(catGrupo,MATCH(D2074,catNom,0))&amp;"",""))</f>
        <v/>
      </c>
      <c r="K2074" s="19">
        <f>IF(I2074="Gasto",IF(IFERROR(INDEX(catClas,MATCH(D2074,catNom,0))&amp;"","")="","Variable",IFERROR(INDEX(catClas,MATCH(D2074,catNom,0))&amp;"","")),"")</f>
        <v/>
      </c>
      <c r="L2074" s="19">
        <f>IF(I2074="","",IFERROR(INDEX(catAlim,MATCH(D2074,catNom,0))&amp;"",""))</f>
        <v/>
      </c>
      <c r="M2074" s="19">
        <f>IF(I2074="","",IFERROR(INDEX(catComida,MATCH(D2074,catNom,0))&amp;"",""))</f>
        <v/>
      </c>
      <c r="N2074" s="19">
        <f>IF(I2074="","",IFERROR(INDEX(ctaMon,MATCH(E2074,ctaNom,0))&amp;"","DOP"))</f>
        <v/>
      </c>
      <c r="O2074" s="20">
        <f>IF(I2074="","",C2074*IF(N2074="USD",TasaUSD,1))</f>
        <v/>
      </c>
      <c r="P2074" s="20">
        <f>IF(I2074="","",IF(I2074="Gasto",O2074,0))</f>
        <v/>
      </c>
      <c r="Q2074" s="20">
        <f>IF(I2074="","",IF(I2074="Ingreso",O2074,0))</f>
        <v/>
      </c>
      <c r="R2074" s="20">
        <f>IF(I2074="","",IF(I2074="Trading",O2074,0))</f>
        <v/>
      </c>
      <c r="S2074" s="19">
        <f>IF(I2074="","",IF(AND(I2074="Gasto",K2074="Variable",J2074&lt;&gt;"Trading",O2074&gt;0,O2074&lt;=Umbral),1,0))</f>
        <v/>
      </c>
      <c r="T2074" s="20">
        <f>IF(OR(I2074="",E2074=""),"",IF(OR(I2074="Gasto",I2074="Transferencia",I2074="Pago tarjeta"),-1,1)*C2074)</f>
        <v/>
      </c>
      <c r="U2074" s="20">
        <f>IF(OR(G2074="",AND(I2074&lt;&gt;"Transferencia",I2074&lt;&gt;"Pago tarjeta")),"",IF(IFERROR(INDEX(ctaMon,MATCH(G2074,ctaNom,0))&amp;"","DOP")=N2074,C2074,IF(N2074="USD",C2074*TasaUSD,C2074/TasaUSD)))</f>
        <v/>
      </c>
      <c r="V2074" s="20">
        <f>IF(I2074="","",IF(IFERROR(INDEX(ctaLiq,MATCH(E2074,ctaNom,0))="Sí",FALSE),IF(OR(I2074="Gasto",I2074="Transferencia",I2074="Pago tarjeta"),-1,1)*O2074,0)+IF(AND(U2074&lt;&gt;"",IFERROR(INDEX(ctaLiq,MATCH(G2074,ctaNom,0))="Sí",FALSE)),O2074,0))</f>
        <v/>
      </c>
      <c r="W2074" s="19">
        <f>IF(OR(F2074="",I2074=""),"",IF(COUNTIFS(F$6:F2074,F2074,I$6:I2074,"?*")=1,MAX(W$5:W2073)+1,""))</f>
        <v/>
      </c>
    </row>
    <row r="2075">
      <c r="B2075" s="15" t="n"/>
      <c r="C2075" s="16" t="n"/>
      <c r="D2075" s="17" t="n"/>
      <c r="E2075" s="17" t="n"/>
      <c r="F2075" s="17" t="n"/>
      <c r="G2075" s="17" t="n"/>
      <c r="H2075" s="18">
        <f>IF(AND(B2075="",C2075="",D2075="",E2075=""),"",IF(B2075="","⚠ Falta fecha",IF(C2075="","⚠ Falta monto",IF(D2075="","⚠ Falta categoría",IF(ISNA(MATCH(D2075,catNom,0)),"⚠ Categoría no existe",IF(E2075="","⚠ Falta cuenta",IF(ISNA(MATCH(E2075,ctaNom,0)),"⚠ Cuenta no existe",IF(AND(OR(I2075="Transferencia",I2075="Pago tarjeta"),G2075=""),"⚠ Indica la cuenta «Hacia»",IF(AND(G2075&lt;&gt;"",G2075=E2075),"⚠ «Hacia» igual a la cuenta",IF(AND(G2075&lt;&gt;"",ISNA(MATCH(G2075,ctaNom,0))),"⚠ «Hacia» no existe",IF(AND(I2075="Pago tarjeta",IFERROR(INDEX(ctaTipo,MATCH(G2075,ctaNom,0)),"")&lt;&gt;"Tarjeta de crédito"),"⚠ «Hacia» debe ser la tarjeta",IF(AND(I2075="Trading",IFERROR(INDEX(ctaTipo,MATCH(E2075,ctaNom,0)),"")&lt;&gt;"Cuenta de trading"),"⚠ Usa la cuenta de trading","✓"))))))))))))</f>
        <v/>
      </c>
      <c r="I2075" s="19">
        <f>IF(OR(B2075="",C2075="",D2075=""),"",IFERROR(INDEX(catTipo,MATCH(D2075,catNom,0))&amp;"",""))</f>
        <v/>
      </c>
      <c r="J2075" s="19">
        <f>IF(I2075="","",IFERROR(INDEX(catGrupo,MATCH(D2075,catNom,0))&amp;"",""))</f>
        <v/>
      </c>
      <c r="K2075" s="19">
        <f>IF(I2075="Gasto",IF(IFERROR(INDEX(catClas,MATCH(D2075,catNom,0))&amp;"","")="","Variable",IFERROR(INDEX(catClas,MATCH(D2075,catNom,0))&amp;"","")),"")</f>
        <v/>
      </c>
      <c r="L2075" s="19">
        <f>IF(I2075="","",IFERROR(INDEX(catAlim,MATCH(D2075,catNom,0))&amp;"",""))</f>
        <v/>
      </c>
      <c r="M2075" s="19">
        <f>IF(I2075="","",IFERROR(INDEX(catComida,MATCH(D2075,catNom,0))&amp;"",""))</f>
        <v/>
      </c>
      <c r="N2075" s="19">
        <f>IF(I2075="","",IFERROR(INDEX(ctaMon,MATCH(E2075,ctaNom,0))&amp;"","DOP"))</f>
        <v/>
      </c>
      <c r="O2075" s="20">
        <f>IF(I2075="","",C2075*IF(N2075="USD",TasaUSD,1))</f>
        <v/>
      </c>
      <c r="P2075" s="20">
        <f>IF(I2075="","",IF(I2075="Gasto",O2075,0))</f>
        <v/>
      </c>
      <c r="Q2075" s="20">
        <f>IF(I2075="","",IF(I2075="Ingreso",O2075,0))</f>
        <v/>
      </c>
      <c r="R2075" s="20">
        <f>IF(I2075="","",IF(I2075="Trading",O2075,0))</f>
        <v/>
      </c>
      <c r="S2075" s="19">
        <f>IF(I2075="","",IF(AND(I2075="Gasto",K2075="Variable",J2075&lt;&gt;"Trading",O2075&gt;0,O2075&lt;=Umbral),1,0))</f>
        <v/>
      </c>
      <c r="T2075" s="20">
        <f>IF(OR(I2075="",E2075=""),"",IF(OR(I2075="Gasto",I2075="Transferencia",I2075="Pago tarjeta"),-1,1)*C2075)</f>
        <v/>
      </c>
      <c r="U2075" s="20">
        <f>IF(OR(G2075="",AND(I2075&lt;&gt;"Transferencia",I2075&lt;&gt;"Pago tarjeta")),"",IF(IFERROR(INDEX(ctaMon,MATCH(G2075,ctaNom,0))&amp;"","DOP")=N2075,C2075,IF(N2075="USD",C2075*TasaUSD,C2075/TasaUSD)))</f>
        <v/>
      </c>
      <c r="V2075" s="20">
        <f>IF(I2075="","",IF(IFERROR(INDEX(ctaLiq,MATCH(E2075,ctaNom,0))="Sí",FALSE),IF(OR(I2075="Gasto",I2075="Transferencia",I2075="Pago tarjeta"),-1,1)*O2075,0)+IF(AND(U2075&lt;&gt;"",IFERROR(INDEX(ctaLiq,MATCH(G2075,ctaNom,0))="Sí",FALSE)),O2075,0))</f>
        <v/>
      </c>
      <c r="W2075" s="19">
        <f>IF(OR(F2075="",I2075=""),"",IF(COUNTIFS(F$6:F2075,F2075,I$6:I2075,"?*")=1,MAX(W$5:W2074)+1,""))</f>
        <v/>
      </c>
    </row>
    <row r="2076">
      <c r="B2076" s="15" t="n"/>
      <c r="C2076" s="16" t="n"/>
      <c r="D2076" s="17" t="n"/>
      <c r="E2076" s="17" t="n"/>
      <c r="F2076" s="17" t="n"/>
      <c r="G2076" s="17" t="n"/>
      <c r="H2076" s="18">
        <f>IF(AND(B2076="",C2076="",D2076="",E2076=""),"",IF(B2076="","⚠ Falta fecha",IF(C2076="","⚠ Falta monto",IF(D2076="","⚠ Falta categoría",IF(ISNA(MATCH(D2076,catNom,0)),"⚠ Categoría no existe",IF(E2076="","⚠ Falta cuenta",IF(ISNA(MATCH(E2076,ctaNom,0)),"⚠ Cuenta no existe",IF(AND(OR(I2076="Transferencia",I2076="Pago tarjeta"),G2076=""),"⚠ Indica la cuenta «Hacia»",IF(AND(G2076&lt;&gt;"",G2076=E2076),"⚠ «Hacia» igual a la cuenta",IF(AND(G2076&lt;&gt;"",ISNA(MATCH(G2076,ctaNom,0))),"⚠ «Hacia» no existe",IF(AND(I2076="Pago tarjeta",IFERROR(INDEX(ctaTipo,MATCH(G2076,ctaNom,0)),"")&lt;&gt;"Tarjeta de crédito"),"⚠ «Hacia» debe ser la tarjeta",IF(AND(I2076="Trading",IFERROR(INDEX(ctaTipo,MATCH(E2076,ctaNom,0)),"")&lt;&gt;"Cuenta de trading"),"⚠ Usa la cuenta de trading","✓"))))))))))))</f>
        <v/>
      </c>
      <c r="I2076" s="19">
        <f>IF(OR(B2076="",C2076="",D2076=""),"",IFERROR(INDEX(catTipo,MATCH(D2076,catNom,0))&amp;"",""))</f>
        <v/>
      </c>
      <c r="J2076" s="19">
        <f>IF(I2076="","",IFERROR(INDEX(catGrupo,MATCH(D2076,catNom,0))&amp;"",""))</f>
        <v/>
      </c>
      <c r="K2076" s="19">
        <f>IF(I2076="Gasto",IF(IFERROR(INDEX(catClas,MATCH(D2076,catNom,0))&amp;"","")="","Variable",IFERROR(INDEX(catClas,MATCH(D2076,catNom,0))&amp;"","")),"")</f>
        <v/>
      </c>
      <c r="L2076" s="19">
        <f>IF(I2076="","",IFERROR(INDEX(catAlim,MATCH(D2076,catNom,0))&amp;"",""))</f>
        <v/>
      </c>
      <c r="M2076" s="19">
        <f>IF(I2076="","",IFERROR(INDEX(catComida,MATCH(D2076,catNom,0))&amp;"",""))</f>
        <v/>
      </c>
      <c r="N2076" s="19">
        <f>IF(I2076="","",IFERROR(INDEX(ctaMon,MATCH(E2076,ctaNom,0))&amp;"","DOP"))</f>
        <v/>
      </c>
      <c r="O2076" s="20">
        <f>IF(I2076="","",C2076*IF(N2076="USD",TasaUSD,1))</f>
        <v/>
      </c>
      <c r="P2076" s="20">
        <f>IF(I2076="","",IF(I2076="Gasto",O2076,0))</f>
        <v/>
      </c>
      <c r="Q2076" s="20">
        <f>IF(I2076="","",IF(I2076="Ingreso",O2076,0))</f>
        <v/>
      </c>
      <c r="R2076" s="20">
        <f>IF(I2076="","",IF(I2076="Trading",O2076,0))</f>
        <v/>
      </c>
      <c r="S2076" s="19">
        <f>IF(I2076="","",IF(AND(I2076="Gasto",K2076="Variable",J2076&lt;&gt;"Trading",O2076&gt;0,O2076&lt;=Umbral),1,0))</f>
        <v/>
      </c>
      <c r="T2076" s="20">
        <f>IF(OR(I2076="",E2076=""),"",IF(OR(I2076="Gasto",I2076="Transferencia",I2076="Pago tarjeta"),-1,1)*C2076)</f>
        <v/>
      </c>
      <c r="U2076" s="20">
        <f>IF(OR(G2076="",AND(I2076&lt;&gt;"Transferencia",I2076&lt;&gt;"Pago tarjeta")),"",IF(IFERROR(INDEX(ctaMon,MATCH(G2076,ctaNom,0))&amp;"","DOP")=N2076,C2076,IF(N2076="USD",C2076*TasaUSD,C2076/TasaUSD)))</f>
        <v/>
      </c>
      <c r="V2076" s="20">
        <f>IF(I2076="","",IF(IFERROR(INDEX(ctaLiq,MATCH(E2076,ctaNom,0))="Sí",FALSE),IF(OR(I2076="Gasto",I2076="Transferencia",I2076="Pago tarjeta"),-1,1)*O2076,0)+IF(AND(U2076&lt;&gt;"",IFERROR(INDEX(ctaLiq,MATCH(G2076,ctaNom,0))="Sí",FALSE)),O2076,0))</f>
        <v/>
      </c>
      <c r="W2076" s="19">
        <f>IF(OR(F2076="",I2076=""),"",IF(COUNTIFS(F$6:F2076,F2076,I$6:I2076,"?*")=1,MAX(W$5:W2075)+1,""))</f>
        <v/>
      </c>
    </row>
    <row r="2077">
      <c r="B2077" s="15" t="n"/>
      <c r="C2077" s="16" t="n"/>
      <c r="D2077" s="17" t="n"/>
      <c r="E2077" s="17" t="n"/>
      <c r="F2077" s="17" t="n"/>
      <c r="G2077" s="17" t="n"/>
      <c r="H2077" s="18">
        <f>IF(AND(B2077="",C2077="",D2077="",E2077=""),"",IF(B2077="","⚠ Falta fecha",IF(C2077="","⚠ Falta monto",IF(D2077="","⚠ Falta categoría",IF(ISNA(MATCH(D2077,catNom,0)),"⚠ Categoría no existe",IF(E2077="","⚠ Falta cuenta",IF(ISNA(MATCH(E2077,ctaNom,0)),"⚠ Cuenta no existe",IF(AND(OR(I2077="Transferencia",I2077="Pago tarjeta"),G2077=""),"⚠ Indica la cuenta «Hacia»",IF(AND(G2077&lt;&gt;"",G2077=E2077),"⚠ «Hacia» igual a la cuenta",IF(AND(G2077&lt;&gt;"",ISNA(MATCH(G2077,ctaNom,0))),"⚠ «Hacia» no existe",IF(AND(I2077="Pago tarjeta",IFERROR(INDEX(ctaTipo,MATCH(G2077,ctaNom,0)),"")&lt;&gt;"Tarjeta de crédito"),"⚠ «Hacia» debe ser la tarjeta",IF(AND(I2077="Trading",IFERROR(INDEX(ctaTipo,MATCH(E2077,ctaNom,0)),"")&lt;&gt;"Cuenta de trading"),"⚠ Usa la cuenta de trading","✓"))))))))))))</f>
        <v/>
      </c>
      <c r="I2077" s="19">
        <f>IF(OR(B2077="",C2077="",D2077=""),"",IFERROR(INDEX(catTipo,MATCH(D2077,catNom,0))&amp;"",""))</f>
        <v/>
      </c>
      <c r="J2077" s="19">
        <f>IF(I2077="","",IFERROR(INDEX(catGrupo,MATCH(D2077,catNom,0))&amp;"",""))</f>
        <v/>
      </c>
      <c r="K2077" s="19">
        <f>IF(I2077="Gasto",IF(IFERROR(INDEX(catClas,MATCH(D2077,catNom,0))&amp;"","")="","Variable",IFERROR(INDEX(catClas,MATCH(D2077,catNom,0))&amp;"","")),"")</f>
        <v/>
      </c>
      <c r="L2077" s="19">
        <f>IF(I2077="","",IFERROR(INDEX(catAlim,MATCH(D2077,catNom,0))&amp;"",""))</f>
        <v/>
      </c>
      <c r="M2077" s="19">
        <f>IF(I2077="","",IFERROR(INDEX(catComida,MATCH(D2077,catNom,0))&amp;"",""))</f>
        <v/>
      </c>
      <c r="N2077" s="19">
        <f>IF(I2077="","",IFERROR(INDEX(ctaMon,MATCH(E2077,ctaNom,0))&amp;"","DOP"))</f>
        <v/>
      </c>
      <c r="O2077" s="20">
        <f>IF(I2077="","",C2077*IF(N2077="USD",TasaUSD,1))</f>
        <v/>
      </c>
      <c r="P2077" s="20">
        <f>IF(I2077="","",IF(I2077="Gasto",O2077,0))</f>
        <v/>
      </c>
      <c r="Q2077" s="20">
        <f>IF(I2077="","",IF(I2077="Ingreso",O2077,0))</f>
        <v/>
      </c>
      <c r="R2077" s="20">
        <f>IF(I2077="","",IF(I2077="Trading",O2077,0))</f>
        <v/>
      </c>
      <c r="S2077" s="19">
        <f>IF(I2077="","",IF(AND(I2077="Gasto",K2077="Variable",J2077&lt;&gt;"Trading",O2077&gt;0,O2077&lt;=Umbral),1,0))</f>
        <v/>
      </c>
      <c r="T2077" s="20">
        <f>IF(OR(I2077="",E2077=""),"",IF(OR(I2077="Gasto",I2077="Transferencia",I2077="Pago tarjeta"),-1,1)*C2077)</f>
        <v/>
      </c>
      <c r="U2077" s="20">
        <f>IF(OR(G2077="",AND(I2077&lt;&gt;"Transferencia",I2077&lt;&gt;"Pago tarjeta")),"",IF(IFERROR(INDEX(ctaMon,MATCH(G2077,ctaNom,0))&amp;"","DOP")=N2077,C2077,IF(N2077="USD",C2077*TasaUSD,C2077/TasaUSD)))</f>
        <v/>
      </c>
      <c r="V2077" s="20">
        <f>IF(I2077="","",IF(IFERROR(INDEX(ctaLiq,MATCH(E2077,ctaNom,0))="Sí",FALSE),IF(OR(I2077="Gasto",I2077="Transferencia",I2077="Pago tarjeta"),-1,1)*O2077,0)+IF(AND(U2077&lt;&gt;"",IFERROR(INDEX(ctaLiq,MATCH(G2077,ctaNom,0))="Sí",FALSE)),O2077,0))</f>
        <v/>
      </c>
      <c r="W2077" s="19">
        <f>IF(OR(F2077="",I2077=""),"",IF(COUNTIFS(F$6:F2077,F2077,I$6:I2077,"?*")=1,MAX(W$5:W2076)+1,""))</f>
        <v/>
      </c>
    </row>
    <row r="2078">
      <c r="B2078" s="15" t="n"/>
      <c r="C2078" s="16" t="n"/>
      <c r="D2078" s="17" t="n"/>
      <c r="E2078" s="17" t="n"/>
      <c r="F2078" s="17" t="n"/>
      <c r="G2078" s="17" t="n"/>
      <c r="H2078" s="18">
        <f>IF(AND(B2078="",C2078="",D2078="",E2078=""),"",IF(B2078="","⚠ Falta fecha",IF(C2078="","⚠ Falta monto",IF(D2078="","⚠ Falta categoría",IF(ISNA(MATCH(D2078,catNom,0)),"⚠ Categoría no existe",IF(E2078="","⚠ Falta cuenta",IF(ISNA(MATCH(E2078,ctaNom,0)),"⚠ Cuenta no existe",IF(AND(OR(I2078="Transferencia",I2078="Pago tarjeta"),G2078=""),"⚠ Indica la cuenta «Hacia»",IF(AND(G2078&lt;&gt;"",G2078=E2078),"⚠ «Hacia» igual a la cuenta",IF(AND(G2078&lt;&gt;"",ISNA(MATCH(G2078,ctaNom,0))),"⚠ «Hacia» no existe",IF(AND(I2078="Pago tarjeta",IFERROR(INDEX(ctaTipo,MATCH(G2078,ctaNom,0)),"")&lt;&gt;"Tarjeta de crédito"),"⚠ «Hacia» debe ser la tarjeta",IF(AND(I2078="Trading",IFERROR(INDEX(ctaTipo,MATCH(E2078,ctaNom,0)),"")&lt;&gt;"Cuenta de trading"),"⚠ Usa la cuenta de trading","✓"))))))))))))</f>
        <v/>
      </c>
      <c r="I2078" s="19">
        <f>IF(OR(B2078="",C2078="",D2078=""),"",IFERROR(INDEX(catTipo,MATCH(D2078,catNom,0))&amp;"",""))</f>
        <v/>
      </c>
      <c r="J2078" s="19">
        <f>IF(I2078="","",IFERROR(INDEX(catGrupo,MATCH(D2078,catNom,0))&amp;"",""))</f>
        <v/>
      </c>
      <c r="K2078" s="19">
        <f>IF(I2078="Gasto",IF(IFERROR(INDEX(catClas,MATCH(D2078,catNom,0))&amp;"","")="","Variable",IFERROR(INDEX(catClas,MATCH(D2078,catNom,0))&amp;"","")),"")</f>
        <v/>
      </c>
      <c r="L2078" s="19">
        <f>IF(I2078="","",IFERROR(INDEX(catAlim,MATCH(D2078,catNom,0))&amp;"",""))</f>
        <v/>
      </c>
      <c r="M2078" s="19">
        <f>IF(I2078="","",IFERROR(INDEX(catComida,MATCH(D2078,catNom,0))&amp;"",""))</f>
        <v/>
      </c>
      <c r="N2078" s="19">
        <f>IF(I2078="","",IFERROR(INDEX(ctaMon,MATCH(E2078,ctaNom,0))&amp;"","DOP"))</f>
        <v/>
      </c>
      <c r="O2078" s="20">
        <f>IF(I2078="","",C2078*IF(N2078="USD",TasaUSD,1))</f>
        <v/>
      </c>
      <c r="P2078" s="20">
        <f>IF(I2078="","",IF(I2078="Gasto",O2078,0))</f>
        <v/>
      </c>
      <c r="Q2078" s="20">
        <f>IF(I2078="","",IF(I2078="Ingreso",O2078,0))</f>
        <v/>
      </c>
      <c r="R2078" s="20">
        <f>IF(I2078="","",IF(I2078="Trading",O2078,0))</f>
        <v/>
      </c>
      <c r="S2078" s="19">
        <f>IF(I2078="","",IF(AND(I2078="Gasto",K2078="Variable",J2078&lt;&gt;"Trading",O2078&gt;0,O2078&lt;=Umbral),1,0))</f>
        <v/>
      </c>
      <c r="T2078" s="20">
        <f>IF(OR(I2078="",E2078=""),"",IF(OR(I2078="Gasto",I2078="Transferencia",I2078="Pago tarjeta"),-1,1)*C2078)</f>
        <v/>
      </c>
      <c r="U2078" s="20">
        <f>IF(OR(G2078="",AND(I2078&lt;&gt;"Transferencia",I2078&lt;&gt;"Pago tarjeta")),"",IF(IFERROR(INDEX(ctaMon,MATCH(G2078,ctaNom,0))&amp;"","DOP")=N2078,C2078,IF(N2078="USD",C2078*TasaUSD,C2078/TasaUSD)))</f>
        <v/>
      </c>
      <c r="V2078" s="20">
        <f>IF(I2078="","",IF(IFERROR(INDEX(ctaLiq,MATCH(E2078,ctaNom,0))="Sí",FALSE),IF(OR(I2078="Gasto",I2078="Transferencia",I2078="Pago tarjeta"),-1,1)*O2078,0)+IF(AND(U2078&lt;&gt;"",IFERROR(INDEX(ctaLiq,MATCH(G2078,ctaNom,0))="Sí",FALSE)),O2078,0))</f>
        <v/>
      </c>
      <c r="W2078" s="19">
        <f>IF(OR(F2078="",I2078=""),"",IF(COUNTIFS(F$6:F2078,F2078,I$6:I2078,"?*")=1,MAX(W$5:W2077)+1,""))</f>
        <v/>
      </c>
    </row>
    <row r="2079">
      <c r="B2079" s="15" t="n"/>
      <c r="C2079" s="16" t="n"/>
      <c r="D2079" s="17" t="n"/>
      <c r="E2079" s="17" t="n"/>
      <c r="F2079" s="17" t="n"/>
      <c r="G2079" s="17" t="n"/>
      <c r="H2079" s="18">
        <f>IF(AND(B2079="",C2079="",D2079="",E2079=""),"",IF(B2079="","⚠ Falta fecha",IF(C2079="","⚠ Falta monto",IF(D2079="","⚠ Falta categoría",IF(ISNA(MATCH(D2079,catNom,0)),"⚠ Categoría no existe",IF(E2079="","⚠ Falta cuenta",IF(ISNA(MATCH(E2079,ctaNom,0)),"⚠ Cuenta no existe",IF(AND(OR(I2079="Transferencia",I2079="Pago tarjeta"),G2079=""),"⚠ Indica la cuenta «Hacia»",IF(AND(G2079&lt;&gt;"",G2079=E2079),"⚠ «Hacia» igual a la cuenta",IF(AND(G2079&lt;&gt;"",ISNA(MATCH(G2079,ctaNom,0))),"⚠ «Hacia» no existe",IF(AND(I2079="Pago tarjeta",IFERROR(INDEX(ctaTipo,MATCH(G2079,ctaNom,0)),"")&lt;&gt;"Tarjeta de crédito"),"⚠ «Hacia» debe ser la tarjeta",IF(AND(I2079="Trading",IFERROR(INDEX(ctaTipo,MATCH(E2079,ctaNom,0)),"")&lt;&gt;"Cuenta de trading"),"⚠ Usa la cuenta de trading","✓"))))))))))))</f>
        <v/>
      </c>
      <c r="I2079" s="19">
        <f>IF(OR(B2079="",C2079="",D2079=""),"",IFERROR(INDEX(catTipo,MATCH(D2079,catNom,0))&amp;"",""))</f>
        <v/>
      </c>
      <c r="J2079" s="19">
        <f>IF(I2079="","",IFERROR(INDEX(catGrupo,MATCH(D2079,catNom,0))&amp;"",""))</f>
        <v/>
      </c>
      <c r="K2079" s="19">
        <f>IF(I2079="Gasto",IF(IFERROR(INDEX(catClas,MATCH(D2079,catNom,0))&amp;"","")="","Variable",IFERROR(INDEX(catClas,MATCH(D2079,catNom,0))&amp;"","")),"")</f>
        <v/>
      </c>
      <c r="L2079" s="19">
        <f>IF(I2079="","",IFERROR(INDEX(catAlim,MATCH(D2079,catNom,0))&amp;"",""))</f>
        <v/>
      </c>
      <c r="M2079" s="19">
        <f>IF(I2079="","",IFERROR(INDEX(catComida,MATCH(D2079,catNom,0))&amp;"",""))</f>
        <v/>
      </c>
      <c r="N2079" s="19">
        <f>IF(I2079="","",IFERROR(INDEX(ctaMon,MATCH(E2079,ctaNom,0))&amp;"","DOP"))</f>
        <v/>
      </c>
      <c r="O2079" s="20">
        <f>IF(I2079="","",C2079*IF(N2079="USD",TasaUSD,1))</f>
        <v/>
      </c>
      <c r="P2079" s="20">
        <f>IF(I2079="","",IF(I2079="Gasto",O2079,0))</f>
        <v/>
      </c>
      <c r="Q2079" s="20">
        <f>IF(I2079="","",IF(I2079="Ingreso",O2079,0))</f>
        <v/>
      </c>
      <c r="R2079" s="20">
        <f>IF(I2079="","",IF(I2079="Trading",O2079,0))</f>
        <v/>
      </c>
      <c r="S2079" s="19">
        <f>IF(I2079="","",IF(AND(I2079="Gasto",K2079="Variable",J2079&lt;&gt;"Trading",O2079&gt;0,O2079&lt;=Umbral),1,0))</f>
        <v/>
      </c>
      <c r="T2079" s="20">
        <f>IF(OR(I2079="",E2079=""),"",IF(OR(I2079="Gasto",I2079="Transferencia",I2079="Pago tarjeta"),-1,1)*C2079)</f>
        <v/>
      </c>
      <c r="U2079" s="20">
        <f>IF(OR(G2079="",AND(I2079&lt;&gt;"Transferencia",I2079&lt;&gt;"Pago tarjeta")),"",IF(IFERROR(INDEX(ctaMon,MATCH(G2079,ctaNom,0))&amp;"","DOP")=N2079,C2079,IF(N2079="USD",C2079*TasaUSD,C2079/TasaUSD)))</f>
        <v/>
      </c>
      <c r="V2079" s="20">
        <f>IF(I2079="","",IF(IFERROR(INDEX(ctaLiq,MATCH(E2079,ctaNom,0))="Sí",FALSE),IF(OR(I2079="Gasto",I2079="Transferencia",I2079="Pago tarjeta"),-1,1)*O2079,0)+IF(AND(U2079&lt;&gt;"",IFERROR(INDEX(ctaLiq,MATCH(G2079,ctaNom,0))="Sí",FALSE)),O2079,0))</f>
        <v/>
      </c>
      <c r="W2079" s="19">
        <f>IF(OR(F2079="",I2079=""),"",IF(COUNTIFS(F$6:F2079,F2079,I$6:I2079,"?*")=1,MAX(W$5:W2078)+1,""))</f>
        <v/>
      </c>
    </row>
    <row r="2080">
      <c r="B2080" s="15" t="n"/>
      <c r="C2080" s="16" t="n"/>
      <c r="D2080" s="17" t="n"/>
      <c r="E2080" s="17" t="n"/>
      <c r="F2080" s="17" t="n"/>
      <c r="G2080" s="17" t="n"/>
      <c r="H2080" s="18">
        <f>IF(AND(B2080="",C2080="",D2080="",E2080=""),"",IF(B2080="","⚠ Falta fecha",IF(C2080="","⚠ Falta monto",IF(D2080="","⚠ Falta categoría",IF(ISNA(MATCH(D2080,catNom,0)),"⚠ Categoría no existe",IF(E2080="","⚠ Falta cuenta",IF(ISNA(MATCH(E2080,ctaNom,0)),"⚠ Cuenta no existe",IF(AND(OR(I2080="Transferencia",I2080="Pago tarjeta"),G2080=""),"⚠ Indica la cuenta «Hacia»",IF(AND(G2080&lt;&gt;"",G2080=E2080),"⚠ «Hacia» igual a la cuenta",IF(AND(G2080&lt;&gt;"",ISNA(MATCH(G2080,ctaNom,0))),"⚠ «Hacia» no existe",IF(AND(I2080="Pago tarjeta",IFERROR(INDEX(ctaTipo,MATCH(G2080,ctaNom,0)),"")&lt;&gt;"Tarjeta de crédito"),"⚠ «Hacia» debe ser la tarjeta",IF(AND(I2080="Trading",IFERROR(INDEX(ctaTipo,MATCH(E2080,ctaNom,0)),"")&lt;&gt;"Cuenta de trading"),"⚠ Usa la cuenta de trading","✓"))))))))))))</f>
        <v/>
      </c>
      <c r="I2080" s="19">
        <f>IF(OR(B2080="",C2080="",D2080=""),"",IFERROR(INDEX(catTipo,MATCH(D2080,catNom,0))&amp;"",""))</f>
        <v/>
      </c>
      <c r="J2080" s="19">
        <f>IF(I2080="","",IFERROR(INDEX(catGrupo,MATCH(D2080,catNom,0))&amp;"",""))</f>
        <v/>
      </c>
      <c r="K2080" s="19">
        <f>IF(I2080="Gasto",IF(IFERROR(INDEX(catClas,MATCH(D2080,catNom,0))&amp;"","")="","Variable",IFERROR(INDEX(catClas,MATCH(D2080,catNom,0))&amp;"","")),"")</f>
        <v/>
      </c>
      <c r="L2080" s="19">
        <f>IF(I2080="","",IFERROR(INDEX(catAlim,MATCH(D2080,catNom,0))&amp;"",""))</f>
        <v/>
      </c>
      <c r="M2080" s="19">
        <f>IF(I2080="","",IFERROR(INDEX(catComida,MATCH(D2080,catNom,0))&amp;"",""))</f>
        <v/>
      </c>
      <c r="N2080" s="19">
        <f>IF(I2080="","",IFERROR(INDEX(ctaMon,MATCH(E2080,ctaNom,0))&amp;"","DOP"))</f>
        <v/>
      </c>
      <c r="O2080" s="20">
        <f>IF(I2080="","",C2080*IF(N2080="USD",TasaUSD,1))</f>
        <v/>
      </c>
      <c r="P2080" s="20">
        <f>IF(I2080="","",IF(I2080="Gasto",O2080,0))</f>
        <v/>
      </c>
      <c r="Q2080" s="20">
        <f>IF(I2080="","",IF(I2080="Ingreso",O2080,0))</f>
        <v/>
      </c>
      <c r="R2080" s="20">
        <f>IF(I2080="","",IF(I2080="Trading",O2080,0))</f>
        <v/>
      </c>
      <c r="S2080" s="19">
        <f>IF(I2080="","",IF(AND(I2080="Gasto",K2080="Variable",J2080&lt;&gt;"Trading",O2080&gt;0,O2080&lt;=Umbral),1,0))</f>
        <v/>
      </c>
      <c r="T2080" s="20">
        <f>IF(OR(I2080="",E2080=""),"",IF(OR(I2080="Gasto",I2080="Transferencia",I2080="Pago tarjeta"),-1,1)*C2080)</f>
        <v/>
      </c>
      <c r="U2080" s="20">
        <f>IF(OR(G2080="",AND(I2080&lt;&gt;"Transferencia",I2080&lt;&gt;"Pago tarjeta")),"",IF(IFERROR(INDEX(ctaMon,MATCH(G2080,ctaNom,0))&amp;"","DOP")=N2080,C2080,IF(N2080="USD",C2080*TasaUSD,C2080/TasaUSD)))</f>
        <v/>
      </c>
      <c r="V2080" s="20">
        <f>IF(I2080="","",IF(IFERROR(INDEX(ctaLiq,MATCH(E2080,ctaNom,0))="Sí",FALSE),IF(OR(I2080="Gasto",I2080="Transferencia",I2080="Pago tarjeta"),-1,1)*O2080,0)+IF(AND(U2080&lt;&gt;"",IFERROR(INDEX(ctaLiq,MATCH(G2080,ctaNom,0))="Sí",FALSE)),O2080,0))</f>
        <v/>
      </c>
      <c r="W2080" s="19">
        <f>IF(OR(F2080="",I2080=""),"",IF(COUNTIFS(F$6:F2080,F2080,I$6:I2080,"?*")=1,MAX(W$5:W2079)+1,""))</f>
        <v/>
      </c>
    </row>
    <row r="2081">
      <c r="B2081" s="15" t="n"/>
      <c r="C2081" s="16" t="n"/>
      <c r="D2081" s="17" t="n"/>
      <c r="E2081" s="17" t="n"/>
      <c r="F2081" s="17" t="n"/>
      <c r="G2081" s="17" t="n"/>
      <c r="H2081" s="18">
        <f>IF(AND(B2081="",C2081="",D2081="",E2081=""),"",IF(B2081="","⚠ Falta fecha",IF(C2081="","⚠ Falta monto",IF(D2081="","⚠ Falta categoría",IF(ISNA(MATCH(D2081,catNom,0)),"⚠ Categoría no existe",IF(E2081="","⚠ Falta cuenta",IF(ISNA(MATCH(E2081,ctaNom,0)),"⚠ Cuenta no existe",IF(AND(OR(I2081="Transferencia",I2081="Pago tarjeta"),G2081=""),"⚠ Indica la cuenta «Hacia»",IF(AND(G2081&lt;&gt;"",G2081=E2081),"⚠ «Hacia» igual a la cuenta",IF(AND(G2081&lt;&gt;"",ISNA(MATCH(G2081,ctaNom,0))),"⚠ «Hacia» no existe",IF(AND(I2081="Pago tarjeta",IFERROR(INDEX(ctaTipo,MATCH(G2081,ctaNom,0)),"")&lt;&gt;"Tarjeta de crédito"),"⚠ «Hacia» debe ser la tarjeta",IF(AND(I2081="Trading",IFERROR(INDEX(ctaTipo,MATCH(E2081,ctaNom,0)),"")&lt;&gt;"Cuenta de trading"),"⚠ Usa la cuenta de trading","✓"))))))))))))</f>
        <v/>
      </c>
      <c r="I2081" s="19">
        <f>IF(OR(B2081="",C2081="",D2081=""),"",IFERROR(INDEX(catTipo,MATCH(D2081,catNom,0))&amp;"",""))</f>
        <v/>
      </c>
      <c r="J2081" s="19">
        <f>IF(I2081="","",IFERROR(INDEX(catGrupo,MATCH(D2081,catNom,0))&amp;"",""))</f>
        <v/>
      </c>
      <c r="K2081" s="19">
        <f>IF(I2081="Gasto",IF(IFERROR(INDEX(catClas,MATCH(D2081,catNom,0))&amp;"","")="","Variable",IFERROR(INDEX(catClas,MATCH(D2081,catNom,0))&amp;"","")),"")</f>
        <v/>
      </c>
      <c r="L2081" s="19">
        <f>IF(I2081="","",IFERROR(INDEX(catAlim,MATCH(D2081,catNom,0))&amp;"",""))</f>
        <v/>
      </c>
      <c r="M2081" s="19">
        <f>IF(I2081="","",IFERROR(INDEX(catComida,MATCH(D2081,catNom,0))&amp;"",""))</f>
        <v/>
      </c>
      <c r="N2081" s="19">
        <f>IF(I2081="","",IFERROR(INDEX(ctaMon,MATCH(E2081,ctaNom,0))&amp;"","DOP"))</f>
        <v/>
      </c>
      <c r="O2081" s="20">
        <f>IF(I2081="","",C2081*IF(N2081="USD",TasaUSD,1))</f>
        <v/>
      </c>
      <c r="P2081" s="20">
        <f>IF(I2081="","",IF(I2081="Gasto",O2081,0))</f>
        <v/>
      </c>
      <c r="Q2081" s="20">
        <f>IF(I2081="","",IF(I2081="Ingreso",O2081,0))</f>
        <v/>
      </c>
      <c r="R2081" s="20">
        <f>IF(I2081="","",IF(I2081="Trading",O2081,0))</f>
        <v/>
      </c>
      <c r="S2081" s="19">
        <f>IF(I2081="","",IF(AND(I2081="Gasto",K2081="Variable",J2081&lt;&gt;"Trading",O2081&gt;0,O2081&lt;=Umbral),1,0))</f>
        <v/>
      </c>
      <c r="T2081" s="20">
        <f>IF(OR(I2081="",E2081=""),"",IF(OR(I2081="Gasto",I2081="Transferencia",I2081="Pago tarjeta"),-1,1)*C2081)</f>
        <v/>
      </c>
      <c r="U2081" s="20">
        <f>IF(OR(G2081="",AND(I2081&lt;&gt;"Transferencia",I2081&lt;&gt;"Pago tarjeta")),"",IF(IFERROR(INDEX(ctaMon,MATCH(G2081,ctaNom,0))&amp;"","DOP")=N2081,C2081,IF(N2081="USD",C2081*TasaUSD,C2081/TasaUSD)))</f>
        <v/>
      </c>
      <c r="V2081" s="20">
        <f>IF(I2081="","",IF(IFERROR(INDEX(ctaLiq,MATCH(E2081,ctaNom,0))="Sí",FALSE),IF(OR(I2081="Gasto",I2081="Transferencia",I2081="Pago tarjeta"),-1,1)*O2081,0)+IF(AND(U2081&lt;&gt;"",IFERROR(INDEX(ctaLiq,MATCH(G2081,ctaNom,0))="Sí",FALSE)),O2081,0))</f>
        <v/>
      </c>
      <c r="W2081" s="19">
        <f>IF(OR(F2081="",I2081=""),"",IF(COUNTIFS(F$6:F2081,F2081,I$6:I2081,"?*")=1,MAX(W$5:W2080)+1,""))</f>
        <v/>
      </c>
    </row>
    <row r="2082">
      <c r="B2082" s="15" t="n"/>
      <c r="C2082" s="16" t="n"/>
      <c r="D2082" s="17" t="n"/>
      <c r="E2082" s="17" t="n"/>
      <c r="F2082" s="17" t="n"/>
      <c r="G2082" s="17" t="n"/>
      <c r="H2082" s="18">
        <f>IF(AND(B2082="",C2082="",D2082="",E2082=""),"",IF(B2082="","⚠ Falta fecha",IF(C2082="","⚠ Falta monto",IF(D2082="","⚠ Falta categoría",IF(ISNA(MATCH(D2082,catNom,0)),"⚠ Categoría no existe",IF(E2082="","⚠ Falta cuenta",IF(ISNA(MATCH(E2082,ctaNom,0)),"⚠ Cuenta no existe",IF(AND(OR(I2082="Transferencia",I2082="Pago tarjeta"),G2082=""),"⚠ Indica la cuenta «Hacia»",IF(AND(G2082&lt;&gt;"",G2082=E2082),"⚠ «Hacia» igual a la cuenta",IF(AND(G2082&lt;&gt;"",ISNA(MATCH(G2082,ctaNom,0))),"⚠ «Hacia» no existe",IF(AND(I2082="Pago tarjeta",IFERROR(INDEX(ctaTipo,MATCH(G2082,ctaNom,0)),"")&lt;&gt;"Tarjeta de crédito"),"⚠ «Hacia» debe ser la tarjeta",IF(AND(I2082="Trading",IFERROR(INDEX(ctaTipo,MATCH(E2082,ctaNom,0)),"")&lt;&gt;"Cuenta de trading"),"⚠ Usa la cuenta de trading","✓"))))))))))))</f>
        <v/>
      </c>
      <c r="I2082" s="19">
        <f>IF(OR(B2082="",C2082="",D2082=""),"",IFERROR(INDEX(catTipo,MATCH(D2082,catNom,0))&amp;"",""))</f>
        <v/>
      </c>
      <c r="J2082" s="19">
        <f>IF(I2082="","",IFERROR(INDEX(catGrupo,MATCH(D2082,catNom,0))&amp;"",""))</f>
        <v/>
      </c>
      <c r="K2082" s="19">
        <f>IF(I2082="Gasto",IF(IFERROR(INDEX(catClas,MATCH(D2082,catNom,0))&amp;"","")="","Variable",IFERROR(INDEX(catClas,MATCH(D2082,catNom,0))&amp;"","")),"")</f>
        <v/>
      </c>
      <c r="L2082" s="19">
        <f>IF(I2082="","",IFERROR(INDEX(catAlim,MATCH(D2082,catNom,0))&amp;"",""))</f>
        <v/>
      </c>
      <c r="M2082" s="19">
        <f>IF(I2082="","",IFERROR(INDEX(catComida,MATCH(D2082,catNom,0))&amp;"",""))</f>
        <v/>
      </c>
      <c r="N2082" s="19">
        <f>IF(I2082="","",IFERROR(INDEX(ctaMon,MATCH(E2082,ctaNom,0))&amp;"","DOP"))</f>
        <v/>
      </c>
      <c r="O2082" s="20">
        <f>IF(I2082="","",C2082*IF(N2082="USD",TasaUSD,1))</f>
        <v/>
      </c>
      <c r="P2082" s="20">
        <f>IF(I2082="","",IF(I2082="Gasto",O2082,0))</f>
        <v/>
      </c>
      <c r="Q2082" s="20">
        <f>IF(I2082="","",IF(I2082="Ingreso",O2082,0))</f>
        <v/>
      </c>
      <c r="R2082" s="20">
        <f>IF(I2082="","",IF(I2082="Trading",O2082,0))</f>
        <v/>
      </c>
      <c r="S2082" s="19">
        <f>IF(I2082="","",IF(AND(I2082="Gasto",K2082="Variable",J2082&lt;&gt;"Trading",O2082&gt;0,O2082&lt;=Umbral),1,0))</f>
        <v/>
      </c>
      <c r="T2082" s="20">
        <f>IF(OR(I2082="",E2082=""),"",IF(OR(I2082="Gasto",I2082="Transferencia",I2082="Pago tarjeta"),-1,1)*C2082)</f>
        <v/>
      </c>
      <c r="U2082" s="20">
        <f>IF(OR(G2082="",AND(I2082&lt;&gt;"Transferencia",I2082&lt;&gt;"Pago tarjeta")),"",IF(IFERROR(INDEX(ctaMon,MATCH(G2082,ctaNom,0))&amp;"","DOP")=N2082,C2082,IF(N2082="USD",C2082*TasaUSD,C2082/TasaUSD)))</f>
        <v/>
      </c>
      <c r="V2082" s="20">
        <f>IF(I2082="","",IF(IFERROR(INDEX(ctaLiq,MATCH(E2082,ctaNom,0))="Sí",FALSE),IF(OR(I2082="Gasto",I2082="Transferencia",I2082="Pago tarjeta"),-1,1)*O2082,0)+IF(AND(U2082&lt;&gt;"",IFERROR(INDEX(ctaLiq,MATCH(G2082,ctaNom,0))="Sí",FALSE)),O2082,0))</f>
        <v/>
      </c>
      <c r="W2082" s="19">
        <f>IF(OR(F2082="",I2082=""),"",IF(COUNTIFS(F$6:F2082,F2082,I$6:I2082,"?*")=1,MAX(W$5:W2081)+1,""))</f>
        <v/>
      </c>
    </row>
    <row r="2083">
      <c r="B2083" s="15" t="n"/>
      <c r="C2083" s="16" t="n"/>
      <c r="D2083" s="17" t="n"/>
      <c r="E2083" s="17" t="n"/>
      <c r="F2083" s="17" t="n"/>
      <c r="G2083" s="17" t="n"/>
      <c r="H2083" s="18">
        <f>IF(AND(B2083="",C2083="",D2083="",E2083=""),"",IF(B2083="","⚠ Falta fecha",IF(C2083="","⚠ Falta monto",IF(D2083="","⚠ Falta categoría",IF(ISNA(MATCH(D2083,catNom,0)),"⚠ Categoría no existe",IF(E2083="","⚠ Falta cuenta",IF(ISNA(MATCH(E2083,ctaNom,0)),"⚠ Cuenta no existe",IF(AND(OR(I2083="Transferencia",I2083="Pago tarjeta"),G2083=""),"⚠ Indica la cuenta «Hacia»",IF(AND(G2083&lt;&gt;"",G2083=E2083),"⚠ «Hacia» igual a la cuenta",IF(AND(G2083&lt;&gt;"",ISNA(MATCH(G2083,ctaNom,0))),"⚠ «Hacia» no existe",IF(AND(I2083="Pago tarjeta",IFERROR(INDEX(ctaTipo,MATCH(G2083,ctaNom,0)),"")&lt;&gt;"Tarjeta de crédito"),"⚠ «Hacia» debe ser la tarjeta",IF(AND(I2083="Trading",IFERROR(INDEX(ctaTipo,MATCH(E2083,ctaNom,0)),"")&lt;&gt;"Cuenta de trading"),"⚠ Usa la cuenta de trading","✓"))))))))))))</f>
        <v/>
      </c>
      <c r="I2083" s="19">
        <f>IF(OR(B2083="",C2083="",D2083=""),"",IFERROR(INDEX(catTipo,MATCH(D2083,catNom,0))&amp;"",""))</f>
        <v/>
      </c>
      <c r="J2083" s="19">
        <f>IF(I2083="","",IFERROR(INDEX(catGrupo,MATCH(D2083,catNom,0))&amp;"",""))</f>
        <v/>
      </c>
      <c r="K2083" s="19">
        <f>IF(I2083="Gasto",IF(IFERROR(INDEX(catClas,MATCH(D2083,catNom,0))&amp;"","")="","Variable",IFERROR(INDEX(catClas,MATCH(D2083,catNom,0))&amp;"","")),"")</f>
        <v/>
      </c>
      <c r="L2083" s="19">
        <f>IF(I2083="","",IFERROR(INDEX(catAlim,MATCH(D2083,catNom,0))&amp;"",""))</f>
        <v/>
      </c>
      <c r="M2083" s="19">
        <f>IF(I2083="","",IFERROR(INDEX(catComida,MATCH(D2083,catNom,0))&amp;"",""))</f>
        <v/>
      </c>
      <c r="N2083" s="19">
        <f>IF(I2083="","",IFERROR(INDEX(ctaMon,MATCH(E2083,ctaNom,0))&amp;"","DOP"))</f>
        <v/>
      </c>
      <c r="O2083" s="20">
        <f>IF(I2083="","",C2083*IF(N2083="USD",TasaUSD,1))</f>
        <v/>
      </c>
      <c r="P2083" s="20">
        <f>IF(I2083="","",IF(I2083="Gasto",O2083,0))</f>
        <v/>
      </c>
      <c r="Q2083" s="20">
        <f>IF(I2083="","",IF(I2083="Ingreso",O2083,0))</f>
        <v/>
      </c>
      <c r="R2083" s="20">
        <f>IF(I2083="","",IF(I2083="Trading",O2083,0))</f>
        <v/>
      </c>
      <c r="S2083" s="19">
        <f>IF(I2083="","",IF(AND(I2083="Gasto",K2083="Variable",J2083&lt;&gt;"Trading",O2083&gt;0,O2083&lt;=Umbral),1,0))</f>
        <v/>
      </c>
      <c r="T2083" s="20">
        <f>IF(OR(I2083="",E2083=""),"",IF(OR(I2083="Gasto",I2083="Transferencia",I2083="Pago tarjeta"),-1,1)*C2083)</f>
        <v/>
      </c>
      <c r="U2083" s="20">
        <f>IF(OR(G2083="",AND(I2083&lt;&gt;"Transferencia",I2083&lt;&gt;"Pago tarjeta")),"",IF(IFERROR(INDEX(ctaMon,MATCH(G2083,ctaNom,0))&amp;"","DOP")=N2083,C2083,IF(N2083="USD",C2083*TasaUSD,C2083/TasaUSD)))</f>
        <v/>
      </c>
      <c r="V2083" s="20">
        <f>IF(I2083="","",IF(IFERROR(INDEX(ctaLiq,MATCH(E2083,ctaNom,0))="Sí",FALSE),IF(OR(I2083="Gasto",I2083="Transferencia",I2083="Pago tarjeta"),-1,1)*O2083,0)+IF(AND(U2083&lt;&gt;"",IFERROR(INDEX(ctaLiq,MATCH(G2083,ctaNom,0))="Sí",FALSE)),O2083,0))</f>
        <v/>
      </c>
      <c r="W2083" s="19">
        <f>IF(OR(F2083="",I2083=""),"",IF(COUNTIFS(F$6:F2083,F2083,I$6:I2083,"?*")=1,MAX(W$5:W2082)+1,""))</f>
        <v/>
      </c>
    </row>
    <row r="2084">
      <c r="B2084" s="15" t="n"/>
      <c r="C2084" s="16" t="n"/>
      <c r="D2084" s="17" t="n"/>
      <c r="E2084" s="17" t="n"/>
      <c r="F2084" s="17" t="n"/>
      <c r="G2084" s="17" t="n"/>
      <c r="H2084" s="18">
        <f>IF(AND(B2084="",C2084="",D2084="",E2084=""),"",IF(B2084="","⚠ Falta fecha",IF(C2084="","⚠ Falta monto",IF(D2084="","⚠ Falta categoría",IF(ISNA(MATCH(D2084,catNom,0)),"⚠ Categoría no existe",IF(E2084="","⚠ Falta cuenta",IF(ISNA(MATCH(E2084,ctaNom,0)),"⚠ Cuenta no existe",IF(AND(OR(I2084="Transferencia",I2084="Pago tarjeta"),G2084=""),"⚠ Indica la cuenta «Hacia»",IF(AND(G2084&lt;&gt;"",G2084=E2084),"⚠ «Hacia» igual a la cuenta",IF(AND(G2084&lt;&gt;"",ISNA(MATCH(G2084,ctaNom,0))),"⚠ «Hacia» no existe",IF(AND(I2084="Pago tarjeta",IFERROR(INDEX(ctaTipo,MATCH(G2084,ctaNom,0)),"")&lt;&gt;"Tarjeta de crédito"),"⚠ «Hacia» debe ser la tarjeta",IF(AND(I2084="Trading",IFERROR(INDEX(ctaTipo,MATCH(E2084,ctaNom,0)),"")&lt;&gt;"Cuenta de trading"),"⚠ Usa la cuenta de trading","✓"))))))))))))</f>
        <v/>
      </c>
      <c r="I2084" s="19">
        <f>IF(OR(B2084="",C2084="",D2084=""),"",IFERROR(INDEX(catTipo,MATCH(D2084,catNom,0))&amp;"",""))</f>
        <v/>
      </c>
      <c r="J2084" s="19">
        <f>IF(I2084="","",IFERROR(INDEX(catGrupo,MATCH(D2084,catNom,0))&amp;"",""))</f>
        <v/>
      </c>
      <c r="K2084" s="19">
        <f>IF(I2084="Gasto",IF(IFERROR(INDEX(catClas,MATCH(D2084,catNom,0))&amp;"","")="","Variable",IFERROR(INDEX(catClas,MATCH(D2084,catNom,0))&amp;"","")),"")</f>
        <v/>
      </c>
      <c r="L2084" s="19">
        <f>IF(I2084="","",IFERROR(INDEX(catAlim,MATCH(D2084,catNom,0))&amp;"",""))</f>
        <v/>
      </c>
      <c r="M2084" s="19">
        <f>IF(I2084="","",IFERROR(INDEX(catComida,MATCH(D2084,catNom,0))&amp;"",""))</f>
        <v/>
      </c>
      <c r="N2084" s="19">
        <f>IF(I2084="","",IFERROR(INDEX(ctaMon,MATCH(E2084,ctaNom,0))&amp;"","DOP"))</f>
        <v/>
      </c>
      <c r="O2084" s="20">
        <f>IF(I2084="","",C2084*IF(N2084="USD",TasaUSD,1))</f>
        <v/>
      </c>
      <c r="P2084" s="20">
        <f>IF(I2084="","",IF(I2084="Gasto",O2084,0))</f>
        <v/>
      </c>
      <c r="Q2084" s="20">
        <f>IF(I2084="","",IF(I2084="Ingreso",O2084,0))</f>
        <v/>
      </c>
      <c r="R2084" s="20">
        <f>IF(I2084="","",IF(I2084="Trading",O2084,0))</f>
        <v/>
      </c>
      <c r="S2084" s="19">
        <f>IF(I2084="","",IF(AND(I2084="Gasto",K2084="Variable",J2084&lt;&gt;"Trading",O2084&gt;0,O2084&lt;=Umbral),1,0))</f>
        <v/>
      </c>
      <c r="T2084" s="20">
        <f>IF(OR(I2084="",E2084=""),"",IF(OR(I2084="Gasto",I2084="Transferencia",I2084="Pago tarjeta"),-1,1)*C2084)</f>
        <v/>
      </c>
      <c r="U2084" s="20">
        <f>IF(OR(G2084="",AND(I2084&lt;&gt;"Transferencia",I2084&lt;&gt;"Pago tarjeta")),"",IF(IFERROR(INDEX(ctaMon,MATCH(G2084,ctaNom,0))&amp;"","DOP")=N2084,C2084,IF(N2084="USD",C2084*TasaUSD,C2084/TasaUSD)))</f>
        <v/>
      </c>
      <c r="V2084" s="20">
        <f>IF(I2084="","",IF(IFERROR(INDEX(ctaLiq,MATCH(E2084,ctaNom,0))="Sí",FALSE),IF(OR(I2084="Gasto",I2084="Transferencia",I2084="Pago tarjeta"),-1,1)*O2084,0)+IF(AND(U2084&lt;&gt;"",IFERROR(INDEX(ctaLiq,MATCH(G2084,ctaNom,0))="Sí",FALSE)),O2084,0))</f>
        <v/>
      </c>
      <c r="W2084" s="19">
        <f>IF(OR(F2084="",I2084=""),"",IF(COUNTIFS(F$6:F2084,F2084,I$6:I2084,"?*")=1,MAX(W$5:W2083)+1,""))</f>
        <v/>
      </c>
    </row>
    <row r="2085">
      <c r="B2085" s="15" t="n"/>
      <c r="C2085" s="16" t="n"/>
      <c r="D2085" s="17" t="n"/>
      <c r="E2085" s="17" t="n"/>
      <c r="F2085" s="17" t="n"/>
      <c r="G2085" s="17" t="n"/>
      <c r="H2085" s="18">
        <f>IF(AND(B2085="",C2085="",D2085="",E2085=""),"",IF(B2085="","⚠ Falta fecha",IF(C2085="","⚠ Falta monto",IF(D2085="","⚠ Falta categoría",IF(ISNA(MATCH(D2085,catNom,0)),"⚠ Categoría no existe",IF(E2085="","⚠ Falta cuenta",IF(ISNA(MATCH(E2085,ctaNom,0)),"⚠ Cuenta no existe",IF(AND(OR(I2085="Transferencia",I2085="Pago tarjeta"),G2085=""),"⚠ Indica la cuenta «Hacia»",IF(AND(G2085&lt;&gt;"",G2085=E2085),"⚠ «Hacia» igual a la cuenta",IF(AND(G2085&lt;&gt;"",ISNA(MATCH(G2085,ctaNom,0))),"⚠ «Hacia» no existe",IF(AND(I2085="Pago tarjeta",IFERROR(INDEX(ctaTipo,MATCH(G2085,ctaNom,0)),"")&lt;&gt;"Tarjeta de crédito"),"⚠ «Hacia» debe ser la tarjeta",IF(AND(I2085="Trading",IFERROR(INDEX(ctaTipo,MATCH(E2085,ctaNom,0)),"")&lt;&gt;"Cuenta de trading"),"⚠ Usa la cuenta de trading","✓"))))))))))))</f>
        <v/>
      </c>
      <c r="I2085" s="19">
        <f>IF(OR(B2085="",C2085="",D2085=""),"",IFERROR(INDEX(catTipo,MATCH(D2085,catNom,0))&amp;"",""))</f>
        <v/>
      </c>
      <c r="J2085" s="19">
        <f>IF(I2085="","",IFERROR(INDEX(catGrupo,MATCH(D2085,catNom,0))&amp;"",""))</f>
        <v/>
      </c>
      <c r="K2085" s="19">
        <f>IF(I2085="Gasto",IF(IFERROR(INDEX(catClas,MATCH(D2085,catNom,0))&amp;"","")="","Variable",IFERROR(INDEX(catClas,MATCH(D2085,catNom,0))&amp;"","")),"")</f>
        <v/>
      </c>
      <c r="L2085" s="19">
        <f>IF(I2085="","",IFERROR(INDEX(catAlim,MATCH(D2085,catNom,0))&amp;"",""))</f>
        <v/>
      </c>
      <c r="M2085" s="19">
        <f>IF(I2085="","",IFERROR(INDEX(catComida,MATCH(D2085,catNom,0))&amp;"",""))</f>
        <v/>
      </c>
      <c r="N2085" s="19">
        <f>IF(I2085="","",IFERROR(INDEX(ctaMon,MATCH(E2085,ctaNom,0))&amp;"","DOP"))</f>
        <v/>
      </c>
      <c r="O2085" s="20">
        <f>IF(I2085="","",C2085*IF(N2085="USD",TasaUSD,1))</f>
        <v/>
      </c>
      <c r="P2085" s="20">
        <f>IF(I2085="","",IF(I2085="Gasto",O2085,0))</f>
        <v/>
      </c>
      <c r="Q2085" s="20">
        <f>IF(I2085="","",IF(I2085="Ingreso",O2085,0))</f>
        <v/>
      </c>
      <c r="R2085" s="20">
        <f>IF(I2085="","",IF(I2085="Trading",O2085,0))</f>
        <v/>
      </c>
      <c r="S2085" s="19">
        <f>IF(I2085="","",IF(AND(I2085="Gasto",K2085="Variable",J2085&lt;&gt;"Trading",O2085&gt;0,O2085&lt;=Umbral),1,0))</f>
        <v/>
      </c>
      <c r="T2085" s="20">
        <f>IF(OR(I2085="",E2085=""),"",IF(OR(I2085="Gasto",I2085="Transferencia",I2085="Pago tarjeta"),-1,1)*C2085)</f>
        <v/>
      </c>
      <c r="U2085" s="20">
        <f>IF(OR(G2085="",AND(I2085&lt;&gt;"Transferencia",I2085&lt;&gt;"Pago tarjeta")),"",IF(IFERROR(INDEX(ctaMon,MATCH(G2085,ctaNom,0))&amp;"","DOP")=N2085,C2085,IF(N2085="USD",C2085*TasaUSD,C2085/TasaUSD)))</f>
        <v/>
      </c>
      <c r="V2085" s="20">
        <f>IF(I2085="","",IF(IFERROR(INDEX(ctaLiq,MATCH(E2085,ctaNom,0))="Sí",FALSE),IF(OR(I2085="Gasto",I2085="Transferencia",I2085="Pago tarjeta"),-1,1)*O2085,0)+IF(AND(U2085&lt;&gt;"",IFERROR(INDEX(ctaLiq,MATCH(G2085,ctaNom,0))="Sí",FALSE)),O2085,0))</f>
        <v/>
      </c>
      <c r="W2085" s="19">
        <f>IF(OR(F2085="",I2085=""),"",IF(COUNTIFS(F$6:F2085,F2085,I$6:I2085,"?*")=1,MAX(W$5:W2084)+1,""))</f>
        <v/>
      </c>
    </row>
    <row r="2086">
      <c r="B2086" s="15" t="n"/>
      <c r="C2086" s="16" t="n"/>
      <c r="D2086" s="17" t="n"/>
      <c r="E2086" s="17" t="n"/>
      <c r="F2086" s="17" t="n"/>
      <c r="G2086" s="17" t="n"/>
      <c r="H2086" s="18">
        <f>IF(AND(B2086="",C2086="",D2086="",E2086=""),"",IF(B2086="","⚠ Falta fecha",IF(C2086="","⚠ Falta monto",IF(D2086="","⚠ Falta categoría",IF(ISNA(MATCH(D2086,catNom,0)),"⚠ Categoría no existe",IF(E2086="","⚠ Falta cuenta",IF(ISNA(MATCH(E2086,ctaNom,0)),"⚠ Cuenta no existe",IF(AND(OR(I2086="Transferencia",I2086="Pago tarjeta"),G2086=""),"⚠ Indica la cuenta «Hacia»",IF(AND(G2086&lt;&gt;"",G2086=E2086),"⚠ «Hacia» igual a la cuenta",IF(AND(G2086&lt;&gt;"",ISNA(MATCH(G2086,ctaNom,0))),"⚠ «Hacia» no existe",IF(AND(I2086="Pago tarjeta",IFERROR(INDEX(ctaTipo,MATCH(G2086,ctaNom,0)),"")&lt;&gt;"Tarjeta de crédito"),"⚠ «Hacia» debe ser la tarjeta",IF(AND(I2086="Trading",IFERROR(INDEX(ctaTipo,MATCH(E2086,ctaNom,0)),"")&lt;&gt;"Cuenta de trading"),"⚠ Usa la cuenta de trading","✓"))))))))))))</f>
        <v/>
      </c>
      <c r="I2086" s="19">
        <f>IF(OR(B2086="",C2086="",D2086=""),"",IFERROR(INDEX(catTipo,MATCH(D2086,catNom,0))&amp;"",""))</f>
        <v/>
      </c>
      <c r="J2086" s="19">
        <f>IF(I2086="","",IFERROR(INDEX(catGrupo,MATCH(D2086,catNom,0))&amp;"",""))</f>
        <v/>
      </c>
      <c r="K2086" s="19">
        <f>IF(I2086="Gasto",IF(IFERROR(INDEX(catClas,MATCH(D2086,catNom,0))&amp;"","")="","Variable",IFERROR(INDEX(catClas,MATCH(D2086,catNom,0))&amp;"","")),"")</f>
        <v/>
      </c>
      <c r="L2086" s="19">
        <f>IF(I2086="","",IFERROR(INDEX(catAlim,MATCH(D2086,catNom,0))&amp;"",""))</f>
        <v/>
      </c>
      <c r="M2086" s="19">
        <f>IF(I2086="","",IFERROR(INDEX(catComida,MATCH(D2086,catNom,0))&amp;"",""))</f>
        <v/>
      </c>
      <c r="N2086" s="19">
        <f>IF(I2086="","",IFERROR(INDEX(ctaMon,MATCH(E2086,ctaNom,0))&amp;"","DOP"))</f>
        <v/>
      </c>
      <c r="O2086" s="20">
        <f>IF(I2086="","",C2086*IF(N2086="USD",TasaUSD,1))</f>
        <v/>
      </c>
      <c r="P2086" s="20">
        <f>IF(I2086="","",IF(I2086="Gasto",O2086,0))</f>
        <v/>
      </c>
      <c r="Q2086" s="20">
        <f>IF(I2086="","",IF(I2086="Ingreso",O2086,0))</f>
        <v/>
      </c>
      <c r="R2086" s="20">
        <f>IF(I2086="","",IF(I2086="Trading",O2086,0))</f>
        <v/>
      </c>
      <c r="S2086" s="19">
        <f>IF(I2086="","",IF(AND(I2086="Gasto",K2086="Variable",J2086&lt;&gt;"Trading",O2086&gt;0,O2086&lt;=Umbral),1,0))</f>
        <v/>
      </c>
      <c r="T2086" s="20">
        <f>IF(OR(I2086="",E2086=""),"",IF(OR(I2086="Gasto",I2086="Transferencia",I2086="Pago tarjeta"),-1,1)*C2086)</f>
        <v/>
      </c>
      <c r="U2086" s="20">
        <f>IF(OR(G2086="",AND(I2086&lt;&gt;"Transferencia",I2086&lt;&gt;"Pago tarjeta")),"",IF(IFERROR(INDEX(ctaMon,MATCH(G2086,ctaNom,0))&amp;"","DOP")=N2086,C2086,IF(N2086="USD",C2086*TasaUSD,C2086/TasaUSD)))</f>
        <v/>
      </c>
      <c r="V2086" s="20">
        <f>IF(I2086="","",IF(IFERROR(INDEX(ctaLiq,MATCH(E2086,ctaNom,0))="Sí",FALSE),IF(OR(I2086="Gasto",I2086="Transferencia",I2086="Pago tarjeta"),-1,1)*O2086,0)+IF(AND(U2086&lt;&gt;"",IFERROR(INDEX(ctaLiq,MATCH(G2086,ctaNom,0))="Sí",FALSE)),O2086,0))</f>
        <v/>
      </c>
      <c r="W2086" s="19">
        <f>IF(OR(F2086="",I2086=""),"",IF(COUNTIFS(F$6:F2086,F2086,I$6:I2086,"?*")=1,MAX(W$5:W2085)+1,""))</f>
        <v/>
      </c>
    </row>
    <row r="2087">
      <c r="B2087" s="15" t="n"/>
      <c r="C2087" s="16" t="n"/>
      <c r="D2087" s="17" t="n"/>
      <c r="E2087" s="17" t="n"/>
      <c r="F2087" s="17" t="n"/>
      <c r="G2087" s="17" t="n"/>
      <c r="H2087" s="18">
        <f>IF(AND(B2087="",C2087="",D2087="",E2087=""),"",IF(B2087="","⚠ Falta fecha",IF(C2087="","⚠ Falta monto",IF(D2087="","⚠ Falta categoría",IF(ISNA(MATCH(D2087,catNom,0)),"⚠ Categoría no existe",IF(E2087="","⚠ Falta cuenta",IF(ISNA(MATCH(E2087,ctaNom,0)),"⚠ Cuenta no existe",IF(AND(OR(I2087="Transferencia",I2087="Pago tarjeta"),G2087=""),"⚠ Indica la cuenta «Hacia»",IF(AND(G2087&lt;&gt;"",G2087=E2087),"⚠ «Hacia» igual a la cuenta",IF(AND(G2087&lt;&gt;"",ISNA(MATCH(G2087,ctaNom,0))),"⚠ «Hacia» no existe",IF(AND(I2087="Pago tarjeta",IFERROR(INDEX(ctaTipo,MATCH(G2087,ctaNom,0)),"")&lt;&gt;"Tarjeta de crédito"),"⚠ «Hacia» debe ser la tarjeta",IF(AND(I2087="Trading",IFERROR(INDEX(ctaTipo,MATCH(E2087,ctaNom,0)),"")&lt;&gt;"Cuenta de trading"),"⚠ Usa la cuenta de trading","✓"))))))))))))</f>
        <v/>
      </c>
      <c r="I2087" s="19">
        <f>IF(OR(B2087="",C2087="",D2087=""),"",IFERROR(INDEX(catTipo,MATCH(D2087,catNom,0))&amp;"",""))</f>
        <v/>
      </c>
      <c r="J2087" s="19">
        <f>IF(I2087="","",IFERROR(INDEX(catGrupo,MATCH(D2087,catNom,0))&amp;"",""))</f>
        <v/>
      </c>
      <c r="K2087" s="19">
        <f>IF(I2087="Gasto",IF(IFERROR(INDEX(catClas,MATCH(D2087,catNom,0))&amp;"","")="","Variable",IFERROR(INDEX(catClas,MATCH(D2087,catNom,0))&amp;"","")),"")</f>
        <v/>
      </c>
      <c r="L2087" s="19">
        <f>IF(I2087="","",IFERROR(INDEX(catAlim,MATCH(D2087,catNom,0))&amp;"",""))</f>
        <v/>
      </c>
      <c r="M2087" s="19">
        <f>IF(I2087="","",IFERROR(INDEX(catComida,MATCH(D2087,catNom,0))&amp;"",""))</f>
        <v/>
      </c>
      <c r="N2087" s="19">
        <f>IF(I2087="","",IFERROR(INDEX(ctaMon,MATCH(E2087,ctaNom,0))&amp;"","DOP"))</f>
        <v/>
      </c>
      <c r="O2087" s="20">
        <f>IF(I2087="","",C2087*IF(N2087="USD",TasaUSD,1))</f>
        <v/>
      </c>
      <c r="P2087" s="20">
        <f>IF(I2087="","",IF(I2087="Gasto",O2087,0))</f>
        <v/>
      </c>
      <c r="Q2087" s="20">
        <f>IF(I2087="","",IF(I2087="Ingreso",O2087,0))</f>
        <v/>
      </c>
      <c r="R2087" s="20">
        <f>IF(I2087="","",IF(I2087="Trading",O2087,0))</f>
        <v/>
      </c>
      <c r="S2087" s="19">
        <f>IF(I2087="","",IF(AND(I2087="Gasto",K2087="Variable",J2087&lt;&gt;"Trading",O2087&gt;0,O2087&lt;=Umbral),1,0))</f>
        <v/>
      </c>
      <c r="T2087" s="20">
        <f>IF(OR(I2087="",E2087=""),"",IF(OR(I2087="Gasto",I2087="Transferencia",I2087="Pago tarjeta"),-1,1)*C2087)</f>
        <v/>
      </c>
      <c r="U2087" s="20">
        <f>IF(OR(G2087="",AND(I2087&lt;&gt;"Transferencia",I2087&lt;&gt;"Pago tarjeta")),"",IF(IFERROR(INDEX(ctaMon,MATCH(G2087,ctaNom,0))&amp;"","DOP")=N2087,C2087,IF(N2087="USD",C2087*TasaUSD,C2087/TasaUSD)))</f>
        <v/>
      </c>
      <c r="V2087" s="20">
        <f>IF(I2087="","",IF(IFERROR(INDEX(ctaLiq,MATCH(E2087,ctaNom,0))="Sí",FALSE),IF(OR(I2087="Gasto",I2087="Transferencia",I2087="Pago tarjeta"),-1,1)*O2087,0)+IF(AND(U2087&lt;&gt;"",IFERROR(INDEX(ctaLiq,MATCH(G2087,ctaNom,0))="Sí",FALSE)),O2087,0))</f>
        <v/>
      </c>
      <c r="W2087" s="19">
        <f>IF(OR(F2087="",I2087=""),"",IF(COUNTIFS(F$6:F2087,F2087,I$6:I2087,"?*")=1,MAX(W$5:W2086)+1,""))</f>
        <v/>
      </c>
    </row>
    <row r="2088">
      <c r="B2088" s="15" t="n"/>
      <c r="C2088" s="16" t="n"/>
      <c r="D2088" s="17" t="n"/>
      <c r="E2088" s="17" t="n"/>
      <c r="F2088" s="17" t="n"/>
      <c r="G2088" s="17" t="n"/>
      <c r="H2088" s="18">
        <f>IF(AND(B2088="",C2088="",D2088="",E2088=""),"",IF(B2088="","⚠ Falta fecha",IF(C2088="","⚠ Falta monto",IF(D2088="","⚠ Falta categoría",IF(ISNA(MATCH(D2088,catNom,0)),"⚠ Categoría no existe",IF(E2088="","⚠ Falta cuenta",IF(ISNA(MATCH(E2088,ctaNom,0)),"⚠ Cuenta no existe",IF(AND(OR(I2088="Transferencia",I2088="Pago tarjeta"),G2088=""),"⚠ Indica la cuenta «Hacia»",IF(AND(G2088&lt;&gt;"",G2088=E2088),"⚠ «Hacia» igual a la cuenta",IF(AND(G2088&lt;&gt;"",ISNA(MATCH(G2088,ctaNom,0))),"⚠ «Hacia» no existe",IF(AND(I2088="Pago tarjeta",IFERROR(INDEX(ctaTipo,MATCH(G2088,ctaNom,0)),"")&lt;&gt;"Tarjeta de crédito"),"⚠ «Hacia» debe ser la tarjeta",IF(AND(I2088="Trading",IFERROR(INDEX(ctaTipo,MATCH(E2088,ctaNom,0)),"")&lt;&gt;"Cuenta de trading"),"⚠ Usa la cuenta de trading","✓"))))))))))))</f>
        <v/>
      </c>
      <c r="I2088" s="19">
        <f>IF(OR(B2088="",C2088="",D2088=""),"",IFERROR(INDEX(catTipo,MATCH(D2088,catNom,0))&amp;"",""))</f>
        <v/>
      </c>
      <c r="J2088" s="19">
        <f>IF(I2088="","",IFERROR(INDEX(catGrupo,MATCH(D2088,catNom,0))&amp;"",""))</f>
        <v/>
      </c>
      <c r="K2088" s="19">
        <f>IF(I2088="Gasto",IF(IFERROR(INDEX(catClas,MATCH(D2088,catNom,0))&amp;"","")="","Variable",IFERROR(INDEX(catClas,MATCH(D2088,catNom,0))&amp;"","")),"")</f>
        <v/>
      </c>
      <c r="L2088" s="19">
        <f>IF(I2088="","",IFERROR(INDEX(catAlim,MATCH(D2088,catNom,0))&amp;"",""))</f>
        <v/>
      </c>
      <c r="M2088" s="19">
        <f>IF(I2088="","",IFERROR(INDEX(catComida,MATCH(D2088,catNom,0))&amp;"",""))</f>
        <v/>
      </c>
      <c r="N2088" s="19">
        <f>IF(I2088="","",IFERROR(INDEX(ctaMon,MATCH(E2088,ctaNom,0))&amp;"","DOP"))</f>
        <v/>
      </c>
      <c r="O2088" s="20">
        <f>IF(I2088="","",C2088*IF(N2088="USD",TasaUSD,1))</f>
        <v/>
      </c>
      <c r="P2088" s="20">
        <f>IF(I2088="","",IF(I2088="Gasto",O2088,0))</f>
        <v/>
      </c>
      <c r="Q2088" s="20">
        <f>IF(I2088="","",IF(I2088="Ingreso",O2088,0))</f>
        <v/>
      </c>
      <c r="R2088" s="20">
        <f>IF(I2088="","",IF(I2088="Trading",O2088,0))</f>
        <v/>
      </c>
      <c r="S2088" s="19">
        <f>IF(I2088="","",IF(AND(I2088="Gasto",K2088="Variable",J2088&lt;&gt;"Trading",O2088&gt;0,O2088&lt;=Umbral),1,0))</f>
        <v/>
      </c>
      <c r="T2088" s="20">
        <f>IF(OR(I2088="",E2088=""),"",IF(OR(I2088="Gasto",I2088="Transferencia",I2088="Pago tarjeta"),-1,1)*C2088)</f>
        <v/>
      </c>
      <c r="U2088" s="20">
        <f>IF(OR(G2088="",AND(I2088&lt;&gt;"Transferencia",I2088&lt;&gt;"Pago tarjeta")),"",IF(IFERROR(INDEX(ctaMon,MATCH(G2088,ctaNom,0))&amp;"","DOP")=N2088,C2088,IF(N2088="USD",C2088*TasaUSD,C2088/TasaUSD)))</f>
        <v/>
      </c>
      <c r="V2088" s="20">
        <f>IF(I2088="","",IF(IFERROR(INDEX(ctaLiq,MATCH(E2088,ctaNom,0))="Sí",FALSE),IF(OR(I2088="Gasto",I2088="Transferencia",I2088="Pago tarjeta"),-1,1)*O2088,0)+IF(AND(U2088&lt;&gt;"",IFERROR(INDEX(ctaLiq,MATCH(G2088,ctaNom,0))="Sí",FALSE)),O2088,0))</f>
        <v/>
      </c>
      <c r="W2088" s="19">
        <f>IF(OR(F2088="",I2088=""),"",IF(COUNTIFS(F$6:F2088,F2088,I$6:I2088,"?*")=1,MAX(W$5:W2087)+1,""))</f>
        <v/>
      </c>
    </row>
    <row r="2089">
      <c r="B2089" s="15" t="n"/>
      <c r="C2089" s="16" t="n"/>
      <c r="D2089" s="17" t="n"/>
      <c r="E2089" s="17" t="n"/>
      <c r="F2089" s="17" t="n"/>
      <c r="G2089" s="17" t="n"/>
      <c r="H2089" s="18">
        <f>IF(AND(B2089="",C2089="",D2089="",E2089=""),"",IF(B2089="","⚠ Falta fecha",IF(C2089="","⚠ Falta monto",IF(D2089="","⚠ Falta categoría",IF(ISNA(MATCH(D2089,catNom,0)),"⚠ Categoría no existe",IF(E2089="","⚠ Falta cuenta",IF(ISNA(MATCH(E2089,ctaNom,0)),"⚠ Cuenta no existe",IF(AND(OR(I2089="Transferencia",I2089="Pago tarjeta"),G2089=""),"⚠ Indica la cuenta «Hacia»",IF(AND(G2089&lt;&gt;"",G2089=E2089),"⚠ «Hacia» igual a la cuenta",IF(AND(G2089&lt;&gt;"",ISNA(MATCH(G2089,ctaNom,0))),"⚠ «Hacia» no existe",IF(AND(I2089="Pago tarjeta",IFERROR(INDEX(ctaTipo,MATCH(G2089,ctaNom,0)),"")&lt;&gt;"Tarjeta de crédito"),"⚠ «Hacia» debe ser la tarjeta",IF(AND(I2089="Trading",IFERROR(INDEX(ctaTipo,MATCH(E2089,ctaNom,0)),"")&lt;&gt;"Cuenta de trading"),"⚠ Usa la cuenta de trading","✓"))))))))))))</f>
        <v/>
      </c>
      <c r="I2089" s="19">
        <f>IF(OR(B2089="",C2089="",D2089=""),"",IFERROR(INDEX(catTipo,MATCH(D2089,catNom,0))&amp;"",""))</f>
        <v/>
      </c>
      <c r="J2089" s="19">
        <f>IF(I2089="","",IFERROR(INDEX(catGrupo,MATCH(D2089,catNom,0))&amp;"",""))</f>
        <v/>
      </c>
      <c r="K2089" s="19">
        <f>IF(I2089="Gasto",IF(IFERROR(INDEX(catClas,MATCH(D2089,catNom,0))&amp;"","")="","Variable",IFERROR(INDEX(catClas,MATCH(D2089,catNom,0))&amp;"","")),"")</f>
        <v/>
      </c>
      <c r="L2089" s="19">
        <f>IF(I2089="","",IFERROR(INDEX(catAlim,MATCH(D2089,catNom,0))&amp;"",""))</f>
        <v/>
      </c>
      <c r="M2089" s="19">
        <f>IF(I2089="","",IFERROR(INDEX(catComida,MATCH(D2089,catNom,0))&amp;"",""))</f>
        <v/>
      </c>
      <c r="N2089" s="19">
        <f>IF(I2089="","",IFERROR(INDEX(ctaMon,MATCH(E2089,ctaNom,0))&amp;"","DOP"))</f>
        <v/>
      </c>
      <c r="O2089" s="20">
        <f>IF(I2089="","",C2089*IF(N2089="USD",TasaUSD,1))</f>
        <v/>
      </c>
      <c r="P2089" s="20">
        <f>IF(I2089="","",IF(I2089="Gasto",O2089,0))</f>
        <v/>
      </c>
      <c r="Q2089" s="20">
        <f>IF(I2089="","",IF(I2089="Ingreso",O2089,0))</f>
        <v/>
      </c>
      <c r="R2089" s="20">
        <f>IF(I2089="","",IF(I2089="Trading",O2089,0))</f>
        <v/>
      </c>
      <c r="S2089" s="19">
        <f>IF(I2089="","",IF(AND(I2089="Gasto",K2089="Variable",J2089&lt;&gt;"Trading",O2089&gt;0,O2089&lt;=Umbral),1,0))</f>
        <v/>
      </c>
      <c r="T2089" s="20">
        <f>IF(OR(I2089="",E2089=""),"",IF(OR(I2089="Gasto",I2089="Transferencia",I2089="Pago tarjeta"),-1,1)*C2089)</f>
        <v/>
      </c>
      <c r="U2089" s="20">
        <f>IF(OR(G2089="",AND(I2089&lt;&gt;"Transferencia",I2089&lt;&gt;"Pago tarjeta")),"",IF(IFERROR(INDEX(ctaMon,MATCH(G2089,ctaNom,0))&amp;"","DOP")=N2089,C2089,IF(N2089="USD",C2089*TasaUSD,C2089/TasaUSD)))</f>
        <v/>
      </c>
      <c r="V2089" s="20">
        <f>IF(I2089="","",IF(IFERROR(INDEX(ctaLiq,MATCH(E2089,ctaNom,0))="Sí",FALSE),IF(OR(I2089="Gasto",I2089="Transferencia",I2089="Pago tarjeta"),-1,1)*O2089,0)+IF(AND(U2089&lt;&gt;"",IFERROR(INDEX(ctaLiq,MATCH(G2089,ctaNom,0))="Sí",FALSE)),O2089,0))</f>
        <v/>
      </c>
      <c r="W2089" s="19">
        <f>IF(OR(F2089="",I2089=""),"",IF(COUNTIFS(F$6:F2089,F2089,I$6:I2089,"?*")=1,MAX(W$5:W2088)+1,""))</f>
        <v/>
      </c>
    </row>
    <row r="2090">
      <c r="B2090" s="15" t="n"/>
      <c r="C2090" s="16" t="n"/>
      <c r="D2090" s="17" t="n"/>
      <c r="E2090" s="17" t="n"/>
      <c r="F2090" s="17" t="n"/>
      <c r="G2090" s="17" t="n"/>
      <c r="H2090" s="18">
        <f>IF(AND(B2090="",C2090="",D2090="",E2090=""),"",IF(B2090="","⚠ Falta fecha",IF(C2090="","⚠ Falta monto",IF(D2090="","⚠ Falta categoría",IF(ISNA(MATCH(D2090,catNom,0)),"⚠ Categoría no existe",IF(E2090="","⚠ Falta cuenta",IF(ISNA(MATCH(E2090,ctaNom,0)),"⚠ Cuenta no existe",IF(AND(OR(I2090="Transferencia",I2090="Pago tarjeta"),G2090=""),"⚠ Indica la cuenta «Hacia»",IF(AND(G2090&lt;&gt;"",G2090=E2090),"⚠ «Hacia» igual a la cuenta",IF(AND(G2090&lt;&gt;"",ISNA(MATCH(G2090,ctaNom,0))),"⚠ «Hacia» no existe",IF(AND(I2090="Pago tarjeta",IFERROR(INDEX(ctaTipo,MATCH(G2090,ctaNom,0)),"")&lt;&gt;"Tarjeta de crédito"),"⚠ «Hacia» debe ser la tarjeta",IF(AND(I2090="Trading",IFERROR(INDEX(ctaTipo,MATCH(E2090,ctaNom,0)),"")&lt;&gt;"Cuenta de trading"),"⚠ Usa la cuenta de trading","✓"))))))))))))</f>
        <v/>
      </c>
      <c r="I2090" s="19">
        <f>IF(OR(B2090="",C2090="",D2090=""),"",IFERROR(INDEX(catTipo,MATCH(D2090,catNom,0))&amp;"",""))</f>
        <v/>
      </c>
      <c r="J2090" s="19">
        <f>IF(I2090="","",IFERROR(INDEX(catGrupo,MATCH(D2090,catNom,0))&amp;"",""))</f>
        <v/>
      </c>
      <c r="K2090" s="19">
        <f>IF(I2090="Gasto",IF(IFERROR(INDEX(catClas,MATCH(D2090,catNom,0))&amp;"","")="","Variable",IFERROR(INDEX(catClas,MATCH(D2090,catNom,0))&amp;"","")),"")</f>
        <v/>
      </c>
      <c r="L2090" s="19">
        <f>IF(I2090="","",IFERROR(INDEX(catAlim,MATCH(D2090,catNom,0))&amp;"",""))</f>
        <v/>
      </c>
      <c r="M2090" s="19">
        <f>IF(I2090="","",IFERROR(INDEX(catComida,MATCH(D2090,catNom,0))&amp;"",""))</f>
        <v/>
      </c>
      <c r="N2090" s="19">
        <f>IF(I2090="","",IFERROR(INDEX(ctaMon,MATCH(E2090,ctaNom,0))&amp;"","DOP"))</f>
        <v/>
      </c>
      <c r="O2090" s="20">
        <f>IF(I2090="","",C2090*IF(N2090="USD",TasaUSD,1))</f>
        <v/>
      </c>
      <c r="P2090" s="20">
        <f>IF(I2090="","",IF(I2090="Gasto",O2090,0))</f>
        <v/>
      </c>
      <c r="Q2090" s="20">
        <f>IF(I2090="","",IF(I2090="Ingreso",O2090,0))</f>
        <v/>
      </c>
      <c r="R2090" s="20">
        <f>IF(I2090="","",IF(I2090="Trading",O2090,0))</f>
        <v/>
      </c>
      <c r="S2090" s="19">
        <f>IF(I2090="","",IF(AND(I2090="Gasto",K2090="Variable",J2090&lt;&gt;"Trading",O2090&gt;0,O2090&lt;=Umbral),1,0))</f>
        <v/>
      </c>
      <c r="T2090" s="20">
        <f>IF(OR(I2090="",E2090=""),"",IF(OR(I2090="Gasto",I2090="Transferencia",I2090="Pago tarjeta"),-1,1)*C2090)</f>
        <v/>
      </c>
      <c r="U2090" s="20">
        <f>IF(OR(G2090="",AND(I2090&lt;&gt;"Transferencia",I2090&lt;&gt;"Pago tarjeta")),"",IF(IFERROR(INDEX(ctaMon,MATCH(G2090,ctaNom,0))&amp;"","DOP")=N2090,C2090,IF(N2090="USD",C2090*TasaUSD,C2090/TasaUSD)))</f>
        <v/>
      </c>
      <c r="V2090" s="20">
        <f>IF(I2090="","",IF(IFERROR(INDEX(ctaLiq,MATCH(E2090,ctaNom,0))="Sí",FALSE),IF(OR(I2090="Gasto",I2090="Transferencia",I2090="Pago tarjeta"),-1,1)*O2090,0)+IF(AND(U2090&lt;&gt;"",IFERROR(INDEX(ctaLiq,MATCH(G2090,ctaNom,0))="Sí",FALSE)),O2090,0))</f>
        <v/>
      </c>
      <c r="W2090" s="19">
        <f>IF(OR(F2090="",I2090=""),"",IF(COUNTIFS(F$6:F2090,F2090,I$6:I2090,"?*")=1,MAX(W$5:W2089)+1,""))</f>
        <v/>
      </c>
    </row>
    <row r="2091">
      <c r="B2091" s="15" t="n"/>
      <c r="C2091" s="16" t="n"/>
      <c r="D2091" s="17" t="n"/>
      <c r="E2091" s="17" t="n"/>
      <c r="F2091" s="17" t="n"/>
      <c r="G2091" s="17" t="n"/>
      <c r="H2091" s="18">
        <f>IF(AND(B2091="",C2091="",D2091="",E2091=""),"",IF(B2091="","⚠ Falta fecha",IF(C2091="","⚠ Falta monto",IF(D2091="","⚠ Falta categoría",IF(ISNA(MATCH(D2091,catNom,0)),"⚠ Categoría no existe",IF(E2091="","⚠ Falta cuenta",IF(ISNA(MATCH(E2091,ctaNom,0)),"⚠ Cuenta no existe",IF(AND(OR(I2091="Transferencia",I2091="Pago tarjeta"),G2091=""),"⚠ Indica la cuenta «Hacia»",IF(AND(G2091&lt;&gt;"",G2091=E2091),"⚠ «Hacia» igual a la cuenta",IF(AND(G2091&lt;&gt;"",ISNA(MATCH(G2091,ctaNom,0))),"⚠ «Hacia» no existe",IF(AND(I2091="Pago tarjeta",IFERROR(INDEX(ctaTipo,MATCH(G2091,ctaNom,0)),"")&lt;&gt;"Tarjeta de crédito"),"⚠ «Hacia» debe ser la tarjeta",IF(AND(I2091="Trading",IFERROR(INDEX(ctaTipo,MATCH(E2091,ctaNom,0)),"")&lt;&gt;"Cuenta de trading"),"⚠ Usa la cuenta de trading","✓"))))))))))))</f>
        <v/>
      </c>
      <c r="I2091" s="19">
        <f>IF(OR(B2091="",C2091="",D2091=""),"",IFERROR(INDEX(catTipo,MATCH(D2091,catNom,0))&amp;"",""))</f>
        <v/>
      </c>
      <c r="J2091" s="19">
        <f>IF(I2091="","",IFERROR(INDEX(catGrupo,MATCH(D2091,catNom,0))&amp;"",""))</f>
        <v/>
      </c>
      <c r="K2091" s="19">
        <f>IF(I2091="Gasto",IF(IFERROR(INDEX(catClas,MATCH(D2091,catNom,0))&amp;"","")="","Variable",IFERROR(INDEX(catClas,MATCH(D2091,catNom,0))&amp;"","")),"")</f>
        <v/>
      </c>
      <c r="L2091" s="19">
        <f>IF(I2091="","",IFERROR(INDEX(catAlim,MATCH(D2091,catNom,0))&amp;"",""))</f>
        <v/>
      </c>
      <c r="M2091" s="19">
        <f>IF(I2091="","",IFERROR(INDEX(catComida,MATCH(D2091,catNom,0))&amp;"",""))</f>
        <v/>
      </c>
      <c r="N2091" s="19">
        <f>IF(I2091="","",IFERROR(INDEX(ctaMon,MATCH(E2091,ctaNom,0))&amp;"","DOP"))</f>
        <v/>
      </c>
      <c r="O2091" s="20">
        <f>IF(I2091="","",C2091*IF(N2091="USD",TasaUSD,1))</f>
        <v/>
      </c>
      <c r="P2091" s="20">
        <f>IF(I2091="","",IF(I2091="Gasto",O2091,0))</f>
        <v/>
      </c>
      <c r="Q2091" s="20">
        <f>IF(I2091="","",IF(I2091="Ingreso",O2091,0))</f>
        <v/>
      </c>
      <c r="R2091" s="20">
        <f>IF(I2091="","",IF(I2091="Trading",O2091,0))</f>
        <v/>
      </c>
      <c r="S2091" s="19">
        <f>IF(I2091="","",IF(AND(I2091="Gasto",K2091="Variable",J2091&lt;&gt;"Trading",O2091&gt;0,O2091&lt;=Umbral),1,0))</f>
        <v/>
      </c>
      <c r="T2091" s="20">
        <f>IF(OR(I2091="",E2091=""),"",IF(OR(I2091="Gasto",I2091="Transferencia",I2091="Pago tarjeta"),-1,1)*C2091)</f>
        <v/>
      </c>
      <c r="U2091" s="20">
        <f>IF(OR(G2091="",AND(I2091&lt;&gt;"Transferencia",I2091&lt;&gt;"Pago tarjeta")),"",IF(IFERROR(INDEX(ctaMon,MATCH(G2091,ctaNom,0))&amp;"","DOP")=N2091,C2091,IF(N2091="USD",C2091*TasaUSD,C2091/TasaUSD)))</f>
        <v/>
      </c>
      <c r="V2091" s="20">
        <f>IF(I2091="","",IF(IFERROR(INDEX(ctaLiq,MATCH(E2091,ctaNom,0))="Sí",FALSE),IF(OR(I2091="Gasto",I2091="Transferencia",I2091="Pago tarjeta"),-1,1)*O2091,0)+IF(AND(U2091&lt;&gt;"",IFERROR(INDEX(ctaLiq,MATCH(G2091,ctaNom,0))="Sí",FALSE)),O2091,0))</f>
        <v/>
      </c>
      <c r="W2091" s="19">
        <f>IF(OR(F2091="",I2091=""),"",IF(COUNTIFS(F$6:F2091,F2091,I$6:I2091,"?*")=1,MAX(W$5:W2090)+1,""))</f>
        <v/>
      </c>
    </row>
    <row r="2092">
      <c r="B2092" s="15" t="n"/>
      <c r="C2092" s="16" t="n"/>
      <c r="D2092" s="17" t="n"/>
      <c r="E2092" s="17" t="n"/>
      <c r="F2092" s="17" t="n"/>
      <c r="G2092" s="17" t="n"/>
      <c r="H2092" s="18">
        <f>IF(AND(B2092="",C2092="",D2092="",E2092=""),"",IF(B2092="","⚠ Falta fecha",IF(C2092="","⚠ Falta monto",IF(D2092="","⚠ Falta categoría",IF(ISNA(MATCH(D2092,catNom,0)),"⚠ Categoría no existe",IF(E2092="","⚠ Falta cuenta",IF(ISNA(MATCH(E2092,ctaNom,0)),"⚠ Cuenta no existe",IF(AND(OR(I2092="Transferencia",I2092="Pago tarjeta"),G2092=""),"⚠ Indica la cuenta «Hacia»",IF(AND(G2092&lt;&gt;"",G2092=E2092),"⚠ «Hacia» igual a la cuenta",IF(AND(G2092&lt;&gt;"",ISNA(MATCH(G2092,ctaNom,0))),"⚠ «Hacia» no existe",IF(AND(I2092="Pago tarjeta",IFERROR(INDEX(ctaTipo,MATCH(G2092,ctaNom,0)),"")&lt;&gt;"Tarjeta de crédito"),"⚠ «Hacia» debe ser la tarjeta",IF(AND(I2092="Trading",IFERROR(INDEX(ctaTipo,MATCH(E2092,ctaNom,0)),"")&lt;&gt;"Cuenta de trading"),"⚠ Usa la cuenta de trading","✓"))))))))))))</f>
        <v/>
      </c>
      <c r="I2092" s="19">
        <f>IF(OR(B2092="",C2092="",D2092=""),"",IFERROR(INDEX(catTipo,MATCH(D2092,catNom,0))&amp;"",""))</f>
        <v/>
      </c>
      <c r="J2092" s="19">
        <f>IF(I2092="","",IFERROR(INDEX(catGrupo,MATCH(D2092,catNom,0))&amp;"",""))</f>
        <v/>
      </c>
      <c r="K2092" s="19">
        <f>IF(I2092="Gasto",IF(IFERROR(INDEX(catClas,MATCH(D2092,catNom,0))&amp;"","")="","Variable",IFERROR(INDEX(catClas,MATCH(D2092,catNom,0))&amp;"","")),"")</f>
        <v/>
      </c>
      <c r="L2092" s="19">
        <f>IF(I2092="","",IFERROR(INDEX(catAlim,MATCH(D2092,catNom,0))&amp;"",""))</f>
        <v/>
      </c>
      <c r="M2092" s="19">
        <f>IF(I2092="","",IFERROR(INDEX(catComida,MATCH(D2092,catNom,0))&amp;"",""))</f>
        <v/>
      </c>
      <c r="N2092" s="19">
        <f>IF(I2092="","",IFERROR(INDEX(ctaMon,MATCH(E2092,ctaNom,0))&amp;"","DOP"))</f>
        <v/>
      </c>
      <c r="O2092" s="20">
        <f>IF(I2092="","",C2092*IF(N2092="USD",TasaUSD,1))</f>
        <v/>
      </c>
      <c r="P2092" s="20">
        <f>IF(I2092="","",IF(I2092="Gasto",O2092,0))</f>
        <v/>
      </c>
      <c r="Q2092" s="20">
        <f>IF(I2092="","",IF(I2092="Ingreso",O2092,0))</f>
        <v/>
      </c>
      <c r="R2092" s="20">
        <f>IF(I2092="","",IF(I2092="Trading",O2092,0))</f>
        <v/>
      </c>
      <c r="S2092" s="19">
        <f>IF(I2092="","",IF(AND(I2092="Gasto",K2092="Variable",J2092&lt;&gt;"Trading",O2092&gt;0,O2092&lt;=Umbral),1,0))</f>
        <v/>
      </c>
      <c r="T2092" s="20">
        <f>IF(OR(I2092="",E2092=""),"",IF(OR(I2092="Gasto",I2092="Transferencia",I2092="Pago tarjeta"),-1,1)*C2092)</f>
        <v/>
      </c>
      <c r="U2092" s="20">
        <f>IF(OR(G2092="",AND(I2092&lt;&gt;"Transferencia",I2092&lt;&gt;"Pago tarjeta")),"",IF(IFERROR(INDEX(ctaMon,MATCH(G2092,ctaNom,0))&amp;"","DOP")=N2092,C2092,IF(N2092="USD",C2092*TasaUSD,C2092/TasaUSD)))</f>
        <v/>
      </c>
      <c r="V2092" s="20">
        <f>IF(I2092="","",IF(IFERROR(INDEX(ctaLiq,MATCH(E2092,ctaNom,0))="Sí",FALSE),IF(OR(I2092="Gasto",I2092="Transferencia",I2092="Pago tarjeta"),-1,1)*O2092,0)+IF(AND(U2092&lt;&gt;"",IFERROR(INDEX(ctaLiq,MATCH(G2092,ctaNom,0))="Sí",FALSE)),O2092,0))</f>
        <v/>
      </c>
      <c r="W2092" s="19">
        <f>IF(OR(F2092="",I2092=""),"",IF(COUNTIFS(F$6:F2092,F2092,I$6:I2092,"?*")=1,MAX(W$5:W2091)+1,""))</f>
        <v/>
      </c>
    </row>
    <row r="2093">
      <c r="B2093" s="15" t="n"/>
      <c r="C2093" s="16" t="n"/>
      <c r="D2093" s="17" t="n"/>
      <c r="E2093" s="17" t="n"/>
      <c r="F2093" s="17" t="n"/>
      <c r="G2093" s="17" t="n"/>
      <c r="H2093" s="18">
        <f>IF(AND(B2093="",C2093="",D2093="",E2093=""),"",IF(B2093="","⚠ Falta fecha",IF(C2093="","⚠ Falta monto",IF(D2093="","⚠ Falta categoría",IF(ISNA(MATCH(D2093,catNom,0)),"⚠ Categoría no existe",IF(E2093="","⚠ Falta cuenta",IF(ISNA(MATCH(E2093,ctaNom,0)),"⚠ Cuenta no existe",IF(AND(OR(I2093="Transferencia",I2093="Pago tarjeta"),G2093=""),"⚠ Indica la cuenta «Hacia»",IF(AND(G2093&lt;&gt;"",G2093=E2093),"⚠ «Hacia» igual a la cuenta",IF(AND(G2093&lt;&gt;"",ISNA(MATCH(G2093,ctaNom,0))),"⚠ «Hacia» no existe",IF(AND(I2093="Pago tarjeta",IFERROR(INDEX(ctaTipo,MATCH(G2093,ctaNom,0)),"")&lt;&gt;"Tarjeta de crédito"),"⚠ «Hacia» debe ser la tarjeta",IF(AND(I2093="Trading",IFERROR(INDEX(ctaTipo,MATCH(E2093,ctaNom,0)),"")&lt;&gt;"Cuenta de trading"),"⚠ Usa la cuenta de trading","✓"))))))))))))</f>
        <v/>
      </c>
      <c r="I2093" s="19">
        <f>IF(OR(B2093="",C2093="",D2093=""),"",IFERROR(INDEX(catTipo,MATCH(D2093,catNom,0))&amp;"",""))</f>
        <v/>
      </c>
      <c r="J2093" s="19">
        <f>IF(I2093="","",IFERROR(INDEX(catGrupo,MATCH(D2093,catNom,0))&amp;"",""))</f>
        <v/>
      </c>
      <c r="K2093" s="19">
        <f>IF(I2093="Gasto",IF(IFERROR(INDEX(catClas,MATCH(D2093,catNom,0))&amp;"","")="","Variable",IFERROR(INDEX(catClas,MATCH(D2093,catNom,0))&amp;"","")),"")</f>
        <v/>
      </c>
      <c r="L2093" s="19">
        <f>IF(I2093="","",IFERROR(INDEX(catAlim,MATCH(D2093,catNom,0))&amp;"",""))</f>
        <v/>
      </c>
      <c r="M2093" s="19">
        <f>IF(I2093="","",IFERROR(INDEX(catComida,MATCH(D2093,catNom,0))&amp;"",""))</f>
        <v/>
      </c>
      <c r="N2093" s="19">
        <f>IF(I2093="","",IFERROR(INDEX(ctaMon,MATCH(E2093,ctaNom,0))&amp;"","DOP"))</f>
        <v/>
      </c>
      <c r="O2093" s="20">
        <f>IF(I2093="","",C2093*IF(N2093="USD",TasaUSD,1))</f>
        <v/>
      </c>
      <c r="P2093" s="20">
        <f>IF(I2093="","",IF(I2093="Gasto",O2093,0))</f>
        <v/>
      </c>
      <c r="Q2093" s="20">
        <f>IF(I2093="","",IF(I2093="Ingreso",O2093,0))</f>
        <v/>
      </c>
      <c r="R2093" s="20">
        <f>IF(I2093="","",IF(I2093="Trading",O2093,0))</f>
        <v/>
      </c>
      <c r="S2093" s="19">
        <f>IF(I2093="","",IF(AND(I2093="Gasto",K2093="Variable",J2093&lt;&gt;"Trading",O2093&gt;0,O2093&lt;=Umbral),1,0))</f>
        <v/>
      </c>
      <c r="T2093" s="20">
        <f>IF(OR(I2093="",E2093=""),"",IF(OR(I2093="Gasto",I2093="Transferencia",I2093="Pago tarjeta"),-1,1)*C2093)</f>
        <v/>
      </c>
      <c r="U2093" s="20">
        <f>IF(OR(G2093="",AND(I2093&lt;&gt;"Transferencia",I2093&lt;&gt;"Pago tarjeta")),"",IF(IFERROR(INDEX(ctaMon,MATCH(G2093,ctaNom,0))&amp;"","DOP")=N2093,C2093,IF(N2093="USD",C2093*TasaUSD,C2093/TasaUSD)))</f>
        <v/>
      </c>
      <c r="V2093" s="20">
        <f>IF(I2093="","",IF(IFERROR(INDEX(ctaLiq,MATCH(E2093,ctaNom,0))="Sí",FALSE),IF(OR(I2093="Gasto",I2093="Transferencia",I2093="Pago tarjeta"),-1,1)*O2093,0)+IF(AND(U2093&lt;&gt;"",IFERROR(INDEX(ctaLiq,MATCH(G2093,ctaNom,0))="Sí",FALSE)),O2093,0))</f>
        <v/>
      </c>
      <c r="W2093" s="19">
        <f>IF(OR(F2093="",I2093=""),"",IF(COUNTIFS(F$6:F2093,F2093,I$6:I2093,"?*")=1,MAX(W$5:W2092)+1,""))</f>
        <v/>
      </c>
    </row>
    <row r="2094">
      <c r="B2094" s="15" t="n"/>
      <c r="C2094" s="16" t="n"/>
      <c r="D2094" s="17" t="n"/>
      <c r="E2094" s="17" t="n"/>
      <c r="F2094" s="17" t="n"/>
      <c r="G2094" s="17" t="n"/>
      <c r="H2094" s="18">
        <f>IF(AND(B2094="",C2094="",D2094="",E2094=""),"",IF(B2094="","⚠ Falta fecha",IF(C2094="","⚠ Falta monto",IF(D2094="","⚠ Falta categoría",IF(ISNA(MATCH(D2094,catNom,0)),"⚠ Categoría no existe",IF(E2094="","⚠ Falta cuenta",IF(ISNA(MATCH(E2094,ctaNom,0)),"⚠ Cuenta no existe",IF(AND(OR(I2094="Transferencia",I2094="Pago tarjeta"),G2094=""),"⚠ Indica la cuenta «Hacia»",IF(AND(G2094&lt;&gt;"",G2094=E2094),"⚠ «Hacia» igual a la cuenta",IF(AND(G2094&lt;&gt;"",ISNA(MATCH(G2094,ctaNom,0))),"⚠ «Hacia» no existe",IF(AND(I2094="Pago tarjeta",IFERROR(INDEX(ctaTipo,MATCH(G2094,ctaNom,0)),"")&lt;&gt;"Tarjeta de crédito"),"⚠ «Hacia» debe ser la tarjeta",IF(AND(I2094="Trading",IFERROR(INDEX(ctaTipo,MATCH(E2094,ctaNom,0)),"")&lt;&gt;"Cuenta de trading"),"⚠ Usa la cuenta de trading","✓"))))))))))))</f>
        <v/>
      </c>
      <c r="I2094" s="19">
        <f>IF(OR(B2094="",C2094="",D2094=""),"",IFERROR(INDEX(catTipo,MATCH(D2094,catNom,0))&amp;"",""))</f>
        <v/>
      </c>
      <c r="J2094" s="19">
        <f>IF(I2094="","",IFERROR(INDEX(catGrupo,MATCH(D2094,catNom,0))&amp;"",""))</f>
        <v/>
      </c>
      <c r="K2094" s="19">
        <f>IF(I2094="Gasto",IF(IFERROR(INDEX(catClas,MATCH(D2094,catNom,0))&amp;"","")="","Variable",IFERROR(INDEX(catClas,MATCH(D2094,catNom,0))&amp;"","")),"")</f>
        <v/>
      </c>
      <c r="L2094" s="19">
        <f>IF(I2094="","",IFERROR(INDEX(catAlim,MATCH(D2094,catNom,0))&amp;"",""))</f>
        <v/>
      </c>
      <c r="M2094" s="19">
        <f>IF(I2094="","",IFERROR(INDEX(catComida,MATCH(D2094,catNom,0))&amp;"",""))</f>
        <v/>
      </c>
      <c r="N2094" s="19">
        <f>IF(I2094="","",IFERROR(INDEX(ctaMon,MATCH(E2094,ctaNom,0))&amp;"","DOP"))</f>
        <v/>
      </c>
      <c r="O2094" s="20">
        <f>IF(I2094="","",C2094*IF(N2094="USD",TasaUSD,1))</f>
        <v/>
      </c>
      <c r="P2094" s="20">
        <f>IF(I2094="","",IF(I2094="Gasto",O2094,0))</f>
        <v/>
      </c>
      <c r="Q2094" s="20">
        <f>IF(I2094="","",IF(I2094="Ingreso",O2094,0))</f>
        <v/>
      </c>
      <c r="R2094" s="20">
        <f>IF(I2094="","",IF(I2094="Trading",O2094,0))</f>
        <v/>
      </c>
      <c r="S2094" s="19">
        <f>IF(I2094="","",IF(AND(I2094="Gasto",K2094="Variable",J2094&lt;&gt;"Trading",O2094&gt;0,O2094&lt;=Umbral),1,0))</f>
        <v/>
      </c>
      <c r="T2094" s="20">
        <f>IF(OR(I2094="",E2094=""),"",IF(OR(I2094="Gasto",I2094="Transferencia",I2094="Pago tarjeta"),-1,1)*C2094)</f>
        <v/>
      </c>
      <c r="U2094" s="20">
        <f>IF(OR(G2094="",AND(I2094&lt;&gt;"Transferencia",I2094&lt;&gt;"Pago tarjeta")),"",IF(IFERROR(INDEX(ctaMon,MATCH(G2094,ctaNom,0))&amp;"","DOP")=N2094,C2094,IF(N2094="USD",C2094*TasaUSD,C2094/TasaUSD)))</f>
        <v/>
      </c>
      <c r="V2094" s="20">
        <f>IF(I2094="","",IF(IFERROR(INDEX(ctaLiq,MATCH(E2094,ctaNom,0))="Sí",FALSE),IF(OR(I2094="Gasto",I2094="Transferencia",I2094="Pago tarjeta"),-1,1)*O2094,0)+IF(AND(U2094&lt;&gt;"",IFERROR(INDEX(ctaLiq,MATCH(G2094,ctaNom,0))="Sí",FALSE)),O2094,0))</f>
        <v/>
      </c>
      <c r="W2094" s="19">
        <f>IF(OR(F2094="",I2094=""),"",IF(COUNTIFS(F$6:F2094,F2094,I$6:I2094,"?*")=1,MAX(W$5:W2093)+1,""))</f>
        <v/>
      </c>
    </row>
    <row r="2095">
      <c r="B2095" s="15" t="n"/>
      <c r="C2095" s="16" t="n"/>
      <c r="D2095" s="17" t="n"/>
      <c r="E2095" s="17" t="n"/>
      <c r="F2095" s="17" t="n"/>
      <c r="G2095" s="17" t="n"/>
      <c r="H2095" s="18">
        <f>IF(AND(B2095="",C2095="",D2095="",E2095=""),"",IF(B2095="","⚠ Falta fecha",IF(C2095="","⚠ Falta monto",IF(D2095="","⚠ Falta categoría",IF(ISNA(MATCH(D2095,catNom,0)),"⚠ Categoría no existe",IF(E2095="","⚠ Falta cuenta",IF(ISNA(MATCH(E2095,ctaNom,0)),"⚠ Cuenta no existe",IF(AND(OR(I2095="Transferencia",I2095="Pago tarjeta"),G2095=""),"⚠ Indica la cuenta «Hacia»",IF(AND(G2095&lt;&gt;"",G2095=E2095),"⚠ «Hacia» igual a la cuenta",IF(AND(G2095&lt;&gt;"",ISNA(MATCH(G2095,ctaNom,0))),"⚠ «Hacia» no existe",IF(AND(I2095="Pago tarjeta",IFERROR(INDEX(ctaTipo,MATCH(G2095,ctaNom,0)),"")&lt;&gt;"Tarjeta de crédito"),"⚠ «Hacia» debe ser la tarjeta",IF(AND(I2095="Trading",IFERROR(INDEX(ctaTipo,MATCH(E2095,ctaNom,0)),"")&lt;&gt;"Cuenta de trading"),"⚠ Usa la cuenta de trading","✓"))))))))))))</f>
        <v/>
      </c>
      <c r="I2095" s="19">
        <f>IF(OR(B2095="",C2095="",D2095=""),"",IFERROR(INDEX(catTipo,MATCH(D2095,catNom,0))&amp;"",""))</f>
        <v/>
      </c>
      <c r="J2095" s="19">
        <f>IF(I2095="","",IFERROR(INDEX(catGrupo,MATCH(D2095,catNom,0))&amp;"",""))</f>
        <v/>
      </c>
      <c r="K2095" s="19">
        <f>IF(I2095="Gasto",IF(IFERROR(INDEX(catClas,MATCH(D2095,catNom,0))&amp;"","")="","Variable",IFERROR(INDEX(catClas,MATCH(D2095,catNom,0))&amp;"","")),"")</f>
        <v/>
      </c>
      <c r="L2095" s="19">
        <f>IF(I2095="","",IFERROR(INDEX(catAlim,MATCH(D2095,catNom,0))&amp;"",""))</f>
        <v/>
      </c>
      <c r="M2095" s="19">
        <f>IF(I2095="","",IFERROR(INDEX(catComida,MATCH(D2095,catNom,0))&amp;"",""))</f>
        <v/>
      </c>
      <c r="N2095" s="19">
        <f>IF(I2095="","",IFERROR(INDEX(ctaMon,MATCH(E2095,ctaNom,0))&amp;"","DOP"))</f>
        <v/>
      </c>
      <c r="O2095" s="20">
        <f>IF(I2095="","",C2095*IF(N2095="USD",TasaUSD,1))</f>
        <v/>
      </c>
      <c r="P2095" s="20">
        <f>IF(I2095="","",IF(I2095="Gasto",O2095,0))</f>
        <v/>
      </c>
      <c r="Q2095" s="20">
        <f>IF(I2095="","",IF(I2095="Ingreso",O2095,0))</f>
        <v/>
      </c>
      <c r="R2095" s="20">
        <f>IF(I2095="","",IF(I2095="Trading",O2095,0))</f>
        <v/>
      </c>
      <c r="S2095" s="19">
        <f>IF(I2095="","",IF(AND(I2095="Gasto",K2095="Variable",J2095&lt;&gt;"Trading",O2095&gt;0,O2095&lt;=Umbral),1,0))</f>
        <v/>
      </c>
      <c r="T2095" s="20">
        <f>IF(OR(I2095="",E2095=""),"",IF(OR(I2095="Gasto",I2095="Transferencia",I2095="Pago tarjeta"),-1,1)*C2095)</f>
        <v/>
      </c>
      <c r="U2095" s="20">
        <f>IF(OR(G2095="",AND(I2095&lt;&gt;"Transferencia",I2095&lt;&gt;"Pago tarjeta")),"",IF(IFERROR(INDEX(ctaMon,MATCH(G2095,ctaNom,0))&amp;"","DOP")=N2095,C2095,IF(N2095="USD",C2095*TasaUSD,C2095/TasaUSD)))</f>
        <v/>
      </c>
      <c r="V2095" s="20">
        <f>IF(I2095="","",IF(IFERROR(INDEX(ctaLiq,MATCH(E2095,ctaNom,0))="Sí",FALSE),IF(OR(I2095="Gasto",I2095="Transferencia",I2095="Pago tarjeta"),-1,1)*O2095,0)+IF(AND(U2095&lt;&gt;"",IFERROR(INDEX(ctaLiq,MATCH(G2095,ctaNom,0))="Sí",FALSE)),O2095,0))</f>
        <v/>
      </c>
      <c r="W2095" s="19">
        <f>IF(OR(F2095="",I2095=""),"",IF(COUNTIFS(F$6:F2095,F2095,I$6:I2095,"?*")=1,MAX(W$5:W2094)+1,""))</f>
        <v/>
      </c>
    </row>
    <row r="2096">
      <c r="B2096" s="15" t="n"/>
      <c r="C2096" s="16" t="n"/>
      <c r="D2096" s="17" t="n"/>
      <c r="E2096" s="17" t="n"/>
      <c r="F2096" s="17" t="n"/>
      <c r="G2096" s="17" t="n"/>
      <c r="H2096" s="18">
        <f>IF(AND(B2096="",C2096="",D2096="",E2096=""),"",IF(B2096="","⚠ Falta fecha",IF(C2096="","⚠ Falta monto",IF(D2096="","⚠ Falta categoría",IF(ISNA(MATCH(D2096,catNom,0)),"⚠ Categoría no existe",IF(E2096="","⚠ Falta cuenta",IF(ISNA(MATCH(E2096,ctaNom,0)),"⚠ Cuenta no existe",IF(AND(OR(I2096="Transferencia",I2096="Pago tarjeta"),G2096=""),"⚠ Indica la cuenta «Hacia»",IF(AND(G2096&lt;&gt;"",G2096=E2096),"⚠ «Hacia» igual a la cuenta",IF(AND(G2096&lt;&gt;"",ISNA(MATCH(G2096,ctaNom,0))),"⚠ «Hacia» no existe",IF(AND(I2096="Pago tarjeta",IFERROR(INDEX(ctaTipo,MATCH(G2096,ctaNom,0)),"")&lt;&gt;"Tarjeta de crédito"),"⚠ «Hacia» debe ser la tarjeta",IF(AND(I2096="Trading",IFERROR(INDEX(ctaTipo,MATCH(E2096,ctaNom,0)),"")&lt;&gt;"Cuenta de trading"),"⚠ Usa la cuenta de trading","✓"))))))))))))</f>
        <v/>
      </c>
      <c r="I2096" s="19">
        <f>IF(OR(B2096="",C2096="",D2096=""),"",IFERROR(INDEX(catTipo,MATCH(D2096,catNom,0))&amp;"",""))</f>
        <v/>
      </c>
      <c r="J2096" s="19">
        <f>IF(I2096="","",IFERROR(INDEX(catGrupo,MATCH(D2096,catNom,0))&amp;"",""))</f>
        <v/>
      </c>
      <c r="K2096" s="19">
        <f>IF(I2096="Gasto",IF(IFERROR(INDEX(catClas,MATCH(D2096,catNom,0))&amp;"","")="","Variable",IFERROR(INDEX(catClas,MATCH(D2096,catNom,0))&amp;"","")),"")</f>
        <v/>
      </c>
      <c r="L2096" s="19">
        <f>IF(I2096="","",IFERROR(INDEX(catAlim,MATCH(D2096,catNom,0))&amp;"",""))</f>
        <v/>
      </c>
      <c r="M2096" s="19">
        <f>IF(I2096="","",IFERROR(INDEX(catComida,MATCH(D2096,catNom,0))&amp;"",""))</f>
        <v/>
      </c>
      <c r="N2096" s="19">
        <f>IF(I2096="","",IFERROR(INDEX(ctaMon,MATCH(E2096,ctaNom,0))&amp;"","DOP"))</f>
        <v/>
      </c>
      <c r="O2096" s="20">
        <f>IF(I2096="","",C2096*IF(N2096="USD",TasaUSD,1))</f>
        <v/>
      </c>
      <c r="P2096" s="20">
        <f>IF(I2096="","",IF(I2096="Gasto",O2096,0))</f>
        <v/>
      </c>
      <c r="Q2096" s="20">
        <f>IF(I2096="","",IF(I2096="Ingreso",O2096,0))</f>
        <v/>
      </c>
      <c r="R2096" s="20">
        <f>IF(I2096="","",IF(I2096="Trading",O2096,0))</f>
        <v/>
      </c>
      <c r="S2096" s="19">
        <f>IF(I2096="","",IF(AND(I2096="Gasto",K2096="Variable",J2096&lt;&gt;"Trading",O2096&gt;0,O2096&lt;=Umbral),1,0))</f>
        <v/>
      </c>
      <c r="T2096" s="20">
        <f>IF(OR(I2096="",E2096=""),"",IF(OR(I2096="Gasto",I2096="Transferencia",I2096="Pago tarjeta"),-1,1)*C2096)</f>
        <v/>
      </c>
      <c r="U2096" s="20">
        <f>IF(OR(G2096="",AND(I2096&lt;&gt;"Transferencia",I2096&lt;&gt;"Pago tarjeta")),"",IF(IFERROR(INDEX(ctaMon,MATCH(G2096,ctaNom,0))&amp;"","DOP")=N2096,C2096,IF(N2096="USD",C2096*TasaUSD,C2096/TasaUSD)))</f>
        <v/>
      </c>
      <c r="V2096" s="20">
        <f>IF(I2096="","",IF(IFERROR(INDEX(ctaLiq,MATCH(E2096,ctaNom,0))="Sí",FALSE),IF(OR(I2096="Gasto",I2096="Transferencia",I2096="Pago tarjeta"),-1,1)*O2096,0)+IF(AND(U2096&lt;&gt;"",IFERROR(INDEX(ctaLiq,MATCH(G2096,ctaNom,0))="Sí",FALSE)),O2096,0))</f>
        <v/>
      </c>
      <c r="W2096" s="19">
        <f>IF(OR(F2096="",I2096=""),"",IF(COUNTIFS(F$6:F2096,F2096,I$6:I2096,"?*")=1,MAX(W$5:W2095)+1,""))</f>
        <v/>
      </c>
    </row>
    <row r="2097">
      <c r="B2097" s="15" t="n"/>
      <c r="C2097" s="16" t="n"/>
      <c r="D2097" s="17" t="n"/>
      <c r="E2097" s="17" t="n"/>
      <c r="F2097" s="17" t="n"/>
      <c r="G2097" s="17" t="n"/>
      <c r="H2097" s="18">
        <f>IF(AND(B2097="",C2097="",D2097="",E2097=""),"",IF(B2097="","⚠ Falta fecha",IF(C2097="","⚠ Falta monto",IF(D2097="","⚠ Falta categoría",IF(ISNA(MATCH(D2097,catNom,0)),"⚠ Categoría no existe",IF(E2097="","⚠ Falta cuenta",IF(ISNA(MATCH(E2097,ctaNom,0)),"⚠ Cuenta no existe",IF(AND(OR(I2097="Transferencia",I2097="Pago tarjeta"),G2097=""),"⚠ Indica la cuenta «Hacia»",IF(AND(G2097&lt;&gt;"",G2097=E2097),"⚠ «Hacia» igual a la cuenta",IF(AND(G2097&lt;&gt;"",ISNA(MATCH(G2097,ctaNom,0))),"⚠ «Hacia» no existe",IF(AND(I2097="Pago tarjeta",IFERROR(INDEX(ctaTipo,MATCH(G2097,ctaNom,0)),"")&lt;&gt;"Tarjeta de crédito"),"⚠ «Hacia» debe ser la tarjeta",IF(AND(I2097="Trading",IFERROR(INDEX(ctaTipo,MATCH(E2097,ctaNom,0)),"")&lt;&gt;"Cuenta de trading"),"⚠ Usa la cuenta de trading","✓"))))))))))))</f>
        <v/>
      </c>
      <c r="I2097" s="19">
        <f>IF(OR(B2097="",C2097="",D2097=""),"",IFERROR(INDEX(catTipo,MATCH(D2097,catNom,0))&amp;"",""))</f>
        <v/>
      </c>
      <c r="J2097" s="19">
        <f>IF(I2097="","",IFERROR(INDEX(catGrupo,MATCH(D2097,catNom,0))&amp;"",""))</f>
        <v/>
      </c>
      <c r="K2097" s="19">
        <f>IF(I2097="Gasto",IF(IFERROR(INDEX(catClas,MATCH(D2097,catNom,0))&amp;"","")="","Variable",IFERROR(INDEX(catClas,MATCH(D2097,catNom,0))&amp;"","")),"")</f>
        <v/>
      </c>
      <c r="L2097" s="19">
        <f>IF(I2097="","",IFERROR(INDEX(catAlim,MATCH(D2097,catNom,0))&amp;"",""))</f>
        <v/>
      </c>
      <c r="M2097" s="19">
        <f>IF(I2097="","",IFERROR(INDEX(catComida,MATCH(D2097,catNom,0))&amp;"",""))</f>
        <v/>
      </c>
      <c r="N2097" s="19">
        <f>IF(I2097="","",IFERROR(INDEX(ctaMon,MATCH(E2097,ctaNom,0))&amp;"","DOP"))</f>
        <v/>
      </c>
      <c r="O2097" s="20">
        <f>IF(I2097="","",C2097*IF(N2097="USD",TasaUSD,1))</f>
        <v/>
      </c>
      <c r="P2097" s="20">
        <f>IF(I2097="","",IF(I2097="Gasto",O2097,0))</f>
        <v/>
      </c>
      <c r="Q2097" s="20">
        <f>IF(I2097="","",IF(I2097="Ingreso",O2097,0))</f>
        <v/>
      </c>
      <c r="R2097" s="20">
        <f>IF(I2097="","",IF(I2097="Trading",O2097,0))</f>
        <v/>
      </c>
      <c r="S2097" s="19">
        <f>IF(I2097="","",IF(AND(I2097="Gasto",K2097="Variable",J2097&lt;&gt;"Trading",O2097&gt;0,O2097&lt;=Umbral),1,0))</f>
        <v/>
      </c>
      <c r="T2097" s="20">
        <f>IF(OR(I2097="",E2097=""),"",IF(OR(I2097="Gasto",I2097="Transferencia",I2097="Pago tarjeta"),-1,1)*C2097)</f>
        <v/>
      </c>
      <c r="U2097" s="20">
        <f>IF(OR(G2097="",AND(I2097&lt;&gt;"Transferencia",I2097&lt;&gt;"Pago tarjeta")),"",IF(IFERROR(INDEX(ctaMon,MATCH(G2097,ctaNom,0))&amp;"","DOP")=N2097,C2097,IF(N2097="USD",C2097*TasaUSD,C2097/TasaUSD)))</f>
        <v/>
      </c>
      <c r="V2097" s="20">
        <f>IF(I2097="","",IF(IFERROR(INDEX(ctaLiq,MATCH(E2097,ctaNom,0))="Sí",FALSE),IF(OR(I2097="Gasto",I2097="Transferencia",I2097="Pago tarjeta"),-1,1)*O2097,0)+IF(AND(U2097&lt;&gt;"",IFERROR(INDEX(ctaLiq,MATCH(G2097,ctaNom,0))="Sí",FALSE)),O2097,0))</f>
        <v/>
      </c>
      <c r="W2097" s="19">
        <f>IF(OR(F2097="",I2097=""),"",IF(COUNTIFS(F$6:F2097,F2097,I$6:I2097,"?*")=1,MAX(W$5:W2096)+1,""))</f>
        <v/>
      </c>
    </row>
    <row r="2098">
      <c r="B2098" s="15" t="n"/>
      <c r="C2098" s="16" t="n"/>
      <c r="D2098" s="17" t="n"/>
      <c r="E2098" s="17" t="n"/>
      <c r="F2098" s="17" t="n"/>
      <c r="G2098" s="17" t="n"/>
      <c r="H2098" s="18">
        <f>IF(AND(B2098="",C2098="",D2098="",E2098=""),"",IF(B2098="","⚠ Falta fecha",IF(C2098="","⚠ Falta monto",IF(D2098="","⚠ Falta categoría",IF(ISNA(MATCH(D2098,catNom,0)),"⚠ Categoría no existe",IF(E2098="","⚠ Falta cuenta",IF(ISNA(MATCH(E2098,ctaNom,0)),"⚠ Cuenta no existe",IF(AND(OR(I2098="Transferencia",I2098="Pago tarjeta"),G2098=""),"⚠ Indica la cuenta «Hacia»",IF(AND(G2098&lt;&gt;"",G2098=E2098),"⚠ «Hacia» igual a la cuenta",IF(AND(G2098&lt;&gt;"",ISNA(MATCH(G2098,ctaNom,0))),"⚠ «Hacia» no existe",IF(AND(I2098="Pago tarjeta",IFERROR(INDEX(ctaTipo,MATCH(G2098,ctaNom,0)),"")&lt;&gt;"Tarjeta de crédito"),"⚠ «Hacia» debe ser la tarjeta",IF(AND(I2098="Trading",IFERROR(INDEX(ctaTipo,MATCH(E2098,ctaNom,0)),"")&lt;&gt;"Cuenta de trading"),"⚠ Usa la cuenta de trading","✓"))))))))))))</f>
        <v/>
      </c>
      <c r="I2098" s="19">
        <f>IF(OR(B2098="",C2098="",D2098=""),"",IFERROR(INDEX(catTipo,MATCH(D2098,catNom,0))&amp;"",""))</f>
        <v/>
      </c>
      <c r="J2098" s="19">
        <f>IF(I2098="","",IFERROR(INDEX(catGrupo,MATCH(D2098,catNom,0))&amp;"",""))</f>
        <v/>
      </c>
      <c r="K2098" s="19">
        <f>IF(I2098="Gasto",IF(IFERROR(INDEX(catClas,MATCH(D2098,catNom,0))&amp;"","")="","Variable",IFERROR(INDEX(catClas,MATCH(D2098,catNom,0))&amp;"","")),"")</f>
        <v/>
      </c>
      <c r="L2098" s="19">
        <f>IF(I2098="","",IFERROR(INDEX(catAlim,MATCH(D2098,catNom,0))&amp;"",""))</f>
        <v/>
      </c>
      <c r="M2098" s="19">
        <f>IF(I2098="","",IFERROR(INDEX(catComida,MATCH(D2098,catNom,0))&amp;"",""))</f>
        <v/>
      </c>
      <c r="N2098" s="19">
        <f>IF(I2098="","",IFERROR(INDEX(ctaMon,MATCH(E2098,ctaNom,0))&amp;"","DOP"))</f>
        <v/>
      </c>
      <c r="O2098" s="20">
        <f>IF(I2098="","",C2098*IF(N2098="USD",TasaUSD,1))</f>
        <v/>
      </c>
      <c r="P2098" s="20">
        <f>IF(I2098="","",IF(I2098="Gasto",O2098,0))</f>
        <v/>
      </c>
      <c r="Q2098" s="20">
        <f>IF(I2098="","",IF(I2098="Ingreso",O2098,0))</f>
        <v/>
      </c>
      <c r="R2098" s="20">
        <f>IF(I2098="","",IF(I2098="Trading",O2098,0))</f>
        <v/>
      </c>
      <c r="S2098" s="19">
        <f>IF(I2098="","",IF(AND(I2098="Gasto",K2098="Variable",J2098&lt;&gt;"Trading",O2098&gt;0,O2098&lt;=Umbral),1,0))</f>
        <v/>
      </c>
      <c r="T2098" s="20">
        <f>IF(OR(I2098="",E2098=""),"",IF(OR(I2098="Gasto",I2098="Transferencia",I2098="Pago tarjeta"),-1,1)*C2098)</f>
        <v/>
      </c>
      <c r="U2098" s="20">
        <f>IF(OR(G2098="",AND(I2098&lt;&gt;"Transferencia",I2098&lt;&gt;"Pago tarjeta")),"",IF(IFERROR(INDEX(ctaMon,MATCH(G2098,ctaNom,0))&amp;"","DOP")=N2098,C2098,IF(N2098="USD",C2098*TasaUSD,C2098/TasaUSD)))</f>
        <v/>
      </c>
      <c r="V2098" s="20">
        <f>IF(I2098="","",IF(IFERROR(INDEX(ctaLiq,MATCH(E2098,ctaNom,0))="Sí",FALSE),IF(OR(I2098="Gasto",I2098="Transferencia",I2098="Pago tarjeta"),-1,1)*O2098,0)+IF(AND(U2098&lt;&gt;"",IFERROR(INDEX(ctaLiq,MATCH(G2098,ctaNom,0))="Sí",FALSE)),O2098,0))</f>
        <v/>
      </c>
      <c r="W2098" s="19">
        <f>IF(OR(F2098="",I2098=""),"",IF(COUNTIFS(F$6:F2098,F2098,I$6:I2098,"?*")=1,MAX(W$5:W2097)+1,""))</f>
        <v/>
      </c>
    </row>
    <row r="2099">
      <c r="B2099" s="15" t="n"/>
      <c r="C2099" s="16" t="n"/>
      <c r="D2099" s="17" t="n"/>
      <c r="E2099" s="17" t="n"/>
      <c r="F2099" s="17" t="n"/>
      <c r="G2099" s="17" t="n"/>
      <c r="H2099" s="18">
        <f>IF(AND(B2099="",C2099="",D2099="",E2099=""),"",IF(B2099="","⚠ Falta fecha",IF(C2099="","⚠ Falta monto",IF(D2099="","⚠ Falta categoría",IF(ISNA(MATCH(D2099,catNom,0)),"⚠ Categoría no existe",IF(E2099="","⚠ Falta cuenta",IF(ISNA(MATCH(E2099,ctaNom,0)),"⚠ Cuenta no existe",IF(AND(OR(I2099="Transferencia",I2099="Pago tarjeta"),G2099=""),"⚠ Indica la cuenta «Hacia»",IF(AND(G2099&lt;&gt;"",G2099=E2099),"⚠ «Hacia» igual a la cuenta",IF(AND(G2099&lt;&gt;"",ISNA(MATCH(G2099,ctaNom,0))),"⚠ «Hacia» no existe",IF(AND(I2099="Pago tarjeta",IFERROR(INDEX(ctaTipo,MATCH(G2099,ctaNom,0)),"")&lt;&gt;"Tarjeta de crédito"),"⚠ «Hacia» debe ser la tarjeta",IF(AND(I2099="Trading",IFERROR(INDEX(ctaTipo,MATCH(E2099,ctaNom,0)),"")&lt;&gt;"Cuenta de trading"),"⚠ Usa la cuenta de trading","✓"))))))))))))</f>
        <v/>
      </c>
      <c r="I2099" s="19">
        <f>IF(OR(B2099="",C2099="",D2099=""),"",IFERROR(INDEX(catTipo,MATCH(D2099,catNom,0))&amp;"",""))</f>
        <v/>
      </c>
      <c r="J2099" s="19">
        <f>IF(I2099="","",IFERROR(INDEX(catGrupo,MATCH(D2099,catNom,0))&amp;"",""))</f>
        <v/>
      </c>
      <c r="K2099" s="19">
        <f>IF(I2099="Gasto",IF(IFERROR(INDEX(catClas,MATCH(D2099,catNom,0))&amp;"","")="","Variable",IFERROR(INDEX(catClas,MATCH(D2099,catNom,0))&amp;"","")),"")</f>
        <v/>
      </c>
      <c r="L2099" s="19">
        <f>IF(I2099="","",IFERROR(INDEX(catAlim,MATCH(D2099,catNom,0))&amp;"",""))</f>
        <v/>
      </c>
      <c r="M2099" s="19">
        <f>IF(I2099="","",IFERROR(INDEX(catComida,MATCH(D2099,catNom,0))&amp;"",""))</f>
        <v/>
      </c>
      <c r="N2099" s="19">
        <f>IF(I2099="","",IFERROR(INDEX(ctaMon,MATCH(E2099,ctaNom,0))&amp;"","DOP"))</f>
        <v/>
      </c>
      <c r="O2099" s="20">
        <f>IF(I2099="","",C2099*IF(N2099="USD",TasaUSD,1))</f>
        <v/>
      </c>
      <c r="P2099" s="20">
        <f>IF(I2099="","",IF(I2099="Gasto",O2099,0))</f>
        <v/>
      </c>
      <c r="Q2099" s="20">
        <f>IF(I2099="","",IF(I2099="Ingreso",O2099,0))</f>
        <v/>
      </c>
      <c r="R2099" s="20">
        <f>IF(I2099="","",IF(I2099="Trading",O2099,0))</f>
        <v/>
      </c>
      <c r="S2099" s="19">
        <f>IF(I2099="","",IF(AND(I2099="Gasto",K2099="Variable",J2099&lt;&gt;"Trading",O2099&gt;0,O2099&lt;=Umbral),1,0))</f>
        <v/>
      </c>
      <c r="T2099" s="20">
        <f>IF(OR(I2099="",E2099=""),"",IF(OR(I2099="Gasto",I2099="Transferencia",I2099="Pago tarjeta"),-1,1)*C2099)</f>
        <v/>
      </c>
      <c r="U2099" s="20">
        <f>IF(OR(G2099="",AND(I2099&lt;&gt;"Transferencia",I2099&lt;&gt;"Pago tarjeta")),"",IF(IFERROR(INDEX(ctaMon,MATCH(G2099,ctaNom,0))&amp;"","DOP")=N2099,C2099,IF(N2099="USD",C2099*TasaUSD,C2099/TasaUSD)))</f>
        <v/>
      </c>
      <c r="V2099" s="20">
        <f>IF(I2099="","",IF(IFERROR(INDEX(ctaLiq,MATCH(E2099,ctaNom,0))="Sí",FALSE),IF(OR(I2099="Gasto",I2099="Transferencia",I2099="Pago tarjeta"),-1,1)*O2099,0)+IF(AND(U2099&lt;&gt;"",IFERROR(INDEX(ctaLiq,MATCH(G2099,ctaNom,0))="Sí",FALSE)),O2099,0))</f>
        <v/>
      </c>
      <c r="W2099" s="19">
        <f>IF(OR(F2099="",I2099=""),"",IF(COUNTIFS(F$6:F2099,F2099,I$6:I2099,"?*")=1,MAX(W$5:W2098)+1,""))</f>
        <v/>
      </c>
    </row>
    <row r="2100">
      <c r="B2100" s="15" t="n"/>
      <c r="C2100" s="16" t="n"/>
      <c r="D2100" s="17" t="n"/>
      <c r="E2100" s="17" t="n"/>
      <c r="F2100" s="17" t="n"/>
      <c r="G2100" s="17" t="n"/>
      <c r="H2100" s="18">
        <f>IF(AND(B2100="",C2100="",D2100="",E2100=""),"",IF(B2100="","⚠ Falta fecha",IF(C2100="","⚠ Falta monto",IF(D2100="","⚠ Falta categoría",IF(ISNA(MATCH(D2100,catNom,0)),"⚠ Categoría no existe",IF(E2100="","⚠ Falta cuenta",IF(ISNA(MATCH(E2100,ctaNom,0)),"⚠ Cuenta no existe",IF(AND(OR(I2100="Transferencia",I2100="Pago tarjeta"),G2100=""),"⚠ Indica la cuenta «Hacia»",IF(AND(G2100&lt;&gt;"",G2100=E2100),"⚠ «Hacia» igual a la cuenta",IF(AND(G2100&lt;&gt;"",ISNA(MATCH(G2100,ctaNom,0))),"⚠ «Hacia» no existe",IF(AND(I2100="Pago tarjeta",IFERROR(INDEX(ctaTipo,MATCH(G2100,ctaNom,0)),"")&lt;&gt;"Tarjeta de crédito"),"⚠ «Hacia» debe ser la tarjeta",IF(AND(I2100="Trading",IFERROR(INDEX(ctaTipo,MATCH(E2100,ctaNom,0)),"")&lt;&gt;"Cuenta de trading"),"⚠ Usa la cuenta de trading","✓"))))))))))))</f>
        <v/>
      </c>
      <c r="I2100" s="19">
        <f>IF(OR(B2100="",C2100="",D2100=""),"",IFERROR(INDEX(catTipo,MATCH(D2100,catNom,0))&amp;"",""))</f>
        <v/>
      </c>
      <c r="J2100" s="19">
        <f>IF(I2100="","",IFERROR(INDEX(catGrupo,MATCH(D2100,catNom,0))&amp;"",""))</f>
        <v/>
      </c>
      <c r="K2100" s="19">
        <f>IF(I2100="Gasto",IF(IFERROR(INDEX(catClas,MATCH(D2100,catNom,0))&amp;"","")="","Variable",IFERROR(INDEX(catClas,MATCH(D2100,catNom,0))&amp;"","")),"")</f>
        <v/>
      </c>
      <c r="L2100" s="19">
        <f>IF(I2100="","",IFERROR(INDEX(catAlim,MATCH(D2100,catNom,0))&amp;"",""))</f>
        <v/>
      </c>
      <c r="M2100" s="19">
        <f>IF(I2100="","",IFERROR(INDEX(catComida,MATCH(D2100,catNom,0))&amp;"",""))</f>
        <v/>
      </c>
      <c r="N2100" s="19">
        <f>IF(I2100="","",IFERROR(INDEX(ctaMon,MATCH(E2100,ctaNom,0))&amp;"","DOP"))</f>
        <v/>
      </c>
      <c r="O2100" s="20">
        <f>IF(I2100="","",C2100*IF(N2100="USD",TasaUSD,1))</f>
        <v/>
      </c>
      <c r="P2100" s="20">
        <f>IF(I2100="","",IF(I2100="Gasto",O2100,0))</f>
        <v/>
      </c>
      <c r="Q2100" s="20">
        <f>IF(I2100="","",IF(I2100="Ingreso",O2100,0))</f>
        <v/>
      </c>
      <c r="R2100" s="20">
        <f>IF(I2100="","",IF(I2100="Trading",O2100,0))</f>
        <v/>
      </c>
      <c r="S2100" s="19">
        <f>IF(I2100="","",IF(AND(I2100="Gasto",K2100="Variable",J2100&lt;&gt;"Trading",O2100&gt;0,O2100&lt;=Umbral),1,0))</f>
        <v/>
      </c>
      <c r="T2100" s="20">
        <f>IF(OR(I2100="",E2100=""),"",IF(OR(I2100="Gasto",I2100="Transferencia",I2100="Pago tarjeta"),-1,1)*C2100)</f>
        <v/>
      </c>
      <c r="U2100" s="20">
        <f>IF(OR(G2100="",AND(I2100&lt;&gt;"Transferencia",I2100&lt;&gt;"Pago tarjeta")),"",IF(IFERROR(INDEX(ctaMon,MATCH(G2100,ctaNom,0))&amp;"","DOP")=N2100,C2100,IF(N2100="USD",C2100*TasaUSD,C2100/TasaUSD)))</f>
        <v/>
      </c>
      <c r="V2100" s="20">
        <f>IF(I2100="","",IF(IFERROR(INDEX(ctaLiq,MATCH(E2100,ctaNom,0))="Sí",FALSE),IF(OR(I2100="Gasto",I2100="Transferencia",I2100="Pago tarjeta"),-1,1)*O2100,0)+IF(AND(U2100&lt;&gt;"",IFERROR(INDEX(ctaLiq,MATCH(G2100,ctaNom,0))="Sí",FALSE)),O2100,0))</f>
        <v/>
      </c>
      <c r="W2100" s="19">
        <f>IF(OR(F2100="",I2100=""),"",IF(COUNTIFS(F$6:F2100,F2100,I$6:I2100,"?*")=1,MAX(W$5:W2099)+1,""))</f>
        <v/>
      </c>
    </row>
    <row r="2101">
      <c r="B2101" s="15" t="n"/>
      <c r="C2101" s="16" t="n"/>
      <c r="D2101" s="17" t="n"/>
      <c r="E2101" s="17" t="n"/>
      <c r="F2101" s="17" t="n"/>
      <c r="G2101" s="17" t="n"/>
      <c r="H2101" s="18">
        <f>IF(AND(B2101="",C2101="",D2101="",E2101=""),"",IF(B2101="","⚠ Falta fecha",IF(C2101="","⚠ Falta monto",IF(D2101="","⚠ Falta categoría",IF(ISNA(MATCH(D2101,catNom,0)),"⚠ Categoría no existe",IF(E2101="","⚠ Falta cuenta",IF(ISNA(MATCH(E2101,ctaNom,0)),"⚠ Cuenta no existe",IF(AND(OR(I2101="Transferencia",I2101="Pago tarjeta"),G2101=""),"⚠ Indica la cuenta «Hacia»",IF(AND(G2101&lt;&gt;"",G2101=E2101),"⚠ «Hacia» igual a la cuenta",IF(AND(G2101&lt;&gt;"",ISNA(MATCH(G2101,ctaNom,0))),"⚠ «Hacia» no existe",IF(AND(I2101="Pago tarjeta",IFERROR(INDEX(ctaTipo,MATCH(G2101,ctaNom,0)),"")&lt;&gt;"Tarjeta de crédito"),"⚠ «Hacia» debe ser la tarjeta",IF(AND(I2101="Trading",IFERROR(INDEX(ctaTipo,MATCH(E2101,ctaNom,0)),"")&lt;&gt;"Cuenta de trading"),"⚠ Usa la cuenta de trading","✓"))))))))))))</f>
        <v/>
      </c>
      <c r="I2101" s="19">
        <f>IF(OR(B2101="",C2101="",D2101=""),"",IFERROR(INDEX(catTipo,MATCH(D2101,catNom,0))&amp;"",""))</f>
        <v/>
      </c>
      <c r="J2101" s="19">
        <f>IF(I2101="","",IFERROR(INDEX(catGrupo,MATCH(D2101,catNom,0))&amp;"",""))</f>
        <v/>
      </c>
      <c r="K2101" s="19">
        <f>IF(I2101="Gasto",IF(IFERROR(INDEX(catClas,MATCH(D2101,catNom,0))&amp;"","")="","Variable",IFERROR(INDEX(catClas,MATCH(D2101,catNom,0))&amp;"","")),"")</f>
        <v/>
      </c>
      <c r="L2101" s="19">
        <f>IF(I2101="","",IFERROR(INDEX(catAlim,MATCH(D2101,catNom,0))&amp;"",""))</f>
        <v/>
      </c>
      <c r="M2101" s="19">
        <f>IF(I2101="","",IFERROR(INDEX(catComida,MATCH(D2101,catNom,0))&amp;"",""))</f>
        <v/>
      </c>
      <c r="N2101" s="19">
        <f>IF(I2101="","",IFERROR(INDEX(ctaMon,MATCH(E2101,ctaNom,0))&amp;"","DOP"))</f>
        <v/>
      </c>
      <c r="O2101" s="20">
        <f>IF(I2101="","",C2101*IF(N2101="USD",TasaUSD,1))</f>
        <v/>
      </c>
      <c r="P2101" s="20">
        <f>IF(I2101="","",IF(I2101="Gasto",O2101,0))</f>
        <v/>
      </c>
      <c r="Q2101" s="20">
        <f>IF(I2101="","",IF(I2101="Ingreso",O2101,0))</f>
        <v/>
      </c>
      <c r="R2101" s="20">
        <f>IF(I2101="","",IF(I2101="Trading",O2101,0))</f>
        <v/>
      </c>
      <c r="S2101" s="19">
        <f>IF(I2101="","",IF(AND(I2101="Gasto",K2101="Variable",J2101&lt;&gt;"Trading",O2101&gt;0,O2101&lt;=Umbral),1,0))</f>
        <v/>
      </c>
      <c r="T2101" s="20">
        <f>IF(OR(I2101="",E2101=""),"",IF(OR(I2101="Gasto",I2101="Transferencia",I2101="Pago tarjeta"),-1,1)*C2101)</f>
        <v/>
      </c>
      <c r="U2101" s="20">
        <f>IF(OR(G2101="",AND(I2101&lt;&gt;"Transferencia",I2101&lt;&gt;"Pago tarjeta")),"",IF(IFERROR(INDEX(ctaMon,MATCH(G2101,ctaNom,0))&amp;"","DOP")=N2101,C2101,IF(N2101="USD",C2101*TasaUSD,C2101/TasaUSD)))</f>
        <v/>
      </c>
      <c r="V2101" s="20">
        <f>IF(I2101="","",IF(IFERROR(INDEX(ctaLiq,MATCH(E2101,ctaNom,0))="Sí",FALSE),IF(OR(I2101="Gasto",I2101="Transferencia",I2101="Pago tarjeta"),-1,1)*O2101,0)+IF(AND(U2101&lt;&gt;"",IFERROR(INDEX(ctaLiq,MATCH(G2101,ctaNom,0))="Sí",FALSE)),O2101,0))</f>
        <v/>
      </c>
      <c r="W2101" s="19">
        <f>IF(OR(F2101="",I2101=""),"",IF(COUNTIFS(F$6:F2101,F2101,I$6:I2101,"?*")=1,MAX(W$5:W2100)+1,""))</f>
        <v/>
      </c>
    </row>
    <row r="2102">
      <c r="B2102" s="15" t="n"/>
      <c r="C2102" s="16" t="n"/>
      <c r="D2102" s="17" t="n"/>
      <c r="E2102" s="17" t="n"/>
      <c r="F2102" s="17" t="n"/>
      <c r="G2102" s="17" t="n"/>
      <c r="H2102" s="18">
        <f>IF(AND(B2102="",C2102="",D2102="",E2102=""),"",IF(B2102="","⚠ Falta fecha",IF(C2102="","⚠ Falta monto",IF(D2102="","⚠ Falta categoría",IF(ISNA(MATCH(D2102,catNom,0)),"⚠ Categoría no existe",IF(E2102="","⚠ Falta cuenta",IF(ISNA(MATCH(E2102,ctaNom,0)),"⚠ Cuenta no existe",IF(AND(OR(I2102="Transferencia",I2102="Pago tarjeta"),G2102=""),"⚠ Indica la cuenta «Hacia»",IF(AND(G2102&lt;&gt;"",G2102=E2102),"⚠ «Hacia» igual a la cuenta",IF(AND(G2102&lt;&gt;"",ISNA(MATCH(G2102,ctaNom,0))),"⚠ «Hacia» no existe",IF(AND(I2102="Pago tarjeta",IFERROR(INDEX(ctaTipo,MATCH(G2102,ctaNom,0)),"")&lt;&gt;"Tarjeta de crédito"),"⚠ «Hacia» debe ser la tarjeta",IF(AND(I2102="Trading",IFERROR(INDEX(ctaTipo,MATCH(E2102,ctaNom,0)),"")&lt;&gt;"Cuenta de trading"),"⚠ Usa la cuenta de trading","✓"))))))))))))</f>
        <v/>
      </c>
      <c r="I2102" s="19">
        <f>IF(OR(B2102="",C2102="",D2102=""),"",IFERROR(INDEX(catTipo,MATCH(D2102,catNom,0))&amp;"",""))</f>
        <v/>
      </c>
      <c r="J2102" s="19">
        <f>IF(I2102="","",IFERROR(INDEX(catGrupo,MATCH(D2102,catNom,0))&amp;"",""))</f>
        <v/>
      </c>
      <c r="K2102" s="19">
        <f>IF(I2102="Gasto",IF(IFERROR(INDEX(catClas,MATCH(D2102,catNom,0))&amp;"","")="","Variable",IFERROR(INDEX(catClas,MATCH(D2102,catNom,0))&amp;"","")),"")</f>
        <v/>
      </c>
      <c r="L2102" s="19">
        <f>IF(I2102="","",IFERROR(INDEX(catAlim,MATCH(D2102,catNom,0))&amp;"",""))</f>
        <v/>
      </c>
      <c r="M2102" s="19">
        <f>IF(I2102="","",IFERROR(INDEX(catComida,MATCH(D2102,catNom,0))&amp;"",""))</f>
        <v/>
      </c>
      <c r="N2102" s="19">
        <f>IF(I2102="","",IFERROR(INDEX(ctaMon,MATCH(E2102,ctaNom,0))&amp;"","DOP"))</f>
        <v/>
      </c>
      <c r="O2102" s="20">
        <f>IF(I2102="","",C2102*IF(N2102="USD",TasaUSD,1))</f>
        <v/>
      </c>
      <c r="P2102" s="20">
        <f>IF(I2102="","",IF(I2102="Gasto",O2102,0))</f>
        <v/>
      </c>
      <c r="Q2102" s="20">
        <f>IF(I2102="","",IF(I2102="Ingreso",O2102,0))</f>
        <v/>
      </c>
      <c r="R2102" s="20">
        <f>IF(I2102="","",IF(I2102="Trading",O2102,0))</f>
        <v/>
      </c>
      <c r="S2102" s="19">
        <f>IF(I2102="","",IF(AND(I2102="Gasto",K2102="Variable",J2102&lt;&gt;"Trading",O2102&gt;0,O2102&lt;=Umbral),1,0))</f>
        <v/>
      </c>
      <c r="T2102" s="20">
        <f>IF(OR(I2102="",E2102=""),"",IF(OR(I2102="Gasto",I2102="Transferencia",I2102="Pago tarjeta"),-1,1)*C2102)</f>
        <v/>
      </c>
      <c r="U2102" s="20">
        <f>IF(OR(G2102="",AND(I2102&lt;&gt;"Transferencia",I2102&lt;&gt;"Pago tarjeta")),"",IF(IFERROR(INDEX(ctaMon,MATCH(G2102,ctaNom,0))&amp;"","DOP")=N2102,C2102,IF(N2102="USD",C2102*TasaUSD,C2102/TasaUSD)))</f>
        <v/>
      </c>
      <c r="V2102" s="20">
        <f>IF(I2102="","",IF(IFERROR(INDEX(ctaLiq,MATCH(E2102,ctaNom,0))="Sí",FALSE),IF(OR(I2102="Gasto",I2102="Transferencia",I2102="Pago tarjeta"),-1,1)*O2102,0)+IF(AND(U2102&lt;&gt;"",IFERROR(INDEX(ctaLiq,MATCH(G2102,ctaNom,0))="Sí",FALSE)),O2102,0))</f>
        <v/>
      </c>
      <c r="W2102" s="19">
        <f>IF(OR(F2102="",I2102=""),"",IF(COUNTIFS(F$6:F2102,F2102,I$6:I2102,"?*")=1,MAX(W$5:W2101)+1,""))</f>
        <v/>
      </c>
    </row>
    <row r="2103">
      <c r="B2103" s="15" t="n"/>
      <c r="C2103" s="16" t="n"/>
      <c r="D2103" s="17" t="n"/>
      <c r="E2103" s="17" t="n"/>
      <c r="F2103" s="17" t="n"/>
      <c r="G2103" s="17" t="n"/>
      <c r="H2103" s="18">
        <f>IF(AND(B2103="",C2103="",D2103="",E2103=""),"",IF(B2103="","⚠ Falta fecha",IF(C2103="","⚠ Falta monto",IF(D2103="","⚠ Falta categoría",IF(ISNA(MATCH(D2103,catNom,0)),"⚠ Categoría no existe",IF(E2103="","⚠ Falta cuenta",IF(ISNA(MATCH(E2103,ctaNom,0)),"⚠ Cuenta no existe",IF(AND(OR(I2103="Transferencia",I2103="Pago tarjeta"),G2103=""),"⚠ Indica la cuenta «Hacia»",IF(AND(G2103&lt;&gt;"",G2103=E2103),"⚠ «Hacia» igual a la cuenta",IF(AND(G2103&lt;&gt;"",ISNA(MATCH(G2103,ctaNom,0))),"⚠ «Hacia» no existe",IF(AND(I2103="Pago tarjeta",IFERROR(INDEX(ctaTipo,MATCH(G2103,ctaNom,0)),"")&lt;&gt;"Tarjeta de crédito"),"⚠ «Hacia» debe ser la tarjeta",IF(AND(I2103="Trading",IFERROR(INDEX(ctaTipo,MATCH(E2103,ctaNom,0)),"")&lt;&gt;"Cuenta de trading"),"⚠ Usa la cuenta de trading","✓"))))))))))))</f>
        <v/>
      </c>
      <c r="I2103" s="19">
        <f>IF(OR(B2103="",C2103="",D2103=""),"",IFERROR(INDEX(catTipo,MATCH(D2103,catNom,0))&amp;"",""))</f>
        <v/>
      </c>
      <c r="J2103" s="19">
        <f>IF(I2103="","",IFERROR(INDEX(catGrupo,MATCH(D2103,catNom,0))&amp;"",""))</f>
        <v/>
      </c>
      <c r="K2103" s="19">
        <f>IF(I2103="Gasto",IF(IFERROR(INDEX(catClas,MATCH(D2103,catNom,0))&amp;"","")="","Variable",IFERROR(INDEX(catClas,MATCH(D2103,catNom,0))&amp;"","")),"")</f>
        <v/>
      </c>
      <c r="L2103" s="19">
        <f>IF(I2103="","",IFERROR(INDEX(catAlim,MATCH(D2103,catNom,0))&amp;"",""))</f>
        <v/>
      </c>
      <c r="M2103" s="19">
        <f>IF(I2103="","",IFERROR(INDEX(catComida,MATCH(D2103,catNom,0))&amp;"",""))</f>
        <v/>
      </c>
      <c r="N2103" s="19">
        <f>IF(I2103="","",IFERROR(INDEX(ctaMon,MATCH(E2103,ctaNom,0))&amp;"","DOP"))</f>
        <v/>
      </c>
      <c r="O2103" s="20">
        <f>IF(I2103="","",C2103*IF(N2103="USD",TasaUSD,1))</f>
        <v/>
      </c>
      <c r="P2103" s="20">
        <f>IF(I2103="","",IF(I2103="Gasto",O2103,0))</f>
        <v/>
      </c>
      <c r="Q2103" s="20">
        <f>IF(I2103="","",IF(I2103="Ingreso",O2103,0))</f>
        <v/>
      </c>
      <c r="R2103" s="20">
        <f>IF(I2103="","",IF(I2103="Trading",O2103,0))</f>
        <v/>
      </c>
      <c r="S2103" s="19">
        <f>IF(I2103="","",IF(AND(I2103="Gasto",K2103="Variable",J2103&lt;&gt;"Trading",O2103&gt;0,O2103&lt;=Umbral),1,0))</f>
        <v/>
      </c>
      <c r="T2103" s="20">
        <f>IF(OR(I2103="",E2103=""),"",IF(OR(I2103="Gasto",I2103="Transferencia",I2103="Pago tarjeta"),-1,1)*C2103)</f>
        <v/>
      </c>
      <c r="U2103" s="20">
        <f>IF(OR(G2103="",AND(I2103&lt;&gt;"Transferencia",I2103&lt;&gt;"Pago tarjeta")),"",IF(IFERROR(INDEX(ctaMon,MATCH(G2103,ctaNom,0))&amp;"","DOP")=N2103,C2103,IF(N2103="USD",C2103*TasaUSD,C2103/TasaUSD)))</f>
        <v/>
      </c>
      <c r="V2103" s="20">
        <f>IF(I2103="","",IF(IFERROR(INDEX(ctaLiq,MATCH(E2103,ctaNom,0))="Sí",FALSE),IF(OR(I2103="Gasto",I2103="Transferencia",I2103="Pago tarjeta"),-1,1)*O2103,0)+IF(AND(U2103&lt;&gt;"",IFERROR(INDEX(ctaLiq,MATCH(G2103,ctaNom,0))="Sí",FALSE)),O2103,0))</f>
        <v/>
      </c>
      <c r="W2103" s="19">
        <f>IF(OR(F2103="",I2103=""),"",IF(COUNTIFS(F$6:F2103,F2103,I$6:I2103,"?*")=1,MAX(W$5:W2102)+1,""))</f>
        <v/>
      </c>
    </row>
    <row r="2104">
      <c r="B2104" s="15" t="n"/>
      <c r="C2104" s="16" t="n"/>
      <c r="D2104" s="17" t="n"/>
      <c r="E2104" s="17" t="n"/>
      <c r="F2104" s="17" t="n"/>
      <c r="G2104" s="17" t="n"/>
      <c r="H2104" s="18">
        <f>IF(AND(B2104="",C2104="",D2104="",E2104=""),"",IF(B2104="","⚠ Falta fecha",IF(C2104="","⚠ Falta monto",IF(D2104="","⚠ Falta categoría",IF(ISNA(MATCH(D2104,catNom,0)),"⚠ Categoría no existe",IF(E2104="","⚠ Falta cuenta",IF(ISNA(MATCH(E2104,ctaNom,0)),"⚠ Cuenta no existe",IF(AND(OR(I2104="Transferencia",I2104="Pago tarjeta"),G2104=""),"⚠ Indica la cuenta «Hacia»",IF(AND(G2104&lt;&gt;"",G2104=E2104),"⚠ «Hacia» igual a la cuenta",IF(AND(G2104&lt;&gt;"",ISNA(MATCH(G2104,ctaNom,0))),"⚠ «Hacia» no existe",IF(AND(I2104="Pago tarjeta",IFERROR(INDEX(ctaTipo,MATCH(G2104,ctaNom,0)),"")&lt;&gt;"Tarjeta de crédito"),"⚠ «Hacia» debe ser la tarjeta",IF(AND(I2104="Trading",IFERROR(INDEX(ctaTipo,MATCH(E2104,ctaNom,0)),"")&lt;&gt;"Cuenta de trading"),"⚠ Usa la cuenta de trading","✓"))))))))))))</f>
        <v/>
      </c>
      <c r="I2104" s="19">
        <f>IF(OR(B2104="",C2104="",D2104=""),"",IFERROR(INDEX(catTipo,MATCH(D2104,catNom,0))&amp;"",""))</f>
        <v/>
      </c>
      <c r="J2104" s="19">
        <f>IF(I2104="","",IFERROR(INDEX(catGrupo,MATCH(D2104,catNom,0))&amp;"",""))</f>
        <v/>
      </c>
      <c r="K2104" s="19">
        <f>IF(I2104="Gasto",IF(IFERROR(INDEX(catClas,MATCH(D2104,catNom,0))&amp;"","")="","Variable",IFERROR(INDEX(catClas,MATCH(D2104,catNom,0))&amp;"","")),"")</f>
        <v/>
      </c>
      <c r="L2104" s="19">
        <f>IF(I2104="","",IFERROR(INDEX(catAlim,MATCH(D2104,catNom,0))&amp;"",""))</f>
        <v/>
      </c>
      <c r="M2104" s="19">
        <f>IF(I2104="","",IFERROR(INDEX(catComida,MATCH(D2104,catNom,0))&amp;"",""))</f>
        <v/>
      </c>
      <c r="N2104" s="19">
        <f>IF(I2104="","",IFERROR(INDEX(ctaMon,MATCH(E2104,ctaNom,0))&amp;"","DOP"))</f>
        <v/>
      </c>
      <c r="O2104" s="20">
        <f>IF(I2104="","",C2104*IF(N2104="USD",TasaUSD,1))</f>
        <v/>
      </c>
      <c r="P2104" s="20">
        <f>IF(I2104="","",IF(I2104="Gasto",O2104,0))</f>
        <v/>
      </c>
      <c r="Q2104" s="20">
        <f>IF(I2104="","",IF(I2104="Ingreso",O2104,0))</f>
        <v/>
      </c>
      <c r="R2104" s="20">
        <f>IF(I2104="","",IF(I2104="Trading",O2104,0))</f>
        <v/>
      </c>
      <c r="S2104" s="19">
        <f>IF(I2104="","",IF(AND(I2104="Gasto",K2104="Variable",J2104&lt;&gt;"Trading",O2104&gt;0,O2104&lt;=Umbral),1,0))</f>
        <v/>
      </c>
      <c r="T2104" s="20">
        <f>IF(OR(I2104="",E2104=""),"",IF(OR(I2104="Gasto",I2104="Transferencia",I2104="Pago tarjeta"),-1,1)*C2104)</f>
        <v/>
      </c>
      <c r="U2104" s="20">
        <f>IF(OR(G2104="",AND(I2104&lt;&gt;"Transferencia",I2104&lt;&gt;"Pago tarjeta")),"",IF(IFERROR(INDEX(ctaMon,MATCH(G2104,ctaNom,0))&amp;"","DOP")=N2104,C2104,IF(N2104="USD",C2104*TasaUSD,C2104/TasaUSD)))</f>
        <v/>
      </c>
      <c r="V2104" s="20">
        <f>IF(I2104="","",IF(IFERROR(INDEX(ctaLiq,MATCH(E2104,ctaNom,0))="Sí",FALSE),IF(OR(I2104="Gasto",I2104="Transferencia",I2104="Pago tarjeta"),-1,1)*O2104,0)+IF(AND(U2104&lt;&gt;"",IFERROR(INDEX(ctaLiq,MATCH(G2104,ctaNom,0))="Sí",FALSE)),O2104,0))</f>
        <v/>
      </c>
      <c r="W2104" s="19">
        <f>IF(OR(F2104="",I2104=""),"",IF(COUNTIFS(F$6:F2104,F2104,I$6:I2104,"?*")=1,MAX(W$5:W2103)+1,""))</f>
        <v/>
      </c>
    </row>
    <row r="2105">
      <c r="B2105" s="15" t="n"/>
      <c r="C2105" s="16" t="n"/>
      <c r="D2105" s="17" t="n"/>
      <c r="E2105" s="17" t="n"/>
      <c r="F2105" s="17" t="n"/>
      <c r="G2105" s="17" t="n"/>
      <c r="H2105" s="18">
        <f>IF(AND(B2105="",C2105="",D2105="",E2105=""),"",IF(B2105="","⚠ Falta fecha",IF(C2105="","⚠ Falta monto",IF(D2105="","⚠ Falta categoría",IF(ISNA(MATCH(D2105,catNom,0)),"⚠ Categoría no existe",IF(E2105="","⚠ Falta cuenta",IF(ISNA(MATCH(E2105,ctaNom,0)),"⚠ Cuenta no existe",IF(AND(OR(I2105="Transferencia",I2105="Pago tarjeta"),G2105=""),"⚠ Indica la cuenta «Hacia»",IF(AND(G2105&lt;&gt;"",G2105=E2105),"⚠ «Hacia» igual a la cuenta",IF(AND(G2105&lt;&gt;"",ISNA(MATCH(G2105,ctaNom,0))),"⚠ «Hacia» no existe",IF(AND(I2105="Pago tarjeta",IFERROR(INDEX(ctaTipo,MATCH(G2105,ctaNom,0)),"")&lt;&gt;"Tarjeta de crédito"),"⚠ «Hacia» debe ser la tarjeta",IF(AND(I2105="Trading",IFERROR(INDEX(ctaTipo,MATCH(E2105,ctaNom,0)),"")&lt;&gt;"Cuenta de trading"),"⚠ Usa la cuenta de trading","✓"))))))))))))</f>
        <v/>
      </c>
      <c r="I2105" s="19">
        <f>IF(OR(B2105="",C2105="",D2105=""),"",IFERROR(INDEX(catTipo,MATCH(D2105,catNom,0))&amp;"",""))</f>
        <v/>
      </c>
      <c r="J2105" s="19">
        <f>IF(I2105="","",IFERROR(INDEX(catGrupo,MATCH(D2105,catNom,0))&amp;"",""))</f>
        <v/>
      </c>
      <c r="K2105" s="19">
        <f>IF(I2105="Gasto",IF(IFERROR(INDEX(catClas,MATCH(D2105,catNom,0))&amp;"","")="","Variable",IFERROR(INDEX(catClas,MATCH(D2105,catNom,0))&amp;"","")),"")</f>
        <v/>
      </c>
      <c r="L2105" s="19">
        <f>IF(I2105="","",IFERROR(INDEX(catAlim,MATCH(D2105,catNom,0))&amp;"",""))</f>
        <v/>
      </c>
      <c r="M2105" s="19">
        <f>IF(I2105="","",IFERROR(INDEX(catComida,MATCH(D2105,catNom,0))&amp;"",""))</f>
        <v/>
      </c>
      <c r="N2105" s="19">
        <f>IF(I2105="","",IFERROR(INDEX(ctaMon,MATCH(E2105,ctaNom,0))&amp;"","DOP"))</f>
        <v/>
      </c>
      <c r="O2105" s="20">
        <f>IF(I2105="","",C2105*IF(N2105="USD",TasaUSD,1))</f>
        <v/>
      </c>
      <c r="P2105" s="20">
        <f>IF(I2105="","",IF(I2105="Gasto",O2105,0))</f>
        <v/>
      </c>
      <c r="Q2105" s="20">
        <f>IF(I2105="","",IF(I2105="Ingreso",O2105,0))</f>
        <v/>
      </c>
      <c r="R2105" s="20">
        <f>IF(I2105="","",IF(I2105="Trading",O2105,0))</f>
        <v/>
      </c>
      <c r="S2105" s="19">
        <f>IF(I2105="","",IF(AND(I2105="Gasto",K2105="Variable",J2105&lt;&gt;"Trading",O2105&gt;0,O2105&lt;=Umbral),1,0))</f>
        <v/>
      </c>
      <c r="T2105" s="20">
        <f>IF(OR(I2105="",E2105=""),"",IF(OR(I2105="Gasto",I2105="Transferencia",I2105="Pago tarjeta"),-1,1)*C2105)</f>
        <v/>
      </c>
      <c r="U2105" s="20">
        <f>IF(OR(G2105="",AND(I2105&lt;&gt;"Transferencia",I2105&lt;&gt;"Pago tarjeta")),"",IF(IFERROR(INDEX(ctaMon,MATCH(G2105,ctaNom,0))&amp;"","DOP")=N2105,C2105,IF(N2105="USD",C2105*TasaUSD,C2105/TasaUSD)))</f>
        <v/>
      </c>
      <c r="V2105" s="20">
        <f>IF(I2105="","",IF(IFERROR(INDEX(ctaLiq,MATCH(E2105,ctaNom,0))="Sí",FALSE),IF(OR(I2105="Gasto",I2105="Transferencia",I2105="Pago tarjeta"),-1,1)*O2105,0)+IF(AND(U2105&lt;&gt;"",IFERROR(INDEX(ctaLiq,MATCH(G2105,ctaNom,0))="Sí",FALSE)),O2105,0))</f>
        <v/>
      </c>
      <c r="W2105" s="19">
        <f>IF(OR(F2105="",I2105=""),"",IF(COUNTIFS(F$6:F2105,F2105,I$6:I2105,"?*")=1,MAX(W$5:W2104)+1,""))</f>
        <v/>
      </c>
    </row>
    <row r="2106">
      <c r="B2106" s="15" t="n"/>
      <c r="C2106" s="16" t="n"/>
      <c r="D2106" s="17" t="n"/>
      <c r="E2106" s="17" t="n"/>
      <c r="F2106" s="17" t="n"/>
      <c r="G2106" s="17" t="n"/>
      <c r="H2106" s="18">
        <f>IF(AND(B2106="",C2106="",D2106="",E2106=""),"",IF(B2106="","⚠ Falta fecha",IF(C2106="","⚠ Falta monto",IF(D2106="","⚠ Falta categoría",IF(ISNA(MATCH(D2106,catNom,0)),"⚠ Categoría no existe",IF(E2106="","⚠ Falta cuenta",IF(ISNA(MATCH(E2106,ctaNom,0)),"⚠ Cuenta no existe",IF(AND(OR(I2106="Transferencia",I2106="Pago tarjeta"),G2106=""),"⚠ Indica la cuenta «Hacia»",IF(AND(G2106&lt;&gt;"",G2106=E2106),"⚠ «Hacia» igual a la cuenta",IF(AND(G2106&lt;&gt;"",ISNA(MATCH(G2106,ctaNom,0))),"⚠ «Hacia» no existe",IF(AND(I2106="Pago tarjeta",IFERROR(INDEX(ctaTipo,MATCH(G2106,ctaNom,0)),"")&lt;&gt;"Tarjeta de crédito"),"⚠ «Hacia» debe ser la tarjeta",IF(AND(I2106="Trading",IFERROR(INDEX(ctaTipo,MATCH(E2106,ctaNom,0)),"")&lt;&gt;"Cuenta de trading"),"⚠ Usa la cuenta de trading","✓"))))))))))))</f>
        <v/>
      </c>
      <c r="I2106" s="19">
        <f>IF(OR(B2106="",C2106="",D2106=""),"",IFERROR(INDEX(catTipo,MATCH(D2106,catNom,0))&amp;"",""))</f>
        <v/>
      </c>
      <c r="J2106" s="19">
        <f>IF(I2106="","",IFERROR(INDEX(catGrupo,MATCH(D2106,catNom,0))&amp;"",""))</f>
        <v/>
      </c>
      <c r="K2106" s="19">
        <f>IF(I2106="Gasto",IF(IFERROR(INDEX(catClas,MATCH(D2106,catNom,0))&amp;"","")="","Variable",IFERROR(INDEX(catClas,MATCH(D2106,catNom,0))&amp;"","")),"")</f>
        <v/>
      </c>
      <c r="L2106" s="19">
        <f>IF(I2106="","",IFERROR(INDEX(catAlim,MATCH(D2106,catNom,0))&amp;"",""))</f>
        <v/>
      </c>
      <c r="M2106" s="19">
        <f>IF(I2106="","",IFERROR(INDEX(catComida,MATCH(D2106,catNom,0))&amp;"",""))</f>
        <v/>
      </c>
      <c r="N2106" s="19">
        <f>IF(I2106="","",IFERROR(INDEX(ctaMon,MATCH(E2106,ctaNom,0))&amp;"","DOP"))</f>
        <v/>
      </c>
      <c r="O2106" s="20">
        <f>IF(I2106="","",C2106*IF(N2106="USD",TasaUSD,1))</f>
        <v/>
      </c>
      <c r="P2106" s="20">
        <f>IF(I2106="","",IF(I2106="Gasto",O2106,0))</f>
        <v/>
      </c>
      <c r="Q2106" s="20">
        <f>IF(I2106="","",IF(I2106="Ingreso",O2106,0))</f>
        <v/>
      </c>
      <c r="R2106" s="20">
        <f>IF(I2106="","",IF(I2106="Trading",O2106,0))</f>
        <v/>
      </c>
      <c r="S2106" s="19">
        <f>IF(I2106="","",IF(AND(I2106="Gasto",K2106="Variable",J2106&lt;&gt;"Trading",O2106&gt;0,O2106&lt;=Umbral),1,0))</f>
        <v/>
      </c>
      <c r="T2106" s="20">
        <f>IF(OR(I2106="",E2106=""),"",IF(OR(I2106="Gasto",I2106="Transferencia",I2106="Pago tarjeta"),-1,1)*C2106)</f>
        <v/>
      </c>
      <c r="U2106" s="20">
        <f>IF(OR(G2106="",AND(I2106&lt;&gt;"Transferencia",I2106&lt;&gt;"Pago tarjeta")),"",IF(IFERROR(INDEX(ctaMon,MATCH(G2106,ctaNom,0))&amp;"","DOP")=N2106,C2106,IF(N2106="USD",C2106*TasaUSD,C2106/TasaUSD)))</f>
        <v/>
      </c>
      <c r="V2106" s="20">
        <f>IF(I2106="","",IF(IFERROR(INDEX(ctaLiq,MATCH(E2106,ctaNom,0))="Sí",FALSE),IF(OR(I2106="Gasto",I2106="Transferencia",I2106="Pago tarjeta"),-1,1)*O2106,0)+IF(AND(U2106&lt;&gt;"",IFERROR(INDEX(ctaLiq,MATCH(G2106,ctaNom,0))="Sí",FALSE)),O2106,0))</f>
        <v/>
      </c>
      <c r="W2106" s="19">
        <f>IF(OR(F2106="",I2106=""),"",IF(COUNTIFS(F$6:F2106,F2106,I$6:I2106,"?*")=1,MAX(W$5:W2105)+1,""))</f>
        <v/>
      </c>
    </row>
    <row r="2107">
      <c r="B2107" s="15" t="n"/>
      <c r="C2107" s="16" t="n"/>
      <c r="D2107" s="17" t="n"/>
      <c r="E2107" s="17" t="n"/>
      <c r="F2107" s="17" t="n"/>
      <c r="G2107" s="17" t="n"/>
      <c r="H2107" s="18">
        <f>IF(AND(B2107="",C2107="",D2107="",E2107=""),"",IF(B2107="","⚠ Falta fecha",IF(C2107="","⚠ Falta monto",IF(D2107="","⚠ Falta categoría",IF(ISNA(MATCH(D2107,catNom,0)),"⚠ Categoría no existe",IF(E2107="","⚠ Falta cuenta",IF(ISNA(MATCH(E2107,ctaNom,0)),"⚠ Cuenta no existe",IF(AND(OR(I2107="Transferencia",I2107="Pago tarjeta"),G2107=""),"⚠ Indica la cuenta «Hacia»",IF(AND(G2107&lt;&gt;"",G2107=E2107),"⚠ «Hacia» igual a la cuenta",IF(AND(G2107&lt;&gt;"",ISNA(MATCH(G2107,ctaNom,0))),"⚠ «Hacia» no existe",IF(AND(I2107="Pago tarjeta",IFERROR(INDEX(ctaTipo,MATCH(G2107,ctaNom,0)),"")&lt;&gt;"Tarjeta de crédito"),"⚠ «Hacia» debe ser la tarjeta",IF(AND(I2107="Trading",IFERROR(INDEX(ctaTipo,MATCH(E2107,ctaNom,0)),"")&lt;&gt;"Cuenta de trading"),"⚠ Usa la cuenta de trading","✓"))))))))))))</f>
        <v/>
      </c>
      <c r="I2107" s="19">
        <f>IF(OR(B2107="",C2107="",D2107=""),"",IFERROR(INDEX(catTipo,MATCH(D2107,catNom,0))&amp;"",""))</f>
        <v/>
      </c>
      <c r="J2107" s="19">
        <f>IF(I2107="","",IFERROR(INDEX(catGrupo,MATCH(D2107,catNom,0))&amp;"",""))</f>
        <v/>
      </c>
      <c r="K2107" s="19">
        <f>IF(I2107="Gasto",IF(IFERROR(INDEX(catClas,MATCH(D2107,catNom,0))&amp;"","")="","Variable",IFERROR(INDEX(catClas,MATCH(D2107,catNom,0))&amp;"","")),"")</f>
        <v/>
      </c>
      <c r="L2107" s="19">
        <f>IF(I2107="","",IFERROR(INDEX(catAlim,MATCH(D2107,catNom,0))&amp;"",""))</f>
        <v/>
      </c>
      <c r="M2107" s="19">
        <f>IF(I2107="","",IFERROR(INDEX(catComida,MATCH(D2107,catNom,0))&amp;"",""))</f>
        <v/>
      </c>
      <c r="N2107" s="19">
        <f>IF(I2107="","",IFERROR(INDEX(ctaMon,MATCH(E2107,ctaNom,0))&amp;"","DOP"))</f>
        <v/>
      </c>
      <c r="O2107" s="20">
        <f>IF(I2107="","",C2107*IF(N2107="USD",TasaUSD,1))</f>
        <v/>
      </c>
      <c r="P2107" s="20">
        <f>IF(I2107="","",IF(I2107="Gasto",O2107,0))</f>
        <v/>
      </c>
      <c r="Q2107" s="20">
        <f>IF(I2107="","",IF(I2107="Ingreso",O2107,0))</f>
        <v/>
      </c>
      <c r="R2107" s="20">
        <f>IF(I2107="","",IF(I2107="Trading",O2107,0))</f>
        <v/>
      </c>
      <c r="S2107" s="19">
        <f>IF(I2107="","",IF(AND(I2107="Gasto",K2107="Variable",J2107&lt;&gt;"Trading",O2107&gt;0,O2107&lt;=Umbral),1,0))</f>
        <v/>
      </c>
      <c r="T2107" s="20">
        <f>IF(OR(I2107="",E2107=""),"",IF(OR(I2107="Gasto",I2107="Transferencia",I2107="Pago tarjeta"),-1,1)*C2107)</f>
        <v/>
      </c>
      <c r="U2107" s="20">
        <f>IF(OR(G2107="",AND(I2107&lt;&gt;"Transferencia",I2107&lt;&gt;"Pago tarjeta")),"",IF(IFERROR(INDEX(ctaMon,MATCH(G2107,ctaNom,0))&amp;"","DOP")=N2107,C2107,IF(N2107="USD",C2107*TasaUSD,C2107/TasaUSD)))</f>
        <v/>
      </c>
      <c r="V2107" s="20">
        <f>IF(I2107="","",IF(IFERROR(INDEX(ctaLiq,MATCH(E2107,ctaNom,0))="Sí",FALSE),IF(OR(I2107="Gasto",I2107="Transferencia",I2107="Pago tarjeta"),-1,1)*O2107,0)+IF(AND(U2107&lt;&gt;"",IFERROR(INDEX(ctaLiq,MATCH(G2107,ctaNom,0))="Sí",FALSE)),O2107,0))</f>
        <v/>
      </c>
      <c r="W2107" s="19">
        <f>IF(OR(F2107="",I2107=""),"",IF(COUNTIFS(F$6:F2107,F2107,I$6:I2107,"?*")=1,MAX(W$5:W2106)+1,""))</f>
        <v/>
      </c>
    </row>
    <row r="2108">
      <c r="B2108" s="15" t="n"/>
      <c r="C2108" s="16" t="n"/>
      <c r="D2108" s="17" t="n"/>
      <c r="E2108" s="17" t="n"/>
      <c r="F2108" s="17" t="n"/>
      <c r="G2108" s="17" t="n"/>
      <c r="H2108" s="18">
        <f>IF(AND(B2108="",C2108="",D2108="",E2108=""),"",IF(B2108="","⚠ Falta fecha",IF(C2108="","⚠ Falta monto",IF(D2108="","⚠ Falta categoría",IF(ISNA(MATCH(D2108,catNom,0)),"⚠ Categoría no existe",IF(E2108="","⚠ Falta cuenta",IF(ISNA(MATCH(E2108,ctaNom,0)),"⚠ Cuenta no existe",IF(AND(OR(I2108="Transferencia",I2108="Pago tarjeta"),G2108=""),"⚠ Indica la cuenta «Hacia»",IF(AND(G2108&lt;&gt;"",G2108=E2108),"⚠ «Hacia» igual a la cuenta",IF(AND(G2108&lt;&gt;"",ISNA(MATCH(G2108,ctaNom,0))),"⚠ «Hacia» no existe",IF(AND(I2108="Pago tarjeta",IFERROR(INDEX(ctaTipo,MATCH(G2108,ctaNom,0)),"")&lt;&gt;"Tarjeta de crédito"),"⚠ «Hacia» debe ser la tarjeta",IF(AND(I2108="Trading",IFERROR(INDEX(ctaTipo,MATCH(E2108,ctaNom,0)),"")&lt;&gt;"Cuenta de trading"),"⚠ Usa la cuenta de trading","✓"))))))))))))</f>
        <v/>
      </c>
      <c r="I2108" s="19">
        <f>IF(OR(B2108="",C2108="",D2108=""),"",IFERROR(INDEX(catTipo,MATCH(D2108,catNom,0))&amp;"",""))</f>
        <v/>
      </c>
      <c r="J2108" s="19">
        <f>IF(I2108="","",IFERROR(INDEX(catGrupo,MATCH(D2108,catNom,0))&amp;"",""))</f>
        <v/>
      </c>
      <c r="K2108" s="19">
        <f>IF(I2108="Gasto",IF(IFERROR(INDEX(catClas,MATCH(D2108,catNom,0))&amp;"","")="","Variable",IFERROR(INDEX(catClas,MATCH(D2108,catNom,0))&amp;"","")),"")</f>
        <v/>
      </c>
      <c r="L2108" s="19">
        <f>IF(I2108="","",IFERROR(INDEX(catAlim,MATCH(D2108,catNom,0))&amp;"",""))</f>
        <v/>
      </c>
      <c r="M2108" s="19">
        <f>IF(I2108="","",IFERROR(INDEX(catComida,MATCH(D2108,catNom,0))&amp;"",""))</f>
        <v/>
      </c>
      <c r="N2108" s="19">
        <f>IF(I2108="","",IFERROR(INDEX(ctaMon,MATCH(E2108,ctaNom,0))&amp;"","DOP"))</f>
        <v/>
      </c>
      <c r="O2108" s="20">
        <f>IF(I2108="","",C2108*IF(N2108="USD",TasaUSD,1))</f>
        <v/>
      </c>
      <c r="P2108" s="20">
        <f>IF(I2108="","",IF(I2108="Gasto",O2108,0))</f>
        <v/>
      </c>
      <c r="Q2108" s="20">
        <f>IF(I2108="","",IF(I2108="Ingreso",O2108,0))</f>
        <v/>
      </c>
      <c r="R2108" s="20">
        <f>IF(I2108="","",IF(I2108="Trading",O2108,0))</f>
        <v/>
      </c>
      <c r="S2108" s="19">
        <f>IF(I2108="","",IF(AND(I2108="Gasto",K2108="Variable",J2108&lt;&gt;"Trading",O2108&gt;0,O2108&lt;=Umbral),1,0))</f>
        <v/>
      </c>
      <c r="T2108" s="20">
        <f>IF(OR(I2108="",E2108=""),"",IF(OR(I2108="Gasto",I2108="Transferencia",I2108="Pago tarjeta"),-1,1)*C2108)</f>
        <v/>
      </c>
      <c r="U2108" s="20">
        <f>IF(OR(G2108="",AND(I2108&lt;&gt;"Transferencia",I2108&lt;&gt;"Pago tarjeta")),"",IF(IFERROR(INDEX(ctaMon,MATCH(G2108,ctaNom,0))&amp;"","DOP")=N2108,C2108,IF(N2108="USD",C2108*TasaUSD,C2108/TasaUSD)))</f>
        <v/>
      </c>
      <c r="V2108" s="20">
        <f>IF(I2108="","",IF(IFERROR(INDEX(ctaLiq,MATCH(E2108,ctaNom,0))="Sí",FALSE),IF(OR(I2108="Gasto",I2108="Transferencia",I2108="Pago tarjeta"),-1,1)*O2108,0)+IF(AND(U2108&lt;&gt;"",IFERROR(INDEX(ctaLiq,MATCH(G2108,ctaNom,0))="Sí",FALSE)),O2108,0))</f>
        <v/>
      </c>
      <c r="W2108" s="19">
        <f>IF(OR(F2108="",I2108=""),"",IF(COUNTIFS(F$6:F2108,F2108,I$6:I2108,"?*")=1,MAX(W$5:W2107)+1,""))</f>
        <v/>
      </c>
    </row>
    <row r="2109">
      <c r="B2109" s="15" t="n"/>
      <c r="C2109" s="16" t="n"/>
      <c r="D2109" s="17" t="n"/>
      <c r="E2109" s="17" t="n"/>
      <c r="F2109" s="17" t="n"/>
      <c r="G2109" s="17" t="n"/>
      <c r="H2109" s="18">
        <f>IF(AND(B2109="",C2109="",D2109="",E2109=""),"",IF(B2109="","⚠ Falta fecha",IF(C2109="","⚠ Falta monto",IF(D2109="","⚠ Falta categoría",IF(ISNA(MATCH(D2109,catNom,0)),"⚠ Categoría no existe",IF(E2109="","⚠ Falta cuenta",IF(ISNA(MATCH(E2109,ctaNom,0)),"⚠ Cuenta no existe",IF(AND(OR(I2109="Transferencia",I2109="Pago tarjeta"),G2109=""),"⚠ Indica la cuenta «Hacia»",IF(AND(G2109&lt;&gt;"",G2109=E2109),"⚠ «Hacia» igual a la cuenta",IF(AND(G2109&lt;&gt;"",ISNA(MATCH(G2109,ctaNom,0))),"⚠ «Hacia» no existe",IF(AND(I2109="Pago tarjeta",IFERROR(INDEX(ctaTipo,MATCH(G2109,ctaNom,0)),"")&lt;&gt;"Tarjeta de crédito"),"⚠ «Hacia» debe ser la tarjeta",IF(AND(I2109="Trading",IFERROR(INDEX(ctaTipo,MATCH(E2109,ctaNom,0)),"")&lt;&gt;"Cuenta de trading"),"⚠ Usa la cuenta de trading","✓"))))))))))))</f>
        <v/>
      </c>
      <c r="I2109" s="19">
        <f>IF(OR(B2109="",C2109="",D2109=""),"",IFERROR(INDEX(catTipo,MATCH(D2109,catNom,0))&amp;"",""))</f>
        <v/>
      </c>
      <c r="J2109" s="19">
        <f>IF(I2109="","",IFERROR(INDEX(catGrupo,MATCH(D2109,catNom,0))&amp;"",""))</f>
        <v/>
      </c>
      <c r="K2109" s="19">
        <f>IF(I2109="Gasto",IF(IFERROR(INDEX(catClas,MATCH(D2109,catNom,0))&amp;"","")="","Variable",IFERROR(INDEX(catClas,MATCH(D2109,catNom,0))&amp;"","")),"")</f>
        <v/>
      </c>
      <c r="L2109" s="19">
        <f>IF(I2109="","",IFERROR(INDEX(catAlim,MATCH(D2109,catNom,0))&amp;"",""))</f>
        <v/>
      </c>
      <c r="M2109" s="19">
        <f>IF(I2109="","",IFERROR(INDEX(catComida,MATCH(D2109,catNom,0))&amp;"",""))</f>
        <v/>
      </c>
      <c r="N2109" s="19">
        <f>IF(I2109="","",IFERROR(INDEX(ctaMon,MATCH(E2109,ctaNom,0))&amp;"","DOP"))</f>
        <v/>
      </c>
      <c r="O2109" s="20">
        <f>IF(I2109="","",C2109*IF(N2109="USD",TasaUSD,1))</f>
        <v/>
      </c>
      <c r="P2109" s="20">
        <f>IF(I2109="","",IF(I2109="Gasto",O2109,0))</f>
        <v/>
      </c>
      <c r="Q2109" s="20">
        <f>IF(I2109="","",IF(I2109="Ingreso",O2109,0))</f>
        <v/>
      </c>
      <c r="R2109" s="20">
        <f>IF(I2109="","",IF(I2109="Trading",O2109,0))</f>
        <v/>
      </c>
      <c r="S2109" s="19">
        <f>IF(I2109="","",IF(AND(I2109="Gasto",K2109="Variable",J2109&lt;&gt;"Trading",O2109&gt;0,O2109&lt;=Umbral),1,0))</f>
        <v/>
      </c>
      <c r="T2109" s="20">
        <f>IF(OR(I2109="",E2109=""),"",IF(OR(I2109="Gasto",I2109="Transferencia",I2109="Pago tarjeta"),-1,1)*C2109)</f>
        <v/>
      </c>
      <c r="U2109" s="20">
        <f>IF(OR(G2109="",AND(I2109&lt;&gt;"Transferencia",I2109&lt;&gt;"Pago tarjeta")),"",IF(IFERROR(INDEX(ctaMon,MATCH(G2109,ctaNom,0))&amp;"","DOP")=N2109,C2109,IF(N2109="USD",C2109*TasaUSD,C2109/TasaUSD)))</f>
        <v/>
      </c>
      <c r="V2109" s="20">
        <f>IF(I2109="","",IF(IFERROR(INDEX(ctaLiq,MATCH(E2109,ctaNom,0))="Sí",FALSE),IF(OR(I2109="Gasto",I2109="Transferencia",I2109="Pago tarjeta"),-1,1)*O2109,0)+IF(AND(U2109&lt;&gt;"",IFERROR(INDEX(ctaLiq,MATCH(G2109,ctaNom,0))="Sí",FALSE)),O2109,0))</f>
        <v/>
      </c>
      <c r="W2109" s="19">
        <f>IF(OR(F2109="",I2109=""),"",IF(COUNTIFS(F$6:F2109,F2109,I$6:I2109,"?*")=1,MAX(W$5:W2108)+1,""))</f>
        <v/>
      </c>
    </row>
    <row r="2110">
      <c r="B2110" s="15" t="n"/>
      <c r="C2110" s="16" t="n"/>
      <c r="D2110" s="17" t="n"/>
      <c r="E2110" s="17" t="n"/>
      <c r="F2110" s="17" t="n"/>
      <c r="G2110" s="17" t="n"/>
      <c r="H2110" s="18">
        <f>IF(AND(B2110="",C2110="",D2110="",E2110=""),"",IF(B2110="","⚠ Falta fecha",IF(C2110="","⚠ Falta monto",IF(D2110="","⚠ Falta categoría",IF(ISNA(MATCH(D2110,catNom,0)),"⚠ Categoría no existe",IF(E2110="","⚠ Falta cuenta",IF(ISNA(MATCH(E2110,ctaNom,0)),"⚠ Cuenta no existe",IF(AND(OR(I2110="Transferencia",I2110="Pago tarjeta"),G2110=""),"⚠ Indica la cuenta «Hacia»",IF(AND(G2110&lt;&gt;"",G2110=E2110),"⚠ «Hacia» igual a la cuenta",IF(AND(G2110&lt;&gt;"",ISNA(MATCH(G2110,ctaNom,0))),"⚠ «Hacia» no existe",IF(AND(I2110="Pago tarjeta",IFERROR(INDEX(ctaTipo,MATCH(G2110,ctaNom,0)),"")&lt;&gt;"Tarjeta de crédito"),"⚠ «Hacia» debe ser la tarjeta",IF(AND(I2110="Trading",IFERROR(INDEX(ctaTipo,MATCH(E2110,ctaNom,0)),"")&lt;&gt;"Cuenta de trading"),"⚠ Usa la cuenta de trading","✓"))))))))))))</f>
        <v/>
      </c>
      <c r="I2110" s="19">
        <f>IF(OR(B2110="",C2110="",D2110=""),"",IFERROR(INDEX(catTipo,MATCH(D2110,catNom,0))&amp;"",""))</f>
        <v/>
      </c>
      <c r="J2110" s="19">
        <f>IF(I2110="","",IFERROR(INDEX(catGrupo,MATCH(D2110,catNom,0))&amp;"",""))</f>
        <v/>
      </c>
      <c r="K2110" s="19">
        <f>IF(I2110="Gasto",IF(IFERROR(INDEX(catClas,MATCH(D2110,catNom,0))&amp;"","")="","Variable",IFERROR(INDEX(catClas,MATCH(D2110,catNom,0))&amp;"","")),"")</f>
        <v/>
      </c>
      <c r="L2110" s="19">
        <f>IF(I2110="","",IFERROR(INDEX(catAlim,MATCH(D2110,catNom,0))&amp;"",""))</f>
        <v/>
      </c>
      <c r="M2110" s="19">
        <f>IF(I2110="","",IFERROR(INDEX(catComida,MATCH(D2110,catNom,0))&amp;"",""))</f>
        <v/>
      </c>
      <c r="N2110" s="19">
        <f>IF(I2110="","",IFERROR(INDEX(ctaMon,MATCH(E2110,ctaNom,0))&amp;"","DOP"))</f>
        <v/>
      </c>
      <c r="O2110" s="20">
        <f>IF(I2110="","",C2110*IF(N2110="USD",TasaUSD,1))</f>
        <v/>
      </c>
      <c r="P2110" s="20">
        <f>IF(I2110="","",IF(I2110="Gasto",O2110,0))</f>
        <v/>
      </c>
      <c r="Q2110" s="20">
        <f>IF(I2110="","",IF(I2110="Ingreso",O2110,0))</f>
        <v/>
      </c>
      <c r="R2110" s="20">
        <f>IF(I2110="","",IF(I2110="Trading",O2110,0))</f>
        <v/>
      </c>
      <c r="S2110" s="19">
        <f>IF(I2110="","",IF(AND(I2110="Gasto",K2110="Variable",J2110&lt;&gt;"Trading",O2110&gt;0,O2110&lt;=Umbral),1,0))</f>
        <v/>
      </c>
      <c r="T2110" s="20">
        <f>IF(OR(I2110="",E2110=""),"",IF(OR(I2110="Gasto",I2110="Transferencia",I2110="Pago tarjeta"),-1,1)*C2110)</f>
        <v/>
      </c>
      <c r="U2110" s="20">
        <f>IF(OR(G2110="",AND(I2110&lt;&gt;"Transferencia",I2110&lt;&gt;"Pago tarjeta")),"",IF(IFERROR(INDEX(ctaMon,MATCH(G2110,ctaNom,0))&amp;"","DOP")=N2110,C2110,IF(N2110="USD",C2110*TasaUSD,C2110/TasaUSD)))</f>
        <v/>
      </c>
      <c r="V2110" s="20">
        <f>IF(I2110="","",IF(IFERROR(INDEX(ctaLiq,MATCH(E2110,ctaNom,0))="Sí",FALSE),IF(OR(I2110="Gasto",I2110="Transferencia",I2110="Pago tarjeta"),-1,1)*O2110,0)+IF(AND(U2110&lt;&gt;"",IFERROR(INDEX(ctaLiq,MATCH(G2110,ctaNom,0))="Sí",FALSE)),O2110,0))</f>
        <v/>
      </c>
      <c r="W2110" s="19">
        <f>IF(OR(F2110="",I2110=""),"",IF(COUNTIFS(F$6:F2110,F2110,I$6:I2110,"?*")=1,MAX(W$5:W2109)+1,""))</f>
        <v/>
      </c>
    </row>
    <row r="2111">
      <c r="B2111" s="15" t="n"/>
      <c r="C2111" s="16" t="n"/>
      <c r="D2111" s="17" t="n"/>
      <c r="E2111" s="17" t="n"/>
      <c r="F2111" s="17" t="n"/>
      <c r="G2111" s="17" t="n"/>
      <c r="H2111" s="18">
        <f>IF(AND(B2111="",C2111="",D2111="",E2111=""),"",IF(B2111="","⚠ Falta fecha",IF(C2111="","⚠ Falta monto",IF(D2111="","⚠ Falta categoría",IF(ISNA(MATCH(D2111,catNom,0)),"⚠ Categoría no existe",IF(E2111="","⚠ Falta cuenta",IF(ISNA(MATCH(E2111,ctaNom,0)),"⚠ Cuenta no existe",IF(AND(OR(I2111="Transferencia",I2111="Pago tarjeta"),G2111=""),"⚠ Indica la cuenta «Hacia»",IF(AND(G2111&lt;&gt;"",G2111=E2111),"⚠ «Hacia» igual a la cuenta",IF(AND(G2111&lt;&gt;"",ISNA(MATCH(G2111,ctaNom,0))),"⚠ «Hacia» no existe",IF(AND(I2111="Pago tarjeta",IFERROR(INDEX(ctaTipo,MATCH(G2111,ctaNom,0)),"")&lt;&gt;"Tarjeta de crédito"),"⚠ «Hacia» debe ser la tarjeta",IF(AND(I2111="Trading",IFERROR(INDEX(ctaTipo,MATCH(E2111,ctaNom,0)),"")&lt;&gt;"Cuenta de trading"),"⚠ Usa la cuenta de trading","✓"))))))))))))</f>
        <v/>
      </c>
      <c r="I2111" s="19">
        <f>IF(OR(B2111="",C2111="",D2111=""),"",IFERROR(INDEX(catTipo,MATCH(D2111,catNom,0))&amp;"",""))</f>
        <v/>
      </c>
      <c r="J2111" s="19">
        <f>IF(I2111="","",IFERROR(INDEX(catGrupo,MATCH(D2111,catNom,0))&amp;"",""))</f>
        <v/>
      </c>
      <c r="K2111" s="19">
        <f>IF(I2111="Gasto",IF(IFERROR(INDEX(catClas,MATCH(D2111,catNom,0))&amp;"","")="","Variable",IFERROR(INDEX(catClas,MATCH(D2111,catNom,0))&amp;"","")),"")</f>
        <v/>
      </c>
      <c r="L2111" s="19">
        <f>IF(I2111="","",IFERROR(INDEX(catAlim,MATCH(D2111,catNom,0))&amp;"",""))</f>
        <v/>
      </c>
      <c r="M2111" s="19">
        <f>IF(I2111="","",IFERROR(INDEX(catComida,MATCH(D2111,catNom,0))&amp;"",""))</f>
        <v/>
      </c>
      <c r="N2111" s="19">
        <f>IF(I2111="","",IFERROR(INDEX(ctaMon,MATCH(E2111,ctaNom,0))&amp;"","DOP"))</f>
        <v/>
      </c>
      <c r="O2111" s="20">
        <f>IF(I2111="","",C2111*IF(N2111="USD",TasaUSD,1))</f>
        <v/>
      </c>
      <c r="P2111" s="20">
        <f>IF(I2111="","",IF(I2111="Gasto",O2111,0))</f>
        <v/>
      </c>
      <c r="Q2111" s="20">
        <f>IF(I2111="","",IF(I2111="Ingreso",O2111,0))</f>
        <v/>
      </c>
      <c r="R2111" s="20">
        <f>IF(I2111="","",IF(I2111="Trading",O2111,0))</f>
        <v/>
      </c>
      <c r="S2111" s="19">
        <f>IF(I2111="","",IF(AND(I2111="Gasto",K2111="Variable",J2111&lt;&gt;"Trading",O2111&gt;0,O2111&lt;=Umbral),1,0))</f>
        <v/>
      </c>
      <c r="T2111" s="20">
        <f>IF(OR(I2111="",E2111=""),"",IF(OR(I2111="Gasto",I2111="Transferencia",I2111="Pago tarjeta"),-1,1)*C2111)</f>
        <v/>
      </c>
      <c r="U2111" s="20">
        <f>IF(OR(G2111="",AND(I2111&lt;&gt;"Transferencia",I2111&lt;&gt;"Pago tarjeta")),"",IF(IFERROR(INDEX(ctaMon,MATCH(G2111,ctaNom,0))&amp;"","DOP")=N2111,C2111,IF(N2111="USD",C2111*TasaUSD,C2111/TasaUSD)))</f>
        <v/>
      </c>
      <c r="V2111" s="20">
        <f>IF(I2111="","",IF(IFERROR(INDEX(ctaLiq,MATCH(E2111,ctaNom,0))="Sí",FALSE),IF(OR(I2111="Gasto",I2111="Transferencia",I2111="Pago tarjeta"),-1,1)*O2111,0)+IF(AND(U2111&lt;&gt;"",IFERROR(INDEX(ctaLiq,MATCH(G2111,ctaNom,0))="Sí",FALSE)),O2111,0))</f>
        <v/>
      </c>
      <c r="W2111" s="19">
        <f>IF(OR(F2111="",I2111=""),"",IF(COUNTIFS(F$6:F2111,F2111,I$6:I2111,"?*")=1,MAX(W$5:W2110)+1,""))</f>
        <v/>
      </c>
    </row>
    <row r="2112">
      <c r="B2112" s="15" t="n"/>
      <c r="C2112" s="16" t="n"/>
      <c r="D2112" s="17" t="n"/>
      <c r="E2112" s="17" t="n"/>
      <c r="F2112" s="17" t="n"/>
      <c r="G2112" s="17" t="n"/>
      <c r="H2112" s="18">
        <f>IF(AND(B2112="",C2112="",D2112="",E2112=""),"",IF(B2112="","⚠ Falta fecha",IF(C2112="","⚠ Falta monto",IF(D2112="","⚠ Falta categoría",IF(ISNA(MATCH(D2112,catNom,0)),"⚠ Categoría no existe",IF(E2112="","⚠ Falta cuenta",IF(ISNA(MATCH(E2112,ctaNom,0)),"⚠ Cuenta no existe",IF(AND(OR(I2112="Transferencia",I2112="Pago tarjeta"),G2112=""),"⚠ Indica la cuenta «Hacia»",IF(AND(G2112&lt;&gt;"",G2112=E2112),"⚠ «Hacia» igual a la cuenta",IF(AND(G2112&lt;&gt;"",ISNA(MATCH(G2112,ctaNom,0))),"⚠ «Hacia» no existe",IF(AND(I2112="Pago tarjeta",IFERROR(INDEX(ctaTipo,MATCH(G2112,ctaNom,0)),"")&lt;&gt;"Tarjeta de crédito"),"⚠ «Hacia» debe ser la tarjeta",IF(AND(I2112="Trading",IFERROR(INDEX(ctaTipo,MATCH(E2112,ctaNom,0)),"")&lt;&gt;"Cuenta de trading"),"⚠ Usa la cuenta de trading","✓"))))))))))))</f>
        <v/>
      </c>
      <c r="I2112" s="19">
        <f>IF(OR(B2112="",C2112="",D2112=""),"",IFERROR(INDEX(catTipo,MATCH(D2112,catNom,0))&amp;"",""))</f>
        <v/>
      </c>
      <c r="J2112" s="19">
        <f>IF(I2112="","",IFERROR(INDEX(catGrupo,MATCH(D2112,catNom,0))&amp;"",""))</f>
        <v/>
      </c>
      <c r="K2112" s="19">
        <f>IF(I2112="Gasto",IF(IFERROR(INDEX(catClas,MATCH(D2112,catNom,0))&amp;"","")="","Variable",IFERROR(INDEX(catClas,MATCH(D2112,catNom,0))&amp;"","")),"")</f>
        <v/>
      </c>
      <c r="L2112" s="19">
        <f>IF(I2112="","",IFERROR(INDEX(catAlim,MATCH(D2112,catNom,0))&amp;"",""))</f>
        <v/>
      </c>
      <c r="M2112" s="19">
        <f>IF(I2112="","",IFERROR(INDEX(catComida,MATCH(D2112,catNom,0))&amp;"",""))</f>
        <v/>
      </c>
      <c r="N2112" s="19">
        <f>IF(I2112="","",IFERROR(INDEX(ctaMon,MATCH(E2112,ctaNom,0))&amp;"","DOP"))</f>
        <v/>
      </c>
      <c r="O2112" s="20">
        <f>IF(I2112="","",C2112*IF(N2112="USD",TasaUSD,1))</f>
        <v/>
      </c>
      <c r="P2112" s="20">
        <f>IF(I2112="","",IF(I2112="Gasto",O2112,0))</f>
        <v/>
      </c>
      <c r="Q2112" s="20">
        <f>IF(I2112="","",IF(I2112="Ingreso",O2112,0))</f>
        <v/>
      </c>
      <c r="R2112" s="20">
        <f>IF(I2112="","",IF(I2112="Trading",O2112,0))</f>
        <v/>
      </c>
      <c r="S2112" s="19">
        <f>IF(I2112="","",IF(AND(I2112="Gasto",K2112="Variable",J2112&lt;&gt;"Trading",O2112&gt;0,O2112&lt;=Umbral),1,0))</f>
        <v/>
      </c>
      <c r="T2112" s="20">
        <f>IF(OR(I2112="",E2112=""),"",IF(OR(I2112="Gasto",I2112="Transferencia",I2112="Pago tarjeta"),-1,1)*C2112)</f>
        <v/>
      </c>
      <c r="U2112" s="20">
        <f>IF(OR(G2112="",AND(I2112&lt;&gt;"Transferencia",I2112&lt;&gt;"Pago tarjeta")),"",IF(IFERROR(INDEX(ctaMon,MATCH(G2112,ctaNom,0))&amp;"","DOP")=N2112,C2112,IF(N2112="USD",C2112*TasaUSD,C2112/TasaUSD)))</f>
        <v/>
      </c>
      <c r="V2112" s="20">
        <f>IF(I2112="","",IF(IFERROR(INDEX(ctaLiq,MATCH(E2112,ctaNom,0))="Sí",FALSE),IF(OR(I2112="Gasto",I2112="Transferencia",I2112="Pago tarjeta"),-1,1)*O2112,0)+IF(AND(U2112&lt;&gt;"",IFERROR(INDEX(ctaLiq,MATCH(G2112,ctaNom,0))="Sí",FALSE)),O2112,0))</f>
        <v/>
      </c>
      <c r="W2112" s="19">
        <f>IF(OR(F2112="",I2112=""),"",IF(COUNTIFS(F$6:F2112,F2112,I$6:I2112,"?*")=1,MAX(W$5:W2111)+1,""))</f>
        <v/>
      </c>
    </row>
    <row r="2113">
      <c r="B2113" s="15" t="n"/>
      <c r="C2113" s="16" t="n"/>
      <c r="D2113" s="17" t="n"/>
      <c r="E2113" s="17" t="n"/>
      <c r="F2113" s="17" t="n"/>
      <c r="G2113" s="17" t="n"/>
      <c r="H2113" s="18">
        <f>IF(AND(B2113="",C2113="",D2113="",E2113=""),"",IF(B2113="","⚠ Falta fecha",IF(C2113="","⚠ Falta monto",IF(D2113="","⚠ Falta categoría",IF(ISNA(MATCH(D2113,catNom,0)),"⚠ Categoría no existe",IF(E2113="","⚠ Falta cuenta",IF(ISNA(MATCH(E2113,ctaNom,0)),"⚠ Cuenta no existe",IF(AND(OR(I2113="Transferencia",I2113="Pago tarjeta"),G2113=""),"⚠ Indica la cuenta «Hacia»",IF(AND(G2113&lt;&gt;"",G2113=E2113),"⚠ «Hacia» igual a la cuenta",IF(AND(G2113&lt;&gt;"",ISNA(MATCH(G2113,ctaNom,0))),"⚠ «Hacia» no existe",IF(AND(I2113="Pago tarjeta",IFERROR(INDEX(ctaTipo,MATCH(G2113,ctaNom,0)),"")&lt;&gt;"Tarjeta de crédito"),"⚠ «Hacia» debe ser la tarjeta",IF(AND(I2113="Trading",IFERROR(INDEX(ctaTipo,MATCH(E2113,ctaNom,0)),"")&lt;&gt;"Cuenta de trading"),"⚠ Usa la cuenta de trading","✓"))))))))))))</f>
        <v/>
      </c>
      <c r="I2113" s="19">
        <f>IF(OR(B2113="",C2113="",D2113=""),"",IFERROR(INDEX(catTipo,MATCH(D2113,catNom,0))&amp;"",""))</f>
        <v/>
      </c>
      <c r="J2113" s="19">
        <f>IF(I2113="","",IFERROR(INDEX(catGrupo,MATCH(D2113,catNom,0))&amp;"",""))</f>
        <v/>
      </c>
      <c r="K2113" s="19">
        <f>IF(I2113="Gasto",IF(IFERROR(INDEX(catClas,MATCH(D2113,catNom,0))&amp;"","")="","Variable",IFERROR(INDEX(catClas,MATCH(D2113,catNom,0))&amp;"","")),"")</f>
        <v/>
      </c>
      <c r="L2113" s="19">
        <f>IF(I2113="","",IFERROR(INDEX(catAlim,MATCH(D2113,catNom,0))&amp;"",""))</f>
        <v/>
      </c>
      <c r="M2113" s="19">
        <f>IF(I2113="","",IFERROR(INDEX(catComida,MATCH(D2113,catNom,0))&amp;"",""))</f>
        <v/>
      </c>
      <c r="N2113" s="19">
        <f>IF(I2113="","",IFERROR(INDEX(ctaMon,MATCH(E2113,ctaNom,0))&amp;"","DOP"))</f>
        <v/>
      </c>
      <c r="O2113" s="20">
        <f>IF(I2113="","",C2113*IF(N2113="USD",TasaUSD,1))</f>
        <v/>
      </c>
      <c r="P2113" s="20">
        <f>IF(I2113="","",IF(I2113="Gasto",O2113,0))</f>
        <v/>
      </c>
      <c r="Q2113" s="20">
        <f>IF(I2113="","",IF(I2113="Ingreso",O2113,0))</f>
        <v/>
      </c>
      <c r="R2113" s="20">
        <f>IF(I2113="","",IF(I2113="Trading",O2113,0))</f>
        <v/>
      </c>
      <c r="S2113" s="19">
        <f>IF(I2113="","",IF(AND(I2113="Gasto",K2113="Variable",J2113&lt;&gt;"Trading",O2113&gt;0,O2113&lt;=Umbral),1,0))</f>
        <v/>
      </c>
      <c r="T2113" s="20">
        <f>IF(OR(I2113="",E2113=""),"",IF(OR(I2113="Gasto",I2113="Transferencia",I2113="Pago tarjeta"),-1,1)*C2113)</f>
        <v/>
      </c>
      <c r="U2113" s="20">
        <f>IF(OR(G2113="",AND(I2113&lt;&gt;"Transferencia",I2113&lt;&gt;"Pago tarjeta")),"",IF(IFERROR(INDEX(ctaMon,MATCH(G2113,ctaNom,0))&amp;"","DOP")=N2113,C2113,IF(N2113="USD",C2113*TasaUSD,C2113/TasaUSD)))</f>
        <v/>
      </c>
      <c r="V2113" s="20">
        <f>IF(I2113="","",IF(IFERROR(INDEX(ctaLiq,MATCH(E2113,ctaNom,0))="Sí",FALSE),IF(OR(I2113="Gasto",I2113="Transferencia",I2113="Pago tarjeta"),-1,1)*O2113,0)+IF(AND(U2113&lt;&gt;"",IFERROR(INDEX(ctaLiq,MATCH(G2113,ctaNom,0))="Sí",FALSE)),O2113,0))</f>
        <v/>
      </c>
      <c r="W2113" s="19">
        <f>IF(OR(F2113="",I2113=""),"",IF(COUNTIFS(F$6:F2113,F2113,I$6:I2113,"?*")=1,MAX(W$5:W2112)+1,""))</f>
        <v/>
      </c>
    </row>
    <row r="2114">
      <c r="B2114" s="15" t="n"/>
      <c r="C2114" s="16" t="n"/>
      <c r="D2114" s="17" t="n"/>
      <c r="E2114" s="17" t="n"/>
      <c r="F2114" s="17" t="n"/>
      <c r="G2114" s="17" t="n"/>
      <c r="H2114" s="18">
        <f>IF(AND(B2114="",C2114="",D2114="",E2114=""),"",IF(B2114="","⚠ Falta fecha",IF(C2114="","⚠ Falta monto",IF(D2114="","⚠ Falta categoría",IF(ISNA(MATCH(D2114,catNom,0)),"⚠ Categoría no existe",IF(E2114="","⚠ Falta cuenta",IF(ISNA(MATCH(E2114,ctaNom,0)),"⚠ Cuenta no existe",IF(AND(OR(I2114="Transferencia",I2114="Pago tarjeta"),G2114=""),"⚠ Indica la cuenta «Hacia»",IF(AND(G2114&lt;&gt;"",G2114=E2114),"⚠ «Hacia» igual a la cuenta",IF(AND(G2114&lt;&gt;"",ISNA(MATCH(G2114,ctaNom,0))),"⚠ «Hacia» no existe",IF(AND(I2114="Pago tarjeta",IFERROR(INDEX(ctaTipo,MATCH(G2114,ctaNom,0)),"")&lt;&gt;"Tarjeta de crédito"),"⚠ «Hacia» debe ser la tarjeta",IF(AND(I2114="Trading",IFERROR(INDEX(ctaTipo,MATCH(E2114,ctaNom,0)),"")&lt;&gt;"Cuenta de trading"),"⚠ Usa la cuenta de trading","✓"))))))))))))</f>
        <v/>
      </c>
      <c r="I2114" s="19">
        <f>IF(OR(B2114="",C2114="",D2114=""),"",IFERROR(INDEX(catTipo,MATCH(D2114,catNom,0))&amp;"",""))</f>
        <v/>
      </c>
      <c r="J2114" s="19">
        <f>IF(I2114="","",IFERROR(INDEX(catGrupo,MATCH(D2114,catNom,0))&amp;"",""))</f>
        <v/>
      </c>
      <c r="K2114" s="19">
        <f>IF(I2114="Gasto",IF(IFERROR(INDEX(catClas,MATCH(D2114,catNom,0))&amp;"","")="","Variable",IFERROR(INDEX(catClas,MATCH(D2114,catNom,0))&amp;"","")),"")</f>
        <v/>
      </c>
      <c r="L2114" s="19">
        <f>IF(I2114="","",IFERROR(INDEX(catAlim,MATCH(D2114,catNom,0))&amp;"",""))</f>
        <v/>
      </c>
      <c r="M2114" s="19">
        <f>IF(I2114="","",IFERROR(INDEX(catComida,MATCH(D2114,catNom,0))&amp;"",""))</f>
        <v/>
      </c>
      <c r="N2114" s="19">
        <f>IF(I2114="","",IFERROR(INDEX(ctaMon,MATCH(E2114,ctaNom,0))&amp;"","DOP"))</f>
        <v/>
      </c>
      <c r="O2114" s="20">
        <f>IF(I2114="","",C2114*IF(N2114="USD",TasaUSD,1))</f>
        <v/>
      </c>
      <c r="P2114" s="20">
        <f>IF(I2114="","",IF(I2114="Gasto",O2114,0))</f>
        <v/>
      </c>
      <c r="Q2114" s="20">
        <f>IF(I2114="","",IF(I2114="Ingreso",O2114,0))</f>
        <v/>
      </c>
      <c r="R2114" s="20">
        <f>IF(I2114="","",IF(I2114="Trading",O2114,0))</f>
        <v/>
      </c>
      <c r="S2114" s="19">
        <f>IF(I2114="","",IF(AND(I2114="Gasto",K2114="Variable",J2114&lt;&gt;"Trading",O2114&gt;0,O2114&lt;=Umbral),1,0))</f>
        <v/>
      </c>
      <c r="T2114" s="20">
        <f>IF(OR(I2114="",E2114=""),"",IF(OR(I2114="Gasto",I2114="Transferencia",I2114="Pago tarjeta"),-1,1)*C2114)</f>
        <v/>
      </c>
      <c r="U2114" s="20">
        <f>IF(OR(G2114="",AND(I2114&lt;&gt;"Transferencia",I2114&lt;&gt;"Pago tarjeta")),"",IF(IFERROR(INDEX(ctaMon,MATCH(G2114,ctaNom,0))&amp;"","DOP")=N2114,C2114,IF(N2114="USD",C2114*TasaUSD,C2114/TasaUSD)))</f>
        <v/>
      </c>
      <c r="V2114" s="20">
        <f>IF(I2114="","",IF(IFERROR(INDEX(ctaLiq,MATCH(E2114,ctaNom,0))="Sí",FALSE),IF(OR(I2114="Gasto",I2114="Transferencia",I2114="Pago tarjeta"),-1,1)*O2114,0)+IF(AND(U2114&lt;&gt;"",IFERROR(INDEX(ctaLiq,MATCH(G2114,ctaNom,0))="Sí",FALSE)),O2114,0))</f>
        <v/>
      </c>
      <c r="W2114" s="19">
        <f>IF(OR(F2114="",I2114=""),"",IF(COUNTIFS(F$6:F2114,F2114,I$6:I2114,"?*")=1,MAX(W$5:W2113)+1,""))</f>
        <v/>
      </c>
    </row>
    <row r="2115">
      <c r="B2115" s="15" t="n"/>
      <c r="C2115" s="16" t="n"/>
      <c r="D2115" s="17" t="n"/>
      <c r="E2115" s="17" t="n"/>
      <c r="F2115" s="17" t="n"/>
      <c r="G2115" s="17" t="n"/>
      <c r="H2115" s="18">
        <f>IF(AND(B2115="",C2115="",D2115="",E2115=""),"",IF(B2115="","⚠ Falta fecha",IF(C2115="","⚠ Falta monto",IF(D2115="","⚠ Falta categoría",IF(ISNA(MATCH(D2115,catNom,0)),"⚠ Categoría no existe",IF(E2115="","⚠ Falta cuenta",IF(ISNA(MATCH(E2115,ctaNom,0)),"⚠ Cuenta no existe",IF(AND(OR(I2115="Transferencia",I2115="Pago tarjeta"),G2115=""),"⚠ Indica la cuenta «Hacia»",IF(AND(G2115&lt;&gt;"",G2115=E2115),"⚠ «Hacia» igual a la cuenta",IF(AND(G2115&lt;&gt;"",ISNA(MATCH(G2115,ctaNom,0))),"⚠ «Hacia» no existe",IF(AND(I2115="Pago tarjeta",IFERROR(INDEX(ctaTipo,MATCH(G2115,ctaNom,0)),"")&lt;&gt;"Tarjeta de crédito"),"⚠ «Hacia» debe ser la tarjeta",IF(AND(I2115="Trading",IFERROR(INDEX(ctaTipo,MATCH(E2115,ctaNom,0)),"")&lt;&gt;"Cuenta de trading"),"⚠ Usa la cuenta de trading","✓"))))))))))))</f>
        <v/>
      </c>
      <c r="I2115" s="19">
        <f>IF(OR(B2115="",C2115="",D2115=""),"",IFERROR(INDEX(catTipo,MATCH(D2115,catNom,0))&amp;"",""))</f>
        <v/>
      </c>
      <c r="J2115" s="19">
        <f>IF(I2115="","",IFERROR(INDEX(catGrupo,MATCH(D2115,catNom,0))&amp;"",""))</f>
        <v/>
      </c>
      <c r="K2115" s="19">
        <f>IF(I2115="Gasto",IF(IFERROR(INDEX(catClas,MATCH(D2115,catNom,0))&amp;"","")="","Variable",IFERROR(INDEX(catClas,MATCH(D2115,catNom,0))&amp;"","")),"")</f>
        <v/>
      </c>
      <c r="L2115" s="19">
        <f>IF(I2115="","",IFERROR(INDEX(catAlim,MATCH(D2115,catNom,0))&amp;"",""))</f>
        <v/>
      </c>
      <c r="M2115" s="19">
        <f>IF(I2115="","",IFERROR(INDEX(catComida,MATCH(D2115,catNom,0))&amp;"",""))</f>
        <v/>
      </c>
      <c r="N2115" s="19">
        <f>IF(I2115="","",IFERROR(INDEX(ctaMon,MATCH(E2115,ctaNom,0))&amp;"","DOP"))</f>
        <v/>
      </c>
      <c r="O2115" s="20">
        <f>IF(I2115="","",C2115*IF(N2115="USD",TasaUSD,1))</f>
        <v/>
      </c>
      <c r="P2115" s="20">
        <f>IF(I2115="","",IF(I2115="Gasto",O2115,0))</f>
        <v/>
      </c>
      <c r="Q2115" s="20">
        <f>IF(I2115="","",IF(I2115="Ingreso",O2115,0))</f>
        <v/>
      </c>
      <c r="R2115" s="20">
        <f>IF(I2115="","",IF(I2115="Trading",O2115,0))</f>
        <v/>
      </c>
      <c r="S2115" s="19">
        <f>IF(I2115="","",IF(AND(I2115="Gasto",K2115="Variable",J2115&lt;&gt;"Trading",O2115&gt;0,O2115&lt;=Umbral),1,0))</f>
        <v/>
      </c>
      <c r="T2115" s="20">
        <f>IF(OR(I2115="",E2115=""),"",IF(OR(I2115="Gasto",I2115="Transferencia",I2115="Pago tarjeta"),-1,1)*C2115)</f>
        <v/>
      </c>
      <c r="U2115" s="20">
        <f>IF(OR(G2115="",AND(I2115&lt;&gt;"Transferencia",I2115&lt;&gt;"Pago tarjeta")),"",IF(IFERROR(INDEX(ctaMon,MATCH(G2115,ctaNom,0))&amp;"","DOP")=N2115,C2115,IF(N2115="USD",C2115*TasaUSD,C2115/TasaUSD)))</f>
        <v/>
      </c>
      <c r="V2115" s="20">
        <f>IF(I2115="","",IF(IFERROR(INDEX(ctaLiq,MATCH(E2115,ctaNom,0))="Sí",FALSE),IF(OR(I2115="Gasto",I2115="Transferencia",I2115="Pago tarjeta"),-1,1)*O2115,0)+IF(AND(U2115&lt;&gt;"",IFERROR(INDEX(ctaLiq,MATCH(G2115,ctaNom,0))="Sí",FALSE)),O2115,0))</f>
        <v/>
      </c>
      <c r="W2115" s="19">
        <f>IF(OR(F2115="",I2115=""),"",IF(COUNTIFS(F$6:F2115,F2115,I$6:I2115,"?*")=1,MAX(W$5:W2114)+1,""))</f>
        <v/>
      </c>
    </row>
    <row r="2116">
      <c r="B2116" s="15" t="n"/>
      <c r="C2116" s="16" t="n"/>
      <c r="D2116" s="17" t="n"/>
      <c r="E2116" s="17" t="n"/>
      <c r="F2116" s="17" t="n"/>
      <c r="G2116" s="17" t="n"/>
      <c r="H2116" s="18">
        <f>IF(AND(B2116="",C2116="",D2116="",E2116=""),"",IF(B2116="","⚠ Falta fecha",IF(C2116="","⚠ Falta monto",IF(D2116="","⚠ Falta categoría",IF(ISNA(MATCH(D2116,catNom,0)),"⚠ Categoría no existe",IF(E2116="","⚠ Falta cuenta",IF(ISNA(MATCH(E2116,ctaNom,0)),"⚠ Cuenta no existe",IF(AND(OR(I2116="Transferencia",I2116="Pago tarjeta"),G2116=""),"⚠ Indica la cuenta «Hacia»",IF(AND(G2116&lt;&gt;"",G2116=E2116),"⚠ «Hacia» igual a la cuenta",IF(AND(G2116&lt;&gt;"",ISNA(MATCH(G2116,ctaNom,0))),"⚠ «Hacia» no existe",IF(AND(I2116="Pago tarjeta",IFERROR(INDEX(ctaTipo,MATCH(G2116,ctaNom,0)),"")&lt;&gt;"Tarjeta de crédito"),"⚠ «Hacia» debe ser la tarjeta",IF(AND(I2116="Trading",IFERROR(INDEX(ctaTipo,MATCH(E2116,ctaNom,0)),"")&lt;&gt;"Cuenta de trading"),"⚠ Usa la cuenta de trading","✓"))))))))))))</f>
        <v/>
      </c>
      <c r="I2116" s="19">
        <f>IF(OR(B2116="",C2116="",D2116=""),"",IFERROR(INDEX(catTipo,MATCH(D2116,catNom,0))&amp;"",""))</f>
        <v/>
      </c>
      <c r="J2116" s="19">
        <f>IF(I2116="","",IFERROR(INDEX(catGrupo,MATCH(D2116,catNom,0))&amp;"",""))</f>
        <v/>
      </c>
      <c r="K2116" s="19">
        <f>IF(I2116="Gasto",IF(IFERROR(INDEX(catClas,MATCH(D2116,catNom,0))&amp;"","")="","Variable",IFERROR(INDEX(catClas,MATCH(D2116,catNom,0))&amp;"","")),"")</f>
        <v/>
      </c>
      <c r="L2116" s="19">
        <f>IF(I2116="","",IFERROR(INDEX(catAlim,MATCH(D2116,catNom,0))&amp;"",""))</f>
        <v/>
      </c>
      <c r="M2116" s="19">
        <f>IF(I2116="","",IFERROR(INDEX(catComida,MATCH(D2116,catNom,0))&amp;"",""))</f>
        <v/>
      </c>
      <c r="N2116" s="19">
        <f>IF(I2116="","",IFERROR(INDEX(ctaMon,MATCH(E2116,ctaNom,0))&amp;"","DOP"))</f>
        <v/>
      </c>
      <c r="O2116" s="20">
        <f>IF(I2116="","",C2116*IF(N2116="USD",TasaUSD,1))</f>
        <v/>
      </c>
      <c r="P2116" s="20">
        <f>IF(I2116="","",IF(I2116="Gasto",O2116,0))</f>
        <v/>
      </c>
      <c r="Q2116" s="20">
        <f>IF(I2116="","",IF(I2116="Ingreso",O2116,0))</f>
        <v/>
      </c>
      <c r="R2116" s="20">
        <f>IF(I2116="","",IF(I2116="Trading",O2116,0))</f>
        <v/>
      </c>
      <c r="S2116" s="19">
        <f>IF(I2116="","",IF(AND(I2116="Gasto",K2116="Variable",J2116&lt;&gt;"Trading",O2116&gt;0,O2116&lt;=Umbral),1,0))</f>
        <v/>
      </c>
      <c r="T2116" s="20">
        <f>IF(OR(I2116="",E2116=""),"",IF(OR(I2116="Gasto",I2116="Transferencia",I2116="Pago tarjeta"),-1,1)*C2116)</f>
        <v/>
      </c>
      <c r="U2116" s="20">
        <f>IF(OR(G2116="",AND(I2116&lt;&gt;"Transferencia",I2116&lt;&gt;"Pago tarjeta")),"",IF(IFERROR(INDEX(ctaMon,MATCH(G2116,ctaNom,0))&amp;"","DOP")=N2116,C2116,IF(N2116="USD",C2116*TasaUSD,C2116/TasaUSD)))</f>
        <v/>
      </c>
      <c r="V2116" s="20">
        <f>IF(I2116="","",IF(IFERROR(INDEX(ctaLiq,MATCH(E2116,ctaNom,0))="Sí",FALSE),IF(OR(I2116="Gasto",I2116="Transferencia",I2116="Pago tarjeta"),-1,1)*O2116,0)+IF(AND(U2116&lt;&gt;"",IFERROR(INDEX(ctaLiq,MATCH(G2116,ctaNom,0))="Sí",FALSE)),O2116,0))</f>
        <v/>
      </c>
      <c r="W2116" s="19">
        <f>IF(OR(F2116="",I2116=""),"",IF(COUNTIFS(F$6:F2116,F2116,I$6:I2116,"?*")=1,MAX(W$5:W2115)+1,""))</f>
        <v/>
      </c>
    </row>
    <row r="2117">
      <c r="B2117" s="15" t="n"/>
      <c r="C2117" s="16" t="n"/>
      <c r="D2117" s="17" t="n"/>
      <c r="E2117" s="17" t="n"/>
      <c r="F2117" s="17" t="n"/>
      <c r="G2117" s="17" t="n"/>
      <c r="H2117" s="18">
        <f>IF(AND(B2117="",C2117="",D2117="",E2117=""),"",IF(B2117="","⚠ Falta fecha",IF(C2117="","⚠ Falta monto",IF(D2117="","⚠ Falta categoría",IF(ISNA(MATCH(D2117,catNom,0)),"⚠ Categoría no existe",IF(E2117="","⚠ Falta cuenta",IF(ISNA(MATCH(E2117,ctaNom,0)),"⚠ Cuenta no existe",IF(AND(OR(I2117="Transferencia",I2117="Pago tarjeta"),G2117=""),"⚠ Indica la cuenta «Hacia»",IF(AND(G2117&lt;&gt;"",G2117=E2117),"⚠ «Hacia» igual a la cuenta",IF(AND(G2117&lt;&gt;"",ISNA(MATCH(G2117,ctaNom,0))),"⚠ «Hacia» no existe",IF(AND(I2117="Pago tarjeta",IFERROR(INDEX(ctaTipo,MATCH(G2117,ctaNom,0)),"")&lt;&gt;"Tarjeta de crédito"),"⚠ «Hacia» debe ser la tarjeta",IF(AND(I2117="Trading",IFERROR(INDEX(ctaTipo,MATCH(E2117,ctaNom,0)),"")&lt;&gt;"Cuenta de trading"),"⚠ Usa la cuenta de trading","✓"))))))))))))</f>
        <v/>
      </c>
      <c r="I2117" s="19">
        <f>IF(OR(B2117="",C2117="",D2117=""),"",IFERROR(INDEX(catTipo,MATCH(D2117,catNom,0))&amp;"",""))</f>
        <v/>
      </c>
      <c r="J2117" s="19">
        <f>IF(I2117="","",IFERROR(INDEX(catGrupo,MATCH(D2117,catNom,0))&amp;"",""))</f>
        <v/>
      </c>
      <c r="K2117" s="19">
        <f>IF(I2117="Gasto",IF(IFERROR(INDEX(catClas,MATCH(D2117,catNom,0))&amp;"","")="","Variable",IFERROR(INDEX(catClas,MATCH(D2117,catNom,0))&amp;"","")),"")</f>
        <v/>
      </c>
      <c r="L2117" s="19">
        <f>IF(I2117="","",IFERROR(INDEX(catAlim,MATCH(D2117,catNom,0))&amp;"",""))</f>
        <v/>
      </c>
      <c r="M2117" s="19">
        <f>IF(I2117="","",IFERROR(INDEX(catComida,MATCH(D2117,catNom,0))&amp;"",""))</f>
        <v/>
      </c>
      <c r="N2117" s="19">
        <f>IF(I2117="","",IFERROR(INDEX(ctaMon,MATCH(E2117,ctaNom,0))&amp;"","DOP"))</f>
        <v/>
      </c>
      <c r="O2117" s="20">
        <f>IF(I2117="","",C2117*IF(N2117="USD",TasaUSD,1))</f>
        <v/>
      </c>
      <c r="P2117" s="20">
        <f>IF(I2117="","",IF(I2117="Gasto",O2117,0))</f>
        <v/>
      </c>
      <c r="Q2117" s="20">
        <f>IF(I2117="","",IF(I2117="Ingreso",O2117,0))</f>
        <v/>
      </c>
      <c r="R2117" s="20">
        <f>IF(I2117="","",IF(I2117="Trading",O2117,0))</f>
        <v/>
      </c>
      <c r="S2117" s="19">
        <f>IF(I2117="","",IF(AND(I2117="Gasto",K2117="Variable",J2117&lt;&gt;"Trading",O2117&gt;0,O2117&lt;=Umbral),1,0))</f>
        <v/>
      </c>
      <c r="T2117" s="20">
        <f>IF(OR(I2117="",E2117=""),"",IF(OR(I2117="Gasto",I2117="Transferencia",I2117="Pago tarjeta"),-1,1)*C2117)</f>
        <v/>
      </c>
      <c r="U2117" s="20">
        <f>IF(OR(G2117="",AND(I2117&lt;&gt;"Transferencia",I2117&lt;&gt;"Pago tarjeta")),"",IF(IFERROR(INDEX(ctaMon,MATCH(G2117,ctaNom,0))&amp;"","DOP")=N2117,C2117,IF(N2117="USD",C2117*TasaUSD,C2117/TasaUSD)))</f>
        <v/>
      </c>
      <c r="V2117" s="20">
        <f>IF(I2117="","",IF(IFERROR(INDEX(ctaLiq,MATCH(E2117,ctaNom,0))="Sí",FALSE),IF(OR(I2117="Gasto",I2117="Transferencia",I2117="Pago tarjeta"),-1,1)*O2117,0)+IF(AND(U2117&lt;&gt;"",IFERROR(INDEX(ctaLiq,MATCH(G2117,ctaNom,0))="Sí",FALSE)),O2117,0))</f>
        <v/>
      </c>
      <c r="W2117" s="19">
        <f>IF(OR(F2117="",I2117=""),"",IF(COUNTIFS(F$6:F2117,F2117,I$6:I2117,"?*")=1,MAX(W$5:W2116)+1,""))</f>
        <v/>
      </c>
    </row>
    <row r="2118">
      <c r="B2118" s="15" t="n"/>
      <c r="C2118" s="16" t="n"/>
      <c r="D2118" s="17" t="n"/>
      <c r="E2118" s="17" t="n"/>
      <c r="F2118" s="17" t="n"/>
      <c r="G2118" s="17" t="n"/>
      <c r="H2118" s="18">
        <f>IF(AND(B2118="",C2118="",D2118="",E2118=""),"",IF(B2118="","⚠ Falta fecha",IF(C2118="","⚠ Falta monto",IF(D2118="","⚠ Falta categoría",IF(ISNA(MATCH(D2118,catNom,0)),"⚠ Categoría no existe",IF(E2118="","⚠ Falta cuenta",IF(ISNA(MATCH(E2118,ctaNom,0)),"⚠ Cuenta no existe",IF(AND(OR(I2118="Transferencia",I2118="Pago tarjeta"),G2118=""),"⚠ Indica la cuenta «Hacia»",IF(AND(G2118&lt;&gt;"",G2118=E2118),"⚠ «Hacia» igual a la cuenta",IF(AND(G2118&lt;&gt;"",ISNA(MATCH(G2118,ctaNom,0))),"⚠ «Hacia» no existe",IF(AND(I2118="Pago tarjeta",IFERROR(INDEX(ctaTipo,MATCH(G2118,ctaNom,0)),"")&lt;&gt;"Tarjeta de crédito"),"⚠ «Hacia» debe ser la tarjeta",IF(AND(I2118="Trading",IFERROR(INDEX(ctaTipo,MATCH(E2118,ctaNom,0)),"")&lt;&gt;"Cuenta de trading"),"⚠ Usa la cuenta de trading","✓"))))))))))))</f>
        <v/>
      </c>
      <c r="I2118" s="19">
        <f>IF(OR(B2118="",C2118="",D2118=""),"",IFERROR(INDEX(catTipo,MATCH(D2118,catNom,0))&amp;"",""))</f>
        <v/>
      </c>
      <c r="J2118" s="19">
        <f>IF(I2118="","",IFERROR(INDEX(catGrupo,MATCH(D2118,catNom,0))&amp;"",""))</f>
        <v/>
      </c>
      <c r="K2118" s="19">
        <f>IF(I2118="Gasto",IF(IFERROR(INDEX(catClas,MATCH(D2118,catNom,0))&amp;"","")="","Variable",IFERROR(INDEX(catClas,MATCH(D2118,catNom,0))&amp;"","")),"")</f>
        <v/>
      </c>
      <c r="L2118" s="19">
        <f>IF(I2118="","",IFERROR(INDEX(catAlim,MATCH(D2118,catNom,0))&amp;"",""))</f>
        <v/>
      </c>
      <c r="M2118" s="19">
        <f>IF(I2118="","",IFERROR(INDEX(catComida,MATCH(D2118,catNom,0))&amp;"",""))</f>
        <v/>
      </c>
      <c r="N2118" s="19">
        <f>IF(I2118="","",IFERROR(INDEX(ctaMon,MATCH(E2118,ctaNom,0))&amp;"","DOP"))</f>
        <v/>
      </c>
      <c r="O2118" s="20">
        <f>IF(I2118="","",C2118*IF(N2118="USD",TasaUSD,1))</f>
        <v/>
      </c>
      <c r="P2118" s="20">
        <f>IF(I2118="","",IF(I2118="Gasto",O2118,0))</f>
        <v/>
      </c>
      <c r="Q2118" s="20">
        <f>IF(I2118="","",IF(I2118="Ingreso",O2118,0))</f>
        <v/>
      </c>
      <c r="R2118" s="20">
        <f>IF(I2118="","",IF(I2118="Trading",O2118,0))</f>
        <v/>
      </c>
      <c r="S2118" s="19">
        <f>IF(I2118="","",IF(AND(I2118="Gasto",K2118="Variable",J2118&lt;&gt;"Trading",O2118&gt;0,O2118&lt;=Umbral),1,0))</f>
        <v/>
      </c>
      <c r="T2118" s="20">
        <f>IF(OR(I2118="",E2118=""),"",IF(OR(I2118="Gasto",I2118="Transferencia",I2118="Pago tarjeta"),-1,1)*C2118)</f>
        <v/>
      </c>
      <c r="U2118" s="20">
        <f>IF(OR(G2118="",AND(I2118&lt;&gt;"Transferencia",I2118&lt;&gt;"Pago tarjeta")),"",IF(IFERROR(INDEX(ctaMon,MATCH(G2118,ctaNom,0))&amp;"","DOP")=N2118,C2118,IF(N2118="USD",C2118*TasaUSD,C2118/TasaUSD)))</f>
        <v/>
      </c>
      <c r="V2118" s="20">
        <f>IF(I2118="","",IF(IFERROR(INDEX(ctaLiq,MATCH(E2118,ctaNom,0))="Sí",FALSE),IF(OR(I2118="Gasto",I2118="Transferencia",I2118="Pago tarjeta"),-1,1)*O2118,0)+IF(AND(U2118&lt;&gt;"",IFERROR(INDEX(ctaLiq,MATCH(G2118,ctaNom,0))="Sí",FALSE)),O2118,0))</f>
        <v/>
      </c>
      <c r="W2118" s="19">
        <f>IF(OR(F2118="",I2118=""),"",IF(COUNTIFS(F$6:F2118,F2118,I$6:I2118,"?*")=1,MAX(W$5:W2117)+1,""))</f>
        <v/>
      </c>
    </row>
    <row r="2119">
      <c r="B2119" s="15" t="n"/>
      <c r="C2119" s="16" t="n"/>
      <c r="D2119" s="17" t="n"/>
      <c r="E2119" s="17" t="n"/>
      <c r="F2119" s="17" t="n"/>
      <c r="G2119" s="17" t="n"/>
      <c r="H2119" s="18">
        <f>IF(AND(B2119="",C2119="",D2119="",E2119=""),"",IF(B2119="","⚠ Falta fecha",IF(C2119="","⚠ Falta monto",IF(D2119="","⚠ Falta categoría",IF(ISNA(MATCH(D2119,catNom,0)),"⚠ Categoría no existe",IF(E2119="","⚠ Falta cuenta",IF(ISNA(MATCH(E2119,ctaNom,0)),"⚠ Cuenta no existe",IF(AND(OR(I2119="Transferencia",I2119="Pago tarjeta"),G2119=""),"⚠ Indica la cuenta «Hacia»",IF(AND(G2119&lt;&gt;"",G2119=E2119),"⚠ «Hacia» igual a la cuenta",IF(AND(G2119&lt;&gt;"",ISNA(MATCH(G2119,ctaNom,0))),"⚠ «Hacia» no existe",IF(AND(I2119="Pago tarjeta",IFERROR(INDEX(ctaTipo,MATCH(G2119,ctaNom,0)),"")&lt;&gt;"Tarjeta de crédito"),"⚠ «Hacia» debe ser la tarjeta",IF(AND(I2119="Trading",IFERROR(INDEX(ctaTipo,MATCH(E2119,ctaNom,0)),"")&lt;&gt;"Cuenta de trading"),"⚠ Usa la cuenta de trading","✓"))))))))))))</f>
        <v/>
      </c>
      <c r="I2119" s="19">
        <f>IF(OR(B2119="",C2119="",D2119=""),"",IFERROR(INDEX(catTipo,MATCH(D2119,catNom,0))&amp;"",""))</f>
        <v/>
      </c>
      <c r="J2119" s="19">
        <f>IF(I2119="","",IFERROR(INDEX(catGrupo,MATCH(D2119,catNom,0))&amp;"",""))</f>
        <v/>
      </c>
      <c r="K2119" s="19">
        <f>IF(I2119="Gasto",IF(IFERROR(INDEX(catClas,MATCH(D2119,catNom,0))&amp;"","")="","Variable",IFERROR(INDEX(catClas,MATCH(D2119,catNom,0))&amp;"","")),"")</f>
        <v/>
      </c>
      <c r="L2119" s="19">
        <f>IF(I2119="","",IFERROR(INDEX(catAlim,MATCH(D2119,catNom,0))&amp;"",""))</f>
        <v/>
      </c>
      <c r="M2119" s="19">
        <f>IF(I2119="","",IFERROR(INDEX(catComida,MATCH(D2119,catNom,0))&amp;"",""))</f>
        <v/>
      </c>
      <c r="N2119" s="19">
        <f>IF(I2119="","",IFERROR(INDEX(ctaMon,MATCH(E2119,ctaNom,0))&amp;"","DOP"))</f>
        <v/>
      </c>
      <c r="O2119" s="20">
        <f>IF(I2119="","",C2119*IF(N2119="USD",TasaUSD,1))</f>
        <v/>
      </c>
      <c r="P2119" s="20">
        <f>IF(I2119="","",IF(I2119="Gasto",O2119,0))</f>
        <v/>
      </c>
      <c r="Q2119" s="20">
        <f>IF(I2119="","",IF(I2119="Ingreso",O2119,0))</f>
        <v/>
      </c>
      <c r="R2119" s="20">
        <f>IF(I2119="","",IF(I2119="Trading",O2119,0))</f>
        <v/>
      </c>
      <c r="S2119" s="19">
        <f>IF(I2119="","",IF(AND(I2119="Gasto",K2119="Variable",J2119&lt;&gt;"Trading",O2119&gt;0,O2119&lt;=Umbral),1,0))</f>
        <v/>
      </c>
      <c r="T2119" s="20">
        <f>IF(OR(I2119="",E2119=""),"",IF(OR(I2119="Gasto",I2119="Transferencia",I2119="Pago tarjeta"),-1,1)*C2119)</f>
        <v/>
      </c>
      <c r="U2119" s="20">
        <f>IF(OR(G2119="",AND(I2119&lt;&gt;"Transferencia",I2119&lt;&gt;"Pago tarjeta")),"",IF(IFERROR(INDEX(ctaMon,MATCH(G2119,ctaNom,0))&amp;"","DOP")=N2119,C2119,IF(N2119="USD",C2119*TasaUSD,C2119/TasaUSD)))</f>
        <v/>
      </c>
      <c r="V2119" s="20">
        <f>IF(I2119="","",IF(IFERROR(INDEX(ctaLiq,MATCH(E2119,ctaNom,0))="Sí",FALSE),IF(OR(I2119="Gasto",I2119="Transferencia",I2119="Pago tarjeta"),-1,1)*O2119,0)+IF(AND(U2119&lt;&gt;"",IFERROR(INDEX(ctaLiq,MATCH(G2119,ctaNom,0))="Sí",FALSE)),O2119,0))</f>
        <v/>
      </c>
      <c r="W2119" s="19">
        <f>IF(OR(F2119="",I2119=""),"",IF(COUNTIFS(F$6:F2119,F2119,I$6:I2119,"?*")=1,MAX(W$5:W2118)+1,""))</f>
        <v/>
      </c>
    </row>
    <row r="2120">
      <c r="B2120" s="15" t="n"/>
      <c r="C2120" s="16" t="n"/>
      <c r="D2120" s="17" t="n"/>
      <c r="E2120" s="17" t="n"/>
      <c r="F2120" s="17" t="n"/>
      <c r="G2120" s="17" t="n"/>
      <c r="H2120" s="18">
        <f>IF(AND(B2120="",C2120="",D2120="",E2120=""),"",IF(B2120="","⚠ Falta fecha",IF(C2120="","⚠ Falta monto",IF(D2120="","⚠ Falta categoría",IF(ISNA(MATCH(D2120,catNom,0)),"⚠ Categoría no existe",IF(E2120="","⚠ Falta cuenta",IF(ISNA(MATCH(E2120,ctaNom,0)),"⚠ Cuenta no existe",IF(AND(OR(I2120="Transferencia",I2120="Pago tarjeta"),G2120=""),"⚠ Indica la cuenta «Hacia»",IF(AND(G2120&lt;&gt;"",G2120=E2120),"⚠ «Hacia» igual a la cuenta",IF(AND(G2120&lt;&gt;"",ISNA(MATCH(G2120,ctaNom,0))),"⚠ «Hacia» no existe",IF(AND(I2120="Pago tarjeta",IFERROR(INDEX(ctaTipo,MATCH(G2120,ctaNom,0)),"")&lt;&gt;"Tarjeta de crédito"),"⚠ «Hacia» debe ser la tarjeta",IF(AND(I2120="Trading",IFERROR(INDEX(ctaTipo,MATCH(E2120,ctaNom,0)),"")&lt;&gt;"Cuenta de trading"),"⚠ Usa la cuenta de trading","✓"))))))))))))</f>
        <v/>
      </c>
      <c r="I2120" s="19">
        <f>IF(OR(B2120="",C2120="",D2120=""),"",IFERROR(INDEX(catTipo,MATCH(D2120,catNom,0))&amp;"",""))</f>
        <v/>
      </c>
      <c r="J2120" s="19">
        <f>IF(I2120="","",IFERROR(INDEX(catGrupo,MATCH(D2120,catNom,0))&amp;"",""))</f>
        <v/>
      </c>
      <c r="K2120" s="19">
        <f>IF(I2120="Gasto",IF(IFERROR(INDEX(catClas,MATCH(D2120,catNom,0))&amp;"","")="","Variable",IFERROR(INDEX(catClas,MATCH(D2120,catNom,0))&amp;"","")),"")</f>
        <v/>
      </c>
      <c r="L2120" s="19">
        <f>IF(I2120="","",IFERROR(INDEX(catAlim,MATCH(D2120,catNom,0))&amp;"",""))</f>
        <v/>
      </c>
      <c r="M2120" s="19">
        <f>IF(I2120="","",IFERROR(INDEX(catComida,MATCH(D2120,catNom,0))&amp;"",""))</f>
        <v/>
      </c>
      <c r="N2120" s="19">
        <f>IF(I2120="","",IFERROR(INDEX(ctaMon,MATCH(E2120,ctaNom,0))&amp;"","DOP"))</f>
        <v/>
      </c>
      <c r="O2120" s="20">
        <f>IF(I2120="","",C2120*IF(N2120="USD",TasaUSD,1))</f>
        <v/>
      </c>
      <c r="P2120" s="20">
        <f>IF(I2120="","",IF(I2120="Gasto",O2120,0))</f>
        <v/>
      </c>
      <c r="Q2120" s="20">
        <f>IF(I2120="","",IF(I2120="Ingreso",O2120,0))</f>
        <v/>
      </c>
      <c r="R2120" s="20">
        <f>IF(I2120="","",IF(I2120="Trading",O2120,0))</f>
        <v/>
      </c>
      <c r="S2120" s="19">
        <f>IF(I2120="","",IF(AND(I2120="Gasto",K2120="Variable",J2120&lt;&gt;"Trading",O2120&gt;0,O2120&lt;=Umbral),1,0))</f>
        <v/>
      </c>
      <c r="T2120" s="20">
        <f>IF(OR(I2120="",E2120=""),"",IF(OR(I2120="Gasto",I2120="Transferencia",I2120="Pago tarjeta"),-1,1)*C2120)</f>
        <v/>
      </c>
      <c r="U2120" s="20">
        <f>IF(OR(G2120="",AND(I2120&lt;&gt;"Transferencia",I2120&lt;&gt;"Pago tarjeta")),"",IF(IFERROR(INDEX(ctaMon,MATCH(G2120,ctaNom,0))&amp;"","DOP")=N2120,C2120,IF(N2120="USD",C2120*TasaUSD,C2120/TasaUSD)))</f>
        <v/>
      </c>
      <c r="V2120" s="20">
        <f>IF(I2120="","",IF(IFERROR(INDEX(ctaLiq,MATCH(E2120,ctaNom,0))="Sí",FALSE),IF(OR(I2120="Gasto",I2120="Transferencia",I2120="Pago tarjeta"),-1,1)*O2120,0)+IF(AND(U2120&lt;&gt;"",IFERROR(INDEX(ctaLiq,MATCH(G2120,ctaNom,0))="Sí",FALSE)),O2120,0))</f>
        <v/>
      </c>
      <c r="W2120" s="19">
        <f>IF(OR(F2120="",I2120=""),"",IF(COUNTIFS(F$6:F2120,F2120,I$6:I2120,"?*")=1,MAX(W$5:W2119)+1,""))</f>
        <v/>
      </c>
    </row>
    <row r="2121">
      <c r="B2121" s="15" t="n"/>
      <c r="C2121" s="16" t="n"/>
      <c r="D2121" s="17" t="n"/>
      <c r="E2121" s="17" t="n"/>
      <c r="F2121" s="17" t="n"/>
      <c r="G2121" s="17" t="n"/>
      <c r="H2121" s="18">
        <f>IF(AND(B2121="",C2121="",D2121="",E2121=""),"",IF(B2121="","⚠ Falta fecha",IF(C2121="","⚠ Falta monto",IF(D2121="","⚠ Falta categoría",IF(ISNA(MATCH(D2121,catNom,0)),"⚠ Categoría no existe",IF(E2121="","⚠ Falta cuenta",IF(ISNA(MATCH(E2121,ctaNom,0)),"⚠ Cuenta no existe",IF(AND(OR(I2121="Transferencia",I2121="Pago tarjeta"),G2121=""),"⚠ Indica la cuenta «Hacia»",IF(AND(G2121&lt;&gt;"",G2121=E2121),"⚠ «Hacia» igual a la cuenta",IF(AND(G2121&lt;&gt;"",ISNA(MATCH(G2121,ctaNom,0))),"⚠ «Hacia» no existe",IF(AND(I2121="Pago tarjeta",IFERROR(INDEX(ctaTipo,MATCH(G2121,ctaNom,0)),"")&lt;&gt;"Tarjeta de crédito"),"⚠ «Hacia» debe ser la tarjeta",IF(AND(I2121="Trading",IFERROR(INDEX(ctaTipo,MATCH(E2121,ctaNom,0)),"")&lt;&gt;"Cuenta de trading"),"⚠ Usa la cuenta de trading","✓"))))))))))))</f>
        <v/>
      </c>
      <c r="I2121" s="19">
        <f>IF(OR(B2121="",C2121="",D2121=""),"",IFERROR(INDEX(catTipo,MATCH(D2121,catNom,0))&amp;"",""))</f>
        <v/>
      </c>
      <c r="J2121" s="19">
        <f>IF(I2121="","",IFERROR(INDEX(catGrupo,MATCH(D2121,catNom,0))&amp;"",""))</f>
        <v/>
      </c>
      <c r="K2121" s="19">
        <f>IF(I2121="Gasto",IF(IFERROR(INDEX(catClas,MATCH(D2121,catNom,0))&amp;"","")="","Variable",IFERROR(INDEX(catClas,MATCH(D2121,catNom,0))&amp;"","")),"")</f>
        <v/>
      </c>
      <c r="L2121" s="19">
        <f>IF(I2121="","",IFERROR(INDEX(catAlim,MATCH(D2121,catNom,0))&amp;"",""))</f>
        <v/>
      </c>
      <c r="M2121" s="19">
        <f>IF(I2121="","",IFERROR(INDEX(catComida,MATCH(D2121,catNom,0))&amp;"",""))</f>
        <v/>
      </c>
      <c r="N2121" s="19">
        <f>IF(I2121="","",IFERROR(INDEX(ctaMon,MATCH(E2121,ctaNom,0))&amp;"","DOP"))</f>
        <v/>
      </c>
      <c r="O2121" s="20">
        <f>IF(I2121="","",C2121*IF(N2121="USD",TasaUSD,1))</f>
        <v/>
      </c>
      <c r="P2121" s="20">
        <f>IF(I2121="","",IF(I2121="Gasto",O2121,0))</f>
        <v/>
      </c>
      <c r="Q2121" s="20">
        <f>IF(I2121="","",IF(I2121="Ingreso",O2121,0))</f>
        <v/>
      </c>
      <c r="R2121" s="20">
        <f>IF(I2121="","",IF(I2121="Trading",O2121,0))</f>
        <v/>
      </c>
      <c r="S2121" s="19">
        <f>IF(I2121="","",IF(AND(I2121="Gasto",K2121="Variable",J2121&lt;&gt;"Trading",O2121&gt;0,O2121&lt;=Umbral),1,0))</f>
        <v/>
      </c>
      <c r="T2121" s="20">
        <f>IF(OR(I2121="",E2121=""),"",IF(OR(I2121="Gasto",I2121="Transferencia",I2121="Pago tarjeta"),-1,1)*C2121)</f>
        <v/>
      </c>
      <c r="U2121" s="20">
        <f>IF(OR(G2121="",AND(I2121&lt;&gt;"Transferencia",I2121&lt;&gt;"Pago tarjeta")),"",IF(IFERROR(INDEX(ctaMon,MATCH(G2121,ctaNom,0))&amp;"","DOP")=N2121,C2121,IF(N2121="USD",C2121*TasaUSD,C2121/TasaUSD)))</f>
        <v/>
      </c>
      <c r="V2121" s="20">
        <f>IF(I2121="","",IF(IFERROR(INDEX(ctaLiq,MATCH(E2121,ctaNom,0))="Sí",FALSE),IF(OR(I2121="Gasto",I2121="Transferencia",I2121="Pago tarjeta"),-1,1)*O2121,0)+IF(AND(U2121&lt;&gt;"",IFERROR(INDEX(ctaLiq,MATCH(G2121,ctaNom,0))="Sí",FALSE)),O2121,0))</f>
        <v/>
      </c>
      <c r="W2121" s="19">
        <f>IF(OR(F2121="",I2121=""),"",IF(COUNTIFS(F$6:F2121,F2121,I$6:I2121,"?*")=1,MAX(W$5:W2120)+1,""))</f>
        <v/>
      </c>
    </row>
    <row r="2122">
      <c r="B2122" s="15" t="n"/>
      <c r="C2122" s="16" t="n"/>
      <c r="D2122" s="17" t="n"/>
      <c r="E2122" s="17" t="n"/>
      <c r="F2122" s="17" t="n"/>
      <c r="G2122" s="17" t="n"/>
      <c r="H2122" s="18">
        <f>IF(AND(B2122="",C2122="",D2122="",E2122=""),"",IF(B2122="","⚠ Falta fecha",IF(C2122="","⚠ Falta monto",IF(D2122="","⚠ Falta categoría",IF(ISNA(MATCH(D2122,catNom,0)),"⚠ Categoría no existe",IF(E2122="","⚠ Falta cuenta",IF(ISNA(MATCH(E2122,ctaNom,0)),"⚠ Cuenta no existe",IF(AND(OR(I2122="Transferencia",I2122="Pago tarjeta"),G2122=""),"⚠ Indica la cuenta «Hacia»",IF(AND(G2122&lt;&gt;"",G2122=E2122),"⚠ «Hacia» igual a la cuenta",IF(AND(G2122&lt;&gt;"",ISNA(MATCH(G2122,ctaNom,0))),"⚠ «Hacia» no existe",IF(AND(I2122="Pago tarjeta",IFERROR(INDEX(ctaTipo,MATCH(G2122,ctaNom,0)),"")&lt;&gt;"Tarjeta de crédito"),"⚠ «Hacia» debe ser la tarjeta",IF(AND(I2122="Trading",IFERROR(INDEX(ctaTipo,MATCH(E2122,ctaNom,0)),"")&lt;&gt;"Cuenta de trading"),"⚠ Usa la cuenta de trading","✓"))))))))))))</f>
        <v/>
      </c>
      <c r="I2122" s="19">
        <f>IF(OR(B2122="",C2122="",D2122=""),"",IFERROR(INDEX(catTipo,MATCH(D2122,catNom,0))&amp;"",""))</f>
        <v/>
      </c>
      <c r="J2122" s="19">
        <f>IF(I2122="","",IFERROR(INDEX(catGrupo,MATCH(D2122,catNom,0))&amp;"",""))</f>
        <v/>
      </c>
      <c r="K2122" s="19">
        <f>IF(I2122="Gasto",IF(IFERROR(INDEX(catClas,MATCH(D2122,catNom,0))&amp;"","")="","Variable",IFERROR(INDEX(catClas,MATCH(D2122,catNom,0))&amp;"","")),"")</f>
        <v/>
      </c>
      <c r="L2122" s="19">
        <f>IF(I2122="","",IFERROR(INDEX(catAlim,MATCH(D2122,catNom,0))&amp;"",""))</f>
        <v/>
      </c>
      <c r="M2122" s="19">
        <f>IF(I2122="","",IFERROR(INDEX(catComida,MATCH(D2122,catNom,0))&amp;"",""))</f>
        <v/>
      </c>
      <c r="N2122" s="19">
        <f>IF(I2122="","",IFERROR(INDEX(ctaMon,MATCH(E2122,ctaNom,0))&amp;"","DOP"))</f>
        <v/>
      </c>
      <c r="O2122" s="20">
        <f>IF(I2122="","",C2122*IF(N2122="USD",TasaUSD,1))</f>
        <v/>
      </c>
      <c r="P2122" s="20">
        <f>IF(I2122="","",IF(I2122="Gasto",O2122,0))</f>
        <v/>
      </c>
      <c r="Q2122" s="20">
        <f>IF(I2122="","",IF(I2122="Ingreso",O2122,0))</f>
        <v/>
      </c>
      <c r="R2122" s="20">
        <f>IF(I2122="","",IF(I2122="Trading",O2122,0))</f>
        <v/>
      </c>
      <c r="S2122" s="19">
        <f>IF(I2122="","",IF(AND(I2122="Gasto",K2122="Variable",J2122&lt;&gt;"Trading",O2122&gt;0,O2122&lt;=Umbral),1,0))</f>
        <v/>
      </c>
      <c r="T2122" s="20">
        <f>IF(OR(I2122="",E2122=""),"",IF(OR(I2122="Gasto",I2122="Transferencia",I2122="Pago tarjeta"),-1,1)*C2122)</f>
        <v/>
      </c>
      <c r="U2122" s="20">
        <f>IF(OR(G2122="",AND(I2122&lt;&gt;"Transferencia",I2122&lt;&gt;"Pago tarjeta")),"",IF(IFERROR(INDEX(ctaMon,MATCH(G2122,ctaNom,0))&amp;"","DOP")=N2122,C2122,IF(N2122="USD",C2122*TasaUSD,C2122/TasaUSD)))</f>
        <v/>
      </c>
      <c r="V2122" s="20">
        <f>IF(I2122="","",IF(IFERROR(INDEX(ctaLiq,MATCH(E2122,ctaNom,0))="Sí",FALSE),IF(OR(I2122="Gasto",I2122="Transferencia",I2122="Pago tarjeta"),-1,1)*O2122,0)+IF(AND(U2122&lt;&gt;"",IFERROR(INDEX(ctaLiq,MATCH(G2122,ctaNom,0))="Sí",FALSE)),O2122,0))</f>
        <v/>
      </c>
      <c r="W2122" s="19">
        <f>IF(OR(F2122="",I2122=""),"",IF(COUNTIFS(F$6:F2122,F2122,I$6:I2122,"?*")=1,MAX(W$5:W2121)+1,""))</f>
        <v/>
      </c>
    </row>
    <row r="2123">
      <c r="B2123" s="15" t="n"/>
      <c r="C2123" s="16" t="n"/>
      <c r="D2123" s="17" t="n"/>
      <c r="E2123" s="17" t="n"/>
      <c r="F2123" s="17" t="n"/>
      <c r="G2123" s="17" t="n"/>
      <c r="H2123" s="18">
        <f>IF(AND(B2123="",C2123="",D2123="",E2123=""),"",IF(B2123="","⚠ Falta fecha",IF(C2123="","⚠ Falta monto",IF(D2123="","⚠ Falta categoría",IF(ISNA(MATCH(D2123,catNom,0)),"⚠ Categoría no existe",IF(E2123="","⚠ Falta cuenta",IF(ISNA(MATCH(E2123,ctaNom,0)),"⚠ Cuenta no existe",IF(AND(OR(I2123="Transferencia",I2123="Pago tarjeta"),G2123=""),"⚠ Indica la cuenta «Hacia»",IF(AND(G2123&lt;&gt;"",G2123=E2123),"⚠ «Hacia» igual a la cuenta",IF(AND(G2123&lt;&gt;"",ISNA(MATCH(G2123,ctaNom,0))),"⚠ «Hacia» no existe",IF(AND(I2123="Pago tarjeta",IFERROR(INDEX(ctaTipo,MATCH(G2123,ctaNom,0)),"")&lt;&gt;"Tarjeta de crédito"),"⚠ «Hacia» debe ser la tarjeta",IF(AND(I2123="Trading",IFERROR(INDEX(ctaTipo,MATCH(E2123,ctaNom,0)),"")&lt;&gt;"Cuenta de trading"),"⚠ Usa la cuenta de trading","✓"))))))))))))</f>
        <v/>
      </c>
      <c r="I2123" s="19">
        <f>IF(OR(B2123="",C2123="",D2123=""),"",IFERROR(INDEX(catTipo,MATCH(D2123,catNom,0))&amp;"",""))</f>
        <v/>
      </c>
      <c r="J2123" s="19">
        <f>IF(I2123="","",IFERROR(INDEX(catGrupo,MATCH(D2123,catNom,0))&amp;"",""))</f>
        <v/>
      </c>
      <c r="K2123" s="19">
        <f>IF(I2123="Gasto",IF(IFERROR(INDEX(catClas,MATCH(D2123,catNom,0))&amp;"","")="","Variable",IFERROR(INDEX(catClas,MATCH(D2123,catNom,0))&amp;"","")),"")</f>
        <v/>
      </c>
      <c r="L2123" s="19">
        <f>IF(I2123="","",IFERROR(INDEX(catAlim,MATCH(D2123,catNom,0))&amp;"",""))</f>
        <v/>
      </c>
      <c r="M2123" s="19">
        <f>IF(I2123="","",IFERROR(INDEX(catComida,MATCH(D2123,catNom,0))&amp;"",""))</f>
        <v/>
      </c>
      <c r="N2123" s="19">
        <f>IF(I2123="","",IFERROR(INDEX(ctaMon,MATCH(E2123,ctaNom,0))&amp;"","DOP"))</f>
        <v/>
      </c>
      <c r="O2123" s="20">
        <f>IF(I2123="","",C2123*IF(N2123="USD",TasaUSD,1))</f>
        <v/>
      </c>
      <c r="P2123" s="20">
        <f>IF(I2123="","",IF(I2123="Gasto",O2123,0))</f>
        <v/>
      </c>
      <c r="Q2123" s="20">
        <f>IF(I2123="","",IF(I2123="Ingreso",O2123,0))</f>
        <v/>
      </c>
      <c r="R2123" s="20">
        <f>IF(I2123="","",IF(I2123="Trading",O2123,0))</f>
        <v/>
      </c>
      <c r="S2123" s="19">
        <f>IF(I2123="","",IF(AND(I2123="Gasto",K2123="Variable",J2123&lt;&gt;"Trading",O2123&gt;0,O2123&lt;=Umbral),1,0))</f>
        <v/>
      </c>
      <c r="T2123" s="20">
        <f>IF(OR(I2123="",E2123=""),"",IF(OR(I2123="Gasto",I2123="Transferencia",I2123="Pago tarjeta"),-1,1)*C2123)</f>
        <v/>
      </c>
      <c r="U2123" s="20">
        <f>IF(OR(G2123="",AND(I2123&lt;&gt;"Transferencia",I2123&lt;&gt;"Pago tarjeta")),"",IF(IFERROR(INDEX(ctaMon,MATCH(G2123,ctaNom,0))&amp;"","DOP")=N2123,C2123,IF(N2123="USD",C2123*TasaUSD,C2123/TasaUSD)))</f>
        <v/>
      </c>
      <c r="V2123" s="20">
        <f>IF(I2123="","",IF(IFERROR(INDEX(ctaLiq,MATCH(E2123,ctaNom,0))="Sí",FALSE),IF(OR(I2123="Gasto",I2123="Transferencia",I2123="Pago tarjeta"),-1,1)*O2123,0)+IF(AND(U2123&lt;&gt;"",IFERROR(INDEX(ctaLiq,MATCH(G2123,ctaNom,0))="Sí",FALSE)),O2123,0))</f>
        <v/>
      </c>
      <c r="W2123" s="19">
        <f>IF(OR(F2123="",I2123=""),"",IF(COUNTIFS(F$6:F2123,F2123,I$6:I2123,"?*")=1,MAX(W$5:W2122)+1,""))</f>
        <v/>
      </c>
    </row>
    <row r="2124">
      <c r="B2124" s="15" t="n"/>
      <c r="C2124" s="16" t="n"/>
      <c r="D2124" s="17" t="n"/>
      <c r="E2124" s="17" t="n"/>
      <c r="F2124" s="17" t="n"/>
      <c r="G2124" s="17" t="n"/>
      <c r="H2124" s="18">
        <f>IF(AND(B2124="",C2124="",D2124="",E2124=""),"",IF(B2124="","⚠ Falta fecha",IF(C2124="","⚠ Falta monto",IF(D2124="","⚠ Falta categoría",IF(ISNA(MATCH(D2124,catNom,0)),"⚠ Categoría no existe",IF(E2124="","⚠ Falta cuenta",IF(ISNA(MATCH(E2124,ctaNom,0)),"⚠ Cuenta no existe",IF(AND(OR(I2124="Transferencia",I2124="Pago tarjeta"),G2124=""),"⚠ Indica la cuenta «Hacia»",IF(AND(G2124&lt;&gt;"",G2124=E2124),"⚠ «Hacia» igual a la cuenta",IF(AND(G2124&lt;&gt;"",ISNA(MATCH(G2124,ctaNom,0))),"⚠ «Hacia» no existe",IF(AND(I2124="Pago tarjeta",IFERROR(INDEX(ctaTipo,MATCH(G2124,ctaNom,0)),"")&lt;&gt;"Tarjeta de crédito"),"⚠ «Hacia» debe ser la tarjeta",IF(AND(I2124="Trading",IFERROR(INDEX(ctaTipo,MATCH(E2124,ctaNom,0)),"")&lt;&gt;"Cuenta de trading"),"⚠ Usa la cuenta de trading","✓"))))))))))))</f>
        <v/>
      </c>
      <c r="I2124" s="19">
        <f>IF(OR(B2124="",C2124="",D2124=""),"",IFERROR(INDEX(catTipo,MATCH(D2124,catNom,0))&amp;"",""))</f>
        <v/>
      </c>
      <c r="J2124" s="19">
        <f>IF(I2124="","",IFERROR(INDEX(catGrupo,MATCH(D2124,catNom,0))&amp;"",""))</f>
        <v/>
      </c>
      <c r="K2124" s="19">
        <f>IF(I2124="Gasto",IF(IFERROR(INDEX(catClas,MATCH(D2124,catNom,0))&amp;"","")="","Variable",IFERROR(INDEX(catClas,MATCH(D2124,catNom,0))&amp;"","")),"")</f>
        <v/>
      </c>
      <c r="L2124" s="19">
        <f>IF(I2124="","",IFERROR(INDEX(catAlim,MATCH(D2124,catNom,0))&amp;"",""))</f>
        <v/>
      </c>
      <c r="M2124" s="19">
        <f>IF(I2124="","",IFERROR(INDEX(catComida,MATCH(D2124,catNom,0))&amp;"",""))</f>
        <v/>
      </c>
      <c r="N2124" s="19">
        <f>IF(I2124="","",IFERROR(INDEX(ctaMon,MATCH(E2124,ctaNom,0))&amp;"","DOP"))</f>
        <v/>
      </c>
      <c r="O2124" s="20">
        <f>IF(I2124="","",C2124*IF(N2124="USD",TasaUSD,1))</f>
        <v/>
      </c>
      <c r="P2124" s="20">
        <f>IF(I2124="","",IF(I2124="Gasto",O2124,0))</f>
        <v/>
      </c>
      <c r="Q2124" s="20">
        <f>IF(I2124="","",IF(I2124="Ingreso",O2124,0))</f>
        <v/>
      </c>
      <c r="R2124" s="20">
        <f>IF(I2124="","",IF(I2124="Trading",O2124,0))</f>
        <v/>
      </c>
      <c r="S2124" s="19">
        <f>IF(I2124="","",IF(AND(I2124="Gasto",K2124="Variable",J2124&lt;&gt;"Trading",O2124&gt;0,O2124&lt;=Umbral),1,0))</f>
        <v/>
      </c>
      <c r="T2124" s="20">
        <f>IF(OR(I2124="",E2124=""),"",IF(OR(I2124="Gasto",I2124="Transferencia",I2124="Pago tarjeta"),-1,1)*C2124)</f>
        <v/>
      </c>
      <c r="U2124" s="20">
        <f>IF(OR(G2124="",AND(I2124&lt;&gt;"Transferencia",I2124&lt;&gt;"Pago tarjeta")),"",IF(IFERROR(INDEX(ctaMon,MATCH(G2124,ctaNom,0))&amp;"","DOP")=N2124,C2124,IF(N2124="USD",C2124*TasaUSD,C2124/TasaUSD)))</f>
        <v/>
      </c>
      <c r="V2124" s="20">
        <f>IF(I2124="","",IF(IFERROR(INDEX(ctaLiq,MATCH(E2124,ctaNom,0))="Sí",FALSE),IF(OR(I2124="Gasto",I2124="Transferencia",I2124="Pago tarjeta"),-1,1)*O2124,0)+IF(AND(U2124&lt;&gt;"",IFERROR(INDEX(ctaLiq,MATCH(G2124,ctaNom,0))="Sí",FALSE)),O2124,0))</f>
        <v/>
      </c>
      <c r="W2124" s="19">
        <f>IF(OR(F2124="",I2124=""),"",IF(COUNTIFS(F$6:F2124,F2124,I$6:I2124,"?*")=1,MAX(W$5:W2123)+1,""))</f>
        <v/>
      </c>
    </row>
    <row r="2125">
      <c r="B2125" s="15" t="n"/>
      <c r="C2125" s="16" t="n"/>
      <c r="D2125" s="17" t="n"/>
      <c r="E2125" s="17" t="n"/>
      <c r="F2125" s="17" t="n"/>
      <c r="G2125" s="17" t="n"/>
      <c r="H2125" s="18">
        <f>IF(AND(B2125="",C2125="",D2125="",E2125=""),"",IF(B2125="","⚠ Falta fecha",IF(C2125="","⚠ Falta monto",IF(D2125="","⚠ Falta categoría",IF(ISNA(MATCH(D2125,catNom,0)),"⚠ Categoría no existe",IF(E2125="","⚠ Falta cuenta",IF(ISNA(MATCH(E2125,ctaNom,0)),"⚠ Cuenta no existe",IF(AND(OR(I2125="Transferencia",I2125="Pago tarjeta"),G2125=""),"⚠ Indica la cuenta «Hacia»",IF(AND(G2125&lt;&gt;"",G2125=E2125),"⚠ «Hacia» igual a la cuenta",IF(AND(G2125&lt;&gt;"",ISNA(MATCH(G2125,ctaNom,0))),"⚠ «Hacia» no existe",IF(AND(I2125="Pago tarjeta",IFERROR(INDEX(ctaTipo,MATCH(G2125,ctaNom,0)),"")&lt;&gt;"Tarjeta de crédito"),"⚠ «Hacia» debe ser la tarjeta",IF(AND(I2125="Trading",IFERROR(INDEX(ctaTipo,MATCH(E2125,ctaNom,0)),"")&lt;&gt;"Cuenta de trading"),"⚠ Usa la cuenta de trading","✓"))))))))))))</f>
        <v/>
      </c>
      <c r="I2125" s="19">
        <f>IF(OR(B2125="",C2125="",D2125=""),"",IFERROR(INDEX(catTipo,MATCH(D2125,catNom,0))&amp;"",""))</f>
        <v/>
      </c>
      <c r="J2125" s="19">
        <f>IF(I2125="","",IFERROR(INDEX(catGrupo,MATCH(D2125,catNom,0))&amp;"",""))</f>
        <v/>
      </c>
      <c r="K2125" s="19">
        <f>IF(I2125="Gasto",IF(IFERROR(INDEX(catClas,MATCH(D2125,catNom,0))&amp;"","")="","Variable",IFERROR(INDEX(catClas,MATCH(D2125,catNom,0))&amp;"","")),"")</f>
        <v/>
      </c>
      <c r="L2125" s="19">
        <f>IF(I2125="","",IFERROR(INDEX(catAlim,MATCH(D2125,catNom,0))&amp;"",""))</f>
        <v/>
      </c>
      <c r="M2125" s="19">
        <f>IF(I2125="","",IFERROR(INDEX(catComida,MATCH(D2125,catNom,0))&amp;"",""))</f>
        <v/>
      </c>
      <c r="N2125" s="19">
        <f>IF(I2125="","",IFERROR(INDEX(ctaMon,MATCH(E2125,ctaNom,0))&amp;"","DOP"))</f>
        <v/>
      </c>
      <c r="O2125" s="20">
        <f>IF(I2125="","",C2125*IF(N2125="USD",TasaUSD,1))</f>
        <v/>
      </c>
      <c r="P2125" s="20">
        <f>IF(I2125="","",IF(I2125="Gasto",O2125,0))</f>
        <v/>
      </c>
      <c r="Q2125" s="20">
        <f>IF(I2125="","",IF(I2125="Ingreso",O2125,0))</f>
        <v/>
      </c>
      <c r="R2125" s="20">
        <f>IF(I2125="","",IF(I2125="Trading",O2125,0))</f>
        <v/>
      </c>
      <c r="S2125" s="19">
        <f>IF(I2125="","",IF(AND(I2125="Gasto",K2125="Variable",J2125&lt;&gt;"Trading",O2125&gt;0,O2125&lt;=Umbral),1,0))</f>
        <v/>
      </c>
      <c r="T2125" s="20">
        <f>IF(OR(I2125="",E2125=""),"",IF(OR(I2125="Gasto",I2125="Transferencia",I2125="Pago tarjeta"),-1,1)*C2125)</f>
        <v/>
      </c>
      <c r="U2125" s="20">
        <f>IF(OR(G2125="",AND(I2125&lt;&gt;"Transferencia",I2125&lt;&gt;"Pago tarjeta")),"",IF(IFERROR(INDEX(ctaMon,MATCH(G2125,ctaNom,0))&amp;"","DOP")=N2125,C2125,IF(N2125="USD",C2125*TasaUSD,C2125/TasaUSD)))</f>
        <v/>
      </c>
      <c r="V2125" s="20">
        <f>IF(I2125="","",IF(IFERROR(INDEX(ctaLiq,MATCH(E2125,ctaNom,0))="Sí",FALSE),IF(OR(I2125="Gasto",I2125="Transferencia",I2125="Pago tarjeta"),-1,1)*O2125,0)+IF(AND(U2125&lt;&gt;"",IFERROR(INDEX(ctaLiq,MATCH(G2125,ctaNom,0))="Sí",FALSE)),O2125,0))</f>
        <v/>
      </c>
      <c r="W2125" s="19">
        <f>IF(OR(F2125="",I2125=""),"",IF(COUNTIFS(F$6:F2125,F2125,I$6:I2125,"?*")=1,MAX(W$5:W2124)+1,""))</f>
        <v/>
      </c>
    </row>
    <row r="2126">
      <c r="B2126" s="15" t="n"/>
      <c r="C2126" s="16" t="n"/>
      <c r="D2126" s="17" t="n"/>
      <c r="E2126" s="17" t="n"/>
      <c r="F2126" s="17" t="n"/>
      <c r="G2126" s="17" t="n"/>
      <c r="H2126" s="18">
        <f>IF(AND(B2126="",C2126="",D2126="",E2126=""),"",IF(B2126="","⚠ Falta fecha",IF(C2126="","⚠ Falta monto",IF(D2126="","⚠ Falta categoría",IF(ISNA(MATCH(D2126,catNom,0)),"⚠ Categoría no existe",IF(E2126="","⚠ Falta cuenta",IF(ISNA(MATCH(E2126,ctaNom,0)),"⚠ Cuenta no existe",IF(AND(OR(I2126="Transferencia",I2126="Pago tarjeta"),G2126=""),"⚠ Indica la cuenta «Hacia»",IF(AND(G2126&lt;&gt;"",G2126=E2126),"⚠ «Hacia» igual a la cuenta",IF(AND(G2126&lt;&gt;"",ISNA(MATCH(G2126,ctaNom,0))),"⚠ «Hacia» no existe",IF(AND(I2126="Pago tarjeta",IFERROR(INDEX(ctaTipo,MATCH(G2126,ctaNom,0)),"")&lt;&gt;"Tarjeta de crédito"),"⚠ «Hacia» debe ser la tarjeta",IF(AND(I2126="Trading",IFERROR(INDEX(ctaTipo,MATCH(E2126,ctaNom,0)),"")&lt;&gt;"Cuenta de trading"),"⚠ Usa la cuenta de trading","✓"))))))))))))</f>
        <v/>
      </c>
      <c r="I2126" s="19">
        <f>IF(OR(B2126="",C2126="",D2126=""),"",IFERROR(INDEX(catTipo,MATCH(D2126,catNom,0))&amp;"",""))</f>
        <v/>
      </c>
      <c r="J2126" s="19">
        <f>IF(I2126="","",IFERROR(INDEX(catGrupo,MATCH(D2126,catNom,0))&amp;"",""))</f>
        <v/>
      </c>
      <c r="K2126" s="19">
        <f>IF(I2126="Gasto",IF(IFERROR(INDEX(catClas,MATCH(D2126,catNom,0))&amp;"","")="","Variable",IFERROR(INDEX(catClas,MATCH(D2126,catNom,0))&amp;"","")),"")</f>
        <v/>
      </c>
      <c r="L2126" s="19">
        <f>IF(I2126="","",IFERROR(INDEX(catAlim,MATCH(D2126,catNom,0))&amp;"",""))</f>
        <v/>
      </c>
      <c r="M2126" s="19">
        <f>IF(I2126="","",IFERROR(INDEX(catComida,MATCH(D2126,catNom,0))&amp;"",""))</f>
        <v/>
      </c>
      <c r="N2126" s="19">
        <f>IF(I2126="","",IFERROR(INDEX(ctaMon,MATCH(E2126,ctaNom,0))&amp;"","DOP"))</f>
        <v/>
      </c>
      <c r="O2126" s="20">
        <f>IF(I2126="","",C2126*IF(N2126="USD",TasaUSD,1))</f>
        <v/>
      </c>
      <c r="P2126" s="20">
        <f>IF(I2126="","",IF(I2126="Gasto",O2126,0))</f>
        <v/>
      </c>
      <c r="Q2126" s="20">
        <f>IF(I2126="","",IF(I2126="Ingreso",O2126,0))</f>
        <v/>
      </c>
      <c r="R2126" s="20">
        <f>IF(I2126="","",IF(I2126="Trading",O2126,0))</f>
        <v/>
      </c>
      <c r="S2126" s="19">
        <f>IF(I2126="","",IF(AND(I2126="Gasto",K2126="Variable",J2126&lt;&gt;"Trading",O2126&gt;0,O2126&lt;=Umbral),1,0))</f>
        <v/>
      </c>
      <c r="T2126" s="20">
        <f>IF(OR(I2126="",E2126=""),"",IF(OR(I2126="Gasto",I2126="Transferencia",I2126="Pago tarjeta"),-1,1)*C2126)</f>
        <v/>
      </c>
      <c r="U2126" s="20">
        <f>IF(OR(G2126="",AND(I2126&lt;&gt;"Transferencia",I2126&lt;&gt;"Pago tarjeta")),"",IF(IFERROR(INDEX(ctaMon,MATCH(G2126,ctaNom,0))&amp;"","DOP")=N2126,C2126,IF(N2126="USD",C2126*TasaUSD,C2126/TasaUSD)))</f>
        <v/>
      </c>
      <c r="V2126" s="20">
        <f>IF(I2126="","",IF(IFERROR(INDEX(ctaLiq,MATCH(E2126,ctaNom,0))="Sí",FALSE),IF(OR(I2126="Gasto",I2126="Transferencia",I2126="Pago tarjeta"),-1,1)*O2126,0)+IF(AND(U2126&lt;&gt;"",IFERROR(INDEX(ctaLiq,MATCH(G2126,ctaNom,0))="Sí",FALSE)),O2126,0))</f>
        <v/>
      </c>
      <c r="W2126" s="19">
        <f>IF(OR(F2126="",I2126=""),"",IF(COUNTIFS(F$6:F2126,F2126,I$6:I2126,"?*")=1,MAX(W$5:W2125)+1,""))</f>
        <v/>
      </c>
    </row>
    <row r="2127">
      <c r="B2127" s="15" t="n"/>
      <c r="C2127" s="16" t="n"/>
      <c r="D2127" s="17" t="n"/>
      <c r="E2127" s="17" t="n"/>
      <c r="F2127" s="17" t="n"/>
      <c r="G2127" s="17" t="n"/>
      <c r="H2127" s="18">
        <f>IF(AND(B2127="",C2127="",D2127="",E2127=""),"",IF(B2127="","⚠ Falta fecha",IF(C2127="","⚠ Falta monto",IF(D2127="","⚠ Falta categoría",IF(ISNA(MATCH(D2127,catNom,0)),"⚠ Categoría no existe",IF(E2127="","⚠ Falta cuenta",IF(ISNA(MATCH(E2127,ctaNom,0)),"⚠ Cuenta no existe",IF(AND(OR(I2127="Transferencia",I2127="Pago tarjeta"),G2127=""),"⚠ Indica la cuenta «Hacia»",IF(AND(G2127&lt;&gt;"",G2127=E2127),"⚠ «Hacia» igual a la cuenta",IF(AND(G2127&lt;&gt;"",ISNA(MATCH(G2127,ctaNom,0))),"⚠ «Hacia» no existe",IF(AND(I2127="Pago tarjeta",IFERROR(INDEX(ctaTipo,MATCH(G2127,ctaNom,0)),"")&lt;&gt;"Tarjeta de crédito"),"⚠ «Hacia» debe ser la tarjeta",IF(AND(I2127="Trading",IFERROR(INDEX(ctaTipo,MATCH(E2127,ctaNom,0)),"")&lt;&gt;"Cuenta de trading"),"⚠ Usa la cuenta de trading","✓"))))))))))))</f>
        <v/>
      </c>
      <c r="I2127" s="19">
        <f>IF(OR(B2127="",C2127="",D2127=""),"",IFERROR(INDEX(catTipo,MATCH(D2127,catNom,0))&amp;"",""))</f>
        <v/>
      </c>
      <c r="J2127" s="19">
        <f>IF(I2127="","",IFERROR(INDEX(catGrupo,MATCH(D2127,catNom,0))&amp;"",""))</f>
        <v/>
      </c>
      <c r="K2127" s="19">
        <f>IF(I2127="Gasto",IF(IFERROR(INDEX(catClas,MATCH(D2127,catNom,0))&amp;"","")="","Variable",IFERROR(INDEX(catClas,MATCH(D2127,catNom,0))&amp;"","")),"")</f>
        <v/>
      </c>
      <c r="L2127" s="19">
        <f>IF(I2127="","",IFERROR(INDEX(catAlim,MATCH(D2127,catNom,0))&amp;"",""))</f>
        <v/>
      </c>
      <c r="M2127" s="19">
        <f>IF(I2127="","",IFERROR(INDEX(catComida,MATCH(D2127,catNom,0))&amp;"",""))</f>
        <v/>
      </c>
      <c r="N2127" s="19">
        <f>IF(I2127="","",IFERROR(INDEX(ctaMon,MATCH(E2127,ctaNom,0))&amp;"","DOP"))</f>
        <v/>
      </c>
      <c r="O2127" s="20">
        <f>IF(I2127="","",C2127*IF(N2127="USD",TasaUSD,1))</f>
        <v/>
      </c>
      <c r="P2127" s="20">
        <f>IF(I2127="","",IF(I2127="Gasto",O2127,0))</f>
        <v/>
      </c>
      <c r="Q2127" s="20">
        <f>IF(I2127="","",IF(I2127="Ingreso",O2127,0))</f>
        <v/>
      </c>
      <c r="R2127" s="20">
        <f>IF(I2127="","",IF(I2127="Trading",O2127,0))</f>
        <v/>
      </c>
      <c r="S2127" s="19">
        <f>IF(I2127="","",IF(AND(I2127="Gasto",K2127="Variable",J2127&lt;&gt;"Trading",O2127&gt;0,O2127&lt;=Umbral),1,0))</f>
        <v/>
      </c>
      <c r="T2127" s="20">
        <f>IF(OR(I2127="",E2127=""),"",IF(OR(I2127="Gasto",I2127="Transferencia",I2127="Pago tarjeta"),-1,1)*C2127)</f>
        <v/>
      </c>
      <c r="U2127" s="20">
        <f>IF(OR(G2127="",AND(I2127&lt;&gt;"Transferencia",I2127&lt;&gt;"Pago tarjeta")),"",IF(IFERROR(INDEX(ctaMon,MATCH(G2127,ctaNom,0))&amp;"","DOP")=N2127,C2127,IF(N2127="USD",C2127*TasaUSD,C2127/TasaUSD)))</f>
        <v/>
      </c>
      <c r="V2127" s="20">
        <f>IF(I2127="","",IF(IFERROR(INDEX(ctaLiq,MATCH(E2127,ctaNom,0))="Sí",FALSE),IF(OR(I2127="Gasto",I2127="Transferencia",I2127="Pago tarjeta"),-1,1)*O2127,0)+IF(AND(U2127&lt;&gt;"",IFERROR(INDEX(ctaLiq,MATCH(G2127,ctaNom,0))="Sí",FALSE)),O2127,0))</f>
        <v/>
      </c>
      <c r="W2127" s="19">
        <f>IF(OR(F2127="",I2127=""),"",IF(COUNTIFS(F$6:F2127,F2127,I$6:I2127,"?*")=1,MAX(W$5:W2126)+1,""))</f>
        <v/>
      </c>
    </row>
    <row r="2128">
      <c r="B2128" s="15" t="n"/>
      <c r="C2128" s="16" t="n"/>
      <c r="D2128" s="17" t="n"/>
      <c r="E2128" s="17" t="n"/>
      <c r="F2128" s="17" t="n"/>
      <c r="G2128" s="17" t="n"/>
      <c r="H2128" s="18">
        <f>IF(AND(B2128="",C2128="",D2128="",E2128=""),"",IF(B2128="","⚠ Falta fecha",IF(C2128="","⚠ Falta monto",IF(D2128="","⚠ Falta categoría",IF(ISNA(MATCH(D2128,catNom,0)),"⚠ Categoría no existe",IF(E2128="","⚠ Falta cuenta",IF(ISNA(MATCH(E2128,ctaNom,0)),"⚠ Cuenta no existe",IF(AND(OR(I2128="Transferencia",I2128="Pago tarjeta"),G2128=""),"⚠ Indica la cuenta «Hacia»",IF(AND(G2128&lt;&gt;"",G2128=E2128),"⚠ «Hacia» igual a la cuenta",IF(AND(G2128&lt;&gt;"",ISNA(MATCH(G2128,ctaNom,0))),"⚠ «Hacia» no existe",IF(AND(I2128="Pago tarjeta",IFERROR(INDEX(ctaTipo,MATCH(G2128,ctaNom,0)),"")&lt;&gt;"Tarjeta de crédito"),"⚠ «Hacia» debe ser la tarjeta",IF(AND(I2128="Trading",IFERROR(INDEX(ctaTipo,MATCH(E2128,ctaNom,0)),"")&lt;&gt;"Cuenta de trading"),"⚠ Usa la cuenta de trading","✓"))))))))))))</f>
        <v/>
      </c>
      <c r="I2128" s="19">
        <f>IF(OR(B2128="",C2128="",D2128=""),"",IFERROR(INDEX(catTipo,MATCH(D2128,catNom,0))&amp;"",""))</f>
        <v/>
      </c>
      <c r="J2128" s="19">
        <f>IF(I2128="","",IFERROR(INDEX(catGrupo,MATCH(D2128,catNom,0))&amp;"",""))</f>
        <v/>
      </c>
      <c r="K2128" s="19">
        <f>IF(I2128="Gasto",IF(IFERROR(INDEX(catClas,MATCH(D2128,catNom,0))&amp;"","")="","Variable",IFERROR(INDEX(catClas,MATCH(D2128,catNom,0))&amp;"","")),"")</f>
        <v/>
      </c>
      <c r="L2128" s="19">
        <f>IF(I2128="","",IFERROR(INDEX(catAlim,MATCH(D2128,catNom,0))&amp;"",""))</f>
        <v/>
      </c>
      <c r="M2128" s="19">
        <f>IF(I2128="","",IFERROR(INDEX(catComida,MATCH(D2128,catNom,0))&amp;"",""))</f>
        <v/>
      </c>
      <c r="N2128" s="19">
        <f>IF(I2128="","",IFERROR(INDEX(ctaMon,MATCH(E2128,ctaNom,0))&amp;"","DOP"))</f>
        <v/>
      </c>
      <c r="O2128" s="20">
        <f>IF(I2128="","",C2128*IF(N2128="USD",TasaUSD,1))</f>
        <v/>
      </c>
      <c r="P2128" s="20">
        <f>IF(I2128="","",IF(I2128="Gasto",O2128,0))</f>
        <v/>
      </c>
      <c r="Q2128" s="20">
        <f>IF(I2128="","",IF(I2128="Ingreso",O2128,0))</f>
        <v/>
      </c>
      <c r="R2128" s="20">
        <f>IF(I2128="","",IF(I2128="Trading",O2128,0))</f>
        <v/>
      </c>
      <c r="S2128" s="19">
        <f>IF(I2128="","",IF(AND(I2128="Gasto",K2128="Variable",J2128&lt;&gt;"Trading",O2128&gt;0,O2128&lt;=Umbral),1,0))</f>
        <v/>
      </c>
      <c r="T2128" s="20">
        <f>IF(OR(I2128="",E2128=""),"",IF(OR(I2128="Gasto",I2128="Transferencia",I2128="Pago tarjeta"),-1,1)*C2128)</f>
        <v/>
      </c>
      <c r="U2128" s="20">
        <f>IF(OR(G2128="",AND(I2128&lt;&gt;"Transferencia",I2128&lt;&gt;"Pago tarjeta")),"",IF(IFERROR(INDEX(ctaMon,MATCH(G2128,ctaNom,0))&amp;"","DOP")=N2128,C2128,IF(N2128="USD",C2128*TasaUSD,C2128/TasaUSD)))</f>
        <v/>
      </c>
      <c r="V2128" s="20">
        <f>IF(I2128="","",IF(IFERROR(INDEX(ctaLiq,MATCH(E2128,ctaNom,0))="Sí",FALSE),IF(OR(I2128="Gasto",I2128="Transferencia",I2128="Pago tarjeta"),-1,1)*O2128,0)+IF(AND(U2128&lt;&gt;"",IFERROR(INDEX(ctaLiq,MATCH(G2128,ctaNom,0))="Sí",FALSE)),O2128,0))</f>
        <v/>
      </c>
      <c r="W2128" s="19">
        <f>IF(OR(F2128="",I2128=""),"",IF(COUNTIFS(F$6:F2128,F2128,I$6:I2128,"?*")=1,MAX(W$5:W2127)+1,""))</f>
        <v/>
      </c>
    </row>
    <row r="2129">
      <c r="B2129" s="15" t="n"/>
      <c r="C2129" s="16" t="n"/>
      <c r="D2129" s="17" t="n"/>
      <c r="E2129" s="17" t="n"/>
      <c r="F2129" s="17" t="n"/>
      <c r="G2129" s="17" t="n"/>
      <c r="H2129" s="18">
        <f>IF(AND(B2129="",C2129="",D2129="",E2129=""),"",IF(B2129="","⚠ Falta fecha",IF(C2129="","⚠ Falta monto",IF(D2129="","⚠ Falta categoría",IF(ISNA(MATCH(D2129,catNom,0)),"⚠ Categoría no existe",IF(E2129="","⚠ Falta cuenta",IF(ISNA(MATCH(E2129,ctaNom,0)),"⚠ Cuenta no existe",IF(AND(OR(I2129="Transferencia",I2129="Pago tarjeta"),G2129=""),"⚠ Indica la cuenta «Hacia»",IF(AND(G2129&lt;&gt;"",G2129=E2129),"⚠ «Hacia» igual a la cuenta",IF(AND(G2129&lt;&gt;"",ISNA(MATCH(G2129,ctaNom,0))),"⚠ «Hacia» no existe",IF(AND(I2129="Pago tarjeta",IFERROR(INDEX(ctaTipo,MATCH(G2129,ctaNom,0)),"")&lt;&gt;"Tarjeta de crédito"),"⚠ «Hacia» debe ser la tarjeta",IF(AND(I2129="Trading",IFERROR(INDEX(ctaTipo,MATCH(E2129,ctaNom,0)),"")&lt;&gt;"Cuenta de trading"),"⚠ Usa la cuenta de trading","✓"))))))))))))</f>
        <v/>
      </c>
      <c r="I2129" s="19">
        <f>IF(OR(B2129="",C2129="",D2129=""),"",IFERROR(INDEX(catTipo,MATCH(D2129,catNom,0))&amp;"",""))</f>
        <v/>
      </c>
      <c r="J2129" s="19">
        <f>IF(I2129="","",IFERROR(INDEX(catGrupo,MATCH(D2129,catNom,0))&amp;"",""))</f>
        <v/>
      </c>
      <c r="K2129" s="19">
        <f>IF(I2129="Gasto",IF(IFERROR(INDEX(catClas,MATCH(D2129,catNom,0))&amp;"","")="","Variable",IFERROR(INDEX(catClas,MATCH(D2129,catNom,0))&amp;"","")),"")</f>
        <v/>
      </c>
      <c r="L2129" s="19">
        <f>IF(I2129="","",IFERROR(INDEX(catAlim,MATCH(D2129,catNom,0))&amp;"",""))</f>
        <v/>
      </c>
      <c r="M2129" s="19">
        <f>IF(I2129="","",IFERROR(INDEX(catComida,MATCH(D2129,catNom,0))&amp;"",""))</f>
        <v/>
      </c>
      <c r="N2129" s="19">
        <f>IF(I2129="","",IFERROR(INDEX(ctaMon,MATCH(E2129,ctaNom,0))&amp;"","DOP"))</f>
        <v/>
      </c>
      <c r="O2129" s="20">
        <f>IF(I2129="","",C2129*IF(N2129="USD",TasaUSD,1))</f>
        <v/>
      </c>
      <c r="P2129" s="20">
        <f>IF(I2129="","",IF(I2129="Gasto",O2129,0))</f>
        <v/>
      </c>
      <c r="Q2129" s="20">
        <f>IF(I2129="","",IF(I2129="Ingreso",O2129,0))</f>
        <v/>
      </c>
      <c r="R2129" s="20">
        <f>IF(I2129="","",IF(I2129="Trading",O2129,0))</f>
        <v/>
      </c>
      <c r="S2129" s="19">
        <f>IF(I2129="","",IF(AND(I2129="Gasto",K2129="Variable",J2129&lt;&gt;"Trading",O2129&gt;0,O2129&lt;=Umbral),1,0))</f>
        <v/>
      </c>
      <c r="T2129" s="20">
        <f>IF(OR(I2129="",E2129=""),"",IF(OR(I2129="Gasto",I2129="Transferencia",I2129="Pago tarjeta"),-1,1)*C2129)</f>
        <v/>
      </c>
      <c r="U2129" s="20">
        <f>IF(OR(G2129="",AND(I2129&lt;&gt;"Transferencia",I2129&lt;&gt;"Pago tarjeta")),"",IF(IFERROR(INDEX(ctaMon,MATCH(G2129,ctaNom,0))&amp;"","DOP")=N2129,C2129,IF(N2129="USD",C2129*TasaUSD,C2129/TasaUSD)))</f>
        <v/>
      </c>
      <c r="V2129" s="20">
        <f>IF(I2129="","",IF(IFERROR(INDEX(ctaLiq,MATCH(E2129,ctaNom,0))="Sí",FALSE),IF(OR(I2129="Gasto",I2129="Transferencia",I2129="Pago tarjeta"),-1,1)*O2129,0)+IF(AND(U2129&lt;&gt;"",IFERROR(INDEX(ctaLiq,MATCH(G2129,ctaNom,0))="Sí",FALSE)),O2129,0))</f>
        <v/>
      </c>
      <c r="W2129" s="19">
        <f>IF(OR(F2129="",I2129=""),"",IF(COUNTIFS(F$6:F2129,F2129,I$6:I2129,"?*")=1,MAX(W$5:W2128)+1,""))</f>
        <v/>
      </c>
    </row>
    <row r="2130">
      <c r="B2130" s="15" t="n"/>
      <c r="C2130" s="16" t="n"/>
      <c r="D2130" s="17" t="n"/>
      <c r="E2130" s="17" t="n"/>
      <c r="F2130" s="17" t="n"/>
      <c r="G2130" s="17" t="n"/>
      <c r="H2130" s="18">
        <f>IF(AND(B2130="",C2130="",D2130="",E2130=""),"",IF(B2130="","⚠ Falta fecha",IF(C2130="","⚠ Falta monto",IF(D2130="","⚠ Falta categoría",IF(ISNA(MATCH(D2130,catNom,0)),"⚠ Categoría no existe",IF(E2130="","⚠ Falta cuenta",IF(ISNA(MATCH(E2130,ctaNom,0)),"⚠ Cuenta no existe",IF(AND(OR(I2130="Transferencia",I2130="Pago tarjeta"),G2130=""),"⚠ Indica la cuenta «Hacia»",IF(AND(G2130&lt;&gt;"",G2130=E2130),"⚠ «Hacia» igual a la cuenta",IF(AND(G2130&lt;&gt;"",ISNA(MATCH(G2130,ctaNom,0))),"⚠ «Hacia» no existe",IF(AND(I2130="Pago tarjeta",IFERROR(INDEX(ctaTipo,MATCH(G2130,ctaNom,0)),"")&lt;&gt;"Tarjeta de crédito"),"⚠ «Hacia» debe ser la tarjeta",IF(AND(I2130="Trading",IFERROR(INDEX(ctaTipo,MATCH(E2130,ctaNom,0)),"")&lt;&gt;"Cuenta de trading"),"⚠ Usa la cuenta de trading","✓"))))))))))))</f>
        <v/>
      </c>
      <c r="I2130" s="19">
        <f>IF(OR(B2130="",C2130="",D2130=""),"",IFERROR(INDEX(catTipo,MATCH(D2130,catNom,0))&amp;"",""))</f>
        <v/>
      </c>
      <c r="J2130" s="19">
        <f>IF(I2130="","",IFERROR(INDEX(catGrupo,MATCH(D2130,catNom,0))&amp;"",""))</f>
        <v/>
      </c>
      <c r="K2130" s="19">
        <f>IF(I2130="Gasto",IF(IFERROR(INDEX(catClas,MATCH(D2130,catNom,0))&amp;"","")="","Variable",IFERROR(INDEX(catClas,MATCH(D2130,catNom,0))&amp;"","")),"")</f>
        <v/>
      </c>
      <c r="L2130" s="19">
        <f>IF(I2130="","",IFERROR(INDEX(catAlim,MATCH(D2130,catNom,0))&amp;"",""))</f>
        <v/>
      </c>
      <c r="M2130" s="19">
        <f>IF(I2130="","",IFERROR(INDEX(catComida,MATCH(D2130,catNom,0))&amp;"",""))</f>
        <v/>
      </c>
      <c r="N2130" s="19">
        <f>IF(I2130="","",IFERROR(INDEX(ctaMon,MATCH(E2130,ctaNom,0))&amp;"","DOP"))</f>
        <v/>
      </c>
      <c r="O2130" s="20">
        <f>IF(I2130="","",C2130*IF(N2130="USD",TasaUSD,1))</f>
        <v/>
      </c>
      <c r="P2130" s="20">
        <f>IF(I2130="","",IF(I2130="Gasto",O2130,0))</f>
        <v/>
      </c>
      <c r="Q2130" s="20">
        <f>IF(I2130="","",IF(I2130="Ingreso",O2130,0))</f>
        <v/>
      </c>
      <c r="R2130" s="20">
        <f>IF(I2130="","",IF(I2130="Trading",O2130,0))</f>
        <v/>
      </c>
      <c r="S2130" s="19">
        <f>IF(I2130="","",IF(AND(I2130="Gasto",K2130="Variable",J2130&lt;&gt;"Trading",O2130&gt;0,O2130&lt;=Umbral),1,0))</f>
        <v/>
      </c>
      <c r="T2130" s="20">
        <f>IF(OR(I2130="",E2130=""),"",IF(OR(I2130="Gasto",I2130="Transferencia",I2130="Pago tarjeta"),-1,1)*C2130)</f>
        <v/>
      </c>
      <c r="U2130" s="20">
        <f>IF(OR(G2130="",AND(I2130&lt;&gt;"Transferencia",I2130&lt;&gt;"Pago tarjeta")),"",IF(IFERROR(INDEX(ctaMon,MATCH(G2130,ctaNom,0))&amp;"","DOP")=N2130,C2130,IF(N2130="USD",C2130*TasaUSD,C2130/TasaUSD)))</f>
        <v/>
      </c>
      <c r="V2130" s="20">
        <f>IF(I2130="","",IF(IFERROR(INDEX(ctaLiq,MATCH(E2130,ctaNom,0))="Sí",FALSE),IF(OR(I2130="Gasto",I2130="Transferencia",I2130="Pago tarjeta"),-1,1)*O2130,0)+IF(AND(U2130&lt;&gt;"",IFERROR(INDEX(ctaLiq,MATCH(G2130,ctaNom,0))="Sí",FALSE)),O2130,0))</f>
        <v/>
      </c>
      <c r="W2130" s="19">
        <f>IF(OR(F2130="",I2130=""),"",IF(COUNTIFS(F$6:F2130,F2130,I$6:I2130,"?*")=1,MAX(W$5:W2129)+1,""))</f>
        <v/>
      </c>
    </row>
    <row r="2131">
      <c r="B2131" s="15" t="n"/>
      <c r="C2131" s="16" t="n"/>
      <c r="D2131" s="17" t="n"/>
      <c r="E2131" s="17" t="n"/>
      <c r="F2131" s="17" t="n"/>
      <c r="G2131" s="17" t="n"/>
      <c r="H2131" s="18">
        <f>IF(AND(B2131="",C2131="",D2131="",E2131=""),"",IF(B2131="","⚠ Falta fecha",IF(C2131="","⚠ Falta monto",IF(D2131="","⚠ Falta categoría",IF(ISNA(MATCH(D2131,catNom,0)),"⚠ Categoría no existe",IF(E2131="","⚠ Falta cuenta",IF(ISNA(MATCH(E2131,ctaNom,0)),"⚠ Cuenta no existe",IF(AND(OR(I2131="Transferencia",I2131="Pago tarjeta"),G2131=""),"⚠ Indica la cuenta «Hacia»",IF(AND(G2131&lt;&gt;"",G2131=E2131),"⚠ «Hacia» igual a la cuenta",IF(AND(G2131&lt;&gt;"",ISNA(MATCH(G2131,ctaNom,0))),"⚠ «Hacia» no existe",IF(AND(I2131="Pago tarjeta",IFERROR(INDEX(ctaTipo,MATCH(G2131,ctaNom,0)),"")&lt;&gt;"Tarjeta de crédito"),"⚠ «Hacia» debe ser la tarjeta",IF(AND(I2131="Trading",IFERROR(INDEX(ctaTipo,MATCH(E2131,ctaNom,0)),"")&lt;&gt;"Cuenta de trading"),"⚠ Usa la cuenta de trading","✓"))))))))))))</f>
        <v/>
      </c>
      <c r="I2131" s="19">
        <f>IF(OR(B2131="",C2131="",D2131=""),"",IFERROR(INDEX(catTipo,MATCH(D2131,catNom,0))&amp;"",""))</f>
        <v/>
      </c>
      <c r="J2131" s="19">
        <f>IF(I2131="","",IFERROR(INDEX(catGrupo,MATCH(D2131,catNom,0))&amp;"",""))</f>
        <v/>
      </c>
      <c r="K2131" s="19">
        <f>IF(I2131="Gasto",IF(IFERROR(INDEX(catClas,MATCH(D2131,catNom,0))&amp;"","")="","Variable",IFERROR(INDEX(catClas,MATCH(D2131,catNom,0))&amp;"","")),"")</f>
        <v/>
      </c>
      <c r="L2131" s="19">
        <f>IF(I2131="","",IFERROR(INDEX(catAlim,MATCH(D2131,catNom,0))&amp;"",""))</f>
        <v/>
      </c>
      <c r="M2131" s="19">
        <f>IF(I2131="","",IFERROR(INDEX(catComida,MATCH(D2131,catNom,0))&amp;"",""))</f>
        <v/>
      </c>
      <c r="N2131" s="19">
        <f>IF(I2131="","",IFERROR(INDEX(ctaMon,MATCH(E2131,ctaNom,0))&amp;"","DOP"))</f>
        <v/>
      </c>
      <c r="O2131" s="20">
        <f>IF(I2131="","",C2131*IF(N2131="USD",TasaUSD,1))</f>
        <v/>
      </c>
      <c r="P2131" s="20">
        <f>IF(I2131="","",IF(I2131="Gasto",O2131,0))</f>
        <v/>
      </c>
      <c r="Q2131" s="20">
        <f>IF(I2131="","",IF(I2131="Ingreso",O2131,0))</f>
        <v/>
      </c>
      <c r="R2131" s="20">
        <f>IF(I2131="","",IF(I2131="Trading",O2131,0))</f>
        <v/>
      </c>
      <c r="S2131" s="19">
        <f>IF(I2131="","",IF(AND(I2131="Gasto",K2131="Variable",J2131&lt;&gt;"Trading",O2131&gt;0,O2131&lt;=Umbral),1,0))</f>
        <v/>
      </c>
      <c r="T2131" s="20">
        <f>IF(OR(I2131="",E2131=""),"",IF(OR(I2131="Gasto",I2131="Transferencia",I2131="Pago tarjeta"),-1,1)*C2131)</f>
        <v/>
      </c>
      <c r="U2131" s="20">
        <f>IF(OR(G2131="",AND(I2131&lt;&gt;"Transferencia",I2131&lt;&gt;"Pago tarjeta")),"",IF(IFERROR(INDEX(ctaMon,MATCH(G2131,ctaNom,0))&amp;"","DOP")=N2131,C2131,IF(N2131="USD",C2131*TasaUSD,C2131/TasaUSD)))</f>
        <v/>
      </c>
      <c r="V2131" s="20">
        <f>IF(I2131="","",IF(IFERROR(INDEX(ctaLiq,MATCH(E2131,ctaNom,0))="Sí",FALSE),IF(OR(I2131="Gasto",I2131="Transferencia",I2131="Pago tarjeta"),-1,1)*O2131,0)+IF(AND(U2131&lt;&gt;"",IFERROR(INDEX(ctaLiq,MATCH(G2131,ctaNom,0))="Sí",FALSE)),O2131,0))</f>
        <v/>
      </c>
      <c r="W2131" s="19">
        <f>IF(OR(F2131="",I2131=""),"",IF(COUNTIFS(F$6:F2131,F2131,I$6:I2131,"?*")=1,MAX(W$5:W2130)+1,""))</f>
        <v/>
      </c>
    </row>
    <row r="2132">
      <c r="B2132" s="15" t="n"/>
      <c r="C2132" s="16" t="n"/>
      <c r="D2132" s="17" t="n"/>
      <c r="E2132" s="17" t="n"/>
      <c r="F2132" s="17" t="n"/>
      <c r="G2132" s="17" t="n"/>
      <c r="H2132" s="18">
        <f>IF(AND(B2132="",C2132="",D2132="",E2132=""),"",IF(B2132="","⚠ Falta fecha",IF(C2132="","⚠ Falta monto",IF(D2132="","⚠ Falta categoría",IF(ISNA(MATCH(D2132,catNom,0)),"⚠ Categoría no existe",IF(E2132="","⚠ Falta cuenta",IF(ISNA(MATCH(E2132,ctaNom,0)),"⚠ Cuenta no existe",IF(AND(OR(I2132="Transferencia",I2132="Pago tarjeta"),G2132=""),"⚠ Indica la cuenta «Hacia»",IF(AND(G2132&lt;&gt;"",G2132=E2132),"⚠ «Hacia» igual a la cuenta",IF(AND(G2132&lt;&gt;"",ISNA(MATCH(G2132,ctaNom,0))),"⚠ «Hacia» no existe",IF(AND(I2132="Pago tarjeta",IFERROR(INDEX(ctaTipo,MATCH(G2132,ctaNom,0)),"")&lt;&gt;"Tarjeta de crédito"),"⚠ «Hacia» debe ser la tarjeta",IF(AND(I2132="Trading",IFERROR(INDEX(ctaTipo,MATCH(E2132,ctaNom,0)),"")&lt;&gt;"Cuenta de trading"),"⚠ Usa la cuenta de trading","✓"))))))))))))</f>
        <v/>
      </c>
      <c r="I2132" s="19">
        <f>IF(OR(B2132="",C2132="",D2132=""),"",IFERROR(INDEX(catTipo,MATCH(D2132,catNom,0))&amp;"",""))</f>
        <v/>
      </c>
      <c r="J2132" s="19">
        <f>IF(I2132="","",IFERROR(INDEX(catGrupo,MATCH(D2132,catNom,0))&amp;"",""))</f>
        <v/>
      </c>
      <c r="K2132" s="19">
        <f>IF(I2132="Gasto",IF(IFERROR(INDEX(catClas,MATCH(D2132,catNom,0))&amp;"","")="","Variable",IFERROR(INDEX(catClas,MATCH(D2132,catNom,0))&amp;"","")),"")</f>
        <v/>
      </c>
      <c r="L2132" s="19">
        <f>IF(I2132="","",IFERROR(INDEX(catAlim,MATCH(D2132,catNom,0))&amp;"",""))</f>
        <v/>
      </c>
      <c r="M2132" s="19">
        <f>IF(I2132="","",IFERROR(INDEX(catComida,MATCH(D2132,catNom,0))&amp;"",""))</f>
        <v/>
      </c>
      <c r="N2132" s="19">
        <f>IF(I2132="","",IFERROR(INDEX(ctaMon,MATCH(E2132,ctaNom,0))&amp;"","DOP"))</f>
        <v/>
      </c>
      <c r="O2132" s="20">
        <f>IF(I2132="","",C2132*IF(N2132="USD",TasaUSD,1))</f>
        <v/>
      </c>
      <c r="P2132" s="20">
        <f>IF(I2132="","",IF(I2132="Gasto",O2132,0))</f>
        <v/>
      </c>
      <c r="Q2132" s="20">
        <f>IF(I2132="","",IF(I2132="Ingreso",O2132,0))</f>
        <v/>
      </c>
      <c r="R2132" s="20">
        <f>IF(I2132="","",IF(I2132="Trading",O2132,0))</f>
        <v/>
      </c>
      <c r="S2132" s="19">
        <f>IF(I2132="","",IF(AND(I2132="Gasto",K2132="Variable",J2132&lt;&gt;"Trading",O2132&gt;0,O2132&lt;=Umbral),1,0))</f>
        <v/>
      </c>
      <c r="T2132" s="20">
        <f>IF(OR(I2132="",E2132=""),"",IF(OR(I2132="Gasto",I2132="Transferencia",I2132="Pago tarjeta"),-1,1)*C2132)</f>
        <v/>
      </c>
      <c r="U2132" s="20">
        <f>IF(OR(G2132="",AND(I2132&lt;&gt;"Transferencia",I2132&lt;&gt;"Pago tarjeta")),"",IF(IFERROR(INDEX(ctaMon,MATCH(G2132,ctaNom,0))&amp;"","DOP")=N2132,C2132,IF(N2132="USD",C2132*TasaUSD,C2132/TasaUSD)))</f>
        <v/>
      </c>
      <c r="V2132" s="20">
        <f>IF(I2132="","",IF(IFERROR(INDEX(ctaLiq,MATCH(E2132,ctaNom,0))="Sí",FALSE),IF(OR(I2132="Gasto",I2132="Transferencia",I2132="Pago tarjeta"),-1,1)*O2132,0)+IF(AND(U2132&lt;&gt;"",IFERROR(INDEX(ctaLiq,MATCH(G2132,ctaNom,0))="Sí",FALSE)),O2132,0))</f>
        <v/>
      </c>
      <c r="W2132" s="19">
        <f>IF(OR(F2132="",I2132=""),"",IF(COUNTIFS(F$6:F2132,F2132,I$6:I2132,"?*")=1,MAX(W$5:W2131)+1,""))</f>
        <v/>
      </c>
    </row>
    <row r="2133">
      <c r="B2133" s="15" t="n"/>
      <c r="C2133" s="16" t="n"/>
      <c r="D2133" s="17" t="n"/>
      <c r="E2133" s="17" t="n"/>
      <c r="F2133" s="17" t="n"/>
      <c r="G2133" s="17" t="n"/>
      <c r="H2133" s="18">
        <f>IF(AND(B2133="",C2133="",D2133="",E2133=""),"",IF(B2133="","⚠ Falta fecha",IF(C2133="","⚠ Falta monto",IF(D2133="","⚠ Falta categoría",IF(ISNA(MATCH(D2133,catNom,0)),"⚠ Categoría no existe",IF(E2133="","⚠ Falta cuenta",IF(ISNA(MATCH(E2133,ctaNom,0)),"⚠ Cuenta no existe",IF(AND(OR(I2133="Transferencia",I2133="Pago tarjeta"),G2133=""),"⚠ Indica la cuenta «Hacia»",IF(AND(G2133&lt;&gt;"",G2133=E2133),"⚠ «Hacia» igual a la cuenta",IF(AND(G2133&lt;&gt;"",ISNA(MATCH(G2133,ctaNom,0))),"⚠ «Hacia» no existe",IF(AND(I2133="Pago tarjeta",IFERROR(INDEX(ctaTipo,MATCH(G2133,ctaNom,0)),"")&lt;&gt;"Tarjeta de crédito"),"⚠ «Hacia» debe ser la tarjeta",IF(AND(I2133="Trading",IFERROR(INDEX(ctaTipo,MATCH(E2133,ctaNom,0)),"")&lt;&gt;"Cuenta de trading"),"⚠ Usa la cuenta de trading","✓"))))))))))))</f>
        <v/>
      </c>
      <c r="I2133" s="19">
        <f>IF(OR(B2133="",C2133="",D2133=""),"",IFERROR(INDEX(catTipo,MATCH(D2133,catNom,0))&amp;"",""))</f>
        <v/>
      </c>
      <c r="J2133" s="19">
        <f>IF(I2133="","",IFERROR(INDEX(catGrupo,MATCH(D2133,catNom,0))&amp;"",""))</f>
        <v/>
      </c>
      <c r="K2133" s="19">
        <f>IF(I2133="Gasto",IF(IFERROR(INDEX(catClas,MATCH(D2133,catNom,0))&amp;"","")="","Variable",IFERROR(INDEX(catClas,MATCH(D2133,catNom,0))&amp;"","")),"")</f>
        <v/>
      </c>
      <c r="L2133" s="19">
        <f>IF(I2133="","",IFERROR(INDEX(catAlim,MATCH(D2133,catNom,0))&amp;"",""))</f>
        <v/>
      </c>
      <c r="M2133" s="19">
        <f>IF(I2133="","",IFERROR(INDEX(catComida,MATCH(D2133,catNom,0))&amp;"",""))</f>
        <v/>
      </c>
      <c r="N2133" s="19">
        <f>IF(I2133="","",IFERROR(INDEX(ctaMon,MATCH(E2133,ctaNom,0))&amp;"","DOP"))</f>
        <v/>
      </c>
      <c r="O2133" s="20">
        <f>IF(I2133="","",C2133*IF(N2133="USD",TasaUSD,1))</f>
        <v/>
      </c>
      <c r="P2133" s="20">
        <f>IF(I2133="","",IF(I2133="Gasto",O2133,0))</f>
        <v/>
      </c>
      <c r="Q2133" s="20">
        <f>IF(I2133="","",IF(I2133="Ingreso",O2133,0))</f>
        <v/>
      </c>
      <c r="R2133" s="20">
        <f>IF(I2133="","",IF(I2133="Trading",O2133,0))</f>
        <v/>
      </c>
      <c r="S2133" s="19">
        <f>IF(I2133="","",IF(AND(I2133="Gasto",K2133="Variable",J2133&lt;&gt;"Trading",O2133&gt;0,O2133&lt;=Umbral),1,0))</f>
        <v/>
      </c>
      <c r="T2133" s="20">
        <f>IF(OR(I2133="",E2133=""),"",IF(OR(I2133="Gasto",I2133="Transferencia",I2133="Pago tarjeta"),-1,1)*C2133)</f>
        <v/>
      </c>
      <c r="U2133" s="20">
        <f>IF(OR(G2133="",AND(I2133&lt;&gt;"Transferencia",I2133&lt;&gt;"Pago tarjeta")),"",IF(IFERROR(INDEX(ctaMon,MATCH(G2133,ctaNom,0))&amp;"","DOP")=N2133,C2133,IF(N2133="USD",C2133*TasaUSD,C2133/TasaUSD)))</f>
        <v/>
      </c>
      <c r="V2133" s="20">
        <f>IF(I2133="","",IF(IFERROR(INDEX(ctaLiq,MATCH(E2133,ctaNom,0))="Sí",FALSE),IF(OR(I2133="Gasto",I2133="Transferencia",I2133="Pago tarjeta"),-1,1)*O2133,0)+IF(AND(U2133&lt;&gt;"",IFERROR(INDEX(ctaLiq,MATCH(G2133,ctaNom,0))="Sí",FALSE)),O2133,0))</f>
        <v/>
      </c>
      <c r="W2133" s="19">
        <f>IF(OR(F2133="",I2133=""),"",IF(COUNTIFS(F$6:F2133,F2133,I$6:I2133,"?*")=1,MAX(W$5:W2132)+1,""))</f>
        <v/>
      </c>
    </row>
    <row r="2134">
      <c r="B2134" s="15" t="n"/>
      <c r="C2134" s="16" t="n"/>
      <c r="D2134" s="17" t="n"/>
      <c r="E2134" s="17" t="n"/>
      <c r="F2134" s="17" t="n"/>
      <c r="G2134" s="17" t="n"/>
      <c r="H2134" s="18">
        <f>IF(AND(B2134="",C2134="",D2134="",E2134=""),"",IF(B2134="","⚠ Falta fecha",IF(C2134="","⚠ Falta monto",IF(D2134="","⚠ Falta categoría",IF(ISNA(MATCH(D2134,catNom,0)),"⚠ Categoría no existe",IF(E2134="","⚠ Falta cuenta",IF(ISNA(MATCH(E2134,ctaNom,0)),"⚠ Cuenta no existe",IF(AND(OR(I2134="Transferencia",I2134="Pago tarjeta"),G2134=""),"⚠ Indica la cuenta «Hacia»",IF(AND(G2134&lt;&gt;"",G2134=E2134),"⚠ «Hacia» igual a la cuenta",IF(AND(G2134&lt;&gt;"",ISNA(MATCH(G2134,ctaNom,0))),"⚠ «Hacia» no existe",IF(AND(I2134="Pago tarjeta",IFERROR(INDEX(ctaTipo,MATCH(G2134,ctaNom,0)),"")&lt;&gt;"Tarjeta de crédito"),"⚠ «Hacia» debe ser la tarjeta",IF(AND(I2134="Trading",IFERROR(INDEX(ctaTipo,MATCH(E2134,ctaNom,0)),"")&lt;&gt;"Cuenta de trading"),"⚠ Usa la cuenta de trading","✓"))))))))))))</f>
        <v/>
      </c>
      <c r="I2134" s="19">
        <f>IF(OR(B2134="",C2134="",D2134=""),"",IFERROR(INDEX(catTipo,MATCH(D2134,catNom,0))&amp;"",""))</f>
        <v/>
      </c>
      <c r="J2134" s="19">
        <f>IF(I2134="","",IFERROR(INDEX(catGrupo,MATCH(D2134,catNom,0))&amp;"",""))</f>
        <v/>
      </c>
      <c r="K2134" s="19">
        <f>IF(I2134="Gasto",IF(IFERROR(INDEX(catClas,MATCH(D2134,catNom,0))&amp;"","")="","Variable",IFERROR(INDEX(catClas,MATCH(D2134,catNom,0))&amp;"","")),"")</f>
        <v/>
      </c>
      <c r="L2134" s="19">
        <f>IF(I2134="","",IFERROR(INDEX(catAlim,MATCH(D2134,catNom,0))&amp;"",""))</f>
        <v/>
      </c>
      <c r="M2134" s="19">
        <f>IF(I2134="","",IFERROR(INDEX(catComida,MATCH(D2134,catNom,0))&amp;"",""))</f>
        <v/>
      </c>
      <c r="N2134" s="19">
        <f>IF(I2134="","",IFERROR(INDEX(ctaMon,MATCH(E2134,ctaNom,0))&amp;"","DOP"))</f>
        <v/>
      </c>
      <c r="O2134" s="20">
        <f>IF(I2134="","",C2134*IF(N2134="USD",TasaUSD,1))</f>
        <v/>
      </c>
      <c r="P2134" s="20">
        <f>IF(I2134="","",IF(I2134="Gasto",O2134,0))</f>
        <v/>
      </c>
      <c r="Q2134" s="20">
        <f>IF(I2134="","",IF(I2134="Ingreso",O2134,0))</f>
        <v/>
      </c>
      <c r="R2134" s="20">
        <f>IF(I2134="","",IF(I2134="Trading",O2134,0))</f>
        <v/>
      </c>
      <c r="S2134" s="19">
        <f>IF(I2134="","",IF(AND(I2134="Gasto",K2134="Variable",J2134&lt;&gt;"Trading",O2134&gt;0,O2134&lt;=Umbral),1,0))</f>
        <v/>
      </c>
      <c r="T2134" s="20">
        <f>IF(OR(I2134="",E2134=""),"",IF(OR(I2134="Gasto",I2134="Transferencia",I2134="Pago tarjeta"),-1,1)*C2134)</f>
        <v/>
      </c>
      <c r="U2134" s="20">
        <f>IF(OR(G2134="",AND(I2134&lt;&gt;"Transferencia",I2134&lt;&gt;"Pago tarjeta")),"",IF(IFERROR(INDEX(ctaMon,MATCH(G2134,ctaNom,0))&amp;"","DOP")=N2134,C2134,IF(N2134="USD",C2134*TasaUSD,C2134/TasaUSD)))</f>
        <v/>
      </c>
      <c r="V2134" s="20">
        <f>IF(I2134="","",IF(IFERROR(INDEX(ctaLiq,MATCH(E2134,ctaNom,0))="Sí",FALSE),IF(OR(I2134="Gasto",I2134="Transferencia",I2134="Pago tarjeta"),-1,1)*O2134,0)+IF(AND(U2134&lt;&gt;"",IFERROR(INDEX(ctaLiq,MATCH(G2134,ctaNom,0))="Sí",FALSE)),O2134,0))</f>
        <v/>
      </c>
      <c r="W2134" s="19">
        <f>IF(OR(F2134="",I2134=""),"",IF(COUNTIFS(F$6:F2134,F2134,I$6:I2134,"?*")=1,MAX(W$5:W2133)+1,""))</f>
        <v/>
      </c>
    </row>
    <row r="2135">
      <c r="B2135" s="15" t="n"/>
      <c r="C2135" s="16" t="n"/>
      <c r="D2135" s="17" t="n"/>
      <c r="E2135" s="17" t="n"/>
      <c r="F2135" s="17" t="n"/>
      <c r="G2135" s="17" t="n"/>
      <c r="H2135" s="18">
        <f>IF(AND(B2135="",C2135="",D2135="",E2135=""),"",IF(B2135="","⚠ Falta fecha",IF(C2135="","⚠ Falta monto",IF(D2135="","⚠ Falta categoría",IF(ISNA(MATCH(D2135,catNom,0)),"⚠ Categoría no existe",IF(E2135="","⚠ Falta cuenta",IF(ISNA(MATCH(E2135,ctaNom,0)),"⚠ Cuenta no existe",IF(AND(OR(I2135="Transferencia",I2135="Pago tarjeta"),G2135=""),"⚠ Indica la cuenta «Hacia»",IF(AND(G2135&lt;&gt;"",G2135=E2135),"⚠ «Hacia» igual a la cuenta",IF(AND(G2135&lt;&gt;"",ISNA(MATCH(G2135,ctaNom,0))),"⚠ «Hacia» no existe",IF(AND(I2135="Pago tarjeta",IFERROR(INDEX(ctaTipo,MATCH(G2135,ctaNom,0)),"")&lt;&gt;"Tarjeta de crédito"),"⚠ «Hacia» debe ser la tarjeta",IF(AND(I2135="Trading",IFERROR(INDEX(ctaTipo,MATCH(E2135,ctaNom,0)),"")&lt;&gt;"Cuenta de trading"),"⚠ Usa la cuenta de trading","✓"))))))))))))</f>
        <v/>
      </c>
      <c r="I2135" s="19">
        <f>IF(OR(B2135="",C2135="",D2135=""),"",IFERROR(INDEX(catTipo,MATCH(D2135,catNom,0))&amp;"",""))</f>
        <v/>
      </c>
      <c r="J2135" s="19">
        <f>IF(I2135="","",IFERROR(INDEX(catGrupo,MATCH(D2135,catNom,0))&amp;"",""))</f>
        <v/>
      </c>
      <c r="K2135" s="19">
        <f>IF(I2135="Gasto",IF(IFERROR(INDEX(catClas,MATCH(D2135,catNom,0))&amp;"","")="","Variable",IFERROR(INDEX(catClas,MATCH(D2135,catNom,0))&amp;"","")),"")</f>
        <v/>
      </c>
      <c r="L2135" s="19">
        <f>IF(I2135="","",IFERROR(INDEX(catAlim,MATCH(D2135,catNom,0))&amp;"",""))</f>
        <v/>
      </c>
      <c r="M2135" s="19">
        <f>IF(I2135="","",IFERROR(INDEX(catComida,MATCH(D2135,catNom,0))&amp;"",""))</f>
        <v/>
      </c>
      <c r="N2135" s="19">
        <f>IF(I2135="","",IFERROR(INDEX(ctaMon,MATCH(E2135,ctaNom,0))&amp;"","DOP"))</f>
        <v/>
      </c>
      <c r="O2135" s="20">
        <f>IF(I2135="","",C2135*IF(N2135="USD",TasaUSD,1))</f>
        <v/>
      </c>
      <c r="P2135" s="20">
        <f>IF(I2135="","",IF(I2135="Gasto",O2135,0))</f>
        <v/>
      </c>
      <c r="Q2135" s="20">
        <f>IF(I2135="","",IF(I2135="Ingreso",O2135,0))</f>
        <v/>
      </c>
      <c r="R2135" s="20">
        <f>IF(I2135="","",IF(I2135="Trading",O2135,0))</f>
        <v/>
      </c>
      <c r="S2135" s="19">
        <f>IF(I2135="","",IF(AND(I2135="Gasto",K2135="Variable",J2135&lt;&gt;"Trading",O2135&gt;0,O2135&lt;=Umbral),1,0))</f>
        <v/>
      </c>
      <c r="T2135" s="20">
        <f>IF(OR(I2135="",E2135=""),"",IF(OR(I2135="Gasto",I2135="Transferencia",I2135="Pago tarjeta"),-1,1)*C2135)</f>
        <v/>
      </c>
      <c r="U2135" s="20">
        <f>IF(OR(G2135="",AND(I2135&lt;&gt;"Transferencia",I2135&lt;&gt;"Pago tarjeta")),"",IF(IFERROR(INDEX(ctaMon,MATCH(G2135,ctaNom,0))&amp;"","DOP")=N2135,C2135,IF(N2135="USD",C2135*TasaUSD,C2135/TasaUSD)))</f>
        <v/>
      </c>
      <c r="V2135" s="20">
        <f>IF(I2135="","",IF(IFERROR(INDEX(ctaLiq,MATCH(E2135,ctaNom,0))="Sí",FALSE),IF(OR(I2135="Gasto",I2135="Transferencia",I2135="Pago tarjeta"),-1,1)*O2135,0)+IF(AND(U2135&lt;&gt;"",IFERROR(INDEX(ctaLiq,MATCH(G2135,ctaNom,0))="Sí",FALSE)),O2135,0))</f>
        <v/>
      </c>
      <c r="W2135" s="19">
        <f>IF(OR(F2135="",I2135=""),"",IF(COUNTIFS(F$6:F2135,F2135,I$6:I2135,"?*")=1,MAX(W$5:W2134)+1,""))</f>
        <v/>
      </c>
    </row>
    <row r="2136">
      <c r="B2136" s="15" t="n"/>
      <c r="C2136" s="16" t="n"/>
      <c r="D2136" s="17" t="n"/>
      <c r="E2136" s="17" t="n"/>
      <c r="F2136" s="17" t="n"/>
      <c r="G2136" s="17" t="n"/>
      <c r="H2136" s="18">
        <f>IF(AND(B2136="",C2136="",D2136="",E2136=""),"",IF(B2136="","⚠ Falta fecha",IF(C2136="","⚠ Falta monto",IF(D2136="","⚠ Falta categoría",IF(ISNA(MATCH(D2136,catNom,0)),"⚠ Categoría no existe",IF(E2136="","⚠ Falta cuenta",IF(ISNA(MATCH(E2136,ctaNom,0)),"⚠ Cuenta no existe",IF(AND(OR(I2136="Transferencia",I2136="Pago tarjeta"),G2136=""),"⚠ Indica la cuenta «Hacia»",IF(AND(G2136&lt;&gt;"",G2136=E2136),"⚠ «Hacia» igual a la cuenta",IF(AND(G2136&lt;&gt;"",ISNA(MATCH(G2136,ctaNom,0))),"⚠ «Hacia» no existe",IF(AND(I2136="Pago tarjeta",IFERROR(INDEX(ctaTipo,MATCH(G2136,ctaNom,0)),"")&lt;&gt;"Tarjeta de crédito"),"⚠ «Hacia» debe ser la tarjeta",IF(AND(I2136="Trading",IFERROR(INDEX(ctaTipo,MATCH(E2136,ctaNom,0)),"")&lt;&gt;"Cuenta de trading"),"⚠ Usa la cuenta de trading","✓"))))))))))))</f>
        <v/>
      </c>
      <c r="I2136" s="19">
        <f>IF(OR(B2136="",C2136="",D2136=""),"",IFERROR(INDEX(catTipo,MATCH(D2136,catNom,0))&amp;"",""))</f>
        <v/>
      </c>
      <c r="J2136" s="19">
        <f>IF(I2136="","",IFERROR(INDEX(catGrupo,MATCH(D2136,catNom,0))&amp;"",""))</f>
        <v/>
      </c>
      <c r="K2136" s="19">
        <f>IF(I2136="Gasto",IF(IFERROR(INDEX(catClas,MATCH(D2136,catNom,0))&amp;"","")="","Variable",IFERROR(INDEX(catClas,MATCH(D2136,catNom,0))&amp;"","")),"")</f>
        <v/>
      </c>
      <c r="L2136" s="19">
        <f>IF(I2136="","",IFERROR(INDEX(catAlim,MATCH(D2136,catNom,0))&amp;"",""))</f>
        <v/>
      </c>
      <c r="M2136" s="19">
        <f>IF(I2136="","",IFERROR(INDEX(catComida,MATCH(D2136,catNom,0))&amp;"",""))</f>
        <v/>
      </c>
      <c r="N2136" s="19">
        <f>IF(I2136="","",IFERROR(INDEX(ctaMon,MATCH(E2136,ctaNom,0))&amp;"","DOP"))</f>
        <v/>
      </c>
      <c r="O2136" s="20">
        <f>IF(I2136="","",C2136*IF(N2136="USD",TasaUSD,1))</f>
        <v/>
      </c>
      <c r="P2136" s="20">
        <f>IF(I2136="","",IF(I2136="Gasto",O2136,0))</f>
        <v/>
      </c>
      <c r="Q2136" s="20">
        <f>IF(I2136="","",IF(I2136="Ingreso",O2136,0))</f>
        <v/>
      </c>
      <c r="R2136" s="20">
        <f>IF(I2136="","",IF(I2136="Trading",O2136,0))</f>
        <v/>
      </c>
      <c r="S2136" s="19">
        <f>IF(I2136="","",IF(AND(I2136="Gasto",K2136="Variable",J2136&lt;&gt;"Trading",O2136&gt;0,O2136&lt;=Umbral),1,0))</f>
        <v/>
      </c>
      <c r="T2136" s="20">
        <f>IF(OR(I2136="",E2136=""),"",IF(OR(I2136="Gasto",I2136="Transferencia",I2136="Pago tarjeta"),-1,1)*C2136)</f>
        <v/>
      </c>
      <c r="U2136" s="20">
        <f>IF(OR(G2136="",AND(I2136&lt;&gt;"Transferencia",I2136&lt;&gt;"Pago tarjeta")),"",IF(IFERROR(INDEX(ctaMon,MATCH(G2136,ctaNom,0))&amp;"","DOP")=N2136,C2136,IF(N2136="USD",C2136*TasaUSD,C2136/TasaUSD)))</f>
        <v/>
      </c>
      <c r="V2136" s="20">
        <f>IF(I2136="","",IF(IFERROR(INDEX(ctaLiq,MATCH(E2136,ctaNom,0))="Sí",FALSE),IF(OR(I2136="Gasto",I2136="Transferencia",I2136="Pago tarjeta"),-1,1)*O2136,0)+IF(AND(U2136&lt;&gt;"",IFERROR(INDEX(ctaLiq,MATCH(G2136,ctaNom,0))="Sí",FALSE)),O2136,0))</f>
        <v/>
      </c>
      <c r="W2136" s="19">
        <f>IF(OR(F2136="",I2136=""),"",IF(COUNTIFS(F$6:F2136,F2136,I$6:I2136,"?*")=1,MAX(W$5:W2135)+1,""))</f>
        <v/>
      </c>
    </row>
    <row r="2137">
      <c r="B2137" s="15" t="n"/>
      <c r="C2137" s="16" t="n"/>
      <c r="D2137" s="17" t="n"/>
      <c r="E2137" s="17" t="n"/>
      <c r="F2137" s="17" t="n"/>
      <c r="G2137" s="17" t="n"/>
      <c r="H2137" s="18">
        <f>IF(AND(B2137="",C2137="",D2137="",E2137=""),"",IF(B2137="","⚠ Falta fecha",IF(C2137="","⚠ Falta monto",IF(D2137="","⚠ Falta categoría",IF(ISNA(MATCH(D2137,catNom,0)),"⚠ Categoría no existe",IF(E2137="","⚠ Falta cuenta",IF(ISNA(MATCH(E2137,ctaNom,0)),"⚠ Cuenta no existe",IF(AND(OR(I2137="Transferencia",I2137="Pago tarjeta"),G2137=""),"⚠ Indica la cuenta «Hacia»",IF(AND(G2137&lt;&gt;"",G2137=E2137),"⚠ «Hacia» igual a la cuenta",IF(AND(G2137&lt;&gt;"",ISNA(MATCH(G2137,ctaNom,0))),"⚠ «Hacia» no existe",IF(AND(I2137="Pago tarjeta",IFERROR(INDEX(ctaTipo,MATCH(G2137,ctaNom,0)),"")&lt;&gt;"Tarjeta de crédito"),"⚠ «Hacia» debe ser la tarjeta",IF(AND(I2137="Trading",IFERROR(INDEX(ctaTipo,MATCH(E2137,ctaNom,0)),"")&lt;&gt;"Cuenta de trading"),"⚠ Usa la cuenta de trading","✓"))))))))))))</f>
        <v/>
      </c>
      <c r="I2137" s="19">
        <f>IF(OR(B2137="",C2137="",D2137=""),"",IFERROR(INDEX(catTipo,MATCH(D2137,catNom,0))&amp;"",""))</f>
        <v/>
      </c>
      <c r="J2137" s="19">
        <f>IF(I2137="","",IFERROR(INDEX(catGrupo,MATCH(D2137,catNom,0))&amp;"",""))</f>
        <v/>
      </c>
      <c r="K2137" s="19">
        <f>IF(I2137="Gasto",IF(IFERROR(INDEX(catClas,MATCH(D2137,catNom,0))&amp;"","")="","Variable",IFERROR(INDEX(catClas,MATCH(D2137,catNom,0))&amp;"","")),"")</f>
        <v/>
      </c>
      <c r="L2137" s="19">
        <f>IF(I2137="","",IFERROR(INDEX(catAlim,MATCH(D2137,catNom,0))&amp;"",""))</f>
        <v/>
      </c>
      <c r="M2137" s="19">
        <f>IF(I2137="","",IFERROR(INDEX(catComida,MATCH(D2137,catNom,0))&amp;"",""))</f>
        <v/>
      </c>
      <c r="N2137" s="19">
        <f>IF(I2137="","",IFERROR(INDEX(ctaMon,MATCH(E2137,ctaNom,0))&amp;"","DOP"))</f>
        <v/>
      </c>
      <c r="O2137" s="20">
        <f>IF(I2137="","",C2137*IF(N2137="USD",TasaUSD,1))</f>
        <v/>
      </c>
      <c r="P2137" s="20">
        <f>IF(I2137="","",IF(I2137="Gasto",O2137,0))</f>
        <v/>
      </c>
      <c r="Q2137" s="20">
        <f>IF(I2137="","",IF(I2137="Ingreso",O2137,0))</f>
        <v/>
      </c>
      <c r="R2137" s="20">
        <f>IF(I2137="","",IF(I2137="Trading",O2137,0))</f>
        <v/>
      </c>
      <c r="S2137" s="19">
        <f>IF(I2137="","",IF(AND(I2137="Gasto",K2137="Variable",J2137&lt;&gt;"Trading",O2137&gt;0,O2137&lt;=Umbral),1,0))</f>
        <v/>
      </c>
      <c r="T2137" s="20">
        <f>IF(OR(I2137="",E2137=""),"",IF(OR(I2137="Gasto",I2137="Transferencia",I2137="Pago tarjeta"),-1,1)*C2137)</f>
        <v/>
      </c>
      <c r="U2137" s="20">
        <f>IF(OR(G2137="",AND(I2137&lt;&gt;"Transferencia",I2137&lt;&gt;"Pago tarjeta")),"",IF(IFERROR(INDEX(ctaMon,MATCH(G2137,ctaNom,0))&amp;"","DOP")=N2137,C2137,IF(N2137="USD",C2137*TasaUSD,C2137/TasaUSD)))</f>
        <v/>
      </c>
      <c r="V2137" s="20">
        <f>IF(I2137="","",IF(IFERROR(INDEX(ctaLiq,MATCH(E2137,ctaNom,0))="Sí",FALSE),IF(OR(I2137="Gasto",I2137="Transferencia",I2137="Pago tarjeta"),-1,1)*O2137,0)+IF(AND(U2137&lt;&gt;"",IFERROR(INDEX(ctaLiq,MATCH(G2137,ctaNom,0))="Sí",FALSE)),O2137,0))</f>
        <v/>
      </c>
      <c r="W2137" s="19">
        <f>IF(OR(F2137="",I2137=""),"",IF(COUNTIFS(F$6:F2137,F2137,I$6:I2137,"?*")=1,MAX(W$5:W2136)+1,""))</f>
        <v/>
      </c>
    </row>
    <row r="2138">
      <c r="B2138" s="15" t="n"/>
      <c r="C2138" s="16" t="n"/>
      <c r="D2138" s="17" t="n"/>
      <c r="E2138" s="17" t="n"/>
      <c r="F2138" s="17" t="n"/>
      <c r="G2138" s="17" t="n"/>
      <c r="H2138" s="18">
        <f>IF(AND(B2138="",C2138="",D2138="",E2138=""),"",IF(B2138="","⚠ Falta fecha",IF(C2138="","⚠ Falta monto",IF(D2138="","⚠ Falta categoría",IF(ISNA(MATCH(D2138,catNom,0)),"⚠ Categoría no existe",IF(E2138="","⚠ Falta cuenta",IF(ISNA(MATCH(E2138,ctaNom,0)),"⚠ Cuenta no existe",IF(AND(OR(I2138="Transferencia",I2138="Pago tarjeta"),G2138=""),"⚠ Indica la cuenta «Hacia»",IF(AND(G2138&lt;&gt;"",G2138=E2138),"⚠ «Hacia» igual a la cuenta",IF(AND(G2138&lt;&gt;"",ISNA(MATCH(G2138,ctaNom,0))),"⚠ «Hacia» no existe",IF(AND(I2138="Pago tarjeta",IFERROR(INDEX(ctaTipo,MATCH(G2138,ctaNom,0)),"")&lt;&gt;"Tarjeta de crédito"),"⚠ «Hacia» debe ser la tarjeta",IF(AND(I2138="Trading",IFERROR(INDEX(ctaTipo,MATCH(E2138,ctaNom,0)),"")&lt;&gt;"Cuenta de trading"),"⚠ Usa la cuenta de trading","✓"))))))))))))</f>
        <v/>
      </c>
      <c r="I2138" s="19">
        <f>IF(OR(B2138="",C2138="",D2138=""),"",IFERROR(INDEX(catTipo,MATCH(D2138,catNom,0))&amp;"",""))</f>
        <v/>
      </c>
      <c r="J2138" s="19">
        <f>IF(I2138="","",IFERROR(INDEX(catGrupo,MATCH(D2138,catNom,0))&amp;"",""))</f>
        <v/>
      </c>
      <c r="K2138" s="19">
        <f>IF(I2138="Gasto",IF(IFERROR(INDEX(catClas,MATCH(D2138,catNom,0))&amp;"","")="","Variable",IFERROR(INDEX(catClas,MATCH(D2138,catNom,0))&amp;"","")),"")</f>
        <v/>
      </c>
      <c r="L2138" s="19">
        <f>IF(I2138="","",IFERROR(INDEX(catAlim,MATCH(D2138,catNom,0))&amp;"",""))</f>
        <v/>
      </c>
      <c r="M2138" s="19">
        <f>IF(I2138="","",IFERROR(INDEX(catComida,MATCH(D2138,catNom,0))&amp;"",""))</f>
        <v/>
      </c>
      <c r="N2138" s="19">
        <f>IF(I2138="","",IFERROR(INDEX(ctaMon,MATCH(E2138,ctaNom,0))&amp;"","DOP"))</f>
        <v/>
      </c>
      <c r="O2138" s="20">
        <f>IF(I2138="","",C2138*IF(N2138="USD",TasaUSD,1))</f>
        <v/>
      </c>
      <c r="P2138" s="20">
        <f>IF(I2138="","",IF(I2138="Gasto",O2138,0))</f>
        <v/>
      </c>
      <c r="Q2138" s="20">
        <f>IF(I2138="","",IF(I2138="Ingreso",O2138,0))</f>
        <v/>
      </c>
      <c r="R2138" s="20">
        <f>IF(I2138="","",IF(I2138="Trading",O2138,0))</f>
        <v/>
      </c>
      <c r="S2138" s="19">
        <f>IF(I2138="","",IF(AND(I2138="Gasto",K2138="Variable",J2138&lt;&gt;"Trading",O2138&gt;0,O2138&lt;=Umbral),1,0))</f>
        <v/>
      </c>
      <c r="T2138" s="20">
        <f>IF(OR(I2138="",E2138=""),"",IF(OR(I2138="Gasto",I2138="Transferencia",I2138="Pago tarjeta"),-1,1)*C2138)</f>
        <v/>
      </c>
      <c r="U2138" s="20">
        <f>IF(OR(G2138="",AND(I2138&lt;&gt;"Transferencia",I2138&lt;&gt;"Pago tarjeta")),"",IF(IFERROR(INDEX(ctaMon,MATCH(G2138,ctaNom,0))&amp;"","DOP")=N2138,C2138,IF(N2138="USD",C2138*TasaUSD,C2138/TasaUSD)))</f>
        <v/>
      </c>
      <c r="V2138" s="20">
        <f>IF(I2138="","",IF(IFERROR(INDEX(ctaLiq,MATCH(E2138,ctaNom,0))="Sí",FALSE),IF(OR(I2138="Gasto",I2138="Transferencia",I2138="Pago tarjeta"),-1,1)*O2138,0)+IF(AND(U2138&lt;&gt;"",IFERROR(INDEX(ctaLiq,MATCH(G2138,ctaNom,0))="Sí",FALSE)),O2138,0))</f>
        <v/>
      </c>
      <c r="W2138" s="19">
        <f>IF(OR(F2138="",I2138=""),"",IF(COUNTIFS(F$6:F2138,F2138,I$6:I2138,"?*")=1,MAX(W$5:W2137)+1,""))</f>
        <v/>
      </c>
    </row>
    <row r="2139">
      <c r="B2139" s="15" t="n"/>
      <c r="C2139" s="16" t="n"/>
      <c r="D2139" s="17" t="n"/>
      <c r="E2139" s="17" t="n"/>
      <c r="F2139" s="17" t="n"/>
      <c r="G2139" s="17" t="n"/>
      <c r="H2139" s="18">
        <f>IF(AND(B2139="",C2139="",D2139="",E2139=""),"",IF(B2139="","⚠ Falta fecha",IF(C2139="","⚠ Falta monto",IF(D2139="","⚠ Falta categoría",IF(ISNA(MATCH(D2139,catNom,0)),"⚠ Categoría no existe",IF(E2139="","⚠ Falta cuenta",IF(ISNA(MATCH(E2139,ctaNom,0)),"⚠ Cuenta no existe",IF(AND(OR(I2139="Transferencia",I2139="Pago tarjeta"),G2139=""),"⚠ Indica la cuenta «Hacia»",IF(AND(G2139&lt;&gt;"",G2139=E2139),"⚠ «Hacia» igual a la cuenta",IF(AND(G2139&lt;&gt;"",ISNA(MATCH(G2139,ctaNom,0))),"⚠ «Hacia» no existe",IF(AND(I2139="Pago tarjeta",IFERROR(INDEX(ctaTipo,MATCH(G2139,ctaNom,0)),"")&lt;&gt;"Tarjeta de crédito"),"⚠ «Hacia» debe ser la tarjeta",IF(AND(I2139="Trading",IFERROR(INDEX(ctaTipo,MATCH(E2139,ctaNom,0)),"")&lt;&gt;"Cuenta de trading"),"⚠ Usa la cuenta de trading","✓"))))))))))))</f>
        <v/>
      </c>
      <c r="I2139" s="19">
        <f>IF(OR(B2139="",C2139="",D2139=""),"",IFERROR(INDEX(catTipo,MATCH(D2139,catNom,0))&amp;"",""))</f>
        <v/>
      </c>
      <c r="J2139" s="19">
        <f>IF(I2139="","",IFERROR(INDEX(catGrupo,MATCH(D2139,catNom,0))&amp;"",""))</f>
        <v/>
      </c>
      <c r="K2139" s="19">
        <f>IF(I2139="Gasto",IF(IFERROR(INDEX(catClas,MATCH(D2139,catNom,0))&amp;"","")="","Variable",IFERROR(INDEX(catClas,MATCH(D2139,catNom,0))&amp;"","")),"")</f>
        <v/>
      </c>
      <c r="L2139" s="19">
        <f>IF(I2139="","",IFERROR(INDEX(catAlim,MATCH(D2139,catNom,0))&amp;"",""))</f>
        <v/>
      </c>
      <c r="M2139" s="19">
        <f>IF(I2139="","",IFERROR(INDEX(catComida,MATCH(D2139,catNom,0))&amp;"",""))</f>
        <v/>
      </c>
      <c r="N2139" s="19">
        <f>IF(I2139="","",IFERROR(INDEX(ctaMon,MATCH(E2139,ctaNom,0))&amp;"","DOP"))</f>
        <v/>
      </c>
      <c r="O2139" s="20">
        <f>IF(I2139="","",C2139*IF(N2139="USD",TasaUSD,1))</f>
        <v/>
      </c>
      <c r="P2139" s="20">
        <f>IF(I2139="","",IF(I2139="Gasto",O2139,0))</f>
        <v/>
      </c>
      <c r="Q2139" s="20">
        <f>IF(I2139="","",IF(I2139="Ingreso",O2139,0))</f>
        <v/>
      </c>
      <c r="R2139" s="20">
        <f>IF(I2139="","",IF(I2139="Trading",O2139,0))</f>
        <v/>
      </c>
      <c r="S2139" s="19">
        <f>IF(I2139="","",IF(AND(I2139="Gasto",K2139="Variable",J2139&lt;&gt;"Trading",O2139&gt;0,O2139&lt;=Umbral),1,0))</f>
        <v/>
      </c>
      <c r="T2139" s="20">
        <f>IF(OR(I2139="",E2139=""),"",IF(OR(I2139="Gasto",I2139="Transferencia",I2139="Pago tarjeta"),-1,1)*C2139)</f>
        <v/>
      </c>
      <c r="U2139" s="20">
        <f>IF(OR(G2139="",AND(I2139&lt;&gt;"Transferencia",I2139&lt;&gt;"Pago tarjeta")),"",IF(IFERROR(INDEX(ctaMon,MATCH(G2139,ctaNom,0))&amp;"","DOP")=N2139,C2139,IF(N2139="USD",C2139*TasaUSD,C2139/TasaUSD)))</f>
        <v/>
      </c>
      <c r="V2139" s="20">
        <f>IF(I2139="","",IF(IFERROR(INDEX(ctaLiq,MATCH(E2139,ctaNom,0))="Sí",FALSE),IF(OR(I2139="Gasto",I2139="Transferencia",I2139="Pago tarjeta"),-1,1)*O2139,0)+IF(AND(U2139&lt;&gt;"",IFERROR(INDEX(ctaLiq,MATCH(G2139,ctaNom,0))="Sí",FALSE)),O2139,0))</f>
        <v/>
      </c>
      <c r="W2139" s="19">
        <f>IF(OR(F2139="",I2139=""),"",IF(COUNTIFS(F$6:F2139,F2139,I$6:I2139,"?*")=1,MAX(W$5:W2138)+1,""))</f>
        <v/>
      </c>
    </row>
    <row r="2140">
      <c r="B2140" s="15" t="n"/>
      <c r="C2140" s="16" t="n"/>
      <c r="D2140" s="17" t="n"/>
      <c r="E2140" s="17" t="n"/>
      <c r="F2140" s="17" t="n"/>
      <c r="G2140" s="17" t="n"/>
      <c r="H2140" s="18">
        <f>IF(AND(B2140="",C2140="",D2140="",E2140=""),"",IF(B2140="","⚠ Falta fecha",IF(C2140="","⚠ Falta monto",IF(D2140="","⚠ Falta categoría",IF(ISNA(MATCH(D2140,catNom,0)),"⚠ Categoría no existe",IF(E2140="","⚠ Falta cuenta",IF(ISNA(MATCH(E2140,ctaNom,0)),"⚠ Cuenta no existe",IF(AND(OR(I2140="Transferencia",I2140="Pago tarjeta"),G2140=""),"⚠ Indica la cuenta «Hacia»",IF(AND(G2140&lt;&gt;"",G2140=E2140),"⚠ «Hacia» igual a la cuenta",IF(AND(G2140&lt;&gt;"",ISNA(MATCH(G2140,ctaNom,0))),"⚠ «Hacia» no existe",IF(AND(I2140="Pago tarjeta",IFERROR(INDEX(ctaTipo,MATCH(G2140,ctaNom,0)),"")&lt;&gt;"Tarjeta de crédito"),"⚠ «Hacia» debe ser la tarjeta",IF(AND(I2140="Trading",IFERROR(INDEX(ctaTipo,MATCH(E2140,ctaNom,0)),"")&lt;&gt;"Cuenta de trading"),"⚠ Usa la cuenta de trading","✓"))))))))))))</f>
        <v/>
      </c>
      <c r="I2140" s="19">
        <f>IF(OR(B2140="",C2140="",D2140=""),"",IFERROR(INDEX(catTipo,MATCH(D2140,catNom,0))&amp;"",""))</f>
        <v/>
      </c>
      <c r="J2140" s="19">
        <f>IF(I2140="","",IFERROR(INDEX(catGrupo,MATCH(D2140,catNom,0))&amp;"",""))</f>
        <v/>
      </c>
      <c r="K2140" s="19">
        <f>IF(I2140="Gasto",IF(IFERROR(INDEX(catClas,MATCH(D2140,catNom,0))&amp;"","")="","Variable",IFERROR(INDEX(catClas,MATCH(D2140,catNom,0))&amp;"","")),"")</f>
        <v/>
      </c>
      <c r="L2140" s="19">
        <f>IF(I2140="","",IFERROR(INDEX(catAlim,MATCH(D2140,catNom,0))&amp;"",""))</f>
        <v/>
      </c>
      <c r="M2140" s="19">
        <f>IF(I2140="","",IFERROR(INDEX(catComida,MATCH(D2140,catNom,0))&amp;"",""))</f>
        <v/>
      </c>
      <c r="N2140" s="19">
        <f>IF(I2140="","",IFERROR(INDEX(ctaMon,MATCH(E2140,ctaNom,0))&amp;"","DOP"))</f>
        <v/>
      </c>
      <c r="O2140" s="20">
        <f>IF(I2140="","",C2140*IF(N2140="USD",TasaUSD,1))</f>
        <v/>
      </c>
      <c r="P2140" s="20">
        <f>IF(I2140="","",IF(I2140="Gasto",O2140,0))</f>
        <v/>
      </c>
      <c r="Q2140" s="20">
        <f>IF(I2140="","",IF(I2140="Ingreso",O2140,0))</f>
        <v/>
      </c>
      <c r="R2140" s="20">
        <f>IF(I2140="","",IF(I2140="Trading",O2140,0))</f>
        <v/>
      </c>
      <c r="S2140" s="19">
        <f>IF(I2140="","",IF(AND(I2140="Gasto",K2140="Variable",J2140&lt;&gt;"Trading",O2140&gt;0,O2140&lt;=Umbral),1,0))</f>
        <v/>
      </c>
      <c r="T2140" s="20">
        <f>IF(OR(I2140="",E2140=""),"",IF(OR(I2140="Gasto",I2140="Transferencia",I2140="Pago tarjeta"),-1,1)*C2140)</f>
        <v/>
      </c>
      <c r="U2140" s="20">
        <f>IF(OR(G2140="",AND(I2140&lt;&gt;"Transferencia",I2140&lt;&gt;"Pago tarjeta")),"",IF(IFERROR(INDEX(ctaMon,MATCH(G2140,ctaNom,0))&amp;"","DOP")=N2140,C2140,IF(N2140="USD",C2140*TasaUSD,C2140/TasaUSD)))</f>
        <v/>
      </c>
      <c r="V2140" s="20">
        <f>IF(I2140="","",IF(IFERROR(INDEX(ctaLiq,MATCH(E2140,ctaNom,0))="Sí",FALSE),IF(OR(I2140="Gasto",I2140="Transferencia",I2140="Pago tarjeta"),-1,1)*O2140,0)+IF(AND(U2140&lt;&gt;"",IFERROR(INDEX(ctaLiq,MATCH(G2140,ctaNom,0))="Sí",FALSE)),O2140,0))</f>
        <v/>
      </c>
      <c r="W2140" s="19">
        <f>IF(OR(F2140="",I2140=""),"",IF(COUNTIFS(F$6:F2140,F2140,I$6:I2140,"?*")=1,MAX(W$5:W2139)+1,""))</f>
        <v/>
      </c>
    </row>
    <row r="2141">
      <c r="B2141" s="15" t="n"/>
      <c r="C2141" s="16" t="n"/>
      <c r="D2141" s="17" t="n"/>
      <c r="E2141" s="17" t="n"/>
      <c r="F2141" s="17" t="n"/>
      <c r="G2141" s="17" t="n"/>
      <c r="H2141" s="18">
        <f>IF(AND(B2141="",C2141="",D2141="",E2141=""),"",IF(B2141="","⚠ Falta fecha",IF(C2141="","⚠ Falta monto",IF(D2141="","⚠ Falta categoría",IF(ISNA(MATCH(D2141,catNom,0)),"⚠ Categoría no existe",IF(E2141="","⚠ Falta cuenta",IF(ISNA(MATCH(E2141,ctaNom,0)),"⚠ Cuenta no existe",IF(AND(OR(I2141="Transferencia",I2141="Pago tarjeta"),G2141=""),"⚠ Indica la cuenta «Hacia»",IF(AND(G2141&lt;&gt;"",G2141=E2141),"⚠ «Hacia» igual a la cuenta",IF(AND(G2141&lt;&gt;"",ISNA(MATCH(G2141,ctaNom,0))),"⚠ «Hacia» no existe",IF(AND(I2141="Pago tarjeta",IFERROR(INDEX(ctaTipo,MATCH(G2141,ctaNom,0)),"")&lt;&gt;"Tarjeta de crédito"),"⚠ «Hacia» debe ser la tarjeta",IF(AND(I2141="Trading",IFERROR(INDEX(ctaTipo,MATCH(E2141,ctaNom,0)),"")&lt;&gt;"Cuenta de trading"),"⚠ Usa la cuenta de trading","✓"))))))))))))</f>
        <v/>
      </c>
      <c r="I2141" s="19">
        <f>IF(OR(B2141="",C2141="",D2141=""),"",IFERROR(INDEX(catTipo,MATCH(D2141,catNom,0))&amp;"",""))</f>
        <v/>
      </c>
      <c r="J2141" s="19">
        <f>IF(I2141="","",IFERROR(INDEX(catGrupo,MATCH(D2141,catNom,0))&amp;"",""))</f>
        <v/>
      </c>
      <c r="K2141" s="19">
        <f>IF(I2141="Gasto",IF(IFERROR(INDEX(catClas,MATCH(D2141,catNom,0))&amp;"","")="","Variable",IFERROR(INDEX(catClas,MATCH(D2141,catNom,0))&amp;"","")),"")</f>
        <v/>
      </c>
      <c r="L2141" s="19">
        <f>IF(I2141="","",IFERROR(INDEX(catAlim,MATCH(D2141,catNom,0))&amp;"",""))</f>
        <v/>
      </c>
      <c r="M2141" s="19">
        <f>IF(I2141="","",IFERROR(INDEX(catComida,MATCH(D2141,catNom,0))&amp;"",""))</f>
        <v/>
      </c>
      <c r="N2141" s="19">
        <f>IF(I2141="","",IFERROR(INDEX(ctaMon,MATCH(E2141,ctaNom,0))&amp;"","DOP"))</f>
        <v/>
      </c>
      <c r="O2141" s="20">
        <f>IF(I2141="","",C2141*IF(N2141="USD",TasaUSD,1))</f>
        <v/>
      </c>
      <c r="P2141" s="20">
        <f>IF(I2141="","",IF(I2141="Gasto",O2141,0))</f>
        <v/>
      </c>
      <c r="Q2141" s="20">
        <f>IF(I2141="","",IF(I2141="Ingreso",O2141,0))</f>
        <v/>
      </c>
      <c r="R2141" s="20">
        <f>IF(I2141="","",IF(I2141="Trading",O2141,0))</f>
        <v/>
      </c>
      <c r="S2141" s="19">
        <f>IF(I2141="","",IF(AND(I2141="Gasto",K2141="Variable",J2141&lt;&gt;"Trading",O2141&gt;0,O2141&lt;=Umbral),1,0))</f>
        <v/>
      </c>
      <c r="T2141" s="20">
        <f>IF(OR(I2141="",E2141=""),"",IF(OR(I2141="Gasto",I2141="Transferencia",I2141="Pago tarjeta"),-1,1)*C2141)</f>
        <v/>
      </c>
      <c r="U2141" s="20">
        <f>IF(OR(G2141="",AND(I2141&lt;&gt;"Transferencia",I2141&lt;&gt;"Pago tarjeta")),"",IF(IFERROR(INDEX(ctaMon,MATCH(G2141,ctaNom,0))&amp;"","DOP")=N2141,C2141,IF(N2141="USD",C2141*TasaUSD,C2141/TasaUSD)))</f>
        <v/>
      </c>
      <c r="V2141" s="20">
        <f>IF(I2141="","",IF(IFERROR(INDEX(ctaLiq,MATCH(E2141,ctaNom,0))="Sí",FALSE),IF(OR(I2141="Gasto",I2141="Transferencia",I2141="Pago tarjeta"),-1,1)*O2141,0)+IF(AND(U2141&lt;&gt;"",IFERROR(INDEX(ctaLiq,MATCH(G2141,ctaNom,0))="Sí",FALSE)),O2141,0))</f>
        <v/>
      </c>
      <c r="W2141" s="19">
        <f>IF(OR(F2141="",I2141=""),"",IF(COUNTIFS(F$6:F2141,F2141,I$6:I2141,"?*")=1,MAX(W$5:W2140)+1,""))</f>
        <v/>
      </c>
    </row>
    <row r="2142">
      <c r="B2142" s="15" t="n"/>
      <c r="C2142" s="16" t="n"/>
      <c r="D2142" s="17" t="n"/>
      <c r="E2142" s="17" t="n"/>
      <c r="F2142" s="17" t="n"/>
      <c r="G2142" s="17" t="n"/>
      <c r="H2142" s="18">
        <f>IF(AND(B2142="",C2142="",D2142="",E2142=""),"",IF(B2142="","⚠ Falta fecha",IF(C2142="","⚠ Falta monto",IF(D2142="","⚠ Falta categoría",IF(ISNA(MATCH(D2142,catNom,0)),"⚠ Categoría no existe",IF(E2142="","⚠ Falta cuenta",IF(ISNA(MATCH(E2142,ctaNom,0)),"⚠ Cuenta no existe",IF(AND(OR(I2142="Transferencia",I2142="Pago tarjeta"),G2142=""),"⚠ Indica la cuenta «Hacia»",IF(AND(G2142&lt;&gt;"",G2142=E2142),"⚠ «Hacia» igual a la cuenta",IF(AND(G2142&lt;&gt;"",ISNA(MATCH(G2142,ctaNom,0))),"⚠ «Hacia» no existe",IF(AND(I2142="Pago tarjeta",IFERROR(INDEX(ctaTipo,MATCH(G2142,ctaNom,0)),"")&lt;&gt;"Tarjeta de crédito"),"⚠ «Hacia» debe ser la tarjeta",IF(AND(I2142="Trading",IFERROR(INDEX(ctaTipo,MATCH(E2142,ctaNom,0)),"")&lt;&gt;"Cuenta de trading"),"⚠ Usa la cuenta de trading","✓"))))))))))))</f>
        <v/>
      </c>
      <c r="I2142" s="19">
        <f>IF(OR(B2142="",C2142="",D2142=""),"",IFERROR(INDEX(catTipo,MATCH(D2142,catNom,0))&amp;"",""))</f>
        <v/>
      </c>
      <c r="J2142" s="19">
        <f>IF(I2142="","",IFERROR(INDEX(catGrupo,MATCH(D2142,catNom,0))&amp;"",""))</f>
        <v/>
      </c>
      <c r="K2142" s="19">
        <f>IF(I2142="Gasto",IF(IFERROR(INDEX(catClas,MATCH(D2142,catNom,0))&amp;"","")="","Variable",IFERROR(INDEX(catClas,MATCH(D2142,catNom,0))&amp;"","")),"")</f>
        <v/>
      </c>
      <c r="L2142" s="19">
        <f>IF(I2142="","",IFERROR(INDEX(catAlim,MATCH(D2142,catNom,0))&amp;"",""))</f>
        <v/>
      </c>
      <c r="M2142" s="19">
        <f>IF(I2142="","",IFERROR(INDEX(catComida,MATCH(D2142,catNom,0))&amp;"",""))</f>
        <v/>
      </c>
      <c r="N2142" s="19">
        <f>IF(I2142="","",IFERROR(INDEX(ctaMon,MATCH(E2142,ctaNom,0))&amp;"","DOP"))</f>
        <v/>
      </c>
      <c r="O2142" s="20">
        <f>IF(I2142="","",C2142*IF(N2142="USD",TasaUSD,1))</f>
        <v/>
      </c>
      <c r="P2142" s="20">
        <f>IF(I2142="","",IF(I2142="Gasto",O2142,0))</f>
        <v/>
      </c>
      <c r="Q2142" s="20">
        <f>IF(I2142="","",IF(I2142="Ingreso",O2142,0))</f>
        <v/>
      </c>
      <c r="R2142" s="20">
        <f>IF(I2142="","",IF(I2142="Trading",O2142,0))</f>
        <v/>
      </c>
      <c r="S2142" s="19">
        <f>IF(I2142="","",IF(AND(I2142="Gasto",K2142="Variable",J2142&lt;&gt;"Trading",O2142&gt;0,O2142&lt;=Umbral),1,0))</f>
        <v/>
      </c>
      <c r="T2142" s="20">
        <f>IF(OR(I2142="",E2142=""),"",IF(OR(I2142="Gasto",I2142="Transferencia",I2142="Pago tarjeta"),-1,1)*C2142)</f>
        <v/>
      </c>
      <c r="U2142" s="20">
        <f>IF(OR(G2142="",AND(I2142&lt;&gt;"Transferencia",I2142&lt;&gt;"Pago tarjeta")),"",IF(IFERROR(INDEX(ctaMon,MATCH(G2142,ctaNom,0))&amp;"","DOP")=N2142,C2142,IF(N2142="USD",C2142*TasaUSD,C2142/TasaUSD)))</f>
        <v/>
      </c>
      <c r="V2142" s="20">
        <f>IF(I2142="","",IF(IFERROR(INDEX(ctaLiq,MATCH(E2142,ctaNom,0))="Sí",FALSE),IF(OR(I2142="Gasto",I2142="Transferencia",I2142="Pago tarjeta"),-1,1)*O2142,0)+IF(AND(U2142&lt;&gt;"",IFERROR(INDEX(ctaLiq,MATCH(G2142,ctaNom,0))="Sí",FALSE)),O2142,0))</f>
        <v/>
      </c>
      <c r="W2142" s="19">
        <f>IF(OR(F2142="",I2142=""),"",IF(COUNTIFS(F$6:F2142,F2142,I$6:I2142,"?*")=1,MAX(W$5:W2141)+1,""))</f>
        <v/>
      </c>
    </row>
    <row r="2143">
      <c r="B2143" s="15" t="n"/>
      <c r="C2143" s="16" t="n"/>
      <c r="D2143" s="17" t="n"/>
      <c r="E2143" s="17" t="n"/>
      <c r="F2143" s="17" t="n"/>
      <c r="G2143" s="17" t="n"/>
      <c r="H2143" s="18">
        <f>IF(AND(B2143="",C2143="",D2143="",E2143=""),"",IF(B2143="","⚠ Falta fecha",IF(C2143="","⚠ Falta monto",IF(D2143="","⚠ Falta categoría",IF(ISNA(MATCH(D2143,catNom,0)),"⚠ Categoría no existe",IF(E2143="","⚠ Falta cuenta",IF(ISNA(MATCH(E2143,ctaNom,0)),"⚠ Cuenta no existe",IF(AND(OR(I2143="Transferencia",I2143="Pago tarjeta"),G2143=""),"⚠ Indica la cuenta «Hacia»",IF(AND(G2143&lt;&gt;"",G2143=E2143),"⚠ «Hacia» igual a la cuenta",IF(AND(G2143&lt;&gt;"",ISNA(MATCH(G2143,ctaNom,0))),"⚠ «Hacia» no existe",IF(AND(I2143="Pago tarjeta",IFERROR(INDEX(ctaTipo,MATCH(G2143,ctaNom,0)),"")&lt;&gt;"Tarjeta de crédito"),"⚠ «Hacia» debe ser la tarjeta",IF(AND(I2143="Trading",IFERROR(INDEX(ctaTipo,MATCH(E2143,ctaNom,0)),"")&lt;&gt;"Cuenta de trading"),"⚠ Usa la cuenta de trading","✓"))))))))))))</f>
        <v/>
      </c>
      <c r="I2143" s="19">
        <f>IF(OR(B2143="",C2143="",D2143=""),"",IFERROR(INDEX(catTipo,MATCH(D2143,catNom,0))&amp;"",""))</f>
        <v/>
      </c>
      <c r="J2143" s="19">
        <f>IF(I2143="","",IFERROR(INDEX(catGrupo,MATCH(D2143,catNom,0))&amp;"",""))</f>
        <v/>
      </c>
      <c r="K2143" s="19">
        <f>IF(I2143="Gasto",IF(IFERROR(INDEX(catClas,MATCH(D2143,catNom,0))&amp;"","")="","Variable",IFERROR(INDEX(catClas,MATCH(D2143,catNom,0))&amp;"","")),"")</f>
        <v/>
      </c>
      <c r="L2143" s="19">
        <f>IF(I2143="","",IFERROR(INDEX(catAlim,MATCH(D2143,catNom,0))&amp;"",""))</f>
        <v/>
      </c>
      <c r="M2143" s="19">
        <f>IF(I2143="","",IFERROR(INDEX(catComida,MATCH(D2143,catNom,0))&amp;"",""))</f>
        <v/>
      </c>
      <c r="N2143" s="19">
        <f>IF(I2143="","",IFERROR(INDEX(ctaMon,MATCH(E2143,ctaNom,0))&amp;"","DOP"))</f>
        <v/>
      </c>
      <c r="O2143" s="20">
        <f>IF(I2143="","",C2143*IF(N2143="USD",TasaUSD,1))</f>
        <v/>
      </c>
      <c r="P2143" s="20">
        <f>IF(I2143="","",IF(I2143="Gasto",O2143,0))</f>
        <v/>
      </c>
      <c r="Q2143" s="20">
        <f>IF(I2143="","",IF(I2143="Ingreso",O2143,0))</f>
        <v/>
      </c>
      <c r="R2143" s="20">
        <f>IF(I2143="","",IF(I2143="Trading",O2143,0))</f>
        <v/>
      </c>
      <c r="S2143" s="19">
        <f>IF(I2143="","",IF(AND(I2143="Gasto",K2143="Variable",J2143&lt;&gt;"Trading",O2143&gt;0,O2143&lt;=Umbral),1,0))</f>
        <v/>
      </c>
      <c r="T2143" s="20">
        <f>IF(OR(I2143="",E2143=""),"",IF(OR(I2143="Gasto",I2143="Transferencia",I2143="Pago tarjeta"),-1,1)*C2143)</f>
        <v/>
      </c>
      <c r="U2143" s="20">
        <f>IF(OR(G2143="",AND(I2143&lt;&gt;"Transferencia",I2143&lt;&gt;"Pago tarjeta")),"",IF(IFERROR(INDEX(ctaMon,MATCH(G2143,ctaNom,0))&amp;"","DOP")=N2143,C2143,IF(N2143="USD",C2143*TasaUSD,C2143/TasaUSD)))</f>
        <v/>
      </c>
      <c r="V2143" s="20">
        <f>IF(I2143="","",IF(IFERROR(INDEX(ctaLiq,MATCH(E2143,ctaNom,0))="Sí",FALSE),IF(OR(I2143="Gasto",I2143="Transferencia",I2143="Pago tarjeta"),-1,1)*O2143,0)+IF(AND(U2143&lt;&gt;"",IFERROR(INDEX(ctaLiq,MATCH(G2143,ctaNom,0))="Sí",FALSE)),O2143,0))</f>
        <v/>
      </c>
      <c r="W2143" s="19">
        <f>IF(OR(F2143="",I2143=""),"",IF(COUNTIFS(F$6:F2143,F2143,I$6:I2143,"?*")=1,MAX(W$5:W2142)+1,""))</f>
        <v/>
      </c>
    </row>
    <row r="2144">
      <c r="B2144" s="15" t="n"/>
      <c r="C2144" s="16" t="n"/>
      <c r="D2144" s="17" t="n"/>
      <c r="E2144" s="17" t="n"/>
      <c r="F2144" s="17" t="n"/>
      <c r="G2144" s="17" t="n"/>
      <c r="H2144" s="18">
        <f>IF(AND(B2144="",C2144="",D2144="",E2144=""),"",IF(B2144="","⚠ Falta fecha",IF(C2144="","⚠ Falta monto",IF(D2144="","⚠ Falta categoría",IF(ISNA(MATCH(D2144,catNom,0)),"⚠ Categoría no existe",IF(E2144="","⚠ Falta cuenta",IF(ISNA(MATCH(E2144,ctaNom,0)),"⚠ Cuenta no existe",IF(AND(OR(I2144="Transferencia",I2144="Pago tarjeta"),G2144=""),"⚠ Indica la cuenta «Hacia»",IF(AND(G2144&lt;&gt;"",G2144=E2144),"⚠ «Hacia» igual a la cuenta",IF(AND(G2144&lt;&gt;"",ISNA(MATCH(G2144,ctaNom,0))),"⚠ «Hacia» no existe",IF(AND(I2144="Pago tarjeta",IFERROR(INDEX(ctaTipo,MATCH(G2144,ctaNom,0)),"")&lt;&gt;"Tarjeta de crédito"),"⚠ «Hacia» debe ser la tarjeta",IF(AND(I2144="Trading",IFERROR(INDEX(ctaTipo,MATCH(E2144,ctaNom,0)),"")&lt;&gt;"Cuenta de trading"),"⚠ Usa la cuenta de trading","✓"))))))))))))</f>
        <v/>
      </c>
      <c r="I2144" s="19">
        <f>IF(OR(B2144="",C2144="",D2144=""),"",IFERROR(INDEX(catTipo,MATCH(D2144,catNom,0))&amp;"",""))</f>
        <v/>
      </c>
      <c r="J2144" s="19">
        <f>IF(I2144="","",IFERROR(INDEX(catGrupo,MATCH(D2144,catNom,0))&amp;"",""))</f>
        <v/>
      </c>
      <c r="K2144" s="19">
        <f>IF(I2144="Gasto",IF(IFERROR(INDEX(catClas,MATCH(D2144,catNom,0))&amp;"","")="","Variable",IFERROR(INDEX(catClas,MATCH(D2144,catNom,0))&amp;"","")),"")</f>
        <v/>
      </c>
      <c r="L2144" s="19">
        <f>IF(I2144="","",IFERROR(INDEX(catAlim,MATCH(D2144,catNom,0))&amp;"",""))</f>
        <v/>
      </c>
      <c r="M2144" s="19">
        <f>IF(I2144="","",IFERROR(INDEX(catComida,MATCH(D2144,catNom,0))&amp;"",""))</f>
        <v/>
      </c>
      <c r="N2144" s="19">
        <f>IF(I2144="","",IFERROR(INDEX(ctaMon,MATCH(E2144,ctaNom,0))&amp;"","DOP"))</f>
        <v/>
      </c>
      <c r="O2144" s="20">
        <f>IF(I2144="","",C2144*IF(N2144="USD",TasaUSD,1))</f>
        <v/>
      </c>
      <c r="P2144" s="20">
        <f>IF(I2144="","",IF(I2144="Gasto",O2144,0))</f>
        <v/>
      </c>
      <c r="Q2144" s="20">
        <f>IF(I2144="","",IF(I2144="Ingreso",O2144,0))</f>
        <v/>
      </c>
      <c r="R2144" s="20">
        <f>IF(I2144="","",IF(I2144="Trading",O2144,0))</f>
        <v/>
      </c>
      <c r="S2144" s="19">
        <f>IF(I2144="","",IF(AND(I2144="Gasto",K2144="Variable",J2144&lt;&gt;"Trading",O2144&gt;0,O2144&lt;=Umbral),1,0))</f>
        <v/>
      </c>
      <c r="T2144" s="20">
        <f>IF(OR(I2144="",E2144=""),"",IF(OR(I2144="Gasto",I2144="Transferencia",I2144="Pago tarjeta"),-1,1)*C2144)</f>
        <v/>
      </c>
      <c r="U2144" s="20">
        <f>IF(OR(G2144="",AND(I2144&lt;&gt;"Transferencia",I2144&lt;&gt;"Pago tarjeta")),"",IF(IFERROR(INDEX(ctaMon,MATCH(G2144,ctaNom,0))&amp;"","DOP")=N2144,C2144,IF(N2144="USD",C2144*TasaUSD,C2144/TasaUSD)))</f>
        <v/>
      </c>
      <c r="V2144" s="20">
        <f>IF(I2144="","",IF(IFERROR(INDEX(ctaLiq,MATCH(E2144,ctaNom,0))="Sí",FALSE),IF(OR(I2144="Gasto",I2144="Transferencia",I2144="Pago tarjeta"),-1,1)*O2144,0)+IF(AND(U2144&lt;&gt;"",IFERROR(INDEX(ctaLiq,MATCH(G2144,ctaNom,0))="Sí",FALSE)),O2144,0))</f>
        <v/>
      </c>
      <c r="W2144" s="19">
        <f>IF(OR(F2144="",I2144=""),"",IF(COUNTIFS(F$6:F2144,F2144,I$6:I2144,"?*")=1,MAX(W$5:W2143)+1,""))</f>
        <v/>
      </c>
    </row>
    <row r="2145">
      <c r="B2145" s="15" t="n"/>
      <c r="C2145" s="16" t="n"/>
      <c r="D2145" s="17" t="n"/>
      <c r="E2145" s="17" t="n"/>
      <c r="F2145" s="17" t="n"/>
      <c r="G2145" s="17" t="n"/>
      <c r="H2145" s="18">
        <f>IF(AND(B2145="",C2145="",D2145="",E2145=""),"",IF(B2145="","⚠ Falta fecha",IF(C2145="","⚠ Falta monto",IF(D2145="","⚠ Falta categoría",IF(ISNA(MATCH(D2145,catNom,0)),"⚠ Categoría no existe",IF(E2145="","⚠ Falta cuenta",IF(ISNA(MATCH(E2145,ctaNom,0)),"⚠ Cuenta no existe",IF(AND(OR(I2145="Transferencia",I2145="Pago tarjeta"),G2145=""),"⚠ Indica la cuenta «Hacia»",IF(AND(G2145&lt;&gt;"",G2145=E2145),"⚠ «Hacia» igual a la cuenta",IF(AND(G2145&lt;&gt;"",ISNA(MATCH(G2145,ctaNom,0))),"⚠ «Hacia» no existe",IF(AND(I2145="Pago tarjeta",IFERROR(INDEX(ctaTipo,MATCH(G2145,ctaNom,0)),"")&lt;&gt;"Tarjeta de crédito"),"⚠ «Hacia» debe ser la tarjeta",IF(AND(I2145="Trading",IFERROR(INDEX(ctaTipo,MATCH(E2145,ctaNom,0)),"")&lt;&gt;"Cuenta de trading"),"⚠ Usa la cuenta de trading","✓"))))))))))))</f>
        <v/>
      </c>
      <c r="I2145" s="19">
        <f>IF(OR(B2145="",C2145="",D2145=""),"",IFERROR(INDEX(catTipo,MATCH(D2145,catNom,0))&amp;"",""))</f>
        <v/>
      </c>
      <c r="J2145" s="19">
        <f>IF(I2145="","",IFERROR(INDEX(catGrupo,MATCH(D2145,catNom,0))&amp;"",""))</f>
        <v/>
      </c>
      <c r="K2145" s="19">
        <f>IF(I2145="Gasto",IF(IFERROR(INDEX(catClas,MATCH(D2145,catNom,0))&amp;"","")="","Variable",IFERROR(INDEX(catClas,MATCH(D2145,catNom,0))&amp;"","")),"")</f>
        <v/>
      </c>
      <c r="L2145" s="19">
        <f>IF(I2145="","",IFERROR(INDEX(catAlim,MATCH(D2145,catNom,0))&amp;"",""))</f>
        <v/>
      </c>
      <c r="M2145" s="19">
        <f>IF(I2145="","",IFERROR(INDEX(catComida,MATCH(D2145,catNom,0))&amp;"",""))</f>
        <v/>
      </c>
      <c r="N2145" s="19">
        <f>IF(I2145="","",IFERROR(INDEX(ctaMon,MATCH(E2145,ctaNom,0))&amp;"","DOP"))</f>
        <v/>
      </c>
      <c r="O2145" s="20">
        <f>IF(I2145="","",C2145*IF(N2145="USD",TasaUSD,1))</f>
        <v/>
      </c>
      <c r="P2145" s="20">
        <f>IF(I2145="","",IF(I2145="Gasto",O2145,0))</f>
        <v/>
      </c>
      <c r="Q2145" s="20">
        <f>IF(I2145="","",IF(I2145="Ingreso",O2145,0))</f>
        <v/>
      </c>
      <c r="R2145" s="20">
        <f>IF(I2145="","",IF(I2145="Trading",O2145,0))</f>
        <v/>
      </c>
      <c r="S2145" s="19">
        <f>IF(I2145="","",IF(AND(I2145="Gasto",K2145="Variable",J2145&lt;&gt;"Trading",O2145&gt;0,O2145&lt;=Umbral),1,0))</f>
        <v/>
      </c>
      <c r="T2145" s="20">
        <f>IF(OR(I2145="",E2145=""),"",IF(OR(I2145="Gasto",I2145="Transferencia",I2145="Pago tarjeta"),-1,1)*C2145)</f>
        <v/>
      </c>
      <c r="U2145" s="20">
        <f>IF(OR(G2145="",AND(I2145&lt;&gt;"Transferencia",I2145&lt;&gt;"Pago tarjeta")),"",IF(IFERROR(INDEX(ctaMon,MATCH(G2145,ctaNom,0))&amp;"","DOP")=N2145,C2145,IF(N2145="USD",C2145*TasaUSD,C2145/TasaUSD)))</f>
        <v/>
      </c>
      <c r="V2145" s="20">
        <f>IF(I2145="","",IF(IFERROR(INDEX(ctaLiq,MATCH(E2145,ctaNom,0))="Sí",FALSE),IF(OR(I2145="Gasto",I2145="Transferencia",I2145="Pago tarjeta"),-1,1)*O2145,0)+IF(AND(U2145&lt;&gt;"",IFERROR(INDEX(ctaLiq,MATCH(G2145,ctaNom,0))="Sí",FALSE)),O2145,0))</f>
        <v/>
      </c>
      <c r="W2145" s="19">
        <f>IF(OR(F2145="",I2145=""),"",IF(COUNTIFS(F$6:F2145,F2145,I$6:I2145,"?*")=1,MAX(W$5:W2144)+1,""))</f>
        <v/>
      </c>
    </row>
    <row r="2146">
      <c r="B2146" s="15" t="n"/>
      <c r="C2146" s="16" t="n"/>
      <c r="D2146" s="17" t="n"/>
      <c r="E2146" s="17" t="n"/>
      <c r="F2146" s="17" t="n"/>
      <c r="G2146" s="17" t="n"/>
      <c r="H2146" s="18">
        <f>IF(AND(B2146="",C2146="",D2146="",E2146=""),"",IF(B2146="","⚠ Falta fecha",IF(C2146="","⚠ Falta monto",IF(D2146="","⚠ Falta categoría",IF(ISNA(MATCH(D2146,catNom,0)),"⚠ Categoría no existe",IF(E2146="","⚠ Falta cuenta",IF(ISNA(MATCH(E2146,ctaNom,0)),"⚠ Cuenta no existe",IF(AND(OR(I2146="Transferencia",I2146="Pago tarjeta"),G2146=""),"⚠ Indica la cuenta «Hacia»",IF(AND(G2146&lt;&gt;"",G2146=E2146),"⚠ «Hacia» igual a la cuenta",IF(AND(G2146&lt;&gt;"",ISNA(MATCH(G2146,ctaNom,0))),"⚠ «Hacia» no existe",IF(AND(I2146="Pago tarjeta",IFERROR(INDEX(ctaTipo,MATCH(G2146,ctaNom,0)),"")&lt;&gt;"Tarjeta de crédito"),"⚠ «Hacia» debe ser la tarjeta",IF(AND(I2146="Trading",IFERROR(INDEX(ctaTipo,MATCH(E2146,ctaNom,0)),"")&lt;&gt;"Cuenta de trading"),"⚠ Usa la cuenta de trading","✓"))))))))))))</f>
        <v/>
      </c>
      <c r="I2146" s="19">
        <f>IF(OR(B2146="",C2146="",D2146=""),"",IFERROR(INDEX(catTipo,MATCH(D2146,catNom,0))&amp;"",""))</f>
        <v/>
      </c>
      <c r="J2146" s="19">
        <f>IF(I2146="","",IFERROR(INDEX(catGrupo,MATCH(D2146,catNom,0))&amp;"",""))</f>
        <v/>
      </c>
      <c r="K2146" s="19">
        <f>IF(I2146="Gasto",IF(IFERROR(INDEX(catClas,MATCH(D2146,catNom,0))&amp;"","")="","Variable",IFERROR(INDEX(catClas,MATCH(D2146,catNom,0))&amp;"","")),"")</f>
        <v/>
      </c>
      <c r="L2146" s="19">
        <f>IF(I2146="","",IFERROR(INDEX(catAlim,MATCH(D2146,catNom,0))&amp;"",""))</f>
        <v/>
      </c>
      <c r="M2146" s="19">
        <f>IF(I2146="","",IFERROR(INDEX(catComida,MATCH(D2146,catNom,0))&amp;"",""))</f>
        <v/>
      </c>
      <c r="N2146" s="19">
        <f>IF(I2146="","",IFERROR(INDEX(ctaMon,MATCH(E2146,ctaNom,0))&amp;"","DOP"))</f>
        <v/>
      </c>
      <c r="O2146" s="20">
        <f>IF(I2146="","",C2146*IF(N2146="USD",TasaUSD,1))</f>
        <v/>
      </c>
      <c r="P2146" s="20">
        <f>IF(I2146="","",IF(I2146="Gasto",O2146,0))</f>
        <v/>
      </c>
      <c r="Q2146" s="20">
        <f>IF(I2146="","",IF(I2146="Ingreso",O2146,0))</f>
        <v/>
      </c>
      <c r="R2146" s="20">
        <f>IF(I2146="","",IF(I2146="Trading",O2146,0))</f>
        <v/>
      </c>
      <c r="S2146" s="19">
        <f>IF(I2146="","",IF(AND(I2146="Gasto",K2146="Variable",J2146&lt;&gt;"Trading",O2146&gt;0,O2146&lt;=Umbral),1,0))</f>
        <v/>
      </c>
      <c r="T2146" s="20">
        <f>IF(OR(I2146="",E2146=""),"",IF(OR(I2146="Gasto",I2146="Transferencia",I2146="Pago tarjeta"),-1,1)*C2146)</f>
        <v/>
      </c>
      <c r="U2146" s="20">
        <f>IF(OR(G2146="",AND(I2146&lt;&gt;"Transferencia",I2146&lt;&gt;"Pago tarjeta")),"",IF(IFERROR(INDEX(ctaMon,MATCH(G2146,ctaNom,0))&amp;"","DOP")=N2146,C2146,IF(N2146="USD",C2146*TasaUSD,C2146/TasaUSD)))</f>
        <v/>
      </c>
      <c r="V2146" s="20">
        <f>IF(I2146="","",IF(IFERROR(INDEX(ctaLiq,MATCH(E2146,ctaNom,0))="Sí",FALSE),IF(OR(I2146="Gasto",I2146="Transferencia",I2146="Pago tarjeta"),-1,1)*O2146,0)+IF(AND(U2146&lt;&gt;"",IFERROR(INDEX(ctaLiq,MATCH(G2146,ctaNom,0))="Sí",FALSE)),O2146,0))</f>
        <v/>
      </c>
      <c r="W2146" s="19">
        <f>IF(OR(F2146="",I2146=""),"",IF(COUNTIFS(F$6:F2146,F2146,I$6:I2146,"?*")=1,MAX(W$5:W2145)+1,""))</f>
        <v/>
      </c>
    </row>
    <row r="2147">
      <c r="B2147" s="15" t="n"/>
      <c r="C2147" s="16" t="n"/>
      <c r="D2147" s="17" t="n"/>
      <c r="E2147" s="17" t="n"/>
      <c r="F2147" s="17" t="n"/>
      <c r="G2147" s="17" t="n"/>
      <c r="H2147" s="18">
        <f>IF(AND(B2147="",C2147="",D2147="",E2147=""),"",IF(B2147="","⚠ Falta fecha",IF(C2147="","⚠ Falta monto",IF(D2147="","⚠ Falta categoría",IF(ISNA(MATCH(D2147,catNom,0)),"⚠ Categoría no existe",IF(E2147="","⚠ Falta cuenta",IF(ISNA(MATCH(E2147,ctaNom,0)),"⚠ Cuenta no existe",IF(AND(OR(I2147="Transferencia",I2147="Pago tarjeta"),G2147=""),"⚠ Indica la cuenta «Hacia»",IF(AND(G2147&lt;&gt;"",G2147=E2147),"⚠ «Hacia» igual a la cuenta",IF(AND(G2147&lt;&gt;"",ISNA(MATCH(G2147,ctaNom,0))),"⚠ «Hacia» no existe",IF(AND(I2147="Pago tarjeta",IFERROR(INDEX(ctaTipo,MATCH(G2147,ctaNom,0)),"")&lt;&gt;"Tarjeta de crédito"),"⚠ «Hacia» debe ser la tarjeta",IF(AND(I2147="Trading",IFERROR(INDEX(ctaTipo,MATCH(E2147,ctaNom,0)),"")&lt;&gt;"Cuenta de trading"),"⚠ Usa la cuenta de trading","✓"))))))))))))</f>
        <v/>
      </c>
      <c r="I2147" s="19">
        <f>IF(OR(B2147="",C2147="",D2147=""),"",IFERROR(INDEX(catTipo,MATCH(D2147,catNom,0))&amp;"",""))</f>
        <v/>
      </c>
      <c r="J2147" s="19">
        <f>IF(I2147="","",IFERROR(INDEX(catGrupo,MATCH(D2147,catNom,0))&amp;"",""))</f>
        <v/>
      </c>
      <c r="K2147" s="19">
        <f>IF(I2147="Gasto",IF(IFERROR(INDEX(catClas,MATCH(D2147,catNom,0))&amp;"","")="","Variable",IFERROR(INDEX(catClas,MATCH(D2147,catNom,0))&amp;"","")),"")</f>
        <v/>
      </c>
      <c r="L2147" s="19">
        <f>IF(I2147="","",IFERROR(INDEX(catAlim,MATCH(D2147,catNom,0))&amp;"",""))</f>
        <v/>
      </c>
      <c r="M2147" s="19">
        <f>IF(I2147="","",IFERROR(INDEX(catComida,MATCH(D2147,catNom,0))&amp;"",""))</f>
        <v/>
      </c>
      <c r="N2147" s="19">
        <f>IF(I2147="","",IFERROR(INDEX(ctaMon,MATCH(E2147,ctaNom,0))&amp;"","DOP"))</f>
        <v/>
      </c>
      <c r="O2147" s="20">
        <f>IF(I2147="","",C2147*IF(N2147="USD",TasaUSD,1))</f>
        <v/>
      </c>
      <c r="P2147" s="20">
        <f>IF(I2147="","",IF(I2147="Gasto",O2147,0))</f>
        <v/>
      </c>
      <c r="Q2147" s="20">
        <f>IF(I2147="","",IF(I2147="Ingreso",O2147,0))</f>
        <v/>
      </c>
      <c r="R2147" s="20">
        <f>IF(I2147="","",IF(I2147="Trading",O2147,0))</f>
        <v/>
      </c>
      <c r="S2147" s="19">
        <f>IF(I2147="","",IF(AND(I2147="Gasto",K2147="Variable",J2147&lt;&gt;"Trading",O2147&gt;0,O2147&lt;=Umbral),1,0))</f>
        <v/>
      </c>
      <c r="T2147" s="20">
        <f>IF(OR(I2147="",E2147=""),"",IF(OR(I2147="Gasto",I2147="Transferencia",I2147="Pago tarjeta"),-1,1)*C2147)</f>
        <v/>
      </c>
      <c r="U2147" s="20">
        <f>IF(OR(G2147="",AND(I2147&lt;&gt;"Transferencia",I2147&lt;&gt;"Pago tarjeta")),"",IF(IFERROR(INDEX(ctaMon,MATCH(G2147,ctaNom,0))&amp;"","DOP")=N2147,C2147,IF(N2147="USD",C2147*TasaUSD,C2147/TasaUSD)))</f>
        <v/>
      </c>
      <c r="V2147" s="20">
        <f>IF(I2147="","",IF(IFERROR(INDEX(ctaLiq,MATCH(E2147,ctaNom,0))="Sí",FALSE),IF(OR(I2147="Gasto",I2147="Transferencia",I2147="Pago tarjeta"),-1,1)*O2147,0)+IF(AND(U2147&lt;&gt;"",IFERROR(INDEX(ctaLiq,MATCH(G2147,ctaNom,0))="Sí",FALSE)),O2147,0))</f>
        <v/>
      </c>
      <c r="W2147" s="19">
        <f>IF(OR(F2147="",I2147=""),"",IF(COUNTIFS(F$6:F2147,F2147,I$6:I2147,"?*")=1,MAX(W$5:W2146)+1,""))</f>
        <v/>
      </c>
    </row>
    <row r="2148">
      <c r="B2148" s="15" t="n"/>
      <c r="C2148" s="16" t="n"/>
      <c r="D2148" s="17" t="n"/>
      <c r="E2148" s="17" t="n"/>
      <c r="F2148" s="17" t="n"/>
      <c r="G2148" s="17" t="n"/>
      <c r="H2148" s="18">
        <f>IF(AND(B2148="",C2148="",D2148="",E2148=""),"",IF(B2148="","⚠ Falta fecha",IF(C2148="","⚠ Falta monto",IF(D2148="","⚠ Falta categoría",IF(ISNA(MATCH(D2148,catNom,0)),"⚠ Categoría no existe",IF(E2148="","⚠ Falta cuenta",IF(ISNA(MATCH(E2148,ctaNom,0)),"⚠ Cuenta no existe",IF(AND(OR(I2148="Transferencia",I2148="Pago tarjeta"),G2148=""),"⚠ Indica la cuenta «Hacia»",IF(AND(G2148&lt;&gt;"",G2148=E2148),"⚠ «Hacia» igual a la cuenta",IF(AND(G2148&lt;&gt;"",ISNA(MATCH(G2148,ctaNom,0))),"⚠ «Hacia» no existe",IF(AND(I2148="Pago tarjeta",IFERROR(INDEX(ctaTipo,MATCH(G2148,ctaNom,0)),"")&lt;&gt;"Tarjeta de crédito"),"⚠ «Hacia» debe ser la tarjeta",IF(AND(I2148="Trading",IFERROR(INDEX(ctaTipo,MATCH(E2148,ctaNom,0)),"")&lt;&gt;"Cuenta de trading"),"⚠ Usa la cuenta de trading","✓"))))))))))))</f>
        <v/>
      </c>
      <c r="I2148" s="19">
        <f>IF(OR(B2148="",C2148="",D2148=""),"",IFERROR(INDEX(catTipo,MATCH(D2148,catNom,0))&amp;"",""))</f>
        <v/>
      </c>
      <c r="J2148" s="19">
        <f>IF(I2148="","",IFERROR(INDEX(catGrupo,MATCH(D2148,catNom,0))&amp;"",""))</f>
        <v/>
      </c>
      <c r="K2148" s="19">
        <f>IF(I2148="Gasto",IF(IFERROR(INDEX(catClas,MATCH(D2148,catNom,0))&amp;"","")="","Variable",IFERROR(INDEX(catClas,MATCH(D2148,catNom,0))&amp;"","")),"")</f>
        <v/>
      </c>
      <c r="L2148" s="19">
        <f>IF(I2148="","",IFERROR(INDEX(catAlim,MATCH(D2148,catNom,0))&amp;"",""))</f>
        <v/>
      </c>
      <c r="M2148" s="19">
        <f>IF(I2148="","",IFERROR(INDEX(catComida,MATCH(D2148,catNom,0))&amp;"",""))</f>
        <v/>
      </c>
      <c r="N2148" s="19">
        <f>IF(I2148="","",IFERROR(INDEX(ctaMon,MATCH(E2148,ctaNom,0))&amp;"","DOP"))</f>
        <v/>
      </c>
      <c r="O2148" s="20">
        <f>IF(I2148="","",C2148*IF(N2148="USD",TasaUSD,1))</f>
        <v/>
      </c>
      <c r="P2148" s="20">
        <f>IF(I2148="","",IF(I2148="Gasto",O2148,0))</f>
        <v/>
      </c>
      <c r="Q2148" s="20">
        <f>IF(I2148="","",IF(I2148="Ingreso",O2148,0))</f>
        <v/>
      </c>
      <c r="R2148" s="20">
        <f>IF(I2148="","",IF(I2148="Trading",O2148,0))</f>
        <v/>
      </c>
      <c r="S2148" s="19">
        <f>IF(I2148="","",IF(AND(I2148="Gasto",K2148="Variable",J2148&lt;&gt;"Trading",O2148&gt;0,O2148&lt;=Umbral),1,0))</f>
        <v/>
      </c>
      <c r="T2148" s="20">
        <f>IF(OR(I2148="",E2148=""),"",IF(OR(I2148="Gasto",I2148="Transferencia",I2148="Pago tarjeta"),-1,1)*C2148)</f>
        <v/>
      </c>
      <c r="U2148" s="20">
        <f>IF(OR(G2148="",AND(I2148&lt;&gt;"Transferencia",I2148&lt;&gt;"Pago tarjeta")),"",IF(IFERROR(INDEX(ctaMon,MATCH(G2148,ctaNom,0))&amp;"","DOP")=N2148,C2148,IF(N2148="USD",C2148*TasaUSD,C2148/TasaUSD)))</f>
        <v/>
      </c>
      <c r="V2148" s="20">
        <f>IF(I2148="","",IF(IFERROR(INDEX(ctaLiq,MATCH(E2148,ctaNom,0))="Sí",FALSE),IF(OR(I2148="Gasto",I2148="Transferencia",I2148="Pago tarjeta"),-1,1)*O2148,0)+IF(AND(U2148&lt;&gt;"",IFERROR(INDEX(ctaLiq,MATCH(G2148,ctaNom,0))="Sí",FALSE)),O2148,0))</f>
        <v/>
      </c>
      <c r="W2148" s="19">
        <f>IF(OR(F2148="",I2148=""),"",IF(COUNTIFS(F$6:F2148,F2148,I$6:I2148,"?*")=1,MAX(W$5:W2147)+1,""))</f>
        <v/>
      </c>
    </row>
    <row r="2149">
      <c r="B2149" s="15" t="n"/>
      <c r="C2149" s="16" t="n"/>
      <c r="D2149" s="17" t="n"/>
      <c r="E2149" s="17" t="n"/>
      <c r="F2149" s="17" t="n"/>
      <c r="G2149" s="17" t="n"/>
      <c r="H2149" s="18">
        <f>IF(AND(B2149="",C2149="",D2149="",E2149=""),"",IF(B2149="","⚠ Falta fecha",IF(C2149="","⚠ Falta monto",IF(D2149="","⚠ Falta categoría",IF(ISNA(MATCH(D2149,catNom,0)),"⚠ Categoría no existe",IF(E2149="","⚠ Falta cuenta",IF(ISNA(MATCH(E2149,ctaNom,0)),"⚠ Cuenta no existe",IF(AND(OR(I2149="Transferencia",I2149="Pago tarjeta"),G2149=""),"⚠ Indica la cuenta «Hacia»",IF(AND(G2149&lt;&gt;"",G2149=E2149),"⚠ «Hacia» igual a la cuenta",IF(AND(G2149&lt;&gt;"",ISNA(MATCH(G2149,ctaNom,0))),"⚠ «Hacia» no existe",IF(AND(I2149="Pago tarjeta",IFERROR(INDEX(ctaTipo,MATCH(G2149,ctaNom,0)),"")&lt;&gt;"Tarjeta de crédito"),"⚠ «Hacia» debe ser la tarjeta",IF(AND(I2149="Trading",IFERROR(INDEX(ctaTipo,MATCH(E2149,ctaNom,0)),"")&lt;&gt;"Cuenta de trading"),"⚠ Usa la cuenta de trading","✓"))))))))))))</f>
        <v/>
      </c>
      <c r="I2149" s="19">
        <f>IF(OR(B2149="",C2149="",D2149=""),"",IFERROR(INDEX(catTipo,MATCH(D2149,catNom,0))&amp;"",""))</f>
        <v/>
      </c>
      <c r="J2149" s="19">
        <f>IF(I2149="","",IFERROR(INDEX(catGrupo,MATCH(D2149,catNom,0))&amp;"",""))</f>
        <v/>
      </c>
      <c r="K2149" s="19">
        <f>IF(I2149="Gasto",IF(IFERROR(INDEX(catClas,MATCH(D2149,catNom,0))&amp;"","")="","Variable",IFERROR(INDEX(catClas,MATCH(D2149,catNom,0))&amp;"","")),"")</f>
        <v/>
      </c>
      <c r="L2149" s="19">
        <f>IF(I2149="","",IFERROR(INDEX(catAlim,MATCH(D2149,catNom,0))&amp;"",""))</f>
        <v/>
      </c>
      <c r="M2149" s="19">
        <f>IF(I2149="","",IFERROR(INDEX(catComida,MATCH(D2149,catNom,0))&amp;"",""))</f>
        <v/>
      </c>
      <c r="N2149" s="19">
        <f>IF(I2149="","",IFERROR(INDEX(ctaMon,MATCH(E2149,ctaNom,0))&amp;"","DOP"))</f>
        <v/>
      </c>
      <c r="O2149" s="20">
        <f>IF(I2149="","",C2149*IF(N2149="USD",TasaUSD,1))</f>
        <v/>
      </c>
      <c r="P2149" s="20">
        <f>IF(I2149="","",IF(I2149="Gasto",O2149,0))</f>
        <v/>
      </c>
      <c r="Q2149" s="20">
        <f>IF(I2149="","",IF(I2149="Ingreso",O2149,0))</f>
        <v/>
      </c>
      <c r="R2149" s="20">
        <f>IF(I2149="","",IF(I2149="Trading",O2149,0))</f>
        <v/>
      </c>
      <c r="S2149" s="19">
        <f>IF(I2149="","",IF(AND(I2149="Gasto",K2149="Variable",J2149&lt;&gt;"Trading",O2149&gt;0,O2149&lt;=Umbral),1,0))</f>
        <v/>
      </c>
      <c r="T2149" s="20">
        <f>IF(OR(I2149="",E2149=""),"",IF(OR(I2149="Gasto",I2149="Transferencia",I2149="Pago tarjeta"),-1,1)*C2149)</f>
        <v/>
      </c>
      <c r="U2149" s="20">
        <f>IF(OR(G2149="",AND(I2149&lt;&gt;"Transferencia",I2149&lt;&gt;"Pago tarjeta")),"",IF(IFERROR(INDEX(ctaMon,MATCH(G2149,ctaNom,0))&amp;"","DOP")=N2149,C2149,IF(N2149="USD",C2149*TasaUSD,C2149/TasaUSD)))</f>
        <v/>
      </c>
      <c r="V2149" s="20">
        <f>IF(I2149="","",IF(IFERROR(INDEX(ctaLiq,MATCH(E2149,ctaNom,0))="Sí",FALSE),IF(OR(I2149="Gasto",I2149="Transferencia",I2149="Pago tarjeta"),-1,1)*O2149,0)+IF(AND(U2149&lt;&gt;"",IFERROR(INDEX(ctaLiq,MATCH(G2149,ctaNom,0))="Sí",FALSE)),O2149,0))</f>
        <v/>
      </c>
      <c r="W2149" s="19">
        <f>IF(OR(F2149="",I2149=""),"",IF(COUNTIFS(F$6:F2149,F2149,I$6:I2149,"?*")=1,MAX(W$5:W2148)+1,""))</f>
        <v/>
      </c>
    </row>
    <row r="2150">
      <c r="B2150" s="15" t="n"/>
      <c r="C2150" s="16" t="n"/>
      <c r="D2150" s="17" t="n"/>
      <c r="E2150" s="17" t="n"/>
      <c r="F2150" s="17" t="n"/>
      <c r="G2150" s="17" t="n"/>
      <c r="H2150" s="18">
        <f>IF(AND(B2150="",C2150="",D2150="",E2150=""),"",IF(B2150="","⚠ Falta fecha",IF(C2150="","⚠ Falta monto",IF(D2150="","⚠ Falta categoría",IF(ISNA(MATCH(D2150,catNom,0)),"⚠ Categoría no existe",IF(E2150="","⚠ Falta cuenta",IF(ISNA(MATCH(E2150,ctaNom,0)),"⚠ Cuenta no existe",IF(AND(OR(I2150="Transferencia",I2150="Pago tarjeta"),G2150=""),"⚠ Indica la cuenta «Hacia»",IF(AND(G2150&lt;&gt;"",G2150=E2150),"⚠ «Hacia» igual a la cuenta",IF(AND(G2150&lt;&gt;"",ISNA(MATCH(G2150,ctaNom,0))),"⚠ «Hacia» no existe",IF(AND(I2150="Pago tarjeta",IFERROR(INDEX(ctaTipo,MATCH(G2150,ctaNom,0)),"")&lt;&gt;"Tarjeta de crédito"),"⚠ «Hacia» debe ser la tarjeta",IF(AND(I2150="Trading",IFERROR(INDEX(ctaTipo,MATCH(E2150,ctaNom,0)),"")&lt;&gt;"Cuenta de trading"),"⚠ Usa la cuenta de trading","✓"))))))))))))</f>
        <v/>
      </c>
      <c r="I2150" s="19">
        <f>IF(OR(B2150="",C2150="",D2150=""),"",IFERROR(INDEX(catTipo,MATCH(D2150,catNom,0))&amp;"",""))</f>
        <v/>
      </c>
      <c r="J2150" s="19">
        <f>IF(I2150="","",IFERROR(INDEX(catGrupo,MATCH(D2150,catNom,0))&amp;"",""))</f>
        <v/>
      </c>
      <c r="K2150" s="19">
        <f>IF(I2150="Gasto",IF(IFERROR(INDEX(catClas,MATCH(D2150,catNom,0))&amp;"","")="","Variable",IFERROR(INDEX(catClas,MATCH(D2150,catNom,0))&amp;"","")),"")</f>
        <v/>
      </c>
      <c r="L2150" s="19">
        <f>IF(I2150="","",IFERROR(INDEX(catAlim,MATCH(D2150,catNom,0))&amp;"",""))</f>
        <v/>
      </c>
      <c r="M2150" s="19">
        <f>IF(I2150="","",IFERROR(INDEX(catComida,MATCH(D2150,catNom,0))&amp;"",""))</f>
        <v/>
      </c>
      <c r="N2150" s="19">
        <f>IF(I2150="","",IFERROR(INDEX(ctaMon,MATCH(E2150,ctaNom,0))&amp;"","DOP"))</f>
        <v/>
      </c>
      <c r="O2150" s="20">
        <f>IF(I2150="","",C2150*IF(N2150="USD",TasaUSD,1))</f>
        <v/>
      </c>
      <c r="P2150" s="20">
        <f>IF(I2150="","",IF(I2150="Gasto",O2150,0))</f>
        <v/>
      </c>
      <c r="Q2150" s="20">
        <f>IF(I2150="","",IF(I2150="Ingreso",O2150,0))</f>
        <v/>
      </c>
      <c r="R2150" s="20">
        <f>IF(I2150="","",IF(I2150="Trading",O2150,0))</f>
        <v/>
      </c>
      <c r="S2150" s="19">
        <f>IF(I2150="","",IF(AND(I2150="Gasto",K2150="Variable",J2150&lt;&gt;"Trading",O2150&gt;0,O2150&lt;=Umbral),1,0))</f>
        <v/>
      </c>
      <c r="T2150" s="20">
        <f>IF(OR(I2150="",E2150=""),"",IF(OR(I2150="Gasto",I2150="Transferencia",I2150="Pago tarjeta"),-1,1)*C2150)</f>
        <v/>
      </c>
      <c r="U2150" s="20">
        <f>IF(OR(G2150="",AND(I2150&lt;&gt;"Transferencia",I2150&lt;&gt;"Pago tarjeta")),"",IF(IFERROR(INDEX(ctaMon,MATCH(G2150,ctaNom,0))&amp;"","DOP")=N2150,C2150,IF(N2150="USD",C2150*TasaUSD,C2150/TasaUSD)))</f>
        <v/>
      </c>
      <c r="V2150" s="20">
        <f>IF(I2150="","",IF(IFERROR(INDEX(ctaLiq,MATCH(E2150,ctaNom,0))="Sí",FALSE),IF(OR(I2150="Gasto",I2150="Transferencia",I2150="Pago tarjeta"),-1,1)*O2150,0)+IF(AND(U2150&lt;&gt;"",IFERROR(INDEX(ctaLiq,MATCH(G2150,ctaNom,0))="Sí",FALSE)),O2150,0))</f>
        <v/>
      </c>
      <c r="W2150" s="19">
        <f>IF(OR(F2150="",I2150=""),"",IF(COUNTIFS(F$6:F2150,F2150,I$6:I2150,"?*")=1,MAX(W$5:W2149)+1,""))</f>
        <v/>
      </c>
    </row>
    <row r="2151">
      <c r="B2151" s="15" t="n"/>
      <c r="C2151" s="16" t="n"/>
      <c r="D2151" s="17" t="n"/>
      <c r="E2151" s="17" t="n"/>
      <c r="F2151" s="17" t="n"/>
      <c r="G2151" s="17" t="n"/>
      <c r="H2151" s="18">
        <f>IF(AND(B2151="",C2151="",D2151="",E2151=""),"",IF(B2151="","⚠ Falta fecha",IF(C2151="","⚠ Falta monto",IF(D2151="","⚠ Falta categoría",IF(ISNA(MATCH(D2151,catNom,0)),"⚠ Categoría no existe",IF(E2151="","⚠ Falta cuenta",IF(ISNA(MATCH(E2151,ctaNom,0)),"⚠ Cuenta no existe",IF(AND(OR(I2151="Transferencia",I2151="Pago tarjeta"),G2151=""),"⚠ Indica la cuenta «Hacia»",IF(AND(G2151&lt;&gt;"",G2151=E2151),"⚠ «Hacia» igual a la cuenta",IF(AND(G2151&lt;&gt;"",ISNA(MATCH(G2151,ctaNom,0))),"⚠ «Hacia» no existe",IF(AND(I2151="Pago tarjeta",IFERROR(INDEX(ctaTipo,MATCH(G2151,ctaNom,0)),"")&lt;&gt;"Tarjeta de crédito"),"⚠ «Hacia» debe ser la tarjeta",IF(AND(I2151="Trading",IFERROR(INDEX(ctaTipo,MATCH(E2151,ctaNom,0)),"")&lt;&gt;"Cuenta de trading"),"⚠ Usa la cuenta de trading","✓"))))))))))))</f>
        <v/>
      </c>
      <c r="I2151" s="19">
        <f>IF(OR(B2151="",C2151="",D2151=""),"",IFERROR(INDEX(catTipo,MATCH(D2151,catNom,0))&amp;"",""))</f>
        <v/>
      </c>
      <c r="J2151" s="19">
        <f>IF(I2151="","",IFERROR(INDEX(catGrupo,MATCH(D2151,catNom,0))&amp;"",""))</f>
        <v/>
      </c>
      <c r="K2151" s="19">
        <f>IF(I2151="Gasto",IF(IFERROR(INDEX(catClas,MATCH(D2151,catNom,0))&amp;"","")="","Variable",IFERROR(INDEX(catClas,MATCH(D2151,catNom,0))&amp;"","")),"")</f>
        <v/>
      </c>
      <c r="L2151" s="19">
        <f>IF(I2151="","",IFERROR(INDEX(catAlim,MATCH(D2151,catNom,0))&amp;"",""))</f>
        <v/>
      </c>
      <c r="M2151" s="19">
        <f>IF(I2151="","",IFERROR(INDEX(catComida,MATCH(D2151,catNom,0))&amp;"",""))</f>
        <v/>
      </c>
      <c r="N2151" s="19">
        <f>IF(I2151="","",IFERROR(INDEX(ctaMon,MATCH(E2151,ctaNom,0))&amp;"","DOP"))</f>
        <v/>
      </c>
      <c r="O2151" s="20">
        <f>IF(I2151="","",C2151*IF(N2151="USD",TasaUSD,1))</f>
        <v/>
      </c>
      <c r="P2151" s="20">
        <f>IF(I2151="","",IF(I2151="Gasto",O2151,0))</f>
        <v/>
      </c>
      <c r="Q2151" s="20">
        <f>IF(I2151="","",IF(I2151="Ingreso",O2151,0))</f>
        <v/>
      </c>
      <c r="R2151" s="20">
        <f>IF(I2151="","",IF(I2151="Trading",O2151,0))</f>
        <v/>
      </c>
      <c r="S2151" s="19">
        <f>IF(I2151="","",IF(AND(I2151="Gasto",K2151="Variable",J2151&lt;&gt;"Trading",O2151&gt;0,O2151&lt;=Umbral),1,0))</f>
        <v/>
      </c>
      <c r="T2151" s="20">
        <f>IF(OR(I2151="",E2151=""),"",IF(OR(I2151="Gasto",I2151="Transferencia",I2151="Pago tarjeta"),-1,1)*C2151)</f>
        <v/>
      </c>
      <c r="U2151" s="20">
        <f>IF(OR(G2151="",AND(I2151&lt;&gt;"Transferencia",I2151&lt;&gt;"Pago tarjeta")),"",IF(IFERROR(INDEX(ctaMon,MATCH(G2151,ctaNom,0))&amp;"","DOP")=N2151,C2151,IF(N2151="USD",C2151*TasaUSD,C2151/TasaUSD)))</f>
        <v/>
      </c>
      <c r="V2151" s="20">
        <f>IF(I2151="","",IF(IFERROR(INDEX(ctaLiq,MATCH(E2151,ctaNom,0))="Sí",FALSE),IF(OR(I2151="Gasto",I2151="Transferencia",I2151="Pago tarjeta"),-1,1)*O2151,0)+IF(AND(U2151&lt;&gt;"",IFERROR(INDEX(ctaLiq,MATCH(G2151,ctaNom,0))="Sí",FALSE)),O2151,0))</f>
        <v/>
      </c>
      <c r="W2151" s="19">
        <f>IF(OR(F2151="",I2151=""),"",IF(COUNTIFS(F$6:F2151,F2151,I$6:I2151,"?*")=1,MAX(W$5:W2150)+1,""))</f>
        <v/>
      </c>
    </row>
    <row r="2152">
      <c r="B2152" s="15" t="n"/>
      <c r="C2152" s="16" t="n"/>
      <c r="D2152" s="17" t="n"/>
      <c r="E2152" s="17" t="n"/>
      <c r="F2152" s="17" t="n"/>
      <c r="G2152" s="17" t="n"/>
      <c r="H2152" s="18">
        <f>IF(AND(B2152="",C2152="",D2152="",E2152=""),"",IF(B2152="","⚠ Falta fecha",IF(C2152="","⚠ Falta monto",IF(D2152="","⚠ Falta categoría",IF(ISNA(MATCH(D2152,catNom,0)),"⚠ Categoría no existe",IF(E2152="","⚠ Falta cuenta",IF(ISNA(MATCH(E2152,ctaNom,0)),"⚠ Cuenta no existe",IF(AND(OR(I2152="Transferencia",I2152="Pago tarjeta"),G2152=""),"⚠ Indica la cuenta «Hacia»",IF(AND(G2152&lt;&gt;"",G2152=E2152),"⚠ «Hacia» igual a la cuenta",IF(AND(G2152&lt;&gt;"",ISNA(MATCH(G2152,ctaNom,0))),"⚠ «Hacia» no existe",IF(AND(I2152="Pago tarjeta",IFERROR(INDEX(ctaTipo,MATCH(G2152,ctaNom,0)),"")&lt;&gt;"Tarjeta de crédito"),"⚠ «Hacia» debe ser la tarjeta",IF(AND(I2152="Trading",IFERROR(INDEX(ctaTipo,MATCH(E2152,ctaNom,0)),"")&lt;&gt;"Cuenta de trading"),"⚠ Usa la cuenta de trading","✓"))))))))))))</f>
        <v/>
      </c>
      <c r="I2152" s="19">
        <f>IF(OR(B2152="",C2152="",D2152=""),"",IFERROR(INDEX(catTipo,MATCH(D2152,catNom,0))&amp;"",""))</f>
        <v/>
      </c>
      <c r="J2152" s="19">
        <f>IF(I2152="","",IFERROR(INDEX(catGrupo,MATCH(D2152,catNom,0))&amp;"",""))</f>
        <v/>
      </c>
      <c r="K2152" s="19">
        <f>IF(I2152="Gasto",IF(IFERROR(INDEX(catClas,MATCH(D2152,catNom,0))&amp;"","")="","Variable",IFERROR(INDEX(catClas,MATCH(D2152,catNom,0))&amp;"","")),"")</f>
        <v/>
      </c>
      <c r="L2152" s="19">
        <f>IF(I2152="","",IFERROR(INDEX(catAlim,MATCH(D2152,catNom,0))&amp;"",""))</f>
        <v/>
      </c>
      <c r="M2152" s="19">
        <f>IF(I2152="","",IFERROR(INDEX(catComida,MATCH(D2152,catNom,0))&amp;"",""))</f>
        <v/>
      </c>
      <c r="N2152" s="19">
        <f>IF(I2152="","",IFERROR(INDEX(ctaMon,MATCH(E2152,ctaNom,0))&amp;"","DOP"))</f>
        <v/>
      </c>
      <c r="O2152" s="20">
        <f>IF(I2152="","",C2152*IF(N2152="USD",TasaUSD,1))</f>
        <v/>
      </c>
      <c r="P2152" s="20">
        <f>IF(I2152="","",IF(I2152="Gasto",O2152,0))</f>
        <v/>
      </c>
      <c r="Q2152" s="20">
        <f>IF(I2152="","",IF(I2152="Ingreso",O2152,0))</f>
        <v/>
      </c>
      <c r="R2152" s="20">
        <f>IF(I2152="","",IF(I2152="Trading",O2152,0))</f>
        <v/>
      </c>
      <c r="S2152" s="19">
        <f>IF(I2152="","",IF(AND(I2152="Gasto",K2152="Variable",J2152&lt;&gt;"Trading",O2152&gt;0,O2152&lt;=Umbral),1,0))</f>
        <v/>
      </c>
      <c r="T2152" s="20">
        <f>IF(OR(I2152="",E2152=""),"",IF(OR(I2152="Gasto",I2152="Transferencia",I2152="Pago tarjeta"),-1,1)*C2152)</f>
        <v/>
      </c>
      <c r="U2152" s="20">
        <f>IF(OR(G2152="",AND(I2152&lt;&gt;"Transferencia",I2152&lt;&gt;"Pago tarjeta")),"",IF(IFERROR(INDEX(ctaMon,MATCH(G2152,ctaNom,0))&amp;"","DOP")=N2152,C2152,IF(N2152="USD",C2152*TasaUSD,C2152/TasaUSD)))</f>
        <v/>
      </c>
      <c r="V2152" s="20">
        <f>IF(I2152="","",IF(IFERROR(INDEX(ctaLiq,MATCH(E2152,ctaNom,0))="Sí",FALSE),IF(OR(I2152="Gasto",I2152="Transferencia",I2152="Pago tarjeta"),-1,1)*O2152,0)+IF(AND(U2152&lt;&gt;"",IFERROR(INDEX(ctaLiq,MATCH(G2152,ctaNom,0))="Sí",FALSE)),O2152,0))</f>
        <v/>
      </c>
      <c r="W2152" s="19">
        <f>IF(OR(F2152="",I2152=""),"",IF(COUNTIFS(F$6:F2152,F2152,I$6:I2152,"?*")=1,MAX(W$5:W2151)+1,""))</f>
        <v/>
      </c>
    </row>
    <row r="2153">
      <c r="B2153" s="15" t="n"/>
      <c r="C2153" s="16" t="n"/>
      <c r="D2153" s="17" t="n"/>
      <c r="E2153" s="17" t="n"/>
      <c r="F2153" s="17" t="n"/>
      <c r="G2153" s="17" t="n"/>
      <c r="H2153" s="18">
        <f>IF(AND(B2153="",C2153="",D2153="",E2153=""),"",IF(B2153="","⚠ Falta fecha",IF(C2153="","⚠ Falta monto",IF(D2153="","⚠ Falta categoría",IF(ISNA(MATCH(D2153,catNom,0)),"⚠ Categoría no existe",IF(E2153="","⚠ Falta cuenta",IF(ISNA(MATCH(E2153,ctaNom,0)),"⚠ Cuenta no existe",IF(AND(OR(I2153="Transferencia",I2153="Pago tarjeta"),G2153=""),"⚠ Indica la cuenta «Hacia»",IF(AND(G2153&lt;&gt;"",G2153=E2153),"⚠ «Hacia» igual a la cuenta",IF(AND(G2153&lt;&gt;"",ISNA(MATCH(G2153,ctaNom,0))),"⚠ «Hacia» no existe",IF(AND(I2153="Pago tarjeta",IFERROR(INDEX(ctaTipo,MATCH(G2153,ctaNom,0)),"")&lt;&gt;"Tarjeta de crédito"),"⚠ «Hacia» debe ser la tarjeta",IF(AND(I2153="Trading",IFERROR(INDEX(ctaTipo,MATCH(E2153,ctaNom,0)),"")&lt;&gt;"Cuenta de trading"),"⚠ Usa la cuenta de trading","✓"))))))))))))</f>
        <v/>
      </c>
      <c r="I2153" s="19">
        <f>IF(OR(B2153="",C2153="",D2153=""),"",IFERROR(INDEX(catTipo,MATCH(D2153,catNom,0))&amp;"",""))</f>
        <v/>
      </c>
      <c r="J2153" s="19">
        <f>IF(I2153="","",IFERROR(INDEX(catGrupo,MATCH(D2153,catNom,0))&amp;"",""))</f>
        <v/>
      </c>
      <c r="K2153" s="19">
        <f>IF(I2153="Gasto",IF(IFERROR(INDEX(catClas,MATCH(D2153,catNom,0))&amp;"","")="","Variable",IFERROR(INDEX(catClas,MATCH(D2153,catNom,0))&amp;"","")),"")</f>
        <v/>
      </c>
      <c r="L2153" s="19">
        <f>IF(I2153="","",IFERROR(INDEX(catAlim,MATCH(D2153,catNom,0))&amp;"",""))</f>
        <v/>
      </c>
      <c r="M2153" s="19">
        <f>IF(I2153="","",IFERROR(INDEX(catComida,MATCH(D2153,catNom,0))&amp;"",""))</f>
        <v/>
      </c>
      <c r="N2153" s="19">
        <f>IF(I2153="","",IFERROR(INDEX(ctaMon,MATCH(E2153,ctaNom,0))&amp;"","DOP"))</f>
        <v/>
      </c>
      <c r="O2153" s="20">
        <f>IF(I2153="","",C2153*IF(N2153="USD",TasaUSD,1))</f>
        <v/>
      </c>
      <c r="P2153" s="20">
        <f>IF(I2153="","",IF(I2153="Gasto",O2153,0))</f>
        <v/>
      </c>
      <c r="Q2153" s="20">
        <f>IF(I2153="","",IF(I2153="Ingreso",O2153,0))</f>
        <v/>
      </c>
      <c r="R2153" s="20">
        <f>IF(I2153="","",IF(I2153="Trading",O2153,0))</f>
        <v/>
      </c>
      <c r="S2153" s="19">
        <f>IF(I2153="","",IF(AND(I2153="Gasto",K2153="Variable",J2153&lt;&gt;"Trading",O2153&gt;0,O2153&lt;=Umbral),1,0))</f>
        <v/>
      </c>
      <c r="T2153" s="20">
        <f>IF(OR(I2153="",E2153=""),"",IF(OR(I2153="Gasto",I2153="Transferencia",I2153="Pago tarjeta"),-1,1)*C2153)</f>
        <v/>
      </c>
      <c r="U2153" s="20">
        <f>IF(OR(G2153="",AND(I2153&lt;&gt;"Transferencia",I2153&lt;&gt;"Pago tarjeta")),"",IF(IFERROR(INDEX(ctaMon,MATCH(G2153,ctaNom,0))&amp;"","DOP")=N2153,C2153,IF(N2153="USD",C2153*TasaUSD,C2153/TasaUSD)))</f>
        <v/>
      </c>
      <c r="V2153" s="20">
        <f>IF(I2153="","",IF(IFERROR(INDEX(ctaLiq,MATCH(E2153,ctaNom,0))="Sí",FALSE),IF(OR(I2153="Gasto",I2153="Transferencia",I2153="Pago tarjeta"),-1,1)*O2153,0)+IF(AND(U2153&lt;&gt;"",IFERROR(INDEX(ctaLiq,MATCH(G2153,ctaNom,0))="Sí",FALSE)),O2153,0))</f>
        <v/>
      </c>
      <c r="W2153" s="19">
        <f>IF(OR(F2153="",I2153=""),"",IF(COUNTIFS(F$6:F2153,F2153,I$6:I2153,"?*")=1,MAX(W$5:W2152)+1,""))</f>
        <v/>
      </c>
    </row>
    <row r="2154">
      <c r="B2154" s="15" t="n"/>
      <c r="C2154" s="16" t="n"/>
      <c r="D2154" s="17" t="n"/>
      <c r="E2154" s="17" t="n"/>
      <c r="F2154" s="17" t="n"/>
      <c r="G2154" s="17" t="n"/>
      <c r="H2154" s="18">
        <f>IF(AND(B2154="",C2154="",D2154="",E2154=""),"",IF(B2154="","⚠ Falta fecha",IF(C2154="","⚠ Falta monto",IF(D2154="","⚠ Falta categoría",IF(ISNA(MATCH(D2154,catNom,0)),"⚠ Categoría no existe",IF(E2154="","⚠ Falta cuenta",IF(ISNA(MATCH(E2154,ctaNom,0)),"⚠ Cuenta no existe",IF(AND(OR(I2154="Transferencia",I2154="Pago tarjeta"),G2154=""),"⚠ Indica la cuenta «Hacia»",IF(AND(G2154&lt;&gt;"",G2154=E2154),"⚠ «Hacia» igual a la cuenta",IF(AND(G2154&lt;&gt;"",ISNA(MATCH(G2154,ctaNom,0))),"⚠ «Hacia» no existe",IF(AND(I2154="Pago tarjeta",IFERROR(INDEX(ctaTipo,MATCH(G2154,ctaNom,0)),"")&lt;&gt;"Tarjeta de crédito"),"⚠ «Hacia» debe ser la tarjeta",IF(AND(I2154="Trading",IFERROR(INDEX(ctaTipo,MATCH(E2154,ctaNom,0)),"")&lt;&gt;"Cuenta de trading"),"⚠ Usa la cuenta de trading","✓"))))))))))))</f>
        <v/>
      </c>
      <c r="I2154" s="19">
        <f>IF(OR(B2154="",C2154="",D2154=""),"",IFERROR(INDEX(catTipo,MATCH(D2154,catNom,0))&amp;"",""))</f>
        <v/>
      </c>
      <c r="J2154" s="19">
        <f>IF(I2154="","",IFERROR(INDEX(catGrupo,MATCH(D2154,catNom,0))&amp;"",""))</f>
        <v/>
      </c>
      <c r="K2154" s="19">
        <f>IF(I2154="Gasto",IF(IFERROR(INDEX(catClas,MATCH(D2154,catNom,0))&amp;"","")="","Variable",IFERROR(INDEX(catClas,MATCH(D2154,catNom,0))&amp;"","")),"")</f>
        <v/>
      </c>
      <c r="L2154" s="19">
        <f>IF(I2154="","",IFERROR(INDEX(catAlim,MATCH(D2154,catNom,0))&amp;"",""))</f>
        <v/>
      </c>
      <c r="M2154" s="19">
        <f>IF(I2154="","",IFERROR(INDEX(catComida,MATCH(D2154,catNom,0))&amp;"",""))</f>
        <v/>
      </c>
      <c r="N2154" s="19">
        <f>IF(I2154="","",IFERROR(INDEX(ctaMon,MATCH(E2154,ctaNom,0))&amp;"","DOP"))</f>
        <v/>
      </c>
      <c r="O2154" s="20">
        <f>IF(I2154="","",C2154*IF(N2154="USD",TasaUSD,1))</f>
        <v/>
      </c>
      <c r="P2154" s="20">
        <f>IF(I2154="","",IF(I2154="Gasto",O2154,0))</f>
        <v/>
      </c>
      <c r="Q2154" s="20">
        <f>IF(I2154="","",IF(I2154="Ingreso",O2154,0))</f>
        <v/>
      </c>
      <c r="R2154" s="20">
        <f>IF(I2154="","",IF(I2154="Trading",O2154,0))</f>
        <v/>
      </c>
      <c r="S2154" s="19">
        <f>IF(I2154="","",IF(AND(I2154="Gasto",K2154="Variable",J2154&lt;&gt;"Trading",O2154&gt;0,O2154&lt;=Umbral),1,0))</f>
        <v/>
      </c>
      <c r="T2154" s="20">
        <f>IF(OR(I2154="",E2154=""),"",IF(OR(I2154="Gasto",I2154="Transferencia",I2154="Pago tarjeta"),-1,1)*C2154)</f>
        <v/>
      </c>
      <c r="U2154" s="20">
        <f>IF(OR(G2154="",AND(I2154&lt;&gt;"Transferencia",I2154&lt;&gt;"Pago tarjeta")),"",IF(IFERROR(INDEX(ctaMon,MATCH(G2154,ctaNom,0))&amp;"","DOP")=N2154,C2154,IF(N2154="USD",C2154*TasaUSD,C2154/TasaUSD)))</f>
        <v/>
      </c>
      <c r="V2154" s="20">
        <f>IF(I2154="","",IF(IFERROR(INDEX(ctaLiq,MATCH(E2154,ctaNom,0))="Sí",FALSE),IF(OR(I2154="Gasto",I2154="Transferencia",I2154="Pago tarjeta"),-1,1)*O2154,0)+IF(AND(U2154&lt;&gt;"",IFERROR(INDEX(ctaLiq,MATCH(G2154,ctaNom,0))="Sí",FALSE)),O2154,0))</f>
        <v/>
      </c>
      <c r="W2154" s="19">
        <f>IF(OR(F2154="",I2154=""),"",IF(COUNTIFS(F$6:F2154,F2154,I$6:I2154,"?*")=1,MAX(W$5:W2153)+1,""))</f>
        <v/>
      </c>
    </row>
    <row r="2155">
      <c r="B2155" s="15" t="n"/>
      <c r="C2155" s="16" t="n"/>
      <c r="D2155" s="17" t="n"/>
      <c r="E2155" s="17" t="n"/>
      <c r="F2155" s="17" t="n"/>
      <c r="G2155" s="17" t="n"/>
      <c r="H2155" s="18">
        <f>IF(AND(B2155="",C2155="",D2155="",E2155=""),"",IF(B2155="","⚠ Falta fecha",IF(C2155="","⚠ Falta monto",IF(D2155="","⚠ Falta categoría",IF(ISNA(MATCH(D2155,catNom,0)),"⚠ Categoría no existe",IF(E2155="","⚠ Falta cuenta",IF(ISNA(MATCH(E2155,ctaNom,0)),"⚠ Cuenta no existe",IF(AND(OR(I2155="Transferencia",I2155="Pago tarjeta"),G2155=""),"⚠ Indica la cuenta «Hacia»",IF(AND(G2155&lt;&gt;"",G2155=E2155),"⚠ «Hacia» igual a la cuenta",IF(AND(G2155&lt;&gt;"",ISNA(MATCH(G2155,ctaNom,0))),"⚠ «Hacia» no existe",IF(AND(I2155="Pago tarjeta",IFERROR(INDEX(ctaTipo,MATCH(G2155,ctaNom,0)),"")&lt;&gt;"Tarjeta de crédito"),"⚠ «Hacia» debe ser la tarjeta",IF(AND(I2155="Trading",IFERROR(INDEX(ctaTipo,MATCH(E2155,ctaNom,0)),"")&lt;&gt;"Cuenta de trading"),"⚠ Usa la cuenta de trading","✓"))))))))))))</f>
        <v/>
      </c>
      <c r="I2155" s="19">
        <f>IF(OR(B2155="",C2155="",D2155=""),"",IFERROR(INDEX(catTipo,MATCH(D2155,catNom,0))&amp;"",""))</f>
        <v/>
      </c>
      <c r="J2155" s="19">
        <f>IF(I2155="","",IFERROR(INDEX(catGrupo,MATCH(D2155,catNom,0))&amp;"",""))</f>
        <v/>
      </c>
      <c r="K2155" s="19">
        <f>IF(I2155="Gasto",IF(IFERROR(INDEX(catClas,MATCH(D2155,catNom,0))&amp;"","")="","Variable",IFERROR(INDEX(catClas,MATCH(D2155,catNom,0))&amp;"","")),"")</f>
        <v/>
      </c>
      <c r="L2155" s="19">
        <f>IF(I2155="","",IFERROR(INDEX(catAlim,MATCH(D2155,catNom,0))&amp;"",""))</f>
        <v/>
      </c>
      <c r="M2155" s="19">
        <f>IF(I2155="","",IFERROR(INDEX(catComida,MATCH(D2155,catNom,0))&amp;"",""))</f>
        <v/>
      </c>
      <c r="N2155" s="19">
        <f>IF(I2155="","",IFERROR(INDEX(ctaMon,MATCH(E2155,ctaNom,0))&amp;"","DOP"))</f>
        <v/>
      </c>
      <c r="O2155" s="20">
        <f>IF(I2155="","",C2155*IF(N2155="USD",TasaUSD,1))</f>
        <v/>
      </c>
      <c r="P2155" s="20">
        <f>IF(I2155="","",IF(I2155="Gasto",O2155,0))</f>
        <v/>
      </c>
      <c r="Q2155" s="20">
        <f>IF(I2155="","",IF(I2155="Ingreso",O2155,0))</f>
        <v/>
      </c>
      <c r="R2155" s="20">
        <f>IF(I2155="","",IF(I2155="Trading",O2155,0))</f>
        <v/>
      </c>
      <c r="S2155" s="19">
        <f>IF(I2155="","",IF(AND(I2155="Gasto",K2155="Variable",J2155&lt;&gt;"Trading",O2155&gt;0,O2155&lt;=Umbral),1,0))</f>
        <v/>
      </c>
      <c r="T2155" s="20">
        <f>IF(OR(I2155="",E2155=""),"",IF(OR(I2155="Gasto",I2155="Transferencia",I2155="Pago tarjeta"),-1,1)*C2155)</f>
        <v/>
      </c>
      <c r="U2155" s="20">
        <f>IF(OR(G2155="",AND(I2155&lt;&gt;"Transferencia",I2155&lt;&gt;"Pago tarjeta")),"",IF(IFERROR(INDEX(ctaMon,MATCH(G2155,ctaNom,0))&amp;"","DOP")=N2155,C2155,IF(N2155="USD",C2155*TasaUSD,C2155/TasaUSD)))</f>
        <v/>
      </c>
      <c r="V2155" s="20">
        <f>IF(I2155="","",IF(IFERROR(INDEX(ctaLiq,MATCH(E2155,ctaNom,0))="Sí",FALSE),IF(OR(I2155="Gasto",I2155="Transferencia",I2155="Pago tarjeta"),-1,1)*O2155,0)+IF(AND(U2155&lt;&gt;"",IFERROR(INDEX(ctaLiq,MATCH(G2155,ctaNom,0))="Sí",FALSE)),O2155,0))</f>
        <v/>
      </c>
      <c r="W2155" s="19">
        <f>IF(OR(F2155="",I2155=""),"",IF(COUNTIFS(F$6:F2155,F2155,I$6:I2155,"?*")=1,MAX(W$5:W2154)+1,""))</f>
        <v/>
      </c>
    </row>
    <row r="2156">
      <c r="B2156" s="15" t="n"/>
      <c r="C2156" s="16" t="n"/>
      <c r="D2156" s="17" t="n"/>
      <c r="E2156" s="17" t="n"/>
      <c r="F2156" s="17" t="n"/>
      <c r="G2156" s="17" t="n"/>
      <c r="H2156" s="18">
        <f>IF(AND(B2156="",C2156="",D2156="",E2156=""),"",IF(B2156="","⚠ Falta fecha",IF(C2156="","⚠ Falta monto",IF(D2156="","⚠ Falta categoría",IF(ISNA(MATCH(D2156,catNom,0)),"⚠ Categoría no existe",IF(E2156="","⚠ Falta cuenta",IF(ISNA(MATCH(E2156,ctaNom,0)),"⚠ Cuenta no existe",IF(AND(OR(I2156="Transferencia",I2156="Pago tarjeta"),G2156=""),"⚠ Indica la cuenta «Hacia»",IF(AND(G2156&lt;&gt;"",G2156=E2156),"⚠ «Hacia» igual a la cuenta",IF(AND(G2156&lt;&gt;"",ISNA(MATCH(G2156,ctaNom,0))),"⚠ «Hacia» no existe",IF(AND(I2156="Pago tarjeta",IFERROR(INDEX(ctaTipo,MATCH(G2156,ctaNom,0)),"")&lt;&gt;"Tarjeta de crédito"),"⚠ «Hacia» debe ser la tarjeta",IF(AND(I2156="Trading",IFERROR(INDEX(ctaTipo,MATCH(E2156,ctaNom,0)),"")&lt;&gt;"Cuenta de trading"),"⚠ Usa la cuenta de trading","✓"))))))))))))</f>
        <v/>
      </c>
      <c r="I2156" s="19">
        <f>IF(OR(B2156="",C2156="",D2156=""),"",IFERROR(INDEX(catTipo,MATCH(D2156,catNom,0))&amp;"",""))</f>
        <v/>
      </c>
      <c r="J2156" s="19">
        <f>IF(I2156="","",IFERROR(INDEX(catGrupo,MATCH(D2156,catNom,0))&amp;"",""))</f>
        <v/>
      </c>
      <c r="K2156" s="19">
        <f>IF(I2156="Gasto",IF(IFERROR(INDEX(catClas,MATCH(D2156,catNom,0))&amp;"","")="","Variable",IFERROR(INDEX(catClas,MATCH(D2156,catNom,0))&amp;"","")),"")</f>
        <v/>
      </c>
      <c r="L2156" s="19">
        <f>IF(I2156="","",IFERROR(INDEX(catAlim,MATCH(D2156,catNom,0))&amp;"",""))</f>
        <v/>
      </c>
      <c r="M2156" s="19">
        <f>IF(I2156="","",IFERROR(INDEX(catComida,MATCH(D2156,catNom,0))&amp;"",""))</f>
        <v/>
      </c>
      <c r="N2156" s="19">
        <f>IF(I2156="","",IFERROR(INDEX(ctaMon,MATCH(E2156,ctaNom,0))&amp;"","DOP"))</f>
        <v/>
      </c>
      <c r="O2156" s="20">
        <f>IF(I2156="","",C2156*IF(N2156="USD",TasaUSD,1))</f>
        <v/>
      </c>
      <c r="P2156" s="20">
        <f>IF(I2156="","",IF(I2156="Gasto",O2156,0))</f>
        <v/>
      </c>
      <c r="Q2156" s="20">
        <f>IF(I2156="","",IF(I2156="Ingreso",O2156,0))</f>
        <v/>
      </c>
      <c r="R2156" s="20">
        <f>IF(I2156="","",IF(I2156="Trading",O2156,0))</f>
        <v/>
      </c>
      <c r="S2156" s="19">
        <f>IF(I2156="","",IF(AND(I2156="Gasto",K2156="Variable",J2156&lt;&gt;"Trading",O2156&gt;0,O2156&lt;=Umbral),1,0))</f>
        <v/>
      </c>
      <c r="T2156" s="20">
        <f>IF(OR(I2156="",E2156=""),"",IF(OR(I2156="Gasto",I2156="Transferencia",I2156="Pago tarjeta"),-1,1)*C2156)</f>
        <v/>
      </c>
      <c r="U2156" s="20">
        <f>IF(OR(G2156="",AND(I2156&lt;&gt;"Transferencia",I2156&lt;&gt;"Pago tarjeta")),"",IF(IFERROR(INDEX(ctaMon,MATCH(G2156,ctaNom,0))&amp;"","DOP")=N2156,C2156,IF(N2156="USD",C2156*TasaUSD,C2156/TasaUSD)))</f>
        <v/>
      </c>
      <c r="V2156" s="20">
        <f>IF(I2156="","",IF(IFERROR(INDEX(ctaLiq,MATCH(E2156,ctaNom,0))="Sí",FALSE),IF(OR(I2156="Gasto",I2156="Transferencia",I2156="Pago tarjeta"),-1,1)*O2156,0)+IF(AND(U2156&lt;&gt;"",IFERROR(INDEX(ctaLiq,MATCH(G2156,ctaNom,0))="Sí",FALSE)),O2156,0))</f>
        <v/>
      </c>
      <c r="W2156" s="19">
        <f>IF(OR(F2156="",I2156=""),"",IF(COUNTIFS(F$6:F2156,F2156,I$6:I2156,"?*")=1,MAX(W$5:W2155)+1,""))</f>
        <v/>
      </c>
    </row>
    <row r="2157">
      <c r="B2157" s="15" t="n"/>
      <c r="C2157" s="16" t="n"/>
      <c r="D2157" s="17" t="n"/>
      <c r="E2157" s="17" t="n"/>
      <c r="F2157" s="17" t="n"/>
      <c r="G2157" s="17" t="n"/>
      <c r="H2157" s="18">
        <f>IF(AND(B2157="",C2157="",D2157="",E2157=""),"",IF(B2157="","⚠ Falta fecha",IF(C2157="","⚠ Falta monto",IF(D2157="","⚠ Falta categoría",IF(ISNA(MATCH(D2157,catNom,0)),"⚠ Categoría no existe",IF(E2157="","⚠ Falta cuenta",IF(ISNA(MATCH(E2157,ctaNom,0)),"⚠ Cuenta no existe",IF(AND(OR(I2157="Transferencia",I2157="Pago tarjeta"),G2157=""),"⚠ Indica la cuenta «Hacia»",IF(AND(G2157&lt;&gt;"",G2157=E2157),"⚠ «Hacia» igual a la cuenta",IF(AND(G2157&lt;&gt;"",ISNA(MATCH(G2157,ctaNom,0))),"⚠ «Hacia» no existe",IF(AND(I2157="Pago tarjeta",IFERROR(INDEX(ctaTipo,MATCH(G2157,ctaNom,0)),"")&lt;&gt;"Tarjeta de crédito"),"⚠ «Hacia» debe ser la tarjeta",IF(AND(I2157="Trading",IFERROR(INDEX(ctaTipo,MATCH(E2157,ctaNom,0)),"")&lt;&gt;"Cuenta de trading"),"⚠ Usa la cuenta de trading","✓"))))))))))))</f>
        <v/>
      </c>
      <c r="I2157" s="19">
        <f>IF(OR(B2157="",C2157="",D2157=""),"",IFERROR(INDEX(catTipo,MATCH(D2157,catNom,0))&amp;"",""))</f>
        <v/>
      </c>
      <c r="J2157" s="19">
        <f>IF(I2157="","",IFERROR(INDEX(catGrupo,MATCH(D2157,catNom,0))&amp;"",""))</f>
        <v/>
      </c>
      <c r="K2157" s="19">
        <f>IF(I2157="Gasto",IF(IFERROR(INDEX(catClas,MATCH(D2157,catNom,0))&amp;"","")="","Variable",IFERROR(INDEX(catClas,MATCH(D2157,catNom,0))&amp;"","")),"")</f>
        <v/>
      </c>
      <c r="L2157" s="19">
        <f>IF(I2157="","",IFERROR(INDEX(catAlim,MATCH(D2157,catNom,0))&amp;"",""))</f>
        <v/>
      </c>
      <c r="M2157" s="19">
        <f>IF(I2157="","",IFERROR(INDEX(catComida,MATCH(D2157,catNom,0))&amp;"",""))</f>
        <v/>
      </c>
      <c r="N2157" s="19">
        <f>IF(I2157="","",IFERROR(INDEX(ctaMon,MATCH(E2157,ctaNom,0))&amp;"","DOP"))</f>
        <v/>
      </c>
      <c r="O2157" s="20">
        <f>IF(I2157="","",C2157*IF(N2157="USD",TasaUSD,1))</f>
        <v/>
      </c>
      <c r="P2157" s="20">
        <f>IF(I2157="","",IF(I2157="Gasto",O2157,0))</f>
        <v/>
      </c>
      <c r="Q2157" s="20">
        <f>IF(I2157="","",IF(I2157="Ingreso",O2157,0))</f>
        <v/>
      </c>
      <c r="R2157" s="20">
        <f>IF(I2157="","",IF(I2157="Trading",O2157,0))</f>
        <v/>
      </c>
      <c r="S2157" s="19">
        <f>IF(I2157="","",IF(AND(I2157="Gasto",K2157="Variable",J2157&lt;&gt;"Trading",O2157&gt;0,O2157&lt;=Umbral),1,0))</f>
        <v/>
      </c>
      <c r="T2157" s="20">
        <f>IF(OR(I2157="",E2157=""),"",IF(OR(I2157="Gasto",I2157="Transferencia",I2157="Pago tarjeta"),-1,1)*C2157)</f>
        <v/>
      </c>
      <c r="U2157" s="20">
        <f>IF(OR(G2157="",AND(I2157&lt;&gt;"Transferencia",I2157&lt;&gt;"Pago tarjeta")),"",IF(IFERROR(INDEX(ctaMon,MATCH(G2157,ctaNom,0))&amp;"","DOP")=N2157,C2157,IF(N2157="USD",C2157*TasaUSD,C2157/TasaUSD)))</f>
        <v/>
      </c>
      <c r="V2157" s="20">
        <f>IF(I2157="","",IF(IFERROR(INDEX(ctaLiq,MATCH(E2157,ctaNom,0))="Sí",FALSE),IF(OR(I2157="Gasto",I2157="Transferencia",I2157="Pago tarjeta"),-1,1)*O2157,0)+IF(AND(U2157&lt;&gt;"",IFERROR(INDEX(ctaLiq,MATCH(G2157,ctaNom,0))="Sí",FALSE)),O2157,0))</f>
        <v/>
      </c>
      <c r="W2157" s="19">
        <f>IF(OR(F2157="",I2157=""),"",IF(COUNTIFS(F$6:F2157,F2157,I$6:I2157,"?*")=1,MAX(W$5:W2156)+1,""))</f>
        <v/>
      </c>
    </row>
    <row r="2158">
      <c r="B2158" s="15" t="n"/>
      <c r="C2158" s="16" t="n"/>
      <c r="D2158" s="17" t="n"/>
      <c r="E2158" s="17" t="n"/>
      <c r="F2158" s="17" t="n"/>
      <c r="G2158" s="17" t="n"/>
      <c r="H2158" s="18">
        <f>IF(AND(B2158="",C2158="",D2158="",E2158=""),"",IF(B2158="","⚠ Falta fecha",IF(C2158="","⚠ Falta monto",IF(D2158="","⚠ Falta categoría",IF(ISNA(MATCH(D2158,catNom,0)),"⚠ Categoría no existe",IF(E2158="","⚠ Falta cuenta",IF(ISNA(MATCH(E2158,ctaNom,0)),"⚠ Cuenta no existe",IF(AND(OR(I2158="Transferencia",I2158="Pago tarjeta"),G2158=""),"⚠ Indica la cuenta «Hacia»",IF(AND(G2158&lt;&gt;"",G2158=E2158),"⚠ «Hacia» igual a la cuenta",IF(AND(G2158&lt;&gt;"",ISNA(MATCH(G2158,ctaNom,0))),"⚠ «Hacia» no existe",IF(AND(I2158="Pago tarjeta",IFERROR(INDEX(ctaTipo,MATCH(G2158,ctaNom,0)),"")&lt;&gt;"Tarjeta de crédito"),"⚠ «Hacia» debe ser la tarjeta",IF(AND(I2158="Trading",IFERROR(INDEX(ctaTipo,MATCH(E2158,ctaNom,0)),"")&lt;&gt;"Cuenta de trading"),"⚠ Usa la cuenta de trading","✓"))))))))))))</f>
        <v/>
      </c>
      <c r="I2158" s="19">
        <f>IF(OR(B2158="",C2158="",D2158=""),"",IFERROR(INDEX(catTipo,MATCH(D2158,catNom,0))&amp;"",""))</f>
        <v/>
      </c>
      <c r="J2158" s="19">
        <f>IF(I2158="","",IFERROR(INDEX(catGrupo,MATCH(D2158,catNom,0))&amp;"",""))</f>
        <v/>
      </c>
      <c r="K2158" s="19">
        <f>IF(I2158="Gasto",IF(IFERROR(INDEX(catClas,MATCH(D2158,catNom,0))&amp;"","")="","Variable",IFERROR(INDEX(catClas,MATCH(D2158,catNom,0))&amp;"","")),"")</f>
        <v/>
      </c>
      <c r="L2158" s="19">
        <f>IF(I2158="","",IFERROR(INDEX(catAlim,MATCH(D2158,catNom,0))&amp;"",""))</f>
        <v/>
      </c>
      <c r="M2158" s="19">
        <f>IF(I2158="","",IFERROR(INDEX(catComida,MATCH(D2158,catNom,0))&amp;"",""))</f>
        <v/>
      </c>
      <c r="N2158" s="19">
        <f>IF(I2158="","",IFERROR(INDEX(ctaMon,MATCH(E2158,ctaNom,0))&amp;"","DOP"))</f>
        <v/>
      </c>
      <c r="O2158" s="20">
        <f>IF(I2158="","",C2158*IF(N2158="USD",TasaUSD,1))</f>
        <v/>
      </c>
      <c r="P2158" s="20">
        <f>IF(I2158="","",IF(I2158="Gasto",O2158,0))</f>
        <v/>
      </c>
      <c r="Q2158" s="20">
        <f>IF(I2158="","",IF(I2158="Ingreso",O2158,0))</f>
        <v/>
      </c>
      <c r="R2158" s="20">
        <f>IF(I2158="","",IF(I2158="Trading",O2158,0))</f>
        <v/>
      </c>
      <c r="S2158" s="19">
        <f>IF(I2158="","",IF(AND(I2158="Gasto",K2158="Variable",J2158&lt;&gt;"Trading",O2158&gt;0,O2158&lt;=Umbral),1,0))</f>
        <v/>
      </c>
      <c r="T2158" s="20">
        <f>IF(OR(I2158="",E2158=""),"",IF(OR(I2158="Gasto",I2158="Transferencia",I2158="Pago tarjeta"),-1,1)*C2158)</f>
        <v/>
      </c>
      <c r="U2158" s="20">
        <f>IF(OR(G2158="",AND(I2158&lt;&gt;"Transferencia",I2158&lt;&gt;"Pago tarjeta")),"",IF(IFERROR(INDEX(ctaMon,MATCH(G2158,ctaNom,0))&amp;"","DOP")=N2158,C2158,IF(N2158="USD",C2158*TasaUSD,C2158/TasaUSD)))</f>
        <v/>
      </c>
      <c r="V2158" s="20">
        <f>IF(I2158="","",IF(IFERROR(INDEX(ctaLiq,MATCH(E2158,ctaNom,0))="Sí",FALSE),IF(OR(I2158="Gasto",I2158="Transferencia",I2158="Pago tarjeta"),-1,1)*O2158,0)+IF(AND(U2158&lt;&gt;"",IFERROR(INDEX(ctaLiq,MATCH(G2158,ctaNom,0))="Sí",FALSE)),O2158,0))</f>
        <v/>
      </c>
      <c r="W2158" s="19">
        <f>IF(OR(F2158="",I2158=""),"",IF(COUNTIFS(F$6:F2158,F2158,I$6:I2158,"?*")=1,MAX(W$5:W2157)+1,""))</f>
        <v/>
      </c>
    </row>
    <row r="2159">
      <c r="B2159" s="15" t="n"/>
      <c r="C2159" s="16" t="n"/>
      <c r="D2159" s="17" t="n"/>
      <c r="E2159" s="17" t="n"/>
      <c r="F2159" s="17" t="n"/>
      <c r="G2159" s="17" t="n"/>
      <c r="H2159" s="18">
        <f>IF(AND(B2159="",C2159="",D2159="",E2159=""),"",IF(B2159="","⚠ Falta fecha",IF(C2159="","⚠ Falta monto",IF(D2159="","⚠ Falta categoría",IF(ISNA(MATCH(D2159,catNom,0)),"⚠ Categoría no existe",IF(E2159="","⚠ Falta cuenta",IF(ISNA(MATCH(E2159,ctaNom,0)),"⚠ Cuenta no existe",IF(AND(OR(I2159="Transferencia",I2159="Pago tarjeta"),G2159=""),"⚠ Indica la cuenta «Hacia»",IF(AND(G2159&lt;&gt;"",G2159=E2159),"⚠ «Hacia» igual a la cuenta",IF(AND(G2159&lt;&gt;"",ISNA(MATCH(G2159,ctaNom,0))),"⚠ «Hacia» no existe",IF(AND(I2159="Pago tarjeta",IFERROR(INDEX(ctaTipo,MATCH(G2159,ctaNom,0)),"")&lt;&gt;"Tarjeta de crédito"),"⚠ «Hacia» debe ser la tarjeta",IF(AND(I2159="Trading",IFERROR(INDEX(ctaTipo,MATCH(E2159,ctaNom,0)),"")&lt;&gt;"Cuenta de trading"),"⚠ Usa la cuenta de trading","✓"))))))))))))</f>
        <v/>
      </c>
      <c r="I2159" s="19">
        <f>IF(OR(B2159="",C2159="",D2159=""),"",IFERROR(INDEX(catTipo,MATCH(D2159,catNom,0))&amp;"",""))</f>
        <v/>
      </c>
      <c r="J2159" s="19">
        <f>IF(I2159="","",IFERROR(INDEX(catGrupo,MATCH(D2159,catNom,0))&amp;"",""))</f>
        <v/>
      </c>
      <c r="K2159" s="19">
        <f>IF(I2159="Gasto",IF(IFERROR(INDEX(catClas,MATCH(D2159,catNom,0))&amp;"","")="","Variable",IFERROR(INDEX(catClas,MATCH(D2159,catNom,0))&amp;"","")),"")</f>
        <v/>
      </c>
      <c r="L2159" s="19">
        <f>IF(I2159="","",IFERROR(INDEX(catAlim,MATCH(D2159,catNom,0))&amp;"",""))</f>
        <v/>
      </c>
      <c r="M2159" s="19">
        <f>IF(I2159="","",IFERROR(INDEX(catComida,MATCH(D2159,catNom,0))&amp;"",""))</f>
        <v/>
      </c>
      <c r="N2159" s="19">
        <f>IF(I2159="","",IFERROR(INDEX(ctaMon,MATCH(E2159,ctaNom,0))&amp;"","DOP"))</f>
        <v/>
      </c>
      <c r="O2159" s="20">
        <f>IF(I2159="","",C2159*IF(N2159="USD",TasaUSD,1))</f>
        <v/>
      </c>
      <c r="P2159" s="20">
        <f>IF(I2159="","",IF(I2159="Gasto",O2159,0))</f>
        <v/>
      </c>
      <c r="Q2159" s="20">
        <f>IF(I2159="","",IF(I2159="Ingreso",O2159,0))</f>
        <v/>
      </c>
      <c r="R2159" s="20">
        <f>IF(I2159="","",IF(I2159="Trading",O2159,0))</f>
        <v/>
      </c>
      <c r="S2159" s="19">
        <f>IF(I2159="","",IF(AND(I2159="Gasto",K2159="Variable",J2159&lt;&gt;"Trading",O2159&gt;0,O2159&lt;=Umbral),1,0))</f>
        <v/>
      </c>
      <c r="T2159" s="20">
        <f>IF(OR(I2159="",E2159=""),"",IF(OR(I2159="Gasto",I2159="Transferencia",I2159="Pago tarjeta"),-1,1)*C2159)</f>
        <v/>
      </c>
      <c r="U2159" s="20">
        <f>IF(OR(G2159="",AND(I2159&lt;&gt;"Transferencia",I2159&lt;&gt;"Pago tarjeta")),"",IF(IFERROR(INDEX(ctaMon,MATCH(G2159,ctaNom,0))&amp;"","DOP")=N2159,C2159,IF(N2159="USD",C2159*TasaUSD,C2159/TasaUSD)))</f>
        <v/>
      </c>
      <c r="V2159" s="20">
        <f>IF(I2159="","",IF(IFERROR(INDEX(ctaLiq,MATCH(E2159,ctaNom,0))="Sí",FALSE),IF(OR(I2159="Gasto",I2159="Transferencia",I2159="Pago tarjeta"),-1,1)*O2159,0)+IF(AND(U2159&lt;&gt;"",IFERROR(INDEX(ctaLiq,MATCH(G2159,ctaNom,0))="Sí",FALSE)),O2159,0))</f>
        <v/>
      </c>
      <c r="W2159" s="19">
        <f>IF(OR(F2159="",I2159=""),"",IF(COUNTIFS(F$6:F2159,F2159,I$6:I2159,"?*")=1,MAX(W$5:W2158)+1,""))</f>
        <v/>
      </c>
    </row>
    <row r="2160">
      <c r="B2160" s="15" t="n"/>
      <c r="C2160" s="16" t="n"/>
      <c r="D2160" s="17" t="n"/>
      <c r="E2160" s="17" t="n"/>
      <c r="F2160" s="17" t="n"/>
      <c r="G2160" s="17" t="n"/>
      <c r="H2160" s="18">
        <f>IF(AND(B2160="",C2160="",D2160="",E2160=""),"",IF(B2160="","⚠ Falta fecha",IF(C2160="","⚠ Falta monto",IF(D2160="","⚠ Falta categoría",IF(ISNA(MATCH(D2160,catNom,0)),"⚠ Categoría no existe",IF(E2160="","⚠ Falta cuenta",IF(ISNA(MATCH(E2160,ctaNom,0)),"⚠ Cuenta no existe",IF(AND(OR(I2160="Transferencia",I2160="Pago tarjeta"),G2160=""),"⚠ Indica la cuenta «Hacia»",IF(AND(G2160&lt;&gt;"",G2160=E2160),"⚠ «Hacia» igual a la cuenta",IF(AND(G2160&lt;&gt;"",ISNA(MATCH(G2160,ctaNom,0))),"⚠ «Hacia» no existe",IF(AND(I2160="Pago tarjeta",IFERROR(INDEX(ctaTipo,MATCH(G2160,ctaNom,0)),"")&lt;&gt;"Tarjeta de crédito"),"⚠ «Hacia» debe ser la tarjeta",IF(AND(I2160="Trading",IFERROR(INDEX(ctaTipo,MATCH(E2160,ctaNom,0)),"")&lt;&gt;"Cuenta de trading"),"⚠ Usa la cuenta de trading","✓"))))))))))))</f>
        <v/>
      </c>
      <c r="I2160" s="19">
        <f>IF(OR(B2160="",C2160="",D2160=""),"",IFERROR(INDEX(catTipo,MATCH(D2160,catNom,0))&amp;"",""))</f>
        <v/>
      </c>
      <c r="J2160" s="19">
        <f>IF(I2160="","",IFERROR(INDEX(catGrupo,MATCH(D2160,catNom,0))&amp;"",""))</f>
        <v/>
      </c>
      <c r="K2160" s="19">
        <f>IF(I2160="Gasto",IF(IFERROR(INDEX(catClas,MATCH(D2160,catNom,0))&amp;"","")="","Variable",IFERROR(INDEX(catClas,MATCH(D2160,catNom,0))&amp;"","")),"")</f>
        <v/>
      </c>
      <c r="L2160" s="19">
        <f>IF(I2160="","",IFERROR(INDEX(catAlim,MATCH(D2160,catNom,0))&amp;"",""))</f>
        <v/>
      </c>
      <c r="M2160" s="19">
        <f>IF(I2160="","",IFERROR(INDEX(catComida,MATCH(D2160,catNom,0))&amp;"",""))</f>
        <v/>
      </c>
      <c r="N2160" s="19">
        <f>IF(I2160="","",IFERROR(INDEX(ctaMon,MATCH(E2160,ctaNom,0))&amp;"","DOP"))</f>
        <v/>
      </c>
      <c r="O2160" s="20">
        <f>IF(I2160="","",C2160*IF(N2160="USD",TasaUSD,1))</f>
        <v/>
      </c>
      <c r="P2160" s="20">
        <f>IF(I2160="","",IF(I2160="Gasto",O2160,0))</f>
        <v/>
      </c>
      <c r="Q2160" s="20">
        <f>IF(I2160="","",IF(I2160="Ingreso",O2160,0))</f>
        <v/>
      </c>
      <c r="R2160" s="20">
        <f>IF(I2160="","",IF(I2160="Trading",O2160,0))</f>
        <v/>
      </c>
      <c r="S2160" s="19">
        <f>IF(I2160="","",IF(AND(I2160="Gasto",K2160="Variable",J2160&lt;&gt;"Trading",O2160&gt;0,O2160&lt;=Umbral),1,0))</f>
        <v/>
      </c>
      <c r="T2160" s="20">
        <f>IF(OR(I2160="",E2160=""),"",IF(OR(I2160="Gasto",I2160="Transferencia",I2160="Pago tarjeta"),-1,1)*C2160)</f>
        <v/>
      </c>
      <c r="U2160" s="20">
        <f>IF(OR(G2160="",AND(I2160&lt;&gt;"Transferencia",I2160&lt;&gt;"Pago tarjeta")),"",IF(IFERROR(INDEX(ctaMon,MATCH(G2160,ctaNom,0))&amp;"","DOP")=N2160,C2160,IF(N2160="USD",C2160*TasaUSD,C2160/TasaUSD)))</f>
        <v/>
      </c>
      <c r="V2160" s="20">
        <f>IF(I2160="","",IF(IFERROR(INDEX(ctaLiq,MATCH(E2160,ctaNom,0))="Sí",FALSE),IF(OR(I2160="Gasto",I2160="Transferencia",I2160="Pago tarjeta"),-1,1)*O2160,0)+IF(AND(U2160&lt;&gt;"",IFERROR(INDEX(ctaLiq,MATCH(G2160,ctaNom,0))="Sí",FALSE)),O2160,0))</f>
        <v/>
      </c>
      <c r="W2160" s="19">
        <f>IF(OR(F2160="",I2160=""),"",IF(COUNTIFS(F$6:F2160,F2160,I$6:I2160,"?*")=1,MAX(W$5:W2159)+1,""))</f>
        <v/>
      </c>
    </row>
    <row r="2161">
      <c r="B2161" s="15" t="n"/>
      <c r="C2161" s="16" t="n"/>
      <c r="D2161" s="17" t="n"/>
      <c r="E2161" s="17" t="n"/>
      <c r="F2161" s="17" t="n"/>
      <c r="G2161" s="17" t="n"/>
      <c r="H2161" s="18">
        <f>IF(AND(B2161="",C2161="",D2161="",E2161=""),"",IF(B2161="","⚠ Falta fecha",IF(C2161="","⚠ Falta monto",IF(D2161="","⚠ Falta categoría",IF(ISNA(MATCH(D2161,catNom,0)),"⚠ Categoría no existe",IF(E2161="","⚠ Falta cuenta",IF(ISNA(MATCH(E2161,ctaNom,0)),"⚠ Cuenta no existe",IF(AND(OR(I2161="Transferencia",I2161="Pago tarjeta"),G2161=""),"⚠ Indica la cuenta «Hacia»",IF(AND(G2161&lt;&gt;"",G2161=E2161),"⚠ «Hacia» igual a la cuenta",IF(AND(G2161&lt;&gt;"",ISNA(MATCH(G2161,ctaNom,0))),"⚠ «Hacia» no existe",IF(AND(I2161="Pago tarjeta",IFERROR(INDEX(ctaTipo,MATCH(G2161,ctaNom,0)),"")&lt;&gt;"Tarjeta de crédito"),"⚠ «Hacia» debe ser la tarjeta",IF(AND(I2161="Trading",IFERROR(INDEX(ctaTipo,MATCH(E2161,ctaNom,0)),"")&lt;&gt;"Cuenta de trading"),"⚠ Usa la cuenta de trading","✓"))))))))))))</f>
        <v/>
      </c>
      <c r="I2161" s="19">
        <f>IF(OR(B2161="",C2161="",D2161=""),"",IFERROR(INDEX(catTipo,MATCH(D2161,catNom,0))&amp;"",""))</f>
        <v/>
      </c>
      <c r="J2161" s="19">
        <f>IF(I2161="","",IFERROR(INDEX(catGrupo,MATCH(D2161,catNom,0))&amp;"",""))</f>
        <v/>
      </c>
      <c r="K2161" s="19">
        <f>IF(I2161="Gasto",IF(IFERROR(INDEX(catClas,MATCH(D2161,catNom,0))&amp;"","")="","Variable",IFERROR(INDEX(catClas,MATCH(D2161,catNom,0))&amp;"","")),"")</f>
        <v/>
      </c>
      <c r="L2161" s="19">
        <f>IF(I2161="","",IFERROR(INDEX(catAlim,MATCH(D2161,catNom,0))&amp;"",""))</f>
        <v/>
      </c>
      <c r="M2161" s="19">
        <f>IF(I2161="","",IFERROR(INDEX(catComida,MATCH(D2161,catNom,0))&amp;"",""))</f>
        <v/>
      </c>
      <c r="N2161" s="19">
        <f>IF(I2161="","",IFERROR(INDEX(ctaMon,MATCH(E2161,ctaNom,0))&amp;"","DOP"))</f>
        <v/>
      </c>
      <c r="O2161" s="20">
        <f>IF(I2161="","",C2161*IF(N2161="USD",TasaUSD,1))</f>
        <v/>
      </c>
      <c r="P2161" s="20">
        <f>IF(I2161="","",IF(I2161="Gasto",O2161,0))</f>
        <v/>
      </c>
      <c r="Q2161" s="20">
        <f>IF(I2161="","",IF(I2161="Ingreso",O2161,0))</f>
        <v/>
      </c>
      <c r="R2161" s="20">
        <f>IF(I2161="","",IF(I2161="Trading",O2161,0))</f>
        <v/>
      </c>
      <c r="S2161" s="19">
        <f>IF(I2161="","",IF(AND(I2161="Gasto",K2161="Variable",J2161&lt;&gt;"Trading",O2161&gt;0,O2161&lt;=Umbral),1,0))</f>
        <v/>
      </c>
      <c r="T2161" s="20">
        <f>IF(OR(I2161="",E2161=""),"",IF(OR(I2161="Gasto",I2161="Transferencia",I2161="Pago tarjeta"),-1,1)*C2161)</f>
        <v/>
      </c>
      <c r="U2161" s="20">
        <f>IF(OR(G2161="",AND(I2161&lt;&gt;"Transferencia",I2161&lt;&gt;"Pago tarjeta")),"",IF(IFERROR(INDEX(ctaMon,MATCH(G2161,ctaNom,0))&amp;"","DOP")=N2161,C2161,IF(N2161="USD",C2161*TasaUSD,C2161/TasaUSD)))</f>
        <v/>
      </c>
      <c r="V2161" s="20">
        <f>IF(I2161="","",IF(IFERROR(INDEX(ctaLiq,MATCH(E2161,ctaNom,0))="Sí",FALSE),IF(OR(I2161="Gasto",I2161="Transferencia",I2161="Pago tarjeta"),-1,1)*O2161,0)+IF(AND(U2161&lt;&gt;"",IFERROR(INDEX(ctaLiq,MATCH(G2161,ctaNom,0))="Sí",FALSE)),O2161,0))</f>
        <v/>
      </c>
      <c r="W2161" s="19">
        <f>IF(OR(F2161="",I2161=""),"",IF(COUNTIFS(F$6:F2161,F2161,I$6:I2161,"?*")=1,MAX(W$5:W2160)+1,""))</f>
        <v/>
      </c>
    </row>
    <row r="2162">
      <c r="B2162" s="15" t="n"/>
      <c r="C2162" s="16" t="n"/>
      <c r="D2162" s="17" t="n"/>
      <c r="E2162" s="17" t="n"/>
      <c r="F2162" s="17" t="n"/>
      <c r="G2162" s="17" t="n"/>
      <c r="H2162" s="18">
        <f>IF(AND(B2162="",C2162="",D2162="",E2162=""),"",IF(B2162="","⚠ Falta fecha",IF(C2162="","⚠ Falta monto",IF(D2162="","⚠ Falta categoría",IF(ISNA(MATCH(D2162,catNom,0)),"⚠ Categoría no existe",IF(E2162="","⚠ Falta cuenta",IF(ISNA(MATCH(E2162,ctaNom,0)),"⚠ Cuenta no existe",IF(AND(OR(I2162="Transferencia",I2162="Pago tarjeta"),G2162=""),"⚠ Indica la cuenta «Hacia»",IF(AND(G2162&lt;&gt;"",G2162=E2162),"⚠ «Hacia» igual a la cuenta",IF(AND(G2162&lt;&gt;"",ISNA(MATCH(G2162,ctaNom,0))),"⚠ «Hacia» no existe",IF(AND(I2162="Pago tarjeta",IFERROR(INDEX(ctaTipo,MATCH(G2162,ctaNom,0)),"")&lt;&gt;"Tarjeta de crédito"),"⚠ «Hacia» debe ser la tarjeta",IF(AND(I2162="Trading",IFERROR(INDEX(ctaTipo,MATCH(E2162,ctaNom,0)),"")&lt;&gt;"Cuenta de trading"),"⚠ Usa la cuenta de trading","✓"))))))))))))</f>
        <v/>
      </c>
      <c r="I2162" s="19">
        <f>IF(OR(B2162="",C2162="",D2162=""),"",IFERROR(INDEX(catTipo,MATCH(D2162,catNom,0))&amp;"",""))</f>
        <v/>
      </c>
      <c r="J2162" s="19">
        <f>IF(I2162="","",IFERROR(INDEX(catGrupo,MATCH(D2162,catNom,0))&amp;"",""))</f>
        <v/>
      </c>
      <c r="K2162" s="19">
        <f>IF(I2162="Gasto",IF(IFERROR(INDEX(catClas,MATCH(D2162,catNom,0))&amp;"","")="","Variable",IFERROR(INDEX(catClas,MATCH(D2162,catNom,0))&amp;"","")),"")</f>
        <v/>
      </c>
      <c r="L2162" s="19">
        <f>IF(I2162="","",IFERROR(INDEX(catAlim,MATCH(D2162,catNom,0))&amp;"",""))</f>
        <v/>
      </c>
      <c r="M2162" s="19">
        <f>IF(I2162="","",IFERROR(INDEX(catComida,MATCH(D2162,catNom,0))&amp;"",""))</f>
        <v/>
      </c>
      <c r="N2162" s="19">
        <f>IF(I2162="","",IFERROR(INDEX(ctaMon,MATCH(E2162,ctaNom,0))&amp;"","DOP"))</f>
        <v/>
      </c>
      <c r="O2162" s="20">
        <f>IF(I2162="","",C2162*IF(N2162="USD",TasaUSD,1))</f>
        <v/>
      </c>
      <c r="P2162" s="20">
        <f>IF(I2162="","",IF(I2162="Gasto",O2162,0))</f>
        <v/>
      </c>
      <c r="Q2162" s="20">
        <f>IF(I2162="","",IF(I2162="Ingreso",O2162,0))</f>
        <v/>
      </c>
      <c r="R2162" s="20">
        <f>IF(I2162="","",IF(I2162="Trading",O2162,0))</f>
        <v/>
      </c>
      <c r="S2162" s="19">
        <f>IF(I2162="","",IF(AND(I2162="Gasto",K2162="Variable",J2162&lt;&gt;"Trading",O2162&gt;0,O2162&lt;=Umbral),1,0))</f>
        <v/>
      </c>
      <c r="T2162" s="20">
        <f>IF(OR(I2162="",E2162=""),"",IF(OR(I2162="Gasto",I2162="Transferencia",I2162="Pago tarjeta"),-1,1)*C2162)</f>
        <v/>
      </c>
      <c r="U2162" s="20">
        <f>IF(OR(G2162="",AND(I2162&lt;&gt;"Transferencia",I2162&lt;&gt;"Pago tarjeta")),"",IF(IFERROR(INDEX(ctaMon,MATCH(G2162,ctaNom,0))&amp;"","DOP")=N2162,C2162,IF(N2162="USD",C2162*TasaUSD,C2162/TasaUSD)))</f>
        <v/>
      </c>
      <c r="V2162" s="20">
        <f>IF(I2162="","",IF(IFERROR(INDEX(ctaLiq,MATCH(E2162,ctaNom,0))="Sí",FALSE),IF(OR(I2162="Gasto",I2162="Transferencia",I2162="Pago tarjeta"),-1,1)*O2162,0)+IF(AND(U2162&lt;&gt;"",IFERROR(INDEX(ctaLiq,MATCH(G2162,ctaNom,0))="Sí",FALSE)),O2162,0))</f>
        <v/>
      </c>
      <c r="W2162" s="19">
        <f>IF(OR(F2162="",I2162=""),"",IF(COUNTIFS(F$6:F2162,F2162,I$6:I2162,"?*")=1,MAX(W$5:W2161)+1,""))</f>
        <v/>
      </c>
    </row>
    <row r="2163">
      <c r="B2163" s="15" t="n"/>
      <c r="C2163" s="16" t="n"/>
      <c r="D2163" s="17" t="n"/>
      <c r="E2163" s="17" t="n"/>
      <c r="F2163" s="17" t="n"/>
      <c r="G2163" s="17" t="n"/>
      <c r="H2163" s="18">
        <f>IF(AND(B2163="",C2163="",D2163="",E2163=""),"",IF(B2163="","⚠ Falta fecha",IF(C2163="","⚠ Falta monto",IF(D2163="","⚠ Falta categoría",IF(ISNA(MATCH(D2163,catNom,0)),"⚠ Categoría no existe",IF(E2163="","⚠ Falta cuenta",IF(ISNA(MATCH(E2163,ctaNom,0)),"⚠ Cuenta no existe",IF(AND(OR(I2163="Transferencia",I2163="Pago tarjeta"),G2163=""),"⚠ Indica la cuenta «Hacia»",IF(AND(G2163&lt;&gt;"",G2163=E2163),"⚠ «Hacia» igual a la cuenta",IF(AND(G2163&lt;&gt;"",ISNA(MATCH(G2163,ctaNom,0))),"⚠ «Hacia» no existe",IF(AND(I2163="Pago tarjeta",IFERROR(INDEX(ctaTipo,MATCH(G2163,ctaNom,0)),"")&lt;&gt;"Tarjeta de crédito"),"⚠ «Hacia» debe ser la tarjeta",IF(AND(I2163="Trading",IFERROR(INDEX(ctaTipo,MATCH(E2163,ctaNom,0)),"")&lt;&gt;"Cuenta de trading"),"⚠ Usa la cuenta de trading","✓"))))))))))))</f>
        <v/>
      </c>
      <c r="I2163" s="19">
        <f>IF(OR(B2163="",C2163="",D2163=""),"",IFERROR(INDEX(catTipo,MATCH(D2163,catNom,0))&amp;"",""))</f>
        <v/>
      </c>
      <c r="J2163" s="19">
        <f>IF(I2163="","",IFERROR(INDEX(catGrupo,MATCH(D2163,catNom,0))&amp;"",""))</f>
        <v/>
      </c>
      <c r="K2163" s="19">
        <f>IF(I2163="Gasto",IF(IFERROR(INDEX(catClas,MATCH(D2163,catNom,0))&amp;"","")="","Variable",IFERROR(INDEX(catClas,MATCH(D2163,catNom,0))&amp;"","")),"")</f>
        <v/>
      </c>
      <c r="L2163" s="19">
        <f>IF(I2163="","",IFERROR(INDEX(catAlim,MATCH(D2163,catNom,0))&amp;"",""))</f>
        <v/>
      </c>
      <c r="M2163" s="19">
        <f>IF(I2163="","",IFERROR(INDEX(catComida,MATCH(D2163,catNom,0))&amp;"",""))</f>
        <v/>
      </c>
      <c r="N2163" s="19">
        <f>IF(I2163="","",IFERROR(INDEX(ctaMon,MATCH(E2163,ctaNom,0))&amp;"","DOP"))</f>
        <v/>
      </c>
      <c r="O2163" s="20">
        <f>IF(I2163="","",C2163*IF(N2163="USD",TasaUSD,1))</f>
        <v/>
      </c>
      <c r="P2163" s="20">
        <f>IF(I2163="","",IF(I2163="Gasto",O2163,0))</f>
        <v/>
      </c>
      <c r="Q2163" s="20">
        <f>IF(I2163="","",IF(I2163="Ingreso",O2163,0))</f>
        <v/>
      </c>
      <c r="R2163" s="20">
        <f>IF(I2163="","",IF(I2163="Trading",O2163,0))</f>
        <v/>
      </c>
      <c r="S2163" s="19">
        <f>IF(I2163="","",IF(AND(I2163="Gasto",K2163="Variable",J2163&lt;&gt;"Trading",O2163&gt;0,O2163&lt;=Umbral),1,0))</f>
        <v/>
      </c>
      <c r="T2163" s="20">
        <f>IF(OR(I2163="",E2163=""),"",IF(OR(I2163="Gasto",I2163="Transferencia",I2163="Pago tarjeta"),-1,1)*C2163)</f>
        <v/>
      </c>
      <c r="U2163" s="20">
        <f>IF(OR(G2163="",AND(I2163&lt;&gt;"Transferencia",I2163&lt;&gt;"Pago tarjeta")),"",IF(IFERROR(INDEX(ctaMon,MATCH(G2163,ctaNom,0))&amp;"","DOP")=N2163,C2163,IF(N2163="USD",C2163*TasaUSD,C2163/TasaUSD)))</f>
        <v/>
      </c>
      <c r="V2163" s="20">
        <f>IF(I2163="","",IF(IFERROR(INDEX(ctaLiq,MATCH(E2163,ctaNom,0))="Sí",FALSE),IF(OR(I2163="Gasto",I2163="Transferencia",I2163="Pago tarjeta"),-1,1)*O2163,0)+IF(AND(U2163&lt;&gt;"",IFERROR(INDEX(ctaLiq,MATCH(G2163,ctaNom,0))="Sí",FALSE)),O2163,0))</f>
        <v/>
      </c>
      <c r="W2163" s="19">
        <f>IF(OR(F2163="",I2163=""),"",IF(COUNTIFS(F$6:F2163,F2163,I$6:I2163,"?*")=1,MAX(W$5:W2162)+1,""))</f>
        <v/>
      </c>
    </row>
    <row r="2164">
      <c r="B2164" s="15" t="n"/>
      <c r="C2164" s="16" t="n"/>
      <c r="D2164" s="17" t="n"/>
      <c r="E2164" s="17" t="n"/>
      <c r="F2164" s="17" t="n"/>
      <c r="G2164" s="17" t="n"/>
      <c r="H2164" s="18">
        <f>IF(AND(B2164="",C2164="",D2164="",E2164=""),"",IF(B2164="","⚠ Falta fecha",IF(C2164="","⚠ Falta monto",IF(D2164="","⚠ Falta categoría",IF(ISNA(MATCH(D2164,catNom,0)),"⚠ Categoría no existe",IF(E2164="","⚠ Falta cuenta",IF(ISNA(MATCH(E2164,ctaNom,0)),"⚠ Cuenta no existe",IF(AND(OR(I2164="Transferencia",I2164="Pago tarjeta"),G2164=""),"⚠ Indica la cuenta «Hacia»",IF(AND(G2164&lt;&gt;"",G2164=E2164),"⚠ «Hacia» igual a la cuenta",IF(AND(G2164&lt;&gt;"",ISNA(MATCH(G2164,ctaNom,0))),"⚠ «Hacia» no existe",IF(AND(I2164="Pago tarjeta",IFERROR(INDEX(ctaTipo,MATCH(G2164,ctaNom,0)),"")&lt;&gt;"Tarjeta de crédito"),"⚠ «Hacia» debe ser la tarjeta",IF(AND(I2164="Trading",IFERROR(INDEX(ctaTipo,MATCH(E2164,ctaNom,0)),"")&lt;&gt;"Cuenta de trading"),"⚠ Usa la cuenta de trading","✓"))))))))))))</f>
        <v/>
      </c>
      <c r="I2164" s="19">
        <f>IF(OR(B2164="",C2164="",D2164=""),"",IFERROR(INDEX(catTipo,MATCH(D2164,catNom,0))&amp;"",""))</f>
        <v/>
      </c>
      <c r="J2164" s="19">
        <f>IF(I2164="","",IFERROR(INDEX(catGrupo,MATCH(D2164,catNom,0))&amp;"",""))</f>
        <v/>
      </c>
      <c r="K2164" s="19">
        <f>IF(I2164="Gasto",IF(IFERROR(INDEX(catClas,MATCH(D2164,catNom,0))&amp;"","")="","Variable",IFERROR(INDEX(catClas,MATCH(D2164,catNom,0))&amp;"","")),"")</f>
        <v/>
      </c>
      <c r="L2164" s="19">
        <f>IF(I2164="","",IFERROR(INDEX(catAlim,MATCH(D2164,catNom,0))&amp;"",""))</f>
        <v/>
      </c>
      <c r="M2164" s="19">
        <f>IF(I2164="","",IFERROR(INDEX(catComida,MATCH(D2164,catNom,0))&amp;"",""))</f>
        <v/>
      </c>
      <c r="N2164" s="19">
        <f>IF(I2164="","",IFERROR(INDEX(ctaMon,MATCH(E2164,ctaNom,0))&amp;"","DOP"))</f>
        <v/>
      </c>
      <c r="O2164" s="20">
        <f>IF(I2164="","",C2164*IF(N2164="USD",TasaUSD,1))</f>
        <v/>
      </c>
      <c r="P2164" s="20">
        <f>IF(I2164="","",IF(I2164="Gasto",O2164,0))</f>
        <v/>
      </c>
      <c r="Q2164" s="20">
        <f>IF(I2164="","",IF(I2164="Ingreso",O2164,0))</f>
        <v/>
      </c>
      <c r="R2164" s="20">
        <f>IF(I2164="","",IF(I2164="Trading",O2164,0))</f>
        <v/>
      </c>
      <c r="S2164" s="19">
        <f>IF(I2164="","",IF(AND(I2164="Gasto",K2164="Variable",J2164&lt;&gt;"Trading",O2164&gt;0,O2164&lt;=Umbral),1,0))</f>
        <v/>
      </c>
      <c r="T2164" s="20">
        <f>IF(OR(I2164="",E2164=""),"",IF(OR(I2164="Gasto",I2164="Transferencia",I2164="Pago tarjeta"),-1,1)*C2164)</f>
        <v/>
      </c>
      <c r="U2164" s="20">
        <f>IF(OR(G2164="",AND(I2164&lt;&gt;"Transferencia",I2164&lt;&gt;"Pago tarjeta")),"",IF(IFERROR(INDEX(ctaMon,MATCH(G2164,ctaNom,0))&amp;"","DOP")=N2164,C2164,IF(N2164="USD",C2164*TasaUSD,C2164/TasaUSD)))</f>
        <v/>
      </c>
      <c r="V2164" s="20">
        <f>IF(I2164="","",IF(IFERROR(INDEX(ctaLiq,MATCH(E2164,ctaNom,0))="Sí",FALSE),IF(OR(I2164="Gasto",I2164="Transferencia",I2164="Pago tarjeta"),-1,1)*O2164,0)+IF(AND(U2164&lt;&gt;"",IFERROR(INDEX(ctaLiq,MATCH(G2164,ctaNom,0))="Sí",FALSE)),O2164,0))</f>
        <v/>
      </c>
      <c r="W2164" s="19">
        <f>IF(OR(F2164="",I2164=""),"",IF(COUNTIFS(F$6:F2164,F2164,I$6:I2164,"?*")=1,MAX(W$5:W2163)+1,""))</f>
        <v/>
      </c>
    </row>
    <row r="2165">
      <c r="B2165" s="15" t="n"/>
      <c r="C2165" s="16" t="n"/>
      <c r="D2165" s="17" t="n"/>
      <c r="E2165" s="17" t="n"/>
      <c r="F2165" s="17" t="n"/>
      <c r="G2165" s="17" t="n"/>
      <c r="H2165" s="18">
        <f>IF(AND(B2165="",C2165="",D2165="",E2165=""),"",IF(B2165="","⚠ Falta fecha",IF(C2165="","⚠ Falta monto",IF(D2165="","⚠ Falta categoría",IF(ISNA(MATCH(D2165,catNom,0)),"⚠ Categoría no existe",IF(E2165="","⚠ Falta cuenta",IF(ISNA(MATCH(E2165,ctaNom,0)),"⚠ Cuenta no existe",IF(AND(OR(I2165="Transferencia",I2165="Pago tarjeta"),G2165=""),"⚠ Indica la cuenta «Hacia»",IF(AND(G2165&lt;&gt;"",G2165=E2165),"⚠ «Hacia» igual a la cuenta",IF(AND(G2165&lt;&gt;"",ISNA(MATCH(G2165,ctaNom,0))),"⚠ «Hacia» no existe",IF(AND(I2165="Pago tarjeta",IFERROR(INDEX(ctaTipo,MATCH(G2165,ctaNom,0)),"")&lt;&gt;"Tarjeta de crédito"),"⚠ «Hacia» debe ser la tarjeta",IF(AND(I2165="Trading",IFERROR(INDEX(ctaTipo,MATCH(E2165,ctaNom,0)),"")&lt;&gt;"Cuenta de trading"),"⚠ Usa la cuenta de trading","✓"))))))))))))</f>
        <v/>
      </c>
      <c r="I2165" s="19">
        <f>IF(OR(B2165="",C2165="",D2165=""),"",IFERROR(INDEX(catTipo,MATCH(D2165,catNom,0))&amp;"",""))</f>
        <v/>
      </c>
      <c r="J2165" s="19">
        <f>IF(I2165="","",IFERROR(INDEX(catGrupo,MATCH(D2165,catNom,0))&amp;"",""))</f>
        <v/>
      </c>
      <c r="K2165" s="19">
        <f>IF(I2165="Gasto",IF(IFERROR(INDEX(catClas,MATCH(D2165,catNom,0))&amp;"","")="","Variable",IFERROR(INDEX(catClas,MATCH(D2165,catNom,0))&amp;"","")),"")</f>
        <v/>
      </c>
      <c r="L2165" s="19">
        <f>IF(I2165="","",IFERROR(INDEX(catAlim,MATCH(D2165,catNom,0))&amp;"",""))</f>
        <v/>
      </c>
      <c r="M2165" s="19">
        <f>IF(I2165="","",IFERROR(INDEX(catComida,MATCH(D2165,catNom,0))&amp;"",""))</f>
        <v/>
      </c>
      <c r="N2165" s="19">
        <f>IF(I2165="","",IFERROR(INDEX(ctaMon,MATCH(E2165,ctaNom,0))&amp;"","DOP"))</f>
        <v/>
      </c>
      <c r="O2165" s="20">
        <f>IF(I2165="","",C2165*IF(N2165="USD",TasaUSD,1))</f>
        <v/>
      </c>
      <c r="P2165" s="20">
        <f>IF(I2165="","",IF(I2165="Gasto",O2165,0))</f>
        <v/>
      </c>
      <c r="Q2165" s="20">
        <f>IF(I2165="","",IF(I2165="Ingreso",O2165,0))</f>
        <v/>
      </c>
      <c r="R2165" s="20">
        <f>IF(I2165="","",IF(I2165="Trading",O2165,0))</f>
        <v/>
      </c>
      <c r="S2165" s="19">
        <f>IF(I2165="","",IF(AND(I2165="Gasto",K2165="Variable",J2165&lt;&gt;"Trading",O2165&gt;0,O2165&lt;=Umbral),1,0))</f>
        <v/>
      </c>
      <c r="T2165" s="20">
        <f>IF(OR(I2165="",E2165=""),"",IF(OR(I2165="Gasto",I2165="Transferencia",I2165="Pago tarjeta"),-1,1)*C2165)</f>
        <v/>
      </c>
      <c r="U2165" s="20">
        <f>IF(OR(G2165="",AND(I2165&lt;&gt;"Transferencia",I2165&lt;&gt;"Pago tarjeta")),"",IF(IFERROR(INDEX(ctaMon,MATCH(G2165,ctaNom,0))&amp;"","DOP")=N2165,C2165,IF(N2165="USD",C2165*TasaUSD,C2165/TasaUSD)))</f>
        <v/>
      </c>
      <c r="V2165" s="20">
        <f>IF(I2165="","",IF(IFERROR(INDEX(ctaLiq,MATCH(E2165,ctaNom,0))="Sí",FALSE),IF(OR(I2165="Gasto",I2165="Transferencia",I2165="Pago tarjeta"),-1,1)*O2165,0)+IF(AND(U2165&lt;&gt;"",IFERROR(INDEX(ctaLiq,MATCH(G2165,ctaNom,0))="Sí",FALSE)),O2165,0))</f>
        <v/>
      </c>
      <c r="W2165" s="19">
        <f>IF(OR(F2165="",I2165=""),"",IF(COUNTIFS(F$6:F2165,F2165,I$6:I2165,"?*")=1,MAX(W$5:W2164)+1,""))</f>
        <v/>
      </c>
    </row>
    <row r="2166">
      <c r="B2166" s="15" t="n"/>
      <c r="C2166" s="16" t="n"/>
      <c r="D2166" s="17" t="n"/>
      <c r="E2166" s="17" t="n"/>
      <c r="F2166" s="17" t="n"/>
      <c r="G2166" s="17" t="n"/>
      <c r="H2166" s="18">
        <f>IF(AND(B2166="",C2166="",D2166="",E2166=""),"",IF(B2166="","⚠ Falta fecha",IF(C2166="","⚠ Falta monto",IF(D2166="","⚠ Falta categoría",IF(ISNA(MATCH(D2166,catNom,0)),"⚠ Categoría no existe",IF(E2166="","⚠ Falta cuenta",IF(ISNA(MATCH(E2166,ctaNom,0)),"⚠ Cuenta no existe",IF(AND(OR(I2166="Transferencia",I2166="Pago tarjeta"),G2166=""),"⚠ Indica la cuenta «Hacia»",IF(AND(G2166&lt;&gt;"",G2166=E2166),"⚠ «Hacia» igual a la cuenta",IF(AND(G2166&lt;&gt;"",ISNA(MATCH(G2166,ctaNom,0))),"⚠ «Hacia» no existe",IF(AND(I2166="Pago tarjeta",IFERROR(INDEX(ctaTipo,MATCH(G2166,ctaNom,0)),"")&lt;&gt;"Tarjeta de crédito"),"⚠ «Hacia» debe ser la tarjeta",IF(AND(I2166="Trading",IFERROR(INDEX(ctaTipo,MATCH(E2166,ctaNom,0)),"")&lt;&gt;"Cuenta de trading"),"⚠ Usa la cuenta de trading","✓"))))))))))))</f>
        <v/>
      </c>
      <c r="I2166" s="19">
        <f>IF(OR(B2166="",C2166="",D2166=""),"",IFERROR(INDEX(catTipo,MATCH(D2166,catNom,0))&amp;"",""))</f>
        <v/>
      </c>
      <c r="J2166" s="19">
        <f>IF(I2166="","",IFERROR(INDEX(catGrupo,MATCH(D2166,catNom,0))&amp;"",""))</f>
        <v/>
      </c>
      <c r="K2166" s="19">
        <f>IF(I2166="Gasto",IF(IFERROR(INDEX(catClas,MATCH(D2166,catNom,0))&amp;"","")="","Variable",IFERROR(INDEX(catClas,MATCH(D2166,catNom,0))&amp;"","")),"")</f>
        <v/>
      </c>
      <c r="L2166" s="19">
        <f>IF(I2166="","",IFERROR(INDEX(catAlim,MATCH(D2166,catNom,0))&amp;"",""))</f>
        <v/>
      </c>
      <c r="M2166" s="19">
        <f>IF(I2166="","",IFERROR(INDEX(catComida,MATCH(D2166,catNom,0))&amp;"",""))</f>
        <v/>
      </c>
      <c r="N2166" s="19">
        <f>IF(I2166="","",IFERROR(INDEX(ctaMon,MATCH(E2166,ctaNom,0))&amp;"","DOP"))</f>
        <v/>
      </c>
      <c r="O2166" s="20">
        <f>IF(I2166="","",C2166*IF(N2166="USD",TasaUSD,1))</f>
        <v/>
      </c>
      <c r="P2166" s="20">
        <f>IF(I2166="","",IF(I2166="Gasto",O2166,0))</f>
        <v/>
      </c>
      <c r="Q2166" s="20">
        <f>IF(I2166="","",IF(I2166="Ingreso",O2166,0))</f>
        <v/>
      </c>
      <c r="R2166" s="20">
        <f>IF(I2166="","",IF(I2166="Trading",O2166,0))</f>
        <v/>
      </c>
      <c r="S2166" s="19">
        <f>IF(I2166="","",IF(AND(I2166="Gasto",K2166="Variable",J2166&lt;&gt;"Trading",O2166&gt;0,O2166&lt;=Umbral),1,0))</f>
        <v/>
      </c>
      <c r="T2166" s="20">
        <f>IF(OR(I2166="",E2166=""),"",IF(OR(I2166="Gasto",I2166="Transferencia",I2166="Pago tarjeta"),-1,1)*C2166)</f>
        <v/>
      </c>
      <c r="U2166" s="20">
        <f>IF(OR(G2166="",AND(I2166&lt;&gt;"Transferencia",I2166&lt;&gt;"Pago tarjeta")),"",IF(IFERROR(INDEX(ctaMon,MATCH(G2166,ctaNom,0))&amp;"","DOP")=N2166,C2166,IF(N2166="USD",C2166*TasaUSD,C2166/TasaUSD)))</f>
        <v/>
      </c>
      <c r="V2166" s="20">
        <f>IF(I2166="","",IF(IFERROR(INDEX(ctaLiq,MATCH(E2166,ctaNom,0))="Sí",FALSE),IF(OR(I2166="Gasto",I2166="Transferencia",I2166="Pago tarjeta"),-1,1)*O2166,0)+IF(AND(U2166&lt;&gt;"",IFERROR(INDEX(ctaLiq,MATCH(G2166,ctaNom,0))="Sí",FALSE)),O2166,0))</f>
        <v/>
      </c>
      <c r="W2166" s="19">
        <f>IF(OR(F2166="",I2166=""),"",IF(COUNTIFS(F$6:F2166,F2166,I$6:I2166,"?*")=1,MAX(W$5:W2165)+1,""))</f>
        <v/>
      </c>
    </row>
    <row r="2167">
      <c r="B2167" s="15" t="n"/>
      <c r="C2167" s="16" t="n"/>
      <c r="D2167" s="17" t="n"/>
      <c r="E2167" s="17" t="n"/>
      <c r="F2167" s="17" t="n"/>
      <c r="G2167" s="17" t="n"/>
      <c r="H2167" s="18">
        <f>IF(AND(B2167="",C2167="",D2167="",E2167=""),"",IF(B2167="","⚠ Falta fecha",IF(C2167="","⚠ Falta monto",IF(D2167="","⚠ Falta categoría",IF(ISNA(MATCH(D2167,catNom,0)),"⚠ Categoría no existe",IF(E2167="","⚠ Falta cuenta",IF(ISNA(MATCH(E2167,ctaNom,0)),"⚠ Cuenta no existe",IF(AND(OR(I2167="Transferencia",I2167="Pago tarjeta"),G2167=""),"⚠ Indica la cuenta «Hacia»",IF(AND(G2167&lt;&gt;"",G2167=E2167),"⚠ «Hacia» igual a la cuenta",IF(AND(G2167&lt;&gt;"",ISNA(MATCH(G2167,ctaNom,0))),"⚠ «Hacia» no existe",IF(AND(I2167="Pago tarjeta",IFERROR(INDEX(ctaTipo,MATCH(G2167,ctaNom,0)),"")&lt;&gt;"Tarjeta de crédito"),"⚠ «Hacia» debe ser la tarjeta",IF(AND(I2167="Trading",IFERROR(INDEX(ctaTipo,MATCH(E2167,ctaNom,0)),"")&lt;&gt;"Cuenta de trading"),"⚠ Usa la cuenta de trading","✓"))))))))))))</f>
        <v/>
      </c>
      <c r="I2167" s="19">
        <f>IF(OR(B2167="",C2167="",D2167=""),"",IFERROR(INDEX(catTipo,MATCH(D2167,catNom,0))&amp;"",""))</f>
        <v/>
      </c>
      <c r="J2167" s="19">
        <f>IF(I2167="","",IFERROR(INDEX(catGrupo,MATCH(D2167,catNom,0))&amp;"",""))</f>
        <v/>
      </c>
      <c r="K2167" s="19">
        <f>IF(I2167="Gasto",IF(IFERROR(INDEX(catClas,MATCH(D2167,catNom,0))&amp;"","")="","Variable",IFERROR(INDEX(catClas,MATCH(D2167,catNom,0))&amp;"","")),"")</f>
        <v/>
      </c>
      <c r="L2167" s="19">
        <f>IF(I2167="","",IFERROR(INDEX(catAlim,MATCH(D2167,catNom,0))&amp;"",""))</f>
        <v/>
      </c>
      <c r="M2167" s="19">
        <f>IF(I2167="","",IFERROR(INDEX(catComida,MATCH(D2167,catNom,0))&amp;"",""))</f>
        <v/>
      </c>
      <c r="N2167" s="19">
        <f>IF(I2167="","",IFERROR(INDEX(ctaMon,MATCH(E2167,ctaNom,0))&amp;"","DOP"))</f>
        <v/>
      </c>
      <c r="O2167" s="20">
        <f>IF(I2167="","",C2167*IF(N2167="USD",TasaUSD,1))</f>
        <v/>
      </c>
      <c r="P2167" s="20">
        <f>IF(I2167="","",IF(I2167="Gasto",O2167,0))</f>
        <v/>
      </c>
      <c r="Q2167" s="20">
        <f>IF(I2167="","",IF(I2167="Ingreso",O2167,0))</f>
        <v/>
      </c>
      <c r="R2167" s="20">
        <f>IF(I2167="","",IF(I2167="Trading",O2167,0))</f>
        <v/>
      </c>
      <c r="S2167" s="19">
        <f>IF(I2167="","",IF(AND(I2167="Gasto",K2167="Variable",J2167&lt;&gt;"Trading",O2167&gt;0,O2167&lt;=Umbral),1,0))</f>
        <v/>
      </c>
      <c r="T2167" s="20">
        <f>IF(OR(I2167="",E2167=""),"",IF(OR(I2167="Gasto",I2167="Transferencia",I2167="Pago tarjeta"),-1,1)*C2167)</f>
        <v/>
      </c>
      <c r="U2167" s="20">
        <f>IF(OR(G2167="",AND(I2167&lt;&gt;"Transferencia",I2167&lt;&gt;"Pago tarjeta")),"",IF(IFERROR(INDEX(ctaMon,MATCH(G2167,ctaNom,0))&amp;"","DOP")=N2167,C2167,IF(N2167="USD",C2167*TasaUSD,C2167/TasaUSD)))</f>
        <v/>
      </c>
      <c r="V2167" s="20">
        <f>IF(I2167="","",IF(IFERROR(INDEX(ctaLiq,MATCH(E2167,ctaNom,0))="Sí",FALSE),IF(OR(I2167="Gasto",I2167="Transferencia",I2167="Pago tarjeta"),-1,1)*O2167,0)+IF(AND(U2167&lt;&gt;"",IFERROR(INDEX(ctaLiq,MATCH(G2167,ctaNom,0))="Sí",FALSE)),O2167,0))</f>
        <v/>
      </c>
      <c r="W2167" s="19">
        <f>IF(OR(F2167="",I2167=""),"",IF(COUNTIFS(F$6:F2167,F2167,I$6:I2167,"?*")=1,MAX(W$5:W2166)+1,""))</f>
        <v/>
      </c>
    </row>
    <row r="2168">
      <c r="B2168" s="15" t="n"/>
      <c r="C2168" s="16" t="n"/>
      <c r="D2168" s="17" t="n"/>
      <c r="E2168" s="17" t="n"/>
      <c r="F2168" s="17" t="n"/>
      <c r="G2168" s="17" t="n"/>
      <c r="H2168" s="18">
        <f>IF(AND(B2168="",C2168="",D2168="",E2168=""),"",IF(B2168="","⚠ Falta fecha",IF(C2168="","⚠ Falta monto",IF(D2168="","⚠ Falta categoría",IF(ISNA(MATCH(D2168,catNom,0)),"⚠ Categoría no existe",IF(E2168="","⚠ Falta cuenta",IF(ISNA(MATCH(E2168,ctaNom,0)),"⚠ Cuenta no existe",IF(AND(OR(I2168="Transferencia",I2168="Pago tarjeta"),G2168=""),"⚠ Indica la cuenta «Hacia»",IF(AND(G2168&lt;&gt;"",G2168=E2168),"⚠ «Hacia» igual a la cuenta",IF(AND(G2168&lt;&gt;"",ISNA(MATCH(G2168,ctaNom,0))),"⚠ «Hacia» no existe",IF(AND(I2168="Pago tarjeta",IFERROR(INDEX(ctaTipo,MATCH(G2168,ctaNom,0)),"")&lt;&gt;"Tarjeta de crédito"),"⚠ «Hacia» debe ser la tarjeta",IF(AND(I2168="Trading",IFERROR(INDEX(ctaTipo,MATCH(E2168,ctaNom,0)),"")&lt;&gt;"Cuenta de trading"),"⚠ Usa la cuenta de trading","✓"))))))))))))</f>
        <v/>
      </c>
      <c r="I2168" s="19">
        <f>IF(OR(B2168="",C2168="",D2168=""),"",IFERROR(INDEX(catTipo,MATCH(D2168,catNom,0))&amp;"",""))</f>
        <v/>
      </c>
      <c r="J2168" s="19">
        <f>IF(I2168="","",IFERROR(INDEX(catGrupo,MATCH(D2168,catNom,0))&amp;"",""))</f>
        <v/>
      </c>
      <c r="K2168" s="19">
        <f>IF(I2168="Gasto",IF(IFERROR(INDEX(catClas,MATCH(D2168,catNom,0))&amp;"","")="","Variable",IFERROR(INDEX(catClas,MATCH(D2168,catNom,0))&amp;"","")),"")</f>
        <v/>
      </c>
      <c r="L2168" s="19">
        <f>IF(I2168="","",IFERROR(INDEX(catAlim,MATCH(D2168,catNom,0))&amp;"",""))</f>
        <v/>
      </c>
      <c r="M2168" s="19">
        <f>IF(I2168="","",IFERROR(INDEX(catComida,MATCH(D2168,catNom,0))&amp;"",""))</f>
        <v/>
      </c>
      <c r="N2168" s="19">
        <f>IF(I2168="","",IFERROR(INDEX(ctaMon,MATCH(E2168,ctaNom,0))&amp;"","DOP"))</f>
        <v/>
      </c>
      <c r="O2168" s="20">
        <f>IF(I2168="","",C2168*IF(N2168="USD",TasaUSD,1))</f>
        <v/>
      </c>
      <c r="P2168" s="20">
        <f>IF(I2168="","",IF(I2168="Gasto",O2168,0))</f>
        <v/>
      </c>
      <c r="Q2168" s="20">
        <f>IF(I2168="","",IF(I2168="Ingreso",O2168,0))</f>
        <v/>
      </c>
      <c r="R2168" s="20">
        <f>IF(I2168="","",IF(I2168="Trading",O2168,0))</f>
        <v/>
      </c>
      <c r="S2168" s="19">
        <f>IF(I2168="","",IF(AND(I2168="Gasto",K2168="Variable",J2168&lt;&gt;"Trading",O2168&gt;0,O2168&lt;=Umbral),1,0))</f>
        <v/>
      </c>
      <c r="T2168" s="20">
        <f>IF(OR(I2168="",E2168=""),"",IF(OR(I2168="Gasto",I2168="Transferencia",I2168="Pago tarjeta"),-1,1)*C2168)</f>
        <v/>
      </c>
      <c r="U2168" s="20">
        <f>IF(OR(G2168="",AND(I2168&lt;&gt;"Transferencia",I2168&lt;&gt;"Pago tarjeta")),"",IF(IFERROR(INDEX(ctaMon,MATCH(G2168,ctaNom,0))&amp;"","DOP")=N2168,C2168,IF(N2168="USD",C2168*TasaUSD,C2168/TasaUSD)))</f>
        <v/>
      </c>
      <c r="V2168" s="20">
        <f>IF(I2168="","",IF(IFERROR(INDEX(ctaLiq,MATCH(E2168,ctaNom,0))="Sí",FALSE),IF(OR(I2168="Gasto",I2168="Transferencia",I2168="Pago tarjeta"),-1,1)*O2168,0)+IF(AND(U2168&lt;&gt;"",IFERROR(INDEX(ctaLiq,MATCH(G2168,ctaNom,0))="Sí",FALSE)),O2168,0))</f>
        <v/>
      </c>
      <c r="W2168" s="19">
        <f>IF(OR(F2168="",I2168=""),"",IF(COUNTIFS(F$6:F2168,F2168,I$6:I2168,"?*")=1,MAX(W$5:W2167)+1,""))</f>
        <v/>
      </c>
    </row>
    <row r="2169">
      <c r="B2169" s="15" t="n"/>
      <c r="C2169" s="16" t="n"/>
      <c r="D2169" s="17" t="n"/>
      <c r="E2169" s="17" t="n"/>
      <c r="F2169" s="17" t="n"/>
      <c r="G2169" s="17" t="n"/>
      <c r="H2169" s="18">
        <f>IF(AND(B2169="",C2169="",D2169="",E2169=""),"",IF(B2169="","⚠ Falta fecha",IF(C2169="","⚠ Falta monto",IF(D2169="","⚠ Falta categoría",IF(ISNA(MATCH(D2169,catNom,0)),"⚠ Categoría no existe",IF(E2169="","⚠ Falta cuenta",IF(ISNA(MATCH(E2169,ctaNom,0)),"⚠ Cuenta no existe",IF(AND(OR(I2169="Transferencia",I2169="Pago tarjeta"),G2169=""),"⚠ Indica la cuenta «Hacia»",IF(AND(G2169&lt;&gt;"",G2169=E2169),"⚠ «Hacia» igual a la cuenta",IF(AND(G2169&lt;&gt;"",ISNA(MATCH(G2169,ctaNom,0))),"⚠ «Hacia» no existe",IF(AND(I2169="Pago tarjeta",IFERROR(INDEX(ctaTipo,MATCH(G2169,ctaNom,0)),"")&lt;&gt;"Tarjeta de crédito"),"⚠ «Hacia» debe ser la tarjeta",IF(AND(I2169="Trading",IFERROR(INDEX(ctaTipo,MATCH(E2169,ctaNom,0)),"")&lt;&gt;"Cuenta de trading"),"⚠ Usa la cuenta de trading","✓"))))))))))))</f>
        <v/>
      </c>
      <c r="I2169" s="19">
        <f>IF(OR(B2169="",C2169="",D2169=""),"",IFERROR(INDEX(catTipo,MATCH(D2169,catNom,0))&amp;"",""))</f>
        <v/>
      </c>
      <c r="J2169" s="19">
        <f>IF(I2169="","",IFERROR(INDEX(catGrupo,MATCH(D2169,catNom,0))&amp;"",""))</f>
        <v/>
      </c>
      <c r="K2169" s="19">
        <f>IF(I2169="Gasto",IF(IFERROR(INDEX(catClas,MATCH(D2169,catNom,0))&amp;"","")="","Variable",IFERROR(INDEX(catClas,MATCH(D2169,catNom,0))&amp;"","")),"")</f>
        <v/>
      </c>
      <c r="L2169" s="19">
        <f>IF(I2169="","",IFERROR(INDEX(catAlim,MATCH(D2169,catNom,0))&amp;"",""))</f>
        <v/>
      </c>
      <c r="M2169" s="19">
        <f>IF(I2169="","",IFERROR(INDEX(catComida,MATCH(D2169,catNom,0))&amp;"",""))</f>
        <v/>
      </c>
      <c r="N2169" s="19">
        <f>IF(I2169="","",IFERROR(INDEX(ctaMon,MATCH(E2169,ctaNom,0))&amp;"","DOP"))</f>
        <v/>
      </c>
      <c r="O2169" s="20">
        <f>IF(I2169="","",C2169*IF(N2169="USD",TasaUSD,1))</f>
        <v/>
      </c>
      <c r="P2169" s="20">
        <f>IF(I2169="","",IF(I2169="Gasto",O2169,0))</f>
        <v/>
      </c>
      <c r="Q2169" s="20">
        <f>IF(I2169="","",IF(I2169="Ingreso",O2169,0))</f>
        <v/>
      </c>
      <c r="R2169" s="20">
        <f>IF(I2169="","",IF(I2169="Trading",O2169,0))</f>
        <v/>
      </c>
      <c r="S2169" s="19">
        <f>IF(I2169="","",IF(AND(I2169="Gasto",K2169="Variable",J2169&lt;&gt;"Trading",O2169&gt;0,O2169&lt;=Umbral),1,0))</f>
        <v/>
      </c>
      <c r="T2169" s="20">
        <f>IF(OR(I2169="",E2169=""),"",IF(OR(I2169="Gasto",I2169="Transferencia",I2169="Pago tarjeta"),-1,1)*C2169)</f>
        <v/>
      </c>
      <c r="U2169" s="20">
        <f>IF(OR(G2169="",AND(I2169&lt;&gt;"Transferencia",I2169&lt;&gt;"Pago tarjeta")),"",IF(IFERROR(INDEX(ctaMon,MATCH(G2169,ctaNom,0))&amp;"","DOP")=N2169,C2169,IF(N2169="USD",C2169*TasaUSD,C2169/TasaUSD)))</f>
        <v/>
      </c>
      <c r="V2169" s="20">
        <f>IF(I2169="","",IF(IFERROR(INDEX(ctaLiq,MATCH(E2169,ctaNom,0))="Sí",FALSE),IF(OR(I2169="Gasto",I2169="Transferencia",I2169="Pago tarjeta"),-1,1)*O2169,0)+IF(AND(U2169&lt;&gt;"",IFERROR(INDEX(ctaLiq,MATCH(G2169,ctaNom,0))="Sí",FALSE)),O2169,0))</f>
        <v/>
      </c>
      <c r="W2169" s="19">
        <f>IF(OR(F2169="",I2169=""),"",IF(COUNTIFS(F$6:F2169,F2169,I$6:I2169,"?*")=1,MAX(W$5:W2168)+1,""))</f>
        <v/>
      </c>
    </row>
    <row r="2170">
      <c r="B2170" s="15" t="n"/>
      <c r="C2170" s="16" t="n"/>
      <c r="D2170" s="17" t="n"/>
      <c r="E2170" s="17" t="n"/>
      <c r="F2170" s="17" t="n"/>
      <c r="G2170" s="17" t="n"/>
      <c r="H2170" s="18">
        <f>IF(AND(B2170="",C2170="",D2170="",E2170=""),"",IF(B2170="","⚠ Falta fecha",IF(C2170="","⚠ Falta monto",IF(D2170="","⚠ Falta categoría",IF(ISNA(MATCH(D2170,catNom,0)),"⚠ Categoría no existe",IF(E2170="","⚠ Falta cuenta",IF(ISNA(MATCH(E2170,ctaNom,0)),"⚠ Cuenta no existe",IF(AND(OR(I2170="Transferencia",I2170="Pago tarjeta"),G2170=""),"⚠ Indica la cuenta «Hacia»",IF(AND(G2170&lt;&gt;"",G2170=E2170),"⚠ «Hacia» igual a la cuenta",IF(AND(G2170&lt;&gt;"",ISNA(MATCH(G2170,ctaNom,0))),"⚠ «Hacia» no existe",IF(AND(I2170="Pago tarjeta",IFERROR(INDEX(ctaTipo,MATCH(G2170,ctaNom,0)),"")&lt;&gt;"Tarjeta de crédito"),"⚠ «Hacia» debe ser la tarjeta",IF(AND(I2170="Trading",IFERROR(INDEX(ctaTipo,MATCH(E2170,ctaNom,0)),"")&lt;&gt;"Cuenta de trading"),"⚠ Usa la cuenta de trading","✓"))))))))))))</f>
        <v/>
      </c>
      <c r="I2170" s="19">
        <f>IF(OR(B2170="",C2170="",D2170=""),"",IFERROR(INDEX(catTipo,MATCH(D2170,catNom,0))&amp;"",""))</f>
        <v/>
      </c>
      <c r="J2170" s="19">
        <f>IF(I2170="","",IFERROR(INDEX(catGrupo,MATCH(D2170,catNom,0))&amp;"",""))</f>
        <v/>
      </c>
      <c r="K2170" s="19">
        <f>IF(I2170="Gasto",IF(IFERROR(INDEX(catClas,MATCH(D2170,catNom,0))&amp;"","")="","Variable",IFERROR(INDEX(catClas,MATCH(D2170,catNom,0))&amp;"","")),"")</f>
        <v/>
      </c>
      <c r="L2170" s="19">
        <f>IF(I2170="","",IFERROR(INDEX(catAlim,MATCH(D2170,catNom,0))&amp;"",""))</f>
        <v/>
      </c>
      <c r="M2170" s="19">
        <f>IF(I2170="","",IFERROR(INDEX(catComida,MATCH(D2170,catNom,0))&amp;"",""))</f>
        <v/>
      </c>
      <c r="N2170" s="19">
        <f>IF(I2170="","",IFERROR(INDEX(ctaMon,MATCH(E2170,ctaNom,0))&amp;"","DOP"))</f>
        <v/>
      </c>
      <c r="O2170" s="20">
        <f>IF(I2170="","",C2170*IF(N2170="USD",TasaUSD,1))</f>
        <v/>
      </c>
      <c r="P2170" s="20">
        <f>IF(I2170="","",IF(I2170="Gasto",O2170,0))</f>
        <v/>
      </c>
      <c r="Q2170" s="20">
        <f>IF(I2170="","",IF(I2170="Ingreso",O2170,0))</f>
        <v/>
      </c>
      <c r="R2170" s="20">
        <f>IF(I2170="","",IF(I2170="Trading",O2170,0))</f>
        <v/>
      </c>
      <c r="S2170" s="19">
        <f>IF(I2170="","",IF(AND(I2170="Gasto",K2170="Variable",J2170&lt;&gt;"Trading",O2170&gt;0,O2170&lt;=Umbral),1,0))</f>
        <v/>
      </c>
      <c r="T2170" s="20">
        <f>IF(OR(I2170="",E2170=""),"",IF(OR(I2170="Gasto",I2170="Transferencia",I2170="Pago tarjeta"),-1,1)*C2170)</f>
        <v/>
      </c>
      <c r="U2170" s="20">
        <f>IF(OR(G2170="",AND(I2170&lt;&gt;"Transferencia",I2170&lt;&gt;"Pago tarjeta")),"",IF(IFERROR(INDEX(ctaMon,MATCH(G2170,ctaNom,0))&amp;"","DOP")=N2170,C2170,IF(N2170="USD",C2170*TasaUSD,C2170/TasaUSD)))</f>
        <v/>
      </c>
      <c r="V2170" s="20">
        <f>IF(I2170="","",IF(IFERROR(INDEX(ctaLiq,MATCH(E2170,ctaNom,0))="Sí",FALSE),IF(OR(I2170="Gasto",I2170="Transferencia",I2170="Pago tarjeta"),-1,1)*O2170,0)+IF(AND(U2170&lt;&gt;"",IFERROR(INDEX(ctaLiq,MATCH(G2170,ctaNom,0))="Sí",FALSE)),O2170,0))</f>
        <v/>
      </c>
      <c r="W2170" s="19">
        <f>IF(OR(F2170="",I2170=""),"",IF(COUNTIFS(F$6:F2170,F2170,I$6:I2170,"?*")=1,MAX(W$5:W2169)+1,""))</f>
        <v/>
      </c>
    </row>
    <row r="2171">
      <c r="B2171" s="15" t="n"/>
      <c r="C2171" s="16" t="n"/>
      <c r="D2171" s="17" t="n"/>
      <c r="E2171" s="17" t="n"/>
      <c r="F2171" s="17" t="n"/>
      <c r="G2171" s="17" t="n"/>
      <c r="H2171" s="18">
        <f>IF(AND(B2171="",C2171="",D2171="",E2171=""),"",IF(B2171="","⚠ Falta fecha",IF(C2171="","⚠ Falta monto",IF(D2171="","⚠ Falta categoría",IF(ISNA(MATCH(D2171,catNom,0)),"⚠ Categoría no existe",IF(E2171="","⚠ Falta cuenta",IF(ISNA(MATCH(E2171,ctaNom,0)),"⚠ Cuenta no existe",IF(AND(OR(I2171="Transferencia",I2171="Pago tarjeta"),G2171=""),"⚠ Indica la cuenta «Hacia»",IF(AND(G2171&lt;&gt;"",G2171=E2171),"⚠ «Hacia» igual a la cuenta",IF(AND(G2171&lt;&gt;"",ISNA(MATCH(G2171,ctaNom,0))),"⚠ «Hacia» no existe",IF(AND(I2171="Pago tarjeta",IFERROR(INDEX(ctaTipo,MATCH(G2171,ctaNom,0)),"")&lt;&gt;"Tarjeta de crédito"),"⚠ «Hacia» debe ser la tarjeta",IF(AND(I2171="Trading",IFERROR(INDEX(ctaTipo,MATCH(E2171,ctaNom,0)),"")&lt;&gt;"Cuenta de trading"),"⚠ Usa la cuenta de trading","✓"))))))))))))</f>
        <v/>
      </c>
      <c r="I2171" s="19">
        <f>IF(OR(B2171="",C2171="",D2171=""),"",IFERROR(INDEX(catTipo,MATCH(D2171,catNom,0))&amp;"",""))</f>
        <v/>
      </c>
      <c r="J2171" s="19">
        <f>IF(I2171="","",IFERROR(INDEX(catGrupo,MATCH(D2171,catNom,0))&amp;"",""))</f>
        <v/>
      </c>
      <c r="K2171" s="19">
        <f>IF(I2171="Gasto",IF(IFERROR(INDEX(catClas,MATCH(D2171,catNom,0))&amp;"","")="","Variable",IFERROR(INDEX(catClas,MATCH(D2171,catNom,0))&amp;"","")),"")</f>
        <v/>
      </c>
      <c r="L2171" s="19">
        <f>IF(I2171="","",IFERROR(INDEX(catAlim,MATCH(D2171,catNom,0))&amp;"",""))</f>
        <v/>
      </c>
      <c r="M2171" s="19">
        <f>IF(I2171="","",IFERROR(INDEX(catComida,MATCH(D2171,catNom,0))&amp;"",""))</f>
        <v/>
      </c>
      <c r="N2171" s="19">
        <f>IF(I2171="","",IFERROR(INDEX(ctaMon,MATCH(E2171,ctaNom,0))&amp;"","DOP"))</f>
        <v/>
      </c>
      <c r="O2171" s="20">
        <f>IF(I2171="","",C2171*IF(N2171="USD",TasaUSD,1))</f>
        <v/>
      </c>
      <c r="P2171" s="20">
        <f>IF(I2171="","",IF(I2171="Gasto",O2171,0))</f>
        <v/>
      </c>
      <c r="Q2171" s="20">
        <f>IF(I2171="","",IF(I2171="Ingreso",O2171,0))</f>
        <v/>
      </c>
      <c r="R2171" s="20">
        <f>IF(I2171="","",IF(I2171="Trading",O2171,0))</f>
        <v/>
      </c>
      <c r="S2171" s="19">
        <f>IF(I2171="","",IF(AND(I2171="Gasto",K2171="Variable",J2171&lt;&gt;"Trading",O2171&gt;0,O2171&lt;=Umbral),1,0))</f>
        <v/>
      </c>
      <c r="T2171" s="20">
        <f>IF(OR(I2171="",E2171=""),"",IF(OR(I2171="Gasto",I2171="Transferencia",I2171="Pago tarjeta"),-1,1)*C2171)</f>
        <v/>
      </c>
      <c r="U2171" s="20">
        <f>IF(OR(G2171="",AND(I2171&lt;&gt;"Transferencia",I2171&lt;&gt;"Pago tarjeta")),"",IF(IFERROR(INDEX(ctaMon,MATCH(G2171,ctaNom,0))&amp;"","DOP")=N2171,C2171,IF(N2171="USD",C2171*TasaUSD,C2171/TasaUSD)))</f>
        <v/>
      </c>
      <c r="V2171" s="20">
        <f>IF(I2171="","",IF(IFERROR(INDEX(ctaLiq,MATCH(E2171,ctaNom,0))="Sí",FALSE),IF(OR(I2171="Gasto",I2171="Transferencia",I2171="Pago tarjeta"),-1,1)*O2171,0)+IF(AND(U2171&lt;&gt;"",IFERROR(INDEX(ctaLiq,MATCH(G2171,ctaNom,0))="Sí",FALSE)),O2171,0))</f>
        <v/>
      </c>
      <c r="W2171" s="19">
        <f>IF(OR(F2171="",I2171=""),"",IF(COUNTIFS(F$6:F2171,F2171,I$6:I2171,"?*")=1,MAX(W$5:W2170)+1,""))</f>
        <v/>
      </c>
    </row>
    <row r="2172">
      <c r="B2172" s="15" t="n"/>
      <c r="C2172" s="16" t="n"/>
      <c r="D2172" s="17" t="n"/>
      <c r="E2172" s="17" t="n"/>
      <c r="F2172" s="17" t="n"/>
      <c r="G2172" s="17" t="n"/>
      <c r="H2172" s="18">
        <f>IF(AND(B2172="",C2172="",D2172="",E2172=""),"",IF(B2172="","⚠ Falta fecha",IF(C2172="","⚠ Falta monto",IF(D2172="","⚠ Falta categoría",IF(ISNA(MATCH(D2172,catNom,0)),"⚠ Categoría no existe",IF(E2172="","⚠ Falta cuenta",IF(ISNA(MATCH(E2172,ctaNom,0)),"⚠ Cuenta no existe",IF(AND(OR(I2172="Transferencia",I2172="Pago tarjeta"),G2172=""),"⚠ Indica la cuenta «Hacia»",IF(AND(G2172&lt;&gt;"",G2172=E2172),"⚠ «Hacia» igual a la cuenta",IF(AND(G2172&lt;&gt;"",ISNA(MATCH(G2172,ctaNom,0))),"⚠ «Hacia» no existe",IF(AND(I2172="Pago tarjeta",IFERROR(INDEX(ctaTipo,MATCH(G2172,ctaNom,0)),"")&lt;&gt;"Tarjeta de crédito"),"⚠ «Hacia» debe ser la tarjeta",IF(AND(I2172="Trading",IFERROR(INDEX(ctaTipo,MATCH(E2172,ctaNom,0)),"")&lt;&gt;"Cuenta de trading"),"⚠ Usa la cuenta de trading","✓"))))))))))))</f>
        <v/>
      </c>
      <c r="I2172" s="19">
        <f>IF(OR(B2172="",C2172="",D2172=""),"",IFERROR(INDEX(catTipo,MATCH(D2172,catNom,0))&amp;"",""))</f>
        <v/>
      </c>
      <c r="J2172" s="19">
        <f>IF(I2172="","",IFERROR(INDEX(catGrupo,MATCH(D2172,catNom,0))&amp;"",""))</f>
        <v/>
      </c>
      <c r="K2172" s="19">
        <f>IF(I2172="Gasto",IF(IFERROR(INDEX(catClas,MATCH(D2172,catNom,0))&amp;"","")="","Variable",IFERROR(INDEX(catClas,MATCH(D2172,catNom,0))&amp;"","")),"")</f>
        <v/>
      </c>
      <c r="L2172" s="19">
        <f>IF(I2172="","",IFERROR(INDEX(catAlim,MATCH(D2172,catNom,0))&amp;"",""))</f>
        <v/>
      </c>
      <c r="M2172" s="19">
        <f>IF(I2172="","",IFERROR(INDEX(catComida,MATCH(D2172,catNom,0))&amp;"",""))</f>
        <v/>
      </c>
      <c r="N2172" s="19">
        <f>IF(I2172="","",IFERROR(INDEX(ctaMon,MATCH(E2172,ctaNom,0))&amp;"","DOP"))</f>
        <v/>
      </c>
      <c r="O2172" s="20">
        <f>IF(I2172="","",C2172*IF(N2172="USD",TasaUSD,1))</f>
        <v/>
      </c>
      <c r="P2172" s="20">
        <f>IF(I2172="","",IF(I2172="Gasto",O2172,0))</f>
        <v/>
      </c>
      <c r="Q2172" s="20">
        <f>IF(I2172="","",IF(I2172="Ingreso",O2172,0))</f>
        <v/>
      </c>
      <c r="R2172" s="20">
        <f>IF(I2172="","",IF(I2172="Trading",O2172,0))</f>
        <v/>
      </c>
      <c r="S2172" s="19">
        <f>IF(I2172="","",IF(AND(I2172="Gasto",K2172="Variable",J2172&lt;&gt;"Trading",O2172&gt;0,O2172&lt;=Umbral),1,0))</f>
        <v/>
      </c>
      <c r="T2172" s="20">
        <f>IF(OR(I2172="",E2172=""),"",IF(OR(I2172="Gasto",I2172="Transferencia",I2172="Pago tarjeta"),-1,1)*C2172)</f>
        <v/>
      </c>
      <c r="U2172" s="20">
        <f>IF(OR(G2172="",AND(I2172&lt;&gt;"Transferencia",I2172&lt;&gt;"Pago tarjeta")),"",IF(IFERROR(INDEX(ctaMon,MATCH(G2172,ctaNom,0))&amp;"","DOP")=N2172,C2172,IF(N2172="USD",C2172*TasaUSD,C2172/TasaUSD)))</f>
        <v/>
      </c>
      <c r="V2172" s="20">
        <f>IF(I2172="","",IF(IFERROR(INDEX(ctaLiq,MATCH(E2172,ctaNom,0))="Sí",FALSE),IF(OR(I2172="Gasto",I2172="Transferencia",I2172="Pago tarjeta"),-1,1)*O2172,0)+IF(AND(U2172&lt;&gt;"",IFERROR(INDEX(ctaLiq,MATCH(G2172,ctaNom,0))="Sí",FALSE)),O2172,0))</f>
        <v/>
      </c>
      <c r="W2172" s="19">
        <f>IF(OR(F2172="",I2172=""),"",IF(COUNTIFS(F$6:F2172,F2172,I$6:I2172,"?*")=1,MAX(W$5:W2171)+1,""))</f>
        <v/>
      </c>
    </row>
    <row r="2173">
      <c r="B2173" s="15" t="n"/>
      <c r="C2173" s="16" t="n"/>
      <c r="D2173" s="17" t="n"/>
      <c r="E2173" s="17" t="n"/>
      <c r="F2173" s="17" t="n"/>
      <c r="G2173" s="17" t="n"/>
      <c r="H2173" s="18">
        <f>IF(AND(B2173="",C2173="",D2173="",E2173=""),"",IF(B2173="","⚠ Falta fecha",IF(C2173="","⚠ Falta monto",IF(D2173="","⚠ Falta categoría",IF(ISNA(MATCH(D2173,catNom,0)),"⚠ Categoría no existe",IF(E2173="","⚠ Falta cuenta",IF(ISNA(MATCH(E2173,ctaNom,0)),"⚠ Cuenta no existe",IF(AND(OR(I2173="Transferencia",I2173="Pago tarjeta"),G2173=""),"⚠ Indica la cuenta «Hacia»",IF(AND(G2173&lt;&gt;"",G2173=E2173),"⚠ «Hacia» igual a la cuenta",IF(AND(G2173&lt;&gt;"",ISNA(MATCH(G2173,ctaNom,0))),"⚠ «Hacia» no existe",IF(AND(I2173="Pago tarjeta",IFERROR(INDEX(ctaTipo,MATCH(G2173,ctaNom,0)),"")&lt;&gt;"Tarjeta de crédito"),"⚠ «Hacia» debe ser la tarjeta",IF(AND(I2173="Trading",IFERROR(INDEX(ctaTipo,MATCH(E2173,ctaNom,0)),"")&lt;&gt;"Cuenta de trading"),"⚠ Usa la cuenta de trading","✓"))))))))))))</f>
        <v/>
      </c>
      <c r="I2173" s="19">
        <f>IF(OR(B2173="",C2173="",D2173=""),"",IFERROR(INDEX(catTipo,MATCH(D2173,catNom,0))&amp;"",""))</f>
        <v/>
      </c>
      <c r="J2173" s="19">
        <f>IF(I2173="","",IFERROR(INDEX(catGrupo,MATCH(D2173,catNom,0))&amp;"",""))</f>
        <v/>
      </c>
      <c r="K2173" s="19">
        <f>IF(I2173="Gasto",IF(IFERROR(INDEX(catClas,MATCH(D2173,catNom,0))&amp;"","")="","Variable",IFERROR(INDEX(catClas,MATCH(D2173,catNom,0))&amp;"","")),"")</f>
        <v/>
      </c>
      <c r="L2173" s="19">
        <f>IF(I2173="","",IFERROR(INDEX(catAlim,MATCH(D2173,catNom,0))&amp;"",""))</f>
        <v/>
      </c>
      <c r="M2173" s="19">
        <f>IF(I2173="","",IFERROR(INDEX(catComida,MATCH(D2173,catNom,0))&amp;"",""))</f>
        <v/>
      </c>
      <c r="N2173" s="19">
        <f>IF(I2173="","",IFERROR(INDEX(ctaMon,MATCH(E2173,ctaNom,0))&amp;"","DOP"))</f>
        <v/>
      </c>
      <c r="O2173" s="20">
        <f>IF(I2173="","",C2173*IF(N2173="USD",TasaUSD,1))</f>
        <v/>
      </c>
      <c r="P2173" s="20">
        <f>IF(I2173="","",IF(I2173="Gasto",O2173,0))</f>
        <v/>
      </c>
      <c r="Q2173" s="20">
        <f>IF(I2173="","",IF(I2173="Ingreso",O2173,0))</f>
        <v/>
      </c>
      <c r="R2173" s="20">
        <f>IF(I2173="","",IF(I2173="Trading",O2173,0))</f>
        <v/>
      </c>
      <c r="S2173" s="19">
        <f>IF(I2173="","",IF(AND(I2173="Gasto",K2173="Variable",J2173&lt;&gt;"Trading",O2173&gt;0,O2173&lt;=Umbral),1,0))</f>
        <v/>
      </c>
      <c r="T2173" s="20">
        <f>IF(OR(I2173="",E2173=""),"",IF(OR(I2173="Gasto",I2173="Transferencia",I2173="Pago tarjeta"),-1,1)*C2173)</f>
        <v/>
      </c>
      <c r="U2173" s="20">
        <f>IF(OR(G2173="",AND(I2173&lt;&gt;"Transferencia",I2173&lt;&gt;"Pago tarjeta")),"",IF(IFERROR(INDEX(ctaMon,MATCH(G2173,ctaNom,0))&amp;"","DOP")=N2173,C2173,IF(N2173="USD",C2173*TasaUSD,C2173/TasaUSD)))</f>
        <v/>
      </c>
      <c r="V2173" s="20">
        <f>IF(I2173="","",IF(IFERROR(INDEX(ctaLiq,MATCH(E2173,ctaNom,0))="Sí",FALSE),IF(OR(I2173="Gasto",I2173="Transferencia",I2173="Pago tarjeta"),-1,1)*O2173,0)+IF(AND(U2173&lt;&gt;"",IFERROR(INDEX(ctaLiq,MATCH(G2173,ctaNom,0))="Sí",FALSE)),O2173,0))</f>
        <v/>
      </c>
      <c r="W2173" s="19">
        <f>IF(OR(F2173="",I2173=""),"",IF(COUNTIFS(F$6:F2173,F2173,I$6:I2173,"?*")=1,MAX(W$5:W2172)+1,""))</f>
        <v/>
      </c>
    </row>
    <row r="2174">
      <c r="B2174" s="15" t="n"/>
      <c r="C2174" s="16" t="n"/>
      <c r="D2174" s="17" t="n"/>
      <c r="E2174" s="17" t="n"/>
      <c r="F2174" s="17" t="n"/>
      <c r="G2174" s="17" t="n"/>
      <c r="H2174" s="18">
        <f>IF(AND(B2174="",C2174="",D2174="",E2174=""),"",IF(B2174="","⚠ Falta fecha",IF(C2174="","⚠ Falta monto",IF(D2174="","⚠ Falta categoría",IF(ISNA(MATCH(D2174,catNom,0)),"⚠ Categoría no existe",IF(E2174="","⚠ Falta cuenta",IF(ISNA(MATCH(E2174,ctaNom,0)),"⚠ Cuenta no existe",IF(AND(OR(I2174="Transferencia",I2174="Pago tarjeta"),G2174=""),"⚠ Indica la cuenta «Hacia»",IF(AND(G2174&lt;&gt;"",G2174=E2174),"⚠ «Hacia» igual a la cuenta",IF(AND(G2174&lt;&gt;"",ISNA(MATCH(G2174,ctaNom,0))),"⚠ «Hacia» no existe",IF(AND(I2174="Pago tarjeta",IFERROR(INDEX(ctaTipo,MATCH(G2174,ctaNom,0)),"")&lt;&gt;"Tarjeta de crédito"),"⚠ «Hacia» debe ser la tarjeta",IF(AND(I2174="Trading",IFERROR(INDEX(ctaTipo,MATCH(E2174,ctaNom,0)),"")&lt;&gt;"Cuenta de trading"),"⚠ Usa la cuenta de trading","✓"))))))))))))</f>
        <v/>
      </c>
      <c r="I2174" s="19">
        <f>IF(OR(B2174="",C2174="",D2174=""),"",IFERROR(INDEX(catTipo,MATCH(D2174,catNom,0))&amp;"",""))</f>
        <v/>
      </c>
      <c r="J2174" s="19">
        <f>IF(I2174="","",IFERROR(INDEX(catGrupo,MATCH(D2174,catNom,0))&amp;"",""))</f>
        <v/>
      </c>
      <c r="K2174" s="19">
        <f>IF(I2174="Gasto",IF(IFERROR(INDEX(catClas,MATCH(D2174,catNom,0))&amp;"","")="","Variable",IFERROR(INDEX(catClas,MATCH(D2174,catNom,0))&amp;"","")),"")</f>
        <v/>
      </c>
      <c r="L2174" s="19">
        <f>IF(I2174="","",IFERROR(INDEX(catAlim,MATCH(D2174,catNom,0))&amp;"",""))</f>
        <v/>
      </c>
      <c r="M2174" s="19">
        <f>IF(I2174="","",IFERROR(INDEX(catComida,MATCH(D2174,catNom,0))&amp;"",""))</f>
        <v/>
      </c>
      <c r="N2174" s="19">
        <f>IF(I2174="","",IFERROR(INDEX(ctaMon,MATCH(E2174,ctaNom,0))&amp;"","DOP"))</f>
        <v/>
      </c>
      <c r="O2174" s="20">
        <f>IF(I2174="","",C2174*IF(N2174="USD",TasaUSD,1))</f>
        <v/>
      </c>
      <c r="P2174" s="20">
        <f>IF(I2174="","",IF(I2174="Gasto",O2174,0))</f>
        <v/>
      </c>
      <c r="Q2174" s="20">
        <f>IF(I2174="","",IF(I2174="Ingreso",O2174,0))</f>
        <v/>
      </c>
      <c r="R2174" s="20">
        <f>IF(I2174="","",IF(I2174="Trading",O2174,0))</f>
        <v/>
      </c>
      <c r="S2174" s="19">
        <f>IF(I2174="","",IF(AND(I2174="Gasto",K2174="Variable",J2174&lt;&gt;"Trading",O2174&gt;0,O2174&lt;=Umbral),1,0))</f>
        <v/>
      </c>
      <c r="T2174" s="20">
        <f>IF(OR(I2174="",E2174=""),"",IF(OR(I2174="Gasto",I2174="Transferencia",I2174="Pago tarjeta"),-1,1)*C2174)</f>
        <v/>
      </c>
      <c r="U2174" s="20">
        <f>IF(OR(G2174="",AND(I2174&lt;&gt;"Transferencia",I2174&lt;&gt;"Pago tarjeta")),"",IF(IFERROR(INDEX(ctaMon,MATCH(G2174,ctaNom,0))&amp;"","DOP")=N2174,C2174,IF(N2174="USD",C2174*TasaUSD,C2174/TasaUSD)))</f>
        <v/>
      </c>
      <c r="V2174" s="20">
        <f>IF(I2174="","",IF(IFERROR(INDEX(ctaLiq,MATCH(E2174,ctaNom,0))="Sí",FALSE),IF(OR(I2174="Gasto",I2174="Transferencia",I2174="Pago tarjeta"),-1,1)*O2174,0)+IF(AND(U2174&lt;&gt;"",IFERROR(INDEX(ctaLiq,MATCH(G2174,ctaNom,0))="Sí",FALSE)),O2174,0))</f>
        <v/>
      </c>
      <c r="W2174" s="19">
        <f>IF(OR(F2174="",I2174=""),"",IF(COUNTIFS(F$6:F2174,F2174,I$6:I2174,"?*")=1,MAX(W$5:W2173)+1,""))</f>
        <v/>
      </c>
    </row>
    <row r="2175">
      <c r="B2175" s="15" t="n"/>
      <c r="C2175" s="16" t="n"/>
      <c r="D2175" s="17" t="n"/>
      <c r="E2175" s="17" t="n"/>
      <c r="F2175" s="17" t="n"/>
      <c r="G2175" s="17" t="n"/>
      <c r="H2175" s="18">
        <f>IF(AND(B2175="",C2175="",D2175="",E2175=""),"",IF(B2175="","⚠ Falta fecha",IF(C2175="","⚠ Falta monto",IF(D2175="","⚠ Falta categoría",IF(ISNA(MATCH(D2175,catNom,0)),"⚠ Categoría no existe",IF(E2175="","⚠ Falta cuenta",IF(ISNA(MATCH(E2175,ctaNom,0)),"⚠ Cuenta no existe",IF(AND(OR(I2175="Transferencia",I2175="Pago tarjeta"),G2175=""),"⚠ Indica la cuenta «Hacia»",IF(AND(G2175&lt;&gt;"",G2175=E2175),"⚠ «Hacia» igual a la cuenta",IF(AND(G2175&lt;&gt;"",ISNA(MATCH(G2175,ctaNom,0))),"⚠ «Hacia» no existe",IF(AND(I2175="Pago tarjeta",IFERROR(INDEX(ctaTipo,MATCH(G2175,ctaNom,0)),"")&lt;&gt;"Tarjeta de crédito"),"⚠ «Hacia» debe ser la tarjeta",IF(AND(I2175="Trading",IFERROR(INDEX(ctaTipo,MATCH(E2175,ctaNom,0)),"")&lt;&gt;"Cuenta de trading"),"⚠ Usa la cuenta de trading","✓"))))))))))))</f>
        <v/>
      </c>
      <c r="I2175" s="19">
        <f>IF(OR(B2175="",C2175="",D2175=""),"",IFERROR(INDEX(catTipo,MATCH(D2175,catNom,0))&amp;"",""))</f>
        <v/>
      </c>
      <c r="J2175" s="19">
        <f>IF(I2175="","",IFERROR(INDEX(catGrupo,MATCH(D2175,catNom,0))&amp;"",""))</f>
        <v/>
      </c>
      <c r="K2175" s="19">
        <f>IF(I2175="Gasto",IF(IFERROR(INDEX(catClas,MATCH(D2175,catNom,0))&amp;"","")="","Variable",IFERROR(INDEX(catClas,MATCH(D2175,catNom,0))&amp;"","")),"")</f>
        <v/>
      </c>
      <c r="L2175" s="19">
        <f>IF(I2175="","",IFERROR(INDEX(catAlim,MATCH(D2175,catNom,0))&amp;"",""))</f>
        <v/>
      </c>
      <c r="M2175" s="19">
        <f>IF(I2175="","",IFERROR(INDEX(catComida,MATCH(D2175,catNom,0))&amp;"",""))</f>
        <v/>
      </c>
      <c r="N2175" s="19">
        <f>IF(I2175="","",IFERROR(INDEX(ctaMon,MATCH(E2175,ctaNom,0))&amp;"","DOP"))</f>
        <v/>
      </c>
      <c r="O2175" s="20">
        <f>IF(I2175="","",C2175*IF(N2175="USD",TasaUSD,1))</f>
        <v/>
      </c>
      <c r="P2175" s="20">
        <f>IF(I2175="","",IF(I2175="Gasto",O2175,0))</f>
        <v/>
      </c>
      <c r="Q2175" s="20">
        <f>IF(I2175="","",IF(I2175="Ingreso",O2175,0))</f>
        <v/>
      </c>
      <c r="R2175" s="20">
        <f>IF(I2175="","",IF(I2175="Trading",O2175,0))</f>
        <v/>
      </c>
      <c r="S2175" s="19">
        <f>IF(I2175="","",IF(AND(I2175="Gasto",K2175="Variable",J2175&lt;&gt;"Trading",O2175&gt;0,O2175&lt;=Umbral),1,0))</f>
        <v/>
      </c>
      <c r="T2175" s="20">
        <f>IF(OR(I2175="",E2175=""),"",IF(OR(I2175="Gasto",I2175="Transferencia",I2175="Pago tarjeta"),-1,1)*C2175)</f>
        <v/>
      </c>
      <c r="U2175" s="20">
        <f>IF(OR(G2175="",AND(I2175&lt;&gt;"Transferencia",I2175&lt;&gt;"Pago tarjeta")),"",IF(IFERROR(INDEX(ctaMon,MATCH(G2175,ctaNom,0))&amp;"","DOP")=N2175,C2175,IF(N2175="USD",C2175*TasaUSD,C2175/TasaUSD)))</f>
        <v/>
      </c>
      <c r="V2175" s="20">
        <f>IF(I2175="","",IF(IFERROR(INDEX(ctaLiq,MATCH(E2175,ctaNom,0))="Sí",FALSE),IF(OR(I2175="Gasto",I2175="Transferencia",I2175="Pago tarjeta"),-1,1)*O2175,0)+IF(AND(U2175&lt;&gt;"",IFERROR(INDEX(ctaLiq,MATCH(G2175,ctaNom,0))="Sí",FALSE)),O2175,0))</f>
        <v/>
      </c>
      <c r="W2175" s="19">
        <f>IF(OR(F2175="",I2175=""),"",IF(COUNTIFS(F$6:F2175,F2175,I$6:I2175,"?*")=1,MAX(W$5:W2174)+1,""))</f>
        <v/>
      </c>
    </row>
    <row r="2176">
      <c r="B2176" s="15" t="n"/>
      <c r="C2176" s="16" t="n"/>
      <c r="D2176" s="17" t="n"/>
      <c r="E2176" s="17" t="n"/>
      <c r="F2176" s="17" t="n"/>
      <c r="G2176" s="17" t="n"/>
      <c r="H2176" s="18">
        <f>IF(AND(B2176="",C2176="",D2176="",E2176=""),"",IF(B2176="","⚠ Falta fecha",IF(C2176="","⚠ Falta monto",IF(D2176="","⚠ Falta categoría",IF(ISNA(MATCH(D2176,catNom,0)),"⚠ Categoría no existe",IF(E2176="","⚠ Falta cuenta",IF(ISNA(MATCH(E2176,ctaNom,0)),"⚠ Cuenta no existe",IF(AND(OR(I2176="Transferencia",I2176="Pago tarjeta"),G2176=""),"⚠ Indica la cuenta «Hacia»",IF(AND(G2176&lt;&gt;"",G2176=E2176),"⚠ «Hacia» igual a la cuenta",IF(AND(G2176&lt;&gt;"",ISNA(MATCH(G2176,ctaNom,0))),"⚠ «Hacia» no existe",IF(AND(I2176="Pago tarjeta",IFERROR(INDEX(ctaTipo,MATCH(G2176,ctaNom,0)),"")&lt;&gt;"Tarjeta de crédito"),"⚠ «Hacia» debe ser la tarjeta",IF(AND(I2176="Trading",IFERROR(INDEX(ctaTipo,MATCH(E2176,ctaNom,0)),"")&lt;&gt;"Cuenta de trading"),"⚠ Usa la cuenta de trading","✓"))))))))))))</f>
        <v/>
      </c>
      <c r="I2176" s="19">
        <f>IF(OR(B2176="",C2176="",D2176=""),"",IFERROR(INDEX(catTipo,MATCH(D2176,catNom,0))&amp;"",""))</f>
        <v/>
      </c>
      <c r="J2176" s="19">
        <f>IF(I2176="","",IFERROR(INDEX(catGrupo,MATCH(D2176,catNom,0))&amp;"",""))</f>
        <v/>
      </c>
      <c r="K2176" s="19">
        <f>IF(I2176="Gasto",IF(IFERROR(INDEX(catClas,MATCH(D2176,catNom,0))&amp;"","")="","Variable",IFERROR(INDEX(catClas,MATCH(D2176,catNom,0))&amp;"","")),"")</f>
        <v/>
      </c>
      <c r="L2176" s="19">
        <f>IF(I2176="","",IFERROR(INDEX(catAlim,MATCH(D2176,catNom,0))&amp;"",""))</f>
        <v/>
      </c>
      <c r="M2176" s="19">
        <f>IF(I2176="","",IFERROR(INDEX(catComida,MATCH(D2176,catNom,0))&amp;"",""))</f>
        <v/>
      </c>
      <c r="N2176" s="19">
        <f>IF(I2176="","",IFERROR(INDEX(ctaMon,MATCH(E2176,ctaNom,0))&amp;"","DOP"))</f>
        <v/>
      </c>
      <c r="O2176" s="20">
        <f>IF(I2176="","",C2176*IF(N2176="USD",TasaUSD,1))</f>
        <v/>
      </c>
      <c r="P2176" s="20">
        <f>IF(I2176="","",IF(I2176="Gasto",O2176,0))</f>
        <v/>
      </c>
      <c r="Q2176" s="20">
        <f>IF(I2176="","",IF(I2176="Ingreso",O2176,0))</f>
        <v/>
      </c>
      <c r="R2176" s="20">
        <f>IF(I2176="","",IF(I2176="Trading",O2176,0))</f>
        <v/>
      </c>
      <c r="S2176" s="19">
        <f>IF(I2176="","",IF(AND(I2176="Gasto",K2176="Variable",J2176&lt;&gt;"Trading",O2176&gt;0,O2176&lt;=Umbral),1,0))</f>
        <v/>
      </c>
      <c r="T2176" s="20">
        <f>IF(OR(I2176="",E2176=""),"",IF(OR(I2176="Gasto",I2176="Transferencia",I2176="Pago tarjeta"),-1,1)*C2176)</f>
        <v/>
      </c>
      <c r="U2176" s="20">
        <f>IF(OR(G2176="",AND(I2176&lt;&gt;"Transferencia",I2176&lt;&gt;"Pago tarjeta")),"",IF(IFERROR(INDEX(ctaMon,MATCH(G2176,ctaNom,0))&amp;"","DOP")=N2176,C2176,IF(N2176="USD",C2176*TasaUSD,C2176/TasaUSD)))</f>
        <v/>
      </c>
      <c r="V2176" s="20">
        <f>IF(I2176="","",IF(IFERROR(INDEX(ctaLiq,MATCH(E2176,ctaNom,0))="Sí",FALSE),IF(OR(I2176="Gasto",I2176="Transferencia",I2176="Pago tarjeta"),-1,1)*O2176,0)+IF(AND(U2176&lt;&gt;"",IFERROR(INDEX(ctaLiq,MATCH(G2176,ctaNom,0))="Sí",FALSE)),O2176,0))</f>
        <v/>
      </c>
      <c r="W2176" s="19">
        <f>IF(OR(F2176="",I2176=""),"",IF(COUNTIFS(F$6:F2176,F2176,I$6:I2176,"?*")=1,MAX(W$5:W2175)+1,""))</f>
        <v/>
      </c>
    </row>
    <row r="2177">
      <c r="B2177" s="15" t="n"/>
      <c r="C2177" s="16" t="n"/>
      <c r="D2177" s="17" t="n"/>
      <c r="E2177" s="17" t="n"/>
      <c r="F2177" s="17" t="n"/>
      <c r="G2177" s="17" t="n"/>
      <c r="H2177" s="18">
        <f>IF(AND(B2177="",C2177="",D2177="",E2177=""),"",IF(B2177="","⚠ Falta fecha",IF(C2177="","⚠ Falta monto",IF(D2177="","⚠ Falta categoría",IF(ISNA(MATCH(D2177,catNom,0)),"⚠ Categoría no existe",IF(E2177="","⚠ Falta cuenta",IF(ISNA(MATCH(E2177,ctaNom,0)),"⚠ Cuenta no existe",IF(AND(OR(I2177="Transferencia",I2177="Pago tarjeta"),G2177=""),"⚠ Indica la cuenta «Hacia»",IF(AND(G2177&lt;&gt;"",G2177=E2177),"⚠ «Hacia» igual a la cuenta",IF(AND(G2177&lt;&gt;"",ISNA(MATCH(G2177,ctaNom,0))),"⚠ «Hacia» no existe",IF(AND(I2177="Pago tarjeta",IFERROR(INDEX(ctaTipo,MATCH(G2177,ctaNom,0)),"")&lt;&gt;"Tarjeta de crédito"),"⚠ «Hacia» debe ser la tarjeta",IF(AND(I2177="Trading",IFERROR(INDEX(ctaTipo,MATCH(E2177,ctaNom,0)),"")&lt;&gt;"Cuenta de trading"),"⚠ Usa la cuenta de trading","✓"))))))))))))</f>
        <v/>
      </c>
      <c r="I2177" s="19">
        <f>IF(OR(B2177="",C2177="",D2177=""),"",IFERROR(INDEX(catTipo,MATCH(D2177,catNom,0))&amp;"",""))</f>
        <v/>
      </c>
      <c r="J2177" s="19">
        <f>IF(I2177="","",IFERROR(INDEX(catGrupo,MATCH(D2177,catNom,0))&amp;"",""))</f>
        <v/>
      </c>
      <c r="K2177" s="19">
        <f>IF(I2177="Gasto",IF(IFERROR(INDEX(catClas,MATCH(D2177,catNom,0))&amp;"","")="","Variable",IFERROR(INDEX(catClas,MATCH(D2177,catNom,0))&amp;"","")),"")</f>
        <v/>
      </c>
      <c r="L2177" s="19">
        <f>IF(I2177="","",IFERROR(INDEX(catAlim,MATCH(D2177,catNom,0))&amp;"",""))</f>
        <v/>
      </c>
      <c r="M2177" s="19">
        <f>IF(I2177="","",IFERROR(INDEX(catComida,MATCH(D2177,catNom,0))&amp;"",""))</f>
        <v/>
      </c>
      <c r="N2177" s="19">
        <f>IF(I2177="","",IFERROR(INDEX(ctaMon,MATCH(E2177,ctaNom,0))&amp;"","DOP"))</f>
        <v/>
      </c>
      <c r="O2177" s="20">
        <f>IF(I2177="","",C2177*IF(N2177="USD",TasaUSD,1))</f>
        <v/>
      </c>
      <c r="P2177" s="20">
        <f>IF(I2177="","",IF(I2177="Gasto",O2177,0))</f>
        <v/>
      </c>
      <c r="Q2177" s="20">
        <f>IF(I2177="","",IF(I2177="Ingreso",O2177,0))</f>
        <v/>
      </c>
      <c r="R2177" s="20">
        <f>IF(I2177="","",IF(I2177="Trading",O2177,0))</f>
        <v/>
      </c>
      <c r="S2177" s="19">
        <f>IF(I2177="","",IF(AND(I2177="Gasto",K2177="Variable",J2177&lt;&gt;"Trading",O2177&gt;0,O2177&lt;=Umbral),1,0))</f>
        <v/>
      </c>
      <c r="T2177" s="20">
        <f>IF(OR(I2177="",E2177=""),"",IF(OR(I2177="Gasto",I2177="Transferencia",I2177="Pago tarjeta"),-1,1)*C2177)</f>
        <v/>
      </c>
      <c r="U2177" s="20">
        <f>IF(OR(G2177="",AND(I2177&lt;&gt;"Transferencia",I2177&lt;&gt;"Pago tarjeta")),"",IF(IFERROR(INDEX(ctaMon,MATCH(G2177,ctaNom,0))&amp;"","DOP")=N2177,C2177,IF(N2177="USD",C2177*TasaUSD,C2177/TasaUSD)))</f>
        <v/>
      </c>
      <c r="V2177" s="20">
        <f>IF(I2177="","",IF(IFERROR(INDEX(ctaLiq,MATCH(E2177,ctaNom,0))="Sí",FALSE),IF(OR(I2177="Gasto",I2177="Transferencia",I2177="Pago tarjeta"),-1,1)*O2177,0)+IF(AND(U2177&lt;&gt;"",IFERROR(INDEX(ctaLiq,MATCH(G2177,ctaNom,0))="Sí",FALSE)),O2177,0))</f>
        <v/>
      </c>
      <c r="W2177" s="19">
        <f>IF(OR(F2177="",I2177=""),"",IF(COUNTIFS(F$6:F2177,F2177,I$6:I2177,"?*")=1,MAX(W$5:W2176)+1,""))</f>
        <v/>
      </c>
    </row>
    <row r="2178">
      <c r="B2178" s="15" t="n"/>
      <c r="C2178" s="16" t="n"/>
      <c r="D2178" s="17" t="n"/>
      <c r="E2178" s="17" t="n"/>
      <c r="F2178" s="17" t="n"/>
      <c r="G2178" s="17" t="n"/>
      <c r="H2178" s="18">
        <f>IF(AND(B2178="",C2178="",D2178="",E2178=""),"",IF(B2178="","⚠ Falta fecha",IF(C2178="","⚠ Falta monto",IF(D2178="","⚠ Falta categoría",IF(ISNA(MATCH(D2178,catNom,0)),"⚠ Categoría no existe",IF(E2178="","⚠ Falta cuenta",IF(ISNA(MATCH(E2178,ctaNom,0)),"⚠ Cuenta no existe",IF(AND(OR(I2178="Transferencia",I2178="Pago tarjeta"),G2178=""),"⚠ Indica la cuenta «Hacia»",IF(AND(G2178&lt;&gt;"",G2178=E2178),"⚠ «Hacia» igual a la cuenta",IF(AND(G2178&lt;&gt;"",ISNA(MATCH(G2178,ctaNom,0))),"⚠ «Hacia» no existe",IF(AND(I2178="Pago tarjeta",IFERROR(INDEX(ctaTipo,MATCH(G2178,ctaNom,0)),"")&lt;&gt;"Tarjeta de crédito"),"⚠ «Hacia» debe ser la tarjeta",IF(AND(I2178="Trading",IFERROR(INDEX(ctaTipo,MATCH(E2178,ctaNom,0)),"")&lt;&gt;"Cuenta de trading"),"⚠ Usa la cuenta de trading","✓"))))))))))))</f>
        <v/>
      </c>
      <c r="I2178" s="19">
        <f>IF(OR(B2178="",C2178="",D2178=""),"",IFERROR(INDEX(catTipo,MATCH(D2178,catNom,0))&amp;"",""))</f>
        <v/>
      </c>
      <c r="J2178" s="19">
        <f>IF(I2178="","",IFERROR(INDEX(catGrupo,MATCH(D2178,catNom,0))&amp;"",""))</f>
        <v/>
      </c>
      <c r="K2178" s="19">
        <f>IF(I2178="Gasto",IF(IFERROR(INDEX(catClas,MATCH(D2178,catNom,0))&amp;"","")="","Variable",IFERROR(INDEX(catClas,MATCH(D2178,catNom,0))&amp;"","")),"")</f>
        <v/>
      </c>
      <c r="L2178" s="19">
        <f>IF(I2178="","",IFERROR(INDEX(catAlim,MATCH(D2178,catNom,0))&amp;"",""))</f>
        <v/>
      </c>
      <c r="M2178" s="19">
        <f>IF(I2178="","",IFERROR(INDEX(catComida,MATCH(D2178,catNom,0))&amp;"",""))</f>
        <v/>
      </c>
      <c r="N2178" s="19">
        <f>IF(I2178="","",IFERROR(INDEX(ctaMon,MATCH(E2178,ctaNom,0))&amp;"","DOP"))</f>
        <v/>
      </c>
      <c r="O2178" s="20">
        <f>IF(I2178="","",C2178*IF(N2178="USD",TasaUSD,1))</f>
        <v/>
      </c>
      <c r="P2178" s="20">
        <f>IF(I2178="","",IF(I2178="Gasto",O2178,0))</f>
        <v/>
      </c>
      <c r="Q2178" s="20">
        <f>IF(I2178="","",IF(I2178="Ingreso",O2178,0))</f>
        <v/>
      </c>
      <c r="R2178" s="20">
        <f>IF(I2178="","",IF(I2178="Trading",O2178,0))</f>
        <v/>
      </c>
      <c r="S2178" s="19">
        <f>IF(I2178="","",IF(AND(I2178="Gasto",K2178="Variable",J2178&lt;&gt;"Trading",O2178&gt;0,O2178&lt;=Umbral),1,0))</f>
        <v/>
      </c>
      <c r="T2178" s="20">
        <f>IF(OR(I2178="",E2178=""),"",IF(OR(I2178="Gasto",I2178="Transferencia",I2178="Pago tarjeta"),-1,1)*C2178)</f>
        <v/>
      </c>
      <c r="U2178" s="20">
        <f>IF(OR(G2178="",AND(I2178&lt;&gt;"Transferencia",I2178&lt;&gt;"Pago tarjeta")),"",IF(IFERROR(INDEX(ctaMon,MATCH(G2178,ctaNom,0))&amp;"","DOP")=N2178,C2178,IF(N2178="USD",C2178*TasaUSD,C2178/TasaUSD)))</f>
        <v/>
      </c>
      <c r="V2178" s="20">
        <f>IF(I2178="","",IF(IFERROR(INDEX(ctaLiq,MATCH(E2178,ctaNom,0))="Sí",FALSE),IF(OR(I2178="Gasto",I2178="Transferencia",I2178="Pago tarjeta"),-1,1)*O2178,0)+IF(AND(U2178&lt;&gt;"",IFERROR(INDEX(ctaLiq,MATCH(G2178,ctaNom,0))="Sí",FALSE)),O2178,0))</f>
        <v/>
      </c>
      <c r="W2178" s="19">
        <f>IF(OR(F2178="",I2178=""),"",IF(COUNTIFS(F$6:F2178,F2178,I$6:I2178,"?*")=1,MAX(W$5:W2177)+1,""))</f>
        <v/>
      </c>
    </row>
    <row r="2179">
      <c r="B2179" s="15" t="n"/>
      <c r="C2179" s="16" t="n"/>
      <c r="D2179" s="17" t="n"/>
      <c r="E2179" s="17" t="n"/>
      <c r="F2179" s="17" t="n"/>
      <c r="G2179" s="17" t="n"/>
      <c r="H2179" s="18">
        <f>IF(AND(B2179="",C2179="",D2179="",E2179=""),"",IF(B2179="","⚠ Falta fecha",IF(C2179="","⚠ Falta monto",IF(D2179="","⚠ Falta categoría",IF(ISNA(MATCH(D2179,catNom,0)),"⚠ Categoría no existe",IF(E2179="","⚠ Falta cuenta",IF(ISNA(MATCH(E2179,ctaNom,0)),"⚠ Cuenta no existe",IF(AND(OR(I2179="Transferencia",I2179="Pago tarjeta"),G2179=""),"⚠ Indica la cuenta «Hacia»",IF(AND(G2179&lt;&gt;"",G2179=E2179),"⚠ «Hacia» igual a la cuenta",IF(AND(G2179&lt;&gt;"",ISNA(MATCH(G2179,ctaNom,0))),"⚠ «Hacia» no existe",IF(AND(I2179="Pago tarjeta",IFERROR(INDEX(ctaTipo,MATCH(G2179,ctaNom,0)),"")&lt;&gt;"Tarjeta de crédito"),"⚠ «Hacia» debe ser la tarjeta",IF(AND(I2179="Trading",IFERROR(INDEX(ctaTipo,MATCH(E2179,ctaNom,0)),"")&lt;&gt;"Cuenta de trading"),"⚠ Usa la cuenta de trading","✓"))))))))))))</f>
        <v/>
      </c>
      <c r="I2179" s="19">
        <f>IF(OR(B2179="",C2179="",D2179=""),"",IFERROR(INDEX(catTipo,MATCH(D2179,catNom,0))&amp;"",""))</f>
        <v/>
      </c>
      <c r="J2179" s="19">
        <f>IF(I2179="","",IFERROR(INDEX(catGrupo,MATCH(D2179,catNom,0))&amp;"",""))</f>
        <v/>
      </c>
      <c r="K2179" s="19">
        <f>IF(I2179="Gasto",IF(IFERROR(INDEX(catClas,MATCH(D2179,catNom,0))&amp;"","")="","Variable",IFERROR(INDEX(catClas,MATCH(D2179,catNom,0))&amp;"","")),"")</f>
        <v/>
      </c>
      <c r="L2179" s="19">
        <f>IF(I2179="","",IFERROR(INDEX(catAlim,MATCH(D2179,catNom,0))&amp;"",""))</f>
        <v/>
      </c>
      <c r="M2179" s="19">
        <f>IF(I2179="","",IFERROR(INDEX(catComida,MATCH(D2179,catNom,0))&amp;"",""))</f>
        <v/>
      </c>
      <c r="N2179" s="19">
        <f>IF(I2179="","",IFERROR(INDEX(ctaMon,MATCH(E2179,ctaNom,0))&amp;"","DOP"))</f>
        <v/>
      </c>
      <c r="O2179" s="20">
        <f>IF(I2179="","",C2179*IF(N2179="USD",TasaUSD,1))</f>
        <v/>
      </c>
      <c r="P2179" s="20">
        <f>IF(I2179="","",IF(I2179="Gasto",O2179,0))</f>
        <v/>
      </c>
      <c r="Q2179" s="20">
        <f>IF(I2179="","",IF(I2179="Ingreso",O2179,0))</f>
        <v/>
      </c>
      <c r="R2179" s="20">
        <f>IF(I2179="","",IF(I2179="Trading",O2179,0))</f>
        <v/>
      </c>
      <c r="S2179" s="19">
        <f>IF(I2179="","",IF(AND(I2179="Gasto",K2179="Variable",J2179&lt;&gt;"Trading",O2179&gt;0,O2179&lt;=Umbral),1,0))</f>
        <v/>
      </c>
      <c r="T2179" s="20">
        <f>IF(OR(I2179="",E2179=""),"",IF(OR(I2179="Gasto",I2179="Transferencia",I2179="Pago tarjeta"),-1,1)*C2179)</f>
        <v/>
      </c>
      <c r="U2179" s="20">
        <f>IF(OR(G2179="",AND(I2179&lt;&gt;"Transferencia",I2179&lt;&gt;"Pago tarjeta")),"",IF(IFERROR(INDEX(ctaMon,MATCH(G2179,ctaNom,0))&amp;"","DOP")=N2179,C2179,IF(N2179="USD",C2179*TasaUSD,C2179/TasaUSD)))</f>
        <v/>
      </c>
      <c r="V2179" s="20">
        <f>IF(I2179="","",IF(IFERROR(INDEX(ctaLiq,MATCH(E2179,ctaNom,0))="Sí",FALSE),IF(OR(I2179="Gasto",I2179="Transferencia",I2179="Pago tarjeta"),-1,1)*O2179,0)+IF(AND(U2179&lt;&gt;"",IFERROR(INDEX(ctaLiq,MATCH(G2179,ctaNom,0))="Sí",FALSE)),O2179,0))</f>
        <v/>
      </c>
      <c r="W2179" s="19">
        <f>IF(OR(F2179="",I2179=""),"",IF(COUNTIFS(F$6:F2179,F2179,I$6:I2179,"?*")=1,MAX(W$5:W2178)+1,""))</f>
        <v/>
      </c>
    </row>
    <row r="2180">
      <c r="B2180" s="15" t="n"/>
      <c r="C2180" s="16" t="n"/>
      <c r="D2180" s="17" t="n"/>
      <c r="E2180" s="17" t="n"/>
      <c r="F2180" s="17" t="n"/>
      <c r="G2180" s="17" t="n"/>
      <c r="H2180" s="18">
        <f>IF(AND(B2180="",C2180="",D2180="",E2180=""),"",IF(B2180="","⚠ Falta fecha",IF(C2180="","⚠ Falta monto",IF(D2180="","⚠ Falta categoría",IF(ISNA(MATCH(D2180,catNom,0)),"⚠ Categoría no existe",IF(E2180="","⚠ Falta cuenta",IF(ISNA(MATCH(E2180,ctaNom,0)),"⚠ Cuenta no existe",IF(AND(OR(I2180="Transferencia",I2180="Pago tarjeta"),G2180=""),"⚠ Indica la cuenta «Hacia»",IF(AND(G2180&lt;&gt;"",G2180=E2180),"⚠ «Hacia» igual a la cuenta",IF(AND(G2180&lt;&gt;"",ISNA(MATCH(G2180,ctaNom,0))),"⚠ «Hacia» no existe",IF(AND(I2180="Pago tarjeta",IFERROR(INDEX(ctaTipo,MATCH(G2180,ctaNom,0)),"")&lt;&gt;"Tarjeta de crédito"),"⚠ «Hacia» debe ser la tarjeta",IF(AND(I2180="Trading",IFERROR(INDEX(ctaTipo,MATCH(E2180,ctaNom,0)),"")&lt;&gt;"Cuenta de trading"),"⚠ Usa la cuenta de trading","✓"))))))))))))</f>
        <v/>
      </c>
      <c r="I2180" s="19">
        <f>IF(OR(B2180="",C2180="",D2180=""),"",IFERROR(INDEX(catTipo,MATCH(D2180,catNom,0))&amp;"",""))</f>
        <v/>
      </c>
      <c r="J2180" s="19">
        <f>IF(I2180="","",IFERROR(INDEX(catGrupo,MATCH(D2180,catNom,0))&amp;"",""))</f>
        <v/>
      </c>
      <c r="K2180" s="19">
        <f>IF(I2180="Gasto",IF(IFERROR(INDEX(catClas,MATCH(D2180,catNom,0))&amp;"","")="","Variable",IFERROR(INDEX(catClas,MATCH(D2180,catNom,0))&amp;"","")),"")</f>
        <v/>
      </c>
      <c r="L2180" s="19">
        <f>IF(I2180="","",IFERROR(INDEX(catAlim,MATCH(D2180,catNom,0))&amp;"",""))</f>
        <v/>
      </c>
      <c r="M2180" s="19">
        <f>IF(I2180="","",IFERROR(INDEX(catComida,MATCH(D2180,catNom,0))&amp;"",""))</f>
        <v/>
      </c>
      <c r="N2180" s="19">
        <f>IF(I2180="","",IFERROR(INDEX(ctaMon,MATCH(E2180,ctaNom,0))&amp;"","DOP"))</f>
        <v/>
      </c>
      <c r="O2180" s="20">
        <f>IF(I2180="","",C2180*IF(N2180="USD",TasaUSD,1))</f>
        <v/>
      </c>
      <c r="P2180" s="20">
        <f>IF(I2180="","",IF(I2180="Gasto",O2180,0))</f>
        <v/>
      </c>
      <c r="Q2180" s="20">
        <f>IF(I2180="","",IF(I2180="Ingreso",O2180,0))</f>
        <v/>
      </c>
      <c r="R2180" s="20">
        <f>IF(I2180="","",IF(I2180="Trading",O2180,0))</f>
        <v/>
      </c>
      <c r="S2180" s="19">
        <f>IF(I2180="","",IF(AND(I2180="Gasto",K2180="Variable",J2180&lt;&gt;"Trading",O2180&gt;0,O2180&lt;=Umbral),1,0))</f>
        <v/>
      </c>
      <c r="T2180" s="20">
        <f>IF(OR(I2180="",E2180=""),"",IF(OR(I2180="Gasto",I2180="Transferencia",I2180="Pago tarjeta"),-1,1)*C2180)</f>
        <v/>
      </c>
      <c r="U2180" s="20">
        <f>IF(OR(G2180="",AND(I2180&lt;&gt;"Transferencia",I2180&lt;&gt;"Pago tarjeta")),"",IF(IFERROR(INDEX(ctaMon,MATCH(G2180,ctaNom,0))&amp;"","DOP")=N2180,C2180,IF(N2180="USD",C2180*TasaUSD,C2180/TasaUSD)))</f>
        <v/>
      </c>
      <c r="V2180" s="20">
        <f>IF(I2180="","",IF(IFERROR(INDEX(ctaLiq,MATCH(E2180,ctaNom,0))="Sí",FALSE),IF(OR(I2180="Gasto",I2180="Transferencia",I2180="Pago tarjeta"),-1,1)*O2180,0)+IF(AND(U2180&lt;&gt;"",IFERROR(INDEX(ctaLiq,MATCH(G2180,ctaNom,0))="Sí",FALSE)),O2180,0))</f>
        <v/>
      </c>
      <c r="W2180" s="19">
        <f>IF(OR(F2180="",I2180=""),"",IF(COUNTIFS(F$6:F2180,F2180,I$6:I2180,"?*")=1,MAX(W$5:W2179)+1,""))</f>
        <v/>
      </c>
    </row>
    <row r="2181">
      <c r="B2181" s="15" t="n"/>
      <c r="C2181" s="16" t="n"/>
      <c r="D2181" s="17" t="n"/>
      <c r="E2181" s="17" t="n"/>
      <c r="F2181" s="17" t="n"/>
      <c r="G2181" s="17" t="n"/>
      <c r="H2181" s="18">
        <f>IF(AND(B2181="",C2181="",D2181="",E2181=""),"",IF(B2181="","⚠ Falta fecha",IF(C2181="","⚠ Falta monto",IF(D2181="","⚠ Falta categoría",IF(ISNA(MATCH(D2181,catNom,0)),"⚠ Categoría no existe",IF(E2181="","⚠ Falta cuenta",IF(ISNA(MATCH(E2181,ctaNom,0)),"⚠ Cuenta no existe",IF(AND(OR(I2181="Transferencia",I2181="Pago tarjeta"),G2181=""),"⚠ Indica la cuenta «Hacia»",IF(AND(G2181&lt;&gt;"",G2181=E2181),"⚠ «Hacia» igual a la cuenta",IF(AND(G2181&lt;&gt;"",ISNA(MATCH(G2181,ctaNom,0))),"⚠ «Hacia» no existe",IF(AND(I2181="Pago tarjeta",IFERROR(INDEX(ctaTipo,MATCH(G2181,ctaNom,0)),"")&lt;&gt;"Tarjeta de crédito"),"⚠ «Hacia» debe ser la tarjeta",IF(AND(I2181="Trading",IFERROR(INDEX(ctaTipo,MATCH(E2181,ctaNom,0)),"")&lt;&gt;"Cuenta de trading"),"⚠ Usa la cuenta de trading","✓"))))))))))))</f>
        <v/>
      </c>
      <c r="I2181" s="19">
        <f>IF(OR(B2181="",C2181="",D2181=""),"",IFERROR(INDEX(catTipo,MATCH(D2181,catNom,0))&amp;"",""))</f>
        <v/>
      </c>
      <c r="J2181" s="19">
        <f>IF(I2181="","",IFERROR(INDEX(catGrupo,MATCH(D2181,catNom,0))&amp;"",""))</f>
        <v/>
      </c>
      <c r="K2181" s="19">
        <f>IF(I2181="Gasto",IF(IFERROR(INDEX(catClas,MATCH(D2181,catNom,0))&amp;"","")="","Variable",IFERROR(INDEX(catClas,MATCH(D2181,catNom,0))&amp;"","")),"")</f>
        <v/>
      </c>
      <c r="L2181" s="19">
        <f>IF(I2181="","",IFERROR(INDEX(catAlim,MATCH(D2181,catNom,0))&amp;"",""))</f>
        <v/>
      </c>
      <c r="M2181" s="19">
        <f>IF(I2181="","",IFERROR(INDEX(catComida,MATCH(D2181,catNom,0))&amp;"",""))</f>
        <v/>
      </c>
      <c r="N2181" s="19">
        <f>IF(I2181="","",IFERROR(INDEX(ctaMon,MATCH(E2181,ctaNom,0))&amp;"","DOP"))</f>
        <v/>
      </c>
      <c r="O2181" s="20">
        <f>IF(I2181="","",C2181*IF(N2181="USD",TasaUSD,1))</f>
        <v/>
      </c>
      <c r="P2181" s="20">
        <f>IF(I2181="","",IF(I2181="Gasto",O2181,0))</f>
        <v/>
      </c>
      <c r="Q2181" s="20">
        <f>IF(I2181="","",IF(I2181="Ingreso",O2181,0))</f>
        <v/>
      </c>
      <c r="R2181" s="20">
        <f>IF(I2181="","",IF(I2181="Trading",O2181,0))</f>
        <v/>
      </c>
      <c r="S2181" s="19">
        <f>IF(I2181="","",IF(AND(I2181="Gasto",K2181="Variable",J2181&lt;&gt;"Trading",O2181&gt;0,O2181&lt;=Umbral),1,0))</f>
        <v/>
      </c>
      <c r="T2181" s="20">
        <f>IF(OR(I2181="",E2181=""),"",IF(OR(I2181="Gasto",I2181="Transferencia",I2181="Pago tarjeta"),-1,1)*C2181)</f>
        <v/>
      </c>
      <c r="U2181" s="20">
        <f>IF(OR(G2181="",AND(I2181&lt;&gt;"Transferencia",I2181&lt;&gt;"Pago tarjeta")),"",IF(IFERROR(INDEX(ctaMon,MATCH(G2181,ctaNom,0))&amp;"","DOP")=N2181,C2181,IF(N2181="USD",C2181*TasaUSD,C2181/TasaUSD)))</f>
        <v/>
      </c>
      <c r="V2181" s="20">
        <f>IF(I2181="","",IF(IFERROR(INDEX(ctaLiq,MATCH(E2181,ctaNom,0))="Sí",FALSE),IF(OR(I2181="Gasto",I2181="Transferencia",I2181="Pago tarjeta"),-1,1)*O2181,0)+IF(AND(U2181&lt;&gt;"",IFERROR(INDEX(ctaLiq,MATCH(G2181,ctaNom,0))="Sí",FALSE)),O2181,0))</f>
        <v/>
      </c>
      <c r="W2181" s="19">
        <f>IF(OR(F2181="",I2181=""),"",IF(COUNTIFS(F$6:F2181,F2181,I$6:I2181,"?*")=1,MAX(W$5:W2180)+1,""))</f>
        <v/>
      </c>
    </row>
    <row r="2182">
      <c r="B2182" s="15" t="n"/>
      <c r="C2182" s="16" t="n"/>
      <c r="D2182" s="17" t="n"/>
      <c r="E2182" s="17" t="n"/>
      <c r="F2182" s="17" t="n"/>
      <c r="G2182" s="17" t="n"/>
      <c r="H2182" s="18">
        <f>IF(AND(B2182="",C2182="",D2182="",E2182=""),"",IF(B2182="","⚠ Falta fecha",IF(C2182="","⚠ Falta monto",IF(D2182="","⚠ Falta categoría",IF(ISNA(MATCH(D2182,catNom,0)),"⚠ Categoría no existe",IF(E2182="","⚠ Falta cuenta",IF(ISNA(MATCH(E2182,ctaNom,0)),"⚠ Cuenta no existe",IF(AND(OR(I2182="Transferencia",I2182="Pago tarjeta"),G2182=""),"⚠ Indica la cuenta «Hacia»",IF(AND(G2182&lt;&gt;"",G2182=E2182),"⚠ «Hacia» igual a la cuenta",IF(AND(G2182&lt;&gt;"",ISNA(MATCH(G2182,ctaNom,0))),"⚠ «Hacia» no existe",IF(AND(I2182="Pago tarjeta",IFERROR(INDEX(ctaTipo,MATCH(G2182,ctaNom,0)),"")&lt;&gt;"Tarjeta de crédito"),"⚠ «Hacia» debe ser la tarjeta",IF(AND(I2182="Trading",IFERROR(INDEX(ctaTipo,MATCH(E2182,ctaNom,0)),"")&lt;&gt;"Cuenta de trading"),"⚠ Usa la cuenta de trading","✓"))))))))))))</f>
        <v/>
      </c>
      <c r="I2182" s="19">
        <f>IF(OR(B2182="",C2182="",D2182=""),"",IFERROR(INDEX(catTipo,MATCH(D2182,catNom,0))&amp;"",""))</f>
        <v/>
      </c>
      <c r="J2182" s="19">
        <f>IF(I2182="","",IFERROR(INDEX(catGrupo,MATCH(D2182,catNom,0))&amp;"",""))</f>
        <v/>
      </c>
      <c r="K2182" s="19">
        <f>IF(I2182="Gasto",IF(IFERROR(INDEX(catClas,MATCH(D2182,catNom,0))&amp;"","")="","Variable",IFERROR(INDEX(catClas,MATCH(D2182,catNom,0))&amp;"","")),"")</f>
        <v/>
      </c>
      <c r="L2182" s="19">
        <f>IF(I2182="","",IFERROR(INDEX(catAlim,MATCH(D2182,catNom,0))&amp;"",""))</f>
        <v/>
      </c>
      <c r="M2182" s="19">
        <f>IF(I2182="","",IFERROR(INDEX(catComida,MATCH(D2182,catNom,0))&amp;"",""))</f>
        <v/>
      </c>
      <c r="N2182" s="19">
        <f>IF(I2182="","",IFERROR(INDEX(ctaMon,MATCH(E2182,ctaNom,0))&amp;"","DOP"))</f>
        <v/>
      </c>
      <c r="O2182" s="20">
        <f>IF(I2182="","",C2182*IF(N2182="USD",TasaUSD,1))</f>
        <v/>
      </c>
      <c r="P2182" s="20">
        <f>IF(I2182="","",IF(I2182="Gasto",O2182,0))</f>
        <v/>
      </c>
      <c r="Q2182" s="20">
        <f>IF(I2182="","",IF(I2182="Ingreso",O2182,0))</f>
        <v/>
      </c>
      <c r="R2182" s="20">
        <f>IF(I2182="","",IF(I2182="Trading",O2182,0))</f>
        <v/>
      </c>
      <c r="S2182" s="19">
        <f>IF(I2182="","",IF(AND(I2182="Gasto",K2182="Variable",J2182&lt;&gt;"Trading",O2182&gt;0,O2182&lt;=Umbral),1,0))</f>
        <v/>
      </c>
      <c r="T2182" s="20">
        <f>IF(OR(I2182="",E2182=""),"",IF(OR(I2182="Gasto",I2182="Transferencia",I2182="Pago tarjeta"),-1,1)*C2182)</f>
        <v/>
      </c>
      <c r="U2182" s="20">
        <f>IF(OR(G2182="",AND(I2182&lt;&gt;"Transferencia",I2182&lt;&gt;"Pago tarjeta")),"",IF(IFERROR(INDEX(ctaMon,MATCH(G2182,ctaNom,0))&amp;"","DOP")=N2182,C2182,IF(N2182="USD",C2182*TasaUSD,C2182/TasaUSD)))</f>
        <v/>
      </c>
      <c r="V2182" s="20">
        <f>IF(I2182="","",IF(IFERROR(INDEX(ctaLiq,MATCH(E2182,ctaNom,0))="Sí",FALSE),IF(OR(I2182="Gasto",I2182="Transferencia",I2182="Pago tarjeta"),-1,1)*O2182,0)+IF(AND(U2182&lt;&gt;"",IFERROR(INDEX(ctaLiq,MATCH(G2182,ctaNom,0))="Sí",FALSE)),O2182,0))</f>
        <v/>
      </c>
      <c r="W2182" s="19">
        <f>IF(OR(F2182="",I2182=""),"",IF(COUNTIFS(F$6:F2182,F2182,I$6:I2182,"?*")=1,MAX(W$5:W2181)+1,""))</f>
        <v/>
      </c>
    </row>
    <row r="2183">
      <c r="B2183" s="15" t="n"/>
      <c r="C2183" s="16" t="n"/>
      <c r="D2183" s="17" t="n"/>
      <c r="E2183" s="17" t="n"/>
      <c r="F2183" s="17" t="n"/>
      <c r="G2183" s="17" t="n"/>
      <c r="H2183" s="18">
        <f>IF(AND(B2183="",C2183="",D2183="",E2183=""),"",IF(B2183="","⚠ Falta fecha",IF(C2183="","⚠ Falta monto",IF(D2183="","⚠ Falta categoría",IF(ISNA(MATCH(D2183,catNom,0)),"⚠ Categoría no existe",IF(E2183="","⚠ Falta cuenta",IF(ISNA(MATCH(E2183,ctaNom,0)),"⚠ Cuenta no existe",IF(AND(OR(I2183="Transferencia",I2183="Pago tarjeta"),G2183=""),"⚠ Indica la cuenta «Hacia»",IF(AND(G2183&lt;&gt;"",G2183=E2183),"⚠ «Hacia» igual a la cuenta",IF(AND(G2183&lt;&gt;"",ISNA(MATCH(G2183,ctaNom,0))),"⚠ «Hacia» no existe",IF(AND(I2183="Pago tarjeta",IFERROR(INDEX(ctaTipo,MATCH(G2183,ctaNom,0)),"")&lt;&gt;"Tarjeta de crédito"),"⚠ «Hacia» debe ser la tarjeta",IF(AND(I2183="Trading",IFERROR(INDEX(ctaTipo,MATCH(E2183,ctaNom,0)),"")&lt;&gt;"Cuenta de trading"),"⚠ Usa la cuenta de trading","✓"))))))))))))</f>
        <v/>
      </c>
      <c r="I2183" s="19">
        <f>IF(OR(B2183="",C2183="",D2183=""),"",IFERROR(INDEX(catTipo,MATCH(D2183,catNom,0))&amp;"",""))</f>
        <v/>
      </c>
      <c r="J2183" s="19">
        <f>IF(I2183="","",IFERROR(INDEX(catGrupo,MATCH(D2183,catNom,0))&amp;"",""))</f>
        <v/>
      </c>
      <c r="K2183" s="19">
        <f>IF(I2183="Gasto",IF(IFERROR(INDEX(catClas,MATCH(D2183,catNom,0))&amp;"","")="","Variable",IFERROR(INDEX(catClas,MATCH(D2183,catNom,0))&amp;"","")),"")</f>
        <v/>
      </c>
      <c r="L2183" s="19">
        <f>IF(I2183="","",IFERROR(INDEX(catAlim,MATCH(D2183,catNom,0))&amp;"",""))</f>
        <v/>
      </c>
      <c r="M2183" s="19">
        <f>IF(I2183="","",IFERROR(INDEX(catComida,MATCH(D2183,catNom,0))&amp;"",""))</f>
        <v/>
      </c>
      <c r="N2183" s="19">
        <f>IF(I2183="","",IFERROR(INDEX(ctaMon,MATCH(E2183,ctaNom,0))&amp;"","DOP"))</f>
        <v/>
      </c>
      <c r="O2183" s="20">
        <f>IF(I2183="","",C2183*IF(N2183="USD",TasaUSD,1))</f>
        <v/>
      </c>
      <c r="P2183" s="20">
        <f>IF(I2183="","",IF(I2183="Gasto",O2183,0))</f>
        <v/>
      </c>
      <c r="Q2183" s="20">
        <f>IF(I2183="","",IF(I2183="Ingreso",O2183,0))</f>
        <v/>
      </c>
      <c r="R2183" s="20">
        <f>IF(I2183="","",IF(I2183="Trading",O2183,0))</f>
        <v/>
      </c>
      <c r="S2183" s="19">
        <f>IF(I2183="","",IF(AND(I2183="Gasto",K2183="Variable",J2183&lt;&gt;"Trading",O2183&gt;0,O2183&lt;=Umbral),1,0))</f>
        <v/>
      </c>
      <c r="T2183" s="20">
        <f>IF(OR(I2183="",E2183=""),"",IF(OR(I2183="Gasto",I2183="Transferencia",I2183="Pago tarjeta"),-1,1)*C2183)</f>
        <v/>
      </c>
      <c r="U2183" s="20">
        <f>IF(OR(G2183="",AND(I2183&lt;&gt;"Transferencia",I2183&lt;&gt;"Pago tarjeta")),"",IF(IFERROR(INDEX(ctaMon,MATCH(G2183,ctaNom,0))&amp;"","DOP")=N2183,C2183,IF(N2183="USD",C2183*TasaUSD,C2183/TasaUSD)))</f>
        <v/>
      </c>
      <c r="V2183" s="20">
        <f>IF(I2183="","",IF(IFERROR(INDEX(ctaLiq,MATCH(E2183,ctaNom,0))="Sí",FALSE),IF(OR(I2183="Gasto",I2183="Transferencia",I2183="Pago tarjeta"),-1,1)*O2183,0)+IF(AND(U2183&lt;&gt;"",IFERROR(INDEX(ctaLiq,MATCH(G2183,ctaNom,0))="Sí",FALSE)),O2183,0))</f>
        <v/>
      </c>
      <c r="W2183" s="19">
        <f>IF(OR(F2183="",I2183=""),"",IF(COUNTIFS(F$6:F2183,F2183,I$6:I2183,"?*")=1,MAX(W$5:W2182)+1,""))</f>
        <v/>
      </c>
    </row>
    <row r="2184">
      <c r="B2184" s="15" t="n"/>
      <c r="C2184" s="16" t="n"/>
      <c r="D2184" s="17" t="n"/>
      <c r="E2184" s="17" t="n"/>
      <c r="F2184" s="17" t="n"/>
      <c r="G2184" s="17" t="n"/>
      <c r="H2184" s="18">
        <f>IF(AND(B2184="",C2184="",D2184="",E2184=""),"",IF(B2184="","⚠ Falta fecha",IF(C2184="","⚠ Falta monto",IF(D2184="","⚠ Falta categoría",IF(ISNA(MATCH(D2184,catNom,0)),"⚠ Categoría no existe",IF(E2184="","⚠ Falta cuenta",IF(ISNA(MATCH(E2184,ctaNom,0)),"⚠ Cuenta no existe",IF(AND(OR(I2184="Transferencia",I2184="Pago tarjeta"),G2184=""),"⚠ Indica la cuenta «Hacia»",IF(AND(G2184&lt;&gt;"",G2184=E2184),"⚠ «Hacia» igual a la cuenta",IF(AND(G2184&lt;&gt;"",ISNA(MATCH(G2184,ctaNom,0))),"⚠ «Hacia» no existe",IF(AND(I2184="Pago tarjeta",IFERROR(INDEX(ctaTipo,MATCH(G2184,ctaNom,0)),"")&lt;&gt;"Tarjeta de crédito"),"⚠ «Hacia» debe ser la tarjeta",IF(AND(I2184="Trading",IFERROR(INDEX(ctaTipo,MATCH(E2184,ctaNom,0)),"")&lt;&gt;"Cuenta de trading"),"⚠ Usa la cuenta de trading","✓"))))))))))))</f>
        <v/>
      </c>
      <c r="I2184" s="19">
        <f>IF(OR(B2184="",C2184="",D2184=""),"",IFERROR(INDEX(catTipo,MATCH(D2184,catNom,0))&amp;"",""))</f>
        <v/>
      </c>
      <c r="J2184" s="19">
        <f>IF(I2184="","",IFERROR(INDEX(catGrupo,MATCH(D2184,catNom,0))&amp;"",""))</f>
        <v/>
      </c>
      <c r="K2184" s="19">
        <f>IF(I2184="Gasto",IF(IFERROR(INDEX(catClas,MATCH(D2184,catNom,0))&amp;"","")="","Variable",IFERROR(INDEX(catClas,MATCH(D2184,catNom,0))&amp;"","")),"")</f>
        <v/>
      </c>
      <c r="L2184" s="19">
        <f>IF(I2184="","",IFERROR(INDEX(catAlim,MATCH(D2184,catNom,0))&amp;"",""))</f>
        <v/>
      </c>
      <c r="M2184" s="19">
        <f>IF(I2184="","",IFERROR(INDEX(catComida,MATCH(D2184,catNom,0))&amp;"",""))</f>
        <v/>
      </c>
      <c r="N2184" s="19">
        <f>IF(I2184="","",IFERROR(INDEX(ctaMon,MATCH(E2184,ctaNom,0))&amp;"","DOP"))</f>
        <v/>
      </c>
      <c r="O2184" s="20">
        <f>IF(I2184="","",C2184*IF(N2184="USD",TasaUSD,1))</f>
        <v/>
      </c>
      <c r="P2184" s="20">
        <f>IF(I2184="","",IF(I2184="Gasto",O2184,0))</f>
        <v/>
      </c>
      <c r="Q2184" s="20">
        <f>IF(I2184="","",IF(I2184="Ingreso",O2184,0))</f>
        <v/>
      </c>
      <c r="R2184" s="20">
        <f>IF(I2184="","",IF(I2184="Trading",O2184,0))</f>
        <v/>
      </c>
      <c r="S2184" s="19">
        <f>IF(I2184="","",IF(AND(I2184="Gasto",K2184="Variable",J2184&lt;&gt;"Trading",O2184&gt;0,O2184&lt;=Umbral),1,0))</f>
        <v/>
      </c>
      <c r="T2184" s="20">
        <f>IF(OR(I2184="",E2184=""),"",IF(OR(I2184="Gasto",I2184="Transferencia",I2184="Pago tarjeta"),-1,1)*C2184)</f>
        <v/>
      </c>
      <c r="U2184" s="20">
        <f>IF(OR(G2184="",AND(I2184&lt;&gt;"Transferencia",I2184&lt;&gt;"Pago tarjeta")),"",IF(IFERROR(INDEX(ctaMon,MATCH(G2184,ctaNom,0))&amp;"","DOP")=N2184,C2184,IF(N2184="USD",C2184*TasaUSD,C2184/TasaUSD)))</f>
        <v/>
      </c>
      <c r="V2184" s="20">
        <f>IF(I2184="","",IF(IFERROR(INDEX(ctaLiq,MATCH(E2184,ctaNom,0))="Sí",FALSE),IF(OR(I2184="Gasto",I2184="Transferencia",I2184="Pago tarjeta"),-1,1)*O2184,0)+IF(AND(U2184&lt;&gt;"",IFERROR(INDEX(ctaLiq,MATCH(G2184,ctaNom,0))="Sí",FALSE)),O2184,0))</f>
        <v/>
      </c>
      <c r="W2184" s="19">
        <f>IF(OR(F2184="",I2184=""),"",IF(COUNTIFS(F$6:F2184,F2184,I$6:I2184,"?*")=1,MAX(W$5:W2183)+1,""))</f>
        <v/>
      </c>
    </row>
    <row r="2185">
      <c r="B2185" s="15" t="n"/>
      <c r="C2185" s="16" t="n"/>
      <c r="D2185" s="17" t="n"/>
      <c r="E2185" s="17" t="n"/>
      <c r="F2185" s="17" t="n"/>
      <c r="G2185" s="17" t="n"/>
      <c r="H2185" s="18">
        <f>IF(AND(B2185="",C2185="",D2185="",E2185=""),"",IF(B2185="","⚠ Falta fecha",IF(C2185="","⚠ Falta monto",IF(D2185="","⚠ Falta categoría",IF(ISNA(MATCH(D2185,catNom,0)),"⚠ Categoría no existe",IF(E2185="","⚠ Falta cuenta",IF(ISNA(MATCH(E2185,ctaNom,0)),"⚠ Cuenta no existe",IF(AND(OR(I2185="Transferencia",I2185="Pago tarjeta"),G2185=""),"⚠ Indica la cuenta «Hacia»",IF(AND(G2185&lt;&gt;"",G2185=E2185),"⚠ «Hacia» igual a la cuenta",IF(AND(G2185&lt;&gt;"",ISNA(MATCH(G2185,ctaNom,0))),"⚠ «Hacia» no existe",IF(AND(I2185="Pago tarjeta",IFERROR(INDEX(ctaTipo,MATCH(G2185,ctaNom,0)),"")&lt;&gt;"Tarjeta de crédito"),"⚠ «Hacia» debe ser la tarjeta",IF(AND(I2185="Trading",IFERROR(INDEX(ctaTipo,MATCH(E2185,ctaNom,0)),"")&lt;&gt;"Cuenta de trading"),"⚠ Usa la cuenta de trading","✓"))))))))))))</f>
        <v/>
      </c>
      <c r="I2185" s="19">
        <f>IF(OR(B2185="",C2185="",D2185=""),"",IFERROR(INDEX(catTipo,MATCH(D2185,catNom,0))&amp;"",""))</f>
        <v/>
      </c>
      <c r="J2185" s="19">
        <f>IF(I2185="","",IFERROR(INDEX(catGrupo,MATCH(D2185,catNom,0))&amp;"",""))</f>
        <v/>
      </c>
      <c r="K2185" s="19">
        <f>IF(I2185="Gasto",IF(IFERROR(INDEX(catClas,MATCH(D2185,catNom,0))&amp;"","")="","Variable",IFERROR(INDEX(catClas,MATCH(D2185,catNom,0))&amp;"","")),"")</f>
        <v/>
      </c>
      <c r="L2185" s="19">
        <f>IF(I2185="","",IFERROR(INDEX(catAlim,MATCH(D2185,catNom,0))&amp;"",""))</f>
        <v/>
      </c>
      <c r="M2185" s="19">
        <f>IF(I2185="","",IFERROR(INDEX(catComida,MATCH(D2185,catNom,0))&amp;"",""))</f>
        <v/>
      </c>
      <c r="N2185" s="19">
        <f>IF(I2185="","",IFERROR(INDEX(ctaMon,MATCH(E2185,ctaNom,0))&amp;"","DOP"))</f>
        <v/>
      </c>
      <c r="O2185" s="20">
        <f>IF(I2185="","",C2185*IF(N2185="USD",TasaUSD,1))</f>
        <v/>
      </c>
      <c r="P2185" s="20">
        <f>IF(I2185="","",IF(I2185="Gasto",O2185,0))</f>
        <v/>
      </c>
      <c r="Q2185" s="20">
        <f>IF(I2185="","",IF(I2185="Ingreso",O2185,0))</f>
        <v/>
      </c>
      <c r="R2185" s="20">
        <f>IF(I2185="","",IF(I2185="Trading",O2185,0))</f>
        <v/>
      </c>
      <c r="S2185" s="19">
        <f>IF(I2185="","",IF(AND(I2185="Gasto",K2185="Variable",J2185&lt;&gt;"Trading",O2185&gt;0,O2185&lt;=Umbral),1,0))</f>
        <v/>
      </c>
      <c r="T2185" s="20">
        <f>IF(OR(I2185="",E2185=""),"",IF(OR(I2185="Gasto",I2185="Transferencia",I2185="Pago tarjeta"),-1,1)*C2185)</f>
        <v/>
      </c>
      <c r="U2185" s="20">
        <f>IF(OR(G2185="",AND(I2185&lt;&gt;"Transferencia",I2185&lt;&gt;"Pago tarjeta")),"",IF(IFERROR(INDEX(ctaMon,MATCH(G2185,ctaNom,0))&amp;"","DOP")=N2185,C2185,IF(N2185="USD",C2185*TasaUSD,C2185/TasaUSD)))</f>
        <v/>
      </c>
      <c r="V2185" s="20">
        <f>IF(I2185="","",IF(IFERROR(INDEX(ctaLiq,MATCH(E2185,ctaNom,0))="Sí",FALSE),IF(OR(I2185="Gasto",I2185="Transferencia",I2185="Pago tarjeta"),-1,1)*O2185,0)+IF(AND(U2185&lt;&gt;"",IFERROR(INDEX(ctaLiq,MATCH(G2185,ctaNom,0))="Sí",FALSE)),O2185,0))</f>
        <v/>
      </c>
      <c r="W2185" s="19">
        <f>IF(OR(F2185="",I2185=""),"",IF(COUNTIFS(F$6:F2185,F2185,I$6:I2185,"?*")=1,MAX(W$5:W2184)+1,""))</f>
        <v/>
      </c>
    </row>
    <row r="2186">
      <c r="B2186" s="15" t="n"/>
      <c r="C2186" s="16" t="n"/>
      <c r="D2186" s="17" t="n"/>
      <c r="E2186" s="17" t="n"/>
      <c r="F2186" s="17" t="n"/>
      <c r="G2186" s="17" t="n"/>
      <c r="H2186" s="18">
        <f>IF(AND(B2186="",C2186="",D2186="",E2186=""),"",IF(B2186="","⚠ Falta fecha",IF(C2186="","⚠ Falta monto",IF(D2186="","⚠ Falta categoría",IF(ISNA(MATCH(D2186,catNom,0)),"⚠ Categoría no existe",IF(E2186="","⚠ Falta cuenta",IF(ISNA(MATCH(E2186,ctaNom,0)),"⚠ Cuenta no existe",IF(AND(OR(I2186="Transferencia",I2186="Pago tarjeta"),G2186=""),"⚠ Indica la cuenta «Hacia»",IF(AND(G2186&lt;&gt;"",G2186=E2186),"⚠ «Hacia» igual a la cuenta",IF(AND(G2186&lt;&gt;"",ISNA(MATCH(G2186,ctaNom,0))),"⚠ «Hacia» no existe",IF(AND(I2186="Pago tarjeta",IFERROR(INDEX(ctaTipo,MATCH(G2186,ctaNom,0)),"")&lt;&gt;"Tarjeta de crédito"),"⚠ «Hacia» debe ser la tarjeta",IF(AND(I2186="Trading",IFERROR(INDEX(ctaTipo,MATCH(E2186,ctaNom,0)),"")&lt;&gt;"Cuenta de trading"),"⚠ Usa la cuenta de trading","✓"))))))))))))</f>
        <v/>
      </c>
      <c r="I2186" s="19">
        <f>IF(OR(B2186="",C2186="",D2186=""),"",IFERROR(INDEX(catTipo,MATCH(D2186,catNom,0))&amp;"",""))</f>
        <v/>
      </c>
      <c r="J2186" s="19">
        <f>IF(I2186="","",IFERROR(INDEX(catGrupo,MATCH(D2186,catNom,0))&amp;"",""))</f>
        <v/>
      </c>
      <c r="K2186" s="19">
        <f>IF(I2186="Gasto",IF(IFERROR(INDEX(catClas,MATCH(D2186,catNom,0))&amp;"","")="","Variable",IFERROR(INDEX(catClas,MATCH(D2186,catNom,0))&amp;"","")),"")</f>
        <v/>
      </c>
      <c r="L2186" s="19">
        <f>IF(I2186="","",IFERROR(INDEX(catAlim,MATCH(D2186,catNom,0))&amp;"",""))</f>
        <v/>
      </c>
      <c r="M2186" s="19">
        <f>IF(I2186="","",IFERROR(INDEX(catComida,MATCH(D2186,catNom,0))&amp;"",""))</f>
        <v/>
      </c>
      <c r="N2186" s="19">
        <f>IF(I2186="","",IFERROR(INDEX(ctaMon,MATCH(E2186,ctaNom,0))&amp;"","DOP"))</f>
        <v/>
      </c>
      <c r="O2186" s="20">
        <f>IF(I2186="","",C2186*IF(N2186="USD",TasaUSD,1))</f>
        <v/>
      </c>
      <c r="P2186" s="20">
        <f>IF(I2186="","",IF(I2186="Gasto",O2186,0))</f>
        <v/>
      </c>
      <c r="Q2186" s="20">
        <f>IF(I2186="","",IF(I2186="Ingreso",O2186,0))</f>
        <v/>
      </c>
      <c r="R2186" s="20">
        <f>IF(I2186="","",IF(I2186="Trading",O2186,0))</f>
        <v/>
      </c>
      <c r="S2186" s="19">
        <f>IF(I2186="","",IF(AND(I2186="Gasto",K2186="Variable",J2186&lt;&gt;"Trading",O2186&gt;0,O2186&lt;=Umbral),1,0))</f>
        <v/>
      </c>
      <c r="T2186" s="20">
        <f>IF(OR(I2186="",E2186=""),"",IF(OR(I2186="Gasto",I2186="Transferencia",I2186="Pago tarjeta"),-1,1)*C2186)</f>
        <v/>
      </c>
      <c r="U2186" s="20">
        <f>IF(OR(G2186="",AND(I2186&lt;&gt;"Transferencia",I2186&lt;&gt;"Pago tarjeta")),"",IF(IFERROR(INDEX(ctaMon,MATCH(G2186,ctaNom,0))&amp;"","DOP")=N2186,C2186,IF(N2186="USD",C2186*TasaUSD,C2186/TasaUSD)))</f>
        <v/>
      </c>
      <c r="V2186" s="20">
        <f>IF(I2186="","",IF(IFERROR(INDEX(ctaLiq,MATCH(E2186,ctaNom,0))="Sí",FALSE),IF(OR(I2186="Gasto",I2186="Transferencia",I2186="Pago tarjeta"),-1,1)*O2186,0)+IF(AND(U2186&lt;&gt;"",IFERROR(INDEX(ctaLiq,MATCH(G2186,ctaNom,0))="Sí",FALSE)),O2186,0))</f>
        <v/>
      </c>
      <c r="W2186" s="19">
        <f>IF(OR(F2186="",I2186=""),"",IF(COUNTIFS(F$6:F2186,F2186,I$6:I2186,"?*")=1,MAX(W$5:W2185)+1,""))</f>
        <v/>
      </c>
    </row>
    <row r="2187">
      <c r="B2187" s="15" t="n"/>
      <c r="C2187" s="16" t="n"/>
      <c r="D2187" s="17" t="n"/>
      <c r="E2187" s="17" t="n"/>
      <c r="F2187" s="17" t="n"/>
      <c r="G2187" s="17" t="n"/>
      <c r="H2187" s="18">
        <f>IF(AND(B2187="",C2187="",D2187="",E2187=""),"",IF(B2187="","⚠ Falta fecha",IF(C2187="","⚠ Falta monto",IF(D2187="","⚠ Falta categoría",IF(ISNA(MATCH(D2187,catNom,0)),"⚠ Categoría no existe",IF(E2187="","⚠ Falta cuenta",IF(ISNA(MATCH(E2187,ctaNom,0)),"⚠ Cuenta no existe",IF(AND(OR(I2187="Transferencia",I2187="Pago tarjeta"),G2187=""),"⚠ Indica la cuenta «Hacia»",IF(AND(G2187&lt;&gt;"",G2187=E2187),"⚠ «Hacia» igual a la cuenta",IF(AND(G2187&lt;&gt;"",ISNA(MATCH(G2187,ctaNom,0))),"⚠ «Hacia» no existe",IF(AND(I2187="Pago tarjeta",IFERROR(INDEX(ctaTipo,MATCH(G2187,ctaNom,0)),"")&lt;&gt;"Tarjeta de crédito"),"⚠ «Hacia» debe ser la tarjeta",IF(AND(I2187="Trading",IFERROR(INDEX(ctaTipo,MATCH(E2187,ctaNom,0)),"")&lt;&gt;"Cuenta de trading"),"⚠ Usa la cuenta de trading","✓"))))))))))))</f>
        <v/>
      </c>
      <c r="I2187" s="19">
        <f>IF(OR(B2187="",C2187="",D2187=""),"",IFERROR(INDEX(catTipo,MATCH(D2187,catNom,0))&amp;"",""))</f>
        <v/>
      </c>
      <c r="J2187" s="19">
        <f>IF(I2187="","",IFERROR(INDEX(catGrupo,MATCH(D2187,catNom,0))&amp;"",""))</f>
        <v/>
      </c>
      <c r="K2187" s="19">
        <f>IF(I2187="Gasto",IF(IFERROR(INDEX(catClas,MATCH(D2187,catNom,0))&amp;"","")="","Variable",IFERROR(INDEX(catClas,MATCH(D2187,catNom,0))&amp;"","")),"")</f>
        <v/>
      </c>
      <c r="L2187" s="19">
        <f>IF(I2187="","",IFERROR(INDEX(catAlim,MATCH(D2187,catNom,0))&amp;"",""))</f>
        <v/>
      </c>
      <c r="M2187" s="19">
        <f>IF(I2187="","",IFERROR(INDEX(catComida,MATCH(D2187,catNom,0))&amp;"",""))</f>
        <v/>
      </c>
      <c r="N2187" s="19">
        <f>IF(I2187="","",IFERROR(INDEX(ctaMon,MATCH(E2187,ctaNom,0))&amp;"","DOP"))</f>
        <v/>
      </c>
      <c r="O2187" s="20">
        <f>IF(I2187="","",C2187*IF(N2187="USD",TasaUSD,1))</f>
        <v/>
      </c>
      <c r="P2187" s="20">
        <f>IF(I2187="","",IF(I2187="Gasto",O2187,0))</f>
        <v/>
      </c>
      <c r="Q2187" s="20">
        <f>IF(I2187="","",IF(I2187="Ingreso",O2187,0))</f>
        <v/>
      </c>
      <c r="R2187" s="20">
        <f>IF(I2187="","",IF(I2187="Trading",O2187,0))</f>
        <v/>
      </c>
      <c r="S2187" s="19">
        <f>IF(I2187="","",IF(AND(I2187="Gasto",K2187="Variable",J2187&lt;&gt;"Trading",O2187&gt;0,O2187&lt;=Umbral),1,0))</f>
        <v/>
      </c>
      <c r="T2187" s="20">
        <f>IF(OR(I2187="",E2187=""),"",IF(OR(I2187="Gasto",I2187="Transferencia",I2187="Pago tarjeta"),-1,1)*C2187)</f>
        <v/>
      </c>
      <c r="U2187" s="20">
        <f>IF(OR(G2187="",AND(I2187&lt;&gt;"Transferencia",I2187&lt;&gt;"Pago tarjeta")),"",IF(IFERROR(INDEX(ctaMon,MATCH(G2187,ctaNom,0))&amp;"","DOP")=N2187,C2187,IF(N2187="USD",C2187*TasaUSD,C2187/TasaUSD)))</f>
        <v/>
      </c>
      <c r="V2187" s="20">
        <f>IF(I2187="","",IF(IFERROR(INDEX(ctaLiq,MATCH(E2187,ctaNom,0))="Sí",FALSE),IF(OR(I2187="Gasto",I2187="Transferencia",I2187="Pago tarjeta"),-1,1)*O2187,0)+IF(AND(U2187&lt;&gt;"",IFERROR(INDEX(ctaLiq,MATCH(G2187,ctaNom,0))="Sí",FALSE)),O2187,0))</f>
        <v/>
      </c>
      <c r="W2187" s="19">
        <f>IF(OR(F2187="",I2187=""),"",IF(COUNTIFS(F$6:F2187,F2187,I$6:I2187,"?*")=1,MAX(W$5:W2186)+1,""))</f>
        <v/>
      </c>
    </row>
    <row r="2188">
      <c r="B2188" s="15" t="n"/>
      <c r="C2188" s="16" t="n"/>
      <c r="D2188" s="17" t="n"/>
      <c r="E2188" s="17" t="n"/>
      <c r="F2188" s="17" t="n"/>
      <c r="G2188" s="17" t="n"/>
      <c r="H2188" s="18">
        <f>IF(AND(B2188="",C2188="",D2188="",E2188=""),"",IF(B2188="","⚠ Falta fecha",IF(C2188="","⚠ Falta monto",IF(D2188="","⚠ Falta categoría",IF(ISNA(MATCH(D2188,catNom,0)),"⚠ Categoría no existe",IF(E2188="","⚠ Falta cuenta",IF(ISNA(MATCH(E2188,ctaNom,0)),"⚠ Cuenta no existe",IF(AND(OR(I2188="Transferencia",I2188="Pago tarjeta"),G2188=""),"⚠ Indica la cuenta «Hacia»",IF(AND(G2188&lt;&gt;"",G2188=E2188),"⚠ «Hacia» igual a la cuenta",IF(AND(G2188&lt;&gt;"",ISNA(MATCH(G2188,ctaNom,0))),"⚠ «Hacia» no existe",IF(AND(I2188="Pago tarjeta",IFERROR(INDEX(ctaTipo,MATCH(G2188,ctaNom,0)),"")&lt;&gt;"Tarjeta de crédito"),"⚠ «Hacia» debe ser la tarjeta",IF(AND(I2188="Trading",IFERROR(INDEX(ctaTipo,MATCH(E2188,ctaNom,0)),"")&lt;&gt;"Cuenta de trading"),"⚠ Usa la cuenta de trading","✓"))))))))))))</f>
        <v/>
      </c>
      <c r="I2188" s="19">
        <f>IF(OR(B2188="",C2188="",D2188=""),"",IFERROR(INDEX(catTipo,MATCH(D2188,catNom,0))&amp;"",""))</f>
        <v/>
      </c>
      <c r="J2188" s="19">
        <f>IF(I2188="","",IFERROR(INDEX(catGrupo,MATCH(D2188,catNom,0))&amp;"",""))</f>
        <v/>
      </c>
      <c r="K2188" s="19">
        <f>IF(I2188="Gasto",IF(IFERROR(INDEX(catClas,MATCH(D2188,catNom,0))&amp;"","")="","Variable",IFERROR(INDEX(catClas,MATCH(D2188,catNom,0))&amp;"","")),"")</f>
        <v/>
      </c>
      <c r="L2188" s="19">
        <f>IF(I2188="","",IFERROR(INDEX(catAlim,MATCH(D2188,catNom,0))&amp;"",""))</f>
        <v/>
      </c>
      <c r="M2188" s="19">
        <f>IF(I2188="","",IFERROR(INDEX(catComida,MATCH(D2188,catNom,0))&amp;"",""))</f>
        <v/>
      </c>
      <c r="N2188" s="19">
        <f>IF(I2188="","",IFERROR(INDEX(ctaMon,MATCH(E2188,ctaNom,0))&amp;"","DOP"))</f>
        <v/>
      </c>
      <c r="O2188" s="20">
        <f>IF(I2188="","",C2188*IF(N2188="USD",TasaUSD,1))</f>
        <v/>
      </c>
      <c r="P2188" s="20">
        <f>IF(I2188="","",IF(I2188="Gasto",O2188,0))</f>
        <v/>
      </c>
      <c r="Q2188" s="20">
        <f>IF(I2188="","",IF(I2188="Ingreso",O2188,0))</f>
        <v/>
      </c>
      <c r="R2188" s="20">
        <f>IF(I2188="","",IF(I2188="Trading",O2188,0))</f>
        <v/>
      </c>
      <c r="S2188" s="19">
        <f>IF(I2188="","",IF(AND(I2188="Gasto",K2188="Variable",J2188&lt;&gt;"Trading",O2188&gt;0,O2188&lt;=Umbral),1,0))</f>
        <v/>
      </c>
      <c r="T2188" s="20">
        <f>IF(OR(I2188="",E2188=""),"",IF(OR(I2188="Gasto",I2188="Transferencia",I2188="Pago tarjeta"),-1,1)*C2188)</f>
        <v/>
      </c>
      <c r="U2188" s="20">
        <f>IF(OR(G2188="",AND(I2188&lt;&gt;"Transferencia",I2188&lt;&gt;"Pago tarjeta")),"",IF(IFERROR(INDEX(ctaMon,MATCH(G2188,ctaNom,0))&amp;"","DOP")=N2188,C2188,IF(N2188="USD",C2188*TasaUSD,C2188/TasaUSD)))</f>
        <v/>
      </c>
      <c r="V2188" s="20">
        <f>IF(I2188="","",IF(IFERROR(INDEX(ctaLiq,MATCH(E2188,ctaNom,0))="Sí",FALSE),IF(OR(I2188="Gasto",I2188="Transferencia",I2188="Pago tarjeta"),-1,1)*O2188,0)+IF(AND(U2188&lt;&gt;"",IFERROR(INDEX(ctaLiq,MATCH(G2188,ctaNom,0))="Sí",FALSE)),O2188,0))</f>
        <v/>
      </c>
      <c r="W2188" s="19">
        <f>IF(OR(F2188="",I2188=""),"",IF(COUNTIFS(F$6:F2188,F2188,I$6:I2188,"?*")=1,MAX(W$5:W2187)+1,""))</f>
        <v/>
      </c>
    </row>
    <row r="2189">
      <c r="B2189" s="15" t="n"/>
      <c r="C2189" s="16" t="n"/>
      <c r="D2189" s="17" t="n"/>
      <c r="E2189" s="17" t="n"/>
      <c r="F2189" s="17" t="n"/>
      <c r="G2189" s="17" t="n"/>
      <c r="H2189" s="18">
        <f>IF(AND(B2189="",C2189="",D2189="",E2189=""),"",IF(B2189="","⚠ Falta fecha",IF(C2189="","⚠ Falta monto",IF(D2189="","⚠ Falta categoría",IF(ISNA(MATCH(D2189,catNom,0)),"⚠ Categoría no existe",IF(E2189="","⚠ Falta cuenta",IF(ISNA(MATCH(E2189,ctaNom,0)),"⚠ Cuenta no existe",IF(AND(OR(I2189="Transferencia",I2189="Pago tarjeta"),G2189=""),"⚠ Indica la cuenta «Hacia»",IF(AND(G2189&lt;&gt;"",G2189=E2189),"⚠ «Hacia» igual a la cuenta",IF(AND(G2189&lt;&gt;"",ISNA(MATCH(G2189,ctaNom,0))),"⚠ «Hacia» no existe",IF(AND(I2189="Pago tarjeta",IFERROR(INDEX(ctaTipo,MATCH(G2189,ctaNom,0)),"")&lt;&gt;"Tarjeta de crédito"),"⚠ «Hacia» debe ser la tarjeta",IF(AND(I2189="Trading",IFERROR(INDEX(ctaTipo,MATCH(E2189,ctaNom,0)),"")&lt;&gt;"Cuenta de trading"),"⚠ Usa la cuenta de trading","✓"))))))))))))</f>
        <v/>
      </c>
      <c r="I2189" s="19">
        <f>IF(OR(B2189="",C2189="",D2189=""),"",IFERROR(INDEX(catTipo,MATCH(D2189,catNom,0))&amp;"",""))</f>
        <v/>
      </c>
      <c r="J2189" s="19">
        <f>IF(I2189="","",IFERROR(INDEX(catGrupo,MATCH(D2189,catNom,0))&amp;"",""))</f>
        <v/>
      </c>
      <c r="K2189" s="19">
        <f>IF(I2189="Gasto",IF(IFERROR(INDEX(catClas,MATCH(D2189,catNom,0))&amp;"","")="","Variable",IFERROR(INDEX(catClas,MATCH(D2189,catNom,0))&amp;"","")),"")</f>
        <v/>
      </c>
      <c r="L2189" s="19">
        <f>IF(I2189="","",IFERROR(INDEX(catAlim,MATCH(D2189,catNom,0))&amp;"",""))</f>
        <v/>
      </c>
      <c r="M2189" s="19">
        <f>IF(I2189="","",IFERROR(INDEX(catComida,MATCH(D2189,catNom,0))&amp;"",""))</f>
        <v/>
      </c>
      <c r="N2189" s="19">
        <f>IF(I2189="","",IFERROR(INDEX(ctaMon,MATCH(E2189,ctaNom,0))&amp;"","DOP"))</f>
        <v/>
      </c>
      <c r="O2189" s="20">
        <f>IF(I2189="","",C2189*IF(N2189="USD",TasaUSD,1))</f>
        <v/>
      </c>
      <c r="P2189" s="20">
        <f>IF(I2189="","",IF(I2189="Gasto",O2189,0))</f>
        <v/>
      </c>
      <c r="Q2189" s="20">
        <f>IF(I2189="","",IF(I2189="Ingreso",O2189,0))</f>
        <v/>
      </c>
      <c r="R2189" s="20">
        <f>IF(I2189="","",IF(I2189="Trading",O2189,0))</f>
        <v/>
      </c>
      <c r="S2189" s="19">
        <f>IF(I2189="","",IF(AND(I2189="Gasto",K2189="Variable",J2189&lt;&gt;"Trading",O2189&gt;0,O2189&lt;=Umbral),1,0))</f>
        <v/>
      </c>
      <c r="T2189" s="20">
        <f>IF(OR(I2189="",E2189=""),"",IF(OR(I2189="Gasto",I2189="Transferencia",I2189="Pago tarjeta"),-1,1)*C2189)</f>
        <v/>
      </c>
      <c r="U2189" s="20">
        <f>IF(OR(G2189="",AND(I2189&lt;&gt;"Transferencia",I2189&lt;&gt;"Pago tarjeta")),"",IF(IFERROR(INDEX(ctaMon,MATCH(G2189,ctaNom,0))&amp;"","DOP")=N2189,C2189,IF(N2189="USD",C2189*TasaUSD,C2189/TasaUSD)))</f>
        <v/>
      </c>
      <c r="V2189" s="20">
        <f>IF(I2189="","",IF(IFERROR(INDEX(ctaLiq,MATCH(E2189,ctaNom,0))="Sí",FALSE),IF(OR(I2189="Gasto",I2189="Transferencia",I2189="Pago tarjeta"),-1,1)*O2189,0)+IF(AND(U2189&lt;&gt;"",IFERROR(INDEX(ctaLiq,MATCH(G2189,ctaNom,0))="Sí",FALSE)),O2189,0))</f>
        <v/>
      </c>
      <c r="W2189" s="19">
        <f>IF(OR(F2189="",I2189=""),"",IF(COUNTIFS(F$6:F2189,F2189,I$6:I2189,"?*")=1,MAX(W$5:W2188)+1,""))</f>
        <v/>
      </c>
    </row>
    <row r="2190">
      <c r="B2190" s="15" t="n"/>
      <c r="C2190" s="16" t="n"/>
      <c r="D2190" s="17" t="n"/>
      <c r="E2190" s="17" t="n"/>
      <c r="F2190" s="17" t="n"/>
      <c r="G2190" s="17" t="n"/>
      <c r="H2190" s="18">
        <f>IF(AND(B2190="",C2190="",D2190="",E2190=""),"",IF(B2190="","⚠ Falta fecha",IF(C2190="","⚠ Falta monto",IF(D2190="","⚠ Falta categoría",IF(ISNA(MATCH(D2190,catNom,0)),"⚠ Categoría no existe",IF(E2190="","⚠ Falta cuenta",IF(ISNA(MATCH(E2190,ctaNom,0)),"⚠ Cuenta no existe",IF(AND(OR(I2190="Transferencia",I2190="Pago tarjeta"),G2190=""),"⚠ Indica la cuenta «Hacia»",IF(AND(G2190&lt;&gt;"",G2190=E2190),"⚠ «Hacia» igual a la cuenta",IF(AND(G2190&lt;&gt;"",ISNA(MATCH(G2190,ctaNom,0))),"⚠ «Hacia» no existe",IF(AND(I2190="Pago tarjeta",IFERROR(INDEX(ctaTipo,MATCH(G2190,ctaNom,0)),"")&lt;&gt;"Tarjeta de crédito"),"⚠ «Hacia» debe ser la tarjeta",IF(AND(I2190="Trading",IFERROR(INDEX(ctaTipo,MATCH(E2190,ctaNom,0)),"")&lt;&gt;"Cuenta de trading"),"⚠ Usa la cuenta de trading","✓"))))))))))))</f>
        <v/>
      </c>
      <c r="I2190" s="19">
        <f>IF(OR(B2190="",C2190="",D2190=""),"",IFERROR(INDEX(catTipo,MATCH(D2190,catNom,0))&amp;"",""))</f>
        <v/>
      </c>
      <c r="J2190" s="19">
        <f>IF(I2190="","",IFERROR(INDEX(catGrupo,MATCH(D2190,catNom,0))&amp;"",""))</f>
        <v/>
      </c>
      <c r="K2190" s="19">
        <f>IF(I2190="Gasto",IF(IFERROR(INDEX(catClas,MATCH(D2190,catNom,0))&amp;"","")="","Variable",IFERROR(INDEX(catClas,MATCH(D2190,catNom,0))&amp;"","")),"")</f>
        <v/>
      </c>
      <c r="L2190" s="19">
        <f>IF(I2190="","",IFERROR(INDEX(catAlim,MATCH(D2190,catNom,0))&amp;"",""))</f>
        <v/>
      </c>
      <c r="M2190" s="19">
        <f>IF(I2190="","",IFERROR(INDEX(catComida,MATCH(D2190,catNom,0))&amp;"",""))</f>
        <v/>
      </c>
      <c r="N2190" s="19">
        <f>IF(I2190="","",IFERROR(INDEX(ctaMon,MATCH(E2190,ctaNom,0))&amp;"","DOP"))</f>
        <v/>
      </c>
      <c r="O2190" s="20">
        <f>IF(I2190="","",C2190*IF(N2190="USD",TasaUSD,1))</f>
        <v/>
      </c>
      <c r="P2190" s="20">
        <f>IF(I2190="","",IF(I2190="Gasto",O2190,0))</f>
        <v/>
      </c>
      <c r="Q2190" s="20">
        <f>IF(I2190="","",IF(I2190="Ingreso",O2190,0))</f>
        <v/>
      </c>
      <c r="R2190" s="20">
        <f>IF(I2190="","",IF(I2190="Trading",O2190,0))</f>
        <v/>
      </c>
      <c r="S2190" s="19">
        <f>IF(I2190="","",IF(AND(I2190="Gasto",K2190="Variable",J2190&lt;&gt;"Trading",O2190&gt;0,O2190&lt;=Umbral),1,0))</f>
        <v/>
      </c>
      <c r="T2190" s="20">
        <f>IF(OR(I2190="",E2190=""),"",IF(OR(I2190="Gasto",I2190="Transferencia",I2190="Pago tarjeta"),-1,1)*C2190)</f>
        <v/>
      </c>
      <c r="U2190" s="20">
        <f>IF(OR(G2190="",AND(I2190&lt;&gt;"Transferencia",I2190&lt;&gt;"Pago tarjeta")),"",IF(IFERROR(INDEX(ctaMon,MATCH(G2190,ctaNom,0))&amp;"","DOP")=N2190,C2190,IF(N2190="USD",C2190*TasaUSD,C2190/TasaUSD)))</f>
        <v/>
      </c>
      <c r="V2190" s="20">
        <f>IF(I2190="","",IF(IFERROR(INDEX(ctaLiq,MATCH(E2190,ctaNom,0))="Sí",FALSE),IF(OR(I2190="Gasto",I2190="Transferencia",I2190="Pago tarjeta"),-1,1)*O2190,0)+IF(AND(U2190&lt;&gt;"",IFERROR(INDEX(ctaLiq,MATCH(G2190,ctaNom,0))="Sí",FALSE)),O2190,0))</f>
        <v/>
      </c>
      <c r="W2190" s="19">
        <f>IF(OR(F2190="",I2190=""),"",IF(COUNTIFS(F$6:F2190,F2190,I$6:I2190,"?*")=1,MAX(W$5:W2189)+1,""))</f>
        <v/>
      </c>
    </row>
    <row r="2191">
      <c r="B2191" s="15" t="n"/>
      <c r="C2191" s="16" t="n"/>
      <c r="D2191" s="17" t="n"/>
      <c r="E2191" s="17" t="n"/>
      <c r="F2191" s="17" t="n"/>
      <c r="G2191" s="17" t="n"/>
      <c r="H2191" s="18">
        <f>IF(AND(B2191="",C2191="",D2191="",E2191=""),"",IF(B2191="","⚠ Falta fecha",IF(C2191="","⚠ Falta monto",IF(D2191="","⚠ Falta categoría",IF(ISNA(MATCH(D2191,catNom,0)),"⚠ Categoría no existe",IF(E2191="","⚠ Falta cuenta",IF(ISNA(MATCH(E2191,ctaNom,0)),"⚠ Cuenta no existe",IF(AND(OR(I2191="Transferencia",I2191="Pago tarjeta"),G2191=""),"⚠ Indica la cuenta «Hacia»",IF(AND(G2191&lt;&gt;"",G2191=E2191),"⚠ «Hacia» igual a la cuenta",IF(AND(G2191&lt;&gt;"",ISNA(MATCH(G2191,ctaNom,0))),"⚠ «Hacia» no existe",IF(AND(I2191="Pago tarjeta",IFERROR(INDEX(ctaTipo,MATCH(G2191,ctaNom,0)),"")&lt;&gt;"Tarjeta de crédito"),"⚠ «Hacia» debe ser la tarjeta",IF(AND(I2191="Trading",IFERROR(INDEX(ctaTipo,MATCH(E2191,ctaNom,0)),"")&lt;&gt;"Cuenta de trading"),"⚠ Usa la cuenta de trading","✓"))))))))))))</f>
        <v/>
      </c>
      <c r="I2191" s="19">
        <f>IF(OR(B2191="",C2191="",D2191=""),"",IFERROR(INDEX(catTipo,MATCH(D2191,catNom,0))&amp;"",""))</f>
        <v/>
      </c>
      <c r="J2191" s="19">
        <f>IF(I2191="","",IFERROR(INDEX(catGrupo,MATCH(D2191,catNom,0))&amp;"",""))</f>
        <v/>
      </c>
      <c r="K2191" s="19">
        <f>IF(I2191="Gasto",IF(IFERROR(INDEX(catClas,MATCH(D2191,catNom,0))&amp;"","")="","Variable",IFERROR(INDEX(catClas,MATCH(D2191,catNom,0))&amp;"","")),"")</f>
        <v/>
      </c>
      <c r="L2191" s="19">
        <f>IF(I2191="","",IFERROR(INDEX(catAlim,MATCH(D2191,catNom,0))&amp;"",""))</f>
        <v/>
      </c>
      <c r="M2191" s="19">
        <f>IF(I2191="","",IFERROR(INDEX(catComida,MATCH(D2191,catNom,0))&amp;"",""))</f>
        <v/>
      </c>
      <c r="N2191" s="19">
        <f>IF(I2191="","",IFERROR(INDEX(ctaMon,MATCH(E2191,ctaNom,0))&amp;"","DOP"))</f>
        <v/>
      </c>
      <c r="O2191" s="20">
        <f>IF(I2191="","",C2191*IF(N2191="USD",TasaUSD,1))</f>
        <v/>
      </c>
      <c r="P2191" s="20">
        <f>IF(I2191="","",IF(I2191="Gasto",O2191,0))</f>
        <v/>
      </c>
      <c r="Q2191" s="20">
        <f>IF(I2191="","",IF(I2191="Ingreso",O2191,0))</f>
        <v/>
      </c>
      <c r="R2191" s="20">
        <f>IF(I2191="","",IF(I2191="Trading",O2191,0))</f>
        <v/>
      </c>
      <c r="S2191" s="19">
        <f>IF(I2191="","",IF(AND(I2191="Gasto",K2191="Variable",J2191&lt;&gt;"Trading",O2191&gt;0,O2191&lt;=Umbral),1,0))</f>
        <v/>
      </c>
      <c r="T2191" s="20">
        <f>IF(OR(I2191="",E2191=""),"",IF(OR(I2191="Gasto",I2191="Transferencia",I2191="Pago tarjeta"),-1,1)*C2191)</f>
        <v/>
      </c>
      <c r="U2191" s="20">
        <f>IF(OR(G2191="",AND(I2191&lt;&gt;"Transferencia",I2191&lt;&gt;"Pago tarjeta")),"",IF(IFERROR(INDEX(ctaMon,MATCH(G2191,ctaNom,0))&amp;"","DOP")=N2191,C2191,IF(N2191="USD",C2191*TasaUSD,C2191/TasaUSD)))</f>
        <v/>
      </c>
      <c r="V2191" s="20">
        <f>IF(I2191="","",IF(IFERROR(INDEX(ctaLiq,MATCH(E2191,ctaNom,0))="Sí",FALSE),IF(OR(I2191="Gasto",I2191="Transferencia",I2191="Pago tarjeta"),-1,1)*O2191,0)+IF(AND(U2191&lt;&gt;"",IFERROR(INDEX(ctaLiq,MATCH(G2191,ctaNom,0))="Sí",FALSE)),O2191,0))</f>
        <v/>
      </c>
      <c r="W2191" s="19">
        <f>IF(OR(F2191="",I2191=""),"",IF(COUNTIFS(F$6:F2191,F2191,I$6:I2191,"?*")=1,MAX(W$5:W2190)+1,""))</f>
        <v/>
      </c>
    </row>
    <row r="2192">
      <c r="B2192" s="15" t="n"/>
      <c r="C2192" s="16" t="n"/>
      <c r="D2192" s="17" t="n"/>
      <c r="E2192" s="17" t="n"/>
      <c r="F2192" s="17" t="n"/>
      <c r="G2192" s="17" t="n"/>
      <c r="H2192" s="18">
        <f>IF(AND(B2192="",C2192="",D2192="",E2192=""),"",IF(B2192="","⚠ Falta fecha",IF(C2192="","⚠ Falta monto",IF(D2192="","⚠ Falta categoría",IF(ISNA(MATCH(D2192,catNom,0)),"⚠ Categoría no existe",IF(E2192="","⚠ Falta cuenta",IF(ISNA(MATCH(E2192,ctaNom,0)),"⚠ Cuenta no existe",IF(AND(OR(I2192="Transferencia",I2192="Pago tarjeta"),G2192=""),"⚠ Indica la cuenta «Hacia»",IF(AND(G2192&lt;&gt;"",G2192=E2192),"⚠ «Hacia» igual a la cuenta",IF(AND(G2192&lt;&gt;"",ISNA(MATCH(G2192,ctaNom,0))),"⚠ «Hacia» no existe",IF(AND(I2192="Pago tarjeta",IFERROR(INDEX(ctaTipo,MATCH(G2192,ctaNom,0)),"")&lt;&gt;"Tarjeta de crédito"),"⚠ «Hacia» debe ser la tarjeta",IF(AND(I2192="Trading",IFERROR(INDEX(ctaTipo,MATCH(E2192,ctaNom,0)),"")&lt;&gt;"Cuenta de trading"),"⚠ Usa la cuenta de trading","✓"))))))))))))</f>
        <v/>
      </c>
      <c r="I2192" s="19">
        <f>IF(OR(B2192="",C2192="",D2192=""),"",IFERROR(INDEX(catTipo,MATCH(D2192,catNom,0))&amp;"",""))</f>
        <v/>
      </c>
      <c r="J2192" s="19">
        <f>IF(I2192="","",IFERROR(INDEX(catGrupo,MATCH(D2192,catNom,0))&amp;"",""))</f>
        <v/>
      </c>
      <c r="K2192" s="19">
        <f>IF(I2192="Gasto",IF(IFERROR(INDEX(catClas,MATCH(D2192,catNom,0))&amp;"","")="","Variable",IFERROR(INDEX(catClas,MATCH(D2192,catNom,0))&amp;"","")),"")</f>
        <v/>
      </c>
      <c r="L2192" s="19">
        <f>IF(I2192="","",IFERROR(INDEX(catAlim,MATCH(D2192,catNom,0))&amp;"",""))</f>
        <v/>
      </c>
      <c r="M2192" s="19">
        <f>IF(I2192="","",IFERROR(INDEX(catComida,MATCH(D2192,catNom,0))&amp;"",""))</f>
        <v/>
      </c>
      <c r="N2192" s="19">
        <f>IF(I2192="","",IFERROR(INDEX(ctaMon,MATCH(E2192,ctaNom,0))&amp;"","DOP"))</f>
        <v/>
      </c>
      <c r="O2192" s="20">
        <f>IF(I2192="","",C2192*IF(N2192="USD",TasaUSD,1))</f>
        <v/>
      </c>
      <c r="P2192" s="20">
        <f>IF(I2192="","",IF(I2192="Gasto",O2192,0))</f>
        <v/>
      </c>
      <c r="Q2192" s="20">
        <f>IF(I2192="","",IF(I2192="Ingreso",O2192,0))</f>
        <v/>
      </c>
      <c r="R2192" s="20">
        <f>IF(I2192="","",IF(I2192="Trading",O2192,0))</f>
        <v/>
      </c>
      <c r="S2192" s="19">
        <f>IF(I2192="","",IF(AND(I2192="Gasto",K2192="Variable",J2192&lt;&gt;"Trading",O2192&gt;0,O2192&lt;=Umbral),1,0))</f>
        <v/>
      </c>
      <c r="T2192" s="20">
        <f>IF(OR(I2192="",E2192=""),"",IF(OR(I2192="Gasto",I2192="Transferencia",I2192="Pago tarjeta"),-1,1)*C2192)</f>
        <v/>
      </c>
      <c r="U2192" s="20">
        <f>IF(OR(G2192="",AND(I2192&lt;&gt;"Transferencia",I2192&lt;&gt;"Pago tarjeta")),"",IF(IFERROR(INDEX(ctaMon,MATCH(G2192,ctaNom,0))&amp;"","DOP")=N2192,C2192,IF(N2192="USD",C2192*TasaUSD,C2192/TasaUSD)))</f>
        <v/>
      </c>
      <c r="V2192" s="20">
        <f>IF(I2192="","",IF(IFERROR(INDEX(ctaLiq,MATCH(E2192,ctaNom,0))="Sí",FALSE),IF(OR(I2192="Gasto",I2192="Transferencia",I2192="Pago tarjeta"),-1,1)*O2192,0)+IF(AND(U2192&lt;&gt;"",IFERROR(INDEX(ctaLiq,MATCH(G2192,ctaNom,0))="Sí",FALSE)),O2192,0))</f>
        <v/>
      </c>
      <c r="W2192" s="19">
        <f>IF(OR(F2192="",I2192=""),"",IF(COUNTIFS(F$6:F2192,F2192,I$6:I2192,"?*")=1,MAX(W$5:W2191)+1,""))</f>
        <v/>
      </c>
    </row>
    <row r="2193">
      <c r="B2193" s="15" t="n"/>
      <c r="C2193" s="16" t="n"/>
      <c r="D2193" s="17" t="n"/>
      <c r="E2193" s="17" t="n"/>
      <c r="F2193" s="17" t="n"/>
      <c r="G2193" s="17" t="n"/>
      <c r="H2193" s="18">
        <f>IF(AND(B2193="",C2193="",D2193="",E2193=""),"",IF(B2193="","⚠ Falta fecha",IF(C2193="","⚠ Falta monto",IF(D2193="","⚠ Falta categoría",IF(ISNA(MATCH(D2193,catNom,0)),"⚠ Categoría no existe",IF(E2193="","⚠ Falta cuenta",IF(ISNA(MATCH(E2193,ctaNom,0)),"⚠ Cuenta no existe",IF(AND(OR(I2193="Transferencia",I2193="Pago tarjeta"),G2193=""),"⚠ Indica la cuenta «Hacia»",IF(AND(G2193&lt;&gt;"",G2193=E2193),"⚠ «Hacia» igual a la cuenta",IF(AND(G2193&lt;&gt;"",ISNA(MATCH(G2193,ctaNom,0))),"⚠ «Hacia» no existe",IF(AND(I2193="Pago tarjeta",IFERROR(INDEX(ctaTipo,MATCH(G2193,ctaNom,0)),"")&lt;&gt;"Tarjeta de crédito"),"⚠ «Hacia» debe ser la tarjeta",IF(AND(I2193="Trading",IFERROR(INDEX(ctaTipo,MATCH(E2193,ctaNom,0)),"")&lt;&gt;"Cuenta de trading"),"⚠ Usa la cuenta de trading","✓"))))))))))))</f>
        <v/>
      </c>
      <c r="I2193" s="19">
        <f>IF(OR(B2193="",C2193="",D2193=""),"",IFERROR(INDEX(catTipo,MATCH(D2193,catNom,0))&amp;"",""))</f>
        <v/>
      </c>
      <c r="J2193" s="19">
        <f>IF(I2193="","",IFERROR(INDEX(catGrupo,MATCH(D2193,catNom,0))&amp;"",""))</f>
        <v/>
      </c>
      <c r="K2193" s="19">
        <f>IF(I2193="Gasto",IF(IFERROR(INDEX(catClas,MATCH(D2193,catNom,0))&amp;"","")="","Variable",IFERROR(INDEX(catClas,MATCH(D2193,catNom,0))&amp;"","")),"")</f>
        <v/>
      </c>
      <c r="L2193" s="19">
        <f>IF(I2193="","",IFERROR(INDEX(catAlim,MATCH(D2193,catNom,0))&amp;"",""))</f>
        <v/>
      </c>
      <c r="M2193" s="19">
        <f>IF(I2193="","",IFERROR(INDEX(catComida,MATCH(D2193,catNom,0))&amp;"",""))</f>
        <v/>
      </c>
      <c r="N2193" s="19">
        <f>IF(I2193="","",IFERROR(INDEX(ctaMon,MATCH(E2193,ctaNom,0))&amp;"","DOP"))</f>
        <v/>
      </c>
      <c r="O2193" s="20">
        <f>IF(I2193="","",C2193*IF(N2193="USD",TasaUSD,1))</f>
        <v/>
      </c>
      <c r="P2193" s="20">
        <f>IF(I2193="","",IF(I2193="Gasto",O2193,0))</f>
        <v/>
      </c>
      <c r="Q2193" s="20">
        <f>IF(I2193="","",IF(I2193="Ingreso",O2193,0))</f>
        <v/>
      </c>
      <c r="R2193" s="20">
        <f>IF(I2193="","",IF(I2193="Trading",O2193,0))</f>
        <v/>
      </c>
      <c r="S2193" s="19">
        <f>IF(I2193="","",IF(AND(I2193="Gasto",K2193="Variable",J2193&lt;&gt;"Trading",O2193&gt;0,O2193&lt;=Umbral),1,0))</f>
        <v/>
      </c>
      <c r="T2193" s="20">
        <f>IF(OR(I2193="",E2193=""),"",IF(OR(I2193="Gasto",I2193="Transferencia",I2193="Pago tarjeta"),-1,1)*C2193)</f>
        <v/>
      </c>
      <c r="U2193" s="20">
        <f>IF(OR(G2193="",AND(I2193&lt;&gt;"Transferencia",I2193&lt;&gt;"Pago tarjeta")),"",IF(IFERROR(INDEX(ctaMon,MATCH(G2193,ctaNom,0))&amp;"","DOP")=N2193,C2193,IF(N2193="USD",C2193*TasaUSD,C2193/TasaUSD)))</f>
        <v/>
      </c>
      <c r="V2193" s="20">
        <f>IF(I2193="","",IF(IFERROR(INDEX(ctaLiq,MATCH(E2193,ctaNom,0))="Sí",FALSE),IF(OR(I2193="Gasto",I2193="Transferencia",I2193="Pago tarjeta"),-1,1)*O2193,0)+IF(AND(U2193&lt;&gt;"",IFERROR(INDEX(ctaLiq,MATCH(G2193,ctaNom,0))="Sí",FALSE)),O2193,0))</f>
        <v/>
      </c>
      <c r="W2193" s="19">
        <f>IF(OR(F2193="",I2193=""),"",IF(COUNTIFS(F$6:F2193,F2193,I$6:I2193,"?*")=1,MAX(W$5:W2192)+1,""))</f>
        <v/>
      </c>
    </row>
    <row r="2194">
      <c r="B2194" s="15" t="n"/>
      <c r="C2194" s="16" t="n"/>
      <c r="D2194" s="17" t="n"/>
      <c r="E2194" s="17" t="n"/>
      <c r="F2194" s="17" t="n"/>
      <c r="G2194" s="17" t="n"/>
      <c r="H2194" s="18">
        <f>IF(AND(B2194="",C2194="",D2194="",E2194=""),"",IF(B2194="","⚠ Falta fecha",IF(C2194="","⚠ Falta monto",IF(D2194="","⚠ Falta categoría",IF(ISNA(MATCH(D2194,catNom,0)),"⚠ Categoría no existe",IF(E2194="","⚠ Falta cuenta",IF(ISNA(MATCH(E2194,ctaNom,0)),"⚠ Cuenta no existe",IF(AND(OR(I2194="Transferencia",I2194="Pago tarjeta"),G2194=""),"⚠ Indica la cuenta «Hacia»",IF(AND(G2194&lt;&gt;"",G2194=E2194),"⚠ «Hacia» igual a la cuenta",IF(AND(G2194&lt;&gt;"",ISNA(MATCH(G2194,ctaNom,0))),"⚠ «Hacia» no existe",IF(AND(I2194="Pago tarjeta",IFERROR(INDEX(ctaTipo,MATCH(G2194,ctaNom,0)),"")&lt;&gt;"Tarjeta de crédito"),"⚠ «Hacia» debe ser la tarjeta",IF(AND(I2194="Trading",IFERROR(INDEX(ctaTipo,MATCH(E2194,ctaNom,0)),"")&lt;&gt;"Cuenta de trading"),"⚠ Usa la cuenta de trading","✓"))))))))))))</f>
        <v/>
      </c>
      <c r="I2194" s="19">
        <f>IF(OR(B2194="",C2194="",D2194=""),"",IFERROR(INDEX(catTipo,MATCH(D2194,catNom,0))&amp;"",""))</f>
        <v/>
      </c>
      <c r="J2194" s="19">
        <f>IF(I2194="","",IFERROR(INDEX(catGrupo,MATCH(D2194,catNom,0))&amp;"",""))</f>
        <v/>
      </c>
      <c r="K2194" s="19">
        <f>IF(I2194="Gasto",IF(IFERROR(INDEX(catClas,MATCH(D2194,catNom,0))&amp;"","")="","Variable",IFERROR(INDEX(catClas,MATCH(D2194,catNom,0))&amp;"","")),"")</f>
        <v/>
      </c>
      <c r="L2194" s="19">
        <f>IF(I2194="","",IFERROR(INDEX(catAlim,MATCH(D2194,catNom,0))&amp;"",""))</f>
        <v/>
      </c>
      <c r="M2194" s="19">
        <f>IF(I2194="","",IFERROR(INDEX(catComida,MATCH(D2194,catNom,0))&amp;"",""))</f>
        <v/>
      </c>
      <c r="N2194" s="19">
        <f>IF(I2194="","",IFERROR(INDEX(ctaMon,MATCH(E2194,ctaNom,0))&amp;"","DOP"))</f>
        <v/>
      </c>
      <c r="O2194" s="20">
        <f>IF(I2194="","",C2194*IF(N2194="USD",TasaUSD,1))</f>
        <v/>
      </c>
      <c r="P2194" s="20">
        <f>IF(I2194="","",IF(I2194="Gasto",O2194,0))</f>
        <v/>
      </c>
      <c r="Q2194" s="20">
        <f>IF(I2194="","",IF(I2194="Ingreso",O2194,0))</f>
        <v/>
      </c>
      <c r="R2194" s="20">
        <f>IF(I2194="","",IF(I2194="Trading",O2194,0))</f>
        <v/>
      </c>
      <c r="S2194" s="19">
        <f>IF(I2194="","",IF(AND(I2194="Gasto",K2194="Variable",J2194&lt;&gt;"Trading",O2194&gt;0,O2194&lt;=Umbral),1,0))</f>
        <v/>
      </c>
      <c r="T2194" s="20">
        <f>IF(OR(I2194="",E2194=""),"",IF(OR(I2194="Gasto",I2194="Transferencia",I2194="Pago tarjeta"),-1,1)*C2194)</f>
        <v/>
      </c>
      <c r="U2194" s="20">
        <f>IF(OR(G2194="",AND(I2194&lt;&gt;"Transferencia",I2194&lt;&gt;"Pago tarjeta")),"",IF(IFERROR(INDEX(ctaMon,MATCH(G2194,ctaNom,0))&amp;"","DOP")=N2194,C2194,IF(N2194="USD",C2194*TasaUSD,C2194/TasaUSD)))</f>
        <v/>
      </c>
      <c r="V2194" s="20">
        <f>IF(I2194="","",IF(IFERROR(INDEX(ctaLiq,MATCH(E2194,ctaNom,0))="Sí",FALSE),IF(OR(I2194="Gasto",I2194="Transferencia",I2194="Pago tarjeta"),-1,1)*O2194,0)+IF(AND(U2194&lt;&gt;"",IFERROR(INDEX(ctaLiq,MATCH(G2194,ctaNom,0))="Sí",FALSE)),O2194,0))</f>
        <v/>
      </c>
      <c r="W2194" s="19">
        <f>IF(OR(F2194="",I2194=""),"",IF(COUNTIFS(F$6:F2194,F2194,I$6:I2194,"?*")=1,MAX(W$5:W2193)+1,""))</f>
        <v/>
      </c>
    </row>
    <row r="2195">
      <c r="B2195" s="15" t="n"/>
      <c r="C2195" s="16" t="n"/>
      <c r="D2195" s="17" t="n"/>
      <c r="E2195" s="17" t="n"/>
      <c r="F2195" s="17" t="n"/>
      <c r="G2195" s="17" t="n"/>
      <c r="H2195" s="18">
        <f>IF(AND(B2195="",C2195="",D2195="",E2195=""),"",IF(B2195="","⚠ Falta fecha",IF(C2195="","⚠ Falta monto",IF(D2195="","⚠ Falta categoría",IF(ISNA(MATCH(D2195,catNom,0)),"⚠ Categoría no existe",IF(E2195="","⚠ Falta cuenta",IF(ISNA(MATCH(E2195,ctaNom,0)),"⚠ Cuenta no existe",IF(AND(OR(I2195="Transferencia",I2195="Pago tarjeta"),G2195=""),"⚠ Indica la cuenta «Hacia»",IF(AND(G2195&lt;&gt;"",G2195=E2195),"⚠ «Hacia» igual a la cuenta",IF(AND(G2195&lt;&gt;"",ISNA(MATCH(G2195,ctaNom,0))),"⚠ «Hacia» no existe",IF(AND(I2195="Pago tarjeta",IFERROR(INDEX(ctaTipo,MATCH(G2195,ctaNom,0)),"")&lt;&gt;"Tarjeta de crédito"),"⚠ «Hacia» debe ser la tarjeta",IF(AND(I2195="Trading",IFERROR(INDEX(ctaTipo,MATCH(E2195,ctaNom,0)),"")&lt;&gt;"Cuenta de trading"),"⚠ Usa la cuenta de trading","✓"))))))))))))</f>
        <v/>
      </c>
      <c r="I2195" s="19">
        <f>IF(OR(B2195="",C2195="",D2195=""),"",IFERROR(INDEX(catTipo,MATCH(D2195,catNom,0))&amp;"",""))</f>
        <v/>
      </c>
      <c r="J2195" s="19">
        <f>IF(I2195="","",IFERROR(INDEX(catGrupo,MATCH(D2195,catNom,0))&amp;"",""))</f>
        <v/>
      </c>
      <c r="K2195" s="19">
        <f>IF(I2195="Gasto",IF(IFERROR(INDEX(catClas,MATCH(D2195,catNom,0))&amp;"","")="","Variable",IFERROR(INDEX(catClas,MATCH(D2195,catNom,0))&amp;"","")),"")</f>
        <v/>
      </c>
      <c r="L2195" s="19">
        <f>IF(I2195="","",IFERROR(INDEX(catAlim,MATCH(D2195,catNom,0))&amp;"",""))</f>
        <v/>
      </c>
      <c r="M2195" s="19">
        <f>IF(I2195="","",IFERROR(INDEX(catComida,MATCH(D2195,catNom,0))&amp;"",""))</f>
        <v/>
      </c>
      <c r="N2195" s="19">
        <f>IF(I2195="","",IFERROR(INDEX(ctaMon,MATCH(E2195,ctaNom,0))&amp;"","DOP"))</f>
        <v/>
      </c>
      <c r="O2195" s="20">
        <f>IF(I2195="","",C2195*IF(N2195="USD",TasaUSD,1))</f>
        <v/>
      </c>
      <c r="P2195" s="20">
        <f>IF(I2195="","",IF(I2195="Gasto",O2195,0))</f>
        <v/>
      </c>
      <c r="Q2195" s="20">
        <f>IF(I2195="","",IF(I2195="Ingreso",O2195,0))</f>
        <v/>
      </c>
      <c r="R2195" s="20">
        <f>IF(I2195="","",IF(I2195="Trading",O2195,0))</f>
        <v/>
      </c>
      <c r="S2195" s="19">
        <f>IF(I2195="","",IF(AND(I2195="Gasto",K2195="Variable",J2195&lt;&gt;"Trading",O2195&gt;0,O2195&lt;=Umbral),1,0))</f>
        <v/>
      </c>
      <c r="T2195" s="20">
        <f>IF(OR(I2195="",E2195=""),"",IF(OR(I2195="Gasto",I2195="Transferencia",I2195="Pago tarjeta"),-1,1)*C2195)</f>
        <v/>
      </c>
      <c r="U2195" s="20">
        <f>IF(OR(G2195="",AND(I2195&lt;&gt;"Transferencia",I2195&lt;&gt;"Pago tarjeta")),"",IF(IFERROR(INDEX(ctaMon,MATCH(G2195,ctaNom,0))&amp;"","DOP")=N2195,C2195,IF(N2195="USD",C2195*TasaUSD,C2195/TasaUSD)))</f>
        <v/>
      </c>
      <c r="V2195" s="20">
        <f>IF(I2195="","",IF(IFERROR(INDEX(ctaLiq,MATCH(E2195,ctaNom,0))="Sí",FALSE),IF(OR(I2195="Gasto",I2195="Transferencia",I2195="Pago tarjeta"),-1,1)*O2195,0)+IF(AND(U2195&lt;&gt;"",IFERROR(INDEX(ctaLiq,MATCH(G2195,ctaNom,0))="Sí",FALSE)),O2195,0))</f>
        <v/>
      </c>
      <c r="W2195" s="19">
        <f>IF(OR(F2195="",I2195=""),"",IF(COUNTIFS(F$6:F2195,F2195,I$6:I2195,"?*")=1,MAX(W$5:W2194)+1,""))</f>
        <v/>
      </c>
    </row>
    <row r="2196">
      <c r="B2196" s="15" t="n"/>
      <c r="C2196" s="16" t="n"/>
      <c r="D2196" s="17" t="n"/>
      <c r="E2196" s="17" t="n"/>
      <c r="F2196" s="17" t="n"/>
      <c r="G2196" s="17" t="n"/>
      <c r="H2196" s="18">
        <f>IF(AND(B2196="",C2196="",D2196="",E2196=""),"",IF(B2196="","⚠ Falta fecha",IF(C2196="","⚠ Falta monto",IF(D2196="","⚠ Falta categoría",IF(ISNA(MATCH(D2196,catNom,0)),"⚠ Categoría no existe",IF(E2196="","⚠ Falta cuenta",IF(ISNA(MATCH(E2196,ctaNom,0)),"⚠ Cuenta no existe",IF(AND(OR(I2196="Transferencia",I2196="Pago tarjeta"),G2196=""),"⚠ Indica la cuenta «Hacia»",IF(AND(G2196&lt;&gt;"",G2196=E2196),"⚠ «Hacia» igual a la cuenta",IF(AND(G2196&lt;&gt;"",ISNA(MATCH(G2196,ctaNom,0))),"⚠ «Hacia» no existe",IF(AND(I2196="Pago tarjeta",IFERROR(INDEX(ctaTipo,MATCH(G2196,ctaNom,0)),"")&lt;&gt;"Tarjeta de crédito"),"⚠ «Hacia» debe ser la tarjeta",IF(AND(I2196="Trading",IFERROR(INDEX(ctaTipo,MATCH(E2196,ctaNom,0)),"")&lt;&gt;"Cuenta de trading"),"⚠ Usa la cuenta de trading","✓"))))))))))))</f>
        <v/>
      </c>
      <c r="I2196" s="19">
        <f>IF(OR(B2196="",C2196="",D2196=""),"",IFERROR(INDEX(catTipo,MATCH(D2196,catNom,0))&amp;"",""))</f>
        <v/>
      </c>
      <c r="J2196" s="19">
        <f>IF(I2196="","",IFERROR(INDEX(catGrupo,MATCH(D2196,catNom,0))&amp;"",""))</f>
        <v/>
      </c>
      <c r="K2196" s="19">
        <f>IF(I2196="Gasto",IF(IFERROR(INDEX(catClas,MATCH(D2196,catNom,0))&amp;"","")="","Variable",IFERROR(INDEX(catClas,MATCH(D2196,catNom,0))&amp;"","")),"")</f>
        <v/>
      </c>
      <c r="L2196" s="19">
        <f>IF(I2196="","",IFERROR(INDEX(catAlim,MATCH(D2196,catNom,0))&amp;"",""))</f>
        <v/>
      </c>
      <c r="M2196" s="19">
        <f>IF(I2196="","",IFERROR(INDEX(catComida,MATCH(D2196,catNom,0))&amp;"",""))</f>
        <v/>
      </c>
      <c r="N2196" s="19">
        <f>IF(I2196="","",IFERROR(INDEX(ctaMon,MATCH(E2196,ctaNom,0))&amp;"","DOP"))</f>
        <v/>
      </c>
      <c r="O2196" s="20">
        <f>IF(I2196="","",C2196*IF(N2196="USD",TasaUSD,1))</f>
        <v/>
      </c>
      <c r="P2196" s="20">
        <f>IF(I2196="","",IF(I2196="Gasto",O2196,0))</f>
        <v/>
      </c>
      <c r="Q2196" s="20">
        <f>IF(I2196="","",IF(I2196="Ingreso",O2196,0))</f>
        <v/>
      </c>
      <c r="R2196" s="20">
        <f>IF(I2196="","",IF(I2196="Trading",O2196,0))</f>
        <v/>
      </c>
      <c r="S2196" s="19">
        <f>IF(I2196="","",IF(AND(I2196="Gasto",K2196="Variable",J2196&lt;&gt;"Trading",O2196&gt;0,O2196&lt;=Umbral),1,0))</f>
        <v/>
      </c>
      <c r="T2196" s="20">
        <f>IF(OR(I2196="",E2196=""),"",IF(OR(I2196="Gasto",I2196="Transferencia",I2196="Pago tarjeta"),-1,1)*C2196)</f>
        <v/>
      </c>
      <c r="U2196" s="20">
        <f>IF(OR(G2196="",AND(I2196&lt;&gt;"Transferencia",I2196&lt;&gt;"Pago tarjeta")),"",IF(IFERROR(INDEX(ctaMon,MATCH(G2196,ctaNom,0))&amp;"","DOP")=N2196,C2196,IF(N2196="USD",C2196*TasaUSD,C2196/TasaUSD)))</f>
        <v/>
      </c>
      <c r="V2196" s="20">
        <f>IF(I2196="","",IF(IFERROR(INDEX(ctaLiq,MATCH(E2196,ctaNom,0))="Sí",FALSE),IF(OR(I2196="Gasto",I2196="Transferencia",I2196="Pago tarjeta"),-1,1)*O2196,0)+IF(AND(U2196&lt;&gt;"",IFERROR(INDEX(ctaLiq,MATCH(G2196,ctaNom,0))="Sí",FALSE)),O2196,0))</f>
        <v/>
      </c>
      <c r="W2196" s="19">
        <f>IF(OR(F2196="",I2196=""),"",IF(COUNTIFS(F$6:F2196,F2196,I$6:I2196,"?*")=1,MAX(W$5:W2195)+1,""))</f>
        <v/>
      </c>
    </row>
    <row r="2197">
      <c r="B2197" s="15" t="n"/>
      <c r="C2197" s="16" t="n"/>
      <c r="D2197" s="17" t="n"/>
      <c r="E2197" s="17" t="n"/>
      <c r="F2197" s="17" t="n"/>
      <c r="G2197" s="17" t="n"/>
      <c r="H2197" s="18">
        <f>IF(AND(B2197="",C2197="",D2197="",E2197=""),"",IF(B2197="","⚠ Falta fecha",IF(C2197="","⚠ Falta monto",IF(D2197="","⚠ Falta categoría",IF(ISNA(MATCH(D2197,catNom,0)),"⚠ Categoría no existe",IF(E2197="","⚠ Falta cuenta",IF(ISNA(MATCH(E2197,ctaNom,0)),"⚠ Cuenta no existe",IF(AND(OR(I2197="Transferencia",I2197="Pago tarjeta"),G2197=""),"⚠ Indica la cuenta «Hacia»",IF(AND(G2197&lt;&gt;"",G2197=E2197),"⚠ «Hacia» igual a la cuenta",IF(AND(G2197&lt;&gt;"",ISNA(MATCH(G2197,ctaNom,0))),"⚠ «Hacia» no existe",IF(AND(I2197="Pago tarjeta",IFERROR(INDEX(ctaTipo,MATCH(G2197,ctaNom,0)),"")&lt;&gt;"Tarjeta de crédito"),"⚠ «Hacia» debe ser la tarjeta",IF(AND(I2197="Trading",IFERROR(INDEX(ctaTipo,MATCH(E2197,ctaNom,0)),"")&lt;&gt;"Cuenta de trading"),"⚠ Usa la cuenta de trading","✓"))))))))))))</f>
        <v/>
      </c>
      <c r="I2197" s="19">
        <f>IF(OR(B2197="",C2197="",D2197=""),"",IFERROR(INDEX(catTipo,MATCH(D2197,catNom,0))&amp;"",""))</f>
        <v/>
      </c>
      <c r="J2197" s="19">
        <f>IF(I2197="","",IFERROR(INDEX(catGrupo,MATCH(D2197,catNom,0))&amp;"",""))</f>
        <v/>
      </c>
      <c r="K2197" s="19">
        <f>IF(I2197="Gasto",IF(IFERROR(INDEX(catClas,MATCH(D2197,catNom,0))&amp;"","")="","Variable",IFERROR(INDEX(catClas,MATCH(D2197,catNom,0))&amp;"","")),"")</f>
        <v/>
      </c>
      <c r="L2197" s="19">
        <f>IF(I2197="","",IFERROR(INDEX(catAlim,MATCH(D2197,catNom,0))&amp;"",""))</f>
        <v/>
      </c>
      <c r="M2197" s="19">
        <f>IF(I2197="","",IFERROR(INDEX(catComida,MATCH(D2197,catNom,0))&amp;"",""))</f>
        <v/>
      </c>
      <c r="N2197" s="19">
        <f>IF(I2197="","",IFERROR(INDEX(ctaMon,MATCH(E2197,ctaNom,0))&amp;"","DOP"))</f>
        <v/>
      </c>
      <c r="O2197" s="20">
        <f>IF(I2197="","",C2197*IF(N2197="USD",TasaUSD,1))</f>
        <v/>
      </c>
      <c r="P2197" s="20">
        <f>IF(I2197="","",IF(I2197="Gasto",O2197,0))</f>
        <v/>
      </c>
      <c r="Q2197" s="20">
        <f>IF(I2197="","",IF(I2197="Ingreso",O2197,0))</f>
        <v/>
      </c>
      <c r="R2197" s="20">
        <f>IF(I2197="","",IF(I2197="Trading",O2197,0))</f>
        <v/>
      </c>
      <c r="S2197" s="19">
        <f>IF(I2197="","",IF(AND(I2197="Gasto",K2197="Variable",J2197&lt;&gt;"Trading",O2197&gt;0,O2197&lt;=Umbral),1,0))</f>
        <v/>
      </c>
      <c r="T2197" s="20">
        <f>IF(OR(I2197="",E2197=""),"",IF(OR(I2197="Gasto",I2197="Transferencia",I2197="Pago tarjeta"),-1,1)*C2197)</f>
        <v/>
      </c>
      <c r="U2197" s="20">
        <f>IF(OR(G2197="",AND(I2197&lt;&gt;"Transferencia",I2197&lt;&gt;"Pago tarjeta")),"",IF(IFERROR(INDEX(ctaMon,MATCH(G2197,ctaNom,0))&amp;"","DOP")=N2197,C2197,IF(N2197="USD",C2197*TasaUSD,C2197/TasaUSD)))</f>
        <v/>
      </c>
      <c r="V2197" s="20">
        <f>IF(I2197="","",IF(IFERROR(INDEX(ctaLiq,MATCH(E2197,ctaNom,0))="Sí",FALSE),IF(OR(I2197="Gasto",I2197="Transferencia",I2197="Pago tarjeta"),-1,1)*O2197,0)+IF(AND(U2197&lt;&gt;"",IFERROR(INDEX(ctaLiq,MATCH(G2197,ctaNom,0))="Sí",FALSE)),O2197,0))</f>
        <v/>
      </c>
      <c r="W2197" s="19">
        <f>IF(OR(F2197="",I2197=""),"",IF(COUNTIFS(F$6:F2197,F2197,I$6:I2197,"?*")=1,MAX(W$5:W2196)+1,""))</f>
        <v/>
      </c>
    </row>
    <row r="2198">
      <c r="B2198" s="15" t="n"/>
      <c r="C2198" s="16" t="n"/>
      <c r="D2198" s="17" t="n"/>
      <c r="E2198" s="17" t="n"/>
      <c r="F2198" s="17" t="n"/>
      <c r="G2198" s="17" t="n"/>
      <c r="H2198" s="18">
        <f>IF(AND(B2198="",C2198="",D2198="",E2198=""),"",IF(B2198="","⚠ Falta fecha",IF(C2198="","⚠ Falta monto",IF(D2198="","⚠ Falta categoría",IF(ISNA(MATCH(D2198,catNom,0)),"⚠ Categoría no existe",IF(E2198="","⚠ Falta cuenta",IF(ISNA(MATCH(E2198,ctaNom,0)),"⚠ Cuenta no existe",IF(AND(OR(I2198="Transferencia",I2198="Pago tarjeta"),G2198=""),"⚠ Indica la cuenta «Hacia»",IF(AND(G2198&lt;&gt;"",G2198=E2198),"⚠ «Hacia» igual a la cuenta",IF(AND(G2198&lt;&gt;"",ISNA(MATCH(G2198,ctaNom,0))),"⚠ «Hacia» no existe",IF(AND(I2198="Pago tarjeta",IFERROR(INDEX(ctaTipo,MATCH(G2198,ctaNom,0)),"")&lt;&gt;"Tarjeta de crédito"),"⚠ «Hacia» debe ser la tarjeta",IF(AND(I2198="Trading",IFERROR(INDEX(ctaTipo,MATCH(E2198,ctaNom,0)),"")&lt;&gt;"Cuenta de trading"),"⚠ Usa la cuenta de trading","✓"))))))))))))</f>
        <v/>
      </c>
      <c r="I2198" s="19">
        <f>IF(OR(B2198="",C2198="",D2198=""),"",IFERROR(INDEX(catTipo,MATCH(D2198,catNom,0))&amp;"",""))</f>
        <v/>
      </c>
      <c r="J2198" s="19">
        <f>IF(I2198="","",IFERROR(INDEX(catGrupo,MATCH(D2198,catNom,0))&amp;"",""))</f>
        <v/>
      </c>
      <c r="K2198" s="19">
        <f>IF(I2198="Gasto",IF(IFERROR(INDEX(catClas,MATCH(D2198,catNom,0))&amp;"","")="","Variable",IFERROR(INDEX(catClas,MATCH(D2198,catNom,0))&amp;"","")),"")</f>
        <v/>
      </c>
      <c r="L2198" s="19">
        <f>IF(I2198="","",IFERROR(INDEX(catAlim,MATCH(D2198,catNom,0))&amp;"",""))</f>
        <v/>
      </c>
      <c r="M2198" s="19">
        <f>IF(I2198="","",IFERROR(INDEX(catComida,MATCH(D2198,catNom,0))&amp;"",""))</f>
        <v/>
      </c>
      <c r="N2198" s="19">
        <f>IF(I2198="","",IFERROR(INDEX(ctaMon,MATCH(E2198,ctaNom,0))&amp;"","DOP"))</f>
        <v/>
      </c>
      <c r="O2198" s="20">
        <f>IF(I2198="","",C2198*IF(N2198="USD",TasaUSD,1))</f>
        <v/>
      </c>
      <c r="P2198" s="20">
        <f>IF(I2198="","",IF(I2198="Gasto",O2198,0))</f>
        <v/>
      </c>
      <c r="Q2198" s="20">
        <f>IF(I2198="","",IF(I2198="Ingreso",O2198,0))</f>
        <v/>
      </c>
      <c r="R2198" s="20">
        <f>IF(I2198="","",IF(I2198="Trading",O2198,0))</f>
        <v/>
      </c>
      <c r="S2198" s="19">
        <f>IF(I2198="","",IF(AND(I2198="Gasto",K2198="Variable",J2198&lt;&gt;"Trading",O2198&gt;0,O2198&lt;=Umbral),1,0))</f>
        <v/>
      </c>
      <c r="T2198" s="20">
        <f>IF(OR(I2198="",E2198=""),"",IF(OR(I2198="Gasto",I2198="Transferencia",I2198="Pago tarjeta"),-1,1)*C2198)</f>
        <v/>
      </c>
      <c r="U2198" s="20">
        <f>IF(OR(G2198="",AND(I2198&lt;&gt;"Transferencia",I2198&lt;&gt;"Pago tarjeta")),"",IF(IFERROR(INDEX(ctaMon,MATCH(G2198,ctaNom,0))&amp;"","DOP")=N2198,C2198,IF(N2198="USD",C2198*TasaUSD,C2198/TasaUSD)))</f>
        <v/>
      </c>
      <c r="V2198" s="20">
        <f>IF(I2198="","",IF(IFERROR(INDEX(ctaLiq,MATCH(E2198,ctaNom,0))="Sí",FALSE),IF(OR(I2198="Gasto",I2198="Transferencia",I2198="Pago tarjeta"),-1,1)*O2198,0)+IF(AND(U2198&lt;&gt;"",IFERROR(INDEX(ctaLiq,MATCH(G2198,ctaNom,0))="Sí",FALSE)),O2198,0))</f>
        <v/>
      </c>
      <c r="W2198" s="19">
        <f>IF(OR(F2198="",I2198=""),"",IF(COUNTIFS(F$6:F2198,F2198,I$6:I2198,"?*")=1,MAX(W$5:W2197)+1,""))</f>
        <v/>
      </c>
    </row>
    <row r="2199">
      <c r="B2199" s="15" t="n"/>
      <c r="C2199" s="16" t="n"/>
      <c r="D2199" s="17" t="n"/>
      <c r="E2199" s="17" t="n"/>
      <c r="F2199" s="17" t="n"/>
      <c r="G2199" s="17" t="n"/>
      <c r="H2199" s="18">
        <f>IF(AND(B2199="",C2199="",D2199="",E2199=""),"",IF(B2199="","⚠ Falta fecha",IF(C2199="","⚠ Falta monto",IF(D2199="","⚠ Falta categoría",IF(ISNA(MATCH(D2199,catNom,0)),"⚠ Categoría no existe",IF(E2199="","⚠ Falta cuenta",IF(ISNA(MATCH(E2199,ctaNom,0)),"⚠ Cuenta no existe",IF(AND(OR(I2199="Transferencia",I2199="Pago tarjeta"),G2199=""),"⚠ Indica la cuenta «Hacia»",IF(AND(G2199&lt;&gt;"",G2199=E2199),"⚠ «Hacia» igual a la cuenta",IF(AND(G2199&lt;&gt;"",ISNA(MATCH(G2199,ctaNom,0))),"⚠ «Hacia» no existe",IF(AND(I2199="Pago tarjeta",IFERROR(INDEX(ctaTipo,MATCH(G2199,ctaNom,0)),"")&lt;&gt;"Tarjeta de crédito"),"⚠ «Hacia» debe ser la tarjeta",IF(AND(I2199="Trading",IFERROR(INDEX(ctaTipo,MATCH(E2199,ctaNom,0)),"")&lt;&gt;"Cuenta de trading"),"⚠ Usa la cuenta de trading","✓"))))))))))))</f>
        <v/>
      </c>
      <c r="I2199" s="19">
        <f>IF(OR(B2199="",C2199="",D2199=""),"",IFERROR(INDEX(catTipo,MATCH(D2199,catNom,0))&amp;"",""))</f>
        <v/>
      </c>
      <c r="J2199" s="19">
        <f>IF(I2199="","",IFERROR(INDEX(catGrupo,MATCH(D2199,catNom,0))&amp;"",""))</f>
        <v/>
      </c>
      <c r="K2199" s="19">
        <f>IF(I2199="Gasto",IF(IFERROR(INDEX(catClas,MATCH(D2199,catNom,0))&amp;"","")="","Variable",IFERROR(INDEX(catClas,MATCH(D2199,catNom,0))&amp;"","")),"")</f>
        <v/>
      </c>
      <c r="L2199" s="19">
        <f>IF(I2199="","",IFERROR(INDEX(catAlim,MATCH(D2199,catNom,0))&amp;"",""))</f>
        <v/>
      </c>
      <c r="M2199" s="19">
        <f>IF(I2199="","",IFERROR(INDEX(catComida,MATCH(D2199,catNom,0))&amp;"",""))</f>
        <v/>
      </c>
      <c r="N2199" s="19">
        <f>IF(I2199="","",IFERROR(INDEX(ctaMon,MATCH(E2199,ctaNom,0))&amp;"","DOP"))</f>
        <v/>
      </c>
      <c r="O2199" s="20">
        <f>IF(I2199="","",C2199*IF(N2199="USD",TasaUSD,1))</f>
        <v/>
      </c>
      <c r="P2199" s="20">
        <f>IF(I2199="","",IF(I2199="Gasto",O2199,0))</f>
        <v/>
      </c>
      <c r="Q2199" s="20">
        <f>IF(I2199="","",IF(I2199="Ingreso",O2199,0))</f>
        <v/>
      </c>
      <c r="R2199" s="20">
        <f>IF(I2199="","",IF(I2199="Trading",O2199,0))</f>
        <v/>
      </c>
      <c r="S2199" s="19">
        <f>IF(I2199="","",IF(AND(I2199="Gasto",K2199="Variable",J2199&lt;&gt;"Trading",O2199&gt;0,O2199&lt;=Umbral),1,0))</f>
        <v/>
      </c>
      <c r="T2199" s="20">
        <f>IF(OR(I2199="",E2199=""),"",IF(OR(I2199="Gasto",I2199="Transferencia",I2199="Pago tarjeta"),-1,1)*C2199)</f>
        <v/>
      </c>
      <c r="U2199" s="20">
        <f>IF(OR(G2199="",AND(I2199&lt;&gt;"Transferencia",I2199&lt;&gt;"Pago tarjeta")),"",IF(IFERROR(INDEX(ctaMon,MATCH(G2199,ctaNom,0))&amp;"","DOP")=N2199,C2199,IF(N2199="USD",C2199*TasaUSD,C2199/TasaUSD)))</f>
        <v/>
      </c>
      <c r="V2199" s="20">
        <f>IF(I2199="","",IF(IFERROR(INDEX(ctaLiq,MATCH(E2199,ctaNom,0))="Sí",FALSE),IF(OR(I2199="Gasto",I2199="Transferencia",I2199="Pago tarjeta"),-1,1)*O2199,0)+IF(AND(U2199&lt;&gt;"",IFERROR(INDEX(ctaLiq,MATCH(G2199,ctaNom,0))="Sí",FALSE)),O2199,0))</f>
        <v/>
      </c>
      <c r="W2199" s="19">
        <f>IF(OR(F2199="",I2199=""),"",IF(COUNTIFS(F$6:F2199,F2199,I$6:I2199,"?*")=1,MAX(W$5:W2198)+1,""))</f>
        <v/>
      </c>
    </row>
    <row r="2200">
      <c r="B2200" s="15" t="n"/>
      <c r="C2200" s="16" t="n"/>
      <c r="D2200" s="17" t="n"/>
      <c r="E2200" s="17" t="n"/>
      <c r="F2200" s="17" t="n"/>
      <c r="G2200" s="17" t="n"/>
      <c r="H2200" s="18">
        <f>IF(AND(B2200="",C2200="",D2200="",E2200=""),"",IF(B2200="","⚠ Falta fecha",IF(C2200="","⚠ Falta monto",IF(D2200="","⚠ Falta categoría",IF(ISNA(MATCH(D2200,catNom,0)),"⚠ Categoría no existe",IF(E2200="","⚠ Falta cuenta",IF(ISNA(MATCH(E2200,ctaNom,0)),"⚠ Cuenta no existe",IF(AND(OR(I2200="Transferencia",I2200="Pago tarjeta"),G2200=""),"⚠ Indica la cuenta «Hacia»",IF(AND(G2200&lt;&gt;"",G2200=E2200),"⚠ «Hacia» igual a la cuenta",IF(AND(G2200&lt;&gt;"",ISNA(MATCH(G2200,ctaNom,0))),"⚠ «Hacia» no existe",IF(AND(I2200="Pago tarjeta",IFERROR(INDEX(ctaTipo,MATCH(G2200,ctaNom,0)),"")&lt;&gt;"Tarjeta de crédito"),"⚠ «Hacia» debe ser la tarjeta",IF(AND(I2200="Trading",IFERROR(INDEX(ctaTipo,MATCH(E2200,ctaNom,0)),"")&lt;&gt;"Cuenta de trading"),"⚠ Usa la cuenta de trading","✓"))))))))))))</f>
        <v/>
      </c>
      <c r="I2200" s="19">
        <f>IF(OR(B2200="",C2200="",D2200=""),"",IFERROR(INDEX(catTipo,MATCH(D2200,catNom,0))&amp;"",""))</f>
        <v/>
      </c>
      <c r="J2200" s="19">
        <f>IF(I2200="","",IFERROR(INDEX(catGrupo,MATCH(D2200,catNom,0))&amp;"",""))</f>
        <v/>
      </c>
      <c r="K2200" s="19">
        <f>IF(I2200="Gasto",IF(IFERROR(INDEX(catClas,MATCH(D2200,catNom,0))&amp;"","")="","Variable",IFERROR(INDEX(catClas,MATCH(D2200,catNom,0))&amp;"","")),"")</f>
        <v/>
      </c>
      <c r="L2200" s="19">
        <f>IF(I2200="","",IFERROR(INDEX(catAlim,MATCH(D2200,catNom,0))&amp;"",""))</f>
        <v/>
      </c>
      <c r="M2200" s="19">
        <f>IF(I2200="","",IFERROR(INDEX(catComida,MATCH(D2200,catNom,0))&amp;"",""))</f>
        <v/>
      </c>
      <c r="N2200" s="19">
        <f>IF(I2200="","",IFERROR(INDEX(ctaMon,MATCH(E2200,ctaNom,0))&amp;"","DOP"))</f>
        <v/>
      </c>
      <c r="O2200" s="20">
        <f>IF(I2200="","",C2200*IF(N2200="USD",TasaUSD,1))</f>
        <v/>
      </c>
      <c r="P2200" s="20">
        <f>IF(I2200="","",IF(I2200="Gasto",O2200,0))</f>
        <v/>
      </c>
      <c r="Q2200" s="20">
        <f>IF(I2200="","",IF(I2200="Ingreso",O2200,0))</f>
        <v/>
      </c>
      <c r="R2200" s="20">
        <f>IF(I2200="","",IF(I2200="Trading",O2200,0))</f>
        <v/>
      </c>
      <c r="S2200" s="19">
        <f>IF(I2200="","",IF(AND(I2200="Gasto",K2200="Variable",J2200&lt;&gt;"Trading",O2200&gt;0,O2200&lt;=Umbral),1,0))</f>
        <v/>
      </c>
      <c r="T2200" s="20">
        <f>IF(OR(I2200="",E2200=""),"",IF(OR(I2200="Gasto",I2200="Transferencia",I2200="Pago tarjeta"),-1,1)*C2200)</f>
        <v/>
      </c>
      <c r="U2200" s="20">
        <f>IF(OR(G2200="",AND(I2200&lt;&gt;"Transferencia",I2200&lt;&gt;"Pago tarjeta")),"",IF(IFERROR(INDEX(ctaMon,MATCH(G2200,ctaNom,0))&amp;"","DOP")=N2200,C2200,IF(N2200="USD",C2200*TasaUSD,C2200/TasaUSD)))</f>
        <v/>
      </c>
      <c r="V2200" s="20">
        <f>IF(I2200="","",IF(IFERROR(INDEX(ctaLiq,MATCH(E2200,ctaNom,0))="Sí",FALSE),IF(OR(I2200="Gasto",I2200="Transferencia",I2200="Pago tarjeta"),-1,1)*O2200,0)+IF(AND(U2200&lt;&gt;"",IFERROR(INDEX(ctaLiq,MATCH(G2200,ctaNom,0))="Sí",FALSE)),O2200,0))</f>
        <v/>
      </c>
      <c r="W2200" s="19">
        <f>IF(OR(F2200="",I2200=""),"",IF(COUNTIFS(F$6:F2200,F2200,I$6:I2200,"?*")=1,MAX(W$5:W2199)+1,""))</f>
        <v/>
      </c>
    </row>
    <row r="2201">
      <c r="B2201" s="15" t="n"/>
      <c r="C2201" s="16" t="n"/>
      <c r="D2201" s="17" t="n"/>
      <c r="E2201" s="17" t="n"/>
      <c r="F2201" s="17" t="n"/>
      <c r="G2201" s="17" t="n"/>
      <c r="H2201" s="18">
        <f>IF(AND(B2201="",C2201="",D2201="",E2201=""),"",IF(B2201="","⚠ Falta fecha",IF(C2201="","⚠ Falta monto",IF(D2201="","⚠ Falta categoría",IF(ISNA(MATCH(D2201,catNom,0)),"⚠ Categoría no existe",IF(E2201="","⚠ Falta cuenta",IF(ISNA(MATCH(E2201,ctaNom,0)),"⚠ Cuenta no existe",IF(AND(OR(I2201="Transferencia",I2201="Pago tarjeta"),G2201=""),"⚠ Indica la cuenta «Hacia»",IF(AND(G2201&lt;&gt;"",G2201=E2201),"⚠ «Hacia» igual a la cuenta",IF(AND(G2201&lt;&gt;"",ISNA(MATCH(G2201,ctaNom,0))),"⚠ «Hacia» no existe",IF(AND(I2201="Pago tarjeta",IFERROR(INDEX(ctaTipo,MATCH(G2201,ctaNom,0)),"")&lt;&gt;"Tarjeta de crédito"),"⚠ «Hacia» debe ser la tarjeta",IF(AND(I2201="Trading",IFERROR(INDEX(ctaTipo,MATCH(E2201,ctaNom,0)),"")&lt;&gt;"Cuenta de trading"),"⚠ Usa la cuenta de trading","✓"))))))))))))</f>
        <v/>
      </c>
      <c r="I2201" s="19">
        <f>IF(OR(B2201="",C2201="",D2201=""),"",IFERROR(INDEX(catTipo,MATCH(D2201,catNom,0))&amp;"",""))</f>
        <v/>
      </c>
      <c r="J2201" s="19">
        <f>IF(I2201="","",IFERROR(INDEX(catGrupo,MATCH(D2201,catNom,0))&amp;"",""))</f>
        <v/>
      </c>
      <c r="K2201" s="19">
        <f>IF(I2201="Gasto",IF(IFERROR(INDEX(catClas,MATCH(D2201,catNom,0))&amp;"","")="","Variable",IFERROR(INDEX(catClas,MATCH(D2201,catNom,0))&amp;"","")),"")</f>
        <v/>
      </c>
      <c r="L2201" s="19">
        <f>IF(I2201="","",IFERROR(INDEX(catAlim,MATCH(D2201,catNom,0))&amp;"",""))</f>
        <v/>
      </c>
      <c r="M2201" s="19">
        <f>IF(I2201="","",IFERROR(INDEX(catComida,MATCH(D2201,catNom,0))&amp;"",""))</f>
        <v/>
      </c>
      <c r="N2201" s="19">
        <f>IF(I2201="","",IFERROR(INDEX(ctaMon,MATCH(E2201,ctaNom,0))&amp;"","DOP"))</f>
        <v/>
      </c>
      <c r="O2201" s="20">
        <f>IF(I2201="","",C2201*IF(N2201="USD",TasaUSD,1))</f>
        <v/>
      </c>
      <c r="P2201" s="20">
        <f>IF(I2201="","",IF(I2201="Gasto",O2201,0))</f>
        <v/>
      </c>
      <c r="Q2201" s="20">
        <f>IF(I2201="","",IF(I2201="Ingreso",O2201,0))</f>
        <v/>
      </c>
      <c r="R2201" s="20">
        <f>IF(I2201="","",IF(I2201="Trading",O2201,0))</f>
        <v/>
      </c>
      <c r="S2201" s="19">
        <f>IF(I2201="","",IF(AND(I2201="Gasto",K2201="Variable",J2201&lt;&gt;"Trading",O2201&gt;0,O2201&lt;=Umbral),1,0))</f>
        <v/>
      </c>
      <c r="T2201" s="20">
        <f>IF(OR(I2201="",E2201=""),"",IF(OR(I2201="Gasto",I2201="Transferencia",I2201="Pago tarjeta"),-1,1)*C2201)</f>
        <v/>
      </c>
      <c r="U2201" s="20">
        <f>IF(OR(G2201="",AND(I2201&lt;&gt;"Transferencia",I2201&lt;&gt;"Pago tarjeta")),"",IF(IFERROR(INDEX(ctaMon,MATCH(G2201,ctaNom,0))&amp;"","DOP")=N2201,C2201,IF(N2201="USD",C2201*TasaUSD,C2201/TasaUSD)))</f>
        <v/>
      </c>
      <c r="V2201" s="20">
        <f>IF(I2201="","",IF(IFERROR(INDEX(ctaLiq,MATCH(E2201,ctaNom,0))="Sí",FALSE),IF(OR(I2201="Gasto",I2201="Transferencia",I2201="Pago tarjeta"),-1,1)*O2201,0)+IF(AND(U2201&lt;&gt;"",IFERROR(INDEX(ctaLiq,MATCH(G2201,ctaNom,0))="Sí",FALSE)),O2201,0))</f>
        <v/>
      </c>
      <c r="W2201" s="19">
        <f>IF(OR(F2201="",I2201=""),"",IF(COUNTIFS(F$6:F2201,F2201,I$6:I2201,"?*")=1,MAX(W$5:W2200)+1,""))</f>
        <v/>
      </c>
    </row>
    <row r="2202">
      <c r="B2202" s="15" t="n"/>
      <c r="C2202" s="16" t="n"/>
      <c r="D2202" s="17" t="n"/>
      <c r="E2202" s="17" t="n"/>
      <c r="F2202" s="17" t="n"/>
      <c r="G2202" s="17" t="n"/>
      <c r="H2202" s="18">
        <f>IF(AND(B2202="",C2202="",D2202="",E2202=""),"",IF(B2202="","⚠ Falta fecha",IF(C2202="","⚠ Falta monto",IF(D2202="","⚠ Falta categoría",IF(ISNA(MATCH(D2202,catNom,0)),"⚠ Categoría no existe",IF(E2202="","⚠ Falta cuenta",IF(ISNA(MATCH(E2202,ctaNom,0)),"⚠ Cuenta no existe",IF(AND(OR(I2202="Transferencia",I2202="Pago tarjeta"),G2202=""),"⚠ Indica la cuenta «Hacia»",IF(AND(G2202&lt;&gt;"",G2202=E2202),"⚠ «Hacia» igual a la cuenta",IF(AND(G2202&lt;&gt;"",ISNA(MATCH(G2202,ctaNom,0))),"⚠ «Hacia» no existe",IF(AND(I2202="Pago tarjeta",IFERROR(INDEX(ctaTipo,MATCH(G2202,ctaNom,0)),"")&lt;&gt;"Tarjeta de crédito"),"⚠ «Hacia» debe ser la tarjeta",IF(AND(I2202="Trading",IFERROR(INDEX(ctaTipo,MATCH(E2202,ctaNom,0)),"")&lt;&gt;"Cuenta de trading"),"⚠ Usa la cuenta de trading","✓"))))))))))))</f>
        <v/>
      </c>
      <c r="I2202" s="19">
        <f>IF(OR(B2202="",C2202="",D2202=""),"",IFERROR(INDEX(catTipo,MATCH(D2202,catNom,0))&amp;"",""))</f>
        <v/>
      </c>
      <c r="J2202" s="19">
        <f>IF(I2202="","",IFERROR(INDEX(catGrupo,MATCH(D2202,catNom,0))&amp;"",""))</f>
        <v/>
      </c>
      <c r="K2202" s="19">
        <f>IF(I2202="Gasto",IF(IFERROR(INDEX(catClas,MATCH(D2202,catNom,0))&amp;"","")="","Variable",IFERROR(INDEX(catClas,MATCH(D2202,catNom,0))&amp;"","")),"")</f>
        <v/>
      </c>
      <c r="L2202" s="19">
        <f>IF(I2202="","",IFERROR(INDEX(catAlim,MATCH(D2202,catNom,0))&amp;"",""))</f>
        <v/>
      </c>
      <c r="M2202" s="19">
        <f>IF(I2202="","",IFERROR(INDEX(catComida,MATCH(D2202,catNom,0))&amp;"",""))</f>
        <v/>
      </c>
      <c r="N2202" s="19">
        <f>IF(I2202="","",IFERROR(INDEX(ctaMon,MATCH(E2202,ctaNom,0))&amp;"","DOP"))</f>
        <v/>
      </c>
      <c r="O2202" s="20">
        <f>IF(I2202="","",C2202*IF(N2202="USD",TasaUSD,1))</f>
        <v/>
      </c>
      <c r="P2202" s="20">
        <f>IF(I2202="","",IF(I2202="Gasto",O2202,0))</f>
        <v/>
      </c>
      <c r="Q2202" s="20">
        <f>IF(I2202="","",IF(I2202="Ingreso",O2202,0))</f>
        <v/>
      </c>
      <c r="R2202" s="20">
        <f>IF(I2202="","",IF(I2202="Trading",O2202,0))</f>
        <v/>
      </c>
      <c r="S2202" s="19">
        <f>IF(I2202="","",IF(AND(I2202="Gasto",K2202="Variable",J2202&lt;&gt;"Trading",O2202&gt;0,O2202&lt;=Umbral),1,0))</f>
        <v/>
      </c>
      <c r="T2202" s="20">
        <f>IF(OR(I2202="",E2202=""),"",IF(OR(I2202="Gasto",I2202="Transferencia",I2202="Pago tarjeta"),-1,1)*C2202)</f>
        <v/>
      </c>
      <c r="U2202" s="20">
        <f>IF(OR(G2202="",AND(I2202&lt;&gt;"Transferencia",I2202&lt;&gt;"Pago tarjeta")),"",IF(IFERROR(INDEX(ctaMon,MATCH(G2202,ctaNom,0))&amp;"","DOP")=N2202,C2202,IF(N2202="USD",C2202*TasaUSD,C2202/TasaUSD)))</f>
        <v/>
      </c>
      <c r="V2202" s="20">
        <f>IF(I2202="","",IF(IFERROR(INDEX(ctaLiq,MATCH(E2202,ctaNom,0))="Sí",FALSE),IF(OR(I2202="Gasto",I2202="Transferencia",I2202="Pago tarjeta"),-1,1)*O2202,0)+IF(AND(U2202&lt;&gt;"",IFERROR(INDEX(ctaLiq,MATCH(G2202,ctaNom,0))="Sí",FALSE)),O2202,0))</f>
        <v/>
      </c>
      <c r="W2202" s="19">
        <f>IF(OR(F2202="",I2202=""),"",IF(COUNTIFS(F$6:F2202,F2202,I$6:I2202,"?*")=1,MAX(W$5:W2201)+1,""))</f>
        <v/>
      </c>
    </row>
    <row r="2203">
      <c r="B2203" s="15" t="n"/>
      <c r="C2203" s="16" t="n"/>
      <c r="D2203" s="17" t="n"/>
      <c r="E2203" s="17" t="n"/>
      <c r="F2203" s="17" t="n"/>
      <c r="G2203" s="17" t="n"/>
      <c r="H2203" s="18">
        <f>IF(AND(B2203="",C2203="",D2203="",E2203=""),"",IF(B2203="","⚠ Falta fecha",IF(C2203="","⚠ Falta monto",IF(D2203="","⚠ Falta categoría",IF(ISNA(MATCH(D2203,catNom,0)),"⚠ Categoría no existe",IF(E2203="","⚠ Falta cuenta",IF(ISNA(MATCH(E2203,ctaNom,0)),"⚠ Cuenta no existe",IF(AND(OR(I2203="Transferencia",I2203="Pago tarjeta"),G2203=""),"⚠ Indica la cuenta «Hacia»",IF(AND(G2203&lt;&gt;"",G2203=E2203),"⚠ «Hacia» igual a la cuenta",IF(AND(G2203&lt;&gt;"",ISNA(MATCH(G2203,ctaNom,0))),"⚠ «Hacia» no existe",IF(AND(I2203="Pago tarjeta",IFERROR(INDEX(ctaTipo,MATCH(G2203,ctaNom,0)),"")&lt;&gt;"Tarjeta de crédito"),"⚠ «Hacia» debe ser la tarjeta",IF(AND(I2203="Trading",IFERROR(INDEX(ctaTipo,MATCH(E2203,ctaNom,0)),"")&lt;&gt;"Cuenta de trading"),"⚠ Usa la cuenta de trading","✓"))))))))))))</f>
        <v/>
      </c>
      <c r="I2203" s="19">
        <f>IF(OR(B2203="",C2203="",D2203=""),"",IFERROR(INDEX(catTipo,MATCH(D2203,catNom,0))&amp;"",""))</f>
        <v/>
      </c>
      <c r="J2203" s="19">
        <f>IF(I2203="","",IFERROR(INDEX(catGrupo,MATCH(D2203,catNom,0))&amp;"",""))</f>
        <v/>
      </c>
      <c r="K2203" s="19">
        <f>IF(I2203="Gasto",IF(IFERROR(INDEX(catClas,MATCH(D2203,catNom,0))&amp;"","")="","Variable",IFERROR(INDEX(catClas,MATCH(D2203,catNom,0))&amp;"","")),"")</f>
        <v/>
      </c>
      <c r="L2203" s="19">
        <f>IF(I2203="","",IFERROR(INDEX(catAlim,MATCH(D2203,catNom,0))&amp;"",""))</f>
        <v/>
      </c>
      <c r="M2203" s="19">
        <f>IF(I2203="","",IFERROR(INDEX(catComida,MATCH(D2203,catNom,0))&amp;"",""))</f>
        <v/>
      </c>
      <c r="N2203" s="19">
        <f>IF(I2203="","",IFERROR(INDEX(ctaMon,MATCH(E2203,ctaNom,0))&amp;"","DOP"))</f>
        <v/>
      </c>
      <c r="O2203" s="20">
        <f>IF(I2203="","",C2203*IF(N2203="USD",TasaUSD,1))</f>
        <v/>
      </c>
      <c r="P2203" s="20">
        <f>IF(I2203="","",IF(I2203="Gasto",O2203,0))</f>
        <v/>
      </c>
      <c r="Q2203" s="20">
        <f>IF(I2203="","",IF(I2203="Ingreso",O2203,0))</f>
        <v/>
      </c>
      <c r="R2203" s="20">
        <f>IF(I2203="","",IF(I2203="Trading",O2203,0))</f>
        <v/>
      </c>
      <c r="S2203" s="19">
        <f>IF(I2203="","",IF(AND(I2203="Gasto",K2203="Variable",J2203&lt;&gt;"Trading",O2203&gt;0,O2203&lt;=Umbral),1,0))</f>
        <v/>
      </c>
      <c r="T2203" s="20">
        <f>IF(OR(I2203="",E2203=""),"",IF(OR(I2203="Gasto",I2203="Transferencia",I2203="Pago tarjeta"),-1,1)*C2203)</f>
        <v/>
      </c>
      <c r="U2203" s="20">
        <f>IF(OR(G2203="",AND(I2203&lt;&gt;"Transferencia",I2203&lt;&gt;"Pago tarjeta")),"",IF(IFERROR(INDEX(ctaMon,MATCH(G2203,ctaNom,0))&amp;"","DOP")=N2203,C2203,IF(N2203="USD",C2203*TasaUSD,C2203/TasaUSD)))</f>
        <v/>
      </c>
      <c r="V2203" s="20">
        <f>IF(I2203="","",IF(IFERROR(INDEX(ctaLiq,MATCH(E2203,ctaNom,0))="Sí",FALSE),IF(OR(I2203="Gasto",I2203="Transferencia",I2203="Pago tarjeta"),-1,1)*O2203,0)+IF(AND(U2203&lt;&gt;"",IFERROR(INDEX(ctaLiq,MATCH(G2203,ctaNom,0))="Sí",FALSE)),O2203,0))</f>
        <v/>
      </c>
      <c r="W2203" s="19">
        <f>IF(OR(F2203="",I2203=""),"",IF(COUNTIFS(F$6:F2203,F2203,I$6:I2203,"?*")=1,MAX(W$5:W2202)+1,""))</f>
        <v/>
      </c>
    </row>
    <row r="2204">
      <c r="B2204" s="15" t="n"/>
      <c r="C2204" s="16" t="n"/>
      <c r="D2204" s="17" t="n"/>
      <c r="E2204" s="17" t="n"/>
      <c r="F2204" s="17" t="n"/>
      <c r="G2204" s="17" t="n"/>
      <c r="H2204" s="18">
        <f>IF(AND(B2204="",C2204="",D2204="",E2204=""),"",IF(B2204="","⚠ Falta fecha",IF(C2204="","⚠ Falta monto",IF(D2204="","⚠ Falta categoría",IF(ISNA(MATCH(D2204,catNom,0)),"⚠ Categoría no existe",IF(E2204="","⚠ Falta cuenta",IF(ISNA(MATCH(E2204,ctaNom,0)),"⚠ Cuenta no existe",IF(AND(OR(I2204="Transferencia",I2204="Pago tarjeta"),G2204=""),"⚠ Indica la cuenta «Hacia»",IF(AND(G2204&lt;&gt;"",G2204=E2204),"⚠ «Hacia» igual a la cuenta",IF(AND(G2204&lt;&gt;"",ISNA(MATCH(G2204,ctaNom,0))),"⚠ «Hacia» no existe",IF(AND(I2204="Pago tarjeta",IFERROR(INDEX(ctaTipo,MATCH(G2204,ctaNom,0)),"")&lt;&gt;"Tarjeta de crédito"),"⚠ «Hacia» debe ser la tarjeta",IF(AND(I2204="Trading",IFERROR(INDEX(ctaTipo,MATCH(E2204,ctaNom,0)),"")&lt;&gt;"Cuenta de trading"),"⚠ Usa la cuenta de trading","✓"))))))))))))</f>
        <v/>
      </c>
      <c r="I2204" s="19">
        <f>IF(OR(B2204="",C2204="",D2204=""),"",IFERROR(INDEX(catTipo,MATCH(D2204,catNom,0))&amp;"",""))</f>
        <v/>
      </c>
      <c r="J2204" s="19">
        <f>IF(I2204="","",IFERROR(INDEX(catGrupo,MATCH(D2204,catNom,0))&amp;"",""))</f>
        <v/>
      </c>
      <c r="K2204" s="19">
        <f>IF(I2204="Gasto",IF(IFERROR(INDEX(catClas,MATCH(D2204,catNom,0))&amp;"","")="","Variable",IFERROR(INDEX(catClas,MATCH(D2204,catNom,0))&amp;"","")),"")</f>
        <v/>
      </c>
      <c r="L2204" s="19">
        <f>IF(I2204="","",IFERROR(INDEX(catAlim,MATCH(D2204,catNom,0))&amp;"",""))</f>
        <v/>
      </c>
      <c r="M2204" s="19">
        <f>IF(I2204="","",IFERROR(INDEX(catComida,MATCH(D2204,catNom,0))&amp;"",""))</f>
        <v/>
      </c>
      <c r="N2204" s="19">
        <f>IF(I2204="","",IFERROR(INDEX(ctaMon,MATCH(E2204,ctaNom,0))&amp;"","DOP"))</f>
        <v/>
      </c>
      <c r="O2204" s="20">
        <f>IF(I2204="","",C2204*IF(N2204="USD",TasaUSD,1))</f>
        <v/>
      </c>
      <c r="P2204" s="20">
        <f>IF(I2204="","",IF(I2204="Gasto",O2204,0))</f>
        <v/>
      </c>
      <c r="Q2204" s="20">
        <f>IF(I2204="","",IF(I2204="Ingreso",O2204,0))</f>
        <v/>
      </c>
      <c r="R2204" s="20">
        <f>IF(I2204="","",IF(I2204="Trading",O2204,0))</f>
        <v/>
      </c>
      <c r="S2204" s="19">
        <f>IF(I2204="","",IF(AND(I2204="Gasto",K2204="Variable",J2204&lt;&gt;"Trading",O2204&gt;0,O2204&lt;=Umbral),1,0))</f>
        <v/>
      </c>
      <c r="T2204" s="20">
        <f>IF(OR(I2204="",E2204=""),"",IF(OR(I2204="Gasto",I2204="Transferencia",I2204="Pago tarjeta"),-1,1)*C2204)</f>
        <v/>
      </c>
      <c r="U2204" s="20">
        <f>IF(OR(G2204="",AND(I2204&lt;&gt;"Transferencia",I2204&lt;&gt;"Pago tarjeta")),"",IF(IFERROR(INDEX(ctaMon,MATCH(G2204,ctaNom,0))&amp;"","DOP")=N2204,C2204,IF(N2204="USD",C2204*TasaUSD,C2204/TasaUSD)))</f>
        <v/>
      </c>
      <c r="V2204" s="20">
        <f>IF(I2204="","",IF(IFERROR(INDEX(ctaLiq,MATCH(E2204,ctaNom,0))="Sí",FALSE),IF(OR(I2204="Gasto",I2204="Transferencia",I2204="Pago tarjeta"),-1,1)*O2204,0)+IF(AND(U2204&lt;&gt;"",IFERROR(INDEX(ctaLiq,MATCH(G2204,ctaNom,0))="Sí",FALSE)),O2204,0))</f>
        <v/>
      </c>
      <c r="W2204" s="19">
        <f>IF(OR(F2204="",I2204=""),"",IF(COUNTIFS(F$6:F2204,F2204,I$6:I2204,"?*")=1,MAX(W$5:W2203)+1,""))</f>
        <v/>
      </c>
    </row>
    <row r="2205">
      <c r="B2205" s="15" t="n"/>
      <c r="C2205" s="16" t="n"/>
      <c r="D2205" s="17" t="n"/>
      <c r="E2205" s="17" t="n"/>
      <c r="F2205" s="17" t="n"/>
      <c r="G2205" s="17" t="n"/>
      <c r="H2205" s="18">
        <f>IF(AND(B2205="",C2205="",D2205="",E2205=""),"",IF(B2205="","⚠ Falta fecha",IF(C2205="","⚠ Falta monto",IF(D2205="","⚠ Falta categoría",IF(ISNA(MATCH(D2205,catNom,0)),"⚠ Categoría no existe",IF(E2205="","⚠ Falta cuenta",IF(ISNA(MATCH(E2205,ctaNom,0)),"⚠ Cuenta no existe",IF(AND(OR(I2205="Transferencia",I2205="Pago tarjeta"),G2205=""),"⚠ Indica la cuenta «Hacia»",IF(AND(G2205&lt;&gt;"",G2205=E2205),"⚠ «Hacia» igual a la cuenta",IF(AND(G2205&lt;&gt;"",ISNA(MATCH(G2205,ctaNom,0))),"⚠ «Hacia» no existe",IF(AND(I2205="Pago tarjeta",IFERROR(INDEX(ctaTipo,MATCH(G2205,ctaNom,0)),"")&lt;&gt;"Tarjeta de crédito"),"⚠ «Hacia» debe ser la tarjeta",IF(AND(I2205="Trading",IFERROR(INDEX(ctaTipo,MATCH(E2205,ctaNom,0)),"")&lt;&gt;"Cuenta de trading"),"⚠ Usa la cuenta de trading","✓"))))))))))))</f>
        <v/>
      </c>
      <c r="I2205" s="19">
        <f>IF(OR(B2205="",C2205="",D2205=""),"",IFERROR(INDEX(catTipo,MATCH(D2205,catNom,0))&amp;"",""))</f>
        <v/>
      </c>
      <c r="J2205" s="19">
        <f>IF(I2205="","",IFERROR(INDEX(catGrupo,MATCH(D2205,catNom,0))&amp;"",""))</f>
        <v/>
      </c>
      <c r="K2205" s="19">
        <f>IF(I2205="Gasto",IF(IFERROR(INDEX(catClas,MATCH(D2205,catNom,0))&amp;"","")="","Variable",IFERROR(INDEX(catClas,MATCH(D2205,catNom,0))&amp;"","")),"")</f>
        <v/>
      </c>
      <c r="L2205" s="19">
        <f>IF(I2205="","",IFERROR(INDEX(catAlim,MATCH(D2205,catNom,0))&amp;"",""))</f>
        <v/>
      </c>
      <c r="M2205" s="19">
        <f>IF(I2205="","",IFERROR(INDEX(catComida,MATCH(D2205,catNom,0))&amp;"",""))</f>
        <v/>
      </c>
      <c r="N2205" s="19">
        <f>IF(I2205="","",IFERROR(INDEX(ctaMon,MATCH(E2205,ctaNom,0))&amp;"","DOP"))</f>
        <v/>
      </c>
      <c r="O2205" s="20">
        <f>IF(I2205="","",C2205*IF(N2205="USD",TasaUSD,1))</f>
        <v/>
      </c>
      <c r="P2205" s="20">
        <f>IF(I2205="","",IF(I2205="Gasto",O2205,0))</f>
        <v/>
      </c>
      <c r="Q2205" s="20">
        <f>IF(I2205="","",IF(I2205="Ingreso",O2205,0))</f>
        <v/>
      </c>
      <c r="R2205" s="20">
        <f>IF(I2205="","",IF(I2205="Trading",O2205,0))</f>
        <v/>
      </c>
      <c r="S2205" s="19">
        <f>IF(I2205="","",IF(AND(I2205="Gasto",K2205="Variable",J2205&lt;&gt;"Trading",O2205&gt;0,O2205&lt;=Umbral),1,0))</f>
        <v/>
      </c>
      <c r="T2205" s="20">
        <f>IF(OR(I2205="",E2205=""),"",IF(OR(I2205="Gasto",I2205="Transferencia",I2205="Pago tarjeta"),-1,1)*C2205)</f>
        <v/>
      </c>
      <c r="U2205" s="20">
        <f>IF(OR(G2205="",AND(I2205&lt;&gt;"Transferencia",I2205&lt;&gt;"Pago tarjeta")),"",IF(IFERROR(INDEX(ctaMon,MATCH(G2205,ctaNom,0))&amp;"","DOP")=N2205,C2205,IF(N2205="USD",C2205*TasaUSD,C2205/TasaUSD)))</f>
        <v/>
      </c>
      <c r="V2205" s="20">
        <f>IF(I2205="","",IF(IFERROR(INDEX(ctaLiq,MATCH(E2205,ctaNom,0))="Sí",FALSE),IF(OR(I2205="Gasto",I2205="Transferencia",I2205="Pago tarjeta"),-1,1)*O2205,0)+IF(AND(U2205&lt;&gt;"",IFERROR(INDEX(ctaLiq,MATCH(G2205,ctaNom,0))="Sí",FALSE)),O2205,0))</f>
        <v/>
      </c>
      <c r="W2205" s="19">
        <f>IF(OR(F2205="",I2205=""),"",IF(COUNTIFS(F$6:F2205,F2205,I$6:I2205,"?*")=1,MAX(W$5:W2204)+1,""))</f>
        <v/>
      </c>
    </row>
    <row r="2206">
      <c r="B2206" s="15" t="n"/>
      <c r="C2206" s="16" t="n"/>
      <c r="D2206" s="17" t="n"/>
      <c r="E2206" s="17" t="n"/>
      <c r="F2206" s="17" t="n"/>
      <c r="G2206" s="17" t="n"/>
      <c r="H2206" s="18">
        <f>IF(AND(B2206="",C2206="",D2206="",E2206=""),"",IF(B2206="","⚠ Falta fecha",IF(C2206="","⚠ Falta monto",IF(D2206="","⚠ Falta categoría",IF(ISNA(MATCH(D2206,catNom,0)),"⚠ Categoría no existe",IF(E2206="","⚠ Falta cuenta",IF(ISNA(MATCH(E2206,ctaNom,0)),"⚠ Cuenta no existe",IF(AND(OR(I2206="Transferencia",I2206="Pago tarjeta"),G2206=""),"⚠ Indica la cuenta «Hacia»",IF(AND(G2206&lt;&gt;"",G2206=E2206),"⚠ «Hacia» igual a la cuenta",IF(AND(G2206&lt;&gt;"",ISNA(MATCH(G2206,ctaNom,0))),"⚠ «Hacia» no existe",IF(AND(I2206="Pago tarjeta",IFERROR(INDEX(ctaTipo,MATCH(G2206,ctaNom,0)),"")&lt;&gt;"Tarjeta de crédito"),"⚠ «Hacia» debe ser la tarjeta",IF(AND(I2206="Trading",IFERROR(INDEX(ctaTipo,MATCH(E2206,ctaNom,0)),"")&lt;&gt;"Cuenta de trading"),"⚠ Usa la cuenta de trading","✓"))))))))))))</f>
        <v/>
      </c>
      <c r="I2206" s="19">
        <f>IF(OR(B2206="",C2206="",D2206=""),"",IFERROR(INDEX(catTipo,MATCH(D2206,catNom,0))&amp;"",""))</f>
        <v/>
      </c>
      <c r="J2206" s="19">
        <f>IF(I2206="","",IFERROR(INDEX(catGrupo,MATCH(D2206,catNom,0))&amp;"",""))</f>
        <v/>
      </c>
      <c r="K2206" s="19">
        <f>IF(I2206="Gasto",IF(IFERROR(INDEX(catClas,MATCH(D2206,catNom,0))&amp;"","")="","Variable",IFERROR(INDEX(catClas,MATCH(D2206,catNom,0))&amp;"","")),"")</f>
        <v/>
      </c>
      <c r="L2206" s="19">
        <f>IF(I2206="","",IFERROR(INDEX(catAlim,MATCH(D2206,catNom,0))&amp;"",""))</f>
        <v/>
      </c>
      <c r="M2206" s="19">
        <f>IF(I2206="","",IFERROR(INDEX(catComida,MATCH(D2206,catNom,0))&amp;"",""))</f>
        <v/>
      </c>
      <c r="N2206" s="19">
        <f>IF(I2206="","",IFERROR(INDEX(ctaMon,MATCH(E2206,ctaNom,0))&amp;"","DOP"))</f>
        <v/>
      </c>
      <c r="O2206" s="20">
        <f>IF(I2206="","",C2206*IF(N2206="USD",TasaUSD,1))</f>
        <v/>
      </c>
      <c r="P2206" s="20">
        <f>IF(I2206="","",IF(I2206="Gasto",O2206,0))</f>
        <v/>
      </c>
      <c r="Q2206" s="20">
        <f>IF(I2206="","",IF(I2206="Ingreso",O2206,0))</f>
        <v/>
      </c>
      <c r="R2206" s="20">
        <f>IF(I2206="","",IF(I2206="Trading",O2206,0))</f>
        <v/>
      </c>
      <c r="S2206" s="19">
        <f>IF(I2206="","",IF(AND(I2206="Gasto",K2206="Variable",J2206&lt;&gt;"Trading",O2206&gt;0,O2206&lt;=Umbral),1,0))</f>
        <v/>
      </c>
      <c r="T2206" s="20">
        <f>IF(OR(I2206="",E2206=""),"",IF(OR(I2206="Gasto",I2206="Transferencia",I2206="Pago tarjeta"),-1,1)*C2206)</f>
        <v/>
      </c>
      <c r="U2206" s="20">
        <f>IF(OR(G2206="",AND(I2206&lt;&gt;"Transferencia",I2206&lt;&gt;"Pago tarjeta")),"",IF(IFERROR(INDEX(ctaMon,MATCH(G2206,ctaNom,0))&amp;"","DOP")=N2206,C2206,IF(N2206="USD",C2206*TasaUSD,C2206/TasaUSD)))</f>
        <v/>
      </c>
      <c r="V2206" s="20">
        <f>IF(I2206="","",IF(IFERROR(INDEX(ctaLiq,MATCH(E2206,ctaNom,0))="Sí",FALSE),IF(OR(I2206="Gasto",I2206="Transferencia",I2206="Pago tarjeta"),-1,1)*O2206,0)+IF(AND(U2206&lt;&gt;"",IFERROR(INDEX(ctaLiq,MATCH(G2206,ctaNom,0))="Sí",FALSE)),O2206,0))</f>
        <v/>
      </c>
      <c r="W2206" s="19">
        <f>IF(OR(F2206="",I2206=""),"",IF(COUNTIFS(F$6:F2206,F2206,I$6:I2206,"?*")=1,MAX(W$5:W2205)+1,""))</f>
        <v/>
      </c>
    </row>
    <row r="2207">
      <c r="B2207" s="15" t="n"/>
      <c r="C2207" s="16" t="n"/>
      <c r="D2207" s="17" t="n"/>
      <c r="E2207" s="17" t="n"/>
      <c r="F2207" s="17" t="n"/>
      <c r="G2207" s="17" t="n"/>
      <c r="H2207" s="18">
        <f>IF(AND(B2207="",C2207="",D2207="",E2207=""),"",IF(B2207="","⚠ Falta fecha",IF(C2207="","⚠ Falta monto",IF(D2207="","⚠ Falta categoría",IF(ISNA(MATCH(D2207,catNom,0)),"⚠ Categoría no existe",IF(E2207="","⚠ Falta cuenta",IF(ISNA(MATCH(E2207,ctaNom,0)),"⚠ Cuenta no existe",IF(AND(OR(I2207="Transferencia",I2207="Pago tarjeta"),G2207=""),"⚠ Indica la cuenta «Hacia»",IF(AND(G2207&lt;&gt;"",G2207=E2207),"⚠ «Hacia» igual a la cuenta",IF(AND(G2207&lt;&gt;"",ISNA(MATCH(G2207,ctaNom,0))),"⚠ «Hacia» no existe",IF(AND(I2207="Pago tarjeta",IFERROR(INDEX(ctaTipo,MATCH(G2207,ctaNom,0)),"")&lt;&gt;"Tarjeta de crédito"),"⚠ «Hacia» debe ser la tarjeta",IF(AND(I2207="Trading",IFERROR(INDEX(ctaTipo,MATCH(E2207,ctaNom,0)),"")&lt;&gt;"Cuenta de trading"),"⚠ Usa la cuenta de trading","✓"))))))))))))</f>
        <v/>
      </c>
      <c r="I2207" s="19">
        <f>IF(OR(B2207="",C2207="",D2207=""),"",IFERROR(INDEX(catTipo,MATCH(D2207,catNom,0))&amp;"",""))</f>
        <v/>
      </c>
      <c r="J2207" s="19">
        <f>IF(I2207="","",IFERROR(INDEX(catGrupo,MATCH(D2207,catNom,0))&amp;"",""))</f>
        <v/>
      </c>
      <c r="K2207" s="19">
        <f>IF(I2207="Gasto",IF(IFERROR(INDEX(catClas,MATCH(D2207,catNom,0))&amp;"","")="","Variable",IFERROR(INDEX(catClas,MATCH(D2207,catNom,0))&amp;"","")),"")</f>
        <v/>
      </c>
      <c r="L2207" s="19">
        <f>IF(I2207="","",IFERROR(INDEX(catAlim,MATCH(D2207,catNom,0))&amp;"",""))</f>
        <v/>
      </c>
      <c r="M2207" s="19">
        <f>IF(I2207="","",IFERROR(INDEX(catComida,MATCH(D2207,catNom,0))&amp;"",""))</f>
        <v/>
      </c>
      <c r="N2207" s="19">
        <f>IF(I2207="","",IFERROR(INDEX(ctaMon,MATCH(E2207,ctaNom,0))&amp;"","DOP"))</f>
        <v/>
      </c>
      <c r="O2207" s="20">
        <f>IF(I2207="","",C2207*IF(N2207="USD",TasaUSD,1))</f>
        <v/>
      </c>
      <c r="P2207" s="20">
        <f>IF(I2207="","",IF(I2207="Gasto",O2207,0))</f>
        <v/>
      </c>
      <c r="Q2207" s="20">
        <f>IF(I2207="","",IF(I2207="Ingreso",O2207,0))</f>
        <v/>
      </c>
      <c r="R2207" s="20">
        <f>IF(I2207="","",IF(I2207="Trading",O2207,0))</f>
        <v/>
      </c>
      <c r="S2207" s="19">
        <f>IF(I2207="","",IF(AND(I2207="Gasto",K2207="Variable",J2207&lt;&gt;"Trading",O2207&gt;0,O2207&lt;=Umbral),1,0))</f>
        <v/>
      </c>
      <c r="T2207" s="20">
        <f>IF(OR(I2207="",E2207=""),"",IF(OR(I2207="Gasto",I2207="Transferencia",I2207="Pago tarjeta"),-1,1)*C2207)</f>
        <v/>
      </c>
      <c r="U2207" s="20">
        <f>IF(OR(G2207="",AND(I2207&lt;&gt;"Transferencia",I2207&lt;&gt;"Pago tarjeta")),"",IF(IFERROR(INDEX(ctaMon,MATCH(G2207,ctaNom,0))&amp;"","DOP")=N2207,C2207,IF(N2207="USD",C2207*TasaUSD,C2207/TasaUSD)))</f>
        <v/>
      </c>
      <c r="V2207" s="20">
        <f>IF(I2207="","",IF(IFERROR(INDEX(ctaLiq,MATCH(E2207,ctaNom,0))="Sí",FALSE),IF(OR(I2207="Gasto",I2207="Transferencia",I2207="Pago tarjeta"),-1,1)*O2207,0)+IF(AND(U2207&lt;&gt;"",IFERROR(INDEX(ctaLiq,MATCH(G2207,ctaNom,0))="Sí",FALSE)),O2207,0))</f>
        <v/>
      </c>
      <c r="W2207" s="19">
        <f>IF(OR(F2207="",I2207=""),"",IF(COUNTIFS(F$6:F2207,F2207,I$6:I2207,"?*")=1,MAX(W$5:W2206)+1,""))</f>
        <v/>
      </c>
    </row>
    <row r="2208">
      <c r="B2208" s="15" t="n"/>
      <c r="C2208" s="16" t="n"/>
      <c r="D2208" s="17" t="n"/>
      <c r="E2208" s="17" t="n"/>
      <c r="F2208" s="17" t="n"/>
      <c r="G2208" s="17" t="n"/>
      <c r="H2208" s="18">
        <f>IF(AND(B2208="",C2208="",D2208="",E2208=""),"",IF(B2208="","⚠ Falta fecha",IF(C2208="","⚠ Falta monto",IF(D2208="","⚠ Falta categoría",IF(ISNA(MATCH(D2208,catNom,0)),"⚠ Categoría no existe",IF(E2208="","⚠ Falta cuenta",IF(ISNA(MATCH(E2208,ctaNom,0)),"⚠ Cuenta no existe",IF(AND(OR(I2208="Transferencia",I2208="Pago tarjeta"),G2208=""),"⚠ Indica la cuenta «Hacia»",IF(AND(G2208&lt;&gt;"",G2208=E2208),"⚠ «Hacia» igual a la cuenta",IF(AND(G2208&lt;&gt;"",ISNA(MATCH(G2208,ctaNom,0))),"⚠ «Hacia» no existe",IF(AND(I2208="Pago tarjeta",IFERROR(INDEX(ctaTipo,MATCH(G2208,ctaNom,0)),"")&lt;&gt;"Tarjeta de crédito"),"⚠ «Hacia» debe ser la tarjeta",IF(AND(I2208="Trading",IFERROR(INDEX(ctaTipo,MATCH(E2208,ctaNom,0)),"")&lt;&gt;"Cuenta de trading"),"⚠ Usa la cuenta de trading","✓"))))))))))))</f>
        <v/>
      </c>
      <c r="I2208" s="19">
        <f>IF(OR(B2208="",C2208="",D2208=""),"",IFERROR(INDEX(catTipo,MATCH(D2208,catNom,0))&amp;"",""))</f>
        <v/>
      </c>
      <c r="J2208" s="19">
        <f>IF(I2208="","",IFERROR(INDEX(catGrupo,MATCH(D2208,catNom,0))&amp;"",""))</f>
        <v/>
      </c>
      <c r="K2208" s="19">
        <f>IF(I2208="Gasto",IF(IFERROR(INDEX(catClas,MATCH(D2208,catNom,0))&amp;"","")="","Variable",IFERROR(INDEX(catClas,MATCH(D2208,catNom,0))&amp;"","")),"")</f>
        <v/>
      </c>
      <c r="L2208" s="19">
        <f>IF(I2208="","",IFERROR(INDEX(catAlim,MATCH(D2208,catNom,0))&amp;"",""))</f>
        <v/>
      </c>
      <c r="M2208" s="19">
        <f>IF(I2208="","",IFERROR(INDEX(catComida,MATCH(D2208,catNom,0))&amp;"",""))</f>
        <v/>
      </c>
      <c r="N2208" s="19">
        <f>IF(I2208="","",IFERROR(INDEX(ctaMon,MATCH(E2208,ctaNom,0))&amp;"","DOP"))</f>
        <v/>
      </c>
      <c r="O2208" s="20">
        <f>IF(I2208="","",C2208*IF(N2208="USD",TasaUSD,1))</f>
        <v/>
      </c>
      <c r="P2208" s="20">
        <f>IF(I2208="","",IF(I2208="Gasto",O2208,0))</f>
        <v/>
      </c>
      <c r="Q2208" s="20">
        <f>IF(I2208="","",IF(I2208="Ingreso",O2208,0))</f>
        <v/>
      </c>
      <c r="R2208" s="20">
        <f>IF(I2208="","",IF(I2208="Trading",O2208,0))</f>
        <v/>
      </c>
      <c r="S2208" s="19">
        <f>IF(I2208="","",IF(AND(I2208="Gasto",K2208="Variable",J2208&lt;&gt;"Trading",O2208&gt;0,O2208&lt;=Umbral),1,0))</f>
        <v/>
      </c>
      <c r="T2208" s="20">
        <f>IF(OR(I2208="",E2208=""),"",IF(OR(I2208="Gasto",I2208="Transferencia",I2208="Pago tarjeta"),-1,1)*C2208)</f>
        <v/>
      </c>
      <c r="U2208" s="20">
        <f>IF(OR(G2208="",AND(I2208&lt;&gt;"Transferencia",I2208&lt;&gt;"Pago tarjeta")),"",IF(IFERROR(INDEX(ctaMon,MATCH(G2208,ctaNom,0))&amp;"","DOP")=N2208,C2208,IF(N2208="USD",C2208*TasaUSD,C2208/TasaUSD)))</f>
        <v/>
      </c>
      <c r="V2208" s="20">
        <f>IF(I2208="","",IF(IFERROR(INDEX(ctaLiq,MATCH(E2208,ctaNom,0))="Sí",FALSE),IF(OR(I2208="Gasto",I2208="Transferencia",I2208="Pago tarjeta"),-1,1)*O2208,0)+IF(AND(U2208&lt;&gt;"",IFERROR(INDEX(ctaLiq,MATCH(G2208,ctaNom,0))="Sí",FALSE)),O2208,0))</f>
        <v/>
      </c>
      <c r="W2208" s="19">
        <f>IF(OR(F2208="",I2208=""),"",IF(COUNTIFS(F$6:F2208,F2208,I$6:I2208,"?*")=1,MAX(W$5:W2207)+1,""))</f>
        <v/>
      </c>
    </row>
    <row r="2209">
      <c r="B2209" s="15" t="n"/>
      <c r="C2209" s="16" t="n"/>
      <c r="D2209" s="17" t="n"/>
      <c r="E2209" s="17" t="n"/>
      <c r="F2209" s="17" t="n"/>
      <c r="G2209" s="17" t="n"/>
      <c r="H2209" s="18">
        <f>IF(AND(B2209="",C2209="",D2209="",E2209=""),"",IF(B2209="","⚠ Falta fecha",IF(C2209="","⚠ Falta monto",IF(D2209="","⚠ Falta categoría",IF(ISNA(MATCH(D2209,catNom,0)),"⚠ Categoría no existe",IF(E2209="","⚠ Falta cuenta",IF(ISNA(MATCH(E2209,ctaNom,0)),"⚠ Cuenta no existe",IF(AND(OR(I2209="Transferencia",I2209="Pago tarjeta"),G2209=""),"⚠ Indica la cuenta «Hacia»",IF(AND(G2209&lt;&gt;"",G2209=E2209),"⚠ «Hacia» igual a la cuenta",IF(AND(G2209&lt;&gt;"",ISNA(MATCH(G2209,ctaNom,0))),"⚠ «Hacia» no existe",IF(AND(I2209="Pago tarjeta",IFERROR(INDEX(ctaTipo,MATCH(G2209,ctaNom,0)),"")&lt;&gt;"Tarjeta de crédito"),"⚠ «Hacia» debe ser la tarjeta",IF(AND(I2209="Trading",IFERROR(INDEX(ctaTipo,MATCH(E2209,ctaNom,0)),"")&lt;&gt;"Cuenta de trading"),"⚠ Usa la cuenta de trading","✓"))))))))))))</f>
        <v/>
      </c>
      <c r="I2209" s="19">
        <f>IF(OR(B2209="",C2209="",D2209=""),"",IFERROR(INDEX(catTipo,MATCH(D2209,catNom,0))&amp;"",""))</f>
        <v/>
      </c>
      <c r="J2209" s="19">
        <f>IF(I2209="","",IFERROR(INDEX(catGrupo,MATCH(D2209,catNom,0))&amp;"",""))</f>
        <v/>
      </c>
      <c r="K2209" s="19">
        <f>IF(I2209="Gasto",IF(IFERROR(INDEX(catClas,MATCH(D2209,catNom,0))&amp;"","")="","Variable",IFERROR(INDEX(catClas,MATCH(D2209,catNom,0))&amp;"","")),"")</f>
        <v/>
      </c>
      <c r="L2209" s="19">
        <f>IF(I2209="","",IFERROR(INDEX(catAlim,MATCH(D2209,catNom,0))&amp;"",""))</f>
        <v/>
      </c>
      <c r="M2209" s="19">
        <f>IF(I2209="","",IFERROR(INDEX(catComida,MATCH(D2209,catNom,0))&amp;"",""))</f>
        <v/>
      </c>
      <c r="N2209" s="19">
        <f>IF(I2209="","",IFERROR(INDEX(ctaMon,MATCH(E2209,ctaNom,0))&amp;"","DOP"))</f>
        <v/>
      </c>
      <c r="O2209" s="20">
        <f>IF(I2209="","",C2209*IF(N2209="USD",TasaUSD,1))</f>
        <v/>
      </c>
      <c r="P2209" s="20">
        <f>IF(I2209="","",IF(I2209="Gasto",O2209,0))</f>
        <v/>
      </c>
      <c r="Q2209" s="20">
        <f>IF(I2209="","",IF(I2209="Ingreso",O2209,0))</f>
        <v/>
      </c>
      <c r="R2209" s="20">
        <f>IF(I2209="","",IF(I2209="Trading",O2209,0))</f>
        <v/>
      </c>
      <c r="S2209" s="19">
        <f>IF(I2209="","",IF(AND(I2209="Gasto",K2209="Variable",J2209&lt;&gt;"Trading",O2209&gt;0,O2209&lt;=Umbral),1,0))</f>
        <v/>
      </c>
      <c r="T2209" s="20">
        <f>IF(OR(I2209="",E2209=""),"",IF(OR(I2209="Gasto",I2209="Transferencia",I2209="Pago tarjeta"),-1,1)*C2209)</f>
        <v/>
      </c>
      <c r="U2209" s="20">
        <f>IF(OR(G2209="",AND(I2209&lt;&gt;"Transferencia",I2209&lt;&gt;"Pago tarjeta")),"",IF(IFERROR(INDEX(ctaMon,MATCH(G2209,ctaNom,0))&amp;"","DOP")=N2209,C2209,IF(N2209="USD",C2209*TasaUSD,C2209/TasaUSD)))</f>
        <v/>
      </c>
      <c r="V2209" s="20">
        <f>IF(I2209="","",IF(IFERROR(INDEX(ctaLiq,MATCH(E2209,ctaNom,0))="Sí",FALSE),IF(OR(I2209="Gasto",I2209="Transferencia",I2209="Pago tarjeta"),-1,1)*O2209,0)+IF(AND(U2209&lt;&gt;"",IFERROR(INDEX(ctaLiq,MATCH(G2209,ctaNom,0))="Sí",FALSE)),O2209,0))</f>
        <v/>
      </c>
      <c r="W2209" s="19">
        <f>IF(OR(F2209="",I2209=""),"",IF(COUNTIFS(F$6:F2209,F2209,I$6:I2209,"?*")=1,MAX(W$5:W2208)+1,""))</f>
        <v/>
      </c>
    </row>
    <row r="2210">
      <c r="B2210" s="15" t="n"/>
      <c r="C2210" s="16" t="n"/>
      <c r="D2210" s="17" t="n"/>
      <c r="E2210" s="17" t="n"/>
      <c r="F2210" s="17" t="n"/>
      <c r="G2210" s="17" t="n"/>
      <c r="H2210" s="18">
        <f>IF(AND(B2210="",C2210="",D2210="",E2210=""),"",IF(B2210="","⚠ Falta fecha",IF(C2210="","⚠ Falta monto",IF(D2210="","⚠ Falta categoría",IF(ISNA(MATCH(D2210,catNom,0)),"⚠ Categoría no existe",IF(E2210="","⚠ Falta cuenta",IF(ISNA(MATCH(E2210,ctaNom,0)),"⚠ Cuenta no existe",IF(AND(OR(I2210="Transferencia",I2210="Pago tarjeta"),G2210=""),"⚠ Indica la cuenta «Hacia»",IF(AND(G2210&lt;&gt;"",G2210=E2210),"⚠ «Hacia» igual a la cuenta",IF(AND(G2210&lt;&gt;"",ISNA(MATCH(G2210,ctaNom,0))),"⚠ «Hacia» no existe",IF(AND(I2210="Pago tarjeta",IFERROR(INDEX(ctaTipo,MATCH(G2210,ctaNom,0)),"")&lt;&gt;"Tarjeta de crédito"),"⚠ «Hacia» debe ser la tarjeta",IF(AND(I2210="Trading",IFERROR(INDEX(ctaTipo,MATCH(E2210,ctaNom,0)),"")&lt;&gt;"Cuenta de trading"),"⚠ Usa la cuenta de trading","✓"))))))))))))</f>
        <v/>
      </c>
      <c r="I2210" s="19">
        <f>IF(OR(B2210="",C2210="",D2210=""),"",IFERROR(INDEX(catTipo,MATCH(D2210,catNom,0))&amp;"",""))</f>
        <v/>
      </c>
      <c r="J2210" s="19">
        <f>IF(I2210="","",IFERROR(INDEX(catGrupo,MATCH(D2210,catNom,0))&amp;"",""))</f>
        <v/>
      </c>
      <c r="K2210" s="19">
        <f>IF(I2210="Gasto",IF(IFERROR(INDEX(catClas,MATCH(D2210,catNom,0))&amp;"","")="","Variable",IFERROR(INDEX(catClas,MATCH(D2210,catNom,0))&amp;"","")),"")</f>
        <v/>
      </c>
      <c r="L2210" s="19">
        <f>IF(I2210="","",IFERROR(INDEX(catAlim,MATCH(D2210,catNom,0))&amp;"",""))</f>
        <v/>
      </c>
      <c r="M2210" s="19">
        <f>IF(I2210="","",IFERROR(INDEX(catComida,MATCH(D2210,catNom,0))&amp;"",""))</f>
        <v/>
      </c>
      <c r="N2210" s="19">
        <f>IF(I2210="","",IFERROR(INDEX(ctaMon,MATCH(E2210,ctaNom,0))&amp;"","DOP"))</f>
        <v/>
      </c>
      <c r="O2210" s="20">
        <f>IF(I2210="","",C2210*IF(N2210="USD",TasaUSD,1))</f>
        <v/>
      </c>
      <c r="P2210" s="20">
        <f>IF(I2210="","",IF(I2210="Gasto",O2210,0))</f>
        <v/>
      </c>
      <c r="Q2210" s="20">
        <f>IF(I2210="","",IF(I2210="Ingreso",O2210,0))</f>
        <v/>
      </c>
      <c r="R2210" s="20">
        <f>IF(I2210="","",IF(I2210="Trading",O2210,0))</f>
        <v/>
      </c>
      <c r="S2210" s="19">
        <f>IF(I2210="","",IF(AND(I2210="Gasto",K2210="Variable",J2210&lt;&gt;"Trading",O2210&gt;0,O2210&lt;=Umbral),1,0))</f>
        <v/>
      </c>
      <c r="T2210" s="20">
        <f>IF(OR(I2210="",E2210=""),"",IF(OR(I2210="Gasto",I2210="Transferencia",I2210="Pago tarjeta"),-1,1)*C2210)</f>
        <v/>
      </c>
      <c r="U2210" s="20">
        <f>IF(OR(G2210="",AND(I2210&lt;&gt;"Transferencia",I2210&lt;&gt;"Pago tarjeta")),"",IF(IFERROR(INDEX(ctaMon,MATCH(G2210,ctaNom,0))&amp;"","DOP")=N2210,C2210,IF(N2210="USD",C2210*TasaUSD,C2210/TasaUSD)))</f>
        <v/>
      </c>
      <c r="V2210" s="20">
        <f>IF(I2210="","",IF(IFERROR(INDEX(ctaLiq,MATCH(E2210,ctaNom,0))="Sí",FALSE),IF(OR(I2210="Gasto",I2210="Transferencia",I2210="Pago tarjeta"),-1,1)*O2210,0)+IF(AND(U2210&lt;&gt;"",IFERROR(INDEX(ctaLiq,MATCH(G2210,ctaNom,0))="Sí",FALSE)),O2210,0))</f>
        <v/>
      </c>
      <c r="W2210" s="19">
        <f>IF(OR(F2210="",I2210=""),"",IF(COUNTIFS(F$6:F2210,F2210,I$6:I2210,"?*")=1,MAX(W$5:W2209)+1,""))</f>
        <v/>
      </c>
    </row>
    <row r="2211">
      <c r="B2211" s="15" t="n"/>
      <c r="C2211" s="16" t="n"/>
      <c r="D2211" s="17" t="n"/>
      <c r="E2211" s="17" t="n"/>
      <c r="F2211" s="17" t="n"/>
      <c r="G2211" s="17" t="n"/>
      <c r="H2211" s="18">
        <f>IF(AND(B2211="",C2211="",D2211="",E2211=""),"",IF(B2211="","⚠ Falta fecha",IF(C2211="","⚠ Falta monto",IF(D2211="","⚠ Falta categoría",IF(ISNA(MATCH(D2211,catNom,0)),"⚠ Categoría no existe",IF(E2211="","⚠ Falta cuenta",IF(ISNA(MATCH(E2211,ctaNom,0)),"⚠ Cuenta no existe",IF(AND(OR(I2211="Transferencia",I2211="Pago tarjeta"),G2211=""),"⚠ Indica la cuenta «Hacia»",IF(AND(G2211&lt;&gt;"",G2211=E2211),"⚠ «Hacia» igual a la cuenta",IF(AND(G2211&lt;&gt;"",ISNA(MATCH(G2211,ctaNom,0))),"⚠ «Hacia» no existe",IF(AND(I2211="Pago tarjeta",IFERROR(INDEX(ctaTipo,MATCH(G2211,ctaNom,0)),"")&lt;&gt;"Tarjeta de crédito"),"⚠ «Hacia» debe ser la tarjeta",IF(AND(I2211="Trading",IFERROR(INDEX(ctaTipo,MATCH(E2211,ctaNom,0)),"")&lt;&gt;"Cuenta de trading"),"⚠ Usa la cuenta de trading","✓"))))))))))))</f>
        <v/>
      </c>
      <c r="I2211" s="19">
        <f>IF(OR(B2211="",C2211="",D2211=""),"",IFERROR(INDEX(catTipo,MATCH(D2211,catNom,0))&amp;"",""))</f>
        <v/>
      </c>
      <c r="J2211" s="19">
        <f>IF(I2211="","",IFERROR(INDEX(catGrupo,MATCH(D2211,catNom,0))&amp;"",""))</f>
        <v/>
      </c>
      <c r="K2211" s="19">
        <f>IF(I2211="Gasto",IF(IFERROR(INDEX(catClas,MATCH(D2211,catNom,0))&amp;"","")="","Variable",IFERROR(INDEX(catClas,MATCH(D2211,catNom,0))&amp;"","")),"")</f>
        <v/>
      </c>
      <c r="L2211" s="19">
        <f>IF(I2211="","",IFERROR(INDEX(catAlim,MATCH(D2211,catNom,0))&amp;"",""))</f>
        <v/>
      </c>
      <c r="M2211" s="19">
        <f>IF(I2211="","",IFERROR(INDEX(catComida,MATCH(D2211,catNom,0))&amp;"",""))</f>
        <v/>
      </c>
      <c r="N2211" s="19">
        <f>IF(I2211="","",IFERROR(INDEX(ctaMon,MATCH(E2211,ctaNom,0))&amp;"","DOP"))</f>
        <v/>
      </c>
      <c r="O2211" s="20">
        <f>IF(I2211="","",C2211*IF(N2211="USD",TasaUSD,1))</f>
        <v/>
      </c>
      <c r="P2211" s="20">
        <f>IF(I2211="","",IF(I2211="Gasto",O2211,0))</f>
        <v/>
      </c>
      <c r="Q2211" s="20">
        <f>IF(I2211="","",IF(I2211="Ingreso",O2211,0))</f>
        <v/>
      </c>
      <c r="R2211" s="20">
        <f>IF(I2211="","",IF(I2211="Trading",O2211,0))</f>
        <v/>
      </c>
      <c r="S2211" s="19">
        <f>IF(I2211="","",IF(AND(I2211="Gasto",K2211="Variable",J2211&lt;&gt;"Trading",O2211&gt;0,O2211&lt;=Umbral),1,0))</f>
        <v/>
      </c>
      <c r="T2211" s="20">
        <f>IF(OR(I2211="",E2211=""),"",IF(OR(I2211="Gasto",I2211="Transferencia",I2211="Pago tarjeta"),-1,1)*C2211)</f>
        <v/>
      </c>
      <c r="U2211" s="20">
        <f>IF(OR(G2211="",AND(I2211&lt;&gt;"Transferencia",I2211&lt;&gt;"Pago tarjeta")),"",IF(IFERROR(INDEX(ctaMon,MATCH(G2211,ctaNom,0))&amp;"","DOP")=N2211,C2211,IF(N2211="USD",C2211*TasaUSD,C2211/TasaUSD)))</f>
        <v/>
      </c>
      <c r="V2211" s="20">
        <f>IF(I2211="","",IF(IFERROR(INDEX(ctaLiq,MATCH(E2211,ctaNom,0))="Sí",FALSE),IF(OR(I2211="Gasto",I2211="Transferencia",I2211="Pago tarjeta"),-1,1)*O2211,0)+IF(AND(U2211&lt;&gt;"",IFERROR(INDEX(ctaLiq,MATCH(G2211,ctaNom,0))="Sí",FALSE)),O2211,0))</f>
        <v/>
      </c>
      <c r="W2211" s="19">
        <f>IF(OR(F2211="",I2211=""),"",IF(COUNTIFS(F$6:F2211,F2211,I$6:I2211,"?*")=1,MAX(W$5:W2210)+1,""))</f>
        <v/>
      </c>
    </row>
    <row r="2212">
      <c r="B2212" s="15" t="n"/>
      <c r="C2212" s="16" t="n"/>
      <c r="D2212" s="17" t="n"/>
      <c r="E2212" s="17" t="n"/>
      <c r="F2212" s="17" t="n"/>
      <c r="G2212" s="17" t="n"/>
      <c r="H2212" s="18">
        <f>IF(AND(B2212="",C2212="",D2212="",E2212=""),"",IF(B2212="","⚠ Falta fecha",IF(C2212="","⚠ Falta monto",IF(D2212="","⚠ Falta categoría",IF(ISNA(MATCH(D2212,catNom,0)),"⚠ Categoría no existe",IF(E2212="","⚠ Falta cuenta",IF(ISNA(MATCH(E2212,ctaNom,0)),"⚠ Cuenta no existe",IF(AND(OR(I2212="Transferencia",I2212="Pago tarjeta"),G2212=""),"⚠ Indica la cuenta «Hacia»",IF(AND(G2212&lt;&gt;"",G2212=E2212),"⚠ «Hacia» igual a la cuenta",IF(AND(G2212&lt;&gt;"",ISNA(MATCH(G2212,ctaNom,0))),"⚠ «Hacia» no existe",IF(AND(I2212="Pago tarjeta",IFERROR(INDEX(ctaTipo,MATCH(G2212,ctaNom,0)),"")&lt;&gt;"Tarjeta de crédito"),"⚠ «Hacia» debe ser la tarjeta",IF(AND(I2212="Trading",IFERROR(INDEX(ctaTipo,MATCH(E2212,ctaNom,0)),"")&lt;&gt;"Cuenta de trading"),"⚠ Usa la cuenta de trading","✓"))))))))))))</f>
        <v/>
      </c>
      <c r="I2212" s="19">
        <f>IF(OR(B2212="",C2212="",D2212=""),"",IFERROR(INDEX(catTipo,MATCH(D2212,catNom,0))&amp;"",""))</f>
        <v/>
      </c>
      <c r="J2212" s="19">
        <f>IF(I2212="","",IFERROR(INDEX(catGrupo,MATCH(D2212,catNom,0))&amp;"",""))</f>
        <v/>
      </c>
      <c r="K2212" s="19">
        <f>IF(I2212="Gasto",IF(IFERROR(INDEX(catClas,MATCH(D2212,catNom,0))&amp;"","")="","Variable",IFERROR(INDEX(catClas,MATCH(D2212,catNom,0))&amp;"","")),"")</f>
        <v/>
      </c>
      <c r="L2212" s="19">
        <f>IF(I2212="","",IFERROR(INDEX(catAlim,MATCH(D2212,catNom,0))&amp;"",""))</f>
        <v/>
      </c>
      <c r="M2212" s="19">
        <f>IF(I2212="","",IFERROR(INDEX(catComida,MATCH(D2212,catNom,0))&amp;"",""))</f>
        <v/>
      </c>
      <c r="N2212" s="19">
        <f>IF(I2212="","",IFERROR(INDEX(ctaMon,MATCH(E2212,ctaNom,0))&amp;"","DOP"))</f>
        <v/>
      </c>
      <c r="O2212" s="20">
        <f>IF(I2212="","",C2212*IF(N2212="USD",TasaUSD,1))</f>
        <v/>
      </c>
      <c r="P2212" s="20">
        <f>IF(I2212="","",IF(I2212="Gasto",O2212,0))</f>
        <v/>
      </c>
      <c r="Q2212" s="20">
        <f>IF(I2212="","",IF(I2212="Ingreso",O2212,0))</f>
        <v/>
      </c>
      <c r="R2212" s="20">
        <f>IF(I2212="","",IF(I2212="Trading",O2212,0))</f>
        <v/>
      </c>
      <c r="S2212" s="19">
        <f>IF(I2212="","",IF(AND(I2212="Gasto",K2212="Variable",J2212&lt;&gt;"Trading",O2212&gt;0,O2212&lt;=Umbral),1,0))</f>
        <v/>
      </c>
      <c r="T2212" s="20">
        <f>IF(OR(I2212="",E2212=""),"",IF(OR(I2212="Gasto",I2212="Transferencia",I2212="Pago tarjeta"),-1,1)*C2212)</f>
        <v/>
      </c>
      <c r="U2212" s="20">
        <f>IF(OR(G2212="",AND(I2212&lt;&gt;"Transferencia",I2212&lt;&gt;"Pago tarjeta")),"",IF(IFERROR(INDEX(ctaMon,MATCH(G2212,ctaNom,0))&amp;"","DOP")=N2212,C2212,IF(N2212="USD",C2212*TasaUSD,C2212/TasaUSD)))</f>
        <v/>
      </c>
      <c r="V2212" s="20">
        <f>IF(I2212="","",IF(IFERROR(INDEX(ctaLiq,MATCH(E2212,ctaNom,0))="Sí",FALSE),IF(OR(I2212="Gasto",I2212="Transferencia",I2212="Pago tarjeta"),-1,1)*O2212,0)+IF(AND(U2212&lt;&gt;"",IFERROR(INDEX(ctaLiq,MATCH(G2212,ctaNom,0))="Sí",FALSE)),O2212,0))</f>
        <v/>
      </c>
      <c r="W2212" s="19">
        <f>IF(OR(F2212="",I2212=""),"",IF(COUNTIFS(F$6:F2212,F2212,I$6:I2212,"?*")=1,MAX(W$5:W2211)+1,""))</f>
        <v/>
      </c>
    </row>
    <row r="2213">
      <c r="B2213" s="15" t="n"/>
      <c r="C2213" s="16" t="n"/>
      <c r="D2213" s="17" t="n"/>
      <c r="E2213" s="17" t="n"/>
      <c r="F2213" s="17" t="n"/>
      <c r="G2213" s="17" t="n"/>
      <c r="H2213" s="18">
        <f>IF(AND(B2213="",C2213="",D2213="",E2213=""),"",IF(B2213="","⚠ Falta fecha",IF(C2213="","⚠ Falta monto",IF(D2213="","⚠ Falta categoría",IF(ISNA(MATCH(D2213,catNom,0)),"⚠ Categoría no existe",IF(E2213="","⚠ Falta cuenta",IF(ISNA(MATCH(E2213,ctaNom,0)),"⚠ Cuenta no existe",IF(AND(OR(I2213="Transferencia",I2213="Pago tarjeta"),G2213=""),"⚠ Indica la cuenta «Hacia»",IF(AND(G2213&lt;&gt;"",G2213=E2213),"⚠ «Hacia» igual a la cuenta",IF(AND(G2213&lt;&gt;"",ISNA(MATCH(G2213,ctaNom,0))),"⚠ «Hacia» no existe",IF(AND(I2213="Pago tarjeta",IFERROR(INDEX(ctaTipo,MATCH(G2213,ctaNom,0)),"")&lt;&gt;"Tarjeta de crédito"),"⚠ «Hacia» debe ser la tarjeta",IF(AND(I2213="Trading",IFERROR(INDEX(ctaTipo,MATCH(E2213,ctaNom,0)),"")&lt;&gt;"Cuenta de trading"),"⚠ Usa la cuenta de trading","✓"))))))))))))</f>
        <v/>
      </c>
      <c r="I2213" s="19">
        <f>IF(OR(B2213="",C2213="",D2213=""),"",IFERROR(INDEX(catTipo,MATCH(D2213,catNom,0))&amp;"",""))</f>
        <v/>
      </c>
      <c r="J2213" s="19">
        <f>IF(I2213="","",IFERROR(INDEX(catGrupo,MATCH(D2213,catNom,0))&amp;"",""))</f>
        <v/>
      </c>
      <c r="K2213" s="19">
        <f>IF(I2213="Gasto",IF(IFERROR(INDEX(catClas,MATCH(D2213,catNom,0))&amp;"","")="","Variable",IFERROR(INDEX(catClas,MATCH(D2213,catNom,0))&amp;"","")),"")</f>
        <v/>
      </c>
      <c r="L2213" s="19">
        <f>IF(I2213="","",IFERROR(INDEX(catAlim,MATCH(D2213,catNom,0))&amp;"",""))</f>
        <v/>
      </c>
      <c r="M2213" s="19">
        <f>IF(I2213="","",IFERROR(INDEX(catComida,MATCH(D2213,catNom,0))&amp;"",""))</f>
        <v/>
      </c>
      <c r="N2213" s="19">
        <f>IF(I2213="","",IFERROR(INDEX(ctaMon,MATCH(E2213,ctaNom,0))&amp;"","DOP"))</f>
        <v/>
      </c>
      <c r="O2213" s="20">
        <f>IF(I2213="","",C2213*IF(N2213="USD",TasaUSD,1))</f>
        <v/>
      </c>
      <c r="P2213" s="20">
        <f>IF(I2213="","",IF(I2213="Gasto",O2213,0))</f>
        <v/>
      </c>
      <c r="Q2213" s="20">
        <f>IF(I2213="","",IF(I2213="Ingreso",O2213,0))</f>
        <v/>
      </c>
      <c r="R2213" s="20">
        <f>IF(I2213="","",IF(I2213="Trading",O2213,0))</f>
        <v/>
      </c>
      <c r="S2213" s="19">
        <f>IF(I2213="","",IF(AND(I2213="Gasto",K2213="Variable",J2213&lt;&gt;"Trading",O2213&gt;0,O2213&lt;=Umbral),1,0))</f>
        <v/>
      </c>
      <c r="T2213" s="20">
        <f>IF(OR(I2213="",E2213=""),"",IF(OR(I2213="Gasto",I2213="Transferencia",I2213="Pago tarjeta"),-1,1)*C2213)</f>
        <v/>
      </c>
      <c r="U2213" s="20">
        <f>IF(OR(G2213="",AND(I2213&lt;&gt;"Transferencia",I2213&lt;&gt;"Pago tarjeta")),"",IF(IFERROR(INDEX(ctaMon,MATCH(G2213,ctaNom,0))&amp;"","DOP")=N2213,C2213,IF(N2213="USD",C2213*TasaUSD,C2213/TasaUSD)))</f>
        <v/>
      </c>
      <c r="V2213" s="20">
        <f>IF(I2213="","",IF(IFERROR(INDEX(ctaLiq,MATCH(E2213,ctaNom,0))="Sí",FALSE),IF(OR(I2213="Gasto",I2213="Transferencia",I2213="Pago tarjeta"),-1,1)*O2213,0)+IF(AND(U2213&lt;&gt;"",IFERROR(INDEX(ctaLiq,MATCH(G2213,ctaNom,0))="Sí",FALSE)),O2213,0))</f>
        <v/>
      </c>
      <c r="W2213" s="19">
        <f>IF(OR(F2213="",I2213=""),"",IF(COUNTIFS(F$6:F2213,F2213,I$6:I2213,"?*")=1,MAX(W$5:W2212)+1,""))</f>
        <v/>
      </c>
    </row>
    <row r="2214">
      <c r="B2214" s="15" t="n"/>
      <c r="C2214" s="16" t="n"/>
      <c r="D2214" s="17" t="n"/>
      <c r="E2214" s="17" t="n"/>
      <c r="F2214" s="17" t="n"/>
      <c r="G2214" s="17" t="n"/>
      <c r="H2214" s="18">
        <f>IF(AND(B2214="",C2214="",D2214="",E2214=""),"",IF(B2214="","⚠ Falta fecha",IF(C2214="","⚠ Falta monto",IF(D2214="","⚠ Falta categoría",IF(ISNA(MATCH(D2214,catNom,0)),"⚠ Categoría no existe",IF(E2214="","⚠ Falta cuenta",IF(ISNA(MATCH(E2214,ctaNom,0)),"⚠ Cuenta no existe",IF(AND(OR(I2214="Transferencia",I2214="Pago tarjeta"),G2214=""),"⚠ Indica la cuenta «Hacia»",IF(AND(G2214&lt;&gt;"",G2214=E2214),"⚠ «Hacia» igual a la cuenta",IF(AND(G2214&lt;&gt;"",ISNA(MATCH(G2214,ctaNom,0))),"⚠ «Hacia» no existe",IF(AND(I2214="Pago tarjeta",IFERROR(INDEX(ctaTipo,MATCH(G2214,ctaNom,0)),"")&lt;&gt;"Tarjeta de crédito"),"⚠ «Hacia» debe ser la tarjeta",IF(AND(I2214="Trading",IFERROR(INDEX(ctaTipo,MATCH(E2214,ctaNom,0)),"")&lt;&gt;"Cuenta de trading"),"⚠ Usa la cuenta de trading","✓"))))))))))))</f>
        <v/>
      </c>
      <c r="I2214" s="19">
        <f>IF(OR(B2214="",C2214="",D2214=""),"",IFERROR(INDEX(catTipo,MATCH(D2214,catNom,0))&amp;"",""))</f>
        <v/>
      </c>
      <c r="J2214" s="19">
        <f>IF(I2214="","",IFERROR(INDEX(catGrupo,MATCH(D2214,catNom,0))&amp;"",""))</f>
        <v/>
      </c>
      <c r="K2214" s="19">
        <f>IF(I2214="Gasto",IF(IFERROR(INDEX(catClas,MATCH(D2214,catNom,0))&amp;"","")="","Variable",IFERROR(INDEX(catClas,MATCH(D2214,catNom,0))&amp;"","")),"")</f>
        <v/>
      </c>
      <c r="L2214" s="19">
        <f>IF(I2214="","",IFERROR(INDEX(catAlim,MATCH(D2214,catNom,0))&amp;"",""))</f>
        <v/>
      </c>
      <c r="M2214" s="19">
        <f>IF(I2214="","",IFERROR(INDEX(catComida,MATCH(D2214,catNom,0))&amp;"",""))</f>
        <v/>
      </c>
      <c r="N2214" s="19">
        <f>IF(I2214="","",IFERROR(INDEX(ctaMon,MATCH(E2214,ctaNom,0))&amp;"","DOP"))</f>
        <v/>
      </c>
      <c r="O2214" s="20">
        <f>IF(I2214="","",C2214*IF(N2214="USD",TasaUSD,1))</f>
        <v/>
      </c>
      <c r="P2214" s="20">
        <f>IF(I2214="","",IF(I2214="Gasto",O2214,0))</f>
        <v/>
      </c>
      <c r="Q2214" s="20">
        <f>IF(I2214="","",IF(I2214="Ingreso",O2214,0))</f>
        <v/>
      </c>
      <c r="R2214" s="20">
        <f>IF(I2214="","",IF(I2214="Trading",O2214,0))</f>
        <v/>
      </c>
      <c r="S2214" s="19">
        <f>IF(I2214="","",IF(AND(I2214="Gasto",K2214="Variable",J2214&lt;&gt;"Trading",O2214&gt;0,O2214&lt;=Umbral),1,0))</f>
        <v/>
      </c>
      <c r="T2214" s="20">
        <f>IF(OR(I2214="",E2214=""),"",IF(OR(I2214="Gasto",I2214="Transferencia",I2214="Pago tarjeta"),-1,1)*C2214)</f>
        <v/>
      </c>
      <c r="U2214" s="20">
        <f>IF(OR(G2214="",AND(I2214&lt;&gt;"Transferencia",I2214&lt;&gt;"Pago tarjeta")),"",IF(IFERROR(INDEX(ctaMon,MATCH(G2214,ctaNom,0))&amp;"","DOP")=N2214,C2214,IF(N2214="USD",C2214*TasaUSD,C2214/TasaUSD)))</f>
        <v/>
      </c>
      <c r="V2214" s="20">
        <f>IF(I2214="","",IF(IFERROR(INDEX(ctaLiq,MATCH(E2214,ctaNom,0))="Sí",FALSE),IF(OR(I2214="Gasto",I2214="Transferencia",I2214="Pago tarjeta"),-1,1)*O2214,0)+IF(AND(U2214&lt;&gt;"",IFERROR(INDEX(ctaLiq,MATCH(G2214,ctaNom,0))="Sí",FALSE)),O2214,0))</f>
        <v/>
      </c>
      <c r="W2214" s="19">
        <f>IF(OR(F2214="",I2214=""),"",IF(COUNTIFS(F$6:F2214,F2214,I$6:I2214,"?*")=1,MAX(W$5:W2213)+1,""))</f>
        <v/>
      </c>
    </row>
    <row r="2215">
      <c r="B2215" s="15" t="n"/>
      <c r="C2215" s="16" t="n"/>
      <c r="D2215" s="17" t="n"/>
      <c r="E2215" s="17" t="n"/>
      <c r="F2215" s="17" t="n"/>
      <c r="G2215" s="17" t="n"/>
      <c r="H2215" s="18">
        <f>IF(AND(B2215="",C2215="",D2215="",E2215=""),"",IF(B2215="","⚠ Falta fecha",IF(C2215="","⚠ Falta monto",IF(D2215="","⚠ Falta categoría",IF(ISNA(MATCH(D2215,catNom,0)),"⚠ Categoría no existe",IF(E2215="","⚠ Falta cuenta",IF(ISNA(MATCH(E2215,ctaNom,0)),"⚠ Cuenta no existe",IF(AND(OR(I2215="Transferencia",I2215="Pago tarjeta"),G2215=""),"⚠ Indica la cuenta «Hacia»",IF(AND(G2215&lt;&gt;"",G2215=E2215),"⚠ «Hacia» igual a la cuenta",IF(AND(G2215&lt;&gt;"",ISNA(MATCH(G2215,ctaNom,0))),"⚠ «Hacia» no existe",IF(AND(I2215="Pago tarjeta",IFERROR(INDEX(ctaTipo,MATCH(G2215,ctaNom,0)),"")&lt;&gt;"Tarjeta de crédito"),"⚠ «Hacia» debe ser la tarjeta",IF(AND(I2215="Trading",IFERROR(INDEX(ctaTipo,MATCH(E2215,ctaNom,0)),"")&lt;&gt;"Cuenta de trading"),"⚠ Usa la cuenta de trading","✓"))))))))))))</f>
        <v/>
      </c>
      <c r="I2215" s="19">
        <f>IF(OR(B2215="",C2215="",D2215=""),"",IFERROR(INDEX(catTipo,MATCH(D2215,catNom,0))&amp;"",""))</f>
        <v/>
      </c>
      <c r="J2215" s="19">
        <f>IF(I2215="","",IFERROR(INDEX(catGrupo,MATCH(D2215,catNom,0))&amp;"",""))</f>
        <v/>
      </c>
      <c r="K2215" s="19">
        <f>IF(I2215="Gasto",IF(IFERROR(INDEX(catClas,MATCH(D2215,catNom,0))&amp;"","")="","Variable",IFERROR(INDEX(catClas,MATCH(D2215,catNom,0))&amp;"","")),"")</f>
        <v/>
      </c>
      <c r="L2215" s="19">
        <f>IF(I2215="","",IFERROR(INDEX(catAlim,MATCH(D2215,catNom,0))&amp;"",""))</f>
        <v/>
      </c>
      <c r="M2215" s="19">
        <f>IF(I2215="","",IFERROR(INDEX(catComida,MATCH(D2215,catNom,0))&amp;"",""))</f>
        <v/>
      </c>
      <c r="N2215" s="19">
        <f>IF(I2215="","",IFERROR(INDEX(ctaMon,MATCH(E2215,ctaNom,0))&amp;"","DOP"))</f>
        <v/>
      </c>
      <c r="O2215" s="20">
        <f>IF(I2215="","",C2215*IF(N2215="USD",TasaUSD,1))</f>
        <v/>
      </c>
      <c r="P2215" s="20">
        <f>IF(I2215="","",IF(I2215="Gasto",O2215,0))</f>
        <v/>
      </c>
      <c r="Q2215" s="20">
        <f>IF(I2215="","",IF(I2215="Ingreso",O2215,0))</f>
        <v/>
      </c>
      <c r="R2215" s="20">
        <f>IF(I2215="","",IF(I2215="Trading",O2215,0))</f>
        <v/>
      </c>
      <c r="S2215" s="19">
        <f>IF(I2215="","",IF(AND(I2215="Gasto",K2215="Variable",J2215&lt;&gt;"Trading",O2215&gt;0,O2215&lt;=Umbral),1,0))</f>
        <v/>
      </c>
      <c r="T2215" s="20">
        <f>IF(OR(I2215="",E2215=""),"",IF(OR(I2215="Gasto",I2215="Transferencia",I2215="Pago tarjeta"),-1,1)*C2215)</f>
        <v/>
      </c>
      <c r="U2215" s="20">
        <f>IF(OR(G2215="",AND(I2215&lt;&gt;"Transferencia",I2215&lt;&gt;"Pago tarjeta")),"",IF(IFERROR(INDEX(ctaMon,MATCH(G2215,ctaNom,0))&amp;"","DOP")=N2215,C2215,IF(N2215="USD",C2215*TasaUSD,C2215/TasaUSD)))</f>
        <v/>
      </c>
      <c r="V2215" s="20">
        <f>IF(I2215="","",IF(IFERROR(INDEX(ctaLiq,MATCH(E2215,ctaNom,0))="Sí",FALSE),IF(OR(I2215="Gasto",I2215="Transferencia",I2215="Pago tarjeta"),-1,1)*O2215,0)+IF(AND(U2215&lt;&gt;"",IFERROR(INDEX(ctaLiq,MATCH(G2215,ctaNom,0))="Sí",FALSE)),O2215,0))</f>
        <v/>
      </c>
      <c r="W2215" s="19">
        <f>IF(OR(F2215="",I2215=""),"",IF(COUNTIFS(F$6:F2215,F2215,I$6:I2215,"?*")=1,MAX(W$5:W2214)+1,""))</f>
        <v/>
      </c>
    </row>
    <row r="2216">
      <c r="B2216" s="15" t="n"/>
      <c r="C2216" s="16" t="n"/>
      <c r="D2216" s="17" t="n"/>
      <c r="E2216" s="17" t="n"/>
      <c r="F2216" s="17" t="n"/>
      <c r="G2216" s="17" t="n"/>
      <c r="H2216" s="18">
        <f>IF(AND(B2216="",C2216="",D2216="",E2216=""),"",IF(B2216="","⚠ Falta fecha",IF(C2216="","⚠ Falta monto",IF(D2216="","⚠ Falta categoría",IF(ISNA(MATCH(D2216,catNom,0)),"⚠ Categoría no existe",IF(E2216="","⚠ Falta cuenta",IF(ISNA(MATCH(E2216,ctaNom,0)),"⚠ Cuenta no existe",IF(AND(OR(I2216="Transferencia",I2216="Pago tarjeta"),G2216=""),"⚠ Indica la cuenta «Hacia»",IF(AND(G2216&lt;&gt;"",G2216=E2216),"⚠ «Hacia» igual a la cuenta",IF(AND(G2216&lt;&gt;"",ISNA(MATCH(G2216,ctaNom,0))),"⚠ «Hacia» no existe",IF(AND(I2216="Pago tarjeta",IFERROR(INDEX(ctaTipo,MATCH(G2216,ctaNom,0)),"")&lt;&gt;"Tarjeta de crédito"),"⚠ «Hacia» debe ser la tarjeta",IF(AND(I2216="Trading",IFERROR(INDEX(ctaTipo,MATCH(E2216,ctaNom,0)),"")&lt;&gt;"Cuenta de trading"),"⚠ Usa la cuenta de trading","✓"))))))))))))</f>
        <v/>
      </c>
      <c r="I2216" s="19">
        <f>IF(OR(B2216="",C2216="",D2216=""),"",IFERROR(INDEX(catTipo,MATCH(D2216,catNom,0))&amp;"",""))</f>
        <v/>
      </c>
      <c r="J2216" s="19">
        <f>IF(I2216="","",IFERROR(INDEX(catGrupo,MATCH(D2216,catNom,0))&amp;"",""))</f>
        <v/>
      </c>
      <c r="K2216" s="19">
        <f>IF(I2216="Gasto",IF(IFERROR(INDEX(catClas,MATCH(D2216,catNom,0))&amp;"","")="","Variable",IFERROR(INDEX(catClas,MATCH(D2216,catNom,0))&amp;"","")),"")</f>
        <v/>
      </c>
      <c r="L2216" s="19">
        <f>IF(I2216="","",IFERROR(INDEX(catAlim,MATCH(D2216,catNom,0))&amp;"",""))</f>
        <v/>
      </c>
      <c r="M2216" s="19">
        <f>IF(I2216="","",IFERROR(INDEX(catComida,MATCH(D2216,catNom,0))&amp;"",""))</f>
        <v/>
      </c>
      <c r="N2216" s="19">
        <f>IF(I2216="","",IFERROR(INDEX(ctaMon,MATCH(E2216,ctaNom,0))&amp;"","DOP"))</f>
        <v/>
      </c>
      <c r="O2216" s="20">
        <f>IF(I2216="","",C2216*IF(N2216="USD",TasaUSD,1))</f>
        <v/>
      </c>
      <c r="P2216" s="20">
        <f>IF(I2216="","",IF(I2216="Gasto",O2216,0))</f>
        <v/>
      </c>
      <c r="Q2216" s="20">
        <f>IF(I2216="","",IF(I2216="Ingreso",O2216,0))</f>
        <v/>
      </c>
      <c r="R2216" s="20">
        <f>IF(I2216="","",IF(I2216="Trading",O2216,0))</f>
        <v/>
      </c>
      <c r="S2216" s="19">
        <f>IF(I2216="","",IF(AND(I2216="Gasto",K2216="Variable",J2216&lt;&gt;"Trading",O2216&gt;0,O2216&lt;=Umbral),1,0))</f>
        <v/>
      </c>
      <c r="T2216" s="20">
        <f>IF(OR(I2216="",E2216=""),"",IF(OR(I2216="Gasto",I2216="Transferencia",I2216="Pago tarjeta"),-1,1)*C2216)</f>
        <v/>
      </c>
      <c r="U2216" s="20">
        <f>IF(OR(G2216="",AND(I2216&lt;&gt;"Transferencia",I2216&lt;&gt;"Pago tarjeta")),"",IF(IFERROR(INDEX(ctaMon,MATCH(G2216,ctaNom,0))&amp;"","DOP")=N2216,C2216,IF(N2216="USD",C2216*TasaUSD,C2216/TasaUSD)))</f>
        <v/>
      </c>
      <c r="V2216" s="20">
        <f>IF(I2216="","",IF(IFERROR(INDEX(ctaLiq,MATCH(E2216,ctaNom,0))="Sí",FALSE),IF(OR(I2216="Gasto",I2216="Transferencia",I2216="Pago tarjeta"),-1,1)*O2216,0)+IF(AND(U2216&lt;&gt;"",IFERROR(INDEX(ctaLiq,MATCH(G2216,ctaNom,0))="Sí",FALSE)),O2216,0))</f>
        <v/>
      </c>
      <c r="W2216" s="19">
        <f>IF(OR(F2216="",I2216=""),"",IF(COUNTIFS(F$6:F2216,F2216,I$6:I2216,"?*")=1,MAX(W$5:W2215)+1,""))</f>
        <v/>
      </c>
    </row>
    <row r="2217">
      <c r="B2217" s="15" t="n"/>
      <c r="C2217" s="16" t="n"/>
      <c r="D2217" s="17" t="n"/>
      <c r="E2217" s="17" t="n"/>
      <c r="F2217" s="17" t="n"/>
      <c r="G2217" s="17" t="n"/>
      <c r="H2217" s="18">
        <f>IF(AND(B2217="",C2217="",D2217="",E2217=""),"",IF(B2217="","⚠ Falta fecha",IF(C2217="","⚠ Falta monto",IF(D2217="","⚠ Falta categoría",IF(ISNA(MATCH(D2217,catNom,0)),"⚠ Categoría no existe",IF(E2217="","⚠ Falta cuenta",IF(ISNA(MATCH(E2217,ctaNom,0)),"⚠ Cuenta no existe",IF(AND(OR(I2217="Transferencia",I2217="Pago tarjeta"),G2217=""),"⚠ Indica la cuenta «Hacia»",IF(AND(G2217&lt;&gt;"",G2217=E2217),"⚠ «Hacia» igual a la cuenta",IF(AND(G2217&lt;&gt;"",ISNA(MATCH(G2217,ctaNom,0))),"⚠ «Hacia» no existe",IF(AND(I2217="Pago tarjeta",IFERROR(INDEX(ctaTipo,MATCH(G2217,ctaNom,0)),"")&lt;&gt;"Tarjeta de crédito"),"⚠ «Hacia» debe ser la tarjeta",IF(AND(I2217="Trading",IFERROR(INDEX(ctaTipo,MATCH(E2217,ctaNom,0)),"")&lt;&gt;"Cuenta de trading"),"⚠ Usa la cuenta de trading","✓"))))))))))))</f>
        <v/>
      </c>
      <c r="I2217" s="19">
        <f>IF(OR(B2217="",C2217="",D2217=""),"",IFERROR(INDEX(catTipo,MATCH(D2217,catNom,0))&amp;"",""))</f>
        <v/>
      </c>
      <c r="J2217" s="19">
        <f>IF(I2217="","",IFERROR(INDEX(catGrupo,MATCH(D2217,catNom,0))&amp;"",""))</f>
        <v/>
      </c>
      <c r="K2217" s="19">
        <f>IF(I2217="Gasto",IF(IFERROR(INDEX(catClas,MATCH(D2217,catNom,0))&amp;"","")="","Variable",IFERROR(INDEX(catClas,MATCH(D2217,catNom,0))&amp;"","")),"")</f>
        <v/>
      </c>
      <c r="L2217" s="19">
        <f>IF(I2217="","",IFERROR(INDEX(catAlim,MATCH(D2217,catNom,0))&amp;"",""))</f>
        <v/>
      </c>
      <c r="M2217" s="19">
        <f>IF(I2217="","",IFERROR(INDEX(catComida,MATCH(D2217,catNom,0))&amp;"",""))</f>
        <v/>
      </c>
      <c r="N2217" s="19">
        <f>IF(I2217="","",IFERROR(INDEX(ctaMon,MATCH(E2217,ctaNom,0))&amp;"","DOP"))</f>
        <v/>
      </c>
      <c r="O2217" s="20">
        <f>IF(I2217="","",C2217*IF(N2217="USD",TasaUSD,1))</f>
        <v/>
      </c>
      <c r="P2217" s="20">
        <f>IF(I2217="","",IF(I2217="Gasto",O2217,0))</f>
        <v/>
      </c>
      <c r="Q2217" s="20">
        <f>IF(I2217="","",IF(I2217="Ingreso",O2217,0))</f>
        <v/>
      </c>
      <c r="R2217" s="20">
        <f>IF(I2217="","",IF(I2217="Trading",O2217,0))</f>
        <v/>
      </c>
      <c r="S2217" s="19">
        <f>IF(I2217="","",IF(AND(I2217="Gasto",K2217="Variable",J2217&lt;&gt;"Trading",O2217&gt;0,O2217&lt;=Umbral),1,0))</f>
        <v/>
      </c>
      <c r="T2217" s="20">
        <f>IF(OR(I2217="",E2217=""),"",IF(OR(I2217="Gasto",I2217="Transferencia",I2217="Pago tarjeta"),-1,1)*C2217)</f>
        <v/>
      </c>
      <c r="U2217" s="20">
        <f>IF(OR(G2217="",AND(I2217&lt;&gt;"Transferencia",I2217&lt;&gt;"Pago tarjeta")),"",IF(IFERROR(INDEX(ctaMon,MATCH(G2217,ctaNom,0))&amp;"","DOP")=N2217,C2217,IF(N2217="USD",C2217*TasaUSD,C2217/TasaUSD)))</f>
        <v/>
      </c>
      <c r="V2217" s="20">
        <f>IF(I2217="","",IF(IFERROR(INDEX(ctaLiq,MATCH(E2217,ctaNom,0))="Sí",FALSE),IF(OR(I2217="Gasto",I2217="Transferencia",I2217="Pago tarjeta"),-1,1)*O2217,0)+IF(AND(U2217&lt;&gt;"",IFERROR(INDEX(ctaLiq,MATCH(G2217,ctaNom,0))="Sí",FALSE)),O2217,0))</f>
        <v/>
      </c>
      <c r="W2217" s="19">
        <f>IF(OR(F2217="",I2217=""),"",IF(COUNTIFS(F$6:F2217,F2217,I$6:I2217,"?*")=1,MAX(W$5:W2216)+1,""))</f>
        <v/>
      </c>
    </row>
    <row r="2218">
      <c r="B2218" s="15" t="n"/>
      <c r="C2218" s="16" t="n"/>
      <c r="D2218" s="17" t="n"/>
      <c r="E2218" s="17" t="n"/>
      <c r="F2218" s="17" t="n"/>
      <c r="G2218" s="17" t="n"/>
      <c r="H2218" s="18">
        <f>IF(AND(B2218="",C2218="",D2218="",E2218=""),"",IF(B2218="","⚠ Falta fecha",IF(C2218="","⚠ Falta monto",IF(D2218="","⚠ Falta categoría",IF(ISNA(MATCH(D2218,catNom,0)),"⚠ Categoría no existe",IF(E2218="","⚠ Falta cuenta",IF(ISNA(MATCH(E2218,ctaNom,0)),"⚠ Cuenta no existe",IF(AND(OR(I2218="Transferencia",I2218="Pago tarjeta"),G2218=""),"⚠ Indica la cuenta «Hacia»",IF(AND(G2218&lt;&gt;"",G2218=E2218),"⚠ «Hacia» igual a la cuenta",IF(AND(G2218&lt;&gt;"",ISNA(MATCH(G2218,ctaNom,0))),"⚠ «Hacia» no existe",IF(AND(I2218="Pago tarjeta",IFERROR(INDEX(ctaTipo,MATCH(G2218,ctaNom,0)),"")&lt;&gt;"Tarjeta de crédito"),"⚠ «Hacia» debe ser la tarjeta",IF(AND(I2218="Trading",IFERROR(INDEX(ctaTipo,MATCH(E2218,ctaNom,0)),"")&lt;&gt;"Cuenta de trading"),"⚠ Usa la cuenta de trading","✓"))))))))))))</f>
        <v/>
      </c>
      <c r="I2218" s="19">
        <f>IF(OR(B2218="",C2218="",D2218=""),"",IFERROR(INDEX(catTipo,MATCH(D2218,catNom,0))&amp;"",""))</f>
        <v/>
      </c>
      <c r="J2218" s="19">
        <f>IF(I2218="","",IFERROR(INDEX(catGrupo,MATCH(D2218,catNom,0))&amp;"",""))</f>
        <v/>
      </c>
      <c r="K2218" s="19">
        <f>IF(I2218="Gasto",IF(IFERROR(INDEX(catClas,MATCH(D2218,catNom,0))&amp;"","")="","Variable",IFERROR(INDEX(catClas,MATCH(D2218,catNom,0))&amp;"","")),"")</f>
        <v/>
      </c>
      <c r="L2218" s="19">
        <f>IF(I2218="","",IFERROR(INDEX(catAlim,MATCH(D2218,catNom,0))&amp;"",""))</f>
        <v/>
      </c>
      <c r="M2218" s="19">
        <f>IF(I2218="","",IFERROR(INDEX(catComida,MATCH(D2218,catNom,0))&amp;"",""))</f>
        <v/>
      </c>
      <c r="N2218" s="19">
        <f>IF(I2218="","",IFERROR(INDEX(ctaMon,MATCH(E2218,ctaNom,0))&amp;"","DOP"))</f>
        <v/>
      </c>
      <c r="O2218" s="20">
        <f>IF(I2218="","",C2218*IF(N2218="USD",TasaUSD,1))</f>
        <v/>
      </c>
      <c r="P2218" s="20">
        <f>IF(I2218="","",IF(I2218="Gasto",O2218,0))</f>
        <v/>
      </c>
      <c r="Q2218" s="20">
        <f>IF(I2218="","",IF(I2218="Ingreso",O2218,0))</f>
        <v/>
      </c>
      <c r="R2218" s="20">
        <f>IF(I2218="","",IF(I2218="Trading",O2218,0))</f>
        <v/>
      </c>
      <c r="S2218" s="19">
        <f>IF(I2218="","",IF(AND(I2218="Gasto",K2218="Variable",J2218&lt;&gt;"Trading",O2218&gt;0,O2218&lt;=Umbral),1,0))</f>
        <v/>
      </c>
      <c r="T2218" s="20">
        <f>IF(OR(I2218="",E2218=""),"",IF(OR(I2218="Gasto",I2218="Transferencia",I2218="Pago tarjeta"),-1,1)*C2218)</f>
        <v/>
      </c>
      <c r="U2218" s="20">
        <f>IF(OR(G2218="",AND(I2218&lt;&gt;"Transferencia",I2218&lt;&gt;"Pago tarjeta")),"",IF(IFERROR(INDEX(ctaMon,MATCH(G2218,ctaNom,0))&amp;"","DOP")=N2218,C2218,IF(N2218="USD",C2218*TasaUSD,C2218/TasaUSD)))</f>
        <v/>
      </c>
      <c r="V2218" s="20">
        <f>IF(I2218="","",IF(IFERROR(INDEX(ctaLiq,MATCH(E2218,ctaNom,0))="Sí",FALSE),IF(OR(I2218="Gasto",I2218="Transferencia",I2218="Pago tarjeta"),-1,1)*O2218,0)+IF(AND(U2218&lt;&gt;"",IFERROR(INDEX(ctaLiq,MATCH(G2218,ctaNom,0))="Sí",FALSE)),O2218,0))</f>
        <v/>
      </c>
      <c r="W2218" s="19">
        <f>IF(OR(F2218="",I2218=""),"",IF(COUNTIFS(F$6:F2218,F2218,I$6:I2218,"?*")=1,MAX(W$5:W2217)+1,""))</f>
        <v/>
      </c>
    </row>
    <row r="2219">
      <c r="B2219" s="15" t="n"/>
      <c r="C2219" s="16" t="n"/>
      <c r="D2219" s="17" t="n"/>
      <c r="E2219" s="17" t="n"/>
      <c r="F2219" s="17" t="n"/>
      <c r="G2219" s="17" t="n"/>
      <c r="H2219" s="18">
        <f>IF(AND(B2219="",C2219="",D2219="",E2219=""),"",IF(B2219="","⚠ Falta fecha",IF(C2219="","⚠ Falta monto",IF(D2219="","⚠ Falta categoría",IF(ISNA(MATCH(D2219,catNom,0)),"⚠ Categoría no existe",IF(E2219="","⚠ Falta cuenta",IF(ISNA(MATCH(E2219,ctaNom,0)),"⚠ Cuenta no existe",IF(AND(OR(I2219="Transferencia",I2219="Pago tarjeta"),G2219=""),"⚠ Indica la cuenta «Hacia»",IF(AND(G2219&lt;&gt;"",G2219=E2219),"⚠ «Hacia» igual a la cuenta",IF(AND(G2219&lt;&gt;"",ISNA(MATCH(G2219,ctaNom,0))),"⚠ «Hacia» no existe",IF(AND(I2219="Pago tarjeta",IFERROR(INDEX(ctaTipo,MATCH(G2219,ctaNom,0)),"")&lt;&gt;"Tarjeta de crédito"),"⚠ «Hacia» debe ser la tarjeta",IF(AND(I2219="Trading",IFERROR(INDEX(ctaTipo,MATCH(E2219,ctaNom,0)),"")&lt;&gt;"Cuenta de trading"),"⚠ Usa la cuenta de trading","✓"))))))))))))</f>
        <v/>
      </c>
      <c r="I2219" s="19">
        <f>IF(OR(B2219="",C2219="",D2219=""),"",IFERROR(INDEX(catTipo,MATCH(D2219,catNom,0))&amp;"",""))</f>
        <v/>
      </c>
      <c r="J2219" s="19">
        <f>IF(I2219="","",IFERROR(INDEX(catGrupo,MATCH(D2219,catNom,0))&amp;"",""))</f>
        <v/>
      </c>
      <c r="K2219" s="19">
        <f>IF(I2219="Gasto",IF(IFERROR(INDEX(catClas,MATCH(D2219,catNom,0))&amp;"","")="","Variable",IFERROR(INDEX(catClas,MATCH(D2219,catNom,0))&amp;"","")),"")</f>
        <v/>
      </c>
      <c r="L2219" s="19">
        <f>IF(I2219="","",IFERROR(INDEX(catAlim,MATCH(D2219,catNom,0))&amp;"",""))</f>
        <v/>
      </c>
      <c r="M2219" s="19">
        <f>IF(I2219="","",IFERROR(INDEX(catComida,MATCH(D2219,catNom,0))&amp;"",""))</f>
        <v/>
      </c>
      <c r="N2219" s="19">
        <f>IF(I2219="","",IFERROR(INDEX(ctaMon,MATCH(E2219,ctaNom,0))&amp;"","DOP"))</f>
        <v/>
      </c>
      <c r="O2219" s="20">
        <f>IF(I2219="","",C2219*IF(N2219="USD",TasaUSD,1))</f>
        <v/>
      </c>
      <c r="P2219" s="20">
        <f>IF(I2219="","",IF(I2219="Gasto",O2219,0))</f>
        <v/>
      </c>
      <c r="Q2219" s="20">
        <f>IF(I2219="","",IF(I2219="Ingreso",O2219,0))</f>
        <v/>
      </c>
      <c r="R2219" s="20">
        <f>IF(I2219="","",IF(I2219="Trading",O2219,0))</f>
        <v/>
      </c>
      <c r="S2219" s="19">
        <f>IF(I2219="","",IF(AND(I2219="Gasto",K2219="Variable",J2219&lt;&gt;"Trading",O2219&gt;0,O2219&lt;=Umbral),1,0))</f>
        <v/>
      </c>
      <c r="T2219" s="20">
        <f>IF(OR(I2219="",E2219=""),"",IF(OR(I2219="Gasto",I2219="Transferencia",I2219="Pago tarjeta"),-1,1)*C2219)</f>
        <v/>
      </c>
      <c r="U2219" s="20">
        <f>IF(OR(G2219="",AND(I2219&lt;&gt;"Transferencia",I2219&lt;&gt;"Pago tarjeta")),"",IF(IFERROR(INDEX(ctaMon,MATCH(G2219,ctaNom,0))&amp;"","DOP")=N2219,C2219,IF(N2219="USD",C2219*TasaUSD,C2219/TasaUSD)))</f>
        <v/>
      </c>
      <c r="V2219" s="20">
        <f>IF(I2219="","",IF(IFERROR(INDEX(ctaLiq,MATCH(E2219,ctaNom,0))="Sí",FALSE),IF(OR(I2219="Gasto",I2219="Transferencia",I2219="Pago tarjeta"),-1,1)*O2219,0)+IF(AND(U2219&lt;&gt;"",IFERROR(INDEX(ctaLiq,MATCH(G2219,ctaNom,0))="Sí",FALSE)),O2219,0))</f>
        <v/>
      </c>
      <c r="W2219" s="19">
        <f>IF(OR(F2219="",I2219=""),"",IF(COUNTIFS(F$6:F2219,F2219,I$6:I2219,"?*")=1,MAX(W$5:W2218)+1,""))</f>
        <v/>
      </c>
    </row>
    <row r="2220">
      <c r="B2220" s="15" t="n"/>
      <c r="C2220" s="16" t="n"/>
      <c r="D2220" s="17" t="n"/>
      <c r="E2220" s="17" t="n"/>
      <c r="F2220" s="17" t="n"/>
      <c r="G2220" s="17" t="n"/>
      <c r="H2220" s="18">
        <f>IF(AND(B2220="",C2220="",D2220="",E2220=""),"",IF(B2220="","⚠ Falta fecha",IF(C2220="","⚠ Falta monto",IF(D2220="","⚠ Falta categoría",IF(ISNA(MATCH(D2220,catNom,0)),"⚠ Categoría no existe",IF(E2220="","⚠ Falta cuenta",IF(ISNA(MATCH(E2220,ctaNom,0)),"⚠ Cuenta no existe",IF(AND(OR(I2220="Transferencia",I2220="Pago tarjeta"),G2220=""),"⚠ Indica la cuenta «Hacia»",IF(AND(G2220&lt;&gt;"",G2220=E2220),"⚠ «Hacia» igual a la cuenta",IF(AND(G2220&lt;&gt;"",ISNA(MATCH(G2220,ctaNom,0))),"⚠ «Hacia» no existe",IF(AND(I2220="Pago tarjeta",IFERROR(INDEX(ctaTipo,MATCH(G2220,ctaNom,0)),"")&lt;&gt;"Tarjeta de crédito"),"⚠ «Hacia» debe ser la tarjeta",IF(AND(I2220="Trading",IFERROR(INDEX(ctaTipo,MATCH(E2220,ctaNom,0)),"")&lt;&gt;"Cuenta de trading"),"⚠ Usa la cuenta de trading","✓"))))))))))))</f>
        <v/>
      </c>
      <c r="I2220" s="19">
        <f>IF(OR(B2220="",C2220="",D2220=""),"",IFERROR(INDEX(catTipo,MATCH(D2220,catNom,0))&amp;"",""))</f>
        <v/>
      </c>
      <c r="J2220" s="19">
        <f>IF(I2220="","",IFERROR(INDEX(catGrupo,MATCH(D2220,catNom,0))&amp;"",""))</f>
        <v/>
      </c>
      <c r="K2220" s="19">
        <f>IF(I2220="Gasto",IF(IFERROR(INDEX(catClas,MATCH(D2220,catNom,0))&amp;"","")="","Variable",IFERROR(INDEX(catClas,MATCH(D2220,catNom,0))&amp;"","")),"")</f>
        <v/>
      </c>
      <c r="L2220" s="19">
        <f>IF(I2220="","",IFERROR(INDEX(catAlim,MATCH(D2220,catNom,0))&amp;"",""))</f>
        <v/>
      </c>
      <c r="M2220" s="19">
        <f>IF(I2220="","",IFERROR(INDEX(catComida,MATCH(D2220,catNom,0))&amp;"",""))</f>
        <v/>
      </c>
      <c r="N2220" s="19">
        <f>IF(I2220="","",IFERROR(INDEX(ctaMon,MATCH(E2220,ctaNom,0))&amp;"","DOP"))</f>
        <v/>
      </c>
      <c r="O2220" s="20">
        <f>IF(I2220="","",C2220*IF(N2220="USD",TasaUSD,1))</f>
        <v/>
      </c>
      <c r="P2220" s="20">
        <f>IF(I2220="","",IF(I2220="Gasto",O2220,0))</f>
        <v/>
      </c>
      <c r="Q2220" s="20">
        <f>IF(I2220="","",IF(I2220="Ingreso",O2220,0))</f>
        <v/>
      </c>
      <c r="R2220" s="20">
        <f>IF(I2220="","",IF(I2220="Trading",O2220,0))</f>
        <v/>
      </c>
      <c r="S2220" s="19">
        <f>IF(I2220="","",IF(AND(I2220="Gasto",K2220="Variable",J2220&lt;&gt;"Trading",O2220&gt;0,O2220&lt;=Umbral),1,0))</f>
        <v/>
      </c>
      <c r="T2220" s="20">
        <f>IF(OR(I2220="",E2220=""),"",IF(OR(I2220="Gasto",I2220="Transferencia",I2220="Pago tarjeta"),-1,1)*C2220)</f>
        <v/>
      </c>
      <c r="U2220" s="20">
        <f>IF(OR(G2220="",AND(I2220&lt;&gt;"Transferencia",I2220&lt;&gt;"Pago tarjeta")),"",IF(IFERROR(INDEX(ctaMon,MATCH(G2220,ctaNom,0))&amp;"","DOP")=N2220,C2220,IF(N2220="USD",C2220*TasaUSD,C2220/TasaUSD)))</f>
        <v/>
      </c>
      <c r="V2220" s="20">
        <f>IF(I2220="","",IF(IFERROR(INDEX(ctaLiq,MATCH(E2220,ctaNom,0))="Sí",FALSE),IF(OR(I2220="Gasto",I2220="Transferencia",I2220="Pago tarjeta"),-1,1)*O2220,0)+IF(AND(U2220&lt;&gt;"",IFERROR(INDEX(ctaLiq,MATCH(G2220,ctaNom,0))="Sí",FALSE)),O2220,0))</f>
        <v/>
      </c>
      <c r="W2220" s="19">
        <f>IF(OR(F2220="",I2220=""),"",IF(COUNTIFS(F$6:F2220,F2220,I$6:I2220,"?*")=1,MAX(W$5:W2219)+1,""))</f>
        <v/>
      </c>
    </row>
    <row r="2221">
      <c r="B2221" s="15" t="n"/>
      <c r="C2221" s="16" t="n"/>
      <c r="D2221" s="17" t="n"/>
      <c r="E2221" s="17" t="n"/>
      <c r="F2221" s="17" t="n"/>
      <c r="G2221" s="17" t="n"/>
      <c r="H2221" s="18">
        <f>IF(AND(B2221="",C2221="",D2221="",E2221=""),"",IF(B2221="","⚠ Falta fecha",IF(C2221="","⚠ Falta monto",IF(D2221="","⚠ Falta categoría",IF(ISNA(MATCH(D2221,catNom,0)),"⚠ Categoría no existe",IF(E2221="","⚠ Falta cuenta",IF(ISNA(MATCH(E2221,ctaNom,0)),"⚠ Cuenta no existe",IF(AND(OR(I2221="Transferencia",I2221="Pago tarjeta"),G2221=""),"⚠ Indica la cuenta «Hacia»",IF(AND(G2221&lt;&gt;"",G2221=E2221),"⚠ «Hacia» igual a la cuenta",IF(AND(G2221&lt;&gt;"",ISNA(MATCH(G2221,ctaNom,0))),"⚠ «Hacia» no existe",IF(AND(I2221="Pago tarjeta",IFERROR(INDEX(ctaTipo,MATCH(G2221,ctaNom,0)),"")&lt;&gt;"Tarjeta de crédito"),"⚠ «Hacia» debe ser la tarjeta",IF(AND(I2221="Trading",IFERROR(INDEX(ctaTipo,MATCH(E2221,ctaNom,0)),"")&lt;&gt;"Cuenta de trading"),"⚠ Usa la cuenta de trading","✓"))))))))))))</f>
        <v/>
      </c>
      <c r="I2221" s="19">
        <f>IF(OR(B2221="",C2221="",D2221=""),"",IFERROR(INDEX(catTipo,MATCH(D2221,catNom,0))&amp;"",""))</f>
        <v/>
      </c>
      <c r="J2221" s="19">
        <f>IF(I2221="","",IFERROR(INDEX(catGrupo,MATCH(D2221,catNom,0))&amp;"",""))</f>
        <v/>
      </c>
      <c r="K2221" s="19">
        <f>IF(I2221="Gasto",IF(IFERROR(INDEX(catClas,MATCH(D2221,catNom,0))&amp;"","")="","Variable",IFERROR(INDEX(catClas,MATCH(D2221,catNom,0))&amp;"","")),"")</f>
        <v/>
      </c>
      <c r="L2221" s="19">
        <f>IF(I2221="","",IFERROR(INDEX(catAlim,MATCH(D2221,catNom,0))&amp;"",""))</f>
        <v/>
      </c>
      <c r="M2221" s="19">
        <f>IF(I2221="","",IFERROR(INDEX(catComida,MATCH(D2221,catNom,0))&amp;"",""))</f>
        <v/>
      </c>
      <c r="N2221" s="19">
        <f>IF(I2221="","",IFERROR(INDEX(ctaMon,MATCH(E2221,ctaNom,0))&amp;"","DOP"))</f>
        <v/>
      </c>
      <c r="O2221" s="20">
        <f>IF(I2221="","",C2221*IF(N2221="USD",TasaUSD,1))</f>
        <v/>
      </c>
      <c r="P2221" s="20">
        <f>IF(I2221="","",IF(I2221="Gasto",O2221,0))</f>
        <v/>
      </c>
      <c r="Q2221" s="20">
        <f>IF(I2221="","",IF(I2221="Ingreso",O2221,0))</f>
        <v/>
      </c>
      <c r="R2221" s="20">
        <f>IF(I2221="","",IF(I2221="Trading",O2221,0))</f>
        <v/>
      </c>
      <c r="S2221" s="19">
        <f>IF(I2221="","",IF(AND(I2221="Gasto",K2221="Variable",J2221&lt;&gt;"Trading",O2221&gt;0,O2221&lt;=Umbral),1,0))</f>
        <v/>
      </c>
      <c r="T2221" s="20">
        <f>IF(OR(I2221="",E2221=""),"",IF(OR(I2221="Gasto",I2221="Transferencia",I2221="Pago tarjeta"),-1,1)*C2221)</f>
        <v/>
      </c>
      <c r="U2221" s="20">
        <f>IF(OR(G2221="",AND(I2221&lt;&gt;"Transferencia",I2221&lt;&gt;"Pago tarjeta")),"",IF(IFERROR(INDEX(ctaMon,MATCH(G2221,ctaNom,0))&amp;"","DOP")=N2221,C2221,IF(N2221="USD",C2221*TasaUSD,C2221/TasaUSD)))</f>
        <v/>
      </c>
      <c r="V2221" s="20">
        <f>IF(I2221="","",IF(IFERROR(INDEX(ctaLiq,MATCH(E2221,ctaNom,0))="Sí",FALSE),IF(OR(I2221="Gasto",I2221="Transferencia",I2221="Pago tarjeta"),-1,1)*O2221,0)+IF(AND(U2221&lt;&gt;"",IFERROR(INDEX(ctaLiq,MATCH(G2221,ctaNom,0))="Sí",FALSE)),O2221,0))</f>
        <v/>
      </c>
      <c r="W2221" s="19">
        <f>IF(OR(F2221="",I2221=""),"",IF(COUNTIFS(F$6:F2221,F2221,I$6:I2221,"?*")=1,MAX(W$5:W2220)+1,""))</f>
        <v/>
      </c>
    </row>
    <row r="2222">
      <c r="B2222" s="15" t="n"/>
      <c r="C2222" s="16" t="n"/>
      <c r="D2222" s="17" t="n"/>
      <c r="E2222" s="17" t="n"/>
      <c r="F2222" s="17" t="n"/>
      <c r="G2222" s="17" t="n"/>
      <c r="H2222" s="18">
        <f>IF(AND(B2222="",C2222="",D2222="",E2222=""),"",IF(B2222="","⚠ Falta fecha",IF(C2222="","⚠ Falta monto",IF(D2222="","⚠ Falta categoría",IF(ISNA(MATCH(D2222,catNom,0)),"⚠ Categoría no existe",IF(E2222="","⚠ Falta cuenta",IF(ISNA(MATCH(E2222,ctaNom,0)),"⚠ Cuenta no existe",IF(AND(OR(I2222="Transferencia",I2222="Pago tarjeta"),G2222=""),"⚠ Indica la cuenta «Hacia»",IF(AND(G2222&lt;&gt;"",G2222=E2222),"⚠ «Hacia» igual a la cuenta",IF(AND(G2222&lt;&gt;"",ISNA(MATCH(G2222,ctaNom,0))),"⚠ «Hacia» no existe",IF(AND(I2222="Pago tarjeta",IFERROR(INDEX(ctaTipo,MATCH(G2222,ctaNom,0)),"")&lt;&gt;"Tarjeta de crédito"),"⚠ «Hacia» debe ser la tarjeta",IF(AND(I2222="Trading",IFERROR(INDEX(ctaTipo,MATCH(E2222,ctaNom,0)),"")&lt;&gt;"Cuenta de trading"),"⚠ Usa la cuenta de trading","✓"))))))))))))</f>
        <v/>
      </c>
      <c r="I2222" s="19">
        <f>IF(OR(B2222="",C2222="",D2222=""),"",IFERROR(INDEX(catTipo,MATCH(D2222,catNom,0))&amp;"",""))</f>
        <v/>
      </c>
      <c r="J2222" s="19">
        <f>IF(I2222="","",IFERROR(INDEX(catGrupo,MATCH(D2222,catNom,0))&amp;"",""))</f>
        <v/>
      </c>
      <c r="K2222" s="19">
        <f>IF(I2222="Gasto",IF(IFERROR(INDEX(catClas,MATCH(D2222,catNom,0))&amp;"","")="","Variable",IFERROR(INDEX(catClas,MATCH(D2222,catNom,0))&amp;"","")),"")</f>
        <v/>
      </c>
      <c r="L2222" s="19">
        <f>IF(I2222="","",IFERROR(INDEX(catAlim,MATCH(D2222,catNom,0))&amp;"",""))</f>
        <v/>
      </c>
      <c r="M2222" s="19">
        <f>IF(I2222="","",IFERROR(INDEX(catComida,MATCH(D2222,catNom,0))&amp;"",""))</f>
        <v/>
      </c>
      <c r="N2222" s="19">
        <f>IF(I2222="","",IFERROR(INDEX(ctaMon,MATCH(E2222,ctaNom,0))&amp;"","DOP"))</f>
        <v/>
      </c>
      <c r="O2222" s="20">
        <f>IF(I2222="","",C2222*IF(N2222="USD",TasaUSD,1))</f>
        <v/>
      </c>
      <c r="P2222" s="20">
        <f>IF(I2222="","",IF(I2222="Gasto",O2222,0))</f>
        <v/>
      </c>
      <c r="Q2222" s="20">
        <f>IF(I2222="","",IF(I2222="Ingreso",O2222,0))</f>
        <v/>
      </c>
      <c r="R2222" s="20">
        <f>IF(I2222="","",IF(I2222="Trading",O2222,0))</f>
        <v/>
      </c>
      <c r="S2222" s="19">
        <f>IF(I2222="","",IF(AND(I2222="Gasto",K2222="Variable",J2222&lt;&gt;"Trading",O2222&gt;0,O2222&lt;=Umbral),1,0))</f>
        <v/>
      </c>
      <c r="T2222" s="20">
        <f>IF(OR(I2222="",E2222=""),"",IF(OR(I2222="Gasto",I2222="Transferencia",I2222="Pago tarjeta"),-1,1)*C2222)</f>
        <v/>
      </c>
      <c r="U2222" s="20">
        <f>IF(OR(G2222="",AND(I2222&lt;&gt;"Transferencia",I2222&lt;&gt;"Pago tarjeta")),"",IF(IFERROR(INDEX(ctaMon,MATCH(G2222,ctaNom,0))&amp;"","DOP")=N2222,C2222,IF(N2222="USD",C2222*TasaUSD,C2222/TasaUSD)))</f>
        <v/>
      </c>
      <c r="V2222" s="20">
        <f>IF(I2222="","",IF(IFERROR(INDEX(ctaLiq,MATCH(E2222,ctaNom,0))="Sí",FALSE),IF(OR(I2222="Gasto",I2222="Transferencia",I2222="Pago tarjeta"),-1,1)*O2222,0)+IF(AND(U2222&lt;&gt;"",IFERROR(INDEX(ctaLiq,MATCH(G2222,ctaNom,0))="Sí",FALSE)),O2222,0))</f>
        <v/>
      </c>
      <c r="W2222" s="19">
        <f>IF(OR(F2222="",I2222=""),"",IF(COUNTIFS(F$6:F2222,F2222,I$6:I2222,"?*")=1,MAX(W$5:W2221)+1,""))</f>
        <v/>
      </c>
    </row>
    <row r="2223">
      <c r="B2223" s="15" t="n"/>
      <c r="C2223" s="16" t="n"/>
      <c r="D2223" s="17" t="n"/>
      <c r="E2223" s="17" t="n"/>
      <c r="F2223" s="17" t="n"/>
      <c r="G2223" s="17" t="n"/>
      <c r="H2223" s="18">
        <f>IF(AND(B2223="",C2223="",D2223="",E2223=""),"",IF(B2223="","⚠ Falta fecha",IF(C2223="","⚠ Falta monto",IF(D2223="","⚠ Falta categoría",IF(ISNA(MATCH(D2223,catNom,0)),"⚠ Categoría no existe",IF(E2223="","⚠ Falta cuenta",IF(ISNA(MATCH(E2223,ctaNom,0)),"⚠ Cuenta no existe",IF(AND(OR(I2223="Transferencia",I2223="Pago tarjeta"),G2223=""),"⚠ Indica la cuenta «Hacia»",IF(AND(G2223&lt;&gt;"",G2223=E2223),"⚠ «Hacia» igual a la cuenta",IF(AND(G2223&lt;&gt;"",ISNA(MATCH(G2223,ctaNom,0))),"⚠ «Hacia» no existe",IF(AND(I2223="Pago tarjeta",IFERROR(INDEX(ctaTipo,MATCH(G2223,ctaNom,0)),"")&lt;&gt;"Tarjeta de crédito"),"⚠ «Hacia» debe ser la tarjeta",IF(AND(I2223="Trading",IFERROR(INDEX(ctaTipo,MATCH(E2223,ctaNom,0)),"")&lt;&gt;"Cuenta de trading"),"⚠ Usa la cuenta de trading","✓"))))))))))))</f>
        <v/>
      </c>
      <c r="I2223" s="19">
        <f>IF(OR(B2223="",C2223="",D2223=""),"",IFERROR(INDEX(catTipo,MATCH(D2223,catNom,0))&amp;"",""))</f>
        <v/>
      </c>
      <c r="J2223" s="19">
        <f>IF(I2223="","",IFERROR(INDEX(catGrupo,MATCH(D2223,catNom,0))&amp;"",""))</f>
        <v/>
      </c>
      <c r="K2223" s="19">
        <f>IF(I2223="Gasto",IF(IFERROR(INDEX(catClas,MATCH(D2223,catNom,0))&amp;"","")="","Variable",IFERROR(INDEX(catClas,MATCH(D2223,catNom,0))&amp;"","")),"")</f>
        <v/>
      </c>
      <c r="L2223" s="19">
        <f>IF(I2223="","",IFERROR(INDEX(catAlim,MATCH(D2223,catNom,0))&amp;"",""))</f>
        <v/>
      </c>
      <c r="M2223" s="19">
        <f>IF(I2223="","",IFERROR(INDEX(catComida,MATCH(D2223,catNom,0))&amp;"",""))</f>
        <v/>
      </c>
      <c r="N2223" s="19">
        <f>IF(I2223="","",IFERROR(INDEX(ctaMon,MATCH(E2223,ctaNom,0))&amp;"","DOP"))</f>
        <v/>
      </c>
      <c r="O2223" s="20">
        <f>IF(I2223="","",C2223*IF(N2223="USD",TasaUSD,1))</f>
        <v/>
      </c>
      <c r="P2223" s="20">
        <f>IF(I2223="","",IF(I2223="Gasto",O2223,0))</f>
        <v/>
      </c>
      <c r="Q2223" s="20">
        <f>IF(I2223="","",IF(I2223="Ingreso",O2223,0))</f>
        <v/>
      </c>
      <c r="R2223" s="20">
        <f>IF(I2223="","",IF(I2223="Trading",O2223,0))</f>
        <v/>
      </c>
      <c r="S2223" s="19">
        <f>IF(I2223="","",IF(AND(I2223="Gasto",K2223="Variable",J2223&lt;&gt;"Trading",O2223&gt;0,O2223&lt;=Umbral),1,0))</f>
        <v/>
      </c>
      <c r="T2223" s="20">
        <f>IF(OR(I2223="",E2223=""),"",IF(OR(I2223="Gasto",I2223="Transferencia",I2223="Pago tarjeta"),-1,1)*C2223)</f>
        <v/>
      </c>
      <c r="U2223" s="20">
        <f>IF(OR(G2223="",AND(I2223&lt;&gt;"Transferencia",I2223&lt;&gt;"Pago tarjeta")),"",IF(IFERROR(INDEX(ctaMon,MATCH(G2223,ctaNom,0))&amp;"","DOP")=N2223,C2223,IF(N2223="USD",C2223*TasaUSD,C2223/TasaUSD)))</f>
        <v/>
      </c>
      <c r="V2223" s="20">
        <f>IF(I2223="","",IF(IFERROR(INDEX(ctaLiq,MATCH(E2223,ctaNom,0))="Sí",FALSE),IF(OR(I2223="Gasto",I2223="Transferencia",I2223="Pago tarjeta"),-1,1)*O2223,0)+IF(AND(U2223&lt;&gt;"",IFERROR(INDEX(ctaLiq,MATCH(G2223,ctaNom,0))="Sí",FALSE)),O2223,0))</f>
        <v/>
      </c>
      <c r="W2223" s="19">
        <f>IF(OR(F2223="",I2223=""),"",IF(COUNTIFS(F$6:F2223,F2223,I$6:I2223,"?*")=1,MAX(W$5:W2222)+1,""))</f>
        <v/>
      </c>
    </row>
    <row r="2224">
      <c r="B2224" s="15" t="n"/>
      <c r="C2224" s="16" t="n"/>
      <c r="D2224" s="17" t="n"/>
      <c r="E2224" s="17" t="n"/>
      <c r="F2224" s="17" t="n"/>
      <c r="G2224" s="17" t="n"/>
      <c r="H2224" s="18">
        <f>IF(AND(B2224="",C2224="",D2224="",E2224=""),"",IF(B2224="","⚠ Falta fecha",IF(C2224="","⚠ Falta monto",IF(D2224="","⚠ Falta categoría",IF(ISNA(MATCH(D2224,catNom,0)),"⚠ Categoría no existe",IF(E2224="","⚠ Falta cuenta",IF(ISNA(MATCH(E2224,ctaNom,0)),"⚠ Cuenta no existe",IF(AND(OR(I2224="Transferencia",I2224="Pago tarjeta"),G2224=""),"⚠ Indica la cuenta «Hacia»",IF(AND(G2224&lt;&gt;"",G2224=E2224),"⚠ «Hacia» igual a la cuenta",IF(AND(G2224&lt;&gt;"",ISNA(MATCH(G2224,ctaNom,0))),"⚠ «Hacia» no existe",IF(AND(I2224="Pago tarjeta",IFERROR(INDEX(ctaTipo,MATCH(G2224,ctaNom,0)),"")&lt;&gt;"Tarjeta de crédito"),"⚠ «Hacia» debe ser la tarjeta",IF(AND(I2224="Trading",IFERROR(INDEX(ctaTipo,MATCH(E2224,ctaNom,0)),"")&lt;&gt;"Cuenta de trading"),"⚠ Usa la cuenta de trading","✓"))))))))))))</f>
        <v/>
      </c>
      <c r="I2224" s="19">
        <f>IF(OR(B2224="",C2224="",D2224=""),"",IFERROR(INDEX(catTipo,MATCH(D2224,catNom,0))&amp;"",""))</f>
        <v/>
      </c>
      <c r="J2224" s="19">
        <f>IF(I2224="","",IFERROR(INDEX(catGrupo,MATCH(D2224,catNom,0))&amp;"",""))</f>
        <v/>
      </c>
      <c r="K2224" s="19">
        <f>IF(I2224="Gasto",IF(IFERROR(INDEX(catClas,MATCH(D2224,catNom,0))&amp;"","")="","Variable",IFERROR(INDEX(catClas,MATCH(D2224,catNom,0))&amp;"","")),"")</f>
        <v/>
      </c>
      <c r="L2224" s="19">
        <f>IF(I2224="","",IFERROR(INDEX(catAlim,MATCH(D2224,catNom,0))&amp;"",""))</f>
        <v/>
      </c>
      <c r="M2224" s="19">
        <f>IF(I2224="","",IFERROR(INDEX(catComida,MATCH(D2224,catNom,0))&amp;"",""))</f>
        <v/>
      </c>
      <c r="N2224" s="19">
        <f>IF(I2224="","",IFERROR(INDEX(ctaMon,MATCH(E2224,ctaNom,0))&amp;"","DOP"))</f>
        <v/>
      </c>
      <c r="O2224" s="20">
        <f>IF(I2224="","",C2224*IF(N2224="USD",TasaUSD,1))</f>
        <v/>
      </c>
      <c r="P2224" s="20">
        <f>IF(I2224="","",IF(I2224="Gasto",O2224,0))</f>
        <v/>
      </c>
      <c r="Q2224" s="20">
        <f>IF(I2224="","",IF(I2224="Ingreso",O2224,0))</f>
        <v/>
      </c>
      <c r="R2224" s="20">
        <f>IF(I2224="","",IF(I2224="Trading",O2224,0))</f>
        <v/>
      </c>
      <c r="S2224" s="19">
        <f>IF(I2224="","",IF(AND(I2224="Gasto",K2224="Variable",J2224&lt;&gt;"Trading",O2224&gt;0,O2224&lt;=Umbral),1,0))</f>
        <v/>
      </c>
      <c r="T2224" s="20">
        <f>IF(OR(I2224="",E2224=""),"",IF(OR(I2224="Gasto",I2224="Transferencia",I2224="Pago tarjeta"),-1,1)*C2224)</f>
        <v/>
      </c>
      <c r="U2224" s="20">
        <f>IF(OR(G2224="",AND(I2224&lt;&gt;"Transferencia",I2224&lt;&gt;"Pago tarjeta")),"",IF(IFERROR(INDEX(ctaMon,MATCH(G2224,ctaNom,0))&amp;"","DOP")=N2224,C2224,IF(N2224="USD",C2224*TasaUSD,C2224/TasaUSD)))</f>
        <v/>
      </c>
      <c r="V2224" s="20">
        <f>IF(I2224="","",IF(IFERROR(INDEX(ctaLiq,MATCH(E2224,ctaNom,0))="Sí",FALSE),IF(OR(I2224="Gasto",I2224="Transferencia",I2224="Pago tarjeta"),-1,1)*O2224,0)+IF(AND(U2224&lt;&gt;"",IFERROR(INDEX(ctaLiq,MATCH(G2224,ctaNom,0))="Sí",FALSE)),O2224,0))</f>
        <v/>
      </c>
      <c r="W2224" s="19">
        <f>IF(OR(F2224="",I2224=""),"",IF(COUNTIFS(F$6:F2224,F2224,I$6:I2224,"?*")=1,MAX(W$5:W2223)+1,""))</f>
        <v/>
      </c>
    </row>
    <row r="2225">
      <c r="B2225" s="15" t="n"/>
      <c r="C2225" s="16" t="n"/>
      <c r="D2225" s="17" t="n"/>
      <c r="E2225" s="17" t="n"/>
      <c r="F2225" s="17" t="n"/>
      <c r="G2225" s="17" t="n"/>
      <c r="H2225" s="18">
        <f>IF(AND(B2225="",C2225="",D2225="",E2225=""),"",IF(B2225="","⚠ Falta fecha",IF(C2225="","⚠ Falta monto",IF(D2225="","⚠ Falta categoría",IF(ISNA(MATCH(D2225,catNom,0)),"⚠ Categoría no existe",IF(E2225="","⚠ Falta cuenta",IF(ISNA(MATCH(E2225,ctaNom,0)),"⚠ Cuenta no existe",IF(AND(OR(I2225="Transferencia",I2225="Pago tarjeta"),G2225=""),"⚠ Indica la cuenta «Hacia»",IF(AND(G2225&lt;&gt;"",G2225=E2225),"⚠ «Hacia» igual a la cuenta",IF(AND(G2225&lt;&gt;"",ISNA(MATCH(G2225,ctaNom,0))),"⚠ «Hacia» no existe",IF(AND(I2225="Pago tarjeta",IFERROR(INDEX(ctaTipo,MATCH(G2225,ctaNom,0)),"")&lt;&gt;"Tarjeta de crédito"),"⚠ «Hacia» debe ser la tarjeta",IF(AND(I2225="Trading",IFERROR(INDEX(ctaTipo,MATCH(E2225,ctaNom,0)),"")&lt;&gt;"Cuenta de trading"),"⚠ Usa la cuenta de trading","✓"))))))))))))</f>
        <v/>
      </c>
      <c r="I2225" s="19">
        <f>IF(OR(B2225="",C2225="",D2225=""),"",IFERROR(INDEX(catTipo,MATCH(D2225,catNom,0))&amp;"",""))</f>
        <v/>
      </c>
      <c r="J2225" s="19">
        <f>IF(I2225="","",IFERROR(INDEX(catGrupo,MATCH(D2225,catNom,0))&amp;"",""))</f>
        <v/>
      </c>
      <c r="K2225" s="19">
        <f>IF(I2225="Gasto",IF(IFERROR(INDEX(catClas,MATCH(D2225,catNom,0))&amp;"","")="","Variable",IFERROR(INDEX(catClas,MATCH(D2225,catNom,0))&amp;"","")),"")</f>
        <v/>
      </c>
      <c r="L2225" s="19">
        <f>IF(I2225="","",IFERROR(INDEX(catAlim,MATCH(D2225,catNom,0))&amp;"",""))</f>
        <v/>
      </c>
      <c r="M2225" s="19">
        <f>IF(I2225="","",IFERROR(INDEX(catComida,MATCH(D2225,catNom,0))&amp;"",""))</f>
        <v/>
      </c>
      <c r="N2225" s="19">
        <f>IF(I2225="","",IFERROR(INDEX(ctaMon,MATCH(E2225,ctaNom,0))&amp;"","DOP"))</f>
        <v/>
      </c>
      <c r="O2225" s="20">
        <f>IF(I2225="","",C2225*IF(N2225="USD",TasaUSD,1))</f>
        <v/>
      </c>
      <c r="P2225" s="20">
        <f>IF(I2225="","",IF(I2225="Gasto",O2225,0))</f>
        <v/>
      </c>
      <c r="Q2225" s="20">
        <f>IF(I2225="","",IF(I2225="Ingreso",O2225,0))</f>
        <v/>
      </c>
      <c r="R2225" s="20">
        <f>IF(I2225="","",IF(I2225="Trading",O2225,0))</f>
        <v/>
      </c>
      <c r="S2225" s="19">
        <f>IF(I2225="","",IF(AND(I2225="Gasto",K2225="Variable",J2225&lt;&gt;"Trading",O2225&gt;0,O2225&lt;=Umbral),1,0))</f>
        <v/>
      </c>
      <c r="T2225" s="20">
        <f>IF(OR(I2225="",E2225=""),"",IF(OR(I2225="Gasto",I2225="Transferencia",I2225="Pago tarjeta"),-1,1)*C2225)</f>
        <v/>
      </c>
      <c r="U2225" s="20">
        <f>IF(OR(G2225="",AND(I2225&lt;&gt;"Transferencia",I2225&lt;&gt;"Pago tarjeta")),"",IF(IFERROR(INDEX(ctaMon,MATCH(G2225,ctaNom,0))&amp;"","DOP")=N2225,C2225,IF(N2225="USD",C2225*TasaUSD,C2225/TasaUSD)))</f>
        <v/>
      </c>
      <c r="V2225" s="20">
        <f>IF(I2225="","",IF(IFERROR(INDEX(ctaLiq,MATCH(E2225,ctaNom,0))="Sí",FALSE),IF(OR(I2225="Gasto",I2225="Transferencia",I2225="Pago tarjeta"),-1,1)*O2225,0)+IF(AND(U2225&lt;&gt;"",IFERROR(INDEX(ctaLiq,MATCH(G2225,ctaNom,0))="Sí",FALSE)),O2225,0))</f>
        <v/>
      </c>
      <c r="W2225" s="19">
        <f>IF(OR(F2225="",I2225=""),"",IF(COUNTIFS(F$6:F2225,F2225,I$6:I2225,"?*")=1,MAX(W$5:W2224)+1,""))</f>
        <v/>
      </c>
    </row>
    <row r="2226">
      <c r="B2226" s="15" t="n"/>
      <c r="C2226" s="16" t="n"/>
      <c r="D2226" s="17" t="n"/>
      <c r="E2226" s="17" t="n"/>
      <c r="F2226" s="17" t="n"/>
      <c r="G2226" s="17" t="n"/>
      <c r="H2226" s="18">
        <f>IF(AND(B2226="",C2226="",D2226="",E2226=""),"",IF(B2226="","⚠ Falta fecha",IF(C2226="","⚠ Falta monto",IF(D2226="","⚠ Falta categoría",IF(ISNA(MATCH(D2226,catNom,0)),"⚠ Categoría no existe",IF(E2226="","⚠ Falta cuenta",IF(ISNA(MATCH(E2226,ctaNom,0)),"⚠ Cuenta no existe",IF(AND(OR(I2226="Transferencia",I2226="Pago tarjeta"),G2226=""),"⚠ Indica la cuenta «Hacia»",IF(AND(G2226&lt;&gt;"",G2226=E2226),"⚠ «Hacia» igual a la cuenta",IF(AND(G2226&lt;&gt;"",ISNA(MATCH(G2226,ctaNom,0))),"⚠ «Hacia» no existe",IF(AND(I2226="Pago tarjeta",IFERROR(INDEX(ctaTipo,MATCH(G2226,ctaNom,0)),"")&lt;&gt;"Tarjeta de crédito"),"⚠ «Hacia» debe ser la tarjeta",IF(AND(I2226="Trading",IFERROR(INDEX(ctaTipo,MATCH(E2226,ctaNom,0)),"")&lt;&gt;"Cuenta de trading"),"⚠ Usa la cuenta de trading","✓"))))))))))))</f>
        <v/>
      </c>
      <c r="I2226" s="19">
        <f>IF(OR(B2226="",C2226="",D2226=""),"",IFERROR(INDEX(catTipo,MATCH(D2226,catNom,0))&amp;"",""))</f>
        <v/>
      </c>
      <c r="J2226" s="19">
        <f>IF(I2226="","",IFERROR(INDEX(catGrupo,MATCH(D2226,catNom,0))&amp;"",""))</f>
        <v/>
      </c>
      <c r="K2226" s="19">
        <f>IF(I2226="Gasto",IF(IFERROR(INDEX(catClas,MATCH(D2226,catNom,0))&amp;"","")="","Variable",IFERROR(INDEX(catClas,MATCH(D2226,catNom,0))&amp;"","")),"")</f>
        <v/>
      </c>
      <c r="L2226" s="19">
        <f>IF(I2226="","",IFERROR(INDEX(catAlim,MATCH(D2226,catNom,0))&amp;"",""))</f>
        <v/>
      </c>
      <c r="M2226" s="19">
        <f>IF(I2226="","",IFERROR(INDEX(catComida,MATCH(D2226,catNom,0))&amp;"",""))</f>
        <v/>
      </c>
      <c r="N2226" s="19">
        <f>IF(I2226="","",IFERROR(INDEX(ctaMon,MATCH(E2226,ctaNom,0))&amp;"","DOP"))</f>
        <v/>
      </c>
      <c r="O2226" s="20">
        <f>IF(I2226="","",C2226*IF(N2226="USD",TasaUSD,1))</f>
        <v/>
      </c>
      <c r="P2226" s="20">
        <f>IF(I2226="","",IF(I2226="Gasto",O2226,0))</f>
        <v/>
      </c>
      <c r="Q2226" s="20">
        <f>IF(I2226="","",IF(I2226="Ingreso",O2226,0))</f>
        <v/>
      </c>
      <c r="R2226" s="20">
        <f>IF(I2226="","",IF(I2226="Trading",O2226,0))</f>
        <v/>
      </c>
      <c r="S2226" s="19">
        <f>IF(I2226="","",IF(AND(I2226="Gasto",K2226="Variable",J2226&lt;&gt;"Trading",O2226&gt;0,O2226&lt;=Umbral),1,0))</f>
        <v/>
      </c>
      <c r="T2226" s="20">
        <f>IF(OR(I2226="",E2226=""),"",IF(OR(I2226="Gasto",I2226="Transferencia",I2226="Pago tarjeta"),-1,1)*C2226)</f>
        <v/>
      </c>
      <c r="U2226" s="20">
        <f>IF(OR(G2226="",AND(I2226&lt;&gt;"Transferencia",I2226&lt;&gt;"Pago tarjeta")),"",IF(IFERROR(INDEX(ctaMon,MATCH(G2226,ctaNom,0))&amp;"","DOP")=N2226,C2226,IF(N2226="USD",C2226*TasaUSD,C2226/TasaUSD)))</f>
        <v/>
      </c>
      <c r="V2226" s="20">
        <f>IF(I2226="","",IF(IFERROR(INDEX(ctaLiq,MATCH(E2226,ctaNom,0))="Sí",FALSE),IF(OR(I2226="Gasto",I2226="Transferencia",I2226="Pago tarjeta"),-1,1)*O2226,0)+IF(AND(U2226&lt;&gt;"",IFERROR(INDEX(ctaLiq,MATCH(G2226,ctaNom,0))="Sí",FALSE)),O2226,0))</f>
        <v/>
      </c>
      <c r="W2226" s="19">
        <f>IF(OR(F2226="",I2226=""),"",IF(COUNTIFS(F$6:F2226,F2226,I$6:I2226,"?*")=1,MAX(W$5:W2225)+1,""))</f>
        <v/>
      </c>
    </row>
    <row r="2227">
      <c r="B2227" s="15" t="n"/>
      <c r="C2227" s="16" t="n"/>
      <c r="D2227" s="17" t="n"/>
      <c r="E2227" s="17" t="n"/>
      <c r="F2227" s="17" t="n"/>
      <c r="G2227" s="17" t="n"/>
      <c r="H2227" s="18">
        <f>IF(AND(B2227="",C2227="",D2227="",E2227=""),"",IF(B2227="","⚠ Falta fecha",IF(C2227="","⚠ Falta monto",IF(D2227="","⚠ Falta categoría",IF(ISNA(MATCH(D2227,catNom,0)),"⚠ Categoría no existe",IF(E2227="","⚠ Falta cuenta",IF(ISNA(MATCH(E2227,ctaNom,0)),"⚠ Cuenta no existe",IF(AND(OR(I2227="Transferencia",I2227="Pago tarjeta"),G2227=""),"⚠ Indica la cuenta «Hacia»",IF(AND(G2227&lt;&gt;"",G2227=E2227),"⚠ «Hacia» igual a la cuenta",IF(AND(G2227&lt;&gt;"",ISNA(MATCH(G2227,ctaNom,0))),"⚠ «Hacia» no existe",IF(AND(I2227="Pago tarjeta",IFERROR(INDEX(ctaTipo,MATCH(G2227,ctaNom,0)),"")&lt;&gt;"Tarjeta de crédito"),"⚠ «Hacia» debe ser la tarjeta",IF(AND(I2227="Trading",IFERROR(INDEX(ctaTipo,MATCH(E2227,ctaNom,0)),"")&lt;&gt;"Cuenta de trading"),"⚠ Usa la cuenta de trading","✓"))))))))))))</f>
        <v/>
      </c>
      <c r="I2227" s="19">
        <f>IF(OR(B2227="",C2227="",D2227=""),"",IFERROR(INDEX(catTipo,MATCH(D2227,catNom,0))&amp;"",""))</f>
        <v/>
      </c>
      <c r="J2227" s="19">
        <f>IF(I2227="","",IFERROR(INDEX(catGrupo,MATCH(D2227,catNom,0))&amp;"",""))</f>
        <v/>
      </c>
      <c r="K2227" s="19">
        <f>IF(I2227="Gasto",IF(IFERROR(INDEX(catClas,MATCH(D2227,catNom,0))&amp;"","")="","Variable",IFERROR(INDEX(catClas,MATCH(D2227,catNom,0))&amp;"","")),"")</f>
        <v/>
      </c>
      <c r="L2227" s="19">
        <f>IF(I2227="","",IFERROR(INDEX(catAlim,MATCH(D2227,catNom,0))&amp;"",""))</f>
        <v/>
      </c>
      <c r="M2227" s="19">
        <f>IF(I2227="","",IFERROR(INDEX(catComida,MATCH(D2227,catNom,0))&amp;"",""))</f>
        <v/>
      </c>
      <c r="N2227" s="19">
        <f>IF(I2227="","",IFERROR(INDEX(ctaMon,MATCH(E2227,ctaNom,0))&amp;"","DOP"))</f>
        <v/>
      </c>
      <c r="O2227" s="20">
        <f>IF(I2227="","",C2227*IF(N2227="USD",TasaUSD,1))</f>
        <v/>
      </c>
      <c r="P2227" s="20">
        <f>IF(I2227="","",IF(I2227="Gasto",O2227,0))</f>
        <v/>
      </c>
      <c r="Q2227" s="20">
        <f>IF(I2227="","",IF(I2227="Ingreso",O2227,0))</f>
        <v/>
      </c>
      <c r="R2227" s="20">
        <f>IF(I2227="","",IF(I2227="Trading",O2227,0))</f>
        <v/>
      </c>
      <c r="S2227" s="19">
        <f>IF(I2227="","",IF(AND(I2227="Gasto",K2227="Variable",J2227&lt;&gt;"Trading",O2227&gt;0,O2227&lt;=Umbral),1,0))</f>
        <v/>
      </c>
      <c r="T2227" s="20">
        <f>IF(OR(I2227="",E2227=""),"",IF(OR(I2227="Gasto",I2227="Transferencia",I2227="Pago tarjeta"),-1,1)*C2227)</f>
        <v/>
      </c>
      <c r="U2227" s="20">
        <f>IF(OR(G2227="",AND(I2227&lt;&gt;"Transferencia",I2227&lt;&gt;"Pago tarjeta")),"",IF(IFERROR(INDEX(ctaMon,MATCH(G2227,ctaNom,0))&amp;"","DOP")=N2227,C2227,IF(N2227="USD",C2227*TasaUSD,C2227/TasaUSD)))</f>
        <v/>
      </c>
      <c r="V2227" s="20">
        <f>IF(I2227="","",IF(IFERROR(INDEX(ctaLiq,MATCH(E2227,ctaNom,0))="Sí",FALSE),IF(OR(I2227="Gasto",I2227="Transferencia",I2227="Pago tarjeta"),-1,1)*O2227,0)+IF(AND(U2227&lt;&gt;"",IFERROR(INDEX(ctaLiq,MATCH(G2227,ctaNom,0))="Sí",FALSE)),O2227,0))</f>
        <v/>
      </c>
      <c r="W2227" s="19">
        <f>IF(OR(F2227="",I2227=""),"",IF(COUNTIFS(F$6:F2227,F2227,I$6:I2227,"?*")=1,MAX(W$5:W2226)+1,""))</f>
        <v/>
      </c>
    </row>
    <row r="2228">
      <c r="B2228" s="15" t="n"/>
      <c r="C2228" s="16" t="n"/>
      <c r="D2228" s="17" t="n"/>
      <c r="E2228" s="17" t="n"/>
      <c r="F2228" s="17" t="n"/>
      <c r="G2228" s="17" t="n"/>
      <c r="H2228" s="18">
        <f>IF(AND(B2228="",C2228="",D2228="",E2228=""),"",IF(B2228="","⚠ Falta fecha",IF(C2228="","⚠ Falta monto",IF(D2228="","⚠ Falta categoría",IF(ISNA(MATCH(D2228,catNom,0)),"⚠ Categoría no existe",IF(E2228="","⚠ Falta cuenta",IF(ISNA(MATCH(E2228,ctaNom,0)),"⚠ Cuenta no existe",IF(AND(OR(I2228="Transferencia",I2228="Pago tarjeta"),G2228=""),"⚠ Indica la cuenta «Hacia»",IF(AND(G2228&lt;&gt;"",G2228=E2228),"⚠ «Hacia» igual a la cuenta",IF(AND(G2228&lt;&gt;"",ISNA(MATCH(G2228,ctaNom,0))),"⚠ «Hacia» no existe",IF(AND(I2228="Pago tarjeta",IFERROR(INDEX(ctaTipo,MATCH(G2228,ctaNom,0)),"")&lt;&gt;"Tarjeta de crédito"),"⚠ «Hacia» debe ser la tarjeta",IF(AND(I2228="Trading",IFERROR(INDEX(ctaTipo,MATCH(E2228,ctaNom,0)),"")&lt;&gt;"Cuenta de trading"),"⚠ Usa la cuenta de trading","✓"))))))))))))</f>
        <v/>
      </c>
      <c r="I2228" s="19">
        <f>IF(OR(B2228="",C2228="",D2228=""),"",IFERROR(INDEX(catTipo,MATCH(D2228,catNom,0))&amp;"",""))</f>
        <v/>
      </c>
      <c r="J2228" s="19">
        <f>IF(I2228="","",IFERROR(INDEX(catGrupo,MATCH(D2228,catNom,0))&amp;"",""))</f>
        <v/>
      </c>
      <c r="K2228" s="19">
        <f>IF(I2228="Gasto",IF(IFERROR(INDEX(catClas,MATCH(D2228,catNom,0))&amp;"","")="","Variable",IFERROR(INDEX(catClas,MATCH(D2228,catNom,0))&amp;"","")),"")</f>
        <v/>
      </c>
      <c r="L2228" s="19">
        <f>IF(I2228="","",IFERROR(INDEX(catAlim,MATCH(D2228,catNom,0))&amp;"",""))</f>
        <v/>
      </c>
      <c r="M2228" s="19">
        <f>IF(I2228="","",IFERROR(INDEX(catComida,MATCH(D2228,catNom,0))&amp;"",""))</f>
        <v/>
      </c>
      <c r="N2228" s="19">
        <f>IF(I2228="","",IFERROR(INDEX(ctaMon,MATCH(E2228,ctaNom,0))&amp;"","DOP"))</f>
        <v/>
      </c>
      <c r="O2228" s="20">
        <f>IF(I2228="","",C2228*IF(N2228="USD",TasaUSD,1))</f>
        <v/>
      </c>
      <c r="P2228" s="20">
        <f>IF(I2228="","",IF(I2228="Gasto",O2228,0))</f>
        <v/>
      </c>
      <c r="Q2228" s="20">
        <f>IF(I2228="","",IF(I2228="Ingreso",O2228,0))</f>
        <v/>
      </c>
      <c r="R2228" s="20">
        <f>IF(I2228="","",IF(I2228="Trading",O2228,0))</f>
        <v/>
      </c>
      <c r="S2228" s="19">
        <f>IF(I2228="","",IF(AND(I2228="Gasto",K2228="Variable",J2228&lt;&gt;"Trading",O2228&gt;0,O2228&lt;=Umbral),1,0))</f>
        <v/>
      </c>
      <c r="T2228" s="20">
        <f>IF(OR(I2228="",E2228=""),"",IF(OR(I2228="Gasto",I2228="Transferencia",I2228="Pago tarjeta"),-1,1)*C2228)</f>
        <v/>
      </c>
      <c r="U2228" s="20">
        <f>IF(OR(G2228="",AND(I2228&lt;&gt;"Transferencia",I2228&lt;&gt;"Pago tarjeta")),"",IF(IFERROR(INDEX(ctaMon,MATCH(G2228,ctaNom,0))&amp;"","DOP")=N2228,C2228,IF(N2228="USD",C2228*TasaUSD,C2228/TasaUSD)))</f>
        <v/>
      </c>
      <c r="V2228" s="20">
        <f>IF(I2228="","",IF(IFERROR(INDEX(ctaLiq,MATCH(E2228,ctaNom,0))="Sí",FALSE),IF(OR(I2228="Gasto",I2228="Transferencia",I2228="Pago tarjeta"),-1,1)*O2228,0)+IF(AND(U2228&lt;&gt;"",IFERROR(INDEX(ctaLiq,MATCH(G2228,ctaNom,0))="Sí",FALSE)),O2228,0))</f>
        <v/>
      </c>
      <c r="W2228" s="19">
        <f>IF(OR(F2228="",I2228=""),"",IF(COUNTIFS(F$6:F2228,F2228,I$6:I2228,"?*")=1,MAX(W$5:W2227)+1,""))</f>
        <v/>
      </c>
    </row>
    <row r="2229">
      <c r="B2229" s="15" t="n"/>
      <c r="C2229" s="16" t="n"/>
      <c r="D2229" s="17" t="n"/>
      <c r="E2229" s="17" t="n"/>
      <c r="F2229" s="17" t="n"/>
      <c r="G2229" s="17" t="n"/>
      <c r="H2229" s="18">
        <f>IF(AND(B2229="",C2229="",D2229="",E2229=""),"",IF(B2229="","⚠ Falta fecha",IF(C2229="","⚠ Falta monto",IF(D2229="","⚠ Falta categoría",IF(ISNA(MATCH(D2229,catNom,0)),"⚠ Categoría no existe",IF(E2229="","⚠ Falta cuenta",IF(ISNA(MATCH(E2229,ctaNom,0)),"⚠ Cuenta no existe",IF(AND(OR(I2229="Transferencia",I2229="Pago tarjeta"),G2229=""),"⚠ Indica la cuenta «Hacia»",IF(AND(G2229&lt;&gt;"",G2229=E2229),"⚠ «Hacia» igual a la cuenta",IF(AND(G2229&lt;&gt;"",ISNA(MATCH(G2229,ctaNom,0))),"⚠ «Hacia» no existe",IF(AND(I2229="Pago tarjeta",IFERROR(INDEX(ctaTipo,MATCH(G2229,ctaNom,0)),"")&lt;&gt;"Tarjeta de crédito"),"⚠ «Hacia» debe ser la tarjeta",IF(AND(I2229="Trading",IFERROR(INDEX(ctaTipo,MATCH(E2229,ctaNom,0)),"")&lt;&gt;"Cuenta de trading"),"⚠ Usa la cuenta de trading","✓"))))))))))))</f>
        <v/>
      </c>
      <c r="I2229" s="19">
        <f>IF(OR(B2229="",C2229="",D2229=""),"",IFERROR(INDEX(catTipo,MATCH(D2229,catNom,0))&amp;"",""))</f>
        <v/>
      </c>
      <c r="J2229" s="19">
        <f>IF(I2229="","",IFERROR(INDEX(catGrupo,MATCH(D2229,catNom,0))&amp;"",""))</f>
        <v/>
      </c>
      <c r="K2229" s="19">
        <f>IF(I2229="Gasto",IF(IFERROR(INDEX(catClas,MATCH(D2229,catNom,0))&amp;"","")="","Variable",IFERROR(INDEX(catClas,MATCH(D2229,catNom,0))&amp;"","")),"")</f>
        <v/>
      </c>
      <c r="L2229" s="19">
        <f>IF(I2229="","",IFERROR(INDEX(catAlim,MATCH(D2229,catNom,0))&amp;"",""))</f>
        <v/>
      </c>
      <c r="M2229" s="19">
        <f>IF(I2229="","",IFERROR(INDEX(catComida,MATCH(D2229,catNom,0))&amp;"",""))</f>
        <v/>
      </c>
      <c r="N2229" s="19">
        <f>IF(I2229="","",IFERROR(INDEX(ctaMon,MATCH(E2229,ctaNom,0))&amp;"","DOP"))</f>
        <v/>
      </c>
      <c r="O2229" s="20">
        <f>IF(I2229="","",C2229*IF(N2229="USD",TasaUSD,1))</f>
        <v/>
      </c>
      <c r="P2229" s="20">
        <f>IF(I2229="","",IF(I2229="Gasto",O2229,0))</f>
        <v/>
      </c>
      <c r="Q2229" s="20">
        <f>IF(I2229="","",IF(I2229="Ingreso",O2229,0))</f>
        <v/>
      </c>
      <c r="R2229" s="20">
        <f>IF(I2229="","",IF(I2229="Trading",O2229,0))</f>
        <v/>
      </c>
      <c r="S2229" s="19">
        <f>IF(I2229="","",IF(AND(I2229="Gasto",K2229="Variable",J2229&lt;&gt;"Trading",O2229&gt;0,O2229&lt;=Umbral),1,0))</f>
        <v/>
      </c>
      <c r="T2229" s="20">
        <f>IF(OR(I2229="",E2229=""),"",IF(OR(I2229="Gasto",I2229="Transferencia",I2229="Pago tarjeta"),-1,1)*C2229)</f>
        <v/>
      </c>
      <c r="U2229" s="20">
        <f>IF(OR(G2229="",AND(I2229&lt;&gt;"Transferencia",I2229&lt;&gt;"Pago tarjeta")),"",IF(IFERROR(INDEX(ctaMon,MATCH(G2229,ctaNom,0))&amp;"","DOP")=N2229,C2229,IF(N2229="USD",C2229*TasaUSD,C2229/TasaUSD)))</f>
        <v/>
      </c>
      <c r="V2229" s="20">
        <f>IF(I2229="","",IF(IFERROR(INDEX(ctaLiq,MATCH(E2229,ctaNom,0))="Sí",FALSE),IF(OR(I2229="Gasto",I2229="Transferencia",I2229="Pago tarjeta"),-1,1)*O2229,0)+IF(AND(U2229&lt;&gt;"",IFERROR(INDEX(ctaLiq,MATCH(G2229,ctaNom,0))="Sí",FALSE)),O2229,0))</f>
        <v/>
      </c>
      <c r="W2229" s="19">
        <f>IF(OR(F2229="",I2229=""),"",IF(COUNTIFS(F$6:F2229,F2229,I$6:I2229,"?*")=1,MAX(W$5:W2228)+1,""))</f>
        <v/>
      </c>
    </row>
    <row r="2230">
      <c r="B2230" s="15" t="n"/>
      <c r="C2230" s="16" t="n"/>
      <c r="D2230" s="17" t="n"/>
      <c r="E2230" s="17" t="n"/>
      <c r="F2230" s="17" t="n"/>
      <c r="G2230" s="17" t="n"/>
      <c r="H2230" s="18">
        <f>IF(AND(B2230="",C2230="",D2230="",E2230=""),"",IF(B2230="","⚠ Falta fecha",IF(C2230="","⚠ Falta monto",IF(D2230="","⚠ Falta categoría",IF(ISNA(MATCH(D2230,catNom,0)),"⚠ Categoría no existe",IF(E2230="","⚠ Falta cuenta",IF(ISNA(MATCH(E2230,ctaNom,0)),"⚠ Cuenta no existe",IF(AND(OR(I2230="Transferencia",I2230="Pago tarjeta"),G2230=""),"⚠ Indica la cuenta «Hacia»",IF(AND(G2230&lt;&gt;"",G2230=E2230),"⚠ «Hacia» igual a la cuenta",IF(AND(G2230&lt;&gt;"",ISNA(MATCH(G2230,ctaNom,0))),"⚠ «Hacia» no existe",IF(AND(I2230="Pago tarjeta",IFERROR(INDEX(ctaTipo,MATCH(G2230,ctaNom,0)),"")&lt;&gt;"Tarjeta de crédito"),"⚠ «Hacia» debe ser la tarjeta",IF(AND(I2230="Trading",IFERROR(INDEX(ctaTipo,MATCH(E2230,ctaNom,0)),"")&lt;&gt;"Cuenta de trading"),"⚠ Usa la cuenta de trading","✓"))))))))))))</f>
        <v/>
      </c>
      <c r="I2230" s="19">
        <f>IF(OR(B2230="",C2230="",D2230=""),"",IFERROR(INDEX(catTipo,MATCH(D2230,catNom,0))&amp;"",""))</f>
        <v/>
      </c>
      <c r="J2230" s="19">
        <f>IF(I2230="","",IFERROR(INDEX(catGrupo,MATCH(D2230,catNom,0))&amp;"",""))</f>
        <v/>
      </c>
      <c r="K2230" s="19">
        <f>IF(I2230="Gasto",IF(IFERROR(INDEX(catClas,MATCH(D2230,catNom,0))&amp;"","")="","Variable",IFERROR(INDEX(catClas,MATCH(D2230,catNom,0))&amp;"","")),"")</f>
        <v/>
      </c>
      <c r="L2230" s="19">
        <f>IF(I2230="","",IFERROR(INDEX(catAlim,MATCH(D2230,catNom,0))&amp;"",""))</f>
        <v/>
      </c>
      <c r="M2230" s="19">
        <f>IF(I2230="","",IFERROR(INDEX(catComida,MATCH(D2230,catNom,0))&amp;"",""))</f>
        <v/>
      </c>
      <c r="N2230" s="19">
        <f>IF(I2230="","",IFERROR(INDEX(ctaMon,MATCH(E2230,ctaNom,0))&amp;"","DOP"))</f>
        <v/>
      </c>
      <c r="O2230" s="20">
        <f>IF(I2230="","",C2230*IF(N2230="USD",TasaUSD,1))</f>
        <v/>
      </c>
      <c r="P2230" s="20">
        <f>IF(I2230="","",IF(I2230="Gasto",O2230,0))</f>
        <v/>
      </c>
      <c r="Q2230" s="20">
        <f>IF(I2230="","",IF(I2230="Ingreso",O2230,0))</f>
        <v/>
      </c>
      <c r="R2230" s="20">
        <f>IF(I2230="","",IF(I2230="Trading",O2230,0))</f>
        <v/>
      </c>
      <c r="S2230" s="19">
        <f>IF(I2230="","",IF(AND(I2230="Gasto",K2230="Variable",J2230&lt;&gt;"Trading",O2230&gt;0,O2230&lt;=Umbral),1,0))</f>
        <v/>
      </c>
      <c r="T2230" s="20">
        <f>IF(OR(I2230="",E2230=""),"",IF(OR(I2230="Gasto",I2230="Transferencia",I2230="Pago tarjeta"),-1,1)*C2230)</f>
        <v/>
      </c>
      <c r="U2230" s="20">
        <f>IF(OR(G2230="",AND(I2230&lt;&gt;"Transferencia",I2230&lt;&gt;"Pago tarjeta")),"",IF(IFERROR(INDEX(ctaMon,MATCH(G2230,ctaNom,0))&amp;"","DOP")=N2230,C2230,IF(N2230="USD",C2230*TasaUSD,C2230/TasaUSD)))</f>
        <v/>
      </c>
      <c r="V2230" s="20">
        <f>IF(I2230="","",IF(IFERROR(INDEX(ctaLiq,MATCH(E2230,ctaNom,0))="Sí",FALSE),IF(OR(I2230="Gasto",I2230="Transferencia",I2230="Pago tarjeta"),-1,1)*O2230,0)+IF(AND(U2230&lt;&gt;"",IFERROR(INDEX(ctaLiq,MATCH(G2230,ctaNom,0))="Sí",FALSE)),O2230,0))</f>
        <v/>
      </c>
      <c r="W2230" s="19">
        <f>IF(OR(F2230="",I2230=""),"",IF(COUNTIFS(F$6:F2230,F2230,I$6:I2230,"?*")=1,MAX(W$5:W2229)+1,""))</f>
        <v/>
      </c>
    </row>
    <row r="2231">
      <c r="B2231" s="15" t="n"/>
      <c r="C2231" s="16" t="n"/>
      <c r="D2231" s="17" t="n"/>
      <c r="E2231" s="17" t="n"/>
      <c r="F2231" s="17" t="n"/>
      <c r="G2231" s="17" t="n"/>
      <c r="H2231" s="18">
        <f>IF(AND(B2231="",C2231="",D2231="",E2231=""),"",IF(B2231="","⚠ Falta fecha",IF(C2231="","⚠ Falta monto",IF(D2231="","⚠ Falta categoría",IF(ISNA(MATCH(D2231,catNom,0)),"⚠ Categoría no existe",IF(E2231="","⚠ Falta cuenta",IF(ISNA(MATCH(E2231,ctaNom,0)),"⚠ Cuenta no existe",IF(AND(OR(I2231="Transferencia",I2231="Pago tarjeta"),G2231=""),"⚠ Indica la cuenta «Hacia»",IF(AND(G2231&lt;&gt;"",G2231=E2231),"⚠ «Hacia» igual a la cuenta",IF(AND(G2231&lt;&gt;"",ISNA(MATCH(G2231,ctaNom,0))),"⚠ «Hacia» no existe",IF(AND(I2231="Pago tarjeta",IFERROR(INDEX(ctaTipo,MATCH(G2231,ctaNom,0)),"")&lt;&gt;"Tarjeta de crédito"),"⚠ «Hacia» debe ser la tarjeta",IF(AND(I2231="Trading",IFERROR(INDEX(ctaTipo,MATCH(E2231,ctaNom,0)),"")&lt;&gt;"Cuenta de trading"),"⚠ Usa la cuenta de trading","✓"))))))))))))</f>
        <v/>
      </c>
      <c r="I2231" s="19">
        <f>IF(OR(B2231="",C2231="",D2231=""),"",IFERROR(INDEX(catTipo,MATCH(D2231,catNom,0))&amp;"",""))</f>
        <v/>
      </c>
      <c r="J2231" s="19">
        <f>IF(I2231="","",IFERROR(INDEX(catGrupo,MATCH(D2231,catNom,0))&amp;"",""))</f>
        <v/>
      </c>
      <c r="K2231" s="19">
        <f>IF(I2231="Gasto",IF(IFERROR(INDEX(catClas,MATCH(D2231,catNom,0))&amp;"","")="","Variable",IFERROR(INDEX(catClas,MATCH(D2231,catNom,0))&amp;"","")),"")</f>
        <v/>
      </c>
      <c r="L2231" s="19">
        <f>IF(I2231="","",IFERROR(INDEX(catAlim,MATCH(D2231,catNom,0))&amp;"",""))</f>
        <v/>
      </c>
      <c r="M2231" s="19">
        <f>IF(I2231="","",IFERROR(INDEX(catComida,MATCH(D2231,catNom,0))&amp;"",""))</f>
        <v/>
      </c>
      <c r="N2231" s="19">
        <f>IF(I2231="","",IFERROR(INDEX(ctaMon,MATCH(E2231,ctaNom,0))&amp;"","DOP"))</f>
        <v/>
      </c>
      <c r="O2231" s="20">
        <f>IF(I2231="","",C2231*IF(N2231="USD",TasaUSD,1))</f>
        <v/>
      </c>
      <c r="P2231" s="20">
        <f>IF(I2231="","",IF(I2231="Gasto",O2231,0))</f>
        <v/>
      </c>
      <c r="Q2231" s="20">
        <f>IF(I2231="","",IF(I2231="Ingreso",O2231,0))</f>
        <v/>
      </c>
      <c r="R2231" s="20">
        <f>IF(I2231="","",IF(I2231="Trading",O2231,0))</f>
        <v/>
      </c>
      <c r="S2231" s="19">
        <f>IF(I2231="","",IF(AND(I2231="Gasto",K2231="Variable",J2231&lt;&gt;"Trading",O2231&gt;0,O2231&lt;=Umbral),1,0))</f>
        <v/>
      </c>
      <c r="T2231" s="20">
        <f>IF(OR(I2231="",E2231=""),"",IF(OR(I2231="Gasto",I2231="Transferencia",I2231="Pago tarjeta"),-1,1)*C2231)</f>
        <v/>
      </c>
      <c r="U2231" s="20">
        <f>IF(OR(G2231="",AND(I2231&lt;&gt;"Transferencia",I2231&lt;&gt;"Pago tarjeta")),"",IF(IFERROR(INDEX(ctaMon,MATCH(G2231,ctaNom,0))&amp;"","DOP")=N2231,C2231,IF(N2231="USD",C2231*TasaUSD,C2231/TasaUSD)))</f>
        <v/>
      </c>
      <c r="V2231" s="20">
        <f>IF(I2231="","",IF(IFERROR(INDEX(ctaLiq,MATCH(E2231,ctaNom,0))="Sí",FALSE),IF(OR(I2231="Gasto",I2231="Transferencia",I2231="Pago tarjeta"),-1,1)*O2231,0)+IF(AND(U2231&lt;&gt;"",IFERROR(INDEX(ctaLiq,MATCH(G2231,ctaNom,0))="Sí",FALSE)),O2231,0))</f>
        <v/>
      </c>
      <c r="W2231" s="19">
        <f>IF(OR(F2231="",I2231=""),"",IF(COUNTIFS(F$6:F2231,F2231,I$6:I2231,"?*")=1,MAX(W$5:W2230)+1,""))</f>
        <v/>
      </c>
    </row>
    <row r="2232">
      <c r="B2232" s="15" t="n"/>
      <c r="C2232" s="16" t="n"/>
      <c r="D2232" s="17" t="n"/>
      <c r="E2232" s="17" t="n"/>
      <c r="F2232" s="17" t="n"/>
      <c r="G2232" s="17" t="n"/>
      <c r="H2232" s="18">
        <f>IF(AND(B2232="",C2232="",D2232="",E2232=""),"",IF(B2232="","⚠ Falta fecha",IF(C2232="","⚠ Falta monto",IF(D2232="","⚠ Falta categoría",IF(ISNA(MATCH(D2232,catNom,0)),"⚠ Categoría no existe",IF(E2232="","⚠ Falta cuenta",IF(ISNA(MATCH(E2232,ctaNom,0)),"⚠ Cuenta no existe",IF(AND(OR(I2232="Transferencia",I2232="Pago tarjeta"),G2232=""),"⚠ Indica la cuenta «Hacia»",IF(AND(G2232&lt;&gt;"",G2232=E2232),"⚠ «Hacia» igual a la cuenta",IF(AND(G2232&lt;&gt;"",ISNA(MATCH(G2232,ctaNom,0))),"⚠ «Hacia» no existe",IF(AND(I2232="Pago tarjeta",IFERROR(INDEX(ctaTipo,MATCH(G2232,ctaNom,0)),"")&lt;&gt;"Tarjeta de crédito"),"⚠ «Hacia» debe ser la tarjeta",IF(AND(I2232="Trading",IFERROR(INDEX(ctaTipo,MATCH(E2232,ctaNom,0)),"")&lt;&gt;"Cuenta de trading"),"⚠ Usa la cuenta de trading","✓"))))))))))))</f>
        <v/>
      </c>
      <c r="I2232" s="19">
        <f>IF(OR(B2232="",C2232="",D2232=""),"",IFERROR(INDEX(catTipo,MATCH(D2232,catNom,0))&amp;"",""))</f>
        <v/>
      </c>
      <c r="J2232" s="19">
        <f>IF(I2232="","",IFERROR(INDEX(catGrupo,MATCH(D2232,catNom,0))&amp;"",""))</f>
        <v/>
      </c>
      <c r="K2232" s="19">
        <f>IF(I2232="Gasto",IF(IFERROR(INDEX(catClas,MATCH(D2232,catNom,0))&amp;"","")="","Variable",IFERROR(INDEX(catClas,MATCH(D2232,catNom,0))&amp;"","")),"")</f>
        <v/>
      </c>
      <c r="L2232" s="19">
        <f>IF(I2232="","",IFERROR(INDEX(catAlim,MATCH(D2232,catNom,0))&amp;"",""))</f>
        <v/>
      </c>
      <c r="M2232" s="19">
        <f>IF(I2232="","",IFERROR(INDEX(catComida,MATCH(D2232,catNom,0))&amp;"",""))</f>
        <v/>
      </c>
      <c r="N2232" s="19">
        <f>IF(I2232="","",IFERROR(INDEX(ctaMon,MATCH(E2232,ctaNom,0))&amp;"","DOP"))</f>
        <v/>
      </c>
      <c r="O2232" s="20">
        <f>IF(I2232="","",C2232*IF(N2232="USD",TasaUSD,1))</f>
        <v/>
      </c>
      <c r="P2232" s="20">
        <f>IF(I2232="","",IF(I2232="Gasto",O2232,0))</f>
        <v/>
      </c>
      <c r="Q2232" s="20">
        <f>IF(I2232="","",IF(I2232="Ingreso",O2232,0))</f>
        <v/>
      </c>
      <c r="R2232" s="20">
        <f>IF(I2232="","",IF(I2232="Trading",O2232,0))</f>
        <v/>
      </c>
      <c r="S2232" s="19">
        <f>IF(I2232="","",IF(AND(I2232="Gasto",K2232="Variable",J2232&lt;&gt;"Trading",O2232&gt;0,O2232&lt;=Umbral),1,0))</f>
        <v/>
      </c>
      <c r="T2232" s="20">
        <f>IF(OR(I2232="",E2232=""),"",IF(OR(I2232="Gasto",I2232="Transferencia",I2232="Pago tarjeta"),-1,1)*C2232)</f>
        <v/>
      </c>
      <c r="U2232" s="20">
        <f>IF(OR(G2232="",AND(I2232&lt;&gt;"Transferencia",I2232&lt;&gt;"Pago tarjeta")),"",IF(IFERROR(INDEX(ctaMon,MATCH(G2232,ctaNom,0))&amp;"","DOP")=N2232,C2232,IF(N2232="USD",C2232*TasaUSD,C2232/TasaUSD)))</f>
        <v/>
      </c>
      <c r="V2232" s="20">
        <f>IF(I2232="","",IF(IFERROR(INDEX(ctaLiq,MATCH(E2232,ctaNom,0))="Sí",FALSE),IF(OR(I2232="Gasto",I2232="Transferencia",I2232="Pago tarjeta"),-1,1)*O2232,0)+IF(AND(U2232&lt;&gt;"",IFERROR(INDEX(ctaLiq,MATCH(G2232,ctaNom,0))="Sí",FALSE)),O2232,0))</f>
        <v/>
      </c>
      <c r="W2232" s="19">
        <f>IF(OR(F2232="",I2232=""),"",IF(COUNTIFS(F$6:F2232,F2232,I$6:I2232,"?*")=1,MAX(W$5:W2231)+1,""))</f>
        <v/>
      </c>
    </row>
    <row r="2233">
      <c r="B2233" s="15" t="n"/>
      <c r="C2233" s="16" t="n"/>
      <c r="D2233" s="17" t="n"/>
      <c r="E2233" s="17" t="n"/>
      <c r="F2233" s="17" t="n"/>
      <c r="G2233" s="17" t="n"/>
      <c r="H2233" s="18">
        <f>IF(AND(B2233="",C2233="",D2233="",E2233=""),"",IF(B2233="","⚠ Falta fecha",IF(C2233="","⚠ Falta monto",IF(D2233="","⚠ Falta categoría",IF(ISNA(MATCH(D2233,catNom,0)),"⚠ Categoría no existe",IF(E2233="","⚠ Falta cuenta",IF(ISNA(MATCH(E2233,ctaNom,0)),"⚠ Cuenta no existe",IF(AND(OR(I2233="Transferencia",I2233="Pago tarjeta"),G2233=""),"⚠ Indica la cuenta «Hacia»",IF(AND(G2233&lt;&gt;"",G2233=E2233),"⚠ «Hacia» igual a la cuenta",IF(AND(G2233&lt;&gt;"",ISNA(MATCH(G2233,ctaNom,0))),"⚠ «Hacia» no existe",IF(AND(I2233="Pago tarjeta",IFERROR(INDEX(ctaTipo,MATCH(G2233,ctaNom,0)),"")&lt;&gt;"Tarjeta de crédito"),"⚠ «Hacia» debe ser la tarjeta",IF(AND(I2233="Trading",IFERROR(INDEX(ctaTipo,MATCH(E2233,ctaNom,0)),"")&lt;&gt;"Cuenta de trading"),"⚠ Usa la cuenta de trading","✓"))))))))))))</f>
        <v/>
      </c>
      <c r="I2233" s="19">
        <f>IF(OR(B2233="",C2233="",D2233=""),"",IFERROR(INDEX(catTipo,MATCH(D2233,catNom,0))&amp;"",""))</f>
        <v/>
      </c>
      <c r="J2233" s="19">
        <f>IF(I2233="","",IFERROR(INDEX(catGrupo,MATCH(D2233,catNom,0))&amp;"",""))</f>
        <v/>
      </c>
      <c r="K2233" s="19">
        <f>IF(I2233="Gasto",IF(IFERROR(INDEX(catClas,MATCH(D2233,catNom,0))&amp;"","")="","Variable",IFERROR(INDEX(catClas,MATCH(D2233,catNom,0))&amp;"","")),"")</f>
        <v/>
      </c>
      <c r="L2233" s="19">
        <f>IF(I2233="","",IFERROR(INDEX(catAlim,MATCH(D2233,catNom,0))&amp;"",""))</f>
        <v/>
      </c>
      <c r="M2233" s="19">
        <f>IF(I2233="","",IFERROR(INDEX(catComida,MATCH(D2233,catNom,0))&amp;"",""))</f>
        <v/>
      </c>
      <c r="N2233" s="19">
        <f>IF(I2233="","",IFERROR(INDEX(ctaMon,MATCH(E2233,ctaNom,0))&amp;"","DOP"))</f>
        <v/>
      </c>
      <c r="O2233" s="20">
        <f>IF(I2233="","",C2233*IF(N2233="USD",TasaUSD,1))</f>
        <v/>
      </c>
      <c r="P2233" s="20">
        <f>IF(I2233="","",IF(I2233="Gasto",O2233,0))</f>
        <v/>
      </c>
      <c r="Q2233" s="20">
        <f>IF(I2233="","",IF(I2233="Ingreso",O2233,0))</f>
        <v/>
      </c>
      <c r="R2233" s="20">
        <f>IF(I2233="","",IF(I2233="Trading",O2233,0))</f>
        <v/>
      </c>
      <c r="S2233" s="19">
        <f>IF(I2233="","",IF(AND(I2233="Gasto",K2233="Variable",J2233&lt;&gt;"Trading",O2233&gt;0,O2233&lt;=Umbral),1,0))</f>
        <v/>
      </c>
      <c r="T2233" s="20">
        <f>IF(OR(I2233="",E2233=""),"",IF(OR(I2233="Gasto",I2233="Transferencia",I2233="Pago tarjeta"),-1,1)*C2233)</f>
        <v/>
      </c>
      <c r="U2233" s="20">
        <f>IF(OR(G2233="",AND(I2233&lt;&gt;"Transferencia",I2233&lt;&gt;"Pago tarjeta")),"",IF(IFERROR(INDEX(ctaMon,MATCH(G2233,ctaNom,0))&amp;"","DOP")=N2233,C2233,IF(N2233="USD",C2233*TasaUSD,C2233/TasaUSD)))</f>
        <v/>
      </c>
      <c r="V2233" s="20">
        <f>IF(I2233="","",IF(IFERROR(INDEX(ctaLiq,MATCH(E2233,ctaNom,0))="Sí",FALSE),IF(OR(I2233="Gasto",I2233="Transferencia",I2233="Pago tarjeta"),-1,1)*O2233,0)+IF(AND(U2233&lt;&gt;"",IFERROR(INDEX(ctaLiq,MATCH(G2233,ctaNom,0))="Sí",FALSE)),O2233,0))</f>
        <v/>
      </c>
      <c r="W2233" s="19">
        <f>IF(OR(F2233="",I2233=""),"",IF(COUNTIFS(F$6:F2233,F2233,I$6:I2233,"?*")=1,MAX(W$5:W2232)+1,""))</f>
        <v/>
      </c>
    </row>
    <row r="2234">
      <c r="B2234" s="15" t="n"/>
      <c r="C2234" s="16" t="n"/>
      <c r="D2234" s="17" t="n"/>
      <c r="E2234" s="17" t="n"/>
      <c r="F2234" s="17" t="n"/>
      <c r="G2234" s="17" t="n"/>
      <c r="H2234" s="18">
        <f>IF(AND(B2234="",C2234="",D2234="",E2234=""),"",IF(B2234="","⚠ Falta fecha",IF(C2234="","⚠ Falta monto",IF(D2234="","⚠ Falta categoría",IF(ISNA(MATCH(D2234,catNom,0)),"⚠ Categoría no existe",IF(E2234="","⚠ Falta cuenta",IF(ISNA(MATCH(E2234,ctaNom,0)),"⚠ Cuenta no existe",IF(AND(OR(I2234="Transferencia",I2234="Pago tarjeta"),G2234=""),"⚠ Indica la cuenta «Hacia»",IF(AND(G2234&lt;&gt;"",G2234=E2234),"⚠ «Hacia» igual a la cuenta",IF(AND(G2234&lt;&gt;"",ISNA(MATCH(G2234,ctaNom,0))),"⚠ «Hacia» no existe",IF(AND(I2234="Pago tarjeta",IFERROR(INDEX(ctaTipo,MATCH(G2234,ctaNom,0)),"")&lt;&gt;"Tarjeta de crédito"),"⚠ «Hacia» debe ser la tarjeta",IF(AND(I2234="Trading",IFERROR(INDEX(ctaTipo,MATCH(E2234,ctaNom,0)),"")&lt;&gt;"Cuenta de trading"),"⚠ Usa la cuenta de trading","✓"))))))))))))</f>
        <v/>
      </c>
      <c r="I2234" s="19">
        <f>IF(OR(B2234="",C2234="",D2234=""),"",IFERROR(INDEX(catTipo,MATCH(D2234,catNom,0))&amp;"",""))</f>
        <v/>
      </c>
      <c r="J2234" s="19">
        <f>IF(I2234="","",IFERROR(INDEX(catGrupo,MATCH(D2234,catNom,0))&amp;"",""))</f>
        <v/>
      </c>
      <c r="K2234" s="19">
        <f>IF(I2234="Gasto",IF(IFERROR(INDEX(catClas,MATCH(D2234,catNom,0))&amp;"","")="","Variable",IFERROR(INDEX(catClas,MATCH(D2234,catNom,0))&amp;"","")),"")</f>
        <v/>
      </c>
      <c r="L2234" s="19">
        <f>IF(I2234="","",IFERROR(INDEX(catAlim,MATCH(D2234,catNom,0))&amp;"",""))</f>
        <v/>
      </c>
      <c r="M2234" s="19">
        <f>IF(I2234="","",IFERROR(INDEX(catComida,MATCH(D2234,catNom,0))&amp;"",""))</f>
        <v/>
      </c>
      <c r="N2234" s="19">
        <f>IF(I2234="","",IFERROR(INDEX(ctaMon,MATCH(E2234,ctaNom,0))&amp;"","DOP"))</f>
        <v/>
      </c>
      <c r="O2234" s="20">
        <f>IF(I2234="","",C2234*IF(N2234="USD",TasaUSD,1))</f>
        <v/>
      </c>
      <c r="P2234" s="20">
        <f>IF(I2234="","",IF(I2234="Gasto",O2234,0))</f>
        <v/>
      </c>
      <c r="Q2234" s="20">
        <f>IF(I2234="","",IF(I2234="Ingreso",O2234,0))</f>
        <v/>
      </c>
      <c r="R2234" s="20">
        <f>IF(I2234="","",IF(I2234="Trading",O2234,0))</f>
        <v/>
      </c>
      <c r="S2234" s="19">
        <f>IF(I2234="","",IF(AND(I2234="Gasto",K2234="Variable",J2234&lt;&gt;"Trading",O2234&gt;0,O2234&lt;=Umbral),1,0))</f>
        <v/>
      </c>
      <c r="T2234" s="20">
        <f>IF(OR(I2234="",E2234=""),"",IF(OR(I2234="Gasto",I2234="Transferencia",I2234="Pago tarjeta"),-1,1)*C2234)</f>
        <v/>
      </c>
      <c r="U2234" s="20">
        <f>IF(OR(G2234="",AND(I2234&lt;&gt;"Transferencia",I2234&lt;&gt;"Pago tarjeta")),"",IF(IFERROR(INDEX(ctaMon,MATCH(G2234,ctaNom,0))&amp;"","DOP")=N2234,C2234,IF(N2234="USD",C2234*TasaUSD,C2234/TasaUSD)))</f>
        <v/>
      </c>
      <c r="V2234" s="20">
        <f>IF(I2234="","",IF(IFERROR(INDEX(ctaLiq,MATCH(E2234,ctaNom,0))="Sí",FALSE),IF(OR(I2234="Gasto",I2234="Transferencia",I2234="Pago tarjeta"),-1,1)*O2234,0)+IF(AND(U2234&lt;&gt;"",IFERROR(INDEX(ctaLiq,MATCH(G2234,ctaNom,0))="Sí",FALSE)),O2234,0))</f>
        <v/>
      </c>
      <c r="W2234" s="19">
        <f>IF(OR(F2234="",I2234=""),"",IF(COUNTIFS(F$6:F2234,F2234,I$6:I2234,"?*")=1,MAX(W$5:W2233)+1,""))</f>
        <v/>
      </c>
    </row>
    <row r="2235">
      <c r="B2235" s="15" t="n"/>
      <c r="C2235" s="16" t="n"/>
      <c r="D2235" s="17" t="n"/>
      <c r="E2235" s="17" t="n"/>
      <c r="F2235" s="17" t="n"/>
      <c r="G2235" s="17" t="n"/>
      <c r="H2235" s="18">
        <f>IF(AND(B2235="",C2235="",D2235="",E2235=""),"",IF(B2235="","⚠ Falta fecha",IF(C2235="","⚠ Falta monto",IF(D2235="","⚠ Falta categoría",IF(ISNA(MATCH(D2235,catNom,0)),"⚠ Categoría no existe",IF(E2235="","⚠ Falta cuenta",IF(ISNA(MATCH(E2235,ctaNom,0)),"⚠ Cuenta no existe",IF(AND(OR(I2235="Transferencia",I2235="Pago tarjeta"),G2235=""),"⚠ Indica la cuenta «Hacia»",IF(AND(G2235&lt;&gt;"",G2235=E2235),"⚠ «Hacia» igual a la cuenta",IF(AND(G2235&lt;&gt;"",ISNA(MATCH(G2235,ctaNom,0))),"⚠ «Hacia» no existe",IF(AND(I2235="Pago tarjeta",IFERROR(INDEX(ctaTipo,MATCH(G2235,ctaNom,0)),"")&lt;&gt;"Tarjeta de crédito"),"⚠ «Hacia» debe ser la tarjeta",IF(AND(I2235="Trading",IFERROR(INDEX(ctaTipo,MATCH(E2235,ctaNom,0)),"")&lt;&gt;"Cuenta de trading"),"⚠ Usa la cuenta de trading","✓"))))))))))))</f>
        <v/>
      </c>
      <c r="I2235" s="19">
        <f>IF(OR(B2235="",C2235="",D2235=""),"",IFERROR(INDEX(catTipo,MATCH(D2235,catNom,0))&amp;"",""))</f>
        <v/>
      </c>
      <c r="J2235" s="19">
        <f>IF(I2235="","",IFERROR(INDEX(catGrupo,MATCH(D2235,catNom,0))&amp;"",""))</f>
        <v/>
      </c>
      <c r="K2235" s="19">
        <f>IF(I2235="Gasto",IF(IFERROR(INDEX(catClas,MATCH(D2235,catNom,0))&amp;"","")="","Variable",IFERROR(INDEX(catClas,MATCH(D2235,catNom,0))&amp;"","")),"")</f>
        <v/>
      </c>
      <c r="L2235" s="19">
        <f>IF(I2235="","",IFERROR(INDEX(catAlim,MATCH(D2235,catNom,0))&amp;"",""))</f>
        <v/>
      </c>
      <c r="M2235" s="19">
        <f>IF(I2235="","",IFERROR(INDEX(catComida,MATCH(D2235,catNom,0))&amp;"",""))</f>
        <v/>
      </c>
      <c r="N2235" s="19">
        <f>IF(I2235="","",IFERROR(INDEX(ctaMon,MATCH(E2235,ctaNom,0))&amp;"","DOP"))</f>
        <v/>
      </c>
      <c r="O2235" s="20">
        <f>IF(I2235="","",C2235*IF(N2235="USD",TasaUSD,1))</f>
        <v/>
      </c>
      <c r="P2235" s="20">
        <f>IF(I2235="","",IF(I2235="Gasto",O2235,0))</f>
        <v/>
      </c>
      <c r="Q2235" s="20">
        <f>IF(I2235="","",IF(I2235="Ingreso",O2235,0))</f>
        <v/>
      </c>
      <c r="R2235" s="20">
        <f>IF(I2235="","",IF(I2235="Trading",O2235,0))</f>
        <v/>
      </c>
      <c r="S2235" s="19">
        <f>IF(I2235="","",IF(AND(I2235="Gasto",K2235="Variable",J2235&lt;&gt;"Trading",O2235&gt;0,O2235&lt;=Umbral),1,0))</f>
        <v/>
      </c>
      <c r="T2235" s="20">
        <f>IF(OR(I2235="",E2235=""),"",IF(OR(I2235="Gasto",I2235="Transferencia",I2235="Pago tarjeta"),-1,1)*C2235)</f>
        <v/>
      </c>
      <c r="U2235" s="20">
        <f>IF(OR(G2235="",AND(I2235&lt;&gt;"Transferencia",I2235&lt;&gt;"Pago tarjeta")),"",IF(IFERROR(INDEX(ctaMon,MATCH(G2235,ctaNom,0))&amp;"","DOP")=N2235,C2235,IF(N2235="USD",C2235*TasaUSD,C2235/TasaUSD)))</f>
        <v/>
      </c>
      <c r="V2235" s="20">
        <f>IF(I2235="","",IF(IFERROR(INDEX(ctaLiq,MATCH(E2235,ctaNom,0))="Sí",FALSE),IF(OR(I2235="Gasto",I2235="Transferencia",I2235="Pago tarjeta"),-1,1)*O2235,0)+IF(AND(U2235&lt;&gt;"",IFERROR(INDEX(ctaLiq,MATCH(G2235,ctaNom,0))="Sí",FALSE)),O2235,0))</f>
        <v/>
      </c>
      <c r="W2235" s="19">
        <f>IF(OR(F2235="",I2235=""),"",IF(COUNTIFS(F$6:F2235,F2235,I$6:I2235,"?*")=1,MAX(W$5:W2234)+1,""))</f>
        <v/>
      </c>
    </row>
    <row r="2236">
      <c r="B2236" s="15" t="n"/>
      <c r="C2236" s="16" t="n"/>
      <c r="D2236" s="17" t="n"/>
      <c r="E2236" s="17" t="n"/>
      <c r="F2236" s="17" t="n"/>
      <c r="G2236" s="17" t="n"/>
      <c r="H2236" s="18">
        <f>IF(AND(B2236="",C2236="",D2236="",E2236=""),"",IF(B2236="","⚠ Falta fecha",IF(C2236="","⚠ Falta monto",IF(D2236="","⚠ Falta categoría",IF(ISNA(MATCH(D2236,catNom,0)),"⚠ Categoría no existe",IF(E2236="","⚠ Falta cuenta",IF(ISNA(MATCH(E2236,ctaNom,0)),"⚠ Cuenta no existe",IF(AND(OR(I2236="Transferencia",I2236="Pago tarjeta"),G2236=""),"⚠ Indica la cuenta «Hacia»",IF(AND(G2236&lt;&gt;"",G2236=E2236),"⚠ «Hacia» igual a la cuenta",IF(AND(G2236&lt;&gt;"",ISNA(MATCH(G2236,ctaNom,0))),"⚠ «Hacia» no existe",IF(AND(I2236="Pago tarjeta",IFERROR(INDEX(ctaTipo,MATCH(G2236,ctaNom,0)),"")&lt;&gt;"Tarjeta de crédito"),"⚠ «Hacia» debe ser la tarjeta",IF(AND(I2236="Trading",IFERROR(INDEX(ctaTipo,MATCH(E2236,ctaNom,0)),"")&lt;&gt;"Cuenta de trading"),"⚠ Usa la cuenta de trading","✓"))))))))))))</f>
        <v/>
      </c>
      <c r="I2236" s="19">
        <f>IF(OR(B2236="",C2236="",D2236=""),"",IFERROR(INDEX(catTipo,MATCH(D2236,catNom,0))&amp;"",""))</f>
        <v/>
      </c>
      <c r="J2236" s="19">
        <f>IF(I2236="","",IFERROR(INDEX(catGrupo,MATCH(D2236,catNom,0))&amp;"",""))</f>
        <v/>
      </c>
      <c r="K2236" s="19">
        <f>IF(I2236="Gasto",IF(IFERROR(INDEX(catClas,MATCH(D2236,catNom,0))&amp;"","")="","Variable",IFERROR(INDEX(catClas,MATCH(D2236,catNom,0))&amp;"","")),"")</f>
        <v/>
      </c>
      <c r="L2236" s="19">
        <f>IF(I2236="","",IFERROR(INDEX(catAlim,MATCH(D2236,catNom,0))&amp;"",""))</f>
        <v/>
      </c>
      <c r="M2236" s="19">
        <f>IF(I2236="","",IFERROR(INDEX(catComida,MATCH(D2236,catNom,0))&amp;"",""))</f>
        <v/>
      </c>
      <c r="N2236" s="19">
        <f>IF(I2236="","",IFERROR(INDEX(ctaMon,MATCH(E2236,ctaNom,0))&amp;"","DOP"))</f>
        <v/>
      </c>
      <c r="O2236" s="20">
        <f>IF(I2236="","",C2236*IF(N2236="USD",TasaUSD,1))</f>
        <v/>
      </c>
      <c r="P2236" s="20">
        <f>IF(I2236="","",IF(I2236="Gasto",O2236,0))</f>
        <v/>
      </c>
      <c r="Q2236" s="20">
        <f>IF(I2236="","",IF(I2236="Ingreso",O2236,0))</f>
        <v/>
      </c>
      <c r="R2236" s="20">
        <f>IF(I2236="","",IF(I2236="Trading",O2236,0))</f>
        <v/>
      </c>
      <c r="S2236" s="19">
        <f>IF(I2236="","",IF(AND(I2236="Gasto",K2236="Variable",J2236&lt;&gt;"Trading",O2236&gt;0,O2236&lt;=Umbral),1,0))</f>
        <v/>
      </c>
      <c r="T2236" s="20">
        <f>IF(OR(I2236="",E2236=""),"",IF(OR(I2236="Gasto",I2236="Transferencia",I2236="Pago tarjeta"),-1,1)*C2236)</f>
        <v/>
      </c>
      <c r="U2236" s="20">
        <f>IF(OR(G2236="",AND(I2236&lt;&gt;"Transferencia",I2236&lt;&gt;"Pago tarjeta")),"",IF(IFERROR(INDEX(ctaMon,MATCH(G2236,ctaNom,0))&amp;"","DOP")=N2236,C2236,IF(N2236="USD",C2236*TasaUSD,C2236/TasaUSD)))</f>
        <v/>
      </c>
      <c r="V2236" s="20">
        <f>IF(I2236="","",IF(IFERROR(INDEX(ctaLiq,MATCH(E2236,ctaNom,0))="Sí",FALSE),IF(OR(I2236="Gasto",I2236="Transferencia",I2236="Pago tarjeta"),-1,1)*O2236,0)+IF(AND(U2236&lt;&gt;"",IFERROR(INDEX(ctaLiq,MATCH(G2236,ctaNom,0))="Sí",FALSE)),O2236,0))</f>
        <v/>
      </c>
      <c r="W2236" s="19">
        <f>IF(OR(F2236="",I2236=""),"",IF(COUNTIFS(F$6:F2236,F2236,I$6:I2236,"?*")=1,MAX(W$5:W2235)+1,""))</f>
        <v/>
      </c>
    </row>
    <row r="2237">
      <c r="B2237" s="15" t="n"/>
      <c r="C2237" s="16" t="n"/>
      <c r="D2237" s="17" t="n"/>
      <c r="E2237" s="17" t="n"/>
      <c r="F2237" s="17" t="n"/>
      <c r="G2237" s="17" t="n"/>
      <c r="H2237" s="18">
        <f>IF(AND(B2237="",C2237="",D2237="",E2237=""),"",IF(B2237="","⚠ Falta fecha",IF(C2237="","⚠ Falta monto",IF(D2237="","⚠ Falta categoría",IF(ISNA(MATCH(D2237,catNom,0)),"⚠ Categoría no existe",IF(E2237="","⚠ Falta cuenta",IF(ISNA(MATCH(E2237,ctaNom,0)),"⚠ Cuenta no existe",IF(AND(OR(I2237="Transferencia",I2237="Pago tarjeta"),G2237=""),"⚠ Indica la cuenta «Hacia»",IF(AND(G2237&lt;&gt;"",G2237=E2237),"⚠ «Hacia» igual a la cuenta",IF(AND(G2237&lt;&gt;"",ISNA(MATCH(G2237,ctaNom,0))),"⚠ «Hacia» no existe",IF(AND(I2237="Pago tarjeta",IFERROR(INDEX(ctaTipo,MATCH(G2237,ctaNom,0)),"")&lt;&gt;"Tarjeta de crédito"),"⚠ «Hacia» debe ser la tarjeta",IF(AND(I2237="Trading",IFERROR(INDEX(ctaTipo,MATCH(E2237,ctaNom,0)),"")&lt;&gt;"Cuenta de trading"),"⚠ Usa la cuenta de trading","✓"))))))))))))</f>
        <v/>
      </c>
      <c r="I2237" s="19">
        <f>IF(OR(B2237="",C2237="",D2237=""),"",IFERROR(INDEX(catTipo,MATCH(D2237,catNom,0))&amp;"",""))</f>
        <v/>
      </c>
      <c r="J2237" s="19">
        <f>IF(I2237="","",IFERROR(INDEX(catGrupo,MATCH(D2237,catNom,0))&amp;"",""))</f>
        <v/>
      </c>
      <c r="K2237" s="19">
        <f>IF(I2237="Gasto",IF(IFERROR(INDEX(catClas,MATCH(D2237,catNom,0))&amp;"","")="","Variable",IFERROR(INDEX(catClas,MATCH(D2237,catNom,0))&amp;"","")),"")</f>
        <v/>
      </c>
      <c r="L2237" s="19">
        <f>IF(I2237="","",IFERROR(INDEX(catAlim,MATCH(D2237,catNom,0))&amp;"",""))</f>
        <v/>
      </c>
      <c r="M2237" s="19">
        <f>IF(I2237="","",IFERROR(INDEX(catComida,MATCH(D2237,catNom,0))&amp;"",""))</f>
        <v/>
      </c>
      <c r="N2237" s="19">
        <f>IF(I2237="","",IFERROR(INDEX(ctaMon,MATCH(E2237,ctaNom,0))&amp;"","DOP"))</f>
        <v/>
      </c>
      <c r="O2237" s="20">
        <f>IF(I2237="","",C2237*IF(N2237="USD",TasaUSD,1))</f>
        <v/>
      </c>
      <c r="P2237" s="20">
        <f>IF(I2237="","",IF(I2237="Gasto",O2237,0))</f>
        <v/>
      </c>
      <c r="Q2237" s="20">
        <f>IF(I2237="","",IF(I2237="Ingreso",O2237,0))</f>
        <v/>
      </c>
      <c r="R2237" s="20">
        <f>IF(I2237="","",IF(I2237="Trading",O2237,0))</f>
        <v/>
      </c>
      <c r="S2237" s="19">
        <f>IF(I2237="","",IF(AND(I2237="Gasto",K2237="Variable",J2237&lt;&gt;"Trading",O2237&gt;0,O2237&lt;=Umbral),1,0))</f>
        <v/>
      </c>
      <c r="T2237" s="20">
        <f>IF(OR(I2237="",E2237=""),"",IF(OR(I2237="Gasto",I2237="Transferencia",I2237="Pago tarjeta"),-1,1)*C2237)</f>
        <v/>
      </c>
      <c r="U2237" s="20">
        <f>IF(OR(G2237="",AND(I2237&lt;&gt;"Transferencia",I2237&lt;&gt;"Pago tarjeta")),"",IF(IFERROR(INDEX(ctaMon,MATCH(G2237,ctaNom,0))&amp;"","DOP")=N2237,C2237,IF(N2237="USD",C2237*TasaUSD,C2237/TasaUSD)))</f>
        <v/>
      </c>
      <c r="V2237" s="20">
        <f>IF(I2237="","",IF(IFERROR(INDEX(ctaLiq,MATCH(E2237,ctaNom,0))="Sí",FALSE),IF(OR(I2237="Gasto",I2237="Transferencia",I2237="Pago tarjeta"),-1,1)*O2237,0)+IF(AND(U2237&lt;&gt;"",IFERROR(INDEX(ctaLiq,MATCH(G2237,ctaNom,0))="Sí",FALSE)),O2237,0))</f>
        <v/>
      </c>
      <c r="W2237" s="19">
        <f>IF(OR(F2237="",I2237=""),"",IF(COUNTIFS(F$6:F2237,F2237,I$6:I2237,"?*")=1,MAX(W$5:W2236)+1,""))</f>
        <v/>
      </c>
    </row>
    <row r="2238">
      <c r="B2238" s="15" t="n"/>
      <c r="C2238" s="16" t="n"/>
      <c r="D2238" s="17" t="n"/>
      <c r="E2238" s="17" t="n"/>
      <c r="F2238" s="17" t="n"/>
      <c r="G2238" s="17" t="n"/>
      <c r="H2238" s="18">
        <f>IF(AND(B2238="",C2238="",D2238="",E2238=""),"",IF(B2238="","⚠ Falta fecha",IF(C2238="","⚠ Falta monto",IF(D2238="","⚠ Falta categoría",IF(ISNA(MATCH(D2238,catNom,0)),"⚠ Categoría no existe",IF(E2238="","⚠ Falta cuenta",IF(ISNA(MATCH(E2238,ctaNom,0)),"⚠ Cuenta no existe",IF(AND(OR(I2238="Transferencia",I2238="Pago tarjeta"),G2238=""),"⚠ Indica la cuenta «Hacia»",IF(AND(G2238&lt;&gt;"",G2238=E2238),"⚠ «Hacia» igual a la cuenta",IF(AND(G2238&lt;&gt;"",ISNA(MATCH(G2238,ctaNom,0))),"⚠ «Hacia» no existe",IF(AND(I2238="Pago tarjeta",IFERROR(INDEX(ctaTipo,MATCH(G2238,ctaNom,0)),"")&lt;&gt;"Tarjeta de crédito"),"⚠ «Hacia» debe ser la tarjeta",IF(AND(I2238="Trading",IFERROR(INDEX(ctaTipo,MATCH(E2238,ctaNom,0)),"")&lt;&gt;"Cuenta de trading"),"⚠ Usa la cuenta de trading","✓"))))))))))))</f>
        <v/>
      </c>
      <c r="I2238" s="19">
        <f>IF(OR(B2238="",C2238="",D2238=""),"",IFERROR(INDEX(catTipo,MATCH(D2238,catNom,0))&amp;"",""))</f>
        <v/>
      </c>
      <c r="J2238" s="19">
        <f>IF(I2238="","",IFERROR(INDEX(catGrupo,MATCH(D2238,catNom,0))&amp;"",""))</f>
        <v/>
      </c>
      <c r="K2238" s="19">
        <f>IF(I2238="Gasto",IF(IFERROR(INDEX(catClas,MATCH(D2238,catNom,0))&amp;"","")="","Variable",IFERROR(INDEX(catClas,MATCH(D2238,catNom,0))&amp;"","")),"")</f>
        <v/>
      </c>
      <c r="L2238" s="19">
        <f>IF(I2238="","",IFERROR(INDEX(catAlim,MATCH(D2238,catNom,0))&amp;"",""))</f>
        <v/>
      </c>
      <c r="M2238" s="19">
        <f>IF(I2238="","",IFERROR(INDEX(catComida,MATCH(D2238,catNom,0))&amp;"",""))</f>
        <v/>
      </c>
      <c r="N2238" s="19">
        <f>IF(I2238="","",IFERROR(INDEX(ctaMon,MATCH(E2238,ctaNom,0))&amp;"","DOP"))</f>
        <v/>
      </c>
      <c r="O2238" s="20">
        <f>IF(I2238="","",C2238*IF(N2238="USD",TasaUSD,1))</f>
        <v/>
      </c>
      <c r="P2238" s="20">
        <f>IF(I2238="","",IF(I2238="Gasto",O2238,0))</f>
        <v/>
      </c>
      <c r="Q2238" s="20">
        <f>IF(I2238="","",IF(I2238="Ingreso",O2238,0))</f>
        <v/>
      </c>
      <c r="R2238" s="20">
        <f>IF(I2238="","",IF(I2238="Trading",O2238,0))</f>
        <v/>
      </c>
      <c r="S2238" s="19">
        <f>IF(I2238="","",IF(AND(I2238="Gasto",K2238="Variable",J2238&lt;&gt;"Trading",O2238&gt;0,O2238&lt;=Umbral),1,0))</f>
        <v/>
      </c>
      <c r="T2238" s="20">
        <f>IF(OR(I2238="",E2238=""),"",IF(OR(I2238="Gasto",I2238="Transferencia",I2238="Pago tarjeta"),-1,1)*C2238)</f>
        <v/>
      </c>
      <c r="U2238" s="20">
        <f>IF(OR(G2238="",AND(I2238&lt;&gt;"Transferencia",I2238&lt;&gt;"Pago tarjeta")),"",IF(IFERROR(INDEX(ctaMon,MATCH(G2238,ctaNom,0))&amp;"","DOP")=N2238,C2238,IF(N2238="USD",C2238*TasaUSD,C2238/TasaUSD)))</f>
        <v/>
      </c>
      <c r="V2238" s="20">
        <f>IF(I2238="","",IF(IFERROR(INDEX(ctaLiq,MATCH(E2238,ctaNom,0))="Sí",FALSE),IF(OR(I2238="Gasto",I2238="Transferencia",I2238="Pago tarjeta"),-1,1)*O2238,0)+IF(AND(U2238&lt;&gt;"",IFERROR(INDEX(ctaLiq,MATCH(G2238,ctaNom,0))="Sí",FALSE)),O2238,0))</f>
        <v/>
      </c>
      <c r="W2238" s="19">
        <f>IF(OR(F2238="",I2238=""),"",IF(COUNTIFS(F$6:F2238,F2238,I$6:I2238,"?*")=1,MAX(W$5:W2237)+1,""))</f>
        <v/>
      </c>
    </row>
    <row r="2239">
      <c r="B2239" s="15" t="n"/>
      <c r="C2239" s="16" t="n"/>
      <c r="D2239" s="17" t="n"/>
      <c r="E2239" s="17" t="n"/>
      <c r="F2239" s="17" t="n"/>
      <c r="G2239" s="17" t="n"/>
      <c r="H2239" s="18">
        <f>IF(AND(B2239="",C2239="",D2239="",E2239=""),"",IF(B2239="","⚠ Falta fecha",IF(C2239="","⚠ Falta monto",IF(D2239="","⚠ Falta categoría",IF(ISNA(MATCH(D2239,catNom,0)),"⚠ Categoría no existe",IF(E2239="","⚠ Falta cuenta",IF(ISNA(MATCH(E2239,ctaNom,0)),"⚠ Cuenta no existe",IF(AND(OR(I2239="Transferencia",I2239="Pago tarjeta"),G2239=""),"⚠ Indica la cuenta «Hacia»",IF(AND(G2239&lt;&gt;"",G2239=E2239),"⚠ «Hacia» igual a la cuenta",IF(AND(G2239&lt;&gt;"",ISNA(MATCH(G2239,ctaNom,0))),"⚠ «Hacia» no existe",IF(AND(I2239="Pago tarjeta",IFERROR(INDEX(ctaTipo,MATCH(G2239,ctaNom,0)),"")&lt;&gt;"Tarjeta de crédito"),"⚠ «Hacia» debe ser la tarjeta",IF(AND(I2239="Trading",IFERROR(INDEX(ctaTipo,MATCH(E2239,ctaNom,0)),"")&lt;&gt;"Cuenta de trading"),"⚠ Usa la cuenta de trading","✓"))))))))))))</f>
        <v/>
      </c>
      <c r="I2239" s="19">
        <f>IF(OR(B2239="",C2239="",D2239=""),"",IFERROR(INDEX(catTipo,MATCH(D2239,catNom,0))&amp;"",""))</f>
        <v/>
      </c>
      <c r="J2239" s="19">
        <f>IF(I2239="","",IFERROR(INDEX(catGrupo,MATCH(D2239,catNom,0))&amp;"",""))</f>
        <v/>
      </c>
      <c r="K2239" s="19">
        <f>IF(I2239="Gasto",IF(IFERROR(INDEX(catClas,MATCH(D2239,catNom,0))&amp;"","")="","Variable",IFERROR(INDEX(catClas,MATCH(D2239,catNom,0))&amp;"","")),"")</f>
        <v/>
      </c>
      <c r="L2239" s="19">
        <f>IF(I2239="","",IFERROR(INDEX(catAlim,MATCH(D2239,catNom,0))&amp;"",""))</f>
        <v/>
      </c>
      <c r="M2239" s="19">
        <f>IF(I2239="","",IFERROR(INDEX(catComida,MATCH(D2239,catNom,0))&amp;"",""))</f>
        <v/>
      </c>
      <c r="N2239" s="19">
        <f>IF(I2239="","",IFERROR(INDEX(ctaMon,MATCH(E2239,ctaNom,0))&amp;"","DOP"))</f>
        <v/>
      </c>
      <c r="O2239" s="20">
        <f>IF(I2239="","",C2239*IF(N2239="USD",TasaUSD,1))</f>
        <v/>
      </c>
      <c r="P2239" s="20">
        <f>IF(I2239="","",IF(I2239="Gasto",O2239,0))</f>
        <v/>
      </c>
      <c r="Q2239" s="20">
        <f>IF(I2239="","",IF(I2239="Ingreso",O2239,0))</f>
        <v/>
      </c>
      <c r="R2239" s="20">
        <f>IF(I2239="","",IF(I2239="Trading",O2239,0))</f>
        <v/>
      </c>
      <c r="S2239" s="19">
        <f>IF(I2239="","",IF(AND(I2239="Gasto",K2239="Variable",J2239&lt;&gt;"Trading",O2239&gt;0,O2239&lt;=Umbral),1,0))</f>
        <v/>
      </c>
      <c r="T2239" s="20">
        <f>IF(OR(I2239="",E2239=""),"",IF(OR(I2239="Gasto",I2239="Transferencia",I2239="Pago tarjeta"),-1,1)*C2239)</f>
        <v/>
      </c>
      <c r="U2239" s="20">
        <f>IF(OR(G2239="",AND(I2239&lt;&gt;"Transferencia",I2239&lt;&gt;"Pago tarjeta")),"",IF(IFERROR(INDEX(ctaMon,MATCH(G2239,ctaNom,0))&amp;"","DOP")=N2239,C2239,IF(N2239="USD",C2239*TasaUSD,C2239/TasaUSD)))</f>
        <v/>
      </c>
      <c r="V2239" s="20">
        <f>IF(I2239="","",IF(IFERROR(INDEX(ctaLiq,MATCH(E2239,ctaNom,0))="Sí",FALSE),IF(OR(I2239="Gasto",I2239="Transferencia",I2239="Pago tarjeta"),-1,1)*O2239,0)+IF(AND(U2239&lt;&gt;"",IFERROR(INDEX(ctaLiq,MATCH(G2239,ctaNom,0))="Sí",FALSE)),O2239,0))</f>
        <v/>
      </c>
      <c r="W2239" s="19">
        <f>IF(OR(F2239="",I2239=""),"",IF(COUNTIFS(F$6:F2239,F2239,I$6:I2239,"?*")=1,MAX(W$5:W2238)+1,""))</f>
        <v/>
      </c>
    </row>
    <row r="2240">
      <c r="B2240" s="15" t="n"/>
      <c r="C2240" s="16" t="n"/>
      <c r="D2240" s="17" t="n"/>
      <c r="E2240" s="17" t="n"/>
      <c r="F2240" s="17" t="n"/>
      <c r="G2240" s="17" t="n"/>
      <c r="H2240" s="18">
        <f>IF(AND(B2240="",C2240="",D2240="",E2240=""),"",IF(B2240="","⚠ Falta fecha",IF(C2240="","⚠ Falta monto",IF(D2240="","⚠ Falta categoría",IF(ISNA(MATCH(D2240,catNom,0)),"⚠ Categoría no existe",IF(E2240="","⚠ Falta cuenta",IF(ISNA(MATCH(E2240,ctaNom,0)),"⚠ Cuenta no existe",IF(AND(OR(I2240="Transferencia",I2240="Pago tarjeta"),G2240=""),"⚠ Indica la cuenta «Hacia»",IF(AND(G2240&lt;&gt;"",G2240=E2240),"⚠ «Hacia» igual a la cuenta",IF(AND(G2240&lt;&gt;"",ISNA(MATCH(G2240,ctaNom,0))),"⚠ «Hacia» no existe",IF(AND(I2240="Pago tarjeta",IFERROR(INDEX(ctaTipo,MATCH(G2240,ctaNom,0)),"")&lt;&gt;"Tarjeta de crédito"),"⚠ «Hacia» debe ser la tarjeta",IF(AND(I2240="Trading",IFERROR(INDEX(ctaTipo,MATCH(E2240,ctaNom,0)),"")&lt;&gt;"Cuenta de trading"),"⚠ Usa la cuenta de trading","✓"))))))))))))</f>
        <v/>
      </c>
      <c r="I2240" s="19">
        <f>IF(OR(B2240="",C2240="",D2240=""),"",IFERROR(INDEX(catTipo,MATCH(D2240,catNom,0))&amp;"",""))</f>
        <v/>
      </c>
      <c r="J2240" s="19">
        <f>IF(I2240="","",IFERROR(INDEX(catGrupo,MATCH(D2240,catNom,0))&amp;"",""))</f>
        <v/>
      </c>
      <c r="K2240" s="19">
        <f>IF(I2240="Gasto",IF(IFERROR(INDEX(catClas,MATCH(D2240,catNom,0))&amp;"","")="","Variable",IFERROR(INDEX(catClas,MATCH(D2240,catNom,0))&amp;"","")),"")</f>
        <v/>
      </c>
      <c r="L2240" s="19">
        <f>IF(I2240="","",IFERROR(INDEX(catAlim,MATCH(D2240,catNom,0))&amp;"",""))</f>
        <v/>
      </c>
      <c r="M2240" s="19">
        <f>IF(I2240="","",IFERROR(INDEX(catComida,MATCH(D2240,catNom,0))&amp;"",""))</f>
        <v/>
      </c>
      <c r="N2240" s="19">
        <f>IF(I2240="","",IFERROR(INDEX(ctaMon,MATCH(E2240,ctaNom,0))&amp;"","DOP"))</f>
        <v/>
      </c>
      <c r="O2240" s="20">
        <f>IF(I2240="","",C2240*IF(N2240="USD",TasaUSD,1))</f>
        <v/>
      </c>
      <c r="P2240" s="20">
        <f>IF(I2240="","",IF(I2240="Gasto",O2240,0))</f>
        <v/>
      </c>
      <c r="Q2240" s="20">
        <f>IF(I2240="","",IF(I2240="Ingreso",O2240,0))</f>
        <v/>
      </c>
      <c r="R2240" s="20">
        <f>IF(I2240="","",IF(I2240="Trading",O2240,0))</f>
        <v/>
      </c>
      <c r="S2240" s="19">
        <f>IF(I2240="","",IF(AND(I2240="Gasto",K2240="Variable",J2240&lt;&gt;"Trading",O2240&gt;0,O2240&lt;=Umbral),1,0))</f>
        <v/>
      </c>
      <c r="T2240" s="20">
        <f>IF(OR(I2240="",E2240=""),"",IF(OR(I2240="Gasto",I2240="Transferencia",I2240="Pago tarjeta"),-1,1)*C2240)</f>
        <v/>
      </c>
      <c r="U2240" s="20">
        <f>IF(OR(G2240="",AND(I2240&lt;&gt;"Transferencia",I2240&lt;&gt;"Pago tarjeta")),"",IF(IFERROR(INDEX(ctaMon,MATCH(G2240,ctaNom,0))&amp;"","DOP")=N2240,C2240,IF(N2240="USD",C2240*TasaUSD,C2240/TasaUSD)))</f>
        <v/>
      </c>
      <c r="V2240" s="20">
        <f>IF(I2240="","",IF(IFERROR(INDEX(ctaLiq,MATCH(E2240,ctaNom,0))="Sí",FALSE),IF(OR(I2240="Gasto",I2240="Transferencia",I2240="Pago tarjeta"),-1,1)*O2240,0)+IF(AND(U2240&lt;&gt;"",IFERROR(INDEX(ctaLiq,MATCH(G2240,ctaNom,0))="Sí",FALSE)),O2240,0))</f>
        <v/>
      </c>
      <c r="W2240" s="19">
        <f>IF(OR(F2240="",I2240=""),"",IF(COUNTIFS(F$6:F2240,F2240,I$6:I2240,"?*")=1,MAX(W$5:W2239)+1,""))</f>
        <v/>
      </c>
    </row>
    <row r="2241">
      <c r="B2241" s="15" t="n"/>
      <c r="C2241" s="16" t="n"/>
      <c r="D2241" s="17" t="n"/>
      <c r="E2241" s="17" t="n"/>
      <c r="F2241" s="17" t="n"/>
      <c r="G2241" s="17" t="n"/>
      <c r="H2241" s="18">
        <f>IF(AND(B2241="",C2241="",D2241="",E2241=""),"",IF(B2241="","⚠ Falta fecha",IF(C2241="","⚠ Falta monto",IF(D2241="","⚠ Falta categoría",IF(ISNA(MATCH(D2241,catNom,0)),"⚠ Categoría no existe",IF(E2241="","⚠ Falta cuenta",IF(ISNA(MATCH(E2241,ctaNom,0)),"⚠ Cuenta no existe",IF(AND(OR(I2241="Transferencia",I2241="Pago tarjeta"),G2241=""),"⚠ Indica la cuenta «Hacia»",IF(AND(G2241&lt;&gt;"",G2241=E2241),"⚠ «Hacia» igual a la cuenta",IF(AND(G2241&lt;&gt;"",ISNA(MATCH(G2241,ctaNom,0))),"⚠ «Hacia» no existe",IF(AND(I2241="Pago tarjeta",IFERROR(INDEX(ctaTipo,MATCH(G2241,ctaNom,0)),"")&lt;&gt;"Tarjeta de crédito"),"⚠ «Hacia» debe ser la tarjeta",IF(AND(I2241="Trading",IFERROR(INDEX(ctaTipo,MATCH(E2241,ctaNom,0)),"")&lt;&gt;"Cuenta de trading"),"⚠ Usa la cuenta de trading","✓"))))))))))))</f>
        <v/>
      </c>
      <c r="I2241" s="19">
        <f>IF(OR(B2241="",C2241="",D2241=""),"",IFERROR(INDEX(catTipo,MATCH(D2241,catNom,0))&amp;"",""))</f>
        <v/>
      </c>
      <c r="J2241" s="19">
        <f>IF(I2241="","",IFERROR(INDEX(catGrupo,MATCH(D2241,catNom,0))&amp;"",""))</f>
        <v/>
      </c>
      <c r="K2241" s="19">
        <f>IF(I2241="Gasto",IF(IFERROR(INDEX(catClas,MATCH(D2241,catNom,0))&amp;"","")="","Variable",IFERROR(INDEX(catClas,MATCH(D2241,catNom,0))&amp;"","")),"")</f>
        <v/>
      </c>
      <c r="L2241" s="19">
        <f>IF(I2241="","",IFERROR(INDEX(catAlim,MATCH(D2241,catNom,0))&amp;"",""))</f>
        <v/>
      </c>
      <c r="M2241" s="19">
        <f>IF(I2241="","",IFERROR(INDEX(catComida,MATCH(D2241,catNom,0))&amp;"",""))</f>
        <v/>
      </c>
      <c r="N2241" s="19">
        <f>IF(I2241="","",IFERROR(INDEX(ctaMon,MATCH(E2241,ctaNom,0))&amp;"","DOP"))</f>
        <v/>
      </c>
      <c r="O2241" s="20">
        <f>IF(I2241="","",C2241*IF(N2241="USD",TasaUSD,1))</f>
        <v/>
      </c>
      <c r="P2241" s="20">
        <f>IF(I2241="","",IF(I2241="Gasto",O2241,0))</f>
        <v/>
      </c>
      <c r="Q2241" s="20">
        <f>IF(I2241="","",IF(I2241="Ingreso",O2241,0))</f>
        <v/>
      </c>
      <c r="R2241" s="20">
        <f>IF(I2241="","",IF(I2241="Trading",O2241,0))</f>
        <v/>
      </c>
      <c r="S2241" s="19">
        <f>IF(I2241="","",IF(AND(I2241="Gasto",K2241="Variable",J2241&lt;&gt;"Trading",O2241&gt;0,O2241&lt;=Umbral),1,0))</f>
        <v/>
      </c>
      <c r="T2241" s="20">
        <f>IF(OR(I2241="",E2241=""),"",IF(OR(I2241="Gasto",I2241="Transferencia",I2241="Pago tarjeta"),-1,1)*C2241)</f>
        <v/>
      </c>
      <c r="U2241" s="20">
        <f>IF(OR(G2241="",AND(I2241&lt;&gt;"Transferencia",I2241&lt;&gt;"Pago tarjeta")),"",IF(IFERROR(INDEX(ctaMon,MATCH(G2241,ctaNom,0))&amp;"","DOP")=N2241,C2241,IF(N2241="USD",C2241*TasaUSD,C2241/TasaUSD)))</f>
        <v/>
      </c>
      <c r="V2241" s="20">
        <f>IF(I2241="","",IF(IFERROR(INDEX(ctaLiq,MATCH(E2241,ctaNom,0))="Sí",FALSE),IF(OR(I2241="Gasto",I2241="Transferencia",I2241="Pago tarjeta"),-1,1)*O2241,0)+IF(AND(U2241&lt;&gt;"",IFERROR(INDEX(ctaLiq,MATCH(G2241,ctaNom,0))="Sí",FALSE)),O2241,0))</f>
        <v/>
      </c>
      <c r="W2241" s="19">
        <f>IF(OR(F2241="",I2241=""),"",IF(COUNTIFS(F$6:F2241,F2241,I$6:I2241,"?*")=1,MAX(W$5:W2240)+1,""))</f>
        <v/>
      </c>
    </row>
    <row r="2242">
      <c r="B2242" s="15" t="n"/>
      <c r="C2242" s="16" t="n"/>
      <c r="D2242" s="17" t="n"/>
      <c r="E2242" s="17" t="n"/>
      <c r="F2242" s="17" t="n"/>
      <c r="G2242" s="17" t="n"/>
      <c r="H2242" s="18">
        <f>IF(AND(B2242="",C2242="",D2242="",E2242=""),"",IF(B2242="","⚠ Falta fecha",IF(C2242="","⚠ Falta monto",IF(D2242="","⚠ Falta categoría",IF(ISNA(MATCH(D2242,catNom,0)),"⚠ Categoría no existe",IF(E2242="","⚠ Falta cuenta",IF(ISNA(MATCH(E2242,ctaNom,0)),"⚠ Cuenta no existe",IF(AND(OR(I2242="Transferencia",I2242="Pago tarjeta"),G2242=""),"⚠ Indica la cuenta «Hacia»",IF(AND(G2242&lt;&gt;"",G2242=E2242),"⚠ «Hacia» igual a la cuenta",IF(AND(G2242&lt;&gt;"",ISNA(MATCH(G2242,ctaNom,0))),"⚠ «Hacia» no existe",IF(AND(I2242="Pago tarjeta",IFERROR(INDEX(ctaTipo,MATCH(G2242,ctaNom,0)),"")&lt;&gt;"Tarjeta de crédito"),"⚠ «Hacia» debe ser la tarjeta",IF(AND(I2242="Trading",IFERROR(INDEX(ctaTipo,MATCH(E2242,ctaNom,0)),"")&lt;&gt;"Cuenta de trading"),"⚠ Usa la cuenta de trading","✓"))))))))))))</f>
        <v/>
      </c>
      <c r="I2242" s="19">
        <f>IF(OR(B2242="",C2242="",D2242=""),"",IFERROR(INDEX(catTipo,MATCH(D2242,catNom,0))&amp;"",""))</f>
        <v/>
      </c>
      <c r="J2242" s="19">
        <f>IF(I2242="","",IFERROR(INDEX(catGrupo,MATCH(D2242,catNom,0))&amp;"",""))</f>
        <v/>
      </c>
      <c r="K2242" s="19">
        <f>IF(I2242="Gasto",IF(IFERROR(INDEX(catClas,MATCH(D2242,catNom,0))&amp;"","")="","Variable",IFERROR(INDEX(catClas,MATCH(D2242,catNom,0))&amp;"","")),"")</f>
        <v/>
      </c>
      <c r="L2242" s="19">
        <f>IF(I2242="","",IFERROR(INDEX(catAlim,MATCH(D2242,catNom,0))&amp;"",""))</f>
        <v/>
      </c>
      <c r="M2242" s="19">
        <f>IF(I2242="","",IFERROR(INDEX(catComida,MATCH(D2242,catNom,0))&amp;"",""))</f>
        <v/>
      </c>
      <c r="N2242" s="19">
        <f>IF(I2242="","",IFERROR(INDEX(ctaMon,MATCH(E2242,ctaNom,0))&amp;"","DOP"))</f>
        <v/>
      </c>
      <c r="O2242" s="20">
        <f>IF(I2242="","",C2242*IF(N2242="USD",TasaUSD,1))</f>
        <v/>
      </c>
      <c r="P2242" s="20">
        <f>IF(I2242="","",IF(I2242="Gasto",O2242,0))</f>
        <v/>
      </c>
      <c r="Q2242" s="20">
        <f>IF(I2242="","",IF(I2242="Ingreso",O2242,0))</f>
        <v/>
      </c>
      <c r="R2242" s="20">
        <f>IF(I2242="","",IF(I2242="Trading",O2242,0))</f>
        <v/>
      </c>
      <c r="S2242" s="19">
        <f>IF(I2242="","",IF(AND(I2242="Gasto",K2242="Variable",J2242&lt;&gt;"Trading",O2242&gt;0,O2242&lt;=Umbral),1,0))</f>
        <v/>
      </c>
      <c r="T2242" s="20">
        <f>IF(OR(I2242="",E2242=""),"",IF(OR(I2242="Gasto",I2242="Transferencia",I2242="Pago tarjeta"),-1,1)*C2242)</f>
        <v/>
      </c>
      <c r="U2242" s="20">
        <f>IF(OR(G2242="",AND(I2242&lt;&gt;"Transferencia",I2242&lt;&gt;"Pago tarjeta")),"",IF(IFERROR(INDEX(ctaMon,MATCH(G2242,ctaNom,0))&amp;"","DOP")=N2242,C2242,IF(N2242="USD",C2242*TasaUSD,C2242/TasaUSD)))</f>
        <v/>
      </c>
      <c r="V2242" s="20">
        <f>IF(I2242="","",IF(IFERROR(INDEX(ctaLiq,MATCH(E2242,ctaNom,0))="Sí",FALSE),IF(OR(I2242="Gasto",I2242="Transferencia",I2242="Pago tarjeta"),-1,1)*O2242,0)+IF(AND(U2242&lt;&gt;"",IFERROR(INDEX(ctaLiq,MATCH(G2242,ctaNom,0))="Sí",FALSE)),O2242,0))</f>
        <v/>
      </c>
      <c r="W2242" s="19">
        <f>IF(OR(F2242="",I2242=""),"",IF(COUNTIFS(F$6:F2242,F2242,I$6:I2242,"?*")=1,MAX(W$5:W2241)+1,""))</f>
        <v/>
      </c>
    </row>
    <row r="2243">
      <c r="B2243" s="15" t="n"/>
      <c r="C2243" s="16" t="n"/>
      <c r="D2243" s="17" t="n"/>
      <c r="E2243" s="17" t="n"/>
      <c r="F2243" s="17" t="n"/>
      <c r="G2243" s="17" t="n"/>
      <c r="H2243" s="18">
        <f>IF(AND(B2243="",C2243="",D2243="",E2243=""),"",IF(B2243="","⚠ Falta fecha",IF(C2243="","⚠ Falta monto",IF(D2243="","⚠ Falta categoría",IF(ISNA(MATCH(D2243,catNom,0)),"⚠ Categoría no existe",IF(E2243="","⚠ Falta cuenta",IF(ISNA(MATCH(E2243,ctaNom,0)),"⚠ Cuenta no existe",IF(AND(OR(I2243="Transferencia",I2243="Pago tarjeta"),G2243=""),"⚠ Indica la cuenta «Hacia»",IF(AND(G2243&lt;&gt;"",G2243=E2243),"⚠ «Hacia» igual a la cuenta",IF(AND(G2243&lt;&gt;"",ISNA(MATCH(G2243,ctaNom,0))),"⚠ «Hacia» no existe",IF(AND(I2243="Pago tarjeta",IFERROR(INDEX(ctaTipo,MATCH(G2243,ctaNom,0)),"")&lt;&gt;"Tarjeta de crédito"),"⚠ «Hacia» debe ser la tarjeta",IF(AND(I2243="Trading",IFERROR(INDEX(ctaTipo,MATCH(E2243,ctaNom,0)),"")&lt;&gt;"Cuenta de trading"),"⚠ Usa la cuenta de trading","✓"))))))))))))</f>
        <v/>
      </c>
      <c r="I2243" s="19">
        <f>IF(OR(B2243="",C2243="",D2243=""),"",IFERROR(INDEX(catTipo,MATCH(D2243,catNom,0))&amp;"",""))</f>
        <v/>
      </c>
      <c r="J2243" s="19">
        <f>IF(I2243="","",IFERROR(INDEX(catGrupo,MATCH(D2243,catNom,0))&amp;"",""))</f>
        <v/>
      </c>
      <c r="K2243" s="19">
        <f>IF(I2243="Gasto",IF(IFERROR(INDEX(catClas,MATCH(D2243,catNom,0))&amp;"","")="","Variable",IFERROR(INDEX(catClas,MATCH(D2243,catNom,0))&amp;"","")),"")</f>
        <v/>
      </c>
      <c r="L2243" s="19">
        <f>IF(I2243="","",IFERROR(INDEX(catAlim,MATCH(D2243,catNom,0))&amp;"",""))</f>
        <v/>
      </c>
      <c r="M2243" s="19">
        <f>IF(I2243="","",IFERROR(INDEX(catComida,MATCH(D2243,catNom,0))&amp;"",""))</f>
        <v/>
      </c>
      <c r="N2243" s="19">
        <f>IF(I2243="","",IFERROR(INDEX(ctaMon,MATCH(E2243,ctaNom,0))&amp;"","DOP"))</f>
        <v/>
      </c>
      <c r="O2243" s="20">
        <f>IF(I2243="","",C2243*IF(N2243="USD",TasaUSD,1))</f>
        <v/>
      </c>
      <c r="P2243" s="20">
        <f>IF(I2243="","",IF(I2243="Gasto",O2243,0))</f>
        <v/>
      </c>
      <c r="Q2243" s="20">
        <f>IF(I2243="","",IF(I2243="Ingreso",O2243,0))</f>
        <v/>
      </c>
      <c r="R2243" s="20">
        <f>IF(I2243="","",IF(I2243="Trading",O2243,0))</f>
        <v/>
      </c>
      <c r="S2243" s="19">
        <f>IF(I2243="","",IF(AND(I2243="Gasto",K2243="Variable",J2243&lt;&gt;"Trading",O2243&gt;0,O2243&lt;=Umbral),1,0))</f>
        <v/>
      </c>
      <c r="T2243" s="20">
        <f>IF(OR(I2243="",E2243=""),"",IF(OR(I2243="Gasto",I2243="Transferencia",I2243="Pago tarjeta"),-1,1)*C2243)</f>
        <v/>
      </c>
      <c r="U2243" s="20">
        <f>IF(OR(G2243="",AND(I2243&lt;&gt;"Transferencia",I2243&lt;&gt;"Pago tarjeta")),"",IF(IFERROR(INDEX(ctaMon,MATCH(G2243,ctaNom,0))&amp;"","DOP")=N2243,C2243,IF(N2243="USD",C2243*TasaUSD,C2243/TasaUSD)))</f>
        <v/>
      </c>
      <c r="V2243" s="20">
        <f>IF(I2243="","",IF(IFERROR(INDEX(ctaLiq,MATCH(E2243,ctaNom,0))="Sí",FALSE),IF(OR(I2243="Gasto",I2243="Transferencia",I2243="Pago tarjeta"),-1,1)*O2243,0)+IF(AND(U2243&lt;&gt;"",IFERROR(INDEX(ctaLiq,MATCH(G2243,ctaNom,0))="Sí",FALSE)),O2243,0))</f>
        <v/>
      </c>
      <c r="W2243" s="19">
        <f>IF(OR(F2243="",I2243=""),"",IF(COUNTIFS(F$6:F2243,F2243,I$6:I2243,"?*")=1,MAX(W$5:W2242)+1,""))</f>
        <v/>
      </c>
    </row>
    <row r="2244">
      <c r="B2244" s="15" t="n"/>
      <c r="C2244" s="16" t="n"/>
      <c r="D2244" s="17" t="n"/>
      <c r="E2244" s="17" t="n"/>
      <c r="F2244" s="17" t="n"/>
      <c r="G2244" s="17" t="n"/>
      <c r="H2244" s="18">
        <f>IF(AND(B2244="",C2244="",D2244="",E2244=""),"",IF(B2244="","⚠ Falta fecha",IF(C2244="","⚠ Falta monto",IF(D2244="","⚠ Falta categoría",IF(ISNA(MATCH(D2244,catNom,0)),"⚠ Categoría no existe",IF(E2244="","⚠ Falta cuenta",IF(ISNA(MATCH(E2244,ctaNom,0)),"⚠ Cuenta no existe",IF(AND(OR(I2244="Transferencia",I2244="Pago tarjeta"),G2244=""),"⚠ Indica la cuenta «Hacia»",IF(AND(G2244&lt;&gt;"",G2244=E2244),"⚠ «Hacia» igual a la cuenta",IF(AND(G2244&lt;&gt;"",ISNA(MATCH(G2244,ctaNom,0))),"⚠ «Hacia» no existe",IF(AND(I2244="Pago tarjeta",IFERROR(INDEX(ctaTipo,MATCH(G2244,ctaNom,0)),"")&lt;&gt;"Tarjeta de crédito"),"⚠ «Hacia» debe ser la tarjeta",IF(AND(I2244="Trading",IFERROR(INDEX(ctaTipo,MATCH(E2244,ctaNom,0)),"")&lt;&gt;"Cuenta de trading"),"⚠ Usa la cuenta de trading","✓"))))))))))))</f>
        <v/>
      </c>
      <c r="I2244" s="19">
        <f>IF(OR(B2244="",C2244="",D2244=""),"",IFERROR(INDEX(catTipo,MATCH(D2244,catNom,0))&amp;"",""))</f>
        <v/>
      </c>
      <c r="J2244" s="19">
        <f>IF(I2244="","",IFERROR(INDEX(catGrupo,MATCH(D2244,catNom,0))&amp;"",""))</f>
        <v/>
      </c>
      <c r="K2244" s="19">
        <f>IF(I2244="Gasto",IF(IFERROR(INDEX(catClas,MATCH(D2244,catNom,0))&amp;"","")="","Variable",IFERROR(INDEX(catClas,MATCH(D2244,catNom,0))&amp;"","")),"")</f>
        <v/>
      </c>
      <c r="L2244" s="19">
        <f>IF(I2244="","",IFERROR(INDEX(catAlim,MATCH(D2244,catNom,0))&amp;"",""))</f>
        <v/>
      </c>
      <c r="M2244" s="19">
        <f>IF(I2244="","",IFERROR(INDEX(catComida,MATCH(D2244,catNom,0))&amp;"",""))</f>
        <v/>
      </c>
      <c r="N2244" s="19">
        <f>IF(I2244="","",IFERROR(INDEX(ctaMon,MATCH(E2244,ctaNom,0))&amp;"","DOP"))</f>
        <v/>
      </c>
      <c r="O2244" s="20">
        <f>IF(I2244="","",C2244*IF(N2244="USD",TasaUSD,1))</f>
        <v/>
      </c>
      <c r="P2244" s="20">
        <f>IF(I2244="","",IF(I2244="Gasto",O2244,0))</f>
        <v/>
      </c>
      <c r="Q2244" s="20">
        <f>IF(I2244="","",IF(I2244="Ingreso",O2244,0))</f>
        <v/>
      </c>
      <c r="R2244" s="20">
        <f>IF(I2244="","",IF(I2244="Trading",O2244,0))</f>
        <v/>
      </c>
      <c r="S2244" s="19">
        <f>IF(I2244="","",IF(AND(I2244="Gasto",K2244="Variable",J2244&lt;&gt;"Trading",O2244&gt;0,O2244&lt;=Umbral),1,0))</f>
        <v/>
      </c>
      <c r="T2244" s="20">
        <f>IF(OR(I2244="",E2244=""),"",IF(OR(I2244="Gasto",I2244="Transferencia",I2244="Pago tarjeta"),-1,1)*C2244)</f>
        <v/>
      </c>
      <c r="U2244" s="20">
        <f>IF(OR(G2244="",AND(I2244&lt;&gt;"Transferencia",I2244&lt;&gt;"Pago tarjeta")),"",IF(IFERROR(INDEX(ctaMon,MATCH(G2244,ctaNom,0))&amp;"","DOP")=N2244,C2244,IF(N2244="USD",C2244*TasaUSD,C2244/TasaUSD)))</f>
        <v/>
      </c>
      <c r="V2244" s="20">
        <f>IF(I2244="","",IF(IFERROR(INDEX(ctaLiq,MATCH(E2244,ctaNom,0))="Sí",FALSE),IF(OR(I2244="Gasto",I2244="Transferencia",I2244="Pago tarjeta"),-1,1)*O2244,0)+IF(AND(U2244&lt;&gt;"",IFERROR(INDEX(ctaLiq,MATCH(G2244,ctaNom,0))="Sí",FALSE)),O2244,0))</f>
        <v/>
      </c>
      <c r="W2244" s="19">
        <f>IF(OR(F2244="",I2244=""),"",IF(COUNTIFS(F$6:F2244,F2244,I$6:I2244,"?*")=1,MAX(W$5:W2243)+1,""))</f>
        <v/>
      </c>
    </row>
    <row r="2245">
      <c r="B2245" s="15" t="n"/>
      <c r="C2245" s="16" t="n"/>
      <c r="D2245" s="17" t="n"/>
      <c r="E2245" s="17" t="n"/>
      <c r="F2245" s="17" t="n"/>
      <c r="G2245" s="17" t="n"/>
      <c r="H2245" s="18">
        <f>IF(AND(B2245="",C2245="",D2245="",E2245=""),"",IF(B2245="","⚠ Falta fecha",IF(C2245="","⚠ Falta monto",IF(D2245="","⚠ Falta categoría",IF(ISNA(MATCH(D2245,catNom,0)),"⚠ Categoría no existe",IF(E2245="","⚠ Falta cuenta",IF(ISNA(MATCH(E2245,ctaNom,0)),"⚠ Cuenta no existe",IF(AND(OR(I2245="Transferencia",I2245="Pago tarjeta"),G2245=""),"⚠ Indica la cuenta «Hacia»",IF(AND(G2245&lt;&gt;"",G2245=E2245),"⚠ «Hacia» igual a la cuenta",IF(AND(G2245&lt;&gt;"",ISNA(MATCH(G2245,ctaNom,0))),"⚠ «Hacia» no existe",IF(AND(I2245="Pago tarjeta",IFERROR(INDEX(ctaTipo,MATCH(G2245,ctaNom,0)),"")&lt;&gt;"Tarjeta de crédito"),"⚠ «Hacia» debe ser la tarjeta",IF(AND(I2245="Trading",IFERROR(INDEX(ctaTipo,MATCH(E2245,ctaNom,0)),"")&lt;&gt;"Cuenta de trading"),"⚠ Usa la cuenta de trading","✓"))))))))))))</f>
        <v/>
      </c>
      <c r="I2245" s="19">
        <f>IF(OR(B2245="",C2245="",D2245=""),"",IFERROR(INDEX(catTipo,MATCH(D2245,catNom,0))&amp;"",""))</f>
        <v/>
      </c>
      <c r="J2245" s="19">
        <f>IF(I2245="","",IFERROR(INDEX(catGrupo,MATCH(D2245,catNom,0))&amp;"",""))</f>
        <v/>
      </c>
      <c r="K2245" s="19">
        <f>IF(I2245="Gasto",IF(IFERROR(INDEX(catClas,MATCH(D2245,catNom,0))&amp;"","")="","Variable",IFERROR(INDEX(catClas,MATCH(D2245,catNom,0))&amp;"","")),"")</f>
        <v/>
      </c>
      <c r="L2245" s="19">
        <f>IF(I2245="","",IFERROR(INDEX(catAlim,MATCH(D2245,catNom,0))&amp;"",""))</f>
        <v/>
      </c>
      <c r="M2245" s="19">
        <f>IF(I2245="","",IFERROR(INDEX(catComida,MATCH(D2245,catNom,0))&amp;"",""))</f>
        <v/>
      </c>
      <c r="N2245" s="19">
        <f>IF(I2245="","",IFERROR(INDEX(ctaMon,MATCH(E2245,ctaNom,0))&amp;"","DOP"))</f>
        <v/>
      </c>
      <c r="O2245" s="20">
        <f>IF(I2245="","",C2245*IF(N2245="USD",TasaUSD,1))</f>
        <v/>
      </c>
      <c r="P2245" s="20">
        <f>IF(I2245="","",IF(I2245="Gasto",O2245,0))</f>
        <v/>
      </c>
      <c r="Q2245" s="20">
        <f>IF(I2245="","",IF(I2245="Ingreso",O2245,0))</f>
        <v/>
      </c>
      <c r="R2245" s="20">
        <f>IF(I2245="","",IF(I2245="Trading",O2245,0))</f>
        <v/>
      </c>
      <c r="S2245" s="19">
        <f>IF(I2245="","",IF(AND(I2245="Gasto",K2245="Variable",J2245&lt;&gt;"Trading",O2245&gt;0,O2245&lt;=Umbral),1,0))</f>
        <v/>
      </c>
      <c r="T2245" s="20">
        <f>IF(OR(I2245="",E2245=""),"",IF(OR(I2245="Gasto",I2245="Transferencia",I2245="Pago tarjeta"),-1,1)*C2245)</f>
        <v/>
      </c>
      <c r="U2245" s="20">
        <f>IF(OR(G2245="",AND(I2245&lt;&gt;"Transferencia",I2245&lt;&gt;"Pago tarjeta")),"",IF(IFERROR(INDEX(ctaMon,MATCH(G2245,ctaNom,0))&amp;"","DOP")=N2245,C2245,IF(N2245="USD",C2245*TasaUSD,C2245/TasaUSD)))</f>
        <v/>
      </c>
      <c r="V2245" s="20">
        <f>IF(I2245="","",IF(IFERROR(INDEX(ctaLiq,MATCH(E2245,ctaNom,0))="Sí",FALSE),IF(OR(I2245="Gasto",I2245="Transferencia",I2245="Pago tarjeta"),-1,1)*O2245,0)+IF(AND(U2245&lt;&gt;"",IFERROR(INDEX(ctaLiq,MATCH(G2245,ctaNom,0))="Sí",FALSE)),O2245,0))</f>
        <v/>
      </c>
      <c r="W2245" s="19">
        <f>IF(OR(F2245="",I2245=""),"",IF(COUNTIFS(F$6:F2245,F2245,I$6:I2245,"?*")=1,MAX(W$5:W2244)+1,""))</f>
        <v/>
      </c>
    </row>
    <row r="2246">
      <c r="B2246" s="15" t="n"/>
      <c r="C2246" s="16" t="n"/>
      <c r="D2246" s="17" t="n"/>
      <c r="E2246" s="17" t="n"/>
      <c r="F2246" s="17" t="n"/>
      <c r="G2246" s="17" t="n"/>
      <c r="H2246" s="18">
        <f>IF(AND(B2246="",C2246="",D2246="",E2246=""),"",IF(B2246="","⚠ Falta fecha",IF(C2246="","⚠ Falta monto",IF(D2246="","⚠ Falta categoría",IF(ISNA(MATCH(D2246,catNom,0)),"⚠ Categoría no existe",IF(E2246="","⚠ Falta cuenta",IF(ISNA(MATCH(E2246,ctaNom,0)),"⚠ Cuenta no existe",IF(AND(OR(I2246="Transferencia",I2246="Pago tarjeta"),G2246=""),"⚠ Indica la cuenta «Hacia»",IF(AND(G2246&lt;&gt;"",G2246=E2246),"⚠ «Hacia» igual a la cuenta",IF(AND(G2246&lt;&gt;"",ISNA(MATCH(G2246,ctaNom,0))),"⚠ «Hacia» no existe",IF(AND(I2246="Pago tarjeta",IFERROR(INDEX(ctaTipo,MATCH(G2246,ctaNom,0)),"")&lt;&gt;"Tarjeta de crédito"),"⚠ «Hacia» debe ser la tarjeta",IF(AND(I2246="Trading",IFERROR(INDEX(ctaTipo,MATCH(E2246,ctaNom,0)),"")&lt;&gt;"Cuenta de trading"),"⚠ Usa la cuenta de trading","✓"))))))))))))</f>
        <v/>
      </c>
      <c r="I2246" s="19">
        <f>IF(OR(B2246="",C2246="",D2246=""),"",IFERROR(INDEX(catTipo,MATCH(D2246,catNom,0))&amp;"",""))</f>
        <v/>
      </c>
      <c r="J2246" s="19">
        <f>IF(I2246="","",IFERROR(INDEX(catGrupo,MATCH(D2246,catNom,0))&amp;"",""))</f>
        <v/>
      </c>
      <c r="K2246" s="19">
        <f>IF(I2246="Gasto",IF(IFERROR(INDEX(catClas,MATCH(D2246,catNom,0))&amp;"","")="","Variable",IFERROR(INDEX(catClas,MATCH(D2246,catNom,0))&amp;"","")),"")</f>
        <v/>
      </c>
      <c r="L2246" s="19">
        <f>IF(I2246="","",IFERROR(INDEX(catAlim,MATCH(D2246,catNom,0))&amp;"",""))</f>
        <v/>
      </c>
      <c r="M2246" s="19">
        <f>IF(I2246="","",IFERROR(INDEX(catComida,MATCH(D2246,catNom,0))&amp;"",""))</f>
        <v/>
      </c>
      <c r="N2246" s="19">
        <f>IF(I2246="","",IFERROR(INDEX(ctaMon,MATCH(E2246,ctaNom,0))&amp;"","DOP"))</f>
        <v/>
      </c>
      <c r="O2246" s="20">
        <f>IF(I2246="","",C2246*IF(N2246="USD",TasaUSD,1))</f>
        <v/>
      </c>
      <c r="P2246" s="20">
        <f>IF(I2246="","",IF(I2246="Gasto",O2246,0))</f>
        <v/>
      </c>
      <c r="Q2246" s="20">
        <f>IF(I2246="","",IF(I2246="Ingreso",O2246,0))</f>
        <v/>
      </c>
      <c r="R2246" s="20">
        <f>IF(I2246="","",IF(I2246="Trading",O2246,0))</f>
        <v/>
      </c>
      <c r="S2246" s="19">
        <f>IF(I2246="","",IF(AND(I2246="Gasto",K2246="Variable",J2246&lt;&gt;"Trading",O2246&gt;0,O2246&lt;=Umbral),1,0))</f>
        <v/>
      </c>
      <c r="T2246" s="20">
        <f>IF(OR(I2246="",E2246=""),"",IF(OR(I2246="Gasto",I2246="Transferencia",I2246="Pago tarjeta"),-1,1)*C2246)</f>
        <v/>
      </c>
      <c r="U2246" s="20">
        <f>IF(OR(G2246="",AND(I2246&lt;&gt;"Transferencia",I2246&lt;&gt;"Pago tarjeta")),"",IF(IFERROR(INDEX(ctaMon,MATCH(G2246,ctaNom,0))&amp;"","DOP")=N2246,C2246,IF(N2246="USD",C2246*TasaUSD,C2246/TasaUSD)))</f>
        <v/>
      </c>
      <c r="V2246" s="20">
        <f>IF(I2246="","",IF(IFERROR(INDEX(ctaLiq,MATCH(E2246,ctaNom,0))="Sí",FALSE),IF(OR(I2246="Gasto",I2246="Transferencia",I2246="Pago tarjeta"),-1,1)*O2246,0)+IF(AND(U2246&lt;&gt;"",IFERROR(INDEX(ctaLiq,MATCH(G2246,ctaNom,0))="Sí",FALSE)),O2246,0))</f>
        <v/>
      </c>
      <c r="W2246" s="19">
        <f>IF(OR(F2246="",I2246=""),"",IF(COUNTIFS(F$6:F2246,F2246,I$6:I2246,"?*")=1,MAX(W$5:W2245)+1,""))</f>
        <v/>
      </c>
    </row>
    <row r="2247">
      <c r="B2247" s="15" t="n"/>
      <c r="C2247" s="16" t="n"/>
      <c r="D2247" s="17" t="n"/>
      <c r="E2247" s="17" t="n"/>
      <c r="F2247" s="17" t="n"/>
      <c r="G2247" s="17" t="n"/>
      <c r="H2247" s="18">
        <f>IF(AND(B2247="",C2247="",D2247="",E2247=""),"",IF(B2247="","⚠ Falta fecha",IF(C2247="","⚠ Falta monto",IF(D2247="","⚠ Falta categoría",IF(ISNA(MATCH(D2247,catNom,0)),"⚠ Categoría no existe",IF(E2247="","⚠ Falta cuenta",IF(ISNA(MATCH(E2247,ctaNom,0)),"⚠ Cuenta no existe",IF(AND(OR(I2247="Transferencia",I2247="Pago tarjeta"),G2247=""),"⚠ Indica la cuenta «Hacia»",IF(AND(G2247&lt;&gt;"",G2247=E2247),"⚠ «Hacia» igual a la cuenta",IF(AND(G2247&lt;&gt;"",ISNA(MATCH(G2247,ctaNom,0))),"⚠ «Hacia» no existe",IF(AND(I2247="Pago tarjeta",IFERROR(INDEX(ctaTipo,MATCH(G2247,ctaNom,0)),"")&lt;&gt;"Tarjeta de crédito"),"⚠ «Hacia» debe ser la tarjeta",IF(AND(I2247="Trading",IFERROR(INDEX(ctaTipo,MATCH(E2247,ctaNom,0)),"")&lt;&gt;"Cuenta de trading"),"⚠ Usa la cuenta de trading","✓"))))))))))))</f>
        <v/>
      </c>
      <c r="I2247" s="19">
        <f>IF(OR(B2247="",C2247="",D2247=""),"",IFERROR(INDEX(catTipo,MATCH(D2247,catNom,0))&amp;"",""))</f>
        <v/>
      </c>
      <c r="J2247" s="19">
        <f>IF(I2247="","",IFERROR(INDEX(catGrupo,MATCH(D2247,catNom,0))&amp;"",""))</f>
        <v/>
      </c>
      <c r="K2247" s="19">
        <f>IF(I2247="Gasto",IF(IFERROR(INDEX(catClas,MATCH(D2247,catNom,0))&amp;"","")="","Variable",IFERROR(INDEX(catClas,MATCH(D2247,catNom,0))&amp;"","")),"")</f>
        <v/>
      </c>
      <c r="L2247" s="19">
        <f>IF(I2247="","",IFERROR(INDEX(catAlim,MATCH(D2247,catNom,0))&amp;"",""))</f>
        <v/>
      </c>
      <c r="M2247" s="19">
        <f>IF(I2247="","",IFERROR(INDEX(catComida,MATCH(D2247,catNom,0))&amp;"",""))</f>
        <v/>
      </c>
      <c r="N2247" s="19">
        <f>IF(I2247="","",IFERROR(INDEX(ctaMon,MATCH(E2247,ctaNom,0))&amp;"","DOP"))</f>
        <v/>
      </c>
      <c r="O2247" s="20">
        <f>IF(I2247="","",C2247*IF(N2247="USD",TasaUSD,1))</f>
        <v/>
      </c>
      <c r="P2247" s="20">
        <f>IF(I2247="","",IF(I2247="Gasto",O2247,0))</f>
        <v/>
      </c>
      <c r="Q2247" s="20">
        <f>IF(I2247="","",IF(I2247="Ingreso",O2247,0))</f>
        <v/>
      </c>
      <c r="R2247" s="20">
        <f>IF(I2247="","",IF(I2247="Trading",O2247,0))</f>
        <v/>
      </c>
      <c r="S2247" s="19">
        <f>IF(I2247="","",IF(AND(I2247="Gasto",K2247="Variable",J2247&lt;&gt;"Trading",O2247&gt;0,O2247&lt;=Umbral),1,0))</f>
        <v/>
      </c>
      <c r="T2247" s="20">
        <f>IF(OR(I2247="",E2247=""),"",IF(OR(I2247="Gasto",I2247="Transferencia",I2247="Pago tarjeta"),-1,1)*C2247)</f>
        <v/>
      </c>
      <c r="U2247" s="20">
        <f>IF(OR(G2247="",AND(I2247&lt;&gt;"Transferencia",I2247&lt;&gt;"Pago tarjeta")),"",IF(IFERROR(INDEX(ctaMon,MATCH(G2247,ctaNom,0))&amp;"","DOP")=N2247,C2247,IF(N2247="USD",C2247*TasaUSD,C2247/TasaUSD)))</f>
        <v/>
      </c>
      <c r="V2247" s="20">
        <f>IF(I2247="","",IF(IFERROR(INDEX(ctaLiq,MATCH(E2247,ctaNom,0))="Sí",FALSE),IF(OR(I2247="Gasto",I2247="Transferencia",I2247="Pago tarjeta"),-1,1)*O2247,0)+IF(AND(U2247&lt;&gt;"",IFERROR(INDEX(ctaLiq,MATCH(G2247,ctaNom,0))="Sí",FALSE)),O2247,0))</f>
        <v/>
      </c>
      <c r="W2247" s="19">
        <f>IF(OR(F2247="",I2247=""),"",IF(COUNTIFS(F$6:F2247,F2247,I$6:I2247,"?*")=1,MAX(W$5:W2246)+1,""))</f>
        <v/>
      </c>
    </row>
    <row r="2248">
      <c r="B2248" s="15" t="n"/>
      <c r="C2248" s="16" t="n"/>
      <c r="D2248" s="17" t="n"/>
      <c r="E2248" s="17" t="n"/>
      <c r="F2248" s="17" t="n"/>
      <c r="G2248" s="17" t="n"/>
      <c r="H2248" s="18">
        <f>IF(AND(B2248="",C2248="",D2248="",E2248=""),"",IF(B2248="","⚠ Falta fecha",IF(C2248="","⚠ Falta monto",IF(D2248="","⚠ Falta categoría",IF(ISNA(MATCH(D2248,catNom,0)),"⚠ Categoría no existe",IF(E2248="","⚠ Falta cuenta",IF(ISNA(MATCH(E2248,ctaNom,0)),"⚠ Cuenta no existe",IF(AND(OR(I2248="Transferencia",I2248="Pago tarjeta"),G2248=""),"⚠ Indica la cuenta «Hacia»",IF(AND(G2248&lt;&gt;"",G2248=E2248),"⚠ «Hacia» igual a la cuenta",IF(AND(G2248&lt;&gt;"",ISNA(MATCH(G2248,ctaNom,0))),"⚠ «Hacia» no existe",IF(AND(I2248="Pago tarjeta",IFERROR(INDEX(ctaTipo,MATCH(G2248,ctaNom,0)),"")&lt;&gt;"Tarjeta de crédito"),"⚠ «Hacia» debe ser la tarjeta",IF(AND(I2248="Trading",IFERROR(INDEX(ctaTipo,MATCH(E2248,ctaNom,0)),"")&lt;&gt;"Cuenta de trading"),"⚠ Usa la cuenta de trading","✓"))))))))))))</f>
        <v/>
      </c>
      <c r="I2248" s="19">
        <f>IF(OR(B2248="",C2248="",D2248=""),"",IFERROR(INDEX(catTipo,MATCH(D2248,catNom,0))&amp;"",""))</f>
        <v/>
      </c>
      <c r="J2248" s="19">
        <f>IF(I2248="","",IFERROR(INDEX(catGrupo,MATCH(D2248,catNom,0))&amp;"",""))</f>
        <v/>
      </c>
      <c r="K2248" s="19">
        <f>IF(I2248="Gasto",IF(IFERROR(INDEX(catClas,MATCH(D2248,catNom,0))&amp;"","")="","Variable",IFERROR(INDEX(catClas,MATCH(D2248,catNom,0))&amp;"","")),"")</f>
        <v/>
      </c>
      <c r="L2248" s="19">
        <f>IF(I2248="","",IFERROR(INDEX(catAlim,MATCH(D2248,catNom,0))&amp;"",""))</f>
        <v/>
      </c>
      <c r="M2248" s="19">
        <f>IF(I2248="","",IFERROR(INDEX(catComida,MATCH(D2248,catNom,0))&amp;"",""))</f>
        <v/>
      </c>
      <c r="N2248" s="19">
        <f>IF(I2248="","",IFERROR(INDEX(ctaMon,MATCH(E2248,ctaNom,0))&amp;"","DOP"))</f>
        <v/>
      </c>
      <c r="O2248" s="20">
        <f>IF(I2248="","",C2248*IF(N2248="USD",TasaUSD,1))</f>
        <v/>
      </c>
      <c r="P2248" s="20">
        <f>IF(I2248="","",IF(I2248="Gasto",O2248,0))</f>
        <v/>
      </c>
      <c r="Q2248" s="20">
        <f>IF(I2248="","",IF(I2248="Ingreso",O2248,0))</f>
        <v/>
      </c>
      <c r="R2248" s="20">
        <f>IF(I2248="","",IF(I2248="Trading",O2248,0))</f>
        <v/>
      </c>
      <c r="S2248" s="19">
        <f>IF(I2248="","",IF(AND(I2248="Gasto",K2248="Variable",J2248&lt;&gt;"Trading",O2248&gt;0,O2248&lt;=Umbral),1,0))</f>
        <v/>
      </c>
      <c r="T2248" s="20">
        <f>IF(OR(I2248="",E2248=""),"",IF(OR(I2248="Gasto",I2248="Transferencia",I2248="Pago tarjeta"),-1,1)*C2248)</f>
        <v/>
      </c>
      <c r="U2248" s="20">
        <f>IF(OR(G2248="",AND(I2248&lt;&gt;"Transferencia",I2248&lt;&gt;"Pago tarjeta")),"",IF(IFERROR(INDEX(ctaMon,MATCH(G2248,ctaNom,0))&amp;"","DOP")=N2248,C2248,IF(N2248="USD",C2248*TasaUSD,C2248/TasaUSD)))</f>
        <v/>
      </c>
      <c r="V2248" s="20">
        <f>IF(I2248="","",IF(IFERROR(INDEX(ctaLiq,MATCH(E2248,ctaNom,0))="Sí",FALSE),IF(OR(I2248="Gasto",I2248="Transferencia",I2248="Pago tarjeta"),-1,1)*O2248,0)+IF(AND(U2248&lt;&gt;"",IFERROR(INDEX(ctaLiq,MATCH(G2248,ctaNom,0))="Sí",FALSE)),O2248,0))</f>
        <v/>
      </c>
      <c r="W2248" s="19">
        <f>IF(OR(F2248="",I2248=""),"",IF(COUNTIFS(F$6:F2248,F2248,I$6:I2248,"?*")=1,MAX(W$5:W2247)+1,""))</f>
        <v/>
      </c>
    </row>
    <row r="2249">
      <c r="B2249" s="15" t="n"/>
      <c r="C2249" s="16" t="n"/>
      <c r="D2249" s="17" t="n"/>
      <c r="E2249" s="17" t="n"/>
      <c r="F2249" s="17" t="n"/>
      <c r="G2249" s="17" t="n"/>
      <c r="H2249" s="18">
        <f>IF(AND(B2249="",C2249="",D2249="",E2249=""),"",IF(B2249="","⚠ Falta fecha",IF(C2249="","⚠ Falta monto",IF(D2249="","⚠ Falta categoría",IF(ISNA(MATCH(D2249,catNom,0)),"⚠ Categoría no existe",IF(E2249="","⚠ Falta cuenta",IF(ISNA(MATCH(E2249,ctaNom,0)),"⚠ Cuenta no existe",IF(AND(OR(I2249="Transferencia",I2249="Pago tarjeta"),G2249=""),"⚠ Indica la cuenta «Hacia»",IF(AND(G2249&lt;&gt;"",G2249=E2249),"⚠ «Hacia» igual a la cuenta",IF(AND(G2249&lt;&gt;"",ISNA(MATCH(G2249,ctaNom,0))),"⚠ «Hacia» no existe",IF(AND(I2249="Pago tarjeta",IFERROR(INDEX(ctaTipo,MATCH(G2249,ctaNom,0)),"")&lt;&gt;"Tarjeta de crédito"),"⚠ «Hacia» debe ser la tarjeta",IF(AND(I2249="Trading",IFERROR(INDEX(ctaTipo,MATCH(E2249,ctaNom,0)),"")&lt;&gt;"Cuenta de trading"),"⚠ Usa la cuenta de trading","✓"))))))))))))</f>
        <v/>
      </c>
      <c r="I2249" s="19">
        <f>IF(OR(B2249="",C2249="",D2249=""),"",IFERROR(INDEX(catTipo,MATCH(D2249,catNom,0))&amp;"",""))</f>
        <v/>
      </c>
      <c r="J2249" s="19">
        <f>IF(I2249="","",IFERROR(INDEX(catGrupo,MATCH(D2249,catNom,0))&amp;"",""))</f>
        <v/>
      </c>
      <c r="K2249" s="19">
        <f>IF(I2249="Gasto",IF(IFERROR(INDEX(catClas,MATCH(D2249,catNom,0))&amp;"","")="","Variable",IFERROR(INDEX(catClas,MATCH(D2249,catNom,0))&amp;"","")),"")</f>
        <v/>
      </c>
      <c r="L2249" s="19">
        <f>IF(I2249="","",IFERROR(INDEX(catAlim,MATCH(D2249,catNom,0))&amp;"",""))</f>
        <v/>
      </c>
      <c r="M2249" s="19">
        <f>IF(I2249="","",IFERROR(INDEX(catComida,MATCH(D2249,catNom,0))&amp;"",""))</f>
        <v/>
      </c>
      <c r="N2249" s="19">
        <f>IF(I2249="","",IFERROR(INDEX(ctaMon,MATCH(E2249,ctaNom,0))&amp;"","DOP"))</f>
        <v/>
      </c>
      <c r="O2249" s="20">
        <f>IF(I2249="","",C2249*IF(N2249="USD",TasaUSD,1))</f>
        <v/>
      </c>
      <c r="P2249" s="20">
        <f>IF(I2249="","",IF(I2249="Gasto",O2249,0))</f>
        <v/>
      </c>
      <c r="Q2249" s="20">
        <f>IF(I2249="","",IF(I2249="Ingreso",O2249,0))</f>
        <v/>
      </c>
      <c r="R2249" s="20">
        <f>IF(I2249="","",IF(I2249="Trading",O2249,0))</f>
        <v/>
      </c>
      <c r="S2249" s="19">
        <f>IF(I2249="","",IF(AND(I2249="Gasto",K2249="Variable",J2249&lt;&gt;"Trading",O2249&gt;0,O2249&lt;=Umbral),1,0))</f>
        <v/>
      </c>
      <c r="T2249" s="20">
        <f>IF(OR(I2249="",E2249=""),"",IF(OR(I2249="Gasto",I2249="Transferencia",I2249="Pago tarjeta"),-1,1)*C2249)</f>
        <v/>
      </c>
      <c r="U2249" s="20">
        <f>IF(OR(G2249="",AND(I2249&lt;&gt;"Transferencia",I2249&lt;&gt;"Pago tarjeta")),"",IF(IFERROR(INDEX(ctaMon,MATCH(G2249,ctaNom,0))&amp;"","DOP")=N2249,C2249,IF(N2249="USD",C2249*TasaUSD,C2249/TasaUSD)))</f>
        <v/>
      </c>
      <c r="V2249" s="20">
        <f>IF(I2249="","",IF(IFERROR(INDEX(ctaLiq,MATCH(E2249,ctaNom,0))="Sí",FALSE),IF(OR(I2249="Gasto",I2249="Transferencia",I2249="Pago tarjeta"),-1,1)*O2249,0)+IF(AND(U2249&lt;&gt;"",IFERROR(INDEX(ctaLiq,MATCH(G2249,ctaNom,0))="Sí",FALSE)),O2249,0))</f>
        <v/>
      </c>
      <c r="W2249" s="19">
        <f>IF(OR(F2249="",I2249=""),"",IF(COUNTIFS(F$6:F2249,F2249,I$6:I2249,"?*")=1,MAX(W$5:W2248)+1,""))</f>
        <v/>
      </c>
    </row>
    <row r="2250">
      <c r="B2250" s="15" t="n"/>
      <c r="C2250" s="16" t="n"/>
      <c r="D2250" s="17" t="n"/>
      <c r="E2250" s="17" t="n"/>
      <c r="F2250" s="17" t="n"/>
      <c r="G2250" s="17" t="n"/>
      <c r="H2250" s="18">
        <f>IF(AND(B2250="",C2250="",D2250="",E2250=""),"",IF(B2250="","⚠ Falta fecha",IF(C2250="","⚠ Falta monto",IF(D2250="","⚠ Falta categoría",IF(ISNA(MATCH(D2250,catNom,0)),"⚠ Categoría no existe",IF(E2250="","⚠ Falta cuenta",IF(ISNA(MATCH(E2250,ctaNom,0)),"⚠ Cuenta no existe",IF(AND(OR(I2250="Transferencia",I2250="Pago tarjeta"),G2250=""),"⚠ Indica la cuenta «Hacia»",IF(AND(G2250&lt;&gt;"",G2250=E2250),"⚠ «Hacia» igual a la cuenta",IF(AND(G2250&lt;&gt;"",ISNA(MATCH(G2250,ctaNom,0))),"⚠ «Hacia» no existe",IF(AND(I2250="Pago tarjeta",IFERROR(INDEX(ctaTipo,MATCH(G2250,ctaNom,0)),"")&lt;&gt;"Tarjeta de crédito"),"⚠ «Hacia» debe ser la tarjeta",IF(AND(I2250="Trading",IFERROR(INDEX(ctaTipo,MATCH(E2250,ctaNom,0)),"")&lt;&gt;"Cuenta de trading"),"⚠ Usa la cuenta de trading","✓"))))))))))))</f>
        <v/>
      </c>
      <c r="I2250" s="19">
        <f>IF(OR(B2250="",C2250="",D2250=""),"",IFERROR(INDEX(catTipo,MATCH(D2250,catNom,0))&amp;"",""))</f>
        <v/>
      </c>
      <c r="J2250" s="19">
        <f>IF(I2250="","",IFERROR(INDEX(catGrupo,MATCH(D2250,catNom,0))&amp;"",""))</f>
        <v/>
      </c>
      <c r="K2250" s="19">
        <f>IF(I2250="Gasto",IF(IFERROR(INDEX(catClas,MATCH(D2250,catNom,0))&amp;"","")="","Variable",IFERROR(INDEX(catClas,MATCH(D2250,catNom,0))&amp;"","")),"")</f>
        <v/>
      </c>
      <c r="L2250" s="19">
        <f>IF(I2250="","",IFERROR(INDEX(catAlim,MATCH(D2250,catNom,0))&amp;"",""))</f>
        <v/>
      </c>
      <c r="M2250" s="19">
        <f>IF(I2250="","",IFERROR(INDEX(catComida,MATCH(D2250,catNom,0))&amp;"",""))</f>
        <v/>
      </c>
      <c r="N2250" s="19">
        <f>IF(I2250="","",IFERROR(INDEX(ctaMon,MATCH(E2250,ctaNom,0))&amp;"","DOP"))</f>
        <v/>
      </c>
      <c r="O2250" s="20">
        <f>IF(I2250="","",C2250*IF(N2250="USD",TasaUSD,1))</f>
        <v/>
      </c>
      <c r="P2250" s="20">
        <f>IF(I2250="","",IF(I2250="Gasto",O2250,0))</f>
        <v/>
      </c>
      <c r="Q2250" s="20">
        <f>IF(I2250="","",IF(I2250="Ingreso",O2250,0))</f>
        <v/>
      </c>
      <c r="R2250" s="20">
        <f>IF(I2250="","",IF(I2250="Trading",O2250,0))</f>
        <v/>
      </c>
      <c r="S2250" s="19">
        <f>IF(I2250="","",IF(AND(I2250="Gasto",K2250="Variable",J2250&lt;&gt;"Trading",O2250&gt;0,O2250&lt;=Umbral),1,0))</f>
        <v/>
      </c>
      <c r="T2250" s="20">
        <f>IF(OR(I2250="",E2250=""),"",IF(OR(I2250="Gasto",I2250="Transferencia",I2250="Pago tarjeta"),-1,1)*C2250)</f>
        <v/>
      </c>
      <c r="U2250" s="20">
        <f>IF(OR(G2250="",AND(I2250&lt;&gt;"Transferencia",I2250&lt;&gt;"Pago tarjeta")),"",IF(IFERROR(INDEX(ctaMon,MATCH(G2250,ctaNom,0))&amp;"","DOP")=N2250,C2250,IF(N2250="USD",C2250*TasaUSD,C2250/TasaUSD)))</f>
        <v/>
      </c>
      <c r="V2250" s="20">
        <f>IF(I2250="","",IF(IFERROR(INDEX(ctaLiq,MATCH(E2250,ctaNom,0))="Sí",FALSE),IF(OR(I2250="Gasto",I2250="Transferencia",I2250="Pago tarjeta"),-1,1)*O2250,0)+IF(AND(U2250&lt;&gt;"",IFERROR(INDEX(ctaLiq,MATCH(G2250,ctaNom,0))="Sí",FALSE)),O2250,0))</f>
        <v/>
      </c>
      <c r="W2250" s="19">
        <f>IF(OR(F2250="",I2250=""),"",IF(COUNTIFS(F$6:F2250,F2250,I$6:I2250,"?*")=1,MAX(W$5:W2249)+1,""))</f>
        <v/>
      </c>
    </row>
    <row r="2251">
      <c r="B2251" s="15" t="n"/>
      <c r="C2251" s="16" t="n"/>
      <c r="D2251" s="17" t="n"/>
      <c r="E2251" s="17" t="n"/>
      <c r="F2251" s="17" t="n"/>
      <c r="G2251" s="17" t="n"/>
      <c r="H2251" s="18">
        <f>IF(AND(B2251="",C2251="",D2251="",E2251=""),"",IF(B2251="","⚠ Falta fecha",IF(C2251="","⚠ Falta monto",IF(D2251="","⚠ Falta categoría",IF(ISNA(MATCH(D2251,catNom,0)),"⚠ Categoría no existe",IF(E2251="","⚠ Falta cuenta",IF(ISNA(MATCH(E2251,ctaNom,0)),"⚠ Cuenta no existe",IF(AND(OR(I2251="Transferencia",I2251="Pago tarjeta"),G2251=""),"⚠ Indica la cuenta «Hacia»",IF(AND(G2251&lt;&gt;"",G2251=E2251),"⚠ «Hacia» igual a la cuenta",IF(AND(G2251&lt;&gt;"",ISNA(MATCH(G2251,ctaNom,0))),"⚠ «Hacia» no existe",IF(AND(I2251="Pago tarjeta",IFERROR(INDEX(ctaTipo,MATCH(G2251,ctaNom,0)),"")&lt;&gt;"Tarjeta de crédito"),"⚠ «Hacia» debe ser la tarjeta",IF(AND(I2251="Trading",IFERROR(INDEX(ctaTipo,MATCH(E2251,ctaNom,0)),"")&lt;&gt;"Cuenta de trading"),"⚠ Usa la cuenta de trading","✓"))))))))))))</f>
        <v/>
      </c>
      <c r="I2251" s="19">
        <f>IF(OR(B2251="",C2251="",D2251=""),"",IFERROR(INDEX(catTipo,MATCH(D2251,catNom,0))&amp;"",""))</f>
        <v/>
      </c>
      <c r="J2251" s="19">
        <f>IF(I2251="","",IFERROR(INDEX(catGrupo,MATCH(D2251,catNom,0))&amp;"",""))</f>
        <v/>
      </c>
      <c r="K2251" s="19">
        <f>IF(I2251="Gasto",IF(IFERROR(INDEX(catClas,MATCH(D2251,catNom,0))&amp;"","")="","Variable",IFERROR(INDEX(catClas,MATCH(D2251,catNom,0))&amp;"","")),"")</f>
        <v/>
      </c>
      <c r="L2251" s="19">
        <f>IF(I2251="","",IFERROR(INDEX(catAlim,MATCH(D2251,catNom,0))&amp;"",""))</f>
        <v/>
      </c>
      <c r="M2251" s="19">
        <f>IF(I2251="","",IFERROR(INDEX(catComida,MATCH(D2251,catNom,0))&amp;"",""))</f>
        <v/>
      </c>
      <c r="N2251" s="19">
        <f>IF(I2251="","",IFERROR(INDEX(ctaMon,MATCH(E2251,ctaNom,0))&amp;"","DOP"))</f>
        <v/>
      </c>
      <c r="O2251" s="20">
        <f>IF(I2251="","",C2251*IF(N2251="USD",TasaUSD,1))</f>
        <v/>
      </c>
      <c r="P2251" s="20">
        <f>IF(I2251="","",IF(I2251="Gasto",O2251,0))</f>
        <v/>
      </c>
      <c r="Q2251" s="20">
        <f>IF(I2251="","",IF(I2251="Ingreso",O2251,0))</f>
        <v/>
      </c>
      <c r="R2251" s="20">
        <f>IF(I2251="","",IF(I2251="Trading",O2251,0))</f>
        <v/>
      </c>
      <c r="S2251" s="19">
        <f>IF(I2251="","",IF(AND(I2251="Gasto",K2251="Variable",J2251&lt;&gt;"Trading",O2251&gt;0,O2251&lt;=Umbral),1,0))</f>
        <v/>
      </c>
      <c r="T2251" s="20">
        <f>IF(OR(I2251="",E2251=""),"",IF(OR(I2251="Gasto",I2251="Transferencia",I2251="Pago tarjeta"),-1,1)*C2251)</f>
        <v/>
      </c>
      <c r="U2251" s="20">
        <f>IF(OR(G2251="",AND(I2251&lt;&gt;"Transferencia",I2251&lt;&gt;"Pago tarjeta")),"",IF(IFERROR(INDEX(ctaMon,MATCH(G2251,ctaNom,0))&amp;"","DOP")=N2251,C2251,IF(N2251="USD",C2251*TasaUSD,C2251/TasaUSD)))</f>
        <v/>
      </c>
      <c r="V2251" s="20">
        <f>IF(I2251="","",IF(IFERROR(INDEX(ctaLiq,MATCH(E2251,ctaNom,0))="Sí",FALSE),IF(OR(I2251="Gasto",I2251="Transferencia",I2251="Pago tarjeta"),-1,1)*O2251,0)+IF(AND(U2251&lt;&gt;"",IFERROR(INDEX(ctaLiq,MATCH(G2251,ctaNom,0))="Sí",FALSE)),O2251,0))</f>
        <v/>
      </c>
      <c r="W2251" s="19">
        <f>IF(OR(F2251="",I2251=""),"",IF(COUNTIFS(F$6:F2251,F2251,I$6:I2251,"?*")=1,MAX(W$5:W2250)+1,""))</f>
        <v/>
      </c>
    </row>
    <row r="2252">
      <c r="B2252" s="15" t="n"/>
      <c r="C2252" s="16" t="n"/>
      <c r="D2252" s="17" t="n"/>
      <c r="E2252" s="17" t="n"/>
      <c r="F2252" s="17" t="n"/>
      <c r="G2252" s="17" t="n"/>
      <c r="H2252" s="18">
        <f>IF(AND(B2252="",C2252="",D2252="",E2252=""),"",IF(B2252="","⚠ Falta fecha",IF(C2252="","⚠ Falta monto",IF(D2252="","⚠ Falta categoría",IF(ISNA(MATCH(D2252,catNom,0)),"⚠ Categoría no existe",IF(E2252="","⚠ Falta cuenta",IF(ISNA(MATCH(E2252,ctaNom,0)),"⚠ Cuenta no existe",IF(AND(OR(I2252="Transferencia",I2252="Pago tarjeta"),G2252=""),"⚠ Indica la cuenta «Hacia»",IF(AND(G2252&lt;&gt;"",G2252=E2252),"⚠ «Hacia» igual a la cuenta",IF(AND(G2252&lt;&gt;"",ISNA(MATCH(G2252,ctaNom,0))),"⚠ «Hacia» no existe",IF(AND(I2252="Pago tarjeta",IFERROR(INDEX(ctaTipo,MATCH(G2252,ctaNom,0)),"")&lt;&gt;"Tarjeta de crédito"),"⚠ «Hacia» debe ser la tarjeta",IF(AND(I2252="Trading",IFERROR(INDEX(ctaTipo,MATCH(E2252,ctaNom,0)),"")&lt;&gt;"Cuenta de trading"),"⚠ Usa la cuenta de trading","✓"))))))))))))</f>
        <v/>
      </c>
      <c r="I2252" s="19">
        <f>IF(OR(B2252="",C2252="",D2252=""),"",IFERROR(INDEX(catTipo,MATCH(D2252,catNom,0))&amp;"",""))</f>
        <v/>
      </c>
      <c r="J2252" s="19">
        <f>IF(I2252="","",IFERROR(INDEX(catGrupo,MATCH(D2252,catNom,0))&amp;"",""))</f>
        <v/>
      </c>
      <c r="K2252" s="19">
        <f>IF(I2252="Gasto",IF(IFERROR(INDEX(catClas,MATCH(D2252,catNom,0))&amp;"","")="","Variable",IFERROR(INDEX(catClas,MATCH(D2252,catNom,0))&amp;"","")),"")</f>
        <v/>
      </c>
      <c r="L2252" s="19">
        <f>IF(I2252="","",IFERROR(INDEX(catAlim,MATCH(D2252,catNom,0))&amp;"",""))</f>
        <v/>
      </c>
      <c r="M2252" s="19">
        <f>IF(I2252="","",IFERROR(INDEX(catComida,MATCH(D2252,catNom,0))&amp;"",""))</f>
        <v/>
      </c>
      <c r="N2252" s="19">
        <f>IF(I2252="","",IFERROR(INDEX(ctaMon,MATCH(E2252,ctaNom,0))&amp;"","DOP"))</f>
        <v/>
      </c>
      <c r="O2252" s="20">
        <f>IF(I2252="","",C2252*IF(N2252="USD",TasaUSD,1))</f>
        <v/>
      </c>
      <c r="P2252" s="20">
        <f>IF(I2252="","",IF(I2252="Gasto",O2252,0))</f>
        <v/>
      </c>
      <c r="Q2252" s="20">
        <f>IF(I2252="","",IF(I2252="Ingreso",O2252,0))</f>
        <v/>
      </c>
      <c r="R2252" s="20">
        <f>IF(I2252="","",IF(I2252="Trading",O2252,0))</f>
        <v/>
      </c>
      <c r="S2252" s="19">
        <f>IF(I2252="","",IF(AND(I2252="Gasto",K2252="Variable",J2252&lt;&gt;"Trading",O2252&gt;0,O2252&lt;=Umbral),1,0))</f>
        <v/>
      </c>
      <c r="T2252" s="20">
        <f>IF(OR(I2252="",E2252=""),"",IF(OR(I2252="Gasto",I2252="Transferencia",I2252="Pago tarjeta"),-1,1)*C2252)</f>
        <v/>
      </c>
      <c r="U2252" s="20">
        <f>IF(OR(G2252="",AND(I2252&lt;&gt;"Transferencia",I2252&lt;&gt;"Pago tarjeta")),"",IF(IFERROR(INDEX(ctaMon,MATCH(G2252,ctaNom,0))&amp;"","DOP")=N2252,C2252,IF(N2252="USD",C2252*TasaUSD,C2252/TasaUSD)))</f>
        <v/>
      </c>
      <c r="V2252" s="20">
        <f>IF(I2252="","",IF(IFERROR(INDEX(ctaLiq,MATCH(E2252,ctaNom,0))="Sí",FALSE),IF(OR(I2252="Gasto",I2252="Transferencia",I2252="Pago tarjeta"),-1,1)*O2252,0)+IF(AND(U2252&lt;&gt;"",IFERROR(INDEX(ctaLiq,MATCH(G2252,ctaNom,0))="Sí",FALSE)),O2252,0))</f>
        <v/>
      </c>
      <c r="W2252" s="19">
        <f>IF(OR(F2252="",I2252=""),"",IF(COUNTIFS(F$6:F2252,F2252,I$6:I2252,"?*")=1,MAX(W$5:W2251)+1,""))</f>
        <v/>
      </c>
    </row>
    <row r="2253">
      <c r="B2253" s="15" t="n"/>
      <c r="C2253" s="16" t="n"/>
      <c r="D2253" s="17" t="n"/>
      <c r="E2253" s="17" t="n"/>
      <c r="F2253" s="17" t="n"/>
      <c r="G2253" s="17" t="n"/>
      <c r="H2253" s="18">
        <f>IF(AND(B2253="",C2253="",D2253="",E2253=""),"",IF(B2253="","⚠ Falta fecha",IF(C2253="","⚠ Falta monto",IF(D2253="","⚠ Falta categoría",IF(ISNA(MATCH(D2253,catNom,0)),"⚠ Categoría no existe",IF(E2253="","⚠ Falta cuenta",IF(ISNA(MATCH(E2253,ctaNom,0)),"⚠ Cuenta no existe",IF(AND(OR(I2253="Transferencia",I2253="Pago tarjeta"),G2253=""),"⚠ Indica la cuenta «Hacia»",IF(AND(G2253&lt;&gt;"",G2253=E2253),"⚠ «Hacia» igual a la cuenta",IF(AND(G2253&lt;&gt;"",ISNA(MATCH(G2253,ctaNom,0))),"⚠ «Hacia» no existe",IF(AND(I2253="Pago tarjeta",IFERROR(INDEX(ctaTipo,MATCH(G2253,ctaNom,0)),"")&lt;&gt;"Tarjeta de crédito"),"⚠ «Hacia» debe ser la tarjeta",IF(AND(I2253="Trading",IFERROR(INDEX(ctaTipo,MATCH(E2253,ctaNom,0)),"")&lt;&gt;"Cuenta de trading"),"⚠ Usa la cuenta de trading","✓"))))))))))))</f>
        <v/>
      </c>
      <c r="I2253" s="19">
        <f>IF(OR(B2253="",C2253="",D2253=""),"",IFERROR(INDEX(catTipo,MATCH(D2253,catNom,0))&amp;"",""))</f>
        <v/>
      </c>
      <c r="J2253" s="19">
        <f>IF(I2253="","",IFERROR(INDEX(catGrupo,MATCH(D2253,catNom,0))&amp;"",""))</f>
        <v/>
      </c>
      <c r="K2253" s="19">
        <f>IF(I2253="Gasto",IF(IFERROR(INDEX(catClas,MATCH(D2253,catNom,0))&amp;"","")="","Variable",IFERROR(INDEX(catClas,MATCH(D2253,catNom,0))&amp;"","")),"")</f>
        <v/>
      </c>
      <c r="L2253" s="19">
        <f>IF(I2253="","",IFERROR(INDEX(catAlim,MATCH(D2253,catNom,0))&amp;"",""))</f>
        <v/>
      </c>
      <c r="M2253" s="19">
        <f>IF(I2253="","",IFERROR(INDEX(catComida,MATCH(D2253,catNom,0))&amp;"",""))</f>
        <v/>
      </c>
      <c r="N2253" s="19">
        <f>IF(I2253="","",IFERROR(INDEX(ctaMon,MATCH(E2253,ctaNom,0))&amp;"","DOP"))</f>
        <v/>
      </c>
      <c r="O2253" s="20">
        <f>IF(I2253="","",C2253*IF(N2253="USD",TasaUSD,1))</f>
        <v/>
      </c>
      <c r="P2253" s="20">
        <f>IF(I2253="","",IF(I2253="Gasto",O2253,0))</f>
        <v/>
      </c>
      <c r="Q2253" s="20">
        <f>IF(I2253="","",IF(I2253="Ingreso",O2253,0))</f>
        <v/>
      </c>
      <c r="R2253" s="20">
        <f>IF(I2253="","",IF(I2253="Trading",O2253,0))</f>
        <v/>
      </c>
      <c r="S2253" s="19">
        <f>IF(I2253="","",IF(AND(I2253="Gasto",K2253="Variable",J2253&lt;&gt;"Trading",O2253&gt;0,O2253&lt;=Umbral),1,0))</f>
        <v/>
      </c>
      <c r="T2253" s="20">
        <f>IF(OR(I2253="",E2253=""),"",IF(OR(I2253="Gasto",I2253="Transferencia",I2253="Pago tarjeta"),-1,1)*C2253)</f>
        <v/>
      </c>
      <c r="U2253" s="20">
        <f>IF(OR(G2253="",AND(I2253&lt;&gt;"Transferencia",I2253&lt;&gt;"Pago tarjeta")),"",IF(IFERROR(INDEX(ctaMon,MATCH(G2253,ctaNom,0))&amp;"","DOP")=N2253,C2253,IF(N2253="USD",C2253*TasaUSD,C2253/TasaUSD)))</f>
        <v/>
      </c>
      <c r="V2253" s="20">
        <f>IF(I2253="","",IF(IFERROR(INDEX(ctaLiq,MATCH(E2253,ctaNom,0))="Sí",FALSE),IF(OR(I2253="Gasto",I2253="Transferencia",I2253="Pago tarjeta"),-1,1)*O2253,0)+IF(AND(U2253&lt;&gt;"",IFERROR(INDEX(ctaLiq,MATCH(G2253,ctaNom,0))="Sí",FALSE)),O2253,0))</f>
        <v/>
      </c>
      <c r="W2253" s="19">
        <f>IF(OR(F2253="",I2253=""),"",IF(COUNTIFS(F$6:F2253,F2253,I$6:I2253,"?*")=1,MAX(W$5:W2252)+1,""))</f>
        <v/>
      </c>
    </row>
    <row r="2254">
      <c r="B2254" s="15" t="n"/>
      <c r="C2254" s="16" t="n"/>
      <c r="D2254" s="17" t="n"/>
      <c r="E2254" s="17" t="n"/>
      <c r="F2254" s="17" t="n"/>
      <c r="G2254" s="17" t="n"/>
      <c r="H2254" s="18">
        <f>IF(AND(B2254="",C2254="",D2254="",E2254=""),"",IF(B2254="","⚠ Falta fecha",IF(C2254="","⚠ Falta monto",IF(D2254="","⚠ Falta categoría",IF(ISNA(MATCH(D2254,catNom,0)),"⚠ Categoría no existe",IF(E2254="","⚠ Falta cuenta",IF(ISNA(MATCH(E2254,ctaNom,0)),"⚠ Cuenta no existe",IF(AND(OR(I2254="Transferencia",I2254="Pago tarjeta"),G2254=""),"⚠ Indica la cuenta «Hacia»",IF(AND(G2254&lt;&gt;"",G2254=E2254),"⚠ «Hacia» igual a la cuenta",IF(AND(G2254&lt;&gt;"",ISNA(MATCH(G2254,ctaNom,0))),"⚠ «Hacia» no existe",IF(AND(I2254="Pago tarjeta",IFERROR(INDEX(ctaTipo,MATCH(G2254,ctaNom,0)),"")&lt;&gt;"Tarjeta de crédito"),"⚠ «Hacia» debe ser la tarjeta",IF(AND(I2254="Trading",IFERROR(INDEX(ctaTipo,MATCH(E2254,ctaNom,0)),"")&lt;&gt;"Cuenta de trading"),"⚠ Usa la cuenta de trading","✓"))))))))))))</f>
        <v/>
      </c>
      <c r="I2254" s="19">
        <f>IF(OR(B2254="",C2254="",D2254=""),"",IFERROR(INDEX(catTipo,MATCH(D2254,catNom,0))&amp;"",""))</f>
        <v/>
      </c>
      <c r="J2254" s="19">
        <f>IF(I2254="","",IFERROR(INDEX(catGrupo,MATCH(D2254,catNom,0))&amp;"",""))</f>
        <v/>
      </c>
      <c r="K2254" s="19">
        <f>IF(I2254="Gasto",IF(IFERROR(INDEX(catClas,MATCH(D2254,catNom,0))&amp;"","")="","Variable",IFERROR(INDEX(catClas,MATCH(D2254,catNom,0))&amp;"","")),"")</f>
        <v/>
      </c>
      <c r="L2254" s="19">
        <f>IF(I2254="","",IFERROR(INDEX(catAlim,MATCH(D2254,catNom,0))&amp;"",""))</f>
        <v/>
      </c>
      <c r="M2254" s="19">
        <f>IF(I2254="","",IFERROR(INDEX(catComida,MATCH(D2254,catNom,0))&amp;"",""))</f>
        <v/>
      </c>
      <c r="N2254" s="19">
        <f>IF(I2254="","",IFERROR(INDEX(ctaMon,MATCH(E2254,ctaNom,0))&amp;"","DOP"))</f>
        <v/>
      </c>
      <c r="O2254" s="20">
        <f>IF(I2254="","",C2254*IF(N2254="USD",TasaUSD,1))</f>
        <v/>
      </c>
      <c r="P2254" s="20">
        <f>IF(I2254="","",IF(I2254="Gasto",O2254,0))</f>
        <v/>
      </c>
      <c r="Q2254" s="20">
        <f>IF(I2254="","",IF(I2254="Ingreso",O2254,0))</f>
        <v/>
      </c>
      <c r="R2254" s="20">
        <f>IF(I2254="","",IF(I2254="Trading",O2254,0))</f>
        <v/>
      </c>
      <c r="S2254" s="19">
        <f>IF(I2254="","",IF(AND(I2254="Gasto",K2254="Variable",J2254&lt;&gt;"Trading",O2254&gt;0,O2254&lt;=Umbral),1,0))</f>
        <v/>
      </c>
      <c r="T2254" s="20">
        <f>IF(OR(I2254="",E2254=""),"",IF(OR(I2254="Gasto",I2254="Transferencia",I2254="Pago tarjeta"),-1,1)*C2254)</f>
        <v/>
      </c>
      <c r="U2254" s="20">
        <f>IF(OR(G2254="",AND(I2254&lt;&gt;"Transferencia",I2254&lt;&gt;"Pago tarjeta")),"",IF(IFERROR(INDEX(ctaMon,MATCH(G2254,ctaNom,0))&amp;"","DOP")=N2254,C2254,IF(N2254="USD",C2254*TasaUSD,C2254/TasaUSD)))</f>
        <v/>
      </c>
      <c r="V2254" s="20">
        <f>IF(I2254="","",IF(IFERROR(INDEX(ctaLiq,MATCH(E2254,ctaNom,0))="Sí",FALSE),IF(OR(I2254="Gasto",I2254="Transferencia",I2254="Pago tarjeta"),-1,1)*O2254,0)+IF(AND(U2254&lt;&gt;"",IFERROR(INDEX(ctaLiq,MATCH(G2254,ctaNom,0))="Sí",FALSE)),O2254,0))</f>
        <v/>
      </c>
      <c r="W2254" s="19">
        <f>IF(OR(F2254="",I2254=""),"",IF(COUNTIFS(F$6:F2254,F2254,I$6:I2254,"?*")=1,MAX(W$5:W2253)+1,""))</f>
        <v/>
      </c>
    </row>
    <row r="2255">
      <c r="B2255" s="15" t="n"/>
      <c r="C2255" s="16" t="n"/>
      <c r="D2255" s="17" t="n"/>
      <c r="E2255" s="17" t="n"/>
      <c r="F2255" s="17" t="n"/>
      <c r="G2255" s="17" t="n"/>
      <c r="H2255" s="18">
        <f>IF(AND(B2255="",C2255="",D2255="",E2255=""),"",IF(B2255="","⚠ Falta fecha",IF(C2255="","⚠ Falta monto",IF(D2255="","⚠ Falta categoría",IF(ISNA(MATCH(D2255,catNom,0)),"⚠ Categoría no existe",IF(E2255="","⚠ Falta cuenta",IF(ISNA(MATCH(E2255,ctaNom,0)),"⚠ Cuenta no existe",IF(AND(OR(I2255="Transferencia",I2255="Pago tarjeta"),G2255=""),"⚠ Indica la cuenta «Hacia»",IF(AND(G2255&lt;&gt;"",G2255=E2255),"⚠ «Hacia» igual a la cuenta",IF(AND(G2255&lt;&gt;"",ISNA(MATCH(G2255,ctaNom,0))),"⚠ «Hacia» no existe",IF(AND(I2255="Pago tarjeta",IFERROR(INDEX(ctaTipo,MATCH(G2255,ctaNom,0)),"")&lt;&gt;"Tarjeta de crédito"),"⚠ «Hacia» debe ser la tarjeta",IF(AND(I2255="Trading",IFERROR(INDEX(ctaTipo,MATCH(E2255,ctaNom,0)),"")&lt;&gt;"Cuenta de trading"),"⚠ Usa la cuenta de trading","✓"))))))))))))</f>
        <v/>
      </c>
      <c r="I2255" s="19">
        <f>IF(OR(B2255="",C2255="",D2255=""),"",IFERROR(INDEX(catTipo,MATCH(D2255,catNom,0))&amp;"",""))</f>
        <v/>
      </c>
      <c r="J2255" s="19">
        <f>IF(I2255="","",IFERROR(INDEX(catGrupo,MATCH(D2255,catNom,0))&amp;"",""))</f>
        <v/>
      </c>
      <c r="K2255" s="19">
        <f>IF(I2255="Gasto",IF(IFERROR(INDEX(catClas,MATCH(D2255,catNom,0))&amp;"","")="","Variable",IFERROR(INDEX(catClas,MATCH(D2255,catNom,0))&amp;"","")),"")</f>
        <v/>
      </c>
      <c r="L2255" s="19">
        <f>IF(I2255="","",IFERROR(INDEX(catAlim,MATCH(D2255,catNom,0))&amp;"",""))</f>
        <v/>
      </c>
      <c r="M2255" s="19">
        <f>IF(I2255="","",IFERROR(INDEX(catComida,MATCH(D2255,catNom,0))&amp;"",""))</f>
        <v/>
      </c>
      <c r="N2255" s="19">
        <f>IF(I2255="","",IFERROR(INDEX(ctaMon,MATCH(E2255,ctaNom,0))&amp;"","DOP"))</f>
        <v/>
      </c>
      <c r="O2255" s="20">
        <f>IF(I2255="","",C2255*IF(N2255="USD",TasaUSD,1))</f>
        <v/>
      </c>
      <c r="P2255" s="20">
        <f>IF(I2255="","",IF(I2255="Gasto",O2255,0))</f>
        <v/>
      </c>
      <c r="Q2255" s="20">
        <f>IF(I2255="","",IF(I2255="Ingreso",O2255,0))</f>
        <v/>
      </c>
      <c r="R2255" s="20">
        <f>IF(I2255="","",IF(I2255="Trading",O2255,0))</f>
        <v/>
      </c>
      <c r="S2255" s="19">
        <f>IF(I2255="","",IF(AND(I2255="Gasto",K2255="Variable",J2255&lt;&gt;"Trading",O2255&gt;0,O2255&lt;=Umbral),1,0))</f>
        <v/>
      </c>
      <c r="T2255" s="20">
        <f>IF(OR(I2255="",E2255=""),"",IF(OR(I2255="Gasto",I2255="Transferencia",I2255="Pago tarjeta"),-1,1)*C2255)</f>
        <v/>
      </c>
      <c r="U2255" s="20">
        <f>IF(OR(G2255="",AND(I2255&lt;&gt;"Transferencia",I2255&lt;&gt;"Pago tarjeta")),"",IF(IFERROR(INDEX(ctaMon,MATCH(G2255,ctaNom,0))&amp;"","DOP")=N2255,C2255,IF(N2255="USD",C2255*TasaUSD,C2255/TasaUSD)))</f>
        <v/>
      </c>
      <c r="V2255" s="20">
        <f>IF(I2255="","",IF(IFERROR(INDEX(ctaLiq,MATCH(E2255,ctaNom,0))="Sí",FALSE),IF(OR(I2255="Gasto",I2255="Transferencia",I2255="Pago tarjeta"),-1,1)*O2255,0)+IF(AND(U2255&lt;&gt;"",IFERROR(INDEX(ctaLiq,MATCH(G2255,ctaNom,0))="Sí",FALSE)),O2255,0))</f>
        <v/>
      </c>
      <c r="W2255" s="19">
        <f>IF(OR(F2255="",I2255=""),"",IF(COUNTIFS(F$6:F2255,F2255,I$6:I2255,"?*")=1,MAX(W$5:W2254)+1,""))</f>
        <v/>
      </c>
    </row>
    <row r="2256">
      <c r="B2256" s="15" t="n"/>
      <c r="C2256" s="16" t="n"/>
      <c r="D2256" s="17" t="n"/>
      <c r="E2256" s="17" t="n"/>
      <c r="F2256" s="17" t="n"/>
      <c r="G2256" s="17" t="n"/>
      <c r="H2256" s="18">
        <f>IF(AND(B2256="",C2256="",D2256="",E2256=""),"",IF(B2256="","⚠ Falta fecha",IF(C2256="","⚠ Falta monto",IF(D2256="","⚠ Falta categoría",IF(ISNA(MATCH(D2256,catNom,0)),"⚠ Categoría no existe",IF(E2256="","⚠ Falta cuenta",IF(ISNA(MATCH(E2256,ctaNom,0)),"⚠ Cuenta no existe",IF(AND(OR(I2256="Transferencia",I2256="Pago tarjeta"),G2256=""),"⚠ Indica la cuenta «Hacia»",IF(AND(G2256&lt;&gt;"",G2256=E2256),"⚠ «Hacia» igual a la cuenta",IF(AND(G2256&lt;&gt;"",ISNA(MATCH(G2256,ctaNom,0))),"⚠ «Hacia» no existe",IF(AND(I2256="Pago tarjeta",IFERROR(INDEX(ctaTipo,MATCH(G2256,ctaNom,0)),"")&lt;&gt;"Tarjeta de crédito"),"⚠ «Hacia» debe ser la tarjeta",IF(AND(I2256="Trading",IFERROR(INDEX(ctaTipo,MATCH(E2256,ctaNom,0)),"")&lt;&gt;"Cuenta de trading"),"⚠ Usa la cuenta de trading","✓"))))))))))))</f>
        <v/>
      </c>
      <c r="I2256" s="19">
        <f>IF(OR(B2256="",C2256="",D2256=""),"",IFERROR(INDEX(catTipo,MATCH(D2256,catNom,0))&amp;"",""))</f>
        <v/>
      </c>
      <c r="J2256" s="19">
        <f>IF(I2256="","",IFERROR(INDEX(catGrupo,MATCH(D2256,catNom,0))&amp;"",""))</f>
        <v/>
      </c>
      <c r="K2256" s="19">
        <f>IF(I2256="Gasto",IF(IFERROR(INDEX(catClas,MATCH(D2256,catNom,0))&amp;"","")="","Variable",IFERROR(INDEX(catClas,MATCH(D2256,catNom,0))&amp;"","")),"")</f>
        <v/>
      </c>
      <c r="L2256" s="19">
        <f>IF(I2256="","",IFERROR(INDEX(catAlim,MATCH(D2256,catNom,0))&amp;"",""))</f>
        <v/>
      </c>
      <c r="M2256" s="19">
        <f>IF(I2256="","",IFERROR(INDEX(catComida,MATCH(D2256,catNom,0))&amp;"",""))</f>
        <v/>
      </c>
      <c r="N2256" s="19">
        <f>IF(I2256="","",IFERROR(INDEX(ctaMon,MATCH(E2256,ctaNom,0))&amp;"","DOP"))</f>
        <v/>
      </c>
      <c r="O2256" s="20">
        <f>IF(I2256="","",C2256*IF(N2256="USD",TasaUSD,1))</f>
        <v/>
      </c>
      <c r="P2256" s="20">
        <f>IF(I2256="","",IF(I2256="Gasto",O2256,0))</f>
        <v/>
      </c>
      <c r="Q2256" s="20">
        <f>IF(I2256="","",IF(I2256="Ingreso",O2256,0))</f>
        <v/>
      </c>
      <c r="R2256" s="20">
        <f>IF(I2256="","",IF(I2256="Trading",O2256,0))</f>
        <v/>
      </c>
      <c r="S2256" s="19">
        <f>IF(I2256="","",IF(AND(I2256="Gasto",K2256="Variable",J2256&lt;&gt;"Trading",O2256&gt;0,O2256&lt;=Umbral),1,0))</f>
        <v/>
      </c>
      <c r="T2256" s="20">
        <f>IF(OR(I2256="",E2256=""),"",IF(OR(I2256="Gasto",I2256="Transferencia",I2256="Pago tarjeta"),-1,1)*C2256)</f>
        <v/>
      </c>
      <c r="U2256" s="20">
        <f>IF(OR(G2256="",AND(I2256&lt;&gt;"Transferencia",I2256&lt;&gt;"Pago tarjeta")),"",IF(IFERROR(INDEX(ctaMon,MATCH(G2256,ctaNom,0))&amp;"","DOP")=N2256,C2256,IF(N2256="USD",C2256*TasaUSD,C2256/TasaUSD)))</f>
        <v/>
      </c>
      <c r="V2256" s="20">
        <f>IF(I2256="","",IF(IFERROR(INDEX(ctaLiq,MATCH(E2256,ctaNom,0))="Sí",FALSE),IF(OR(I2256="Gasto",I2256="Transferencia",I2256="Pago tarjeta"),-1,1)*O2256,0)+IF(AND(U2256&lt;&gt;"",IFERROR(INDEX(ctaLiq,MATCH(G2256,ctaNom,0))="Sí",FALSE)),O2256,0))</f>
        <v/>
      </c>
      <c r="W2256" s="19">
        <f>IF(OR(F2256="",I2256=""),"",IF(COUNTIFS(F$6:F2256,F2256,I$6:I2256,"?*")=1,MAX(W$5:W2255)+1,""))</f>
        <v/>
      </c>
    </row>
    <row r="2257">
      <c r="B2257" s="15" t="n"/>
      <c r="C2257" s="16" t="n"/>
      <c r="D2257" s="17" t="n"/>
      <c r="E2257" s="17" t="n"/>
      <c r="F2257" s="17" t="n"/>
      <c r="G2257" s="17" t="n"/>
      <c r="H2257" s="18">
        <f>IF(AND(B2257="",C2257="",D2257="",E2257=""),"",IF(B2257="","⚠ Falta fecha",IF(C2257="","⚠ Falta monto",IF(D2257="","⚠ Falta categoría",IF(ISNA(MATCH(D2257,catNom,0)),"⚠ Categoría no existe",IF(E2257="","⚠ Falta cuenta",IF(ISNA(MATCH(E2257,ctaNom,0)),"⚠ Cuenta no existe",IF(AND(OR(I2257="Transferencia",I2257="Pago tarjeta"),G2257=""),"⚠ Indica la cuenta «Hacia»",IF(AND(G2257&lt;&gt;"",G2257=E2257),"⚠ «Hacia» igual a la cuenta",IF(AND(G2257&lt;&gt;"",ISNA(MATCH(G2257,ctaNom,0))),"⚠ «Hacia» no existe",IF(AND(I2257="Pago tarjeta",IFERROR(INDEX(ctaTipo,MATCH(G2257,ctaNom,0)),"")&lt;&gt;"Tarjeta de crédito"),"⚠ «Hacia» debe ser la tarjeta",IF(AND(I2257="Trading",IFERROR(INDEX(ctaTipo,MATCH(E2257,ctaNom,0)),"")&lt;&gt;"Cuenta de trading"),"⚠ Usa la cuenta de trading","✓"))))))))))))</f>
        <v/>
      </c>
      <c r="I2257" s="19">
        <f>IF(OR(B2257="",C2257="",D2257=""),"",IFERROR(INDEX(catTipo,MATCH(D2257,catNom,0))&amp;"",""))</f>
        <v/>
      </c>
      <c r="J2257" s="19">
        <f>IF(I2257="","",IFERROR(INDEX(catGrupo,MATCH(D2257,catNom,0))&amp;"",""))</f>
        <v/>
      </c>
      <c r="K2257" s="19">
        <f>IF(I2257="Gasto",IF(IFERROR(INDEX(catClas,MATCH(D2257,catNom,0))&amp;"","")="","Variable",IFERROR(INDEX(catClas,MATCH(D2257,catNom,0))&amp;"","")),"")</f>
        <v/>
      </c>
      <c r="L2257" s="19">
        <f>IF(I2257="","",IFERROR(INDEX(catAlim,MATCH(D2257,catNom,0))&amp;"",""))</f>
        <v/>
      </c>
      <c r="M2257" s="19">
        <f>IF(I2257="","",IFERROR(INDEX(catComida,MATCH(D2257,catNom,0))&amp;"",""))</f>
        <v/>
      </c>
      <c r="N2257" s="19">
        <f>IF(I2257="","",IFERROR(INDEX(ctaMon,MATCH(E2257,ctaNom,0))&amp;"","DOP"))</f>
        <v/>
      </c>
      <c r="O2257" s="20">
        <f>IF(I2257="","",C2257*IF(N2257="USD",TasaUSD,1))</f>
        <v/>
      </c>
      <c r="P2257" s="20">
        <f>IF(I2257="","",IF(I2257="Gasto",O2257,0))</f>
        <v/>
      </c>
      <c r="Q2257" s="20">
        <f>IF(I2257="","",IF(I2257="Ingreso",O2257,0))</f>
        <v/>
      </c>
      <c r="R2257" s="20">
        <f>IF(I2257="","",IF(I2257="Trading",O2257,0))</f>
        <v/>
      </c>
      <c r="S2257" s="19">
        <f>IF(I2257="","",IF(AND(I2257="Gasto",K2257="Variable",J2257&lt;&gt;"Trading",O2257&gt;0,O2257&lt;=Umbral),1,0))</f>
        <v/>
      </c>
      <c r="T2257" s="20">
        <f>IF(OR(I2257="",E2257=""),"",IF(OR(I2257="Gasto",I2257="Transferencia",I2257="Pago tarjeta"),-1,1)*C2257)</f>
        <v/>
      </c>
      <c r="U2257" s="20">
        <f>IF(OR(G2257="",AND(I2257&lt;&gt;"Transferencia",I2257&lt;&gt;"Pago tarjeta")),"",IF(IFERROR(INDEX(ctaMon,MATCH(G2257,ctaNom,0))&amp;"","DOP")=N2257,C2257,IF(N2257="USD",C2257*TasaUSD,C2257/TasaUSD)))</f>
        <v/>
      </c>
      <c r="V2257" s="20">
        <f>IF(I2257="","",IF(IFERROR(INDEX(ctaLiq,MATCH(E2257,ctaNom,0))="Sí",FALSE),IF(OR(I2257="Gasto",I2257="Transferencia",I2257="Pago tarjeta"),-1,1)*O2257,0)+IF(AND(U2257&lt;&gt;"",IFERROR(INDEX(ctaLiq,MATCH(G2257,ctaNom,0))="Sí",FALSE)),O2257,0))</f>
        <v/>
      </c>
      <c r="W2257" s="19">
        <f>IF(OR(F2257="",I2257=""),"",IF(COUNTIFS(F$6:F2257,F2257,I$6:I2257,"?*")=1,MAX(W$5:W2256)+1,""))</f>
        <v/>
      </c>
    </row>
    <row r="2258">
      <c r="B2258" s="15" t="n"/>
      <c r="C2258" s="16" t="n"/>
      <c r="D2258" s="17" t="n"/>
      <c r="E2258" s="17" t="n"/>
      <c r="F2258" s="17" t="n"/>
      <c r="G2258" s="17" t="n"/>
      <c r="H2258" s="18">
        <f>IF(AND(B2258="",C2258="",D2258="",E2258=""),"",IF(B2258="","⚠ Falta fecha",IF(C2258="","⚠ Falta monto",IF(D2258="","⚠ Falta categoría",IF(ISNA(MATCH(D2258,catNom,0)),"⚠ Categoría no existe",IF(E2258="","⚠ Falta cuenta",IF(ISNA(MATCH(E2258,ctaNom,0)),"⚠ Cuenta no existe",IF(AND(OR(I2258="Transferencia",I2258="Pago tarjeta"),G2258=""),"⚠ Indica la cuenta «Hacia»",IF(AND(G2258&lt;&gt;"",G2258=E2258),"⚠ «Hacia» igual a la cuenta",IF(AND(G2258&lt;&gt;"",ISNA(MATCH(G2258,ctaNom,0))),"⚠ «Hacia» no existe",IF(AND(I2258="Pago tarjeta",IFERROR(INDEX(ctaTipo,MATCH(G2258,ctaNom,0)),"")&lt;&gt;"Tarjeta de crédito"),"⚠ «Hacia» debe ser la tarjeta",IF(AND(I2258="Trading",IFERROR(INDEX(ctaTipo,MATCH(E2258,ctaNom,0)),"")&lt;&gt;"Cuenta de trading"),"⚠ Usa la cuenta de trading","✓"))))))))))))</f>
        <v/>
      </c>
      <c r="I2258" s="19">
        <f>IF(OR(B2258="",C2258="",D2258=""),"",IFERROR(INDEX(catTipo,MATCH(D2258,catNom,0))&amp;"",""))</f>
        <v/>
      </c>
      <c r="J2258" s="19">
        <f>IF(I2258="","",IFERROR(INDEX(catGrupo,MATCH(D2258,catNom,0))&amp;"",""))</f>
        <v/>
      </c>
      <c r="K2258" s="19">
        <f>IF(I2258="Gasto",IF(IFERROR(INDEX(catClas,MATCH(D2258,catNom,0))&amp;"","")="","Variable",IFERROR(INDEX(catClas,MATCH(D2258,catNom,0))&amp;"","")),"")</f>
        <v/>
      </c>
      <c r="L2258" s="19">
        <f>IF(I2258="","",IFERROR(INDEX(catAlim,MATCH(D2258,catNom,0))&amp;"",""))</f>
        <v/>
      </c>
      <c r="M2258" s="19">
        <f>IF(I2258="","",IFERROR(INDEX(catComida,MATCH(D2258,catNom,0))&amp;"",""))</f>
        <v/>
      </c>
      <c r="N2258" s="19">
        <f>IF(I2258="","",IFERROR(INDEX(ctaMon,MATCH(E2258,ctaNom,0))&amp;"","DOP"))</f>
        <v/>
      </c>
      <c r="O2258" s="20">
        <f>IF(I2258="","",C2258*IF(N2258="USD",TasaUSD,1))</f>
        <v/>
      </c>
      <c r="P2258" s="20">
        <f>IF(I2258="","",IF(I2258="Gasto",O2258,0))</f>
        <v/>
      </c>
      <c r="Q2258" s="20">
        <f>IF(I2258="","",IF(I2258="Ingreso",O2258,0))</f>
        <v/>
      </c>
      <c r="R2258" s="20">
        <f>IF(I2258="","",IF(I2258="Trading",O2258,0))</f>
        <v/>
      </c>
      <c r="S2258" s="19">
        <f>IF(I2258="","",IF(AND(I2258="Gasto",K2258="Variable",J2258&lt;&gt;"Trading",O2258&gt;0,O2258&lt;=Umbral),1,0))</f>
        <v/>
      </c>
      <c r="T2258" s="20">
        <f>IF(OR(I2258="",E2258=""),"",IF(OR(I2258="Gasto",I2258="Transferencia",I2258="Pago tarjeta"),-1,1)*C2258)</f>
        <v/>
      </c>
      <c r="U2258" s="20">
        <f>IF(OR(G2258="",AND(I2258&lt;&gt;"Transferencia",I2258&lt;&gt;"Pago tarjeta")),"",IF(IFERROR(INDEX(ctaMon,MATCH(G2258,ctaNom,0))&amp;"","DOP")=N2258,C2258,IF(N2258="USD",C2258*TasaUSD,C2258/TasaUSD)))</f>
        <v/>
      </c>
      <c r="V2258" s="20">
        <f>IF(I2258="","",IF(IFERROR(INDEX(ctaLiq,MATCH(E2258,ctaNom,0))="Sí",FALSE),IF(OR(I2258="Gasto",I2258="Transferencia",I2258="Pago tarjeta"),-1,1)*O2258,0)+IF(AND(U2258&lt;&gt;"",IFERROR(INDEX(ctaLiq,MATCH(G2258,ctaNom,0))="Sí",FALSE)),O2258,0))</f>
        <v/>
      </c>
      <c r="W2258" s="19">
        <f>IF(OR(F2258="",I2258=""),"",IF(COUNTIFS(F$6:F2258,F2258,I$6:I2258,"?*")=1,MAX(W$5:W2257)+1,""))</f>
        <v/>
      </c>
    </row>
    <row r="2259">
      <c r="B2259" s="15" t="n"/>
      <c r="C2259" s="16" t="n"/>
      <c r="D2259" s="17" t="n"/>
      <c r="E2259" s="17" t="n"/>
      <c r="F2259" s="17" t="n"/>
      <c r="G2259" s="17" t="n"/>
      <c r="H2259" s="18">
        <f>IF(AND(B2259="",C2259="",D2259="",E2259=""),"",IF(B2259="","⚠ Falta fecha",IF(C2259="","⚠ Falta monto",IF(D2259="","⚠ Falta categoría",IF(ISNA(MATCH(D2259,catNom,0)),"⚠ Categoría no existe",IF(E2259="","⚠ Falta cuenta",IF(ISNA(MATCH(E2259,ctaNom,0)),"⚠ Cuenta no existe",IF(AND(OR(I2259="Transferencia",I2259="Pago tarjeta"),G2259=""),"⚠ Indica la cuenta «Hacia»",IF(AND(G2259&lt;&gt;"",G2259=E2259),"⚠ «Hacia» igual a la cuenta",IF(AND(G2259&lt;&gt;"",ISNA(MATCH(G2259,ctaNom,0))),"⚠ «Hacia» no existe",IF(AND(I2259="Pago tarjeta",IFERROR(INDEX(ctaTipo,MATCH(G2259,ctaNom,0)),"")&lt;&gt;"Tarjeta de crédito"),"⚠ «Hacia» debe ser la tarjeta",IF(AND(I2259="Trading",IFERROR(INDEX(ctaTipo,MATCH(E2259,ctaNom,0)),"")&lt;&gt;"Cuenta de trading"),"⚠ Usa la cuenta de trading","✓"))))))))))))</f>
        <v/>
      </c>
      <c r="I2259" s="19">
        <f>IF(OR(B2259="",C2259="",D2259=""),"",IFERROR(INDEX(catTipo,MATCH(D2259,catNom,0))&amp;"",""))</f>
        <v/>
      </c>
      <c r="J2259" s="19">
        <f>IF(I2259="","",IFERROR(INDEX(catGrupo,MATCH(D2259,catNom,0))&amp;"",""))</f>
        <v/>
      </c>
      <c r="K2259" s="19">
        <f>IF(I2259="Gasto",IF(IFERROR(INDEX(catClas,MATCH(D2259,catNom,0))&amp;"","")="","Variable",IFERROR(INDEX(catClas,MATCH(D2259,catNom,0))&amp;"","")),"")</f>
        <v/>
      </c>
      <c r="L2259" s="19">
        <f>IF(I2259="","",IFERROR(INDEX(catAlim,MATCH(D2259,catNom,0))&amp;"",""))</f>
        <v/>
      </c>
      <c r="M2259" s="19">
        <f>IF(I2259="","",IFERROR(INDEX(catComida,MATCH(D2259,catNom,0))&amp;"",""))</f>
        <v/>
      </c>
      <c r="N2259" s="19">
        <f>IF(I2259="","",IFERROR(INDEX(ctaMon,MATCH(E2259,ctaNom,0))&amp;"","DOP"))</f>
        <v/>
      </c>
      <c r="O2259" s="20">
        <f>IF(I2259="","",C2259*IF(N2259="USD",TasaUSD,1))</f>
        <v/>
      </c>
      <c r="P2259" s="20">
        <f>IF(I2259="","",IF(I2259="Gasto",O2259,0))</f>
        <v/>
      </c>
      <c r="Q2259" s="20">
        <f>IF(I2259="","",IF(I2259="Ingreso",O2259,0))</f>
        <v/>
      </c>
      <c r="R2259" s="20">
        <f>IF(I2259="","",IF(I2259="Trading",O2259,0))</f>
        <v/>
      </c>
      <c r="S2259" s="19">
        <f>IF(I2259="","",IF(AND(I2259="Gasto",K2259="Variable",J2259&lt;&gt;"Trading",O2259&gt;0,O2259&lt;=Umbral),1,0))</f>
        <v/>
      </c>
      <c r="T2259" s="20">
        <f>IF(OR(I2259="",E2259=""),"",IF(OR(I2259="Gasto",I2259="Transferencia",I2259="Pago tarjeta"),-1,1)*C2259)</f>
        <v/>
      </c>
      <c r="U2259" s="20">
        <f>IF(OR(G2259="",AND(I2259&lt;&gt;"Transferencia",I2259&lt;&gt;"Pago tarjeta")),"",IF(IFERROR(INDEX(ctaMon,MATCH(G2259,ctaNom,0))&amp;"","DOP")=N2259,C2259,IF(N2259="USD",C2259*TasaUSD,C2259/TasaUSD)))</f>
        <v/>
      </c>
      <c r="V2259" s="20">
        <f>IF(I2259="","",IF(IFERROR(INDEX(ctaLiq,MATCH(E2259,ctaNom,0))="Sí",FALSE),IF(OR(I2259="Gasto",I2259="Transferencia",I2259="Pago tarjeta"),-1,1)*O2259,0)+IF(AND(U2259&lt;&gt;"",IFERROR(INDEX(ctaLiq,MATCH(G2259,ctaNom,0))="Sí",FALSE)),O2259,0))</f>
        <v/>
      </c>
      <c r="W2259" s="19">
        <f>IF(OR(F2259="",I2259=""),"",IF(COUNTIFS(F$6:F2259,F2259,I$6:I2259,"?*")=1,MAX(W$5:W2258)+1,""))</f>
        <v/>
      </c>
    </row>
    <row r="2260">
      <c r="B2260" s="15" t="n"/>
      <c r="C2260" s="16" t="n"/>
      <c r="D2260" s="17" t="n"/>
      <c r="E2260" s="17" t="n"/>
      <c r="F2260" s="17" t="n"/>
      <c r="G2260" s="17" t="n"/>
      <c r="H2260" s="18">
        <f>IF(AND(B2260="",C2260="",D2260="",E2260=""),"",IF(B2260="","⚠ Falta fecha",IF(C2260="","⚠ Falta monto",IF(D2260="","⚠ Falta categoría",IF(ISNA(MATCH(D2260,catNom,0)),"⚠ Categoría no existe",IF(E2260="","⚠ Falta cuenta",IF(ISNA(MATCH(E2260,ctaNom,0)),"⚠ Cuenta no existe",IF(AND(OR(I2260="Transferencia",I2260="Pago tarjeta"),G2260=""),"⚠ Indica la cuenta «Hacia»",IF(AND(G2260&lt;&gt;"",G2260=E2260),"⚠ «Hacia» igual a la cuenta",IF(AND(G2260&lt;&gt;"",ISNA(MATCH(G2260,ctaNom,0))),"⚠ «Hacia» no existe",IF(AND(I2260="Pago tarjeta",IFERROR(INDEX(ctaTipo,MATCH(G2260,ctaNom,0)),"")&lt;&gt;"Tarjeta de crédito"),"⚠ «Hacia» debe ser la tarjeta",IF(AND(I2260="Trading",IFERROR(INDEX(ctaTipo,MATCH(E2260,ctaNom,0)),"")&lt;&gt;"Cuenta de trading"),"⚠ Usa la cuenta de trading","✓"))))))))))))</f>
        <v/>
      </c>
      <c r="I2260" s="19">
        <f>IF(OR(B2260="",C2260="",D2260=""),"",IFERROR(INDEX(catTipo,MATCH(D2260,catNom,0))&amp;"",""))</f>
        <v/>
      </c>
      <c r="J2260" s="19">
        <f>IF(I2260="","",IFERROR(INDEX(catGrupo,MATCH(D2260,catNom,0))&amp;"",""))</f>
        <v/>
      </c>
      <c r="K2260" s="19">
        <f>IF(I2260="Gasto",IF(IFERROR(INDEX(catClas,MATCH(D2260,catNom,0))&amp;"","")="","Variable",IFERROR(INDEX(catClas,MATCH(D2260,catNom,0))&amp;"","")),"")</f>
        <v/>
      </c>
      <c r="L2260" s="19">
        <f>IF(I2260="","",IFERROR(INDEX(catAlim,MATCH(D2260,catNom,0))&amp;"",""))</f>
        <v/>
      </c>
      <c r="M2260" s="19">
        <f>IF(I2260="","",IFERROR(INDEX(catComida,MATCH(D2260,catNom,0))&amp;"",""))</f>
        <v/>
      </c>
      <c r="N2260" s="19">
        <f>IF(I2260="","",IFERROR(INDEX(ctaMon,MATCH(E2260,ctaNom,0))&amp;"","DOP"))</f>
        <v/>
      </c>
      <c r="O2260" s="20">
        <f>IF(I2260="","",C2260*IF(N2260="USD",TasaUSD,1))</f>
        <v/>
      </c>
      <c r="P2260" s="20">
        <f>IF(I2260="","",IF(I2260="Gasto",O2260,0))</f>
        <v/>
      </c>
      <c r="Q2260" s="20">
        <f>IF(I2260="","",IF(I2260="Ingreso",O2260,0))</f>
        <v/>
      </c>
      <c r="R2260" s="20">
        <f>IF(I2260="","",IF(I2260="Trading",O2260,0))</f>
        <v/>
      </c>
      <c r="S2260" s="19">
        <f>IF(I2260="","",IF(AND(I2260="Gasto",K2260="Variable",J2260&lt;&gt;"Trading",O2260&gt;0,O2260&lt;=Umbral),1,0))</f>
        <v/>
      </c>
      <c r="T2260" s="20">
        <f>IF(OR(I2260="",E2260=""),"",IF(OR(I2260="Gasto",I2260="Transferencia",I2260="Pago tarjeta"),-1,1)*C2260)</f>
        <v/>
      </c>
      <c r="U2260" s="20">
        <f>IF(OR(G2260="",AND(I2260&lt;&gt;"Transferencia",I2260&lt;&gt;"Pago tarjeta")),"",IF(IFERROR(INDEX(ctaMon,MATCH(G2260,ctaNom,0))&amp;"","DOP")=N2260,C2260,IF(N2260="USD",C2260*TasaUSD,C2260/TasaUSD)))</f>
        <v/>
      </c>
      <c r="V2260" s="20">
        <f>IF(I2260="","",IF(IFERROR(INDEX(ctaLiq,MATCH(E2260,ctaNom,0))="Sí",FALSE),IF(OR(I2260="Gasto",I2260="Transferencia",I2260="Pago tarjeta"),-1,1)*O2260,0)+IF(AND(U2260&lt;&gt;"",IFERROR(INDEX(ctaLiq,MATCH(G2260,ctaNom,0))="Sí",FALSE)),O2260,0))</f>
        <v/>
      </c>
      <c r="W2260" s="19">
        <f>IF(OR(F2260="",I2260=""),"",IF(COUNTIFS(F$6:F2260,F2260,I$6:I2260,"?*")=1,MAX(W$5:W2259)+1,""))</f>
        <v/>
      </c>
    </row>
    <row r="2261">
      <c r="B2261" s="15" t="n"/>
      <c r="C2261" s="16" t="n"/>
      <c r="D2261" s="17" t="n"/>
      <c r="E2261" s="17" t="n"/>
      <c r="F2261" s="17" t="n"/>
      <c r="G2261" s="17" t="n"/>
      <c r="H2261" s="18">
        <f>IF(AND(B2261="",C2261="",D2261="",E2261=""),"",IF(B2261="","⚠ Falta fecha",IF(C2261="","⚠ Falta monto",IF(D2261="","⚠ Falta categoría",IF(ISNA(MATCH(D2261,catNom,0)),"⚠ Categoría no existe",IF(E2261="","⚠ Falta cuenta",IF(ISNA(MATCH(E2261,ctaNom,0)),"⚠ Cuenta no existe",IF(AND(OR(I2261="Transferencia",I2261="Pago tarjeta"),G2261=""),"⚠ Indica la cuenta «Hacia»",IF(AND(G2261&lt;&gt;"",G2261=E2261),"⚠ «Hacia» igual a la cuenta",IF(AND(G2261&lt;&gt;"",ISNA(MATCH(G2261,ctaNom,0))),"⚠ «Hacia» no existe",IF(AND(I2261="Pago tarjeta",IFERROR(INDEX(ctaTipo,MATCH(G2261,ctaNom,0)),"")&lt;&gt;"Tarjeta de crédito"),"⚠ «Hacia» debe ser la tarjeta",IF(AND(I2261="Trading",IFERROR(INDEX(ctaTipo,MATCH(E2261,ctaNom,0)),"")&lt;&gt;"Cuenta de trading"),"⚠ Usa la cuenta de trading","✓"))))))))))))</f>
        <v/>
      </c>
      <c r="I2261" s="19">
        <f>IF(OR(B2261="",C2261="",D2261=""),"",IFERROR(INDEX(catTipo,MATCH(D2261,catNom,0))&amp;"",""))</f>
        <v/>
      </c>
      <c r="J2261" s="19">
        <f>IF(I2261="","",IFERROR(INDEX(catGrupo,MATCH(D2261,catNom,0))&amp;"",""))</f>
        <v/>
      </c>
      <c r="K2261" s="19">
        <f>IF(I2261="Gasto",IF(IFERROR(INDEX(catClas,MATCH(D2261,catNom,0))&amp;"","")="","Variable",IFERROR(INDEX(catClas,MATCH(D2261,catNom,0))&amp;"","")),"")</f>
        <v/>
      </c>
      <c r="L2261" s="19">
        <f>IF(I2261="","",IFERROR(INDEX(catAlim,MATCH(D2261,catNom,0))&amp;"",""))</f>
        <v/>
      </c>
      <c r="M2261" s="19">
        <f>IF(I2261="","",IFERROR(INDEX(catComida,MATCH(D2261,catNom,0))&amp;"",""))</f>
        <v/>
      </c>
      <c r="N2261" s="19">
        <f>IF(I2261="","",IFERROR(INDEX(ctaMon,MATCH(E2261,ctaNom,0))&amp;"","DOP"))</f>
        <v/>
      </c>
      <c r="O2261" s="20">
        <f>IF(I2261="","",C2261*IF(N2261="USD",TasaUSD,1))</f>
        <v/>
      </c>
      <c r="P2261" s="20">
        <f>IF(I2261="","",IF(I2261="Gasto",O2261,0))</f>
        <v/>
      </c>
      <c r="Q2261" s="20">
        <f>IF(I2261="","",IF(I2261="Ingreso",O2261,0))</f>
        <v/>
      </c>
      <c r="R2261" s="20">
        <f>IF(I2261="","",IF(I2261="Trading",O2261,0))</f>
        <v/>
      </c>
      <c r="S2261" s="19">
        <f>IF(I2261="","",IF(AND(I2261="Gasto",K2261="Variable",J2261&lt;&gt;"Trading",O2261&gt;0,O2261&lt;=Umbral),1,0))</f>
        <v/>
      </c>
      <c r="T2261" s="20">
        <f>IF(OR(I2261="",E2261=""),"",IF(OR(I2261="Gasto",I2261="Transferencia",I2261="Pago tarjeta"),-1,1)*C2261)</f>
        <v/>
      </c>
      <c r="U2261" s="20">
        <f>IF(OR(G2261="",AND(I2261&lt;&gt;"Transferencia",I2261&lt;&gt;"Pago tarjeta")),"",IF(IFERROR(INDEX(ctaMon,MATCH(G2261,ctaNom,0))&amp;"","DOP")=N2261,C2261,IF(N2261="USD",C2261*TasaUSD,C2261/TasaUSD)))</f>
        <v/>
      </c>
      <c r="V2261" s="20">
        <f>IF(I2261="","",IF(IFERROR(INDEX(ctaLiq,MATCH(E2261,ctaNom,0))="Sí",FALSE),IF(OR(I2261="Gasto",I2261="Transferencia",I2261="Pago tarjeta"),-1,1)*O2261,0)+IF(AND(U2261&lt;&gt;"",IFERROR(INDEX(ctaLiq,MATCH(G2261,ctaNom,0))="Sí",FALSE)),O2261,0))</f>
        <v/>
      </c>
      <c r="W2261" s="19">
        <f>IF(OR(F2261="",I2261=""),"",IF(COUNTIFS(F$6:F2261,F2261,I$6:I2261,"?*")=1,MAX(W$5:W2260)+1,""))</f>
        <v/>
      </c>
    </row>
    <row r="2262">
      <c r="B2262" s="15" t="n"/>
      <c r="C2262" s="16" t="n"/>
      <c r="D2262" s="17" t="n"/>
      <c r="E2262" s="17" t="n"/>
      <c r="F2262" s="17" t="n"/>
      <c r="G2262" s="17" t="n"/>
      <c r="H2262" s="18">
        <f>IF(AND(B2262="",C2262="",D2262="",E2262=""),"",IF(B2262="","⚠ Falta fecha",IF(C2262="","⚠ Falta monto",IF(D2262="","⚠ Falta categoría",IF(ISNA(MATCH(D2262,catNom,0)),"⚠ Categoría no existe",IF(E2262="","⚠ Falta cuenta",IF(ISNA(MATCH(E2262,ctaNom,0)),"⚠ Cuenta no existe",IF(AND(OR(I2262="Transferencia",I2262="Pago tarjeta"),G2262=""),"⚠ Indica la cuenta «Hacia»",IF(AND(G2262&lt;&gt;"",G2262=E2262),"⚠ «Hacia» igual a la cuenta",IF(AND(G2262&lt;&gt;"",ISNA(MATCH(G2262,ctaNom,0))),"⚠ «Hacia» no existe",IF(AND(I2262="Pago tarjeta",IFERROR(INDEX(ctaTipo,MATCH(G2262,ctaNom,0)),"")&lt;&gt;"Tarjeta de crédito"),"⚠ «Hacia» debe ser la tarjeta",IF(AND(I2262="Trading",IFERROR(INDEX(ctaTipo,MATCH(E2262,ctaNom,0)),"")&lt;&gt;"Cuenta de trading"),"⚠ Usa la cuenta de trading","✓"))))))))))))</f>
        <v/>
      </c>
      <c r="I2262" s="19">
        <f>IF(OR(B2262="",C2262="",D2262=""),"",IFERROR(INDEX(catTipo,MATCH(D2262,catNom,0))&amp;"",""))</f>
        <v/>
      </c>
      <c r="J2262" s="19">
        <f>IF(I2262="","",IFERROR(INDEX(catGrupo,MATCH(D2262,catNom,0))&amp;"",""))</f>
        <v/>
      </c>
      <c r="K2262" s="19">
        <f>IF(I2262="Gasto",IF(IFERROR(INDEX(catClas,MATCH(D2262,catNom,0))&amp;"","")="","Variable",IFERROR(INDEX(catClas,MATCH(D2262,catNom,0))&amp;"","")),"")</f>
        <v/>
      </c>
      <c r="L2262" s="19">
        <f>IF(I2262="","",IFERROR(INDEX(catAlim,MATCH(D2262,catNom,0))&amp;"",""))</f>
        <v/>
      </c>
      <c r="M2262" s="19">
        <f>IF(I2262="","",IFERROR(INDEX(catComida,MATCH(D2262,catNom,0))&amp;"",""))</f>
        <v/>
      </c>
      <c r="N2262" s="19">
        <f>IF(I2262="","",IFERROR(INDEX(ctaMon,MATCH(E2262,ctaNom,0))&amp;"","DOP"))</f>
        <v/>
      </c>
      <c r="O2262" s="20">
        <f>IF(I2262="","",C2262*IF(N2262="USD",TasaUSD,1))</f>
        <v/>
      </c>
      <c r="P2262" s="20">
        <f>IF(I2262="","",IF(I2262="Gasto",O2262,0))</f>
        <v/>
      </c>
      <c r="Q2262" s="20">
        <f>IF(I2262="","",IF(I2262="Ingreso",O2262,0))</f>
        <v/>
      </c>
      <c r="R2262" s="20">
        <f>IF(I2262="","",IF(I2262="Trading",O2262,0))</f>
        <v/>
      </c>
      <c r="S2262" s="19">
        <f>IF(I2262="","",IF(AND(I2262="Gasto",K2262="Variable",J2262&lt;&gt;"Trading",O2262&gt;0,O2262&lt;=Umbral),1,0))</f>
        <v/>
      </c>
      <c r="T2262" s="20">
        <f>IF(OR(I2262="",E2262=""),"",IF(OR(I2262="Gasto",I2262="Transferencia",I2262="Pago tarjeta"),-1,1)*C2262)</f>
        <v/>
      </c>
      <c r="U2262" s="20">
        <f>IF(OR(G2262="",AND(I2262&lt;&gt;"Transferencia",I2262&lt;&gt;"Pago tarjeta")),"",IF(IFERROR(INDEX(ctaMon,MATCH(G2262,ctaNom,0))&amp;"","DOP")=N2262,C2262,IF(N2262="USD",C2262*TasaUSD,C2262/TasaUSD)))</f>
        <v/>
      </c>
      <c r="V2262" s="20">
        <f>IF(I2262="","",IF(IFERROR(INDEX(ctaLiq,MATCH(E2262,ctaNom,0))="Sí",FALSE),IF(OR(I2262="Gasto",I2262="Transferencia",I2262="Pago tarjeta"),-1,1)*O2262,0)+IF(AND(U2262&lt;&gt;"",IFERROR(INDEX(ctaLiq,MATCH(G2262,ctaNom,0))="Sí",FALSE)),O2262,0))</f>
        <v/>
      </c>
      <c r="W2262" s="19">
        <f>IF(OR(F2262="",I2262=""),"",IF(COUNTIFS(F$6:F2262,F2262,I$6:I2262,"?*")=1,MAX(W$5:W2261)+1,""))</f>
        <v/>
      </c>
    </row>
    <row r="2263">
      <c r="B2263" s="15" t="n"/>
      <c r="C2263" s="16" t="n"/>
      <c r="D2263" s="17" t="n"/>
      <c r="E2263" s="17" t="n"/>
      <c r="F2263" s="17" t="n"/>
      <c r="G2263" s="17" t="n"/>
      <c r="H2263" s="18">
        <f>IF(AND(B2263="",C2263="",D2263="",E2263=""),"",IF(B2263="","⚠ Falta fecha",IF(C2263="","⚠ Falta monto",IF(D2263="","⚠ Falta categoría",IF(ISNA(MATCH(D2263,catNom,0)),"⚠ Categoría no existe",IF(E2263="","⚠ Falta cuenta",IF(ISNA(MATCH(E2263,ctaNom,0)),"⚠ Cuenta no existe",IF(AND(OR(I2263="Transferencia",I2263="Pago tarjeta"),G2263=""),"⚠ Indica la cuenta «Hacia»",IF(AND(G2263&lt;&gt;"",G2263=E2263),"⚠ «Hacia» igual a la cuenta",IF(AND(G2263&lt;&gt;"",ISNA(MATCH(G2263,ctaNom,0))),"⚠ «Hacia» no existe",IF(AND(I2263="Pago tarjeta",IFERROR(INDEX(ctaTipo,MATCH(G2263,ctaNom,0)),"")&lt;&gt;"Tarjeta de crédito"),"⚠ «Hacia» debe ser la tarjeta",IF(AND(I2263="Trading",IFERROR(INDEX(ctaTipo,MATCH(E2263,ctaNom,0)),"")&lt;&gt;"Cuenta de trading"),"⚠ Usa la cuenta de trading","✓"))))))))))))</f>
        <v/>
      </c>
      <c r="I2263" s="19">
        <f>IF(OR(B2263="",C2263="",D2263=""),"",IFERROR(INDEX(catTipo,MATCH(D2263,catNom,0))&amp;"",""))</f>
        <v/>
      </c>
      <c r="J2263" s="19">
        <f>IF(I2263="","",IFERROR(INDEX(catGrupo,MATCH(D2263,catNom,0))&amp;"",""))</f>
        <v/>
      </c>
      <c r="K2263" s="19">
        <f>IF(I2263="Gasto",IF(IFERROR(INDEX(catClas,MATCH(D2263,catNom,0))&amp;"","")="","Variable",IFERROR(INDEX(catClas,MATCH(D2263,catNom,0))&amp;"","")),"")</f>
        <v/>
      </c>
      <c r="L2263" s="19">
        <f>IF(I2263="","",IFERROR(INDEX(catAlim,MATCH(D2263,catNom,0))&amp;"",""))</f>
        <v/>
      </c>
      <c r="M2263" s="19">
        <f>IF(I2263="","",IFERROR(INDEX(catComida,MATCH(D2263,catNom,0))&amp;"",""))</f>
        <v/>
      </c>
      <c r="N2263" s="19">
        <f>IF(I2263="","",IFERROR(INDEX(ctaMon,MATCH(E2263,ctaNom,0))&amp;"","DOP"))</f>
        <v/>
      </c>
      <c r="O2263" s="20">
        <f>IF(I2263="","",C2263*IF(N2263="USD",TasaUSD,1))</f>
        <v/>
      </c>
      <c r="P2263" s="20">
        <f>IF(I2263="","",IF(I2263="Gasto",O2263,0))</f>
        <v/>
      </c>
      <c r="Q2263" s="20">
        <f>IF(I2263="","",IF(I2263="Ingreso",O2263,0))</f>
        <v/>
      </c>
      <c r="R2263" s="20">
        <f>IF(I2263="","",IF(I2263="Trading",O2263,0))</f>
        <v/>
      </c>
      <c r="S2263" s="19">
        <f>IF(I2263="","",IF(AND(I2263="Gasto",K2263="Variable",J2263&lt;&gt;"Trading",O2263&gt;0,O2263&lt;=Umbral),1,0))</f>
        <v/>
      </c>
      <c r="T2263" s="20">
        <f>IF(OR(I2263="",E2263=""),"",IF(OR(I2263="Gasto",I2263="Transferencia",I2263="Pago tarjeta"),-1,1)*C2263)</f>
        <v/>
      </c>
      <c r="U2263" s="20">
        <f>IF(OR(G2263="",AND(I2263&lt;&gt;"Transferencia",I2263&lt;&gt;"Pago tarjeta")),"",IF(IFERROR(INDEX(ctaMon,MATCH(G2263,ctaNom,0))&amp;"","DOP")=N2263,C2263,IF(N2263="USD",C2263*TasaUSD,C2263/TasaUSD)))</f>
        <v/>
      </c>
      <c r="V2263" s="20">
        <f>IF(I2263="","",IF(IFERROR(INDEX(ctaLiq,MATCH(E2263,ctaNom,0))="Sí",FALSE),IF(OR(I2263="Gasto",I2263="Transferencia",I2263="Pago tarjeta"),-1,1)*O2263,0)+IF(AND(U2263&lt;&gt;"",IFERROR(INDEX(ctaLiq,MATCH(G2263,ctaNom,0))="Sí",FALSE)),O2263,0))</f>
        <v/>
      </c>
      <c r="W2263" s="19">
        <f>IF(OR(F2263="",I2263=""),"",IF(COUNTIFS(F$6:F2263,F2263,I$6:I2263,"?*")=1,MAX(W$5:W2262)+1,""))</f>
        <v/>
      </c>
    </row>
    <row r="2264">
      <c r="B2264" s="15" t="n"/>
      <c r="C2264" s="16" t="n"/>
      <c r="D2264" s="17" t="n"/>
      <c r="E2264" s="17" t="n"/>
      <c r="F2264" s="17" t="n"/>
      <c r="G2264" s="17" t="n"/>
      <c r="H2264" s="18">
        <f>IF(AND(B2264="",C2264="",D2264="",E2264=""),"",IF(B2264="","⚠ Falta fecha",IF(C2264="","⚠ Falta monto",IF(D2264="","⚠ Falta categoría",IF(ISNA(MATCH(D2264,catNom,0)),"⚠ Categoría no existe",IF(E2264="","⚠ Falta cuenta",IF(ISNA(MATCH(E2264,ctaNom,0)),"⚠ Cuenta no existe",IF(AND(OR(I2264="Transferencia",I2264="Pago tarjeta"),G2264=""),"⚠ Indica la cuenta «Hacia»",IF(AND(G2264&lt;&gt;"",G2264=E2264),"⚠ «Hacia» igual a la cuenta",IF(AND(G2264&lt;&gt;"",ISNA(MATCH(G2264,ctaNom,0))),"⚠ «Hacia» no existe",IF(AND(I2264="Pago tarjeta",IFERROR(INDEX(ctaTipo,MATCH(G2264,ctaNom,0)),"")&lt;&gt;"Tarjeta de crédito"),"⚠ «Hacia» debe ser la tarjeta",IF(AND(I2264="Trading",IFERROR(INDEX(ctaTipo,MATCH(E2264,ctaNom,0)),"")&lt;&gt;"Cuenta de trading"),"⚠ Usa la cuenta de trading","✓"))))))))))))</f>
        <v/>
      </c>
      <c r="I2264" s="19">
        <f>IF(OR(B2264="",C2264="",D2264=""),"",IFERROR(INDEX(catTipo,MATCH(D2264,catNom,0))&amp;"",""))</f>
        <v/>
      </c>
      <c r="J2264" s="19">
        <f>IF(I2264="","",IFERROR(INDEX(catGrupo,MATCH(D2264,catNom,0))&amp;"",""))</f>
        <v/>
      </c>
      <c r="K2264" s="19">
        <f>IF(I2264="Gasto",IF(IFERROR(INDEX(catClas,MATCH(D2264,catNom,0))&amp;"","")="","Variable",IFERROR(INDEX(catClas,MATCH(D2264,catNom,0))&amp;"","")),"")</f>
        <v/>
      </c>
      <c r="L2264" s="19">
        <f>IF(I2264="","",IFERROR(INDEX(catAlim,MATCH(D2264,catNom,0))&amp;"",""))</f>
        <v/>
      </c>
      <c r="M2264" s="19">
        <f>IF(I2264="","",IFERROR(INDEX(catComida,MATCH(D2264,catNom,0))&amp;"",""))</f>
        <v/>
      </c>
      <c r="N2264" s="19">
        <f>IF(I2264="","",IFERROR(INDEX(ctaMon,MATCH(E2264,ctaNom,0))&amp;"","DOP"))</f>
        <v/>
      </c>
      <c r="O2264" s="20">
        <f>IF(I2264="","",C2264*IF(N2264="USD",TasaUSD,1))</f>
        <v/>
      </c>
      <c r="P2264" s="20">
        <f>IF(I2264="","",IF(I2264="Gasto",O2264,0))</f>
        <v/>
      </c>
      <c r="Q2264" s="20">
        <f>IF(I2264="","",IF(I2264="Ingreso",O2264,0))</f>
        <v/>
      </c>
      <c r="R2264" s="20">
        <f>IF(I2264="","",IF(I2264="Trading",O2264,0))</f>
        <v/>
      </c>
      <c r="S2264" s="19">
        <f>IF(I2264="","",IF(AND(I2264="Gasto",K2264="Variable",J2264&lt;&gt;"Trading",O2264&gt;0,O2264&lt;=Umbral),1,0))</f>
        <v/>
      </c>
      <c r="T2264" s="20">
        <f>IF(OR(I2264="",E2264=""),"",IF(OR(I2264="Gasto",I2264="Transferencia",I2264="Pago tarjeta"),-1,1)*C2264)</f>
        <v/>
      </c>
      <c r="U2264" s="20">
        <f>IF(OR(G2264="",AND(I2264&lt;&gt;"Transferencia",I2264&lt;&gt;"Pago tarjeta")),"",IF(IFERROR(INDEX(ctaMon,MATCH(G2264,ctaNom,0))&amp;"","DOP")=N2264,C2264,IF(N2264="USD",C2264*TasaUSD,C2264/TasaUSD)))</f>
        <v/>
      </c>
      <c r="V2264" s="20">
        <f>IF(I2264="","",IF(IFERROR(INDEX(ctaLiq,MATCH(E2264,ctaNom,0))="Sí",FALSE),IF(OR(I2264="Gasto",I2264="Transferencia",I2264="Pago tarjeta"),-1,1)*O2264,0)+IF(AND(U2264&lt;&gt;"",IFERROR(INDEX(ctaLiq,MATCH(G2264,ctaNom,0))="Sí",FALSE)),O2264,0))</f>
        <v/>
      </c>
      <c r="W2264" s="19">
        <f>IF(OR(F2264="",I2264=""),"",IF(COUNTIFS(F$6:F2264,F2264,I$6:I2264,"?*")=1,MAX(W$5:W2263)+1,""))</f>
        <v/>
      </c>
    </row>
    <row r="2265">
      <c r="B2265" s="15" t="n"/>
      <c r="C2265" s="16" t="n"/>
      <c r="D2265" s="17" t="n"/>
      <c r="E2265" s="17" t="n"/>
      <c r="F2265" s="17" t="n"/>
      <c r="G2265" s="17" t="n"/>
      <c r="H2265" s="18">
        <f>IF(AND(B2265="",C2265="",D2265="",E2265=""),"",IF(B2265="","⚠ Falta fecha",IF(C2265="","⚠ Falta monto",IF(D2265="","⚠ Falta categoría",IF(ISNA(MATCH(D2265,catNom,0)),"⚠ Categoría no existe",IF(E2265="","⚠ Falta cuenta",IF(ISNA(MATCH(E2265,ctaNom,0)),"⚠ Cuenta no existe",IF(AND(OR(I2265="Transferencia",I2265="Pago tarjeta"),G2265=""),"⚠ Indica la cuenta «Hacia»",IF(AND(G2265&lt;&gt;"",G2265=E2265),"⚠ «Hacia» igual a la cuenta",IF(AND(G2265&lt;&gt;"",ISNA(MATCH(G2265,ctaNom,0))),"⚠ «Hacia» no existe",IF(AND(I2265="Pago tarjeta",IFERROR(INDEX(ctaTipo,MATCH(G2265,ctaNom,0)),"")&lt;&gt;"Tarjeta de crédito"),"⚠ «Hacia» debe ser la tarjeta",IF(AND(I2265="Trading",IFERROR(INDEX(ctaTipo,MATCH(E2265,ctaNom,0)),"")&lt;&gt;"Cuenta de trading"),"⚠ Usa la cuenta de trading","✓"))))))))))))</f>
        <v/>
      </c>
      <c r="I2265" s="19">
        <f>IF(OR(B2265="",C2265="",D2265=""),"",IFERROR(INDEX(catTipo,MATCH(D2265,catNom,0))&amp;"",""))</f>
        <v/>
      </c>
      <c r="J2265" s="19">
        <f>IF(I2265="","",IFERROR(INDEX(catGrupo,MATCH(D2265,catNom,0))&amp;"",""))</f>
        <v/>
      </c>
      <c r="K2265" s="19">
        <f>IF(I2265="Gasto",IF(IFERROR(INDEX(catClas,MATCH(D2265,catNom,0))&amp;"","")="","Variable",IFERROR(INDEX(catClas,MATCH(D2265,catNom,0))&amp;"","")),"")</f>
        <v/>
      </c>
      <c r="L2265" s="19">
        <f>IF(I2265="","",IFERROR(INDEX(catAlim,MATCH(D2265,catNom,0))&amp;"",""))</f>
        <v/>
      </c>
      <c r="M2265" s="19">
        <f>IF(I2265="","",IFERROR(INDEX(catComida,MATCH(D2265,catNom,0))&amp;"",""))</f>
        <v/>
      </c>
      <c r="N2265" s="19">
        <f>IF(I2265="","",IFERROR(INDEX(ctaMon,MATCH(E2265,ctaNom,0))&amp;"","DOP"))</f>
        <v/>
      </c>
      <c r="O2265" s="20">
        <f>IF(I2265="","",C2265*IF(N2265="USD",TasaUSD,1))</f>
        <v/>
      </c>
      <c r="P2265" s="20">
        <f>IF(I2265="","",IF(I2265="Gasto",O2265,0))</f>
        <v/>
      </c>
      <c r="Q2265" s="20">
        <f>IF(I2265="","",IF(I2265="Ingreso",O2265,0))</f>
        <v/>
      </c>
      <c r="R2265" s="20">
        <f>IF(I2265="","",IF(I2265="Trading",O2265,0))</f>
        <v/>
      </c>
      <c r="S2265" s="19">
        <f>IF(I2265="","",IF(AND(I2265="Gasto",K2265="Variable",J2265&lt;&gt;"Trading",O2265&gt;0,O2265&lt;=Umbral),1,0))</f>
        <v/>
      </c>
      <c r="T2265" s="20">
        <f>IF(OR(I2265="",E2265=""),"",IF(OR(I2265="Gasto",I2265="Transferencia",I2265="Pago tarjeta"),-1,1)*C2265)</f>
        <v/>
      </c>
      <c r="U2265" s="20">
        <f>IF(OR(G2265="",AND(I2265&lt;&gt;"Transferencia",I2265&lt;&gt;"Pago tarjeta")),"",IF(IFERROR(INDEX(ctaMon,MATCH(G2265,ctaNom,0))&amp;"","DOP")=N2265,C2265,IF(N2265="USD",C2265*TasaUSD,C2265/TasaUSD)))</f>
        <v/>
      </c>
      <c r="V2265" s="20">
        <f>IF(I2265="","",IF(IFERROR(INDEX(ctaLiq,MATCH(E2265,ctaNom,0))="Sí",FALSE),IF(OR(I2265="Gasto",I2265="Transferencia",I2265="Pago tarjeta"),-1,1)*O2265,0)+IF(AND(U2265&lt;&gt;"",IFERROR(INDEX(ctaLiq,MATCH(G2265,ctaNom,0))="Sí",FALSE)),O2265,0))</f>
        <v/>
      </c>
      <c r="W2265" s="19">
        <f>IF(OR(F2265="",I2265=""),"",IF(COUNTIFS(F$6:F2265,F2265,I$6:I2265,"?*")=1,MAX(W$5:W2264)+1,""))</f>
        <v/>
      </c>
    </row>
    <row r="2266">
      <c r="B2266" s="15" t="n"/>
      <c r="C2266" s="16" t="n"/>
      <c r="D2266" s="17" t="n"/>
      <c r="E2266" s="17" t="n"/>
      <c r="F2266" s="17" t="n"/>
      <c r="G2266" s="17" t="n"/>
      <c r="H2266" s="18">
        <f>IF(AND(B2266="",C2266="",D2266="",E2266=""),"",IF(B2266="","⚠ Falta fecha",IF(C2266="","⚠ Falta monto",IF(D2266="","⚠ Falta categoría",IF(ISNA(MATCH(D2266,catNom,0)),"⚠ Categoría no existe",IF(E2266="","⚠ Falta cuenta",IF(ISNA(MATCH(E2266,ctaNom,0)),"⚠ Cuenta no existe",IF(AND(OR(I2266="Transferencia",I2266="Pago tarjeta"),G2266=""),"⚠ Indica la cuenta «Hacia»",IF(AND(G2266&lt;&gt;"",G2266=E2266),"⚠ «Hacia» igual a la cuenta",IF(AND(G2266&lt;&gt;"",ISNA(MATCH(G2266,ctaNom,0))),"⚠ «Hacia» no existe",IF(AND(I2266="Pago tarjeta",IFERROR(INDEX(ctaTipo,MATCH(G2266,ctaNom,0)),"")&lt;&gt;"Tarjeta de crédito"),"⚠ «Hacia» debe ser la tarjeta",IF(AND(I2266="Trading",IFERROR(INDEX(ctaTipo,MATCH(E2266,ctaNom,0)),"")&lt;&gt;"Cuenta de trading"),"⚠ Usa la cuenta de trading","✓"))))))))))))</f>
        <v/>
      </c>
      <c r="I2266" s="19">
        <f>IF(OR(B2266="",C2266="",D2266=""),"",IFERROR(INDEX(catTipo,MATCH(D2266,catNom,0))&amp;"",""))</f>
        <v/>
      </c>
      <c r="J2266" s="19">
        <f>IF(I2266="","",IFERROR(INDEX(catGrupo,MATCH(D2266,catNom,0))&amp;"",""))</f>
        <v/>
      </c>
      <c r="K2266" s="19">
        <f>IF(I2266="Gasto",IF(IFERROR(INDEX(catClas,MATCH(D2266,catNom,0))&amp;"","")="","Variable",IFERROR(INDEX(catClas,MATCH(D2266,catNom,0))&amp;"","")),"")</f>
        <v/>
      </c>
      <c r="L2266" s="19">
        <f>IF(I2266="","",IFERROR(INDEX(catAlim,MATCH(D2266,catNom,0))&amp;"",""))</f>
        <v/>
      </c>
      <c r="M2266" s="19">
        <f>IF(I2266="","",IFERROR(INDEX(catComida,MATCH(D2266,catNom,0))&amp;"",""))</f>
        <v/>
      </c>
      <c r="N2266" s="19">
        <f>IF(I2266="","",IFERROR(INDEX(ctaMon,MATCH(E2266,ctaNom,0))&amp;"","DOP"))</f>
        <v/>
      </c>
      <c r="O2266" s="20">
        <f>IF(I2266="","",C2266*IF(N2266="USD",TasaUSD,1))</f>
        <v/>
      </c>
      <c r="P2266" s="20">
        <f>IF(I2266="","",IF(I2266="Gasto",O2266,0))</f>
        <v/>
      </c>
      <c r="Q2266" s="20">
        <f>IF(I2266="","",IF(I2266="Ingreso",O2266,0))</f>
        <v/>
      </c>
      <c r="R2266" s="20">
        <f>IF(I2266="","",IF(I2266="Trading",O2266,0))</f>
        <v/>
      </c>
      <c r="S2266" s="19">
        <f>IF(I2266="","",IF(AND(I2266="Gasto",K2266="Variable",J2266&lt;&gt;"Trading",O2266&gt;0,O2266&lt;=Umbral),1,0))</f>
        <v/>
      </c>
      <c r="T2266" s="20">
        <f>IF(OR(I2266="",E2266=""),"",IF(OR(I2266="Gasto",I2266="Transferencia",I2266="Pago tarjeta"),-1,1)*C2266)</f>
        <v/>
      </c>
      <c r="U2266" s="20">
        <f>IF(OR(G2266="",AND(I2266&lt;&gt;"Transferencia",I2266&lt;&gt;"Pago tarjeta")),"",IF(IFERROR(INDEX(ctaMon,MATCH(G2266,ctaNom,0))&amp;"","DOP")=N2266,C2266,IF(N2266="USD",C2266*TasaUSD,C2266/TasaUSD)))</f>
        <v/>
      </c>
      <c r="V2266" s="20">
        <f>IF(I2266="","",IF(IFERROR(INDEX(ctaLiq,MATCH(E2266,ctaNom,0))="Sí",FALSE),IF(OR(I2266="Gasto",I2266="Transferencia",I2266="Pago tarjeta"),-1,1)*O2266,0)+IF(AND(U2266&lt;&gt;"",IFERROR(INDEX(ctaLiq,MATCH(G2266,ctaNom,0))="Sí",FALSE)),O2266,0))</f>
        <v/>
      </c>
      <c r="W2266" s="19">
        <f>IF(OR(F2266="",I2266=""),"",IF(COUNTIFS(F$6:F2266,F2266,I$6:I2266,"?*")=1,MAX(W$5:W2265)+1,""))</f>
        <v/>
      </c>
    </row>
    <row r="2267">
      <c r="B2267" s="15" t="n"/>
      <c r="C2267" s="16" t="n"/>
      <c r="D2267" s="17" t="n"/>
      <c r="E2267" s="17" t="n"/>
      <c r="F2267" s="17" t="n"/>
      <c r="G2267" s="17" t="n"/>
      <c r="H2267" s="18">
        <f>IF(AND(B2267="",C2267="",D2267="",E2267=""),"",IF(B2267="","⚠ Falta fecha",IF(C2267="","⚠ Falta monto",IF(D2267="","⚠ Falta categoría",IF(ISNA(MATCH(D2267,catNom,0)),"⚠ Categoría no existe",IF(E2267="","⚠ Falta cuenta",IF(ISNA(MATCH(E2267,ctaNom,0)),"⚠ Cuenta no existe",IF(AND(OR(I2267="Transferencia",I2267="Pago tarjeta"),G2267=""),"⚠ Indica la cuenta «Hacia»",IF(AND(G2267&lt;&gt;"",G2267=E2267),"⚠ «Hacia» igual a la cuenta",IF(AND(G2267&lt;&gt;"",ISNA(MATCH(G2267,ctaNom,0))),"⚠ «Hacia» no existe",IF(AND(I2267="Pago tarjeta",IFERROR(INDEX(ctaTipo,MATCH(G2267,ctaNom,0)),"")&lt;&gt;"Tarjeta de crédito"),"⚠ «Hacia» debe ser la tarjeta",IF(AND(I2267="Trading",IFERROR(INDEX(ctaTipo,MATCH(E2267,ctaNom,0)),"")&lt;&gt;"Cuenta de trading"),"⚠ Usa la cuenta de trading","✓"))))))))))))</f>
        <v/>
      </c>
      <c r="I2267" s="19">
        <f>IF(OR(B2267="",C2267="",D2267=""),"",IFERROR(INDEX(catTipo,MATCH(D2267,catNom,0))&amp;"",""))</f>
        <v/>
      </c>
      <c r="J2267" s="19">
        <f>IF(I2267="","",IFERROR(INDEX(catGrupo,MATCH(D2267,catNom,0))&amp;"",""))</f>
        <v/>
      </c>
      <c r="K2267" s="19">
        <f>IF(I2267="Gasto",IF(IFERROR(INDEX(catClas,MATCH(D2267,catNom,0))&amp;"","")="","Variable",IFERROR(INDEX(catClas,MATCH(D2267,catNom,0))&amp;"","")),"")</f>
        <v/>
      </c>
      <c r="L2267" s="19">
        <f>IF(I2267="","",IFERROR(INDEX(catAlim,MATCH(D2267,catNom,0))&amp;"",""))</f>
        <v/>
      </c>
      <c r="M2267" s="19">
        <f>IF(I2267="","",IFERROR(INDEX(catComida,MATCH(D2267,catNom,0))&amp;"",""))</f>
        <v/>
      </c>
      <c r="N2267" s="19">
        <f>IF(I2267="","",IFERROR(INDEX(ctaMon,MATCH(E2267,ctaNom,0))&amp;"","DOP"))</f>
        <v/>
      </c>
      <c r="O2267" s="20">
        <f>IF(I2267="","",C2267*IF(N2267="USD",TasaUSD,1))</f>
        <v/>
      </c>
      <c r="P2267" s="20">
        <f>IF(I2267="","",IF(I2267="Gasto",O2267,0))</f>
        <v/>
      </c>
      <c r="Q2267" s="20">
        <f>IF(I2267="","",IF(I2267="Ingreso",O2267,0))</f>
        <v/>
      </c>
      <c r="R2267" s="20">
        <f>IF(I2267="","",IF(I2267="Trading",O2267,0))</f>
        <v/>
      </c>
      <c r="S2267" s="19">
        <f>IF(I2267="","",IF(AND(I2267="Gasto",K2267="Variable",J2267&lt;&gt;"Trading",O2267&gt;0,O2267&lt;=Umbral),1,0))</f>
        <v/>
      </c>
      <c r="T2267" s="20">
        <f>IF(OR(I2267="",E2267=""),"",IF(OR(I2267="Gasto",I2267="Transferencia",I2267="Pago tarjeta"),-1,1)*C2267)</f>
        <v/>
      </c>
      <c r="U2267" s="20">
        <f>IF(OR(G2267="",AND(I2267&lt;&gt;"Transferencia",I2267&lt;&gt;"Pago tarjeta")),"",IF(IFERROR(INDEX(ctaMon,MATCH(G2267,ctaNom,0))&amp;"","DOP")=N2267,C2267,IF(N2267="USD",C2267*TasaUSD,C2267/TasaUSD)))</f>
        <v/>
      </c>
      <c r="V2267" s="20">
        <f>IF(I2267="","",IF(IFERROR(INDEX(ctaLiq,MATCH(E2267,ctaNom,0))="Sí",FALSE),IF(OR(I2267="Gasto",I2267="Transferencia",I2267="Pago tarjeta"),-1,1)*O2267,0)+IF(AND(U2267&lt;&gt;"",IFERROR(INDEX(ctaLiq,MATCH(G2267,ctaNom,0))="Sí",FALSE)),O2267,0))</f>
        <v/>
      </c>
      <c r="W2267" s="19">
        <f>IF(OR(F2267="",I2267=""),"",IF(COUNTIFS(F$6:F2267,F2267,I$6:I2267,"?*")=1,MAX(W$5:W2266)+1,""))</f>
        <v/>
      </c>
    </row>
    <row r="2268">
      <c r="B2268" s="15" t="n"/>
      <c r="C2268" s="16" t="n"/>
      <c r="D2268" s="17" t="n"/>
      <c r="E2268" s="17" t="n"/>
      <c r="F2268" s="17" t="n"/>
      <c r="G2268" s="17" t="n"/>
      <c r="H2268" s="18">
        <f>IF(AND(B2268="",C2268="",D2268="",E2268=""),"",IF(B2268="","⚠ Falta fecha",IF(C2268="","⚠ Falta monto",IF(D2268="","⚠ Falta categoría",IF(ISNA(MATCH(D2268,catNom,0)),"⚠ Categoría no existe",IF(E2268="","⚠ Falta cuenta",IF(ISNA(MATCH(E2268,ctaNom,0)),"⚠ Cuenta no existe",IF(AND(OR(I2268="Transferencia",I2268="Pago tarjeta"),G2268=""),"⚠ Indica la cuenta «Hacia»",IF(AND(G2268&lt;&gt;"",G2268=E2268),"⚠ «Hacia» igual a la cuenta",IF(AND(G2268&lt;&gt;"",ISNA(MATCH(G2268,ctaNom,0))),"⚠ «Hacia» no existe",IF(AND(I2268="Pago tarjeta",IFERROR(INDEX(ctaTipo,MATCH(G2268,ctaNom,0)),"")&lt;&gt;"Tarjeta de crédito"),"⚠ «Hacia» debe ser la tarjeta",IF(AND(I2268="Trading",IFERROR(INDEX(ctaTipo,MATCH(E2268,ctaNom,0)),"")&lt;&gt;"Cuenta de trading"),"⚠ Usa la cuenta de trading","✓"))))))))))))</f>
        <v/>
      </c>
      <c r="I2268" s="19">
        <f>IF(OR(B2268="",C2268="",D2268=""),"",IFERROR(INDEX(catTipo,MATCH(D2268,catNom,0))&amp;"",""))</f>
        <v/>
      </c>
      <c r="J2268" s="19">
        <f>IF(I2268="","",IFERROR(INDEX(catGrupo,MATCH(D2268,catNom,0))&amp;"",""))</f>
        <v/>
      </c>
      <c r="K2268" s="19">
        <f>IF(I2268="Gasto",IF(IFERROR(INDEX(catClas,MATCH(D2268,catNom,0))&amp;"","")="","Variable",IFERROR(INDEX(catClas,MATCH(D2268,catNom,0))&amp;"","")),"")</f>
        <v/>
      </c>
      <c r="L2268" s="19">
        <f>IF(I2268="","",IFERROR(INDEX(catAlim,MATCH(D2268,catNom,0))&amp;"",""))</f>
        <v/>
      </c>
      <c r="M2268" s="19">
        <f>IF(I2268="","",IFERROR(INDEX(catComida,MATCH(D2268,catNom,0))&amp;"",""))</f>
        <v/>
      </c>
      <c r="N2268" s="19">
        <f>IF(I2268="","",IFERROR(INDEX(ctaMon,MATCH(E2268,ctaNom,0))&amp;"","DOP"))</f>
        <v/>
      </c>
      <c r="O2268" s="20">
        <f>IF(I2268="","",C2268*IF(N2268="USD",TasaUSD,1))</f>
        <v/>
      </c>
      <c r="P2268" s="20">
        <f>IF(I2268="","",IF(I2268="Gasto",O2268,0))</f>
        <v/>
      </c>
      <c r="Q2268" s="20">
        <f>IF(I2268="","",IF(I2268="Ingreso",O2268,0))</f>
        <v/>
      </c>
      <c r="R2268" s="20">
        <f>IF(I2268="","",IF(I2268="Trading",O2268,0))</f>
        <v/>
      </c>
      <c r="S2268" s="19">
        <f>IF(I2268="","",IF(AND(I2268="Gasto",K2268="Variable",J2268&lt;&gt;"Trading",O2268&gt;0,O2268&lt;=Umbral),1,0))</f>
        <v/>
      </c>
      <c r="T2268" s="20">
        <f>IF(OR(I2268="",E2268=""),"",IF(OR(I2268="Gasto",I2268="Transferencia",I2268="Pago tarjeta"),-1,1)*C2268)</f>
        <v/>
      </c>
      <c r="U2268" s="20">
        <f>IF(OR(G2268="",AND(I2268&lt;&gt;"Transferencia",I2268&lt;&gt;"Pago tarjeta")),"",IF(IFERROR(INDEX(ctaMon,MATCH(G2268,ctaNom,0))&amp;"","DOP")=N2268,C2268,IF(N2268="USD",C2268*TasaUSD,C2268/TasaUSD)))</f>
        <v/>
      </c>
      <c r="V2268" s="20">
        <f>IF(I2268="","",IF(IFERROR(INDEX(ctaLiq,MATCH(E2268,ctaNom,0))="Sí",FALSE),IF(OR(I2268="Gasto",I2268="Transferencia",I2268="Pago tarjeta"),-1,1)*O2268,0)+IF(AND(U2268&lt;&gt;"",IFERROR(INDEX(ctaLiq,MATCH(G2268,ctaNom,0))="Sí",FALSE)),O2268,0))</f>
        <v/>
      </c>
      <c r="W2268" s="19">
        <f>IF(OR(F2268="",I2268=""),"",IF(COUNTIFS(F$6:F2268,F2268,I$6:I2268,"?*")=1,MAX(W$5:W2267)+1,""))</f>
        <v/>
      </c>
    </row>
    <row r="2269">
      <c r="B2269" s="15" t="n"/>
      <c r="C2269" s="16" t="n"/>
      <c r="D2269" s="17" t="n"/>
      <c r="E2269" s="17" t="n"/>
      <c r="F2269" s="17" t="n"/>
      <c r="G2269" s="17" t="n"/>
      <c r="H2269" s="18">
        <f>IF(AND(B2269="",C2269="",D2269="",E2269=""),"",IF(B2269="","⚠ Falta fecha",IF(C2269="","⚠ Falta monto",IF(D2269="","⚠ Falta categoría",IF(ISNA(MATCH(D2269,catNom,0)),"⚠ Categoría no existe",IF(E2269="","⚠ Falta cuenta",IF(ISNA(MATCH(E2269,ctaNom,0)),"⚠ Cuenta no existe",IF(AND(OR(I2269="Transferencia",I2269="Pago tarjeta"),G2269=""),"⚠ Indica la cuenta «Hacia»",IF(AND(G2269&lt;&gt;"",G2269=E2269),"⚠ «Hacia» igual a la cuenta",IF(AND(G2269&lt;&gt;"",ISNA(MATCH(G2269,ctaNom,0))),"⚠ «Hacia» no existe",IF(AND(I2269="Pago tarjeta",IFERROR(INDEX(ctaTipo,MATCH(G2269,ctaNom,0)),"")&lt;&gt;"Tarjeta de crédito"),"⚠ «Hacia» debe ser la tarjeta",IF(AND(I2269="Trading",IFERROR(INDEX(ctaTipo,MATCH(E2269,ctaNom,0)),"")&lt;&gt;"Cuenta de trading"),"⚠ Usa la cuenta de trading","✓"))))))))))))</f>
        <v/>
      </c>
      <c r="I2269" s="19">
        <f>IF(OR(B2269="",C2269="",D2269=""),"",IFERROR(INDEX(catTipo,MATCH(D2269,catNom,0))&amp;"",""))</f>
        <v/>
      </c>
      <c r="J2269" s="19">
        <f>IF(I2269="","",IFERROR(INDEX(catGrupo,MATCH(D2269,catNom,0))&amp;"",""))</f>
        <v/>
      </c>
      <c r="K2269" s="19">
        <f>IF(I2269="Gasto",IF(IFERROR(INDEX(catClas,MATCH(D2269,catNom,0))&amp;"","")="","Variable",IFERROR(INDEX(catClas,MATCH(D2269,catNom,0))&amp;"","")),"")</f>
        <v/>
      </c>
      <c r="L2269" s="19">
        <f>IF(I2269="","",IFERROR(INDEX(catAlim,MATCH(D2269,catNom,0))&amp;"",""))</f>
        <v/>
      </c>
      <c r="M2269" s="19">
        <f>IF(I2269="","",IFERROR(INDEX(catComida,MATCH(D2269,catNom,0))&amp;"",""))</f>
        <v/>
      </c>
      <c r="N2269" s="19">
        <f>IF(I2269="","",IFERROR(INDEX(ctaMon,MATCH(E2269,ctaNom,0))&amp;"","DOP"))</f>
        <v/>
      </c>
      <c r="O2269" s="20">
        <f>IF(I2269="","",C2269*IF(N2269="USD",TasaUSD,1))</f>
        <v/>
      </c>
      <c r="P2269" s="20">
        <f>IF(I2269="","",IF(I2269="Gasto",O2269,0))</f>
        <v/>
      </c>
      <c r="Q2269" s="20">
        <f>IF(I2269="","",IF(I2269="Ingreso",O2269,0))</f>
        <v/>
      </c>
      <c r="R2269" s="20">
        <f>IF(I2269="","",IF(I2269="Trading",O2269,0))</f>
        <v/>
      </c>
      <c r="S2269" s="19">
        <f>IF(I2269="","",IF(AND(I2269="Gasto",K2269="Variable",J2269&lt;&gt;"Trading",O2269&gt;0,O2269&lt;=Umbral),1,0))</f>
        <v/>
      </c>
      <c r="T2269" s="20">
        <f>IF(OR(I2269="",E2269=""),"",IF(OR(I2269="Gasto",I2269="Transferencia",I2269="Pago tarjeta"),-1,1)*C2269)</f>
        <v/>
      </c>
      <c r="U2269" s="20">
        <f>IF(OR(G2269="",AND(I2269&lt;&gt;"Transferencia",I2269&lt;&gt;"Pago tarjeta")),"",IF(IFERROR(INDEX(ctaMon,MATCH(G2269,ctaNom,0))&amp;"","DOP")=N2269,C2269,IF(N2269="USD",C2269*TasaUSD,C2269/TasaUSD)))</f>
        <v/>
      </c>
      <c r="V2269" s="20">
        <f>IF(I2269="","",IF(IFERROR(INDEX(ctaLiq,MATCH(E2269,ctaNom,0))="Sí",FALSE),IF(OR(I2269="Gasto",I2269="Transferencia",I2269="Pago tarjeta"),-1,1)*O2269,0)+IF(AND(U2269&lt;&gt;"",IFERROR(INDEX(ctaLiq,MATCH(G2269,ctaNom,0))="Sí",FALSE)),O2269,0))</f>
        <v/>
      </c>
      <c r="W2269" s="19">
        <f>IF(OR(F2269="",I2269=""),"",IF(COUNTIFS(F$6:F2269,F2269,I$6:I2269,"?*")=1,MAX(W$5:W2268)+1,""))</f>
        <v/>
      </c>
    </row>
    <row r="2270">
      <c r="B2270" s="15" t="n"/>
      <c r="C2270" s="16" t="n"/>
      <c r="D2270" s="17" t="n"/>
      <c r="E2270" s="17" t="n"/>
      <c r="F2270" s="17" t="n"/>
      <c r="G2270" s="17" t="n"/>
      <c r="H2270" s="18">
        <f>IF(AND(B2270="",C2270="",D2270="",E2270=""),"",IF(B2270="","⚠ Falta fecha",IF(C2270="","⚠ Falta monto",IF(D2270="","⚠ Falta categoría",IF(ISNA(MATCH(D2270,catNom,0)),"⚠ Categoría no existe",IF(E2270="","⚠ Falta cuenta",IF(ISNA(MATCH(E2270,ctaNom,0)),"⚠ Cuenta no existe",IF(AND(OR(I2270="Transferencia",I2270="Pago tarjeta"),G2270=""),"⚠ Indica la cuenta «Hacia»",IF(AND(G2270&lt;&gt;"",G2270=E2270),"⚠ «Hacia» igual a la cuenta",IF(AND(G2270&lt;&gt;"",ISNA(MATCH(G2270,ctaNom,0))),"⚠ «Hacia» no existe",IF(AND(I2270="Pago tarjeta",IFERROR(INDEX(ctaTipo,MATCH(G2270,ctaNom,0)),"")&lt;&gt;"Tarjeta de crédito"),"⚠ «Hacia» debe ser la tarjeta",IF(AND(I2270="Trading",IFERROR(INDEX(ctaTipo,MATCH(E2270,ctaNom,0)),"")&lt;&gt;"Cuenta de trading"),"⚠ Usa la cuenta de trading","✓"))))))))))))</f>
        <v/>
      </c>
      <c r="I2270" s="19">
        <f>IF(OR(B2270="",C2270="",D2270=""),"",IFERROR(INDEX(catTipo,MATCH(D2270,catNom,0))&amp;"",""))</f>
        <v/>
      </c>
      <c r="J2270" s="19">
        <f>IF(I2270="","",IFERROR(INDEX(catGrupo,MATCH(D2270,catNom,0))&amp;"",""))</f>
        <v/>
      </c>
      <c r="K2270" s="19">
        <f>IF(I2270="Gasto",IF(IFERROR(INDEX(catClas,MATCH(D2270,catNom,0))&amp;"","")="","Variable",IFERROR(INDEX(catClas,MATCH(D2270,catNom,0))&amp;"","")),"")</f>
        <v/>
      </c>
      <c r="L2270" s="19">
        <f>IF(I2270="","",IFERROR(INDEX(catAlim,MATCH(D2270,catNom,0))&amp;"",""))</f>
        <v/>
      </c>
      <c r="M2270" s="19">
        <f>IF(I2270="","",IFERROR(INDEX(catComida,MATCH(D2270,catNom,0))&amp;"",""))</f>
        <v/>
      </c>
      <c r="N2270" s="19">
        <f>IF(I2270="","",IFERROR(INDEX(ctaMon,MATCH(E2270,ctaNom,0))&amp;"","DOP"))</f>
        <v/>
      </c>
      <c r="O2270" s="20">
        <f>IF(I2270="","",C2270*IF(N2270="USD",TasaUSD,1))</f>
        <v/>
      </c>
      <c r="P2270" s="20">
        <f>IF(I2270="","",IF(I2270="Gasto",O2270,0))</f>
        <v/>
      </c>
      <c r="Q2270" s="20">
        <f>IF(I2270="","",IF(I2270="Ingreso",O2270,0))</f>
        <v/>
      </c>
      <c r="R2270" s="20">
        <f>IF(I2270="","",IF(I2270="Trading",O2270,0))</f>
        <v/>
      </c>
      <c r="S2270" s="19">
        <f>IF(I2270="","",IF(AND(I2270="Gasto",K2270="Variable",J2270&lt;&gt;"Trading",O2270&gt;0,O2270&lt;=Umbral),1,0))</f>
        <v/>
      </c>
      <c r="T2270" s="20">
        <f>IF(OR(I2270="",E2270=""),"",IF(OR(I2270="Gasto",I2270="Transferencia",I2270="Pago tarjeta"),-1,1)*C2270)</f>
        <v/>
      </c>
      <c r="U2270" s="20">
        <f>IF(OR(G2270="",AND(I2270&lt;&gt;"Transferencia",I2270&lt;&gt;"Pago tarjeta")),"",IF(IFERROR(INDEX(ctaMon,MATCH(G2270,ctaNom,0))&amp;"","DOP")=N2270,C2270,IF(N2270="USD",C2270*TasaUSD,C2270/TasaUSD)))</f>
        <v/>
      </c>
      <c r="V2270" s="20">
        <f>IF(I2270="","",IF(IFERROR(INDEX(ctaLiq,MATCH(E2270,ctaNom,0))="Sí",FALSE),IF(OR(I2270="Gasto",I2270="Transferencia",I2270="Pago tarjeta"),-1,1)*O2270,0)+IF(AND(U2270&lt;&gt;"",IFERROR(INDEX(ctaLiq,MATCH(G2270,ctaNom,0))="Sí",FALSE)),O2270,0))</f>
        <v/>
      </c>
      <c r="W2270" s="19">
        <f>IF(OR(F2270="",I2270=""),"",IF(COUNTIFS(F$6:F2270,F2270,I$6:I2270,"?*")=1,MAX(W$5:W2269)+1,""))</f>
        <v/>
      </c>
    </row>
    <row r="2271">
      <c r="B2271" s="15" t="n"/>
      <c r="C2271" s="16" t="n"/>
      <c r="D2271" s="17" t="n"/>
      <c r="E2271" s="17" t="n"/>
      <c r="F2271" s="17" t="n"/>
      <c r="G2271" s="17" t="n"/>
      <c r="H2271" s="18">
        <f>IF(AND(B2271="",C2271="",D2271="",E2271=""),"",IF(B2271="","⚠ Falta fecha",IF(C2271="","⚠ Falta monto",IF(D2271="","⚠ Falta categoría",IF(ISNA(MATCH(D2271,catNom,0)),"⚠ Categoría no existe",IF(E2271="","⚠ Falta cuenta",IF(ISNA(MATCH(E2271,ctaNom,0)),"⚠ Cuenta no existe",IF(AND(OR(I2271="Transferencia",I2271="Pago tarjeta"),G2271=""),"⚠ Indica la cuenta «Hacia»",IF(AND(G2271&lt;&gt;"",G2271=E2271),"⚠ «Hacia» igual a la cuenta",IF(AND(G2271&lt;&gt;"",ISNA(MATCH(G2271,ctaNom,0))),"⚠ «Hacia» no existe",IF(AND(I2271="Pago tarjeta",IFERROR(INDEX(ctaTipo,MATCH(G2271,ctaNom,0)),"")&lt;&gt;"Tarjeta de crédito"),"⚠ «Hacia» debe ser la tarjeta",IF(AND(I2271="Trading",IFERROR(INDEX(ctaTipo,MATCH(E2271,ctaNom,0)),"")&lt;&gt;"Cuenta de trading"),"⚠ Usa la cuenta de trading","✓"))))))))))))</f>
        <v/>
      </c>
      <c r="I2271" s="19">
        <f>IF(OR(B2271="",C2271="",D2271=""),"",IFERROR(INDEX(catTipo,MATCH(D2271,catNom,0))&amp;"",""))</f>
        <v/>
      </c>
      <c r="J2271" s="19">
        <f>IF(I2271="","",IFERROR(INDEX(catGrupo,MATCH(D2271,catNom,0))&amp;"",""))</f>
        <v/>
      </c>
      <c r="K2271" s="19">
        <f>IF(I2271="Gasto",IF(IFERROR(INDEX(catClas,MATCH(D2271,catNom,0))&amp;"","")="","Variable",IFERROR(INDEX(catClas,MATCH(D2271,catNom,0))&amp;"","")),"")</f>
        <v/>
      </c>
      <c r="L2271" s="19">
        <f>IF(I2271="","",IFERROR(INDEX(catAlim,MATCH(D2271,catNom,0))&amp;"",""))</f>
        <v/>
      </c>
      <c r="M2271" s="19">
        <f>IF(I2271="","",IFERROR(INDEX(catComida,MATCH(D2271,catNom,0))&amp;"",""))</f>
        <v/>
      </c>
      <c r="N2271" s="19">
        <f>IF(I2271="","",IFERROR(INDEX(ctaMon,MATCH(E2271,ctaNom,0))&amp;"","DOP"))</f>
        <v/>
      </c>
      <c r="O2271" s="20">
        <f>IF(I2271="","",C2271*IF(N2271="USD",TasaUSD,1))</f>
        <v/>
      </c>
      <c r="P2271" s="20">
        <f>IF(I2271="","",IF(I2271="Gasto",O2271,0))</f>
        <v/>
      </c>
      <c r="Q2271" s="20">
        <f>IF(I2271="","",IF(I2271="Ingreso",O2271,0))</f>
        <v/>
      </c>
      <c r="R2271" s="20">
        <f>IF(I2271="","",IF(I2271="Trading",O2271,0))</f>
        <v/>
      </c>
      <c r="S2271" s="19">
        <f>IF(I2271="","",IF(AND(I2271="Gasto",K2271="Variable",J2271&lt;&gt;"Trading",O2271&gt;0,O2271&lt;=Umbral),1,0))</f>
        <v/>
      </c>
      <c r="T2271" s="20">
        <f>IF(OR(I2271="",E2271=""),"",IF(OR(I2271="Gasto",I2271="Transferencia",I2271="Pago tarjeta"),-1,1)*C2271)</f>
        <v/>
      </c>
      <c r="U2271" s="20">
        <f>IF(OR(G2271="",AND(I2271&lt;&gt;"Transferencia",I2271&lt;&gt;"Pago tarjeta")),"",IF(IFERROR(INDEX(ctaMon,MATCH(G2271,ctaNom,0))&amp;"","DOP")=N2271,C2271,IF(N2271="USD",C2271*TasaUSD,C2271/TasaUSD)))</f>
        <v/>
      </c>
      <c r="V2271" s="20">
        <f>IF(I2271="","",IF(IFERROR(INDEX(ctaLiq,MATCH(E2271,ctaNom,0))="Sí",FALSE),IF(OR(I2271="Gasto",I2271="Transferencia",I2271="Pago tarjeta"),-1,1)*O2271,0)+IF(AND(U2271&lt;&gt;"",IFERROR(INDEX(ctaLiq,MATCH(G2271,ctaNom,0))="Sí",FALSE)),O2271,0))</f>
        <v/>
      </c>
      <c r="W2271" s="19">
        <f>IF(OR(F2271="",I2271=""),"",IF(COUNTIFS(F$6:F2271,F2271,I$6:I2271,"?*")=1,MAX(W$5:W2270)+1,""))</f>
        <v/>
      </c>
    </row>
    <row r="2272">
      <c r="B2272" s="15" t="n"/>
      <c r="C2272" s="16" t="n"/>
      <c r="D2272" s="17" t="n"/>
      <c r="E2272" s="17" t="n"/>
      <c r="F2272" s="17" t="n"/>
      <c r="G2272" s="17" t="n"/>
      <c r="H2272" s="18">
        <f>IF(AND(B2272="",C2272="",D2272="",E2272=""),"",IF(B2272="","⚠ Falta fecha",IF(C2272="","⚠ Falta monto",IF(D2272="","⚠ Falta categoría",IF(ISNA(MATCH(D2272,catNom,0)),"⚠ Categoría no existe",IF(E2272="","⚠ Falta cuenta",IF(ISNA(MATCH(E2272,ctaNom,0)),"⚠ Cuenta no existe",IF(AND(OR(I2272="Transferencia",I2272="Pago tarjeta"),G2272=""),"⚠ Indica la cuenta «Hacia»",IF(AND(G2272&lt;&gt;"",G2272=E2272),"⚠ «Hacia» igual a la cuenta",IF(AND(G2272&lt;&gt;"",ISNA(MATCH(G2272,ctaNom,0))),"⚠ «Hacia» no existe",IF(AND(I2272="Pago tarjeta",IFERROR(INDEX(ctaTipo,MATCH(G2272,ctaNom,0)),"")&lt;&gt;"Tarjeta de crédito"),"⚠ «Hacia» debe ser la tarjeta",IF(AND(I2272="Trading",IFERROR(INDEX(ctaTipo,MATCH(E2272,ctaNom,0)),"")&lt;&gt;"Cuenta de trading"),"⚠ Usa la cuenta de trading","✓"))))))))))))</f>
        <v/>
      </c>
      <c r="I2272" s="19">
        <f>IF(OR(B2272="",C2272="",D2272=""),"",IFERROR(INDEX(catTipo,MATCH(D2272,catNom,0))&amp;"",""))</f>
        <v/>
      </c>
      <c r="J2272" s="19">
        <f>IF(I2272="","",IFERROR(INDEX(catGrupo,MATCH(D2272,catNom,0))&amp;"",""))</f>
        <v/>
      </c>
      <c r="K2272" s="19">
        <f>IF(I2272="Gasto",IF(IFERROR(INDEX(catClas,MATCH(D2272,catNom,0))&amp;"","")="","Variable",IFERROR(INDEX(catClas,MATCH(D2272,catNom,0))&amp;"","")),"")</f>
        <v/>
      </c>
      <c r="L2272" s="19">
        <f>IF(I2272="","",IFERROR(INDEX(catAlim,MATCH(D2272,catNom,0))&amp;"",""))</f>
        <v/>
      </c>
      <c r="M2272" s="19">
        <f>IF(I2272="","",IFERROR(INDEX(catComida,MATCH(D2272,catNom,0))&amp;"",""))</f>
        <v/>
      </c>
      <c r="N2272" s="19">
        <f>IF(I2272="","",IFERROR(INDEX(ctaMon,MATCH(E2272,ctaNom,0))&amp;"","DOP"))</f>
        <v/>
      </c>
      <c r="O2272" s="20">
        <f>IF(I2272="","",C2272*IF(N2272="USD",TasaUSD,1))</f>
        <v/>
      </c>
      <c r="P2272" s="20">
        <f>IF(I2272="","",IF(I2272="Gasto",O2272,0))</f>
        <v/>
      </c>
      <c r="Q2272" s="20">
        <f>IF(I2272="","",IF(I2272="Ingreso",O2272,0))</f>
        <v/>
      </c>
      <c r="R2272" s="20">
        <f>IF(I2272="","",IF(I2272="Trading",O2272,0))</f>
        <v/>
      </c>
      <c r="S2272" s="19">
        <f>IF(I2272="","",IF(AND(I2272="Gasto",K2272="Variable",J2272&lt;&gt;"Trading",O2272&gt;0,O2272&lt;=Umbral),1,0))</f>
        <v/>
      </c>
      <c r="T2272" s="20">
        <f>IF(OR(I2272="",E2272=""),"",IF(OR(I2272="Gasto",I2272="Transferencia",I2272="Pago tarjeta"),-1,1)*C2272)</f>
        <v/>
      </c>
      <c r="U2272" s="20">
        <f>IF(OR(G2272="",AND(I2272&lt;&gt;"Transferencia",I2272&lt;&gt;"Pago tarjeta")),"",IF(IFERROR(INDEX(ctaMon,MATCH(G2272,ctaNom,0))&amp;"","DOP")=N2272,C2272,IF(N2272="USD",C2272*TasaUSD,C2272/TasaUSD)))</f>
        <v/>
      </c>
      <c r="V2272" s="20">
        <f>IF(I2272="","",IF(IFERROR(INDEX(ctaLiq,MATCH(E2272,ctaNom,0))="Sí",FALSE),IF(OR(I2272="Gasto",I2272="Transferencia",I2272="Pago tarjeta"),-1,1)*O2272,0)+IF(AND(U2272&lt;&gt;"",IFERROR(INDEX(ctaLiq,MATCH(G2272,ctaNom,0))="Sí",FALSE)),O2272,0))</f>
        <v/>
      </c>
      <c r="W2272" s="19">
        <f>IF(OR(F2272="",I2272=""),"",IF(COUNTIFS(F$6:F2272,F2272,I$6:I2272,"?*")=1,MAX(W$5:W2271)+1,""))</f>
        <v/>
      </c>
    </row>
    <row r="2273">
      <c r="B2273" s="15" t="n"/>
      <c r="C2273" s="16" t="n"/>
      <c r="D2273" s="17" t="n"/>
      <c r="E2273" s="17" t="n"/>
      <c r="F2273" s="17" t="n"/>
      <c r="G2273" s="17" t="n"/>
      <c r="H2273" s="18">
        <f>IF(AND(B2273="",C2273="",D2273="",E2273=""),"",IF(B2273="","⚠ Falta fecha",IF(C2273="","⚠ Falta monto",IF(D2273="","⚠ Falta categoría",IF(ISNA(MATCH(D2273,catNom,0)),"⚠ Categoría no existe",IF(E2273="","⚠ Falta cuenta",IF(ISNA(MATCH(E2273,ctaNom,0)),"⚠ Cuenta no existe",IF(AND(OR(I2273="Transferencia",I2273="Pago tarjeta"),G2273=""),"⚠ Indica la cuenta «Hacia»",IF(AND(G2273&lt;&gt;"",G2273=E2273),"⚠ «Hacia» igual a la cuenta",IF(AND(G2273&lt;&gt;"",ISNA(MATCH(G2273,ctaNom,0))),"⚠ «Hacia» no existe",IF(AND(I2273="Pago tarjeta",IFERROR(INDEX(ctaTipo,MATCH(G2273,ctaNom,0)),"")&lt;&gt;"Tarjeta de crédito"),"⚠ «Hacia» debe ser la tarjeta",IF(AND(I2273="Trading",IFERROR(INDEX(ctaTipo,MATCH(E2273,ctaNom,0)),"")&lt;&gt;"Cuenta de trading"),"⚠ Usa la cuenta de trading","✓"))))))))))))</f>
        <v/>
      </c>
      <c r="I2273" s="19">
        <f>IF(OR(B2273="",C2273="",D2273=""),"",IFERROR(INDEX(catTipo,MATCH(D2273,catNom,0))&amp;"",""))</f>
        <v/>
      </c>
      <c r="J2273" s="19">
        <f>IF(I2273="","",IFERROR(INDEX(catGrupo,MATCH(D2273,catNom,0))&amp;"",""))</f>
        <v/>
      </c>
      <c r="K2273" s="19">
        <f>IF(I2273="Gasto",IF(IFERROR(INDEX(catClas,MATCH(D2273,catNom,0))&amp;"","")="","Variable",IFERROR(INDEX(catClas,MATCH(D2273,catNom,0))&amp;"","")),"")</f>
        <v/>
      </c>
      <c r="L2273" s="19">
        <f>IF(I2273="","",IFERROR(INDEX(catAlim,MATCH(D2273,catNom,0))&amp;"",""))</f>
        <v/>
      </c>
      <c r="M2273" s="19">
        <f>IF(I2273="","",IFERROR(INDEX(catComida,MATCH(D2273,catNom,0))&amp;"",""))</f>
        <v/>
      </c>
      <c r="N2273" s="19">
        <f>IF(I2273="","",IFERROR(INDEX(ctaMon,MATCH(E2273,ctaNom,0))&amp;"","DOP"))</f>
        <v/>
      </c>
      <c r="O2273" s="20">
        <f>IF(I2273="","",C2273*IF(N2273="USD",TasaUSD,1))</f>
        <v/>
      </c>
      <c r="P2273" s="20">
        <f>IF(I2273="","",IF(I2273="Gasto",O2273,0))</f>
        <v/>
      </c>
      <c r="Q2273" s="20">
        <f>IF(I2273="","",IF(I2273="Ingreso",O2273,0))</f>
        <v/>
      </c>
      <c r="R2273" s="20">
        <f>IF(I2273="","",IF(I2273="Trading",O2273,0))</f>
        <v/>
      </c>
      <c r="S2273" s="19">
        <f>IF(I2273="","",IF(AND(I2273="Gasto",K2273="Variable",J2273&lt;&gt;"Trading",O2273&gt;0,O2273&lt;=Umbral),1,0))</f>
        <v/>
      </c>
      <c r="T2273" s="20">
        <f>IF(OR(I2273="",E2273=""),"",IF(OR(I2273="Gasto",I2273="Transferencia",I2273="Pago tarjeta"),-1,1)*C2273)</f>
        <v/>
      </c>
      <c r="U2273" s="20">
        <f>IF(OR(G2273="",AND(I2273&lt;&gt;"Transferencia",I2273&lt;&gt;"Pago tarjeta")),"",IF(IFERROR(INDEX(ctaMon,MATCH(G2273,ctaNom,0))&amp;"","DOP")=N2273,C2273,IF(N2273="USD",C2273*TasaUSD,C2273/TasaUSD)))</f>
        <v/>
      </c>
      <c r="V2273" s="20">
        <f>IF(I2273="","",IF(IFERROR(INDEX(ctaLiq,MATCH(E2273,ctaNom,0))="Sí",FALSE),IF(OR(I2273="Gasto",I2273="Transferencia",I2273="Pago tarjeta"),-1,1)*O2273,0)+IF(AND(U2273&lt;&gt;"",IFERROR(INDEX(ctaLiq,MATCH(G2273,ctaNom,0))="Sí",FALSE)),O2273,0))</f>
        <v/>
      </c>
      <c r="W2273" s="19">
        <f>IF(OR(F2273="",I2273=""),"",IF(COUNTIFS(F$6:F2273,F2273,I$6:I2273,"?*")=1,MAX(W$5:W2272)+1,""))</f>
        <v/>
      </c>
    </row>
    <row r="2274">
      <c r="B2274" s="15" t="n"/>
      <c r="C2274" s="16" t="n"/>
      <c r="D2274" s="17" t="n"/>
      <c r="E2274" s="17" t="n"/>
      <c r="F2274" s="17" t="n"/>
      <c r="G2274" s="17" t="n"/>
      <c r="H2274" s="18">
        <f>IF(AND(B2274="",C2274="",D2274="",E2274=""),"",IF(B2274="","⚠ Falta fecha",IF(C2274="","⚠ Falta monto",IF(D2274="","⚠ Falta categoría",IF(ISNA(MATCH(D2274,catNom,0)),"⚠ Categoría no existe",IF(E2274="","⚠ Falta cuenta",IF(ISNA(MATCH(E2274,ctaNom,0)),"⚠ Cuenta no existe",IF(AND(OR(I2274="Transferencia",I2274="Pago tarjeta"),G2274=""),"⚠ Indica la cuenta «Hacia»",IF(AND(G2274&lt;&gt;"",G2274=E2274),"⚠ «Hacia» igual a la cuenta",IF(AND(G2274&lt;&gt;"",ISNA(MATCH(G2274,ctaNom,0))),"⚠ «Hacia» no existe",IF(AND(I2274="Pago tarjeta",IFERROR(INDEX(ctaTipo,MATCH(G2274,ctaNom,0)),"")&lt;&gt;"Tarjeta de crédito"),"⚠ «Hacia» debe ser la tarjeta",IF(AND(I2274="Trading",IFERROR(INDEX(ctaTipo,MATCH(E2274,ctaNom,0)),"")&lt;&gt;"Cuenta de trading"),"⚠ Usa la cuenta de trading","✓"))))))))))))</f>
        <v/>
      </c>
      <c r="I2274" s="19">
        <f>IF(OR(B2274="",C2274="",D2274=""),"",IFERROR(INDEX(catTipo,MATCH(D2274,catNom,0))&amp;"",""))</f>
        <v/>
      </c>
      <c r="J2274" s="19">
        <f>IF(I2274="","",IFERROR(INDEX(catGrupo,MATCH(D2274,catNom,0))&amp;"",""))</f>
        <v/>
      </c>
      <c r="K2274" s="19">
        <f>IF(I2274="Gasto",IF(IFERROR(INDEX(catClas,MATCH(D2274,catNom,0))&amp;"","")="","Variable",IFERROR(INDEX(catClas,MATCH(D2274,catNom,0))&amp;"","")),"")</f>
        <v/>
      </c>
      <c r="L2274" s="19">
        <f>IF(I2274="","",IFERROR(INDEX(catAlim,MATCH(D2274,catNom,0))&amp;"",""))</f>
        <v/>
      </c>
      <c r="M2274" s="19">
        <f>IF(I2274="","",IFERROR(INDEX(catComida,MATCH(D2274,catNom,0))&amp;"",""))</f>
        <v/>
      </c>
      <c r="N2274" s="19">
        <f>IF(I2274="","",IFERROR(INDEX(ctaMon,MATCH(E2274,ctaNom,0))&amp;"","DOP"))</f>
        <v/>
      </c>
      <c r="O2274" s="20">
        <f>IF(I2274="","",C2274*IF(N2274="USD",TasaUSD,1))</f>
        <v/>
      </c>
      <c r="P2274" s="20">
        <f>IF(I2274="","",IF(I2274="Gasto",O2274,0))</f>
        <v/>
      </c>
      <c r="Q2274" s="20">
        <f>IF(I2274="","",IF(I2274="Ingreso",O2274,0))</f>
        <v/>
      </c>
      <c r="R2274" s="20">
        <f>IF(I2274="","",IF(I2274="Trading",O2274,0))</f>
        <v/>
      </c>
      <c r="S2274" s="19">
        <f>IF(I2274="","",IF(AND(I2274="Gasto",K2274="Variable",J2274&lt;&gt;"Trading",O2274&gt;0,O2274&lt;=Umbral),1,0))</f>
        <v/>
      </c>
      <c r="T2274" s="20">
        <f>IF(OR(I2274="",E2274=""),"",IF(OR(I2274="Gasto",I2274="Transferencia",I2274="Pago tarjeta"),-1,1)*C2274)</f>
        <v/>
      </c>
      <c r="U2274" s="20">
        <f>IF(OR(G2274="",AND(I2274&lt;&gt;"Transferencia",I2274&lt;&gt;"Pago tarjeta")),"",IF(IFERROR(INDEX(ctaMon,MATCH(G2274,ctaNom,0))&amp;"","DOP")=N2274,C2274,IF(N2274="USD",C2274*TasaUSD,C2274/TasaUSD)))</f>
        <v/>
      </c>
      <c r="V2274" s="20">
        <f>IF(I2274="","",IF(IFERROR(INDEX(ctaLiq,MATCH(E2274,ctaNom,0))="Sí",FALSE),IF(OR(I2274="Gasto",I2274="Transferencia",I2274="Pago tarjeta"),-1,1)*O2274,0)+IF(AND(U2274&lt;&gt;"",IFERROR(INDEX(ctaLiq,MATCH(G2274,ctaNom,0))="Sí",FALSE)),O2274,0))</f>
        <v/>
      </c>
      <c r="W2274" s="19">
        <f>IF(OR(F2274="",I2274=""),"",IF(COUNTIFS(F$6:F2274,F2274,I$6:I2274,"?*")=1,MAX(W$5:W2273)+1,""))</f>
        <v/>
      </c>
    </row>
    <row r="2275">
      <c r="B2275" s="15" t="n"/>
      <c r="C2275" s="16" t="n"/>
      <c r="D2275" s="17" t="n"/>
      <c r="E2275" s="17" t="n"/>
      <c r="F2275" s="17" t="n"/>
      <c r="G2275" s="17" t="n"/>
      <c r="H2275" s="18">
        <f>IF(AND(B2275="",C2275="",D2275="",E2275=""),"",IF(B2275="","⚠ Falta fecha",IF(C2275="","⚠ Falta monto",IF(D2275="","⚠ Falta categoría",IF(ISNA(MATCH(D2275,catNom,0)),"⚠ Categoría no existe",IF(E2275="","⚠ Falta cuenta",IF(ISNA(MATCH(E2275,ctaNom,0)),"⚠ Cuenta no existe",IF(AND(OR(I2275="Transferencia",I2275="Pago tarjeta"),G2275=""),"⚠ Indica la cuenta «Hacia»",IF(AND(G2275&lt;&gt;"",G2275=E2275),"⚠ «Hacia» igual a la cuenta",IF(AND(G2275&lt;&gt;"",ISNA(MATCH(G2275,ctaNom,0))),"⚠ «Hacia» no existe",IF(AND(I2275="Pago tarjeta",IFERROR(INDEX(ctaTipo,MATCH(G2275,ctaNom,0)),"")&lt;&gt;"Tarjeta de crédito"),"⚠ «Hacia» debe ser la tarjeta",IF(AND(I2275="Trading",IFERROR(INDEX(ctaTipo,MATCH(E2275,ctaNom,0)),"")&lt;&gt;"Cuenta de trading"),"⚠ Usa la cuenta de trading","✓"))))))))))))</f>
        <v/>
      </c>
      <c r="I2275" s="19">
        <f>IF(OR(B2275="",C2275="",D2275=""),"",IFERROR(INDEX(catTipo,MATCH(D2275,catNom,0))&amp;"",""))</f>
        <v/>
      </c>
      <c r="J2275" s="19">
        <f>IF(I2275="","",IFERROR(INDEX(catGrupo,MATCH(D2275,catNom,0))&amp;"",""))</f>
        <v/>
      </c>
      <c r="K2275" s="19">
        <f>IF(I2275="Gasto",IF(IFERROR(INDEX(catClas,MATCH(D2275,catNom,0))&amp;"","")="","Variable",IFERROR(INDEX(catClas,MATCH(D2275,catNom,0))&amp;"","")),"")</f>
        <v/>
      </c>
      <c r="L2275" s="19">
        <f>IF(I2275="","",IFERROR(INDEX(catAlim,MATCH(D2275,catNom,0))&amp;"",""))</f>
        <v/>
      </c>
      <c r="M2275" s="19">
        <f>IF(I2275="","",IFERROR(INDEX(catComida,MATCH(D2275,catNom,0))&amp;"",""))</f>
        <v/>
      </c>
      <c r="N2275" s="19">
        <f>IF(I2275="","",IFERROR(INDEX(ctaMon,MATCH(E2275,ctaNom,0))&amp;"","DOP"))</f>
        <v/>
      </c>
      <c r="O2275" s="20">
        <f>IF(I2275="","",C2275*IF(N2275="USD",TasaUSD,1))</f>
        <v/>
      </c>
      <c r="P2275" s="20">
        <f>IF(I2275="","",IF(I2275="Gasto",O2275,0))</f>
        <v/>
      </c>
      <c r="Q2275" s="20">
        <f>IF(I2275="","",IF(I2275="Ingreso",O2275,0))</f>
        <v/>
      </c>
      <c r="R2275" s="20">
        <f>IF(I2275="","",IF(I2275="Trading",O2275,0))</f>
        <v/>
      </c>
      <c r="S2275" s="19">
        <f>IF(I2275="","",IF(AND(I2275="Gasto",K2275="Variable",J2275&lt;&gt;"Trading",O2275&gt;0,O2275&lt;=Umbral),1,0))</f>
        <v/>
      </c>
      <c r="T2275" s="20">
        <f>IF(OR(I2275="",E2275=""),"",IF(OR(I2275="Gasto",I2275="Transferencia",I2275="Pago tarjeta"),-1,1)*C2275)</f>
        <v/>
      </c>
      <c r="U2275" s="20">
        <f>IF(OR(G2275="",AND(I2275&lt;&gt;"Transferencia",I2275&lt;&gt;"Pago tarjeta")),"",IF(IFERROR(INDEX(ctaMon,MATCH(G2275,ctaNom,0))&amp;"","DOP")=N2275,C2275,IF(N2275="USD",C2275*TasaUSD,C2275/TasaUSD)))</f>
        <v/>
      </c>
      <c r="V2275" s="20">
        <f>IF(I2275="","",IF(IFERROR(INDEX(ctaLiq,MATCH(E2275,ctaNom,0))="Sí",FALSE),IF(OR(I2275="Gasto",I2275="Transferencia",I2275="Pago tarjeta"),-1,1)*O2275,0)+IF(AND(U2275&lt;&gt;"",IFERROR(INDEX(ctaLiq,MATCH(G2275,ctaNom,0))="Sí",FALSE)),O2275,0))</f>
        <v/>
      </c>
      <c r="W2275" s="19">
        <f>IF(OR(F2275="",I2275=""),"",IF(COUNTIFS(F$6:F2275,F2275,I$6:I2275,"?*")=1,MAX(W$5:W2274)+1,""))</f>
        <v/>
      </c>
    </row>
    <row r="2276">
      <c r="B2276" s="15" t="n"/>
      <c r="C2276" s="16" t="n"/>
      <c r="D2276" s="17" t="n"/>
      <c r="E2276" s="17" t="n"/>
      <c r="F2276" s="17" t="n"/>
      <c r="G2276" s="17" t="n"/>
      <c r="H2276" s="18">
        <f>IF(AND(B2276="",C2276="",D2276="",E2276=""),"",IF(B2276="","⚠ Falta fecha",IF(C2276="","⚠ Falta monto",IF(D2276="","⚠ Falta categoría",IF(ISNA(MATCH(D2276,catNom,0)),"⚠ Categoría no existe",IF(E2276="","⚠ Falta cuenta",IF(ISNA(MATCH(E2276,ctaNom,0)),"⚠ Cuenta no existe",IF(AND(OR(I2276="Transferencia",I2276="Pago tarjeta"),G2276=""),"⚠ Indica la cuenta «Hacia»",IF(AND(G2276&lt;&gt;"",G2276=E2276),"⚠ «Hacia» igual a la cuenta",IF(AND(G2276&lt;&gt;"",ISNA(MATCH(G2276,ctaNom,0))),"⚠ «Hacia» no existe",IF(AND(I2276="Pago tarjeta",IFERROR(INDEX(ctaTipo,MATCH(G2276,ctaNom,0)),"")&lt;&gt;"Tarjeta de crédito"),"⚠ «Hacia» debe ser la tarjeta",IF(AND(I2276="Trading",IFERROR(INDEX(ctaTipo,MATCH(E2276,ctaNom,0)),"")&lt;&gt;"Cuenta de trading"),"⚠ Usa la cuenta de trading","✓"))))))))))))</f>
        <v/>
      </c>
      <c r="I2276" s="19">
        <f>IF(OR(B2276="",C2276="",D2276=""),"",IFERROR(INDEX(catTipo,MATCH(D2276,catNom,0))&amp;"",""))</f>
        <v/>
      </c>
      <c r="J2276" s="19">
        <f>IF(I2276="","",IFERROR(INDEX(catGrupo,MATCH(D2276,catNom,0))&amp;"",""))</f>
        <v/>
      </c>
      <c r="K2276" s="19">
        <f>IF(I2276="Gasto",IF(IFERROR(INDEX(catClas,MATCH(D2276,catNom,0))&amp;"","")="","Variable",IFERROR(INDEX(catClas,MATCH(D2276,catNom,0))&amp;"","")),"")</f>
        <v/>
      </c>
      <c r="L2276" s="19">
        <f>IF(I2276="","",IFERROR(INDEX(catAlim,MATCH(D2276,catNom,0))&amp;"",""))</f>
        <v/>
      </c>
      <c r="M2276" s="19">
        <f>IF(I2276="","",IFERROR(INDEX(catComida,MATCH(D2276,catNom,0))&amp;"",""))</f>
        <v/>
      </c>
      <c r="N2276" s="19">
        <f>IF(I2276="","",IFERROR(INDEX(ctaMon,MATCH(E2276,ctaNom,0))&amp;"","DOP"))</f>
        <v/>
      </c>
      <c r="O2276" s="20">
        <f>IF(I2276="","",C2276*IF(N2276="USD",TasaUSD,1))</f>
        <v/>
      </c>
      <c r="P2276" s="20">
        <f>IF(I2276="","",IF(I2276="Gasto",O2276,0))</f>
        <v/>
      </c>
      <c r="Q2276" s="20">
        <f>IF(I2276="","",IF(I2276="Ingreso",O2276,0))</f>
        <v/>
      </c>
      <c r="R2276" s="20">
        <f>IF(I2276="","",IF(I2276="Trading",O2276,0))</f>
        <v/>
      </c>
      <c r="S2276" s="19">
        <f>IF(I2276="","",IF(AND(I2276="Gasto",K2276="Variable",J2276&lt;&gt;"Trading",O2276&gt;0,O2276&lt;=Umbral),1,0))</f>
        <v/>
      </c>
      <c r="T2276" s="20">
        <f>IF(OR(I2276="",E2276=""),"",IF(OR(I2276="Gasto",I2276="Transferencia",I2276="Pago tarjeta"),-1,1)*C2276)</f>
        <v/>
      </c>
      <c r="U2276" s="20">
        <f>IF(OR(G2276="",AND(I2276&lt;&gt;"Transferencia",I2276&lt;&gt;"Pago tarjeta")),"",IF(IFERROR(INDEX(ctaMon,MATCH(G2276,ctaNom,0))&amp;"","DOP")=N2276,C2276,IF(N2276="USD",C2276*TasaUSD,C2276/TasaUSD)))</f>
        <v/>
      </c>
      <c r="V2276" s="20">
        <f>IF(I2276="","",IF(IFERROR(INDEX(ctaLiq,MATCH(E2276,ctaNom,0))="Sí",FALSE),IF(OR(I2276="Gasto",I2276="Transferencia",I2276="Pago tarjeta"),-1,1)*O2276,0)+IF(AND(U2276&lt;&gt;"",IFERROR(INDEX(ctaLiq,MATCH(G2276,ctaNom,0))="Sí",FALSE)),O2276,0))</f>
        <v/>
      </c>
      <c r="W2276" s="19">
        <f>IF(OR(F2276="",I2276=""),"",IF(COUNTIFS(F$6:F2276,F2276,I$6:I2276,"?*")=1,MAX(W$5:W2275)+1,""))</f>
        <v/>
      </c>
    </row>
    <row r="2277">
      <c r="B2277" s="15" t="n"/>
      <c r="C2277" s="16" t="n"/>
      <c r="D2277" s="17" t="n"/>
      <c r="E2277" s="17" t="n"/>
      <c r="F2277" s="17" t="n"/>
      <c r="G2277" s="17" t="n"/>
      <c r="H2277" s="18">
        <f>IF(AND(B2277="",C2277="",D2277="",E2277=""),"",IF(B2277="","⚠ Falta fecha",IF(C2277="","⚠ Falta monto",IF(D2277="","⚠ Falta categoría",IF(ISNA(MATCH(D2277,catNom,0)),"⚠ Categoría no existe",IF(E2277="","⚠ Falta cuenta",IF(ISNA(MATCH(E2277,ctaNom,0)),"⚠ Cuenta no existe",IF(AND(OR(I2277="Transferencia",I2277="Pago tarjeta"),G2277=""),"⚠ Indica la cuenta «Hacia»",IF(AND(G2277&lt;&gt;"",G2277=E2277),"⚠ «Hacia» igual a la cuenta",IF(AND(G2277&lt;&gt;"",ISNA(MATCH(G2277,ctaNom,0))),"⚠ «Hacia» no existe",IF(AND(I2277="Pago tarjeta",IFERROR(INDEX(ctaTipo,MATCH(G2277,ctaNom,0)),"")&lt;&gt;"Tarjeta de crédito"),"⚠ «Hacia» debe ser la tarjeta",IF(AND(I2277="Trading",IFERROR(INDEX(ctaTipo,MATCH(E2277,ctaNom,0)),"")&lt;&gt;"Cuenta de trading"),"⚠ Usa la cuenta de trading","✓"))))))))))))</f>
        <v/>
      </c>
      <c r="I2277" s="19">
        <f>IF(OR(B2277="",C2277="",D2277=""),"",IFERROR(INDEX(catTipo,MATCH(D2277,catNom,0))&amp;"",""))</f>
        <v/>
      </c>
      <c r="J2277" s="19">
        <f>IF(I2277="","",IFERROR(INDEX(catGrupo,MATCH(D2277,catNom,0))&amp;"",""))</f>
        <v/>
      </c>
      <c r="K2277" s="19">
        <f>IF(I2277="Gasto",IF(IFERROR(INDEX(catClas,MATCH(D2277,catNom,0))&amp;"","")="","Variable",IFERROR(INDEX(catClas,MATCH(D2277,catNom,0))&amp;"","")),"")</f>
        <v/>
      </c>
      <c r="L2277" s="19">
        <f>IF(I2277="","",IFERROR(INDEX(catAlim,MATCH(D2277,catNom,0))&amp;"",""))</f>
        <v/>
      </c>
      <c r="M2277" s="19">
        <f>IF(I2277="","",IFERROR(INDEX(catComida,MATCH(D2277,catNom,0))&amp;"",""))</f>
        <v/>
      </c>
      <c r="N2277" s="19">
        <f>IF(I2277="","",IFERROR(INDEX(ctaMon,MATCH(E2277,ctaNom,0))&amp;"","DOP"))</f>
        <v/>
      </c>
      <c r="O2277" s="20">
        <f>IF(I2277="","",C2277*IF(N2277="USD",TasaUSD,1))</f>
        <v/>
      </c>
      <c r="P2277" s="20">
        <f>IF(I2277="","",IF(I2277="Gasto",O2277,0))</f>
        <v/>
      </c>
      <c r="Q2277" s="20">
        <f>IF(I2277="","",IF(I2277="Ingreso",O2277,0))</f>
        <v/>
      </c>
      <c r="R2277" s="20">
        <f>IF(I2277="","",IF(I2277="Trading",O2277,0))</f>
        <v/>
      </c>
      <c r="S2277" s="19">
        <f>IF(I2277="","",IF(AND(I2277="Gasto",K2277="Variable",J2277&lt;&gt;"Trading",O2277&gt;0,O2277&lt;=Umbral),1,0))</f>
        <v/>
      </c>
      <c r="T2277" s="20">
        <f>IF(OR(I2277="",E2277=""),"",IF(OR(I2277="Gasto",I2277="Transferencia",I2277="Pago tarjeta"),-1,1)*C2277)</f>
        <v/>
      </c>
      <c r="U2277" s="20">
        <f>IF(OR(G2277="",AND(I2277&lt;&gt;"Transferencia",I2277&lt;&gt;"Pago tarjeta")),"",IF(IFERROR(INDEX(ctaMon,MATCH(G2277,ctaNom,0))&amp;"","DOP")=N2277,C2277,IF(N2277="USD",C2277*TasaUSD,C2277/TasaUSD)))</f>
        <v/>
      </c>
      <c r="V2277" s="20">
        <f>IF(I2277="","",IF(IFERROR(INDEX(ctaLiq,MATCH(E2277,ctaNom,0))="Sí",FALSE),IF(OR(I2277="Gasto",I2277="Transferencia",I2277="Pago tarjeta"),-1,1)*O2277,0)+IF(AND(U2277&lt;&gt;"",IFERROR(INDEX(ctaLiq,MATCH(G2277,ctaNom,0))="Sí",FALSE)),O2277,0))</f>
        <v/>
      </c>
      <c r="W2277" s="19">
        <f>IF(OR(F2277="",I2277=""),"",IF(COUNTIFS(F$6:F2277,F2277,I$6:I2277,"?*")=1,MAX(W$5:W2276)+1,""))</f>
        <v/>
      </c>
    </row>
    <row r="2278">
      <c r="B2278" s="15" t="n"/>
      <c r="C2278" s="16" t="n"/>
      <c r="D2278" s="17" t="n"/>
      <c r="E2278" s="17" t="n"/>
      <c r="F2278" s="17" t="n"/>
      <c r="G2278" s="17" t="n"/>
      <c r="H2278" s="18">
        <f>IF(AND(B2278="",C2278="",D2278="",E2278=""),"",IF(B2278="","⚠ Falta fecha",IF(C2278="","⚠ Falta monto",IF(D2278="","⚠ Falta categoría",IF(ISNA(MATCH(D2278,catNom,0)),"⚠ Categoría no existe",IF(E2278="","⚠ Falta cuenta",IF(ISNA(MATCH(E2278,ctaNom,0)),"⚠ Cuenta no existe",IF(AND(OR(I2278="Transferencia",I2278="Pago tarjeta"),G2278=""),"⚠ Indica la cuenta «Hacia»",IF(AND(G2278&lt;&gt;"",G2278=E2278),"⚠ «Hacia» igual a la cuenta",IF(AND(G2278&lt;&gt;"",ISNA(MATCH(G2278,ctaNom,0))),"⚠ «Hacia» no existe",IF(AND(I2278="Pago tarjeta",IFERROR(INDEX(ctaTipo,MATCH(G2278,ctaNom,0)),"")&lt;&gt;"Tarjeta de crédito"),"⚠ «Hacia» debe ser la tarjeta",IF(AND(I2278="Trading",IFERROR(INDEX(ctaTipo,MATCH(E2278,ctaNom,0)),"")&lt;&gt;"Cuenta de trading"),"⚠ Usa la cuenta de trading","✓"))))))))))))</f>
        <v/>
      </c>
      <c r="I2278" s="19">
        <f>IF(OR(B2278="",C2278="",D2278=""),"",IFERROR(INDEX(catTipo,MATCH(D2278,catNom,0))&amp;"",""))</f>
        <v/>
      </c>
      <c r="J2278" s="19">
        <f>IF(I2278="","",IFERROR(INDEX(catGrupo,MATCH(D2278,catNom,0))&amp;"",""))</f>
        <v/>
      </c>
      <c r="K2278" s="19">
        <f>IF(I2278="Gasto",IF(IFERROR(INDEX(catClas,MATCH(D2278,catNom,0))&amp;"","")="","Variable",IFERROR(INDEX(catClas,MATCH(D2278,catNom,0))&amp;"","")),"")</f>
        <v/>
      </c>
      <c r="L2278" s="19">
        <f>IF(I2278="","",IFERROR(INDEX(catAlim,MATCH(D2278,catNom,0))&amp;"",""))</f>
        <v/>
      </c>
      <c r="M2278" s="19">
        <f>IF(I2278="","",IFERROR(INDEX(catComida,MATCH(D2278,catNom,0))&amp;"",""))</f>
        <v/>
      </c>
      <c r="N2278" s="19">
        <f>IF(I2278="","",IFERROR(INDEX(ctaMon,MATCH(E2278,ctaNom,0))&amp;"","DOP"))</f>
        <v/>
      </c>
      <c r="O2278" s="20">
        <f>IF(I2278="","",C2278*IF(N2278="USD",TasaUSD,1))</f>
        <v/>
      </c>
      <c r="P2278" s="20">
        <f>IF(I2278="","",IF(I2278="Gasto",O2278,0))</f>
        <v/>
      </c>
      <c r="Q2278" s="20">
        <f>IF(I2278="","",IF(I2278="Ingreso",O2278,0))</f>
        <v/>
      </c>
      <c r="R2278" s="20">
        <f>IF(I2278="","",IF(I2278="Trading",O2278,0))</f>
        <v/>
      </c>
      <c r="S2278" s="19">
        <f>IF(I2278="","",IF(AND(I2278="Gasto",K2278="Variable",J2278&lt;&gt;"Trading",O2278&gt;0,O2278&lt;=Umbral),1,0))</f>
        <v/>
      </c>
      <c r="T2278" s="20">
        <f>IF(OR(I2278="",E2278=""),"",IF(OR(I2278="Gasto",I2278="Transferencia",I2278="Pago tarjeta"),-1,1)*C2278)</f>
        <v/>
      </c>
      <c r="U2278" s="20">
        <f>IF(OR(G2278="",AND(I2278&lt;&gt;"Transferencia",I2278&lt;&gt;"Pago tarjeta")),"",IF(IFERROR(INDEX(ctaMon,MATCH(G2278,ctaNom,0))&amp;"","DOP")=N2278,C2278,IF(N2278="USD",C2278*TasaUSD,C2278/TasaUSD)))</f>
        <v/>
      </c>
      <c r="V2278" s="20">
        <f>IF(I2278="","",IF(IFERROR(INDEX(ctaLiq,MATCH(E2278,ctaNom,0))="Sí",FALSE),IF(OR(I2278="Gasto",I2278="Transferencia",I2278="Pago tarjeta"),-1,1)*O2278,0)+IF(AND(U2278&lt;&gt;"",IFERROR(INDEX(ctaLiq,MATCH(G2278,ctaNom,0))="Sí",FALSE)),O2278,0))</f>
        <v/>
      </c>
      <c r="W2278" s="19">
        <f>IF(OR(F2278="",I2278=""),"",IF(COUNTIFS(F$6:F2278,F2278,I$6:I2278,"?*")=1,MAX(W$5:W2277)+1,""))</f>
        <v/>
      </c>
    </row>
    <row r="2279">
      <c r="B2279" s="15" t="n"/>
      <c r="C2279" s="16" t="n"/>
      <c r="D2279" s="17" t="n"/>
      <c r="E2279" s="17" t="n"/>
      <c r="F2279" s="17" t="n"/>
      <c r="G2279" s="17" t="n"/>
      <c r="H2279" s="18">
        <f>IF(AND(B2279="",C2279="",D2279="",E2279=""),"",IF(B2279="","⚠ Falta fecha",IF(C2279="","⚠ Falta monto",IF(D2279="","⚠ Falta categoría",IF(ISNA(MATCH(D2279,catNom,0)),"⚠ Categoría no existe",IF(E2279="","⚠ Falta cuenta",IF(ISNA(MATCH(E2279,ctaNom,0)),"⚠ Cuenta no existe",IF(AND(OR(I2279="Transferencia",I2279="Pago tarjeta"),G2279=""),"⚠ Indica la cuenta «Hacia»",IF(AND(G2279&lt;&gt;"",G2279=E2279),"⚠ «Hacia» igual a la cuenta",IF(AND(G2279&lt;&gt;"",ISNA(MATCH(G2279,ctaNom,0))),"⚠ «Hacia» no existe",IF(AND(I2279="Pago tarjeta",IFERROR(INDEX(ctaTipo,MATCH(G2279,ctaNom,0)),"")&lt;&gt;"Tarjeta de crédito"),"⚠ «Hacia» debe ser la tarjeta",IF(AND(I2279="Trading",IFERROR(INDEX(ctaTipo,MATCH(E2279,ctaNom,0)),"")&lt;&gt;"Cuenta de trading"),"⚠ Usa la cuenta de trading","✓"))))))))))))</f>
        <v/>
      </c>
      <c r="I2279" s="19">
        <f>IF(OR(B2279="",C2279="",D2279=""),"",IFERROR(INDEX(catTipo,MATCH(D2279,catNom,0))&amp;"",""))</f>
        <v/>
      </c>
      <c r="J2279" s="19">
        <f>IF(I2279="","",IFERROR(INDEX(catGrupo,MATCH(D2279,catNom,0))&amp;"",""))</f>
        <v/>
      </c>
      <c r="K2279" s="19">
        <f>IF(I2279="Gasto",IF(IFERROR(INDEX(catClas,MATCH(D2279,catNom,0))&amp;"","")="","Variable",IFERROR(INDEX(catClas,MATCH(D2279,catNom,0))&amp;"","")),"")</f>
        <v/>
      </c>
      <c r="L2279" s="19">
        <f>IF(I2279="","",IFERROR(INDEX(catAlim,MATCH(D2279,catNom,0))&amp;"",""))</f>
        <v/>
      </c>
      <c r="M2279" s="19">
        <f>IF(I2279="","",IFERROR(INDEX(catComida,MATCH(D2279,catNom,0))&amp;"",""))</f>
        <v/>
      </c>
      <c r="N2279" s="19">
        <f>IF(I2279="","",IFERROR(INDEX(ctaMon,MATCH(E2279,ctaNom,0))&amp;"","DOP"))</f>
        <v/>
      </c>
      <c r="O2279" s="20">
        <f>IF(I2279="","",C2279*IF(N2279="USD",TasaUSD,1))</f>
        <v/>
      </c>
      <c r="P2279" s="20">
        <f>IF(I2279="","",IF(I2279="Gasto",O2279,0))</f>
        <v/>
      </c>
      <c r="Q2279" s="20">
        <f>IF(I2279="","",IF(I2279="Ingreso",O2279,0))</f>
        <v/>
      </c>
      <c r="R2279" s="20">
        <f>IF(I2279="","",IF(I2279="Trading",O2279,0))</f>
        <v/>
      </c>
      <c r="S2279" s="19">
        <f>IF(I2279="","",IF(AND(I2279="Gasto",K2279="Variable",J2279&lt;&gt;"Trading",O2279&gt;0,O2279&lt;=Umbral),1,0))</f>
        <v/>
      </c>
      <c r="T2279" s="20">
        <f>IF(OR(I2279="",E2279=""),"",IF(OR(I2279="Gasto",I2279="Transferencia",I2279="Pago tarjeta"),-1,1)*C2279)</f>
        <v/>
      </c>
      <c r="U2279" s="20">
        <f>IF(OR(G2279="",AND(I2279&lt;&gt;"Transferencia",I2279&lt;&gt;"Pago tarjeta")),"",IF(IFERROR(INDEX(ctaMon,MATCH(G2279,ctaNom,0))&amp;"","DOP")=N2279,C2279,IF(N2279="USD",C2279*TasaUSD,C2279/TasaUSD)))</f>
        <v/>
      </c>
      <c r="V2279" s="20">
        <f>IF(I2279="","",IF(IFERROR(INDEX(ctaLiq,MATCH(E2279,ctaNom,0))="Sí",FALSE),IF(OR(I2279="Gasto",I2279="Transferencia",I2279="Pago tarjeta"),-1,1)*O2279,0)+IF(AND(U2279&lt;&gt;"",IFERROR(INDEX(ctaLiq,MATCH(G2279,ctaNom,0))="Sí",FALSE)),O2279,0))</f>
        <v/>
      </c>
      <c r="W2279" s="19">
        <f>IF(OR(F2279="",I2279=""),"",IF(COUNTIFS(F$6:F2279,F2279,I$6:I2279,"?*")=1,MAX(W$5:W2278)+1,""))</f>
        <v/>
      </c>
    </row>
    <row r="2280">
      <c r="B2280" s="15" t="n"/>
      <c r="C2280" s="16" t="n"/>
      <c r="D2280" s="17" t="n"/>
      <c r="E2280" s="17" t="n"/>
      <c r="F2280" s="17" t="n"/>
      <c r="G2280" s="17" t="n"/>
      <c r="H2280" s="18">
        <f>IF(AND(B2280="",C2280="",D2280="",E2280=""),"",IF(B2280="","⚠ Falta fecha",IF(C2280="","⚠ Falta monto",IF(D2280="","⚠ Falta categoría",IF(ISNA(MATCH(D2280,catNom,0)),"⚠ Categoría no existe",IF(E2280="","⚠ Falta cuenta",IF(ISNA(MATCH(E2280,ctaNom,0)),"⚠ Cuenta no existe",IF(AND(OR(I2280="Transferencia",I2280="Pago tarjeta"),G2280=""),"⚠ Indica la cuenta «Hacia»",IF(AND(G2280&lt;&gt;"",G2280=E2280),"⚠ «Hacia» igual a la cuenta",IF(AND(G2280&lt;&gt;"",ISNA(MATCH(G2280,ctaNom,0))),"⚠ «Hacia» no existe",IF(AND(I2280="Pago tarjeta",IFERROR(INDEX(ctaTipo,MATCH(G2280,ctaNom,0)),"")&lt;&gt;"Tarjeta de crédito"),"⚠ «Hacia» debe ser la tarjeta",IF(AND(I2280="Trading",IFERROR(INDEX(ctaTipo,MATCH(E2280,ctaNom,0)),"")&lt;&gt;"Cuenta de trading"),"⚠ Usa la cuenta de trading","✓"))))))))))))</f>
        <v/>
      </c>
      <c r="I2280" s="19">
        <f>IF(OR(B2280="",C2280="",D2280=""),"",IFERROR(INDEX(catTipo,MATCH(D2280,catNom,0))&amp;"",""))</f>
        <v/>
      </c>
      <c r="J2280" s="19">
        <f>IF(I2280="","",IFERROR(INDEX(catGrupo,MATCH(D2280,catNom,0))&amp;"",""))</f>
        <v/>
      </c>
      <c r="K2280" s="19">
        <f>IF(I2280="Gasto",IF(IFERROR(INDEX(catClas,MATCH(D2280,catNom,0))&amp;"","")="","Variable",IFERROR(INDEX(catClas,MATCH(D2280,catNom,0))&amp;"","")),"")</f>
        <v/>
      </c>
      <c r="L2280" s="19">
        <f>IF(I2280="","",IFERROR(INDEX(catAlim,MATCH(D2280,catNom,0))&amp;"",""))</f>
        <v/>
      </c>
      <c r="M2280" s="19">
        <f>IF(I2280="","",IFERROR(INDEX(catComida,MATCH(D2280,catNom,0))&amp;"",""))</f>
        <v/>
      </c>
      <c r="N2280" s="19">
        <f>IF(I2280="","",IFERROR(INDEX(ctaMon,MATCH(E2280,ctaNom,0))&amp;"","DOP"))</f>
        <v/>
      </c>
      <c r="O2280" s="20">
        <f>IF(I2280="","",C2280*IF(N2280="USD",TasaUSD,1))</f>
        <v/>
      </c>
      <c r="P2280" s="20">
        <f>IF(I2280="","",IF(I2280="Gasto",O2280,0))</f>
        <v/>
      </c>
      <c r="Q2280" s="20">
        <f>IF(I2280="","",IF(I2280="Ingreso",O2280,0))</f>
        <v/>
      </c>
      <c r="R2280" s="20">
        <f>IF(I2280="","",IF(I2280="Trading",O2280,0))</f>
        <v/>
      </c>
      <c r="S2280" s="19">
        <f>IF(I2280="","",IF(AND(I2280="Gasto",K2280="Variable",J2280&lt;&gt;"Trading",O2280&gt;0,O2280&lt;=Umbral),1,0))</f>
        <v/>
      </c>
      <c r="T2280" s="20">
        <f>IF(OR(I2280="",E2280=""),"",IF(OR(I2280="Gasto",I2280="Transferencia",I2280="Pago tarjeta"),-1,1)*C2280)</f>
        <v/>
      </c>
      <c r="U2280" s="20">
        <f>IF(OR(G2280="",AND(I2280&lt;&gt;"Transferencia",I2280&lt;&gt;"Pago tarjeta")),"",IF(IFERROR(INDEX(ctaMon,MATCH(G2280,ctaNom,0))&amp;"","DOP")=N2280,C2280,IF(N2280="USD",C2280*TasaUSD,C2280/TasaUSD)))</f>
        <v/>
      </c>
      <c r="V2280" s="20">
        <f>IF(I2280="","",IF(IFERROR(INDEX(ctaLiq,MATCH(E2280,ctaNom,0))="Sí",FALSE),IF(OR(I2280="Gasto",I2280="Transferencia",I2280="Pago tarjeta"),-1,1)*O2280,0)+IF(AND(U2280&lt;&gt;"",IFERROR(INDEX(ctaLiq,MATCH(G2280,ctaNom,0))="Sí",FALSE)),O2280,0))</f>
        <v/>
      </c>
      <c r="W2280" s="19">
        <f>IF(OR(F2280="",I2280=""),"",IF(COUNTIFS(F$6:F2280,F2280,I$6:I2280,"?*")=1,MAX(W$5:W2279)+1,""))</f>
        <v/>
      </c>
    </row>
    <row r="2281">
      <c r="B2281" s="15" t="n"/>
      <c r="C2281" s="16" t="n"/>
      <c r="D2281" s="17" t="n"/>
      <c r="E2281" s="17" t="n"/>
      <c r="F2281" s="17" t="n"/>
      <c r="G2281" s="17" t="n"/>
      <c r="H2281" s="18">
        <f>IF(AND(B2281="",C2281="",D2281="",E2281=""),"",IF(B2281="","⚠ Falta fecha",IF(C2281="","⚠ Falta monto",IF(D2281="","⚠ Falta categoría",IF(ISNA(MATCH(D2281,catNom,0)),"⚠ Categoría no existe",IF(E2281="","⚠ Falta cuenta",IF(ISNA(MATCH(E2281,ctaNom,0)),"⚠ Cuenta no existe",IF(AND(OR(I2281="Transferencia",I2281="Pago tarjeta"),G2281=""),"⚠ Indica la cuenta «Hacia»",IF(AND(G2281&lt;&gt;"",G2281=E2281),"⚠ «Hacia» igual a la cuenta",IF(AND(G2281&lt;&gt;"",ISNA(MATCH(G2281,ctaNom,0))),"⚠ «Hacia» no existe",IF(AND(I2281="Pago tarjeta",IFERROR(INDEX(ctaTipo,MATCH(G2281,ctaNom,0)),"")&lt;&gt;"Tarjeta de crédito"),"⚠ «Hacia» debe ser la tarjeta",IF(AND(I2281="Trading",IFERROR(INDEX(ctaTipo,MATCH(E2281,ctaNom,0)),"")&lt;&gt;"Cuenta de trading"),"⚠ Usa la cuenta de trading","✓"))))))))))))</f>
        <v/>
      </c>
      <c r="I2281" s="19">
        <f>IF(OR(B2281="",C2281="",D2281=""),"",IFERROR(INDEX(catTipo,MATCH(D2281,catNom,0))&amp;"",""))</f>
        <v/>
      </c>
      <c r="J2281" s="19">
        <f>IF(I2281="","",IFERROR(INDEX(catGrupo,MATCH(D2281,catNom,0))&amp;"",""))</f>
        <v/>
      </c>
      <c r="K2281" s="19">
        <f>IF(I2281="Gasto",IF(IFERROR(INDEX(catClas,MATCH(D2281,catNom,0))&amp;"","")="","Variable",IFERROR(INDEX(catClas,MATCH(D2281,catNom,0))&amp;"","")),"")</f>
        <v/>
      </c>
      <c r="L2281" s="19">
        <f>IF(I2281="","",IFERROR(INDEX(catAlim,MATCH(D2281,catNom,0))&amp;"",""))</f>
        <v/>
      </c>
      <c r="M2281" s="19">
        <f>IF(I2281="","",IFERROR(INDEX(catComida,MATCH(D2281,catNom,0))&amp;"",""))</f>
        <v/>
      </c>
      <c r="N2281" s="19">
        <f>IF(I2281="","",IFERROR(INDEX(ctaMon,MATCH(E2281,ctaNom,0))&amp;"","DOP"))</f>
        <v/>
      </c>
      <c r="O2281" s="20">
        <f>IF(I2281="","",C2281*IF(N2281="USD",TasaUSD,1))</f>
        <v/>
      </c>
      <c r="P2281" s="20">
        <f>IF(I2281="","",IF(I2281="Gasto",O2281,0))</f>
        <v/>
      </c>
      <c r="Q2281" s="20">
        <f>IF(I2281="","",IF(I2281="Ingreso",O2281,0))</f>
        <v/>
      </c>
      <c r="R2281" s="20">
        <f>IF(I2281="","",IF(I2281="Trading",O2281,0))</f>
        <v/>
      </c>
      <c r="S2281" s="19">
        <f>IF(I2281="","",IF(AND(I2281="Gasto",K2281="Variable",J2281&lt;&gt;"Trading",O2281&gt;0,O2281&lt;=Umbral),1,0))</f>
        <v/>
      </c>
      <c r="T2281" s="20">
        <f>IF(OR(I2281="",E2281=""),"",IF(OR(I2281="Gasto",I2281="Transferencia",I2281="Pago tarjeta"),-1,1)*C2281)</f>
        <v/>
      </c>
      <c r="U2281" s="20">
        <f>IF(OR(G2281="",AND(I2281&lt;&gt;"Transferencia",I2281&lt;&gt;"Pago tarjeta")),"",IF(IFERROR(INDEX(ctaMon,MATCH(G2281,ctaNom,0))&amp;"","DOP")=N2281,C2281,IF(N2281="USD",C2281*TasaUSD,C2281/TasaUSD)))</f>
        <v/>
      </c>
      <c r="V2281" s="20">
        <f>IF(I2281="","",IF(IFERROR(INDEX(ctaLiq,MATCH(E2281,ctaNom,0))="Sí",FALSE),IF(OR(I2281="Gasto",I2281="Transferencia",I2281="Pago tarjeta"),-1,1)*O2281,0)+IF(AND(U2281&lt;&gt;"",IFERROR(INDEX(ctaLiq,MATCH(G2281,ctaNom,0))="Sí",FALSE)),O2281,0))</f>
        <v/>
      </c>
      <c r="W2281" s="19">
        <f>IF(OR(F2281="",I2281=""),"",IF(COUNTIFS(F$6:F2281,F2281,I$6:I2281,"?*")=1,MAX(W$5:W2280)+1,""))</f>
        <v/>
      </c>
    </row>
    <row r="2282">
      <c r="B2282" s="15" t="n"/>
      <c r="C2282" s="16" t="n"/>
      <c r="D2282" s="17" t="n"/>
      <c r="E2282" s="17" t="n"/>
      <c r="F2282" s="17" t="n"/>
      <c r="G2282" s="17" t="n"/>
      <c r="H2282" s="18">
        <f>IF(AND(B2282="",C2282="",D2282="",E2282=""),"",IF(B2282="","⚠ Falta fecha",IF(C2282="","⚠ Falta monto",IF(D2282="","⚠ Falta categoría",IF(ISNA(MATCH(D2282,catNom,0)),"⚠ Categoría no existe",IF(E2282="","⚠ Falta cuenta",IF(ISNA(MATCH(E2282,ctaNom,0)),"⚠ Cuenta no existe",IF(AND(OR(I2282="Transferencia",I2282="Pago tarjeta"),G2282=""),"⚠ Indica la cuenta «Hacia»",IF(AND(G2282&lt;&gt;"",G2282=E2282),"⚠ «Hacia» igual a la cuenta",IF(AND(G2282&lt;&gt;"",ISNA(MATCH(G2282,ctaNom,0))),"⚠ «Hacia» no existe",IF(AND(I2282="Pago tarjeta",IFERROR(INDEX(ctaTipo,MATCH(G2282,ctaNom,0)),"")&lt;&gt;"Tarjeta de crédito"),"⚠ «Hacia» debe ser la tarjeta",IF(AND(I2282="Trading",IFERROR(INDEX(ctaTipo,MATCH(E2282,ctaNom,0)),"")&lt;&gt;"Cuenta de trading"),"⚠ Usa la cuenta de trading","✓"))))))))))))</f>
        <v/>
      </c>
      <c r="I2282" s="19">
        <f>IF(OR(B2282="",C2282="",D2282=""),"",IFERROR(INDEX(catTipo,MATCH(D2282,catNom,0))&amp;"",""))</f>
        <v/>
      </c>
      <c r="J2282" s="19">
        <f>IF(I2282="","",IFERROR(INDEX(catGrupo,MATCH(D2282,catNom,0))&amp;"",""))</f>
        <v/>
      </c>
      <c r="K2282" s="19">
        <f>IF(I2282="Gasto",IF(IFERROR(INDEX(catClas,MATCH(D2282,catNom,0))&amp;"","")="","Variable",IFERROR(INDEX(catClas,MATCH(D2282,catNom,0))&amp;"","")),"")</f>
        <v/>
      </c>
      <c r="L2282" s="19">
        <f>IF(I2282="","",IFERROR(INDEX(catAlim,MATCH(D2282,catNom,0))&amp;"",""))</f>
        <v/>
      </c>
      <c r="M2282" s="19">
        <f>IF(I2282="","",IFERROR(INDEX(catComida,MATCH(D2282,catNom,0))&amp;"",""))</f>
        <v/>
      </c>
      <c r="N2282" s="19">
        <f>IF(I2282="","",IFERROR(INDEX(ctaMon,MATCH(E2282,ctaNom,0))&amp;"","DOP"))</f>
        <v/>
      </c>
      <c r="O2282" s="20">
        <f>IF(I2282="","",C2282*IF(N2282="USD",TasaUSD,1))</f>
        <v/>
      </c>
      <c r="P2282" s="20">
        <f>IF(I2282="","",IF(I2282="Gasto",O2282,0))</f>
        <v/>
      </c>
      <c r="Q2282" s="20">
        <f>IF(I2282="","",IF(I2282="Ingreso",O2282,0))</f>
        <v/>
      </c>
      <c r="R2282" s="20">
        <f>IF(I2282="","",IF(I2282="Trading",O2282,0))</f>
        <v/>
      </c>
      <c r="S2282" s="19">
        <f>IF(I2282="","",IF(AND(I2282="Gasto",K2282="Variable",J2282&lt;&gt;"Trading",O2282&gt;0,O2282&lt;=Umbral),1,0))</f>
        <v/>
      </c>
      <c r="T2282" s="20">
        <f>IF(OR(I2282="",E2282=""),"",IF(OR(I2282="Gasto",I2282="Transferencia",I2282="Pago tarjeta"),-1,1)*C2282)</f>
        <v/>
      </c>
      <c r="U2282" s="20">
        <f>IF(OR(G2282="",AND(I2282&lt;&gt;"Transferencia",I2282&lt;&gt;"Pago tarjeta")),"",IF(IFERROR(INDEX(ctaMon,MATCH(G2282,ctaNom,0))&amp;"","DOP")=N2282,C2282,IF(N2282="USD",C2282*TasaUSD,C2282/TasaUSD)))</f>
        <v/>
      </c>
      <c r="V2282" s="20">
        <f>IF(I2282="","",IF(IFERROR(INDEX(ctaLiq,MATCH(E2282,ctaNom,0))="Sí",FALSE),IF(OR(I2282="Gasto",I2282="Transferencia",I2282="Pago tarjeta"),-1,1)*O2282,0)+IF(AND(U2282&lt;&gt;"",IFERROR(INDEX(ctaLiq,MATCH(G2282,ctaNom,0))="Sí",FALSE)),O2282,0))</f>
        <v/>
      </c>
      <c r="W2282" s="19">
        <f>IF(OR(F2282="",I2282=""),"",IF(COUNTIFS(F$6:F2282,F2282,I$6:I2282,"?*")=1,MAX(W$5:W2281)+1,""))</f>
        <v/>
      </c>
    </row>
    <row r="2283">
      <c r="B2283" s="15" t="n"/>
      <c r="C2283" s="16" t="n"/>
      <c r="D2283" s="17" t="n"/>
      <c r="E2283" s="17" t="n"/>
      <c r="F2283" s="17" t="n"/>
      <c r="G2283" s="17" t="n"/>
      <c r="H2283" s="18">
        <f>IF(AND(B2283="",C2283="",D2283="",E2283=""),"",IF(B2283="","⚠ Falta fecha",IF(C2283="","⚠ Falta monto",IF(D2283="","⚠ Falta categoría",IF(ISNA(MATCH(D2283,catNom,0)),"⚠ Categoría no existe",IF(E2283="","⚠ Falta cuenta",IF(ISNA(MATCH(E2283,ctaNom,0)),"⚠ Cuenta no existe",IF(AND(OR(I2283="Transferencia",I2283="Pago tarjeta"),G2283=""),"⚠ Indica la cuenta «Hacia»",IF(AND(G2283&lt;&gt;"",G2283=E2283),"⚠ «Hacia» igual a la cuenta",IF(AND(G2283&lt;&gt;"",ISNA(MATCH(G2283,ctaNom,0))),"⚠ «Hacia» no existe",IF(AND(I2283="Pago tarjeta",IFERROR(INDEX(ctaTipo,MATCH(G2283,ctaNom,0)),"")&lt;&gt;"Tarjeta de crédito"),"⚠ «Hacia» debe ser la tarjeta",IF(AND(I2283="Trading",IFERROR(INDEX(ctaTipo,MATCH(E2283,ctaNom,0)),"")&lt;&gt;"Cuenta de trading"),"⚠ Usa la cuenta de trading","✓"))))))))))))</f>
        <v/>
      </c>
      <c r="I2283" s="19">
        <f>IF(OR(B2283="",C2283="",D2283=""),"",IFERROR(INDEX(catTipo,MATCH(D2283,catNom,0))&amp;"",""))</f>
        <v/>
      </c>
      <c r="J2283" s="19">
        <f>IF(I2283="","",IFERROR(INDEX(catGrupo,MATCH(D2283,catNom,0))&amp;"",""))</f>
        <v/>
      </c>
      <c r="K2283" s="19">
        <f>IF(I2283="Gasto",IF(IFERROR(INDEX(catClas,MATCH(D2283,catNom,0))&amp;"","")="","Variable",IFERROR(INDEX(catClas,MATCH(D2283,catNom,0))&amp;"","")),"")</f>
        <v/>
      </c>
      <c r="L2283" s="19">
        <f>IF(I2283="","",IFERROR(INDEX(catAlim,MATCH(D2283,catNom,0))&amp;"",""))</f>
        <v/>
      </c>
      <c r="M2283" s="19">
        <f>IF(I2283="","",IFERROR(INDEX(catComida,MATCH(D2283,catNom,0))&amp;"",""))</f>
        <v/>
      </c>
      <c r="N2283" s="19">
        <f>IF(I2283="","",IFERROR(INDEX(ctaMon,MATCH(E2283,ctaNom,0))&amp;"","DOP"))</f>
        <v/>
      </c>
      <c r="O2283" s="20">
        <f>IF(I2283="","",C2283*IF(N2283="USD",TasaUSD,1))</f>
        <v/>
      </c>
      <c r="P2283" s="20">
        <f>IF(I2283="","",IF(I2283="Gasto",O2283,0))</f>
        <v/>
      </c>
      <c r="Q2283" s="20">
        <f>IF(I2283="","",IF(I2283="Ingreso",O2283,0))</f>
        <v/>
      </c>
      <c r="R2283" s="20">
        <f>IF(I2283="","",IF(I2283="Trading",O2283,0))</f>
        <v/>
      </c>
      <c r="S2283" s="19">
        <f>IF(I2283="","",IF(AND(I2283="Gasto",K2283="Variable",J2283&lt;&gt;"Trading",O2283&gt;0,O2283&lt;=Umbral),1,0))</f>
        <v/>
      </c>
      <c r="T2283" s="20">
        <f>IF(OR(I2283="",E2283=""),"",IF(OR(I2283="Gasto",I2283="Transferencia",I2283="Pago tarjeta"),-1,1)*C2283)</f>
        <v/>
      </c>
      <c r="U2283" s="20">
        <f>IF(OR(G2283="",AND(I2283&lt;&gt;"Transferencia",I2283&lt;&gt;"Pago tarjeta")),"",IF(IFERROR(INDEX(ctaMon,MATCH(G2283,ctaNom,0))&amp;"","DOP")=N2283,C2283,IF(N2283="USD",C2283*TasaUSD,C2283/TasaUSD)))</f>
        <v/>
      </c>
      <c r="V2283" s="20">
        <f>IF(I2283="","",IF(IFERROR(INDEX(ctaLiq,MATCH(E2283,ctaNom,0))="Sí",FALSE),IF(OR(I2283="Gasto",I2283="Transferencia",I2283="Pago tarjeta"),-1,1)*O2283,0)+IF(AND(U2283&lt;&gt;"",IFERROR(INDEX(ctaLiq,MATCH(G2283,ctaNom,0))="Sí",FALSE)),O2283,0))</f>
        <v/>
      </c>
      <c r="W2283" s="19">
        <f>IF(OR(F2283="",I2283=""),"",IF(COUNTIFS(F$6:F2283,F2283,I$6:I2283,"?*")=1,MAX(W$5:W2282)+1,""))</f>
        <v/>
      </c>
    </row>
    <row r="2284">
      <c r="B2284" s="15" t="n"/>
      <c r="C2284" s="16" t="n"/>
      <c r="D2284" s="17" t="n"/>
      <c r="E2284" s="17" t="n"/>
      <c r="F2284" s="17" t="n"/>
      <c r="G2284" s="17" t="n"/>
      <c r="H2284" s="18">
        <f>IF(AND(B2284="",C2284="",D2284="",E2284=""),"",IF(B2284="","⚠ Falta fecha",IF(C2284="","⚠ Falta monto",IF(D2284="","⚠ Falta categoría",IF(ISNA(MATCH(D2284,catNom,0)),"⚠ Categoría no existe",IF(E2284="","⚠ Falta cuenta",IF(ISNA(MATCH(E2284,ctaNom,0)),"⚠ Cuenta no existe",IF(AND(OR(I2284="Transferencia",I2284="Pago tarjeta"),G2284=""),"⚠ Indica la cuenta «Hacia»",IF(AND(G2284&lt;&gt;"",G2284=E2284),"⚠ «Hacia» igual a la cuenta",IF(AND(G2284&lt;&gt;"",ISNA(MATCH(G2284,ctaNom,0))),"⚠ «Hacia» no existe",IF(AND(I2284="Pago tarjeta",IFERROR(INDEX(ctaTipo,MATCH(G2284,ctaNom,0)),"")&lt;&gt;"Tarjeta de crédito"),"⚠ «Hacia» debe ser la tarjeta",IF(AND(I2284="Trading",IFERROR(INDEX(ctaTipo,MATCH(E2284,ctaNom,0)),"")&lt;&gt;"Cuenta de trading"),"⚠ Usa la cuenta de trading","✓"))))))))))))</f>
        <v/>
      </c>
      <c r="I2284" s="19">
        <f>IF(OR(B2284="",C2284="",D2284=""),"",IFERROR(INDEX(catTipo,MATCH(D2284,catNom,0))&amp;"",""))</f>
        <v/>
      </c>
      <c r="J2284" s="19">
        <f>IF(I2284="","",IFERROR(INDEX(catGrupo,MATCH(D2284,catNom,0))&amp;"",""))</f>
        <v/>
      </c>
      <c r="K2284" s="19">
        <f>IF(I2284="Gasto",IF(IFERROR(INDEX(catClas,MATCH(D2284,catNom,0))&amp;"","")="","Variable",IFERROR(INDEX(catClas,MATCH(D2284,catNom,0))&amp;"","")),"")</f>
        <v/>
      </c>
      <c r="L2284" s="19">
        <f>IF(I2284="","",IFERROR(INDEX(catAlim,MATCH(D2284,catNom,0))&amp;"",""))</f>
        <v/>
      </c>
      <c r="M2284" s="19">
        <f>IF(I2284="","",IFERROR(INDEX(catComida,MATCH(D2284,catNom,0))&amp;"",""))</f>
        <v/>
      </c>
      <c r="N2284" s="19">
        <f>IF(I2284="","",IFERROR(INDEX(ctaMon,MATCH(E2284,ctaNom,0))&amp;"","DOP"))</f>
        <v/>
      </c>
      <c r="O2284" s="20">
        <f>IF(I2284="","",C2284*IF(N2284="USD",TasaUSD,1))</f>
        <v/>
      </c>
      <c r="P2284" s="20">
        <f>IF(I2284="","",IF(I2284="Gasto",O2284,0))</f>
        <v/>
      </c>
      <c r="Q2284" s="20">
        <f>IF(I2284="","",IF(I2284="Ingreso",O2284,0))</f>
        <v/>
      </c>
      <c r="R2284" s="20">
        <f>IF(I2284="","",IF(I2284="Trading",O2284,0))</f>
        <v/>
      </c>
      <c r="S2284" s="19">
        <f>IF(I2284="","",IF(AND(I2284="Gasto",K2284="Variable",J2284&lt;&gt;"Trading",O2284&gt;0,O2284&lt;=Umbral),1,0))</f>
        <v/>
      </c>
      <c r="T2284" s="20">
        <f>IF(OR(I2284="",E2284=""),"",IF(OR(I2284="Gasto",I2284="Transferencia",I2284="Pago tarjeta"),-1,1)*C2284)</f>
        <v/>
      </c>
      <c r="U2284" s="20">
        <f>IF(OR(G2284="",AND(I2284&lt;&gt;"Transferencia",I2284&lt;&gt;"Pago tarjeta")),"",IF(IFERROR(INDEX(ctaMon,MATCH(G2284,ctaNom,0))&amp;"","DOP")=N2284,C2284,IF(N2284="USD",C2284*TasaUSD,C2284/TasaUSD)))</f>
        <v/>
      </c>
      <c r="V2284" s="20">
        <f>IF(I2284="","",IF(IFERROR(INDEX(ctaLiq,MATCH(E2284,ctaNom,0))="Sí",FALSE),IF(OR(I2284="Gasto",I2284="Transferencia",I2284="Pago tarjeta"),-1,1)*O2284,0)+IF(AND(U2284&lt;&gt;"",IFERROR(INDEX(ctaLiq,MATCH(G2284,ctaNom,0))="Sí",FALSE)),O2284,0))</f>
        <v/>
      </c>
      <c r="W2284" s="19">
        <f>IF(OR(F2284="",I2284=""),"",IF(COUNTIFS(F$6:F2284,F2284,I$6:I2284,"?*")=1,MAX(W$5:W2283)+1,""))</f>
        <v/>
      </c>
    </row>
    <row r="2285">
      <c r="B2285" s="15" t="n"/>
      <c r="C2285" s="16" t="n"/>
      <c r="D2285" s="17" t="n"/>
      <c r="E2285" s="17" t="n"/>
      <c r="F2285" s="17" t="n"/>
      <c r="G2285" s="17" t="n"/>
      <c r="H2285" s="18">
        <f>IF(AND(B2285="",C2285="",D2285="",E2285=""),"",IF(B2285="","⚠ Falta fecha",IF(C2285="","⚠ Falta monto",IF(D2285="","⚠ Falta categoría",IF(ISNA(MATCH(D2285,catNom,0)),"⚠ Categoría no existe",IF(E2285="","⚠ Falta cuenta",IF(ISNA(MATCH(E2285,ctaNom,0)),"⚠ Cuenta no existe",IF(AND(OR(I2285="Transferencia",I2285="Pago tarjeta"),G2285=""),"⚠ Indica la cuenta «Hacia»",IF(AND(G2285&lt;&gt;"",G2285=E2285),"⚠ «Hacia» igual a la cuenta",IF(AND(G2285&lt;&gt;"",ISNA(MATCH(G2285,ctaNom,0))),"⚠ «Hacia» no existe",IF(AND(I2285="Pago tarjeta",IFERROR(INDEX(ctaTipo,MATCH(G2285,ctaNom,0)),"")&lt;&gt;"Tarjeta de crédito"),"⚠ «Hacia» debe ser la tarjeta",IF(AND(I2285="Trading",IFERROR(INDEX(ctaTipo,MATCH(E2285,ctaNom,0)),"")&lt;&gt;"Cuenta de trading"),"⚠ Usa la cuenta de trading","✓"))))))))))))</f>
        <v/>
      </c>
      <c r="I2285" s="19">
        <f>IF(OR(B2285="",C2285="",D2285=""),"",IFERROR(INDEX(catTipo,MATCH(D2285,catNom,0))&amp;"",""))</f>
        <v/>
      </c>
      <c r="J2285" s="19">
        <f>IF(I2285="","",IFERROR(INDEX(catGrupo,MATCH(D2285,catNom,0))&amp;"",""))</f>
        <v/>
      </c>
      <c r="K2285" s="19">
        <f>IF(I2285="Gasto",IF(IFERROR(INDEX(catClas,MATCH(D2285,catNom,0))&amp;"","")="","Variable",IFERROR(INDEX(catClas,MATCH(D2285,catNom,0))&amp;"","")),"")</f>
        <v/>
      </c>
      <c r="L2285" s="19">
        <f>IF(I2285="","",IFERROR(INDEX(catAlim,MATCH(D2285,catNom,0))&amp;"",""))</f>
        <v/>
      </c>
      <c r="M2285" s="19">
        <f>IF(I2285="","",IFERROR(INDEX(catComida,MATCH(D2285,catNom,0))&amp;"",""))</f>
        <v/>
      </c>
      <c r="N2285" s="19">
        <f>IF(I2285="","",IFERROR(INDEX(ctaMon,MATCH(E2285,ctaNom,0))&amp;"","DOP"))</f>
        <v/>
      </c>
      <c r="O2285" s="20">
        <f>IF(I2285="","",C2285*IF(N2285="USD",TasaUSD,1))</f>
        <v/>
      </c>
      <c r="P2285" s="20">
        <f>IF(I2285="","",IF(I2285="Gasto",O2285,0))</f>
        <v/>
      </c>
      <c r="Q2285" s="20">
        <f>IF(I2285="","",IF(I2285="Ingreso",O2285,0))</f>
        <v/>
      </c>
      <c r="R2285" s="20">
        <f>IF(I2285="","",IF(I2285="Trading",O2285,0))</f>
        <v/>
      </c>
      <c r="S2285" s="19">
        <f>IF(I2285="","",IF(AND(I2285="Gasto",K2285="Variable",J2285&lt;&gt;"Trading",O2285&gt;0,O2285&lt;=Umbral),1,0))</f>
        <v/>
      </c>
      <c r="T2285" s="20">
        <f>IF(OR(I2285="",E2285=""),"",IF(OR(I2285="Gasto",I2285="Transferencia",I2285="Pago tarjeta"),-1,1)*C2285)</f>
        <v/>
      </c>
      <c r="U2285" s="20">
        <f>IF(OR(G2285="",AND(I2285&lt;&gt;"Transferencia",I2285&lt;&gt;"Pago tarjeta")),"",IF(IFERROR(INDEX(ctaMon,MATCH(G2285,ctaNom,0))&amp;"","DOP")=N2285,C2285,IF(N2285="USD",C2285*TasaUSD,C2285/TasaUSD)))</f>
        <v/>
      </c>
      <c r="V2285" s="20">
        <f>IF(I2285="","",IF(IFERROR(INDEX(ctaLiq,MATCH(E2285,ctaNom,0))="Sí",FALSE),IF(OR(I2285="Gasto",I2285="Transferencia",I2285="Pago tarjeta"),-1,1)*O2285,0)+IF(AND(U2285&lt;&gt;"",IFERROR(INDEX(ctaLiq,MATCH(G2285,ctaNom,0))="Sí",FALSE)),O2285,0))</f>
        <v/>
      </c>
      <c r="W2285" s="19">
        <f>IF(OR(F2285="",I2285=""),"",IF(COUNTIFS(F$6:F2285,F2285,I$6:I2285,"?*")=1,MAX(W$5:W2284)+1,""))</f>
        <v/>
      </c>
    </row>
    <row r="2286">
      <c r="B2286" s="15" t="n"/>
      <c r="C2286" s="16" t="n"/>
      <c r="D2286" s="17" t="n"/>
      <c r="E2286" s="17" t="n"/>
      <c r="F2286" s="17" t="n"/>
      <c r="G2286" s="17" t="n"/>
      <c r="H2286" s="18">
        <f>IF(AND(B2286="",C2286="",D2286="",E2286=""),"",IF(B2286="","⚠ Falta fecha",IF(C2286="","⚠ Falta monto",IF(D2286="","⚠ Falta categoría",IF(ISNA(MATCH(D2286,catNom,0)),"⚠ Categoría no existe",IF(E2286="","⚠ Falta cuenta",IF(ISNA(MATCH(E2286,ctaNom,0)),"⚠ Cuenta no existe",IF(AND(OR(I2286="Transferencia",I2286="Pago tarjeta"),G2286=""),"⚠ Indica la cuenta «Hacia»",IF(AND(G2286&lt;&gt;"",G2286=E2286),"⚠ «Hacia» igual a la cuenta",IF(AND(G2286&lt;&gt;"",ISNA(MATCH(G2286,ctaNom,0))),"⚠ «Hacia» no existe",IF(AND(I2286="Pago tarjeta",IFERROR(INDEX(ctaTipo,MATCH(G2286,ctaNom,0)),"")&lt;&gt;"Tarjeta de crédito"),"⚠ «Hacia» debe ser la tarjeta",IF(AND(I2286="Trading",IFERROR(INDEX(ctaTipo,MATCH(E2286,ctaNom,0)),"")&lt;&gt;"Cuenta de trading"),"⚠ Usa la cuenta de trading","✓"))))))))))))</f>
        <v/>
      </c>
      <c r="I2286" s="19">
        <f>IF(OR(B2286="",C2286="",D2286=""),"",IFERROR(INDEX(catTipo,MATCH(D2286,catNom,0))&amp;"",""))</f>
        <v/>
      </c>
      <c r="J2286" s="19">
        <f>IF(I2286="","",IFERROR(INDEX(catGrupo,MATCH(D2286,catNom,0))&amp;"",""))</f>
        <v/>
      </c>
      <c r="K2286" s="19">
        <f>IF(I2286="Gasto",IF(IFERROR(INDEX(catClas,MATCH(D2286,catNom,0))&amp;"","")="","Variable",IFERROR(INDEX(catClas,MATCH(D2286,catNom,0))&amp;"","")),"")</f>
        <v/>
      </c>
      <c r="L2286" s="19">
        <f>IF(I2286="","",IFERROR(INDEX(catAlim,MATCH(D2286,catNom,0))&amp;"",""))</f>
        <v/>
      </c>
      <c r="M2286" s="19">
        <f>IF(I2286="","",IFERROR(INDEX(catComida,MATCH(D2286,catNom,0))&amp;"",""))</f>
        <v/>
      </c>
      <c r="N2286" s="19">
        <f>IF(I2286="","",IFERROR(INDEX(ctaMon,MATCH(E2286,ctaNom,0))&amp;"","DOP"))</f>
        <v/>
      </c>
      <c r="O2286" s="20">
        <f>IF(I2286="","",C2286*IF(N2286="USD",TasaUSD,1))</f>
        <v/>
      </c>
      <c r="P2286" s="20">
        <f>IF(I2286="","",IF(I2286="Gasto",O2286,0))</f>
        <v/>
      </c>
      <c r="Q2286" s="20">
        <f>IF(I2286="","",IF(I2286="Ingreso",O2286,0))</f>
        <v/>
      </c>
      <c r="R2286" s="20">
        <f>IF(I2286="","",IF(I2286="Trading",O2286,0))</f>
        <v/>
      </c>
      <c r="S2286" s="19">
        <f>IF(I2286="","",IF(AND(I2286="Gasto",K2286="Variable",J2286&lt;&gt;"Trading",O2286&gt;0,O2286&lt;=Umbral),1,0))</f>
        <v/>
      </c>
      <c r="T2286" s="20">
        <f>IF(OR(I2286="",E2286=""),"",IF(OR(I2286="Gasto",I2286="Transferencia",I2286="Pago tarjeta"),-1,1)*C2286)</f>
        <v/>
      </c>
      <c r="U2286" s="20">
        <f>IF(OR(G2286="",AND(I2286&lt;&gt;"Transferencia",I2286&lt;&gt;"Pago tarjeta")),"",IF(IFERROR(INDEX(ctaMon,MATCH(G2286,ctaNom,0))&amp;"","DOP")=N2286,C2286,IF(N2286="USD",C2286*TasaUSD,C2286/TasaUSD)))</f>
        <v/>
      </c>
      <c r="V2286" s="20">
        <f>IF(I2286="","",IF(IFERROR(INDEX(ctaLiq,MATCH(E2286,ctaNom,0))="Sí",FALSE),IF(OR(I2286="Gasto",I2286="Transferencia",I2286="Pago tarjeta"),-1,1)*O2286,0)+IF(AND(U2286&lt;&gt;"",IFERROR(INDEX(ctaLiq,MATCH(G2286,ctaNom,0))="Sí",FALSE)),O2286,0))</f>
        <v/>
      </c>
      <c r="W2286" s="19">
        <f>IF(OR(F2286="",I2286=""),"",IF(COUNTIFS(F$6:F2286,F2286,I$6:I2286,"?*")=1,MAX(W$5:W2285)+1,""))</f>
        <v/>
      </c>
    </row>
    <row r="2287">
      <c r="B2287" s="15" t="n"/>
      <c r="C2287" s="16" t="n"/>
      <c r="D2287" s="17" t="n"/>
      <c r="E2287" s="17" t="n"/>
      <c r="F2287" s="17" t="n"/>
      <c r="G2287" s="17" t="n"/>
      <c r="H2287" s="18">
        <f>IF(AND(B2287="",C2287="",D2287="",E2287=""),"",IF(B2287="","⚠ Falta fecha",IF(C2287="","⚠ Falta monto",IF(D2287="","⚠ Falta categoría",IF(ISNA(MATCH(D2287,catNom,0)),"⚠ Categoría no existe",IF(E2287="","⚠ Falta cuenta",IF(ISNA(MATCH(E2287,ctaNom,0)),"⚠ Cuenta no existe",IF(AND(OR(I2287="Transferencia",I2287="Pago tarjeta"),G2287=""),"⚠ Indica la cuenta «Hacia»",IF(AND(G2287&lt;&gt;"",G2287=E2287),"⚠ «Hacia» igual a la cuenta",IF(AND(G2287&lt;&gt;"",ISNA(MATCH(G2287,ctaNom,0))),"⚠ «Hacia» no existe",IF(AND(I2287="Pago tarjeta",IFERROR(INDEX(ctaTipo,MATCH(G2287,ctaNom,0)),"")&lt;&gt;"Tarjeta de crédito"),"⚠ «Hacia» debe ser la tarjeta",IF(AND(I2287="Trading",IFERROR(INDEX(ctaTipo,MATCH(E2287,ctaNom,0)),"")&lt;&gt;"Cuenta de trading"),"⚠ Usa la cuenta de trading","✓"))))))))))))</f>
        <v/>
      </c>
      <c r="I2287" s="19">
        <f>IF(OR(B2287="",C2287="",D2287=""),"",IFERROR(INDEX(catTipo,MATCH(D2287,catNom,0))&amp;"",""))</f>
        <v/>
      </c>
      <c r="J2287" s="19">
        <f>IF(I2287="","",IFERROR(INDEX(catGrupo,MATCH(D2287,catNom,0))&amp;"",""))</f>
        <v/>
      </c>
      <c r="K2287" s="19">
        <f>IF(I2287="Gasto",IF(IFERROR(INDEX(catClas,MATCH(D2287,catNom,0))&amp;"","")="","Variable",IFERROR(INDEX(catClas,MATCH(D2287,catNom,0))&amp;"","")),"")</f>
        <v/>
      </c>
      <c r="L2287" s="19">
        <f>IF(I2287="","",IFERROR(INDEX(catAlim,MATCH(D2287,catNom,0))&amp;"",""))</f>
        <v/>
      </c>
      <c r="M2287" s="19">
        <f>IF(I2287="","",IFERROR(INDEX(catComida,MATCH(D2287,catNom,0))&amp;"",""))</f>
        <v/>
      </c>
      <c r="N2287" s="19">
        <f>IF(I2287="","",IFERROR(INDEX(ctaMon,MATCH(E2287,ctaNom,0))&amp;"","DOP"))</f>
        <v/>
      </c>
      <c r="O2287" s="20">
        <f>IF(I2287="","",C2287*IF(N2287="USD",TasaUSD,1))</f>
        <v/>
      </c>
      <c r="P2287" s="20">
        <f>IF(I2287="","",IF(I2287="Gasto",O2287,0))</f>
        <v/>
      </c>
      <c r="Q2287" s="20">
        <f>IF(I2287="","",IF(I2287="Ingreso",O2287,0))</f>
        <v/>
      </c>
      <c r="R2287" s="20">
        <f>IF(I2287="","",IF(I2287="Trading",O2287,0))</f>
        <v/>
      </c>
      <c r="S2287" s="19">
        <f>IF(I2287="","",IF(AND(I2287="Gasto",K2287="Variable",J2287&lt;&gt;"Trading",O2287&gt;0,O2287&lt;=Umbral),1,0))</f>
        <v/>
      </c>
      <c r="T2287" s="20">
        <f>IF(OR(I2287="",E2287=""),"",IF(OR(I2287="Gasto",I2287="Transferencia",I2287="Pago tarjeta"),-1,1)*C2287)</f>
        <v/>
      </c>
      <c r="U2287" s="20">
        <f>IF(OR(G2287="",AND(I2287&lt;&gt;"Transferencia",I2287&lt;&gt;"Pago tarjeta")),"",IF(IFERROR(INDEX(ctaMon,MATCH(G2287,ctaNom,0))&amp;"","DOP")=N2287,C2287,IF(N2287="USD",C2287*TasaUSD,C2287/TasaUSD)))</f>
        <v/>
      </c>
      <c r="V2287" s="20">
        <f>IF(I2287="","",IF(IFERROR(INDEX(ctaLiq,MATCH(E2287,ctaNom,0))="Sí",FALSE),IF(OR(I2287="Gasto",I2287="Transferencia",I2287="Pago tarjeta"),-1,1)*O2287,0)+IF(AND(U2287&lt;&gt;"",IFERROR(INDEX(ctaLiq,MATCH(G2287,ctaNom,0))="Sí",FALSE)),O2287,0))</f>
        <v/>
      </c>
      <c r="W2287" s="19">
        <f>IF(OR(F2287="",I2287=""),"",IF(COUNTIFS(F$6:F2287,F2287,I$6:I2287,"?*")=1,MAX(W$5:W2286)+1,""))</f>
        <v/>
      </c>
    </row>
    <row r="2288">
      <c r="B2288" s="15" t="n"/>
      <c r="C2288" s="16" t="n"/>
      <c r="D2288" s="17" t="n"/>
      <c r="E2288" s="17" t="n"/>
      <c r="F2288" s="17" t="n"/>
      <c r="G2288" s="17" t="n"/>
      <c r="H2288" s="18">
        <f>IF(AND(B2288="",C2288="",D2288="",E2288=""),"",IF(B2288="","⚠ Falta fecha",IF(C2288="","⚠ Falta monto",IF(D2288="","⚠ Falta categoría",IF(ISNA(MATCH(D2288,catNom,0)),"⚠ Categoría no existe",IF(E2288="","⚠ Falta cuenta",IF(ISNA(MATCH(E2288,ctaNom,0)),"⚠ Cuenta no existe",IF(AND(OR(I2288="Transferencia",I2288="Pago tarjeta"),G2288=""),"⚠ Indica la cuenta «Hacia»",IF(AND(G2288&lt;&gt;"",G2288=E2288),"⚠ «Hacia» igual a la cuenta",IF(AND(G2288&lt;&gt;"",ISNA(MATCH(G2288,ctaNom,0))),"⚠ «Hacia» no existe",IF(AND(I2288="Pago tarjeta",IFERROR(INDEX(ctaTipo,MATCH(G2288,ctaNom,0)),"")&lt;&gt;"Tarjeta de crédito"),"⚠ «Hacia» debe ser la tarjeta",IF(AND(I2288="Trading",IFERROR(INDEX(ctaTipo,MATCH(E2288,ctaNom,0)),"")&lt;&gt;"Cuenta de trading"),"⚠ Usa la cuenta de trading","✓"))))))))))))</f>
        <v/>
      </c>
      <c r="I2288" s="19">
        <f>IF(OR(B2288="",C2288="",D2288=""),"",IFERROR(INDEX(catTipo,MATCH(D2288,catNom,0))&amp;"",""))</f>
        <v/>
      </c>
      <c r="J2288" s="19">
        <f>IF(I2288="","",IFERROR(INDEX(catGrupo,MATCH(D2288,catNom,0))&amp;"",""))</f>
        <v/>
      </c>
      <c r="K2288" s="19">
        <f>IF(I2288="Gasto",IF(IFERROR(INDEX(catClas,MATCH(D2288,catNom,0))&amp;"","")="","Variable",IFERROR(INDEX(catClas,MATCH(D2288,catNom,0))&amp;"","")),"")</f>
        <v/>
      </c>
      <c r="L2288" s="19">
        <f>IF(I2288="","",IFERROR(INDEX(catAlim,MATCH(D2288,catNom,0))&amp;"",""))</f>
        <v/>
      </c>
      <c r="M2288" s="19">
        <f>IF(I2288="","",IFERROR(INDEX(catComida,MATCH(D2288,catNom,0))&amp;"",""))</f>
        <v/>
      </c>
      <c r="N2288" s="19">
        <f>IF(I2288="","",IFERROR(INDEX(ctaMon,MATCH(E2288,ctaNom,0))&amp;"","DOP"))</f>
        <v/>
      </c>
      <c r="O2288" s="20">
        <f>IF(I2288="","",C2288*IF(N2288="USD",TasaUSD,1))</f>
        <v/>
      </c>
      <c r="P2288" s="20">
        <f>IF(I2288="","",IF(I2288="Gasto",O2288,0))</f>
        <v/>
      </c>
      <c r="Q2288" s="20">
        <f>IF(I2288="","",IF(I2288="Ingreso",O2288,0))</f>
        <v/>
      </c>
      <c r="R2288" s="20">
        <f>IF(I2288="","",IF(I2288="Trading",O2288,0))</f>
        <v/>
      </c>
      <c r="S2288" s="19">
        <f>IF(I2288="","",IF(AND(I2288="Gasto",K2288="Variable",J2288&lt;&gt;"Trading",O2288&gt;0,O2288&lt;=Umbral),1,0))</f>
        <v/>
      </c>
      <c r="T2288" s="20">
        <f>IF(OR(I2288="",E2288=""),"",IF(OR(I2288="Gasto",I2288="Transferencia",I2288="Pago tarjeta"),-1,1)*C2288)</f>
        <v/>
      </c>
      <c r="U2288" s="20">
        <f>IF(OR(G2288="",AND(I2288&lt;&gt;"Transferencia",I2288&lt;&gt;"Pago tarjeta")),"",IF(IFERROR(INDEX(ctaMon,MATCH(G2288,ctaNom,0))&amp;"","DOP")=N2288,C2288,IF(N2288="USD",C2288*TasaUSD,C2288/TasaUSD)))</f>
        <v/>
      </c>
      <c r="V2288" s="20">
        <f>IF(I2288="","",IF(IFERROR(INDEX(ctaLiq,MATCH(E2288,ctaNom,0))="Sí",FALSE),IF(OR(I2288="Gasto",I2288="Transferencia",I2288="Pago tarjeta"),-1,1)*O2288,0)+IF(AND(U2288&lt;&gt;"",IFERROR(INDEX(ctaLiq,MATCH(G2288,ctaNom,0))="Sí",FALSE)),O2288,0))</f>
        <v/>
      </c>
      <c r="W2288" s="19">
        <f>IF(OR(F2288="",I2288=""),"",IF(COUNTIFS(F$6:F2288,F2288,I$6:I2288,"?*")=1,MAX(W$5:W2287)+1,""))</f>
        <v/>
      </c>
    </row>
    <row r="2289">
      <c r="B2289" s="15" t="n"/>
      <c r="C2289" s="16" t="n"/>
      <c r="D2289" s="17" t="n"/>
      <c r="E2289" s="17" t="n"/>
      <c r="F2289" s="17" t="n"/>
      <c r="G2289" s="17" t="n"/>
      <c r="H2289" s="18">
        <f>IF(AND(B2289="",C2289="",D2289="",E2289=""),"",IF(B2289="","⚠ Falta fecha",IF(C2289="","⚠ Falta monto",IF(D2289="","⚠ Falta categoría",IF(ISNA(MATCH(D2289,catNom,0)),"⚠ Categoría no existe",IF(E2289="","⚠ Falta cuenta",IF(ISNA(MATCH(E2289,ctaNom,0)),"⚠ Cuenta no existe",IF(AND(OR(I2289="Transferencia",I2289="Pago tarjeta"),G2289=""),"⚠ Indica la cuenta «Hacia»",IF(AND(G2289&lt;&gt;"",G2289=E2289),"⚠ «Hacia» igual a la cuenta",IF(AND(G2289&lt;&gt;"",ISNA(MATCH(G2289,ctaNom,0))),"⚠ «Hacia» no existe",IF(AND(I2289="Pago tarjeta",IFERROR(INDEX(ctaTipo,MATCH(G2289,ctaNom,0)),"")&lt;&gt;"Tarjeta de crédito"),"⚠ «Hacia» debe ser la tarjeta",IF(AND(I2289="Trading",IFERROR(INDEX(ctaTipo,MATCH(E2289,ctaNom,0)),"")&lt;&gt;"Cuenta de trading"),"⚠ Usa la cuenta de trading","✓"))))))))))))</f>
        <v/>
      </c>
      <c r="I2289" s="19">
        <f>IF(OR(B2289="",C2289="",D2289=""),"",IFERROR(INDEX(catTipo,MATCH(D2289,catNom,0))&amp;"",""))</f>
        <v/>
      </c>
      <c r="J2289" s="19">
        <f>IF(I2289="","",IFERROR(INDEX(catGrupo,MATCH(D2289,catNom,0))&amp;"",""))</f>
        <v/>
      </c>
      <c r="K2289" s="19">
        <f>IF(I2289="Gasto",IF(IFERROR(INDEX(catClas,MATCH(D2289,catNom,0))&amp;"","")="","Variable",IFERROR(INDEX(catClas,MATCH(D2289,catNom,0))&amp;"","")),"")</f>
        <v/>
      </c>
      <c r="L2289" s="19">
        <f>IF(I2289="","",IFERROR(INDEX(catAlim,MATCH(D2289,catNom,0))&amp;"",""))</f>
        <v/>
      </c>
      <c r="M2289" s="19">
        <f>IF(I2289="","",IFERROR(INDEX(catComida,MATCH(D2289,catNom,0))&amp;"",""))</f>
        <v/>
      </c>
      <c r="N2289" s="19">
        <f>IF(I2289="","",IFERROR(INDEX(ctaMon,MATCH(E2289,ctaNom,0))&amp;"","DOP"))</f>
        <v/>
      </c>
      <c r="O2289" s="20">
        <f>IF(I2289="","",C2289*IF(N2289="USD",TasaUSD,1))</f>
        <v/>
      </c>
      <c r="P2289" s="20">
        <f>IF(I2289="","",IF(I2289="Gasto",O2289,0))</f>
        <v/>
      </c>
      <c r="Q2289" s="20">
        <f>IF(I2289="","",IF(I2289="Ingreso",O2289,0))</f>
        <v/>
      </c>
      <c r="R2289" s="20">
        <f>IF(I2289="","",IF(I2289="Trading",O2289,0))</f>
        <v/>
      </c>
      <c r="S2289" s="19">
        <f>IF(I2289="","",IF(AND(I2289="Gasto",K2289="Variable",J2289&lt;&gt;"Trading",O2289&gt;0,O2289&lt;=Umbral),1,0))</f>
        <v/>
      </c>
      <c r="T2289" s="20">
        <f>IF(OR(I2289="",E2289=""),"",IF(OR(I2289="Gasto",I2289="Transferencia",I2289="Pago tarjeta"),-1,1)*C2289)</f>
        <v/>
      </c>
      <c r="U2289" s="20">
        <f>IF(OR(G2289="",AND(I2289&lt;&gt;"Transferencia",I2289&lt;&gt;"Pago tarjeta")),"",IF(IFERROR(INDEX(ctaMon,MATCH(G2289,ctaNom,0))&amp;"","DOP")=N2289,C2289,IF(N2289="USD",C2289*TasaUSD,C2289/TasaUSD)))</f>
        <v/>
      </c>
      <c r="V2289" s="20">
        <f>IF(I2289="","",IF(IFERROR(INDEX(ctaLiq,MATCH(E2289,ctaNom,0))="Sí",FALSE),IF(OR(I2289="Gasto",I2289="Transferencia",I2289="Pago tarjeta"),-1,1)*O2289,0)+IF(AND(U2289&lt;&gt;"",IFERROR(INDEX(ctaLiq,MATCH(G2289,ctaNom,0))="Sí",FALSE)),O2289,0))</f>
        <v/>
      </c>
      <c r="W2289" s="19">
        <f>IF(OR(F2289="",I2289=""),"",IF(COUNTIFS(F$6:F2289,F2289,I$6:I2289,"?*")=1,MAX(W$5:W2288)+1,""))</f>
        <v/>
      </c>
    </row>
    <row r="2290">
      <c r="B2290" s="15" t="n"/>
      <c r="C2290" s="16" t="n"/>
      <c r="D2290" s="17" t="n"/>
      <c r="E2290" s="17" t="n"/>
      <c r="F2290" s="17" t="n"/>
      <c r="G2290" s="17" t="n"/>
      <c r="H2290" s="18">
        <f>IF(AND(B2290="",C2290="",D2290="",E2290=""),"",IF(B2290="","⚠ Falta fecha",IF(C2290="","⚠ Falta monto",IF(D2290="","⚠ Falta categoría",IF(ISNA(MATCH(D2290,catNom,0)),"⚠ Categoría no existe",IF(E2290="","⚠ Falta cuenta",IF(ISNA(MATCH(E2290,ctaNom,0)),"⚠ Cuenta no existe",IF(AND(OR(I2290="Transferencia",I2290="Pago tarjeta"),G2290=""),"⚠ Indica la cuenta «Hacia»",IF(AND(G2290&lt;&gt;"",G2290=E2290),"⚠ «Hacia» igual a la cuenta",IF(AND(G2290&lt;&gt;"",ISNA(MATCH(G2290,ctaNom,0))),"⚠ «Hacia» no existe",IF(AND(I2290="Pago tarjeta",IFERROR(INDEX(ctaTipo,MATCH(G2290,ctaNom,0)),"")&lt;&gt;"Tarjeta de crédito"),"⚠ «Hacia» debe ser la tarjeta",IF(AND(I2290="Trading",IFERROR(INDEX(ctaTipo,MATCH(E2290,ctaNom,0)),"")&lt;&gt;"Cuenta de trading"),"⚠ Usa la cuenta de trading","✓"))))))))))))</f>
        <v/>
      </c>
      <c r="I2290" s="19">
        <f>IF(OR(B2290="",C2290="",D2290=""),"",IFERROR(INDEX(catTipo,MATCH(D2290,catNom,0))&amp;"",""))</f>
        <v/>
      </c>
      <c r="J2290" s="19">
        <f>IF(I2290="","",IFERROR(INDEX(catGrupo,MATCH(D2290,catNom,0))&amp;"",""))</f>
        <v/>
      </c>
      <c r="K2290" s="19">
        <f>IF(I2290="Gasto",IF(IFERROR(INDEX(catClas,MATCH(D2290,catNom,0))&amp;"","")="","Variable",IFERROR(INDEX(catClas,MATCH(D2290,catNom,0))&amp;"","")),"")</f>
        <v/>
      </c>
      <c r="L2290" s="19">
        <f>IF(I2290="","",IFERROR(INDEX(catAlim,MATCH(D2290,catNom,0))&amp;"",""))</f>
        <v/>
      </c>
      <c r="M2290" s="19">
        <f>IF(I2290="","",IFERROR(INDEX(catComida,MATCH(D2290,catNom,0))&amp;"",""))</f>
        <v/>
      </c>
      <c r="N2290" s="19">
        <f>IF(I2290="","",IFERROR(INDEX(ctaMon,MATCH(E2290,ctaNom,0))&amp;"","DOP"))</f>
        <v/>
      </c>
      <c r="O2290" s="20">
        <f>IF(I2290="","",C2290*IF(N2290="USD",TasaUSD,1))</f>
        <v/>
      </c>
      <c r="P2290" s="20">
        <f>IF(I2290="","",IF(I2290="Gasto",O2290,0))</f>
        <v/>
      </c>
      <c r="Q2290" s="20">
        <f>IF(I2290="","",IF(I2290="Ingreso",O2290,0))</f>
        <v/>
      </c>
      <c r="R2290" s="20">
        <f>IF(I2290="","",IF(I2290="Trading",O2290,0))</f>
        <v/>
      </c>
      <c r="S2290" s="19">
        <f>IF(I2290="","",IF(AND(I2290="Gasto",K2290="Variable",J2290&lt;&gt;"Trading",O2290&gt;0,O2290&lt;=Umbral),1,0))</f>
        <v/>
      </c>
      <c r="T2290" s="20">
        <f>IF(OR(I2290="",E2290=""),"",IF(OR(I2290="Gasto",I2290="Transferencia",I2290="Pago tarjeta"),-1,1)*C2290)</f>
        <v/>
      </c>
      <c r="U2290" s="20">
        <f>IF(OR(G2290="",AND(I2290&lt;&gt;"Transferencia",I2290&lt;&gt;"Pago tarjeta")),"",IF(IFERROR(INDEX(ctaMon,MATCH(G2290,ctaNom,0))&amp;"","DOP")=N2290,C2290,IF(N2290="USD",C2290*TasaUSD,C2290/TasaUSD)))</f>
        <v/>
      </c>
      <c r="V2290" s="20">
        <f>IF(I2290="","",IF(IFERROR(INDEX(ctaLiq,MATCH(E2290,ctaNom,0))="Sí",FALSE),IF(OR(I2290="Gasto",I2290="Transferencia",I2290="Pago tarjeta"),-1,1)*O2290,0)+IF(AND(U2290&lt;&gt;"",IFERROR(INDEX(ctaLiq,MATCH(G2290,ctaNom,0))="Sí",FALSE)),O2290,0))</f>
        <v/>
      </c>
      <c r="W2290" s="19">
        <f>IF(OR(F2290="",I2290=""),"",IF(COUNTIFS(F$6:F2290,F2290,I$6:I2290,"?*")=1,MAX(W$5:W2289)+1,""))</f>
        <v/>
      </c>
    </row>
    <row r="2291">
      <c r="B2291" s="15" t="n"/>
      <c r="C2291" s="16" t="n"/>
      <c r="D2291" s="17" t="n"/>
      <c r="E2291" s="17" t="n"/>
      <c r="F2291" s="17" t="n"/>
      <c r="G2291" s="17" t="n"/>
      <c r="H2291" s="18">
        <f>IF(AND(B2291="",C2291="",D2291="",E2291=""),"",IF(B2291="","⚠ Falta fecha",IF(C2291="","⚠ Falta monto",IF(D2291="","⚠ Falta categoría",IF(ISNA(MATCH(D2291,catNom,0)),"⚠ Categoría no existe",IF(E2291="","⚠ Falta cuenta",IF(ISNA(MATCH(E2291,ctaNom,0)),"⚠ Cuenta no existe",IF(AND(OR(I2291="Transferencia",I2291="Pago tarjeta"),G2291=""),"⚠ Indica la cuenta «Hacia»",IF(AND(G2291&lt;&gt;"",G2291=E2291),"⚠ «Hacia» igual a la cuenta",IF(AND(G2291&lt;&gt;"",ISNA(MATCH(G2291,ctaNom,0))),"⚠ «Hacia» no existe",IF(AND(I2291="Pago tarjeta",IFERROR(INDEX(ctaTipo,MATCH(G2291,ctaNom,0)),"")&lt;&gt;"Tarjeta de crédito"),"⚠ «Hacia» debe ser la tarjeta",IF(AND(I2291="Trading",IFERROR(INDEX(ctaTipo,MATCH(E2291,ctaNom,0)),"")&lt;&gt;"Cuenta de trading"),"⚠ Usa la cuenta de trading","✓"))))))))))))</f>
        <v/>
      </c>
      <c r="I2291" s="19">
        <f>IF(OR(B2291="",C2291="",D2291=""),"",IFERROR(INDEX(catTipo,MATCH(D2291,catNom,0))&amp;"",""))</f>
        <v/>
      </c>
      <c r="J2291" s="19">
        <f>IF(I2291="","",IFERROR(INDEX(catGrupo,MATCH(D2291,catNom,0))&amp;"",""))</f>
        <v/>
      </c>
      <c r="K2291" s="19">
        <f>IF(I2291="Gasto",IF(IFERROR(INDEX(catClas,MATCH(D2291,catNom,0))&amp;"","")="","Variable",IFERROR(INDEX(catClas,MATCH(D2291,catNom,0))&amp;"","")),"")</f>
        <v/>
      </c>
      <c r="L2291" s="19">
        <f>IF(I2291="","",IFERROR(INDEX(catAlim,MATCH(D2291,catNom,0))&amp;"",""))</f>
        <v/>
      </c>
      <c r="M2291" s="19">
        <f>IF(I2291="","",IFERROR(INDEX(catComida,MATCH(D2291,catNom,0))&amp;"",""))</f>
        <v/>
      </c>
      <c r="N2291" s="19">
        <f>IF(I2291="","",IFERROR(INDEX(ctaMon,MATCH(E2291,ctaNom,0))&amp;"","DOP"))</f>
        <v/>
      </c>
      <c r="O2291" s="20">
        <f>IF(I2291="","",C2291*IF(N2291="USD",TasaUSD,1))</f>
        <v/>
      </c>
      <c r="P2291" s="20">
        <f>IF(I2291="","",IF(I2291="Gasto",O2291,0))</f>
        <v/>
      </c>
      <c r="Q2291" s="20">
        <f>IF(I2291="","",IF(I2291="Ingreso",O2291,0))</f>
        <v/>
      </c>
      <c r="R2291" s="20">
        <f>IF(I2291="","",IF(I2291="Trading",O2291,0))</f>
        <v/>
      </c>
      <c r="S2291" s="19">
        <f>IF(I2291="","",IF(AND(I2291="Gasto",K2291="Variable",J2291&lt;&gt;"Trading",O2291&gt;0,O2291&lt;=Umbral),1,0))</f>
        <v/>
      </c>
      <c r="T2291" s="20">
        <f>IF(OR(I2291="",E2291=""),"",IF(OR(I2291="Gasto",I2291="Transferencia",I2291="Pago tarjeta"),-1,1)*C2291)</f>
        <v/>
      </c>
      <c r="U2291" s="20">
        <f>IF(OR(G2291="",AND(I2291&lt;&gt;"Transferencia",I2291&lt;&gt;"Pago tarjeta")),"",IF(IFERROR(INDEX(ctaMon,MATCH(G2291,ctaNom,0))&amp;"","DOP")=N2291,C2291,IF(N2291="USD",C2291*TasaUSD,C2291/TasaUSD)))</f>
        <v/>
      </c>
      <c r="V2291" s="20">
        <f>IF(I2291="","",IF(IFERROR(INDEX(ctaLiq,MATCH(E2291,ctaNom,0))="Sí",FALSE),IF(OR(I2291="Gasto",I2291="Transferencia",I2291="Pago tarjeta"),-1,1)*O2291,0)+IF(AND(U2291&lt;&gt;"",IFERROR(INDEX(ctaLiq,MATCH(G2291,ctaNom,0))="Sí",FALSE)),O2291,0))</f>
        <v/>
      </c>
      <c r="W2291" s="19">
        <f>IF(OR(F2291="",I2291=""),"",IF(COUNTIFS(F$6:F2291,F2291,I$6:I2291,"?*")=1,MAX(W$5:W2290)+1,""))</f>
        <v/>
      </c>
    </row>
    <row r="2292">
      <c r="B2292" s="15" t="n"/>
      <c r="C2292" s="16" t="n"/>
      <c r="D2292" s="17" t="n"/>
      <c r="E2292" s="17" t="n"/>
      <c r="F2292" s="17" t="n"/>
      <c r="G2292" s="17" t="n"/>
      <c r="H2292" s="18">
        <f>IF(AND(B2292="",C2292="",D2292="",E2292=""),"",IF(B2292="","⚠ Falta fecha",IF(C2292="","⚠ Falta monto",IF(D2292="","⚠ Falta categoría",IF(ISNA(MATCH(D2292,catNom,0)),"⚠ Categoría no existe",IF(E2292="","⚠ Falta cuenta",IF(ISNA(MATCH(E2292,ctaNom,0)),"⚠ Cuenta no existe",IF(AND(OR(I2292="Transferencia",I2292="Pago tarjeta"),G2292=""),"⚠ Indica la cuenta «Hacia»",IF(AND(G2292&lt;&gt;"",G2292=E2292),"⚠ «Hacia» igual a la cuenta",IF(AND(G2292&lt;&gt;"",ISNA(MATCH(G2292,ctaNom,0))),"⚠ «Hacia» no existe",IF(AND(I2292="Pago tarjeta",IFERROR(INDEX(ctaTipo,MATCH(G2292,ctaNom,0)),"")&lt;&gt;"Tarjeta de crédito"),"⚠ «Hacia» debe ser la tarjeta",IF(AND(I2292="Trading",IFERROR(INDEX(ctaTipo,MATCH(E2292,ctaNom,0)),"")&lt;&gt;"Cuenta de trading"),"⚠ Usa la cuenta de trading","✓"))))))))))))</f>
        <v/>
      </c>
      <c r="I2292" s="19">
        <f>IF(OR(B2292="",C2292="",D2292=""),"",IFERROR(INDEX(catTipo,MATCH(D2292,catNom,0))&amp;"",""))</f>
        <v/>
      </c>
      <c r="J2292" s="19">
        <f>IF(I2292="","",IFERROR(INDEX(catGrupo,MATCH(D2292,catNom,0))&amp;"",""))</f>
        <v/>
      </c>
      <c r="K2292" s="19">
        <f>IF(I2292="Gasto",IF(IFERROR(INDEX(catClas,MATCH(D2292,catNom,0))&amp;"","")="","Variable",IFERROR(INDEX(catClas,MATCH(D2292,catNom,0))&amp;"","")),"")</f>
        <v/>
      </c>
      <c r="L2292" s="19">
        <f>IF(I2292="","",IFERROR(INDEX(catAlim,MATCH(D2292,catNom,0))&amp;"",""))</f>
        <v/>
      </c>
      <c r="M2292" s="19">
        <f>IF(I2292="","",IFERROR(INDEX(catComida,MATCH(D2292,catNom,0))&amp;"",""))</f>
        <v/>
      </c>
      <c r="N2292" s="19">
        <f>IF(I2292="","",IFERROR(INDEX(ctaMon,MATCH(E2292,ctaNom,0))&amp;"","DOP"))</f>
        <v/>
      </c>
      <c r="O2292" s="20">
        <f>IF(I2292="","",C2292*IF(N2292="USD",TasaUSD,1))</f>
        <v/>
      </c>
      <c r="P2292" s="20">
        <f>IF(I2292="","",IF(I2292="Gasto",O2292,0))</f>
        <v/>
      </c>
      <c r="Q2292" s="20">
        <f>IF(I2292="","",IF(I2292="Ingreso",O2292,0))</f>
        <v/>
      </c>
      <c r="R2292" s="20">
        <f>IF(I2292="","",IF(I2292="Trading",O2292,0))</f>
        <v/>
      </c>
      <c r="S2292" s="19">
        <f>IF(I2292="","",IF(AND(I2292="Gasto",K2292="Variable",J2292&lt;&gt;"Trading",O2292&gt;0,O2292&lt;=Umbral),1,0))</f>
        <v/>
      </c>
      <c r="T2292" s="20">
        <f>IF(OR(I2292="",E2292=""),"",IF(OR(I2292="Gasto",I2292="Transferencia",I2292="Pago tarjeta"),-1,1)*C2292)</f>
        <v/>
      </c>
      <c r="U2292" s="20">
        <f>IF(OR(G2292="",AND(I2292&lt;&gt;"Transferencia",I2292&lt;&gt;"Pago tarjeta")),"",IF(IFERROR(INDEX(ctaMon,MATCH(G2292,ctaNom,0))&amp;"","DOP")=N2292,C2292,IF(N2292="USD",C2292*TasaUSD,C2292/TasaUSD)))</f>
        <v/>
      </c>
      <c r="V2292" s="20">
        <f>IF(I2292="","",IF(IFERROR(INDEX(ctaLiq,MATCH(E2292,ctaNom,0))="Sí",FALSE),IF(OR(I2292="Gasto",I2292="Transferencia",I2292="Pago tarjeta"),-1,1)*O2292,0)+IF(AND(U2292&lt;&gt;"",IFERROR(INDEX(ctaLiq,MATCH(G2292,ctaNom,0))="Sí",FALSE)),O2292,0))</f>
        <v/>
      </c>
      <c r="W2292" s="19">
        <f>IF(OR(F2292="",I2292=""),"",IF(COUNTIFS(F$6:F2292,F2292,I$6:I2292,"?*")=1,MAX(W$5:W2291)+1,""))</f>
        <v/>
      </c>
    </row>
    <row r="2293">
      <c r="B2293" s="15" t="n"/>
      <c r="C2293" s="16" t="n"/>
      <c r="D2293" s="17" t="n"/>
      <c r="E2293" s="17" t="n"/>
      <c r="F2293" s="17" t="n"/>
      <c r="G2293" s="17" t="n"/>
      <c r="H2293" s="18">
        <f>IF(AND(B2293="",C2293="",D2293="",E2293=""),"",IF(B2293="","⚠ Falta fecha",IF(C2293="","⚠ Falta monto",IF(D2293="","⚠ Falta categoría",IF(ISNA(MATCH(D2293,catNom,0)),"⚠ Categoría no existe",IF(E2293="","⚠ Falta cuenta",IF(ISNA(MATCH(E2293,ctaNom,0)),"⚠ Cuenta no existe",IF(AND(OR(I2293="Transferencia",I2293="Pago tarjeta"),G2293=""),"⚠ Indica la cuenta «Hacia»",IF(AND(G2293&lt;&gt;"",G2293=E2293),"⚠ «Hacia» igual a la cuenta",IF(AND(G2293&lt;&gt;"",ISNA(MATCH(G2293,ctaNom,0))),"⚠ «Hacia» no existe",IF(AND(I2293="Pago tarjeta",IFERROR(INDEX(ctaTipo,MATCH(G2293,ctaNom,0)),"")&lt;&gt;"Tarjeta de crédito"),"⚠ «Hacia» debe ser la tarjeta",IF(AND(I2293="Trading",IFERROR(INDEX(ctaTipo,MATCH(E2293,ctaNom,0)),"")&lt;&gt;"Cuenta de trading"),"⚠ Usa la cuenta de trading","✓"))))))))))))</f>
        <v/>
      </c>
      <c r="I2293" s="19">
        <f>IF(OR(B2293="",C2293="",D2293=""),"",IFERROR(INDEX(catTipo,MATCH(D2293,catNom,0))&amp;"",""))</f>
        <v/>
      </c>
      <c r="J2293" s="19">
        <f>IF(I2293="","",IFERROR(INDEX(catGrupo,MATCH(D2293,catNom,0))&amp;"",""))</f>
        <v/>
      </c>
      <c r="K2293" s="19">
        <f>IF(I2293="Gasto",IF(IFERROR(INDEX(catClas,MATCH(D2293,catNom,0))&amp;"","")="","Variable",IFERROR(INDEX(catClas,MATCH(D2293,catNom,0))&amp;"","")),"")</f>
        <v/>
      </c>
      <c r="L2293" s="19">
        <f>IF(I2293="","",IFERROR(INDEX(catAlim,MATCH(D2293,catNom,0))&amp;"",""))</f>
        <v/>
      </c>
      <c r="M2293" s="19">
        <f>IF(I2293="","",IFERROR(INDEX(catComida,MATCH(D2293,catNom,0))&amp;"",""))</f>
        <v/>
      </c>
      <c r="N2293" s="19">
        <f>IF(I2293="","",IFERROR(INDEX(ctaMon,MATCH(E2293,ctaNom,0))&amp;"","DOP"))</f>
        <v/>
      </c>
      <c r="O2293" s="20">
        <f>IF(I2293="","",C2293*IF(N2293="USD",TasaUSD,1))</f>
        <v/>
      </c>
      <c r="P2293" s="20">
        <f>IF(I2293="","",IF(I2293="Gasto",O2293,0))</f>
        <v/>
      </c>
      <c r="Q2293" s="20">
        <f>IF(I2293="","",IF(I2293="Ingreso",O2293,0))</f>
        <v/>
      </c>
      <c r="R2293" s="20">
        <f>IF(I2293="","",IF(I2293="Trading",O2293,0))</f>
        <v/>
      </c>
      <c r="S2293" s="19">
        <f>IF(I2293="","",IF(AND(I2293="Gasto",K2293="Variable",J2293&lt;&gt;"Trading",O2293&gt;0,O2293&lt;=Umbral),1,0))</f>
        <v/>
      </c>
      <c r="T2293" s="20">
        <f>IF(OR(I2293="",E2293=""),"",IF(OR(I2293="Gasto",I2293="Transferencia",I2293="Pago tarjeta"),-1,1)*C2293)</f>
        <v/>
      </c>
      <c r="U2293" s="20">
        <f>IF(OR(G2293="",AND(I2293&lt;&gt;"Transferencia",I2293&lt;&gt;"Pago tarjeta")),"",IF(IFERROR(INDEX(ctaMon,MATCH(G2293,ctaNom,0))&amp;"","DOP")=N2293,C2293,IF(N2293="USD",C2293*TasaUSD,C2293/TasaUSD)))</f>
        <v/>
      </c>
      <c r="V2293" s="20">
        <f>IF(I2293="","",IF(IFERROR(INDEX(ctaLiq,MATCH(E2293,ctaNom,0))="Sí",FALSE),IF(OR(I2293="Gasto",I2293="Transferencia",I2293="Pago tarjeta"),-1,1)*O2293,0)+IF(AND(U2293&lt;&gt;"",IFERROR(INDEX(ctaLiq,MATCH(G2293,ctaNom,0))="Sí",FALSE)),O2293,0))</f>
        <v/>
      </c>
      <c r="W2293" s="19">
        <f>IF(OR(F2293="",I2293=""),"",IF(COUNTIFS(F$6:F2293,F2293,I$6:I2293,"?*")=1,MAX(W$5:W2292)+1,""))</f>
        <v/>
      </c>
    </row>
    <row r="2294">
      <c r="B2294" s="15" t="n"/>
      <c r="C2294" s="16" t="n"/>
      <c r="D2294" s="17" t="n"/>
      <c r="E2294" s="17" t="n"/>
      <c r="F2294" s="17" t="n"/>
      <c r="G2294" s="17" t="n"/>
      <c r="H2294" s="18">
        <f>IF(AND(B2294="",C2294="",D2294="",E2294=""),"",IF(B2294="","⚠ Falta fecha",IF(C2294="","⚠ Falta monto",IF(D2294="","⚠ Falta categoría",IF(ISNA(MATCH(D2294,catNom,0)),"⚠ Categoría no existe",IF(E2294="","⚠ Falta cuenta",IF(ISNA(MATCH(E2294,ctaNom,0)),"⚠ Cuenta no existe",IF(AND(OR(I2294="Transferencia",I2294="Pago tarjeta"),G2294=""),"⚠ Indica la cuenta «Hacia»",IF(AND(G2294&lt;&gt;"",G2294=E2294),"⚠ «Hacia» igual a la cuenta",IF(AND(G2294&lt;&gt;"",ISNA(MATCH(G2294,ctaNom,0))),"⚠ «Hacia» no existe",IF(AND(I2294="Pago tarjeta",IFERROR(INDEX(ctaTipo,MATCH(G2294,ctaNom,0)),"")&lt;&gt;"Tarjeta de crédito"),"⚠ «Hacia» debe ser la tarjeta",IF(AND(I2294="Trading",IFERROR(INDEX(ctaTipo,MATCH(E2294,ctaNom,0)),"")&lt;&gt;"Cuenta de trading"),"⚠ Usa la cuenta de trading","✓"))))))))))))</f>
        <v/>
      </c>
      <c r="I2294" s="19">
        <f>IF(OR(B2294="",C2294="",D2294=""),"",IFERROR(INDEX(catTipo,MATCH(D2294,catNom,0))&amp;"",""))</f>
        <v/>
      </c>
      <c r="J2294" s="19">
        <f>IF(I2294="","",IFERROR(INDEX(catGrupo,MATCH(D2294,catNom,0))&amp;"",""))</f>
        <v/>
      </c>
      <c r="K2294" s="19">
        <f>IF(I2294="Gasto",IF(IFERROR(INDEX(catClas,MATCH(D2294,catNom,0))&amp;"","")="","Variable",IFERROR(INDEX(catClas,MATCH(D2294,catNom,0))&amp;"","")),"")</f>
        <v/>
      </c>
      <c r="L2294" s="19">
        <f>IF(I2294="","",IFERROR(INDEX(catAlim,MATCH(D2294,catNom,0))&amp;"",""))</f>
        <v/>
      </c>
      <c r="M2294" s="19">
        <f>IF(I2294="","",IFERROR(INDEX(catComida,MATCH(D2294,catNom,0))&amp;"",""))</f>
        <v/>
      </c>
      <c r="N2294" s="19">
        <f>IF(I2294="","",IFERROR(INDEX(ctaMon,MATCH(E2294,ctaNom,0))&amp;"","DOP"))</f>
        <v/>
      </c>
      <c r="O2294" s="20">
        <f>IF(I2294="","",C2294*IF(N2294="USD",TasaUSD,1))</f>
        <v/>
      </c>
      <c r="P2294" s="20">
        <f>IF(I2294="","",IF(I2294="Gasto",O2294,0))</f>
        <v/>
      </c>
      <c r="Q2294" s="20">
        <f>IF(I2294="","",IF(I2294="Ingreso",O2294,0))</f>
        <v/>
      </c>
      <c r="R2294" s="20">
        <f>IF(I2294="","",IF(I2294="Trading",O2294,0))</f>
        <v/>
      </c>
      <c r="S2294" s="19">
        <f>IF(I2294="","",IF(AND(I2294="Gasto",K2294="Variable",J2294&lt;&gt;"Trading",O2294&gt;0,O2294&lt;=Umbral),1,0))</f>
        <v/>
      </c>
      <c r="T2294" s="20">
        <f>IF(OR(I2294="",E2294=""),"",IF(OR(I2294="Gasto",I2294="Transferencia",I2294="Pago tarjeta"),-1,1)*C2294)</f>
        <v/>
      </c>
      <c r="U2294" s="20">
        <f>IF(OR(G2294="",AND(I2294&lt;&gt;"Transferencia",I2294&lt;&gt;"Pago tarjeta")),"",IF(IFERROR(INDEX(ctaMon,MATCH(G2294,ctaNom,0))&amp;"","DOP")=N2294,C2294,IF(N2294="USD",C2294*TasaUSD,C2294/TasaUSD)))</f>
        <v/>
      </c>
      <c r="V2294" s="20">
        <f>IF(I2294="","",IF(IFERROR(INDEX(ctaLiq,MATCH(E2294,ctaNom,0))="Sí",FALSE),IF(OR(I2294="Gasto",I2294="Transferencia",I2294="Pago tarjeta"),-1,1)*O2294,0)+IF(AND(U2294&lt;&gt;"",IFERROR(INDEX(ctaLiq,MATCH(G2294,ctaNom,0))="Sí",FALSE)),O2294,0))</f>
        <v/>
      </c>
      <c r="W2294" s="19">
        <f>IF(OR(F2294="",I2294=""),"",IF(COUNTIFS(F$6:F2294,F2294,I$6:I2294,"?*")=1,MAX(W$5:W2293)+1,""))</f>
        <v/>
      </c>
    </row>
    <row r="2295">
      <c r="B2295" s="15" t="n"/>
      <c r="C2295" s="16" t="n"/>
      <c r="D2295" s="17" t="n"/>
      <c r="E2295" s="17" t="n"/>
      <c r="F2295" s="17" t="n"/>
      <c r="G2295" s="17" t="n"/>
      <c r="H2295" s="18">
        <f>IF(AND(B2295="",C2295="",D2295="",E2295=""),"",IF(B2295="","⚠ Falta fecha",IF(C2295="","⚠ Falta monto",IF(D2295="","⚠ Falta categoría",IF(ISNA(MATCH(D2295,catNom,0)),"⚠ Categoría no existe",IF(E2295="","⚠ Falta cuenta",IF(ISNA(MATCH(E2295,ctaNom,0)),"⚠ Cuenta no existe",IF(AND(OR(I2295="Transferencia",I2295="Pago tarjeta"),G2295=""),"⚠ Indica la cuenta «Hacia»",IF(AND(G2295&lt;&gt;"",G2295=E2295),"⚠ «Hacia» igual a la cuenta",IF(AND(G2295&lt;&gt;"",ISNA(MATCH(G2295,ctaNom,0))),"⚠ «Hacia» no existe",IF(AND(I2295="Pago tarjeta",IFERROR(INDEX(ctaTipo,MATCH(G2295,ctaNom,0)),"")&lt;&gt;"Tarjeta de crédito"),"⚠ «Hacia» debe ser la tarjeta",IF(AND(I2295="Trading",IFERROR(INDEX(ctaTipo,MATCH(E2295,ctaNom,0)),"")&lt;&gt;"Cuenta de trading"),"⚠ Usa la cuenta de trading","✓"))))))))))))</f>
        <v/>
      </c>
      <c r="I2295" s="19">
        <f>IF(OR(B2295="",C2295="",D2295=""),"",IFERROR(INDEX(catTipo,MATCH(D2295,catNom,0))&amp;"",""))</f>
        <v/>
      </c>
      <c r="J2295" s="19">
        <f>IF(I2295="","",IFERROR(INDEX(catGrupo,MATCH(D2295,catNom,0))&amp;"",""))</f>
        <v/>
      </c>
      <c r="K2295" s="19">
        <f>IF(I2295="Gasto",IF(IFERROR(INDEX(catClas,MATCH(D2295,catNom,0))&amp;"","")="","Variable",IFERROR(INDEX(catClas,MATCH(D2295,catNom,0))&amp;"","")),"")</f>
        <v/>
      </c>
      <c r="L2295" s="19">
        <f>IF(I2295="","",IFERROR(INDEX(catAlim,MATCH(D2295,catNom,0))&amp;"",""))</f>
        <v/>
      </c>
      <c r="M2295" s="19">
        <f>IF(I2295="","",IFERROR(INDEX(catComida,MATCH(D2295,catNom,0))&amp;"",""))</f>
        <v/>
      </c>
      <c r="N2295" s="19">
        <f>IF(I2295="","",IFERROR(INDEX(ctaMon,MATCH(E2295,ctaNom,0))&amp;"","DOP"))</f>
        <v/>
      </c>
      <c r="O2295" s="20">
        <f>IF(I2295="","",C2295*IF(N2295="USD",TasaUSD,1))</f>
        <v/>
      </c>
      <c r="P2295" s="20">
        <f>IF(I2295="","",IF(I2295="Gasto",O2295,0))</f>
        <v/>
      </c>
      <c r="Q2295" s="20">
        <f>IF(I2295="","",IF(I2295="Ingreso",O2295,0))</f>
        <v/>
      </c>
      <c r="R2295" s="20">
        <f>IF(I2295="","",IF(I2295="Trading",O2295,0))</f>
        <v/>
      </c>
      <c r="S2295" s="19">
        <f>IF(I2295="","",IF(AND(I2295="Gasto",K2295="Variable",J2295&lt;&gt;"Trading",O2295&gt;0,O2295&lt;=Umbral),1,0))</f>
        <v/>
      </c>
      <c r="T2295" s="20">
        <f>IF(OR(I2295="",E2295=""),"",IF(OR(I2295="Gasto",I2295="Transferencia",I2295="Pago tarjeta"),-1,1)*C2295)</f>
        <v/>
      </c>
      <c r="U2295" s="20">
        <f>IF(OR(G2295="",AND(I2295&lt;&gt;"Transferencia",I2295&lt;&gt;"Pago tarjeta")),"",IF(IFERROR(INDEX(ctaMon,MATCH(G2295,ctaNom,0))&amp;"","DOP")=N2295,C2295,IF(N2295="USD",C2295*TasaUSD,C2295/TasaUSD)))</f>
        <v/>
      </c>
      <c r="V2295" s="20">
        <f>IF(I2295="","",IF(IFERROR(INDEX(ctaLiq,MATCH(E2295,ctaNom,0))="Sí",FALSE),IF(OR(I2295="Gasto",I2295="Transferencia",I2295="Pago tarjeta"),-1,1)*O2295,0)+IF(AND(U2295&lt;&gt;"",IFERROR(INDEX(ctaLiq,MATCH(G2295,ctaNom,0))="Sí",FALSE)),O2295,0))</f>
        <v/>
      </c>
      <c r="W2295" s="19">
        <f>IF(OR(F2295="",I2295=""),"",IF(COUNTIFS(F$6:F2295,F2295,I$6:I2295,"?*")=1,MAX(W$5:W2294)+1,""))</f>
        <v/>
      </c>
    </row>
    <row r="2296">
      <c r="B2296" s="15" t="n"/>
      <c r="C2296" s="16" t="n"/>
      <c r="D2296" s="17" t="n"/>
      <c r="E2296" s="17" t="n"/>
      <c r="F2296" s="17" t="n"/>
      <c r="G2296" s="17" t="n"/>
      <c r="H2296" s="18">
        <f>IF(AND(B2296="",C2296="",D2296="",E2296=""),"",IF(B2296="","⚠ Falta fecha",IF(C2296="","⚠ Falta monto",IF(D2296="","⚠ Falta categoría",IF(ISNA(MATCH(D2296,catNom,0)),"⚠ Categoría no existe",IF(E2296="","⚠ Falta cuenta",IF(ISNA(MATCH(E2296,ctaNom,0)),"⚠ Cuenta no existe",IF(AND(OR(I2296="Transferencia",I2296="Pago tarjeta"),G2296=""),"⚠ Indica la cuenta «Hacia»",IF(AND(G2296&lt;&gt;"",G2296=E2296),"⚠ «Hacia» igual a la cuenta",IF(AND(G2296&lt;&gt;"",ISNA(MATCH(G2296,ctaNom,0))),"⚠ «Hacia» no existe",IF(AND(I2296="Pago tarjeta",IFERROR(INDEX(ctaTipo,MATCH(G2296,ctaNom,0)),"")&lt;&gt;"Tarjeta de crédito"),"⚠ «Hacia» debe ser la tarjeta",IF(AND(I2296="Trading",IFERROR(INDEX(ctaTipo,MATCH(E2296,ctaNom,0)),"")&lt;&gt;"Cuenta de trading"),"⚠ Usa la cuenta de trading","✓"))))))))))))</f>
        <v/>
      </c>
      <c r="I2296" s="19">
        <f>IF(OR(B2296="",C2296="",D2296=""),"",IFERROR(INDEX(catTipo,MATCH(D2296,catNom,0))&amp;"",""))</f>
        <v/>
      </c>
      <c r="J2296" s="19">
        <f>IF(I2296="","",IFERROR(INDEX(catGrupo,MATCH(D2296,catNom,0))&amp;"",""))</f>
        <v/>
      </c>
      <c r="K2296" s="19">
        <f>IF(I2296="Gasto",IF(IFERROR(INDEX(catClas,MATCH(D2296,catNom,0))&amp;"","")="","Variable",IFERROR(INDEX(catClas,MATCH(D2296,catNom,0))&amp;"","")),"")</f>
        <v/>
      </c>
      <c r="L2296" s="19">
        <f>IF(I2296="","",IFERROR(INDEX(catAlim,MATCH(D2296,catNom,0))&amp;"",""))</f>
        <v/>
      </c>
      <c r="M2296" s="19">
        <f>IF(I2296="","",IFERROR(INDEX(catComida,MATCH(D2296,catNom,0))&amp;"",""))</f>
        <v/>
      </c>
      <c r="N2296" s="19">
        <f>IF(I2296="","",IFERROR(INDEX(ctaMon,MATCH(E2296,ctaNom,0))&amp;"","DOP"))</f>
        <v/>
      </c>
      <c r="O2296" s="20">
        <f>IF(I2296="","",C2296*IF(N2296="USD",TasaUSD,1))</f>
        <v/>
      </c>
      <c r="P2296" s="20">
        <f>IF(I2296="","",IF(I2296="Gasto",O2296,0))</f>
        <v/>
      </c>
      <c r="Q2296" s="20">
        <f>IF(I2296="","",IF(I2296="Ingreso",O2296,0))</f>
        <v/>
      </c>
      <c r="R2296" s="20">
        <f>IF(I2296="","",IF(I2296="Trading",O2296,0))</f>
        <v/>
      </c>
      <c r="S2296" s="19">
        <f>IF(I2296="","",IF(AND(I2296="Gasto",K2296="Variable",J2296&lt;&gt;"Trading",O2296&gt;0,O2296&lt;=Umbral),1,0))</f>
        <v/>
      </c>
      <c r="T2296" s="20">
        <f>IF(OR(I2296="",E2296=""),"",IF(OR(I2296="Gasto",I2296="Transferencia",I2296="Pago tarjeta"),-1,1)*C2296)</f>
        <v/>
      </c>
      <c r="U2296" s="20">
        <f>IF(OR(G2296="",AND(I2296&lt;&gt;"Transferencia",I2296&lt;&gt;"Pago tarjeta")),"",IF(IFERROR(INDEX(ctaMon,MATCH(G2296,ctaNom,0))&amp;"","DOP")=N2296,C2296,IF(N2296="USD",C2296*TasaUSD,C2296/TasaUSD)))</f>
        <v/>
      </c>
      <c r="V2296" s="20">
        <f>IF(I2296="","",IF(IFERROR(INDEX(ctaLiq,MATCH(E2296,ctaNom,0))="Sí",FALSE),IF(OR(I2296="Gasto",I2296="Transferencia",I2296="Pago tarjeta"),-1,1)*O2296,0)+IF(AND(U2296&lt;&gt;"",IFERROR(INDEX(ctaLiq,MATCH(G2296,ctaNom,0))="Sí",FALSE)),O2296,0))</f>
        <v/>
      </c>
      <c r="W2296" s="19">
        <f>IF(OR(F2296="",I2296=""),"",IF(COUNTIFS(F$6:F2296,F2296,I$6:I2296,"?*")=1,MAX(W$5:W2295)+1,""))</f>
        <v/>
      </c>
    </row>
    <row r="2297">
      <c r="B2297" s="15" t="n"/>
      <c r="C2297" s="16" t="n"/>
      <c r="D2297" s="17" t="n"/>
      <c r="E2297" s="17" t="n"/>
      <c r="F2297" s="17" t="n"/>
      <c r="G2297" s="17" t="n"/>
      <c r="H2297" s="18">
        <f>IF(AND(B2297="",C2297="",D2297="",E2297=""),"",IF(B2297="","⚠ Falta fecha",IF(C2297="","⚠ Falta monto",IF(D2297="","⚠ Falta categoría",IF(ISNA(MATCH(D2297,catNom,0)),"⚠ Categoría no existe",IF(E2297="","⚠ Falta cuenta",IF(ISNA(MATCH(E2297,ctaNom,0)),"⚠ Cuenta no existe",IF(AND(OR(I2297="Transferencia",I2297="Pago tarjeta"),G2297=""),"⚠ Indica la cuenta «Hacia»",IF(AND(G2297&lt;&gt;"",G2297=E2297),"⚠ «Hacia» igual a la cuenta",IF(AND(G2297&lt;&gt;"",ISNA(MATCH(G2297,ctaNom,0))),"⚠ «Hacia» no existe",IF(AND(I2297="Pago tarjeta",IFERROR(INDEX(ctaTipo,MATCH(G2297,ctaNom,0)),"")&lt;&gt;"Tarjeta de crédito"),"⚠ «Hacia» debe ser la tarjeta",IF(AND(I2297="Trading",IFERROR(INDEX(ctaTipo,MATCH(E2297,ctaNom,0)),"")&lt;&gt;"Cuenta de trading"),"⚠ Usa la cuenta de trading","✓"))))))))))))</f>
        <v/>
      </c>
      <c r="I2297" s="19">
        <f>IF(OR(B2297="",C2297="",D2297=""),"",IFERROR(INDEX(catTipo,MATCH(D2297,catNom,0))&amp;"",""))</f>
        <v/>
      </c>
      <c r="J2297" s="19">
        <f>IF(I2297="","",IFERROR(INDEX(catGrupo,MATCH(D2297,catNom,0))&amp;"",""))</f>
        <v/>
      </c>
      <c r="K2297" s="19">
        <f>IF(I2297="Gasto",IF(IFERROR(INDEX(catClas,MATCH(D2297,catNom,0))&amp;"","")="","Variable",IFERROR(INDEX(catClas,MATCH(D2297,catNom,0))&amp;"","")),"")</f>
        <v/>
      </c>
      <c r="L2297" s="19">
        <f>IF(I2297="","",IFERROR(INDEX(catAlim,MATCH(D2297,catNom,0))&amp;"",""))</f>
        <v/>
      </c>
      <c r="M2297" s="19">
        <f>IF(I2297="","",IFERROR(INDEX(catComida,MATCH(D2297,catNom,0))&amp;"",""))</f>
        <v/>
      </c>
      <c r="N2297" s="19">
        <f>IF(I2297="","",IFERROR(INDEX(ctaMon,MATCH(E2297,ctaNom,0))&amp;"","DOP"))</f>
        <v/>
      </c>
      <c r="O2297" s="20">
        <f>IF(I2297="","",C2297*IF(N2297="USD",TasaUSD,1))</f>
        <v/>
      </c>
      <c r="P2297" s="20">
        <f>IF(I2297="","",IF(I2297="Gasto",O2297,0))</f>
        <v/>
      </c>
      <c r="Q2297" s="20">
        <f>IF(I2297="","",IF(I2297="Ingreso",O2297,0))</f>
        <v/>
      </c>
      <c r="R2297" s="20">
        <f>IF(I2297="","",IF(I2297="Trading",O2297,0))</f>
        <v/>
      </c>
      <c r="S2297" s="19">
        <f>IF(I2297="","",IF(AND(I2297="Gasto",K2297="Variable",J2297&lt;&gt;"Trading",O2297&gt;0,O2297&lt;=Umbral),1,0))</f>
        <v/>
      </c>
      <c r="T2297" s="20">
        <f>IF(OR(I2297="",E2297=""),"",IF(OR(I2297="Gasto",I2297="Transferencia",I2297="Pago tarjeta"),-1,1)*C2297)</f>
        <v/>
      </c>
      <c r="U2297" s="20">
        <f>IF(OR(G2297="",AND(I2297&lt;&gt;"Transferencia",I2297&lt;&gt;"Pago tarjeta")),"",IF(IFERROR(INDEX(ctaMon,MATCH(G2297,ctaNom,0))&amp;"","DOP")=N2297,C2297,IF(N2297="USD",C2297*TasaUSD,C2297/TasaUSD)))</f>
        <v/>
      </c>
      <c r="V2297" s="20">
        <f>IF(I2297="","",IF(IFERROR(INDEX(ctaLiq,MATCH(E2297,ctaNom,0))="Sí",FALSE),IF(OR(I2297="Gasto",I2297="Transferencia",I2297="Pago tarjeta"),-1,1)*O2297,0)+IF(AND(U2297&lt;&gt;"",IFERROR(INDEX(ctaLiq,MATCH(G2297,ctaNom,0))="Sí",FALSE)),O2297,0))</f>
        <v/>
      </c>
      <c r="W2297" s="19">
        <f>IF(OR(F2297="",I2297=""),"",IF(COUNTIFS(F$6:F2297,F2297,I$6:I2297,"?*")=1,MAX(W$5:W2296)+1,""))</f>
        <v/>
      </c>
    </row>
    <row r="2298">
      <c r="B2298" s="15" t="n"/>
      <c r="C2298" s="16" t="n"/>
      <c r="D2298" s="17" t="n"/>
      <c r="E2298" s="17" t="n"/>
      <c r="F2298" s="17" t="n"/>
      <c r="G2298" s="17" t="n"/>
      <c r="H2298" s="18">
        <f>IF(AND(B2298="",C2298="",D2298="",E2298=""),"",IF(B2298="","⚠ Falta fecha",IF(C2298="","⚠ Falta monto",IF(D2298="","⚠ Falta categoría",IF(ISNA(MATCH(D2298,catNom,0)),"⚠ Categoría no existe",IF(E2298="","⚠ Falta cuenta",IF(ISNA(MATCH(E2298,ctaNom,0)),"⚠ Cuenta no existe",IF(AND(OR(I2298="Transferencia",I2298="Pago tarjeta"),G2298=""),"⚠ Indica la cuenta «Hacia»",IF(AND(G2298&lt;&gt;"",G2298=E2298),"⚠ «Hacia» igual a la cuenta",IF(AND(G2298&lt;&gt;"",ISNA(MATCH(G2298,ctaNom,0))),"⚠ «Hacia» no existe",IF(AND(I2298="Pago tarjeta",IFERROR(INDEX(ctaTipo,MATCH(G2298,ctaNom,0)),"")&lt;&gt;"Tarjeta de crédito"),"⚠ «Hacia» debe ser la tarjeta",IF(AND(I2298="Trading",IFERROR(INDEX(ctaTipo,MATCH(E2298,ctaNom,0)),"")&lt;&gt;"Cuenta de trading"),"⚠ Usa la cuenta de trading","✓"))))))))))))</f>
        <v/>
      </c>
      <c r="I2298" s="19">
        <f>IF(OR(B2298="",C2298="",D2298=""),"",IFERROR(INDEX(catTipo,MATCH(D2298,catNom,0))&amp;"",""))</f>
        <v/>
      </c>
      <c r="J2298" s="19">
        <f>IF(I2298="","",IFERROR(INDEX(catGrupo,MATCH(D2298,catNom,0))&amp;"",""))</f>
        <v/>
      </c>
      <c r="K2298" s="19">
        <f>IF(I2298="Gasto",IF(IFERROR(INDEX(catClas,MATCH(D2298,catNom,0))&amp;"","")="","Variable",IFERROR(INDEX(catClas,MATCH(D2298,catNom,0))&amp;"","")),"")</f>
        <v/>
      </c>
      <c r="L2298" s="19">
        <f>IF(I2298="","",IFERROR(INDEX(catAlim,MATCH(D2298,catNom,0))&amp;"",""))</f>
        <v/>
      </c>
      <c r="M2298" s="19">
        <f>IF(I2298="","",IFERROR(INDEX(catComida,MATCH(D2298,catNom,0))&amp;"",""))</f>
        <v/>
      </c>
      <c r="N2298" s="19">
        <f>IF(I2298="","",IFERROR(INDEX(ctaMon,MATCH(E2298,ctaNom,0))&amp;"","DOP"))</f>
        <v/>
      </c>
      <c r="O2298" s="20">
        <f>IF(I2298="","",C2298*IF(N2298="USD",TasaUSD,1))</f>
        <v/>
      </c>
      <c r="P2298" s="20">
        <f>IF(I2298="","",IF(I2298="Gasto",O2298,0))</f>
        <v/>
      </c>
      <c r="Q2298" s="20">
        <f>IF(I2298="","",IF(I2298="Ingreso",O2298,0))</f>
        <v/>
      </c>
      <c r="R2298" s="20">
        <f>IF(I2298="","",IF(I2298="Trading",O2298,0))</f>
        <v/>
      </c>
      <c r="S2298" s="19">
        <f>IF(I2298="","",IF(AND(I2298="Gasto",K2298="Variable",J2298&lt;&gt;"Trading",O2298&gt;0,O2298&lt;=Umbral),1,0))</f>
        <v/>
      </c>
      <c r="T2298" s="20">
        <f>IF(OR(I2298="",E2298=""),"",IF(OR(I2298="Gasto",I2298="Transferencia",I2298="Pago tarjeta"),-1,1)*C2298)</f>
        <v/>
      </c>
      <c r="U2298" s="20">
        <f>IF(OR(G2298="",AND(I2298&lt;&gt;"Transferencia",I2298&lt;&gt;"Pago tarjeta")),"",IF(IFERROR(INDEX(ctaMon,MATCH(G2298,ctaNom,0))&amp;"","DOP")=N2298,C2298,IF(N2298="USD",C2298*TasaUSD,C2298/TasaUSD)))</f>
        <v/>
      </c>
      <c r="V2298" s="20">
        <f>IF(I2298="","",IF(IFERROR(INDEX(ctaLiq,MATCH(E2298,ctaNom,0))="Sí",FALSE),IF(OR(I2298="Gasto",I2298="Transferencia",I2298="Pago tarjeta"),-1,1)*O2298,0)+IF(AND(U2298&lt;&gt;"",IFERROR(INDEX(ctaLiq,MATCH(G2298,ctaNom,0))="Sí",FALSE)),O2298,0))</f>
        <v/>
      </c>
      <c r="W2298" s="19">
        <f>IF(OR(F2298="",I2298=""),"",IF(COUNTIFS(F$6:F2298,F2298,I$6:I2298,"?*")=1,MAX(W$5:W2297)+1,""))</f>
        <v/>
      </c>
    </row>
    <row r="2299">
      <c r="B2299" s="15" t="n"/>
      <c r="C2299" s="16" t="n"/>
      <c r="D2299" s="17" t="n"/>
      <c r="E2299" s="17" t="n"/>
      <c r="F2299" s="17" t="n"/>
      <c r="G2299" s="17" t="n"/>
      <c r="H2299" s="18">
        <f>IF(AND(B2299="",C2299="",D2299="",E2299=""),"",IF(B2299="","⚠ Falta fecha",IF(C2299="","⚠ Falta monto",IF(D2299="","⚠ Falta categoría",IF(ISNA(MATCH(D2299,catNom,0)),"⚠ Categoría no existe",IF(E2299="","⚠ Falta cuenta",IF(ISNA(MATCH(E2299,ctaNom,0)),"⚠ Cuenta no existe",IF(AND(OR(I2299="Transferencia",I2299="Pago tarjeta"),G2299=""),"⚠ Indica la cuenta «Hacia»",IF(AND(G2299&lt;&gt;"",G2299=E2299),"⚠ «Hacia» igual a la cuenta",IF(AND(G2299&lt;&gt;"",ISNA(MATCH(G2299,ctaNom,0))),"⚠ «Hacia» no existe",IF(AND(I2299="Pago tarjeta",IFERROR(INDEX(ctaTipo,MATCH(G2299,ctaNom,0)),"")&lt;&gt;"Tarjeta de crédito"),"⚠ «Hacia» debe ser la tarjeta",IF(AND(I2299="Trading",IFERROR(INDEX(ctaTipo,MATCH(E2299,ctaNom,0)),"")&lt;&gt;"Cuenta de trading"),"⚠ Usa la cuenta de trading","✓"))))))))))))</f>
        <v/>
      </c>
      <c r="I2299" s="19">
        <f>IF(OR(B2299="",C2299="",D2299=""),"",IFERROR(INDEX(catTipo,MATCH(D2299,catNom,0))&amp;"",""))</f>
        <v/>
      </c>
      <c r="J2299" s="19">
        <f>IF(I2299="","",IFERROR(INDEX(catGrupo,MATCH(D2299,catNom,0))&amp;"",""))</f>
        <v/>
      </c>
      <c r="K2299" s="19">
        <f>IF(I2299="Gasto",IF(IFERROR(INDEX(catClas,MATCH(D2299,catNom,0))&amp;"","")="","Variable",IFERROR(INDEX(catClas,MATCH(D2299,catNom,0))&amp;"","")),"")</f>
        <v/>
      </c>
      <c r="L2299" s="19">
        <f>IF(I2299="","",IFERROR(INDEX(catAlim,MATCH(D2299,catNom,0))&amp;"",""))</f>
        <v/>
      </c>
      <c r="M2299" s="19">
        <f>IF(I2299="","",IFERROR(INDEX(catComida,MATCH(D2299,catNom,0))&amp;"",""))</f>
        <v/>
      </c>
      <c r="N2299" s="19">
        <f>IF(I2299="","",IFERROR(INDEX(ctaMon,MATCH(E2299,ctaNom,0))&amp;"","DOP"))</f>
        <v/>
      </c>
      <c r="O2299" s="20">
        <f>IF(I2299="","",C2299*IF(N2299="USD",TasaUSD,1))</f>
        <v/>
      </c>
      <c r="P2299" s="20">
        <f>IF(I2299="","",IF(I2299="Gasto",O2299,0))</f>
        <v/>
      </c>
      <c r="Q2299" s="20">
        <f>IF(I2299="","",IF(I2299="Ingreso",O2299,0))</f>
        <v/>
      </c>
      <c r="R2299" s="20">
        <f>IF(I2299="","",IF(I2299="Trading",O2299,0))</f>
        <v/>
      </c>
      <c r="S2299" s="19">
        <f>IF(I2299="","",IF(AND(I2299="Gasto",K2299="Variable",J2299&lt;&gt;"Trading",O2299&gt;0,O2299&lt;=Umbral),1,0))</f>
        <v/>
      </c>
      <c r="T2299" s="20">
        <f>IF(OR(I2299="",E2299=""),"",IF(OR(I2299="Gasto",I2299="Transferencia",I2299="Pago tarjeta"),-1,1)*C2299)</f>
        <v/>
      </c>
      <c r="U2299" s="20">
        <f>IF(OR(G2299="",AND(I2299&lt;&gt;"Transferencia",I2299&lt;&gt;"Pago tarjeta")),"",IF(IFERROR(INDEX(ctaMon,MATCH(G2299,ctaNom,0))&amp;"","DOP")=N2299,C2299,IF(N2299="USD",C2299*TasaUSD,C2299/TasaUSD)))</f>
        <v/>
      </c>
      <c r="V2299" s="20">
        <f>IF(I2299="","",IF(IFERROR(INDEX(ctaLiq,MATCH(E2299,ctaNom,0))="Sí",FALSE),IF(OR(I2299="Gasto",I2299="Transferencia",I2299="Pago tarjeta"),-1,1)*O2299,0)+IF(AND(U2299&lt;&gt;"",IFERROR(INDEX(ctaLiq,MATCH(G2299,ctaNom,0))="Sí",FALSE)),O2299,0))</f>
        <v/>
      </c>
      <c r="W2299" s="19">
        <f>IF(OR(F2299="",I2299=""),"",IF(COUNTIFS(F$6:F2299,F2299,I$6:I2299,"?*")=1,MAX(W$5:W2298)+1,""))</f>
        <v/>
      </c>
    </row>
    <row r="2300">
      <c r="B2300" s="15" t="n"/>
      <c r="C2300" s="16" t="n"/>
      <c r="D2300" s="17" t="n"/>
      <c r="E2300" s="17" t="n"/>
      <c r="F2300" s="17" t="n"/>
      <c r="G2300" s="17" t="n"/>
      <c r="H2300" s="18">
        <f>IF(AND(B2300="",C2300="",D2300="",E2300=""),"",IF(B2300="","⚠ Falta fecha",IF(C2300="","⚠ Falta monto",IF(D2300="","⚠ Falta categoría",IF(ISNA(MATCH(D2300,catNom,0)),"⚠ Categoría no existe",IF(E2300="","⚠ Falta cuenta",IF(ISNA(MATCH(E2300,ctaNom,0)),"⚠ Cuenta no existe",IF(AND(OR(I2300="Transferencia",I2300="Pago tarjeta"),G2300=""),"⚠ Indica la cuenta «Hacia»",IF(AND(G2300&lt;&gt;"",G2300=E2300),"⚠ «Hacia» igual a la cuenta",IF(AND(G2300&lt;&gt;"",ISNA(MATCH(G2300,ctaNom,0))),"⚠ «Hacia» no existe",IF(AND(I2300="Pago tarjeta",IFERROR(INDEX(ctaTipo,MATCH(G2300,ctaNom,0)),"")&lt;&gt;"Tarjeta de crédito"),"⚠ «Hacia» debe ser la tarjeta",IF(AND(I2300="Trading",IFERROR(INDEX(ctaTipo,MATCH(E2300,ctaNom,0)),"")&lt;&gt;"Cuenta de trading"),"⚠ Usa la cuenta de trading","✓"))))))))))))</f>
        <v/>
      </c>
      <c r="I2300" s="19">
        <f>IF(OR(B2300="",C2300="",D2300=""),"",IFERROR(INDEX(catTipo,MATCH(D2300,catNom,0))&amp;"",""))</f>
        <v/>
      </c>
      <c r="J2300" s="19">
        <f>IF(I2300="","",IFERROR(INDEX(catGrupo,MATCH(D2300,catNom,0))&amp;"",""))</f>
        <v/>
      </c>
      <c r="K2300" s="19">
        <f>IF(I2300="Gasto",IF(IFERROR(INDEX(catClas,MATCH(D2300,catNom,0))&amp;"","")="","Variable",IFERROR(INDEX(catClas,MATCH(D2300,catNom,0))&amp;"","")),"")</f>
        <v/>
      </c>
      <c r="L2300" s="19">
        <f>IF(I2300="","",IFERROR(INDEX(catAlim,MATCH(D2300,catNom,0))&amp;"",""))</f>
        <v/>
      </c>
      <c r="M2300" s="19">
        <f>IF(I2300="","",IFERROR(INDEX(catComida,MATCH(D2300,catNom,0))&amp;"",""))</f>
        <v/>
      </c>
      <c r="N2300" s="19">
        <f>IF(I2300="","",IFERROR(INDEX(ctaMon,MATCH(E2300,ctaNom,0))&amp;"","DOP"))</f>
        <v/>
      </c>
      <c r="O2300" s="20">
        <f>IF(I2300="","",C2300*IF(N2300="USD",TasaUSD,1))</f>
        <v/>
      </c>
      <c r="P2300" s="20">
        <f>IF(I2300="","",IF(I2300="Gasto",O2300,0))</f>
        <v/>
      </c>
      <c r="Q2300" s="20">
        <f>IF(I2300="","",IF(I2300="Ingreso",O2300,0))</f>
        <v/>
      </c>
      <c r="R2300" s="20">
        <f>IF(I2300="","",IF(I2300="Trading",O2300,0))</f>
        <v/>
      </c>
      <c r="S2300" s="19">
        <f>IF(I2300="","",IF(AND(I2300="Gasto",K2300="Variable",J2300&lt;&gt;"Trading",O2300&gt;0,O2300&lt;=Umbral),1,0))</f>
        <v/>
      </c>
      <c r="T2300" s="20">
        <f>IF(OR(I2300="",E2300=""),"",IF(OR(I2300="Gasto",I2300="Transferencia",I2300="Pago tarjeta"),-1,1)*C2300)</f>
        <v/>
      </c>
      <c r="U2300" s="20">
        <f>IF(OR(G2300="",AND(I2300&lt;&gt;"Transferencia",I2300&lt;&gt;"Pago tarjeta")),"",IF(IFERROR(INDEX(ctaMon,MATCH(G2300,ctaNom,0))&amp;"","DOP")=N2300,C2300,IF(N2300="USD",C2300*TasaUSD,C2300/TasaUSD)))</f>
        <v/>
      </c>
      <c r="V2300" s="20">
        <f>IF(I2300="","",IF(IFERROR(INDEX(ctaLiq,MATCH(E2300,ctaNom,0))="Sí",FALSE),IF(OR(I2300="Gasto",I2300="Transferencia",I2300="Pago tarjeta"),-1,1)*O2300,0)+IF(AND(U2300&lt;&gt;"",IFERROR(INDEX(ctaLiq,MATCH(G2300,ctaNom,0))="Sí",FALSE)),O2300,0))</f>
        <v/>
      </c>
      <c r="W2300" s="19">
        <f>IF(OR(F2300="",I2300=""),"",IF(COUNTIFS(F$6:F2300,F2300,I$6:I2300,"?*")=1,MAX(W$5:W2299)+1,""))</f>
        <v/>
      </c>
    </row>
    <row r="2301">
      <c r="B2301" s="15" t="n"/>
      <c r="C2301" s="16" t="n"/>
      <c r="D2301" s="17" t="n"/>
      <c r="E2301" s="17" t="n"/>
      <c r="F2301" s="17" t="n"/>
      <c r="G2301" s="17" t="n"/>
      <c r="H2301" s="18">
        <f>IF(AND(B2301="",C2301="",D2301="",E2301=""),"",IF(B2301="","⚠ Falta fecha",IF(C2301="","⚠ Falta monto",IF(D2301="","⚠ Falta categoría",IF(ISNA(MATCH(D2301,catNom,0)),"⚠ Categoría no existe",IF(E2301="","⚠ Falta cuenta",IF(ISNA(MATCH(E2301,ctaNom,0)),"⚠ Cuenta no existe",IF(AND(OR(I2301="Transferencia",I2301="Pago tarjeta"),G2301=""),"⚠ Indica la cuenta «Hacia»",IF(AND(G2301&lt;&gt;"",G2301=E2301),"⚠ «Hacia» igual a la cuenta",IF(AND(G2301&lt;&gt;"",ISNA(MATCH(G2301,ctaNom,0))),"⚠ «Hacia» no existe",IF(AND(I2301="Pago tarjeta",IFERROR(INDEX(ctaTipo,MATCH(G2301,ctaNom,0)),"")&lt;&gt;"Tarjeta de crédito"),"⚠ «Hacia» debe ser la tarjeta",IF(AND(I2301="Trading",IFERROR(INDEX(ctaTipo,MATCH(E2301,ctaNom,0)),"")&lt;&gt;"Cuenta de trading"),"⚠ Usa la cuenta de trading","✓"))))))))))))</f>
        <v/>
      </c>
      <c r="I2301" s="19">
        <f>IF(OR(B2301="",C2301="",D2301=""),"",IFERROR(INDEX(catTipo,MATCH(D2301,catNom,0))&amp;"",""))</f>
        <v/>
      </c>
      <c r="J2301" s="19">
        <f>IF(I2301="","",IFERROR(INDEX(catGrupo,MATCH(D2301,catNom,0))&amp;"",""))</f>
        <v/>
      </c>
      <c r="K2301" s="19">
        <f>IF(I2301="Gasto",IF(IFERROR(INDEX(catClas,MATCH(D2301,catNom,0))&amp;"","")="","Variable",IFERROR(INDEX(catClas,MATCH(D2301,catNom,0))&amp;"","")),"")</f>
        <v/>
      </c>
      <c r="L2301" s="19">
        <f>IF(I2301="","",IFERROR(INDEX(catAlim,MATCH(D2301,catNom,0))&amp;"",""))</f>
        <v/>
      </c>
      <c r="M2301" s="19">
        <f>IF(I2301="","",IFERROR(INDEX(catComida,MATCH(D2301,catNom,0))&amp;"",""))</f>
        <v/>
      </c>
      <c r="N2301" s="19">
        <f>IF(I2301="","",IFERROR(INDEX(ctaMon,MATCH(E2301,ctaNom,0))&amp;"","DOP"))</f>
        <v/>
      </c>
      <c r="O2301" s="20">
        <f>IF(I2301="","",C2301*IF(N2301="USD",TasaUSD,1))</f>
        <v/>
      </c>
      <c r="P2301" s="20">
        <f>IF(I2301="","",IF(I2301="Gasto",O2301,0))</f>
        <v/>
      </c>
      <c r="Q2301" s="20">
        <f>IF(I2301="","",IF(I2301="Ingreso",O2301,0))</f>
        <v/>
      </c>
      <c r="R2301" s="20">
        <f>IF(I2301="","",IF(I2301="Trading",O2301,0))</f>
        <v/>
      </c>
      <c r="S2301" s="19">
        <f>IF(I2301="","",IF(AND(I2301="Gasto",K2301="Variable",J2301&lt;&gt;"Trading",O2301&gt;0,O2301&lt;=Umbral),1,0))</f>
        <v/>
      </c>
      <c r="T2301" s="20">
        <f>IF(OR(I2301="",E2301=""),"",IF(OR(I2301="Gasto",I2301="Transferencia",I2301="Pago tarjeta"),-1,1)*C2301)</f>
        <v/>
      </c>
      <c r="U2301" s="20">
        <f>IF(OR(G2301="",AND(I2301&lt;&gt;"Transferencia",I2301&lt;&gt;"Pago tarjeta")),"",IF(IFERROR(INDEX(ctaMon,MATCH(G2301,ctaNom,0))&amp;"","DOP")=N2301,C2301,IF(N2301="USD",C2301*TasaUSD,C2301/TasaUSD)))</f>
        <v/>
      </c>
      <c r="V2301" s="20">
        <f>IF(I2301="","",IF(IFERROR(INDEX(ctaLiq,MATCH(E2301,ctaNom,0))="Sí",FALSE),IF(OR(I2301="Gasto",I2301="Transferencia",I2301="Pago tarjeta"),-1,1)*O2301,0)+IF(AND(U2301&lt;&gt;"",IFERROR(INDEX(ctaLiq,MATCH(G2301,ctaNom,0))="Sí",FALSE)),O2301,0))</f>
        <v/>
      </c>
      <c r="W2301" s="19">
        <f>IF(OR(F2301="",I2301=""),"",IF(COUNTIFS(F$6:F2301,F2301,I$6:I2301,"?*")=1,MAX(W$5:W2300)+1,""))</f>
        <v/>
      </c>
    </row>
    <row r="2302">
      <c r="B2302" s="15" t="n"/>
      <c r="C2302" s="16" t="n"/>
      <c r="D2302" s="17" t="n"/>
      <c r="E2302" s="17" t="n"/>
      <c r="F2302" s="17" t="n"/>
      <c r="G2302" s="17" t="n"/>
      <c r="H2302" s="18">
        <f>IF(AND(B2302="",C2302="",D2302="",E2302=""),"",IF(B2302="","⚠ Falta fecha",IF(C2302="","⚠ Falta monto",IF(D2302="","⚠ Falta categoría",IF(ISNA(MATCH(D2302,catNom,0)),"⚠ Categoría no existe",IF(E2302="","⚠ Falta cuenta",IF(ISNA(MATCH(E2302,ctaNom,0)),"⚠ Cuenta no existe",IF(AND(OR(I2302="Transferencia",I2302="Pago tarjeta"),G2302=""),"⚠ Indica la cuenta «Hacia»",IF(AND(G2302&lt;&gt;"",G2302=E2302),"⚠ «Hacia» igual a la cuenta",IF(AND(G2302&lt;&gt;"",ISNA(MATCH(G2302,ctaNom,0))),"⚠ «Hacia» no existe",IF(AND(I2302="Pago tarjeta",IFERROR(INDEX(ctaTipo,MATCH(G2302,ctaNom,0)),"")&lt;&gt;"Tarjeta de crédito"),"⚠ «Hacia» debe ser la tarjeta",IF(AND(I2302="Trading",IFERROR(INDEX(ctaTipo,MATCH(E2302,ctaNom,0)),"")&lt;&gt;"Cuenta de trading"),"⚠ Usa la cuenta de trading","✓"))))))))))))</f>
        <v/>
      </c>
      <c r="I2302" s="19">
        <f>IF(OR(B2302="",C2302="",D2302=""),"",IFERROR(INDEX(catTipo,MATCH(D2302,catNom,0))&amp;"",""))</f>
        <v/>
      </c>
      <c r="J2302" s="19">
        <f>IF(I2302="","",IFERROR(INDEX(catGrupo,MATCH(D2302,catNom,0))&amp;"",""))</f>
        <v/>
      </c>
      <c r="K2302" s="19">
        <f>IF(I2302="Gasto",IF(IFERROR(INDEX(catClas,MATCH(D2302,catNom,0))&amp;"","")="","Variable",IFERROR(INDEX(catClas,MATCH(D2302,catNom,0))&amp;"","")),"")</f>
        <v/>
      </c>
      <c r="L2302" s="19">
        <f>IF(I2302="","",IFERROR(INDEX(catAlim,MATCH(D2302,catNom,0))&amp;"",""))</f>
        <v/>
      </c>
      <c r="M2302" s="19">
        <f>IF(I2302="","",IFERROR(INDEX(catComida,MATCH(D2302,catNom,0))&amp;"",""))</f>
        <v/>
      </c>
      <c r="N2302" s="19">
        <f>IF(I2302="","",IFERROR(INDEX(ctaMon,MATCH(E2302,ctaNom,0))&amp;"","DOP"))</f>
        <v/>
      </c>
      <c r="O2302" s="20">
        <f>IF(I2302="","",C2302*IF(N2302="USD",TasaUSD,1))</f>
        <v/>
      </c>
      <c r="P2302" s="20">
        <f>IF(I2302="","",IF(I2302="Gasto",O2302,0))</f>
        <v/>
      </c>
      <c r="Q2302" s="20">
        <f>IF(I2302="","",IF(I2302="Ingreso",O2302,0))</f>
        <v/>
      </c>
      <c r="R2302" s="20">
        <f>IF(I2302="","",IF(I2302="Trading",O2302,0))</f>
        <v/>
      </c>
      <c r="S2302" s="19">
        <f>IF(I2302="","",IF(AND(I2302="Gasto",K2302="Variable",J2302&lt;&gt;"Trading",O2302&gt;0,O2302&lt;=Umbral),1,0))</f>
        <v/>
      </c>
      <c r="T2302" s="20">
        <f>IF(OR(I2302="",E2302=""),"",IF(OR(I2302="Gasto",I2302="Transferencia",I2302="Pago tarjeta"),-1,1)*C2302)</f>
        <v/>
      </c>
      <c r="U2302" s="20">
        <f>IF(OR(G2302="",AND(I2302&lt;&gt;"Transferencia",I2302&lt;&gt;"Pago tarjeta")),"",IF(IFERROR(INDEX(ctaMon,MATCH(G2302,ctaNom,0))&amp;"","DOP")=N2302,C2302,IF(N2302="USD",C2302*TasaUSD,C2302/TasaUSD)))</f>
        <v/>
      </c>
      <c r="V2302" s="20">
        <f>IF(I2302="","",IF(IFERROR(INDEX(ctaLiq,MATCH(E2302,ctaNom,0))="Sí",FALSE),IF(OR(I2302="Gasto",I2302="Transferencia",I2302="Pago tarjeta"),-1,1)*O2302,0)+IF(AND(U2302&lt;&gt;"",IFERROR(INDEX(ctaLiq,MATCH(G2302,ctaNom,0))="Sí",FALSE)),O2302,0))</f>
        <v/>
      </c>
      <c r="W2302" s="19">
        <f>IF(OR(F2302="",I2302=""),"",IF(COUNTIFS(F$6:F2302,F2302,I$6:I2302,"?*")=1,MAX(W$5:W2301)+1,""))</f>
        <v/>
      </c>
    </row>
    <row r="2303">
      <c r="B2303" s="15" t="n"/>
      <c r="C2303" s="16" t="n"/>
      <c r="D2303" s="17" t="n"/>
      <c r="E2303" s="17" t="n"/>
      <c r="F2303" s="17" t="n"/>
      <c r="G2303" s="17" t="n"/>
      <c r="H2303" s="18">
        <f>IF(AND(B2303="",C2303="",D2303="",E2303=""),"",IF(B2303="","⚠ Falta fecha",IF(C2303="","⚠ Falta monto",IF(D2303="","⚠ Falta categoría",IF(ISNA(MATCH(D2303,catNom,0)),"⚠ Categoría no existe",IF(E2303="","⚠ Falta cuenta",IF(ISNA(MATCH(E2303,ctaNom,0)),"⚠ Cuenta no existe",IF(AND(OR(I2303="Transferencia",I2303="Pago tarjeta"),G2303=""),"⚠ Indica la cuenta «Hacia»",IF(AND(G2303&lt;&gt;"",G2303=E2303),"⚠ «Hacia» igual a la cuenta",IF(AND(G2303&lt;&gt;"",ISNA(MATCH(G2303,ctaNom,0))),"⚠ «Hacia» no existe",IF(AND(I2303="Pago tarjeta",IFERROR(INDEX(ctaTipo,MATCH(G2303,ctaNom,0)),"")&lt;&gt;"Tarjeta de crédito"),"⚠ «Hacia» debe ser la tarjeta",IF(AND(I2303="Trading",IFERROR(INDEX(ctaTipo,MATCH(E2303,ctaNom,0)),"")&lt;&gt;"Cuenta de trading"),"⚠ Usa la cuenta de trading","✓"))))))))))))</f>
        <v/>
      </c>
      <c r="I2303" s="19">
        <f>IF(OR(B2303="",C2303="",D2303=""),"",IFERROR(INDEX(catTipo,MATCH(D2303,catNom,0))&amp;"",""))</f>
        <v/>
      </c>
      <c r="J2303" s="19">
        <f>IF(I2303="","",IFERROR(INDEX(catGrupo,MATCH(D2303,catNom,0))&amp;"",""))</f>
        <v/>
      </c>
      <c r="K2303" s="19">
        <f>IF(I2303="Gasto",IF(IFERROR(INDEX(catClas,MATCH(D2303,catNom,0))&amp;"","")="","Variable",IFERROR(INDEX(catClas,MATCH(D2303,catNom,0))&amp;"","")),"")</f>
        <v/>
      </c>
      <c r="L2303" s="19">
        <f>IF(I2303="","",IFERROR(INDEX(catAlim,MATCH(D2303,catNom,0))&amp;"",""))</f>
        <v/>
      </c>
      <c r="M2303" s="19">
        <f>IF(I2303="","",IFERROR(INDEX(catComida,MATCH(D2303,catNom,0))&amp;"",""))</f>
        <v/>
      </c>
      <c r="N2303" s="19">
        <f>IF(I2303="","",IFERROR(INDEX(ctaMon,MATCH(E2303,ctaNom,0))&amp;"","DOP"))</f>
        <v/>
      </c>
      <c r="O2303" s="20">
        <f>IF(I2303="","",C2303*IF(N2303="USD",TasaUSD,1))</f>
        <v/>
      </c>
      <c r="P2303" s="20">
        <f>IF(I2303="","",IF(I2303="Gasto",O2303,0))</f>
        <v/>
      </c>
      <c r="Q2303" s="20">
        <f>IF(I2303="","",IF(I2303="Ingreso",O2303,0))</f>
        <v/>
      </c>
      <c r="R2303" s="20">
        <f>IF(I2303="","",IF(I2303="Trading",O2303,0))</f>
        <v/>
      </c>
      <c r="S2303" s="19">
        <f>IF(I2303="","",IF(AND(I2303="Gasto",K2303="Variable",J2303&lt;&gt;"Trading",O2303&gt;0,O2303&lt;=Umbral),1,0))</f>
        <v/>
      </c>
      <c r="T2303" s="20">
        <f>IF(OR(I2303="",E2303=""),"",IF(OR(I2303="Gasto",I2303="Transferencia",I2303="Pago tarjeta"),-1,1)*C2303)</f>
        <v/>
      </c>
      <c r="U2303" s="20">
        <f>IF(OR(G2303="",AND(I2303&lt;&gt;"Transferencia",I2303&lt;&gt;"Pago tarjeta")),"",IF(IFERROR(INDEX(ctaMon,MATCH(G2303,ctaNom,0))&amp;"","DOP")=N2303,C2303,IF(N2303="USD",C2303*TasaUSD,C2303/TasaUSD)))</f>
        <v/>
      </c>
      <c r="V2303" s="20">
        <f>IF(I2303="","",IF(IFERROR(INDEX(ctaLiq,MATCH(E2303,ctaNom,0))="Sí",FALSE),IF(OR(I2303="Gasto",I2303="Transferencia",I2303="Pago tarjeta"),-1,1)*O2303,0)+IF(AND(U2303&lt;&gt;"",IFERROR(INDEX(ctaLiq,MATCH(G2303,ctaNom,0))="Sí",FALSE)),O2303,0))</f>
        <v/>
      </c>
      <c r="W2303" s="19">
        <f>IF(OR(F2303="",I2303=""),"",IF(COUNTIFS(F$6:F2303,F2303,I$6:I2303,"?*")=1,MAX(W$5:W2302)+1,""))</f>
        <v/>
      </c>
    </row>
    <row r="2304">
      <c r="B2304" s="15" t="n"/>
      <c r="C2304" s="16" t="n"/>
      <c r="D2304" s="17" t="n"/>
      <c r="E2304" s="17" t="n"/>
      <c r="F2304" s="17" t="n"/>
      <c r="G2304" s="17" t="n"/>
      <c r="H2304" s="18">
        <f>IF(AND(B2304="",C2304="",D2304="",E2304=""),"",IF(B2304="","⚠ Falta fecha",IF(C2304="","⚠ Falta monto",IF(D2304="","⚠ Falta categoría",IF(ISNA(MATCH(D2304,catNom,0)),"⚠ Categoría no existe",IF(E2304="","⚠ Falta cuenta",IF(ISNA(MATCH(E2304,ctaNom,0)),"⚠ Cuenta no existe",IF(AND(OR(I2304="Transferencia",I2304="Pago tarjeta"),G2304=""),"⚠ Indica la cuenta «Hacia»",IF(AND(G2304&lt;&gt;"",G2304=E2304),"⚠ «Hacia» igual a la cuenta",IF(AND(G2304&lt;&gt;"",ISNA(MATCH(G2304,ctaNom,0))),"⚠ «Hacia» no existe",IF(AND(I2304="Pago tarjeta",IFERROR(INDEX(ctaTipo,MATCH(G2304,ctaNom,0)),"")&lt;&gt;"Tarjeta de crédito"),"⚠ «Hacia» debe ser la tarjeta",IF(AND(I2304="Trading",IFERROR(INDEX(ctaTipo,MATCH(E2304,ctaNom,0)),"")&lt;&gt;"Cuenta de trading"),"⚠ Usa la cuenta de trading","✓"))))))))))))</f>
        <v/>
      </c>
      <c r="I2304" s="19">
        <f>IF(OR(B2304="",C2304="",D2304=""),"",IFERROR(INDEX(catTipo,MATCH(D2304,catNom,0))&amp;"",""))</f>
        <v/>
      </c>
      <c r="J2304" s="19">
        <f>IF(I2304="","",IFERROR(INDEX(catGrupo,MATCH(D2304,catNom,0))&amp;"",""))</f>
        <v/>
      </c>
      <c r="K2304" s="19">
        <f>IF(I2304="Gasto",IF(IFERROR(INDEX(catClas,MATCH(D2304,catNom,0))&amp;"","")="","Variable",IFERROR(INDEX(catClas,MATCH(D2304,catNom,0))&amp;"","")),"")</f>
        <v/>
      </c>
      <c r="L2304" s="19">
        <f>IF(I2304="","",IFERROR(INDEX(catAlim,MATCH(D2304,catNom,0))&amp;"",""))</f>
        <v/>
      </c>
      <c r="M2304" s="19">
        <f>IF(I2304="","",IFERROR(INDEX(catComida,MATCH(D2304,catNom,0))&amp;"",""))</f>
        <v/>
      </c>
      <c r="N2304" s="19">
        <f>IF(I2304="","",IFERROR(INDEX(ctaMon,MATCH(E2304,ctaNom,0))&amp;"","DOP"))</f>
        <v/>
      </c>
      <c r="O2304" s="20">
        <f>IF(I2304="","",C2304*IF(N2304="USD",TasaUSD,1))</f>
        <v/>
      </c>
      <c r="P2304" s="20">
        <f>IF(I2304="","",IF(I2304="Gasto",O2304,0))</f>
        <v/>
      </c>
      <c r="Q2304" s="20">
        <f>IF(I2304="","",IF(I2304="Ingreso",O2304,0))</f>
        <v/>
      </c>
      <c r="R2304" s="20">
        <f>IF(I2304="","",IF(I2304="Trading",O2304,0))</f>
        <v/>
      </c>
      <c r="S2304" s="19">
        <f>IF(I2304="","",IF(AND(I2304="Gasto",K2304="Variable",J2304&lt;&gt;"Trading",O2304&gt;0,O2304&lt;=Umbral),1,0))</f>
        <v/>
      </c>
      <c r="T2304" s="20">
        <f>IF(OR(I2304="",E2304=""),"",IF(OR(I2304="Gasto",I2304="Transferencia",I2304="Pago tarjeta"),-1,1)*C2304)</f>
        <v/>
      </c>
      <c r="U2304" s="20">
        <f>IF(OR(G2304="",AND(I2304&lt;&gt;"Transferencia",I2304&lt;&gt;"Pago tarjeta")),"",IF(IFERROR(INDEX(ctaMon,MATCH(G2304,ctaNom,0))&amp;"","DOP")=N2304,C2304,IF(N2304="USD",C2304*TasaUSD,C2304/TasaUSD)))</f>
        <v/>
      </c>
      <c r="V2304" s="20">
        <f>IF(I2304="","",IF(IFERROR(INDEX(ctaLiq,MATCH(E2304,ctaNom,0))="Sí",FALSE),IF(OR(I2304="Gasto",I2304="Transferencia",I2304="Pago tarjeta"),-1,1)*O2304,0)+IF(AND(U2304&lt;&gt;"",IFERROR(INDEX(ctaLiq,MATCH(G2304,ctaNom,0))="Sí",FALSE)),O2304,0))</f>
        <v/>
      </c>
      <c r="W2304" s="19">
        <f>IF(OR(F2304="",I2304=""),"",IF(COUNTIFS(F$6:F2304,F2304,I$6:I2304,"?*")=1,MAX(W$5:W2303)+1,""))</f>
        <v/>
      </c>
    </row>
    <row r="2305">
      <c r="B2305" s="15" t="n"/>
      <c r="C2305" s="16" t="n"/>
      <c r="D2305" s="17" t="n"/>
      <c r="E2305" s="17" t="n"/>
      <c r="F2305" s="17" t="n"/>
      <c r="G2305" s="17" t="n"/>
      <c r="H2305" s="18">
        <f>IF(AND(B2305="",C2305="",D2305="",E2305=""),"",IF(B2305="","⚠ Falta fecha",IF(C2305="","⚠ Falta monto",IF(D2305="","⚠ Falta categoría",IF(ISNA(MATCH(D2305,catNom,0)),"⚠ Categoría no existe",IF(E2305="","⚠ Falta cuenta",IF(ISNA(MATCH(E2305,ctaNom,0)),"⚠ Cuenta no existe",IF(AND(OR(I2305="Transferencia",I2305="Pago tarjeta"),G2305=""),"⚠ Indica la cuenta «Hacia»",IF(AND(G2305&lt;&gt;"",G2305=E2305),"⚠ «Hacia» igual a la cuenta",IF(AND(G2305&lt;&gt;"",ISNA(MATCH(G2305,ctaNom,0))),"⚠ «Hacia» no existe",IF(AND(I2305="Pago tarjeta",IFERROR(INDEX(ctaTipo,MATCH(G2305,ctaNom,0)),"")&lt;&gt;"Tarjeta de crédito"),"⚠ «Hacia» debe ser la tarjeta",IF(AND(I2305="Trading",IFERROR(INDEX(ctaTipo,MATCH(E2305,ctaNom,0)),"")&lt;&gt;"Cuenta de trading"),"⚠ Usa la cuenta de trading","✓"))))))))))))</f>
        <v/>
      </c>
      <c r="I2305" s="19">
        <f>IF(OR(B2305="",C2305="",D2305=""),"",IFERROR(INDEX(catTipo,MATCH(D2305,catNom,0))&amp;"",""))</f>
        <v/>
      </c>
      <c r="J2305" s="19">
        <f>IF(I2305="","",IFERROR(INDEX(catGrupo,MATCH(D2305,catNom,0))&amp;"",""))</f>
        <v/>
      </c>
      <c r="K2305" s="19">
        <f>IF(I2305="Gasto",IF(IFERROR(INDEX(catClas,MATCH(D2305,catNom,0))&amp;"","")="","Variable",IFERROR(INDEX(catClas,MATCH(D2305,catNom,0))&amp;"","")),"")</f>
        <v/>
      </c>
      <c r="L2305" s="19">
        <f>IF(I2305="","",IFERROR(INDEX(catAlim,MATCH(D2305,catNom,0))&amp;"",""))</f>
        <v/>
      </c>
      <c r="M2305" s="19">
        <f>IF(I2305="","",IFERROR(INDEX(catComida,MATCH(D2305,catNom,0))&amp;"",""))</f>
        <v/>
      </c>
      <c r="N2305" s="19">
        <f>IF(I2305="","",IFERROR(INDEX(ctaMon,MATCH(E2305,ctaNom,0))&amp;"","DOP"))</f>
        <v/>
      </c>
      <c r="O2305" s="20">
        <f>IF(I2305="","",C2305*IF(N2305="USD",TasaUSD,1))</f>
        <v/>
      </c>
      <c r="P2305" s="20">
        <f>IF(I2305="","",IF(I2305="Gasto",O2305,0))</f>
        <v/>
      </c>
      <c r="Q2305" s="20">
        <f>IF(I2305="","",IF(I2305="Ingreso",O2305,0))</f>
        <v/>
      </c>
      <c r="R2305" s="20">
        <f>IF(I2305="","",IF(I2305="Trading",O2305,0))</f>
        <v/>
      </c>
      <c r="S2305" s="19">
        <f>IF(I2305="","",IF(AND(I2305="Gasto",K2305="Variable",J2305&lt;&gt;"Trading",O2305&gt;0,O2305&lt;=Umbral),1,0))</f>
        <v/>
      </c>
      <c r="T2305" s="20">
        <f>IF(OR(I2305="",E2305=""),"",IF(OR(I2305="Gasto",I2305="Transferencia",I2305="Pago tarjeta"),-1,1)*C2305)</f>
        <v/>
      </c>
      <c r="U2305" s="20">
        <f>IF(OR(G2305="",AND(I2305&lt;&gt;"Transferencia",I2305&lt;&gt;"Pago tarjeta")),"",IF(IFERROR(INDEX(ctaMon,MATCH(G2305,ctaNom,0))&amp;"","DOP")=N2305,C2305,IF(N2305="USD",C2305*TasaUSD,C2305/TasaUSD)))</f>
        <v/>
      </c>
      <c r="V2305" s="20">
        <f>IF(I2305="","",IF(IFERROR(INDEX(ctaLiq,MATCH(E2305,ctaNom,0))="Sí",FALSE),IF(OR(I2305="Gasto",I2305="Transferencia",I2305="Pago tarjeta"),-1,1)*O2305,0)+IF(AND(U2305&lt;&gt;"",IFERROR(INDEX(ctaLiq,MATCH(G2305,ctaNom,0))="Sí",FALSE)),O2305,0))</f>
        <v/>
      </c>
      <c r="W2305" s="19">
        <f>IF(OR(F2305="",I2305=""),"",IF(COUNTIFS(F$6:F2305,F2305,I$6:I2305,"?*")=1,MAX(W$5:W2304)+1,""))</f>
        <v/>
      </c>
    </row>
    <row r="2306">
      <c r="B2306" s="15" t="n"/>
      <c r="C2306" s="16" t="n"/>
      <c r="D2306" s="17" t="n"/>
      <c r="E2306" s="17" t="n"/>
      <c r="F2306" s="17" t="n"/>
      <c r="G2306" s="17" t="n"/>
      <c r="H2306" s="18">
        <f>IF(AND(B2306="",C2306="",D2306="",E2306=""),"",IF(B2306="","⚠ Falta fecha",IF(C2306="","⚠ Falta monto",IF(D2306="","⚠ Falta categoría",IF(ISNA(MATCH(D2306,catNom,0)),"⚠ Categoría no existe",IF(E2306="","⚠ Falta cuenta",IF(ISNA(MATCH(E2306,ctaNom,0)),"⚠ Cuenta no existe",IF(AND(OR(I2306="Transferencia",I2306="Pago tarjeta"),G2306=""),"⚠ Indica la cuenta «Hacia»",IF(AND(G2306&lt;&gt;"",G2306=E2306),"⚠ «Hacia» igual a la cuenta",IF(AND(G2306&lt;&gt;"",ISNA(MATCH(G2306,ctaNom,0))),"⚠ «Hacia» no existe",IF(AND(I2306="Pago tarjeta",IFERROR(INDEX(ctaTipo,MATCH(G2306,ctaNom,0)),"")&lt;&gt;"Tarjeta de crédito"),"⚠ «Hacia» debe ser la tarjeta",IF(AND(I2306="Trading",IFERROR(INDEX(ctaTipo,MATCH(E2306,ctaNom,0)),"")&lt;&gt;"Cuenta de trading"),"⚠ Usa la cuenta de trading","✓"))))))))))))</f>
        <v/>
      </c>
      <c r="I2306" s="19">
        <f>IF(OR(B2306="",C2306="",D2306=""),"",IFERROR(INDEX(catTipo,MATCH(D2306,catNom,0))&amp;"",""))</f>
        <v/>
      </c>
      <c r="J2306" s="19">
        <f>IF(I2306="","",IFERROR(INDEX(catGrupo,MATCH(D2306,catNom,0))&amp;"",""))</f>
        <v/>
      </c>
      <c r="K2306" s="19">
        <f>IF(I2306="Gasto",IF(IFERROR(INDEX(catClas,MATCH(D2306,catNom,0))&amp;"","")="","Variable",IFERROR(INDEX(catClas,MATCH(D2306,catNom,0))&amp;"","")),"")</f>
        <v/>
      </c>
      <c r="L2306" s="19">
        <f>IF(I2306="","",IFERROR(INDEX(catAlim,MATCH(D2306,catNom,0))&amp;"",""))</f>
        <v/>
      </c>
      <c r="M2306" s="19">
        <f>IF(I2306="","",IFERROR(INDEX(catComida,MATCH(D2306,catNom,0))&amp;"",""))</f>
        <v/>
      </c>
      <c r="N2306" s="19">
        <f>IF(I2306="","",IFERROR(INDEX(ctaMon,MATCH(E2306,ctaNom,0))&amp;"","DOP"))</f>
        <v/>
      </c>
      <c r="O2306" s="20">
        <f>IF(I2306="","",C2306*IF(N2306="USD",TasaUSD,1))</f>
        <v/>
      </c>
      <c r="P2306" s="20">
        <f>IF(I2306="","",IF(I2306="Gasto",O2306,0))</f>
        <v/>
      </c>
      <c r="Q2306" s="20">
        <f>IF(I2306="","",IF(I2306="Ingreso",O2306,0))</f>
        <v/>
      </c>
      <c r="R2306" s="20">
        <f>IF(I2306="","",IF(I2306="Trading",O2306,0))</f>
        <v/>
      </c>
      <c r="S2306" s="19">
        <f>IF(I2306="","",IF(AND(I2306="Gasto",K2306="Variable",J2306&lt;&gt;"Trading",O2306&gt;0,O2306&lt;=Umbral),1,0))</f>
        <v/>
      </c>
      <c r="T2306" s="20">
        <f>IF(OR(I2306="",E2306=""),"",IF(OR(I2306="Gasto",I2306="Transferencia",I2306="Pago tarjeta"),-1,1)*C2306)</f>
        <v/>
      </c>
      <c r="U2306" s="20">
        <f>IF(OR(G2306="",AND(I2306&lt;&gt;"Transferencia",I2306&lt;&gt;"Pago tarjeta")),"",IF(IFERROR(INDEX(ctaMon,MATCH(G2306,ctaNom,0))&amp;"","DOP")=N2306,C2306,IF(N2306="USD",C2306*TasaUSD,C2306/TasaUSD)))</f>
        <v/>
      </c>
      <c r="V2306" s="20">
        <f>IF(I2306="","",IF(IFERROR(INDEX(ctaLiq,MATCH(E2306,ctaNom,0))="Sí",FALSE),IF(OR(I2306="Gasto",I2306="Transferencia",I2306="Pago tarjeta"),-1,1)*O2306,0)+IF(AND(U2306&lt;&gt;"",IFERROR(INDEX(ctaLiq,MATCH(G2306,ctaNom,0))="Sí",FALSE)),O2306,0))</f>
        <v/>
      </c>
      <c r="W2306" s="19">
        <f>IF(OR(F2306="",I2306=""),"",IF(COUNTIFS(F$6:F2306,F2306,I$6:I2306,"?*")=1,MAX(W$5:W2305)+1,""))</f>
        <v/>
      </c>
    </row>
    <row r="2307">
      <c r="B2307" s="15" t="n"/>
      <c r="C2307" s="16" t="n"/>
      <c r="D2307" s="17" t="n"/>
      <c r="E2307" s="17" t="n"/>
      <c r="F2307" s="17" t="n"/>
      <c r="G2307" s="17" t="n"/>
      <c r="H2307" s="18">
        <f>IF(AND(B2307="",C2307="",D2307="",E2307=""),"",IF(B2307="","⚠ Falta fecha",IF(C2307="","⚠ Falta monto",IF(D2307="","⚠ Falta categoría",IF(ISNA(MATCH(D2307,catNom,0)),"⚠ Categoría no existe",IF(E2307="","⚠ Falta cuenta",IF(ISNA(MATCH(E2307,ctaNom,0)),"⚠ Cuenta no existe",IF(AND(OR(I2307="Transferencia",I2307="Pago tarjeta"),G2307=""),"⚠ Indica la cuenta «Hacia»",IF(AND(G2307&lt;&gt;"",G2307=E2307),"⚠ «Hacia» igual a la cuenta",IF(AND(G2307&lt;&gt;"",ISNA(MATCH(G2307,ctaNom,0))),"⚠ «Hacia» no existe",IF(AND(I2307="Pago tarjeta",IFERROR(INDEX(ctaTipo,MATCH(G2307,ctaNom,0)),"")&lt;&gt;"Tarjeta de crédito"),"⚠ «Hacia» debe ser la tarjeta",IF(AND(I2307="Trading",IFERROR(INDEX(ctaTipo,MATCH(E2307,ctaNom,0)),"")&lt;&gt;"Cuenta de trading"),"⚠ Usa la cuenta de trading","✓"))))))))))))</f>
        <v/>
      </c>
      <c r="I2307" s="19">
        <f>IF(OR(B2307="",C2307="",D2307=""),"",IFERROR(INDEX(catTipo,MATCH(D2307,catNom,0))&amp;"",""))</f>
        <v/>
      </c>
      <c r="J2307" s="19">
        <f>IF(I2307="","",IFERROR(INDEX(catGrupo,MATCH(D2307,catNom,0))&amp;"",""))</f>
        <v/>
      </c>
      <c r="K2307" s="19">
        <f>IF(I2307="Gasto",IF(IFERROR(INDEX(catClas,MATCH(D2307,catNom,0))&amp;"","")="","Variable",IFERROR(INDEX(catClas,MATCH(D2307,catNom,0))&amp;"","")),"")</f>
        <v/>
      </c>
      <c r="L2307" s="19">
        <f>IF(I2307="","",IFERROR(INDEX(catAlim,MATCH(D2307,catNom,0))&amp;"",""))</f>
        <v/>
      </c>
      <c r="M2307" s="19">
        <f>IF(I2307="","",IFERROR(INDEX(catComida,MATCH(D2307,catNom,0))&amp;"",""))</f>
        <v/>
      </c>
      <c r="N2307" s="19">
        <f>IF(I2307="","",IFERROR(INDEX(ctaMon,MATCH(E2307,ctaNom,0))&amp;"","DOP"))</f>
        <v/>
      </c>
      <c r="O2307" s="20">
        <f>IF(I2307="","",C2307*IF(N2307="USD",TasaUSD,1))</f>
        <v/>
      </c>
      <c r="P2307" s="20">
        <f>IF(I2307="","",IF(I2307="Gasto",O2307,0))</f>
        <v/>
      </c>
      <c r="Q2307" s="20">
        <f>IF(I2307="","",IF(I2307="Ingreso",O2307,0))</f>
        <v/>
      </c>
      <c r="R2307" s="20">
        <f>IF(I2307="","",IF(I2307="Trading",O2307,0))</f>
        <v/>
      </c>
      <c r="S2307" s="19">
        <f>IF(I2307="","",IF(AND(I2307="Gasto",K2307="Variable",J2307&lt;&gt;"Trading",O2307&gt;0,O2307&lt;=Umbral),1,0))</f>
        <v/>
      </c>
      <c r="T2307" s="20">
        <f>IF(OR(I2307="",E2307=""),"",IF(OR(I2307="Gasto",I2307="Transferencia",I2307="Pago tarjeta"),-1,1)*C2307)</f>
        <v/>
      </c>
      <c r="U2307" s="20">
        <f>IF(OR(G2307="",AND(I2307&lt;&gt;"Transferencia",I2307&lt;&gt;"Pago tarjeta")),"",IF(IFERROR(INDEX(ctaMon,MATCH(G2307,ctaNom,0))&amp;"","DOP")=N2307,C2307,IF(N2307="USD",C2307*TasaUSD,C2307/TasaUSD)))</f>
        <v/>
      </c>
      <c r="V2307" s="20">
        <f>IF(I2307="","",IF(IFERROR(INDEX(ctaLiq,MATCH(E2307,ctaNom,0))="Sí",FALSE),IF(OR(I2307="Gasto",I2307="Transferencia",I2307="Pago tarjeta"),-1,1)*O2307,0)+IF(AND(U2307&lt;&gt;"",IFERROR(INDEX(ctaLiq,MATCH(G2307,ctaNom,0))="Sí",FALSE)),O2307,0))</f>
        <v/>
      </c>
      <c r="W2307" s="19">
        <f>IF(OR(F2307="",I2307=""),"",IF(COUNTIFS(F$6:F2307,F2307,I$6:I2307,"?*")=1,MAX(W$5:W2306)+1,""))</f>
        <v/>
      </c>
    </row>
    <row r="2308">
      <c r="B2308" s="15" t="n"/>
      <c r="C2308" s="16" t="n"/>
      <c r="D2308" s="17" t="n"/>
      <c r="E2308" s="17" t="n"/>
      <c r="F2308" s="17" t="n"/>
      <c r="G2308" s="17" t="n"/>
      <c r="H2308" s="18">
        <f>IF(AND(B2308="",C2308="",D2308="",E2308=""),"",IF(B2308="","⚠ Falta fecha",IF(C2308="","⚠ Falta monto",IF(D2308="","⚠ Falta categoría",IF(ISNA(MATCH(D2308,catNom,0)),"⚠ Categoría no existe",IF(E2308="","⚠ Falta cuenta",IF(ISNA(MATCH(E2308,ctaNom,0)),"⚠ Cuenta no existe",IF(AND(OR(I2308="Transferencia",I2308="Pago tarjeta"),G2308=""),"⚠ Indica la cuenta «Hacia»",IF(AND(G2308&lt;&gt;"",G2308=E2308),"⚠ «Hacia» igual a la cuenta",IF(AND(G2308&lt;&gt;"",ISNA(MATCH(G2308,ctaNom,0))),"⚠ «Hacia» no existe",IF(AND(I2308="Pago tarjeta",IFERROR(INDEX(ctaTipo,MATCH(G2308,ctaNom,0)),"")&lt;&gt;"Tarjeta de crédito"),"⚠ «Hacia» debe ser la tarjeta",IF(AND(I2308="Trading",IFERROR(INDEX(ctaTipo,MATCH(E2308,ctaNom,0)),"")&lt;&gt;"Cuenta de trading"),"⚠ Usa la cuenta de trading","✓"))))))))))))</f>
        <v/>
      </c>
      <c r="I2308" s="19">
        <f>IF(OR(B2308="",C2308="",D2308=""),"",IFERROR(INDEX(catTipo,MATCH(D2308,catNom,0))&amp;"",""))</f>
        <v/>
      </c>
      <c r="J2308" s="19">
        <f>IF(I2308="","",IFERROR(INDEX(catGrupo,MATCH(D2308,catNom,0))&amp;"",""))</f>
        <v/>
      </c>
      <c r="K2308" s="19">
        <f>IF(I2308="Gasto",IF(IFERROR(INDEX(catClas,MATCH(D2308,catNom,0))&amp;"","")="","Variable",IFERROR(INDEX(catClas,MATCH(D2308,catNom,0))&amp;"","")),"")</f>
        <v/>
      </c>
      <c r="L2308" s="19">
        <f>IF(I2308="","",IFERROR(INDEX(catAlim,MATCH(D2308,catNom,0))&amp;"",""))</f>
        <v/>
      </c>
      <c r="M2308" s="19">
        <f>IF(I2308="","",IFERROR(INDEX(catComida,MATCH(D2308,catNom,0))&amp;"",""))</f>
        <v/>
      </c>
      <c r="N2308" s="19">
        <f>IF(I2308="","",IFERROR(INDEX(ctaMon,MATCH(E2308,ctaNom,0))&amp;"","DOP"))</f>
        <v/>
      </c>
      <c r="O2308" s="20">
        <f>IF(I2308="","",C2308*IF(N2308="USD",TasaUSD,1))</f>
        <v/>
      </c>
      <c r="P2308" s="20">
        <f>IF(I2308="","",IF(I2308="Gasto",O2308,0))</f>
        <v/>
      </c>
      <c r="Q2308" s="20">
        <f>IF(I2308="","",IF(I2308="Ingreso",O2308,0))</f>
        <v/>
      </c>
      <c r="R2308" s="20">
        <f>IF(I2308="","",IF(I2308="Trading",O2308,0))</f>
        <v/>
      </c>
      <c r="S2308" s="19">
        <f>IF(I2308="","",IF(AND(I2308="Gasto",K2308="Variable",J2308&lt;&gt;"Trading",O2308&gt;0,O2308&lt;=Umbral),1,0))</f>
        <v/>
      </c>
      <c r="T2308" s="20">
        <f>IF(OR(I2308="",E2308=""),"",IF(OR(I2308="Gasto",I2308="Transferencia",I2308="Pago tarjeta"),-1,1)*C2308)</f>
        <v/>
      </c>
      <c r="U2308" s="20">
        <f>IF(OR(G2308="",AND(I2308&lt;&gt;"Transferencia",I2308&lt;&gt;"Pago tarjeta")),"",IF(IFERROR(INDEX(ctaMon,MATCH(G2308,ctaNom,0))&amp;"","DOP")=N2308,C2308,IF(N2308="USD",C2308*TasaUSD,C2308/TasaUSD)))</f>
        <v/>
      </c>
      <c r="V2308" s="20">
        <f>IF(I2308="","",IF(IFERROR(INDEX(ctaLiq,MATCH(E2308,ctaNom,0))="Sí",FALSE),IF(OR(I2308="Gasto",I2308="Transferencia",I2308="Pago tarjeta"),-1,1)*O2308,0)+IF(AND(U2308&lt;&gt;"",IFERROR(INDEX(ctaLiq,MATCH(G2308,ctaNom,0))="Sí",FALSE)),O2308,0))</f>
        <v/>
      </c>
      <c r="W2308" s="19">
        <f>IF(OR(F2308="",I2308=""),"",IF(COUNTIFS(F$6:F2308,F2308,I$6:I2308,"?*")=1,MAX(W$5:W2307)+1,""))</f>
        <v/>
      </c>
    </row>
    <row r="2309">
      <c r="B2309" s="15" t="n"/>
      <c r="C2309" s="16" t="n"/>
      <c r="D2309" s="17" t="n"/>
      <c r="E2309" s="17" t="n"/>
      <c r="F2309" s="17" t="n"/>
      <c r="G2309" s="17" t="n"/>
      <c r="H2309" s="18">
        <f>IF(AND(B2309="",C2309="",D2309="",E2309=""),"",IF(B2309="","⚠ Falta fecha",IF(C2309="","⚠ Falta monto",IF(D2309="","⚠ Falta categoría",IF(ISNA(MATCH(D2309,catNom,0)),"⚠ Categoría no existe",IF(E2309="","⚠ Falta cuenta",IF(ISNA(MATCH(E2309,ctaNom,0)),"⚠ Cuenta no existe",IF(AND(OR(I2309="Transferencia",I2309="Pago tarjeta"),G2309=""),"⚠ Indica la cuenta «Hacia»",IF(AND(G2309&lt;&gt;"",G2309=E2309),"⚠ «Hacia» igual a la cuenta",IF(AND(G2309&lt;&gt;"",ISNA(MATCH(G2309,ctaNom,0))),"⚠ «Hacia» no existe",IF(AND(I2309="Pago tarjeta",IFERROR(INDEX(ctaTipo,MATCH(G2309,ctaNom,0)),"")&lt;&gt;"Tarjeta de crédito"),"⚠ «Hacia» debe ser la tarjeta",IF(AND(I2309="Trading",IFERROR(INDEX(ctaTipo,MATCH(E2309,ctaNom,0)),"")&lt;&gt;"Cuenta de trading"),"⚠ Usa la cuenta de trading","✓"))))))))))))</f>
        <v/>
      </c>
      <c r="I2309" s="19">
        <f>IF(OR(B2309="",C2309="",D2309=""),"",IFERROR(INDEX(catTipo,MATCH(D2309,catNom,0))&amp;"",""))</f>
        <v/>
      </c>
      <c r="J2309" s="19">
        <f>IF(I2309="","",IFERROR(INDEX(catGrupo,MATCH(D2309,catNom,0))&amp;"",""))</f>
        <v/>
      </c>
      <c r="K2309" s="19">
        <f>IF(I2309="Gasto",IF(IFERROR(INDEX(catClas,MATCH(D2309,catNom,0))&amp;"","")="","Variable",IFERROR(INDEX(catClas,MATCH(D2309,catNom,0))&amp;"","")),"")</f>
        <v/>
      </c>
      <c r="L2309" s="19">
        <f>IF(I2309="","",IFERROR(INDEX(catAlim,MATCH(D2309,catNom,0))&amp;"",""))</f>
        <v/>
      </c>
      <c r="M2309" s="19">
        <f>IF(I2309="","",IFERROR(INDEX(catComida,MATCH(D2309,catNom,0))&amp;"",""))</f>
        <v/>
      </c>
      <c r="N2309" s="19">
        <f>IF(I2309="","",IFERROR(INDEX(ctaMon,MATCH(E2309,ctaNom,0))&amp;"","DOP"))</f>
        <v/>
      </c>
      <c r="O2309" s="20">
        <f>IF(I2309="","",C2309*IF(N2309="USD",TasaUSD,1))</f>
        <v/>
      </c>
      <c r="P2309" s="20">
        <f>IF(I2309="","",IF(I2309="Gasto",O2309,0))</f>
        <v/>
      </c>
      <c r="Q2309" s="20">
        <f>IF(I2309="","",IF(I2309="Ingreso",O2309,0))</f>
        <v/>
      </c>
      <c r="R2309" s="20">
        <f>IF(I2309="","",IF(I2309="Trading",O2309,0))</f>
        <v/>
      </c>
      <c r="S2309" s="19">
        <f>IF(I2309="","",IF(AND(I2309="Gasto",K2309="Variable",J2309&lt;&gt;"Trading",O2309&gt;0,O2309&lt;=Umbral),1,0))</f>
        <v/>
      </c>
      <c r="T2309" s="20">
        <f>IF(OR(I2309="",E2309=""),"",IF(OR(I2309="Gasto",I2309="Transferencia",I2309="Pago tarjeta"),-1,1)*C2309)</f>
        <v/>
      </c>
      <c r="U2309" s="20">
        <f>IF(OR(G2309="",AND(I2309&lt;&gt;"Transferencia",I2309&lt;&gt;"Pago tarjeta")),"",IF(IFERROR(INDEX(ctaMon,MATCH(G2309,ctaNom,0))&amp;"","DOP")=N2309,C2309,IF(N2309="USD",C2309*TasaUSD,C2309/TasaUSD)))</f>
        <v/>
      </c>
      <c r="V2309" s="20">
        <f>IF(I2309="","",IF(IFERROR(INDEX(ctaLiq,MATCH(E2309,ctaNom,0))="Sí",FALSE),IF(OR(I2309="Gasto",I2309="Transferencia",I2309="Pago tarjeta"),-1,1)*O2309,0)+IF(AND(U2309&lt;&gt;"",IFERROR(INDEX(ctaLiq,MATCH(G2309,ctaNom,0))="Sí",FALSE)),O2309,0))</f>
        <v/>
      </c>
      <c r="W2309" s="19">
        <f>IF(OR(F2309="",I2309=""),"",IF(COUNTIFS(F$6:F2309,F2309,I$6:I2309,"?*")=1,MAX(W$5:W2308)+1,""))</f>
        <v/>
      </c>
    </row>
    <row r="2310">
      <c r="B2310" s="15" t="n"/>
      <c r="C2310" s="16" t="n"/>
      <c r="D2310" s="17" t="n"/>
      <c r="E2310" s="17" t="n"/>
      <c r="F2310" s="17" t="n"/>
      <c r="G2310" s="17" t="n"/>
      <c r="H2310" s="18">
        <f>IF(AND(B2310="",C2310="",D2310="",E2310=""),"",IF(B2310="","⚠ Falta fecha",IF(C2310="","⚠ Falta monto",IF(D2310="","⚠ Falta categoría",IF(ISNA(MATCH(D2310,catNom,0)),"⚠ Categoría no existe",IF(E2310="","⚠ Falta cuenta",IF(ISNA(MATCH(E2310,ctaNom,0)),"⚠ Cuenta no existe",IF(AND(OR(I2310="Transferencia",I2310="Pago tarjeta"),G2310=""),"⚠ Indica la cuenta «Hacia»",IF(AND(G2310&lt;&gt;"",G2310=E2310),"⚠ «Hacia» igual a la cuenta",IF(AND(G2310&lt;&gt;"",ISNA(MATCH(G2310,ctaNom,0))),"⚠ «Hacia» no existe",IF(AND(I2310="Pago tarjeta",IFERROR(INDEX(ctaTipo,MATCH(G2310,ctaNom,0)),"")&lt;&gt;"Tarjeta de crédito"),"⚠ «Hacia» debe ser la tarjeta",IF(AND(I2310="Trading",IFERROR(INDEX(ctaTipo,MATCH(E2310,ctaNom,0)),"")&lt;&gt;"Cuenta de trading"),"⚠ Usa la cuenta de trading","✓"))))))))))))</f>
        <v/>
      </c>
      <c r="I2310" s="19">
        <f>IF(OR(B2310="",C2310="",D2310=""),"",IFERROR(INDEX(catTipo,MATCH(D2310,catNom,0))&amp;"",""))</f>
        <v/>
      </c>
      <c r="J2310" s="19">
        <f>IF(I2310="","",IFERROR(INDEX(catGrupo,MATCH(D2310,catNom,0))&amp;"",""))</f>
        <v/>
      </c>
      <c r="K2310" s="19">
        <f>IF(I2310="Gasto",IF(IFERROR(INDEX(catClas,MATCH(D2310,catNom,0))&amp;"","")="","Variable",IFERROR(INDEX(catClas,MATCH(D2310,catNom,0))&amp;"","")),"")</f>
        <v/>
      </c>
      <c r="L2310" s="19">
        <f>IF(I2310="","",IFERROR(INDEX(catAlim,MATCH(D2310,catNom,0))&amp;"",""))</f>
        <v/>
      </c>
      <c r="M2310" s="19">
        <f>IF(I2310="","",IFERROR(INDEX(catComida,MATCH(D2310,catNom,0))&amp;"",""))</f>
        <v/>
      </c>
      <c r="N2310" s="19">
        <f>IF(I2310="","",IFERROR(INDEX(ctaMon,MATCH(E2310,ctaNom,0))&amp;"","DOP"))</f>
        <v/>
      </c>
      <c r="O2310" s="20">
        <f>IF(I2310="","",C2310*IF(N2310="USD",TasaUSD,1))</f>
        <v/>
      </c>
      <c r="P2310" s="20">
        <f>IF(I2310="","",IF(I2310="Gasto",O2310,0))</f>
        <v/>
      </c>
      <c r="Q2310" s="20">
        <f>IF(I2310="","",IF(I2310="Ingreso",O2310,0))</f>
        <v/>
      </c>
      <c r="R2310" s="20">
        <f>IF(I2310="","",IF(I2310="Trading",O2310,0))</f>
        <v/>
      </c>
      <c r="S2310" s="19">
        <f>IF(I2310="","",IF(AND(I2310="Gasto",K2310="Variable",J2310&lt;&gt;"Trading",O2310&gt;0,O2310&lt;=Umbral),1,0))</f>
        <v/>
      </c>
      <c r="T2310" s="20">
        <f>IF(OR(I2310="",E2310=""),"",IF(OR(I2310="Gasto",I2310="Transferencia",I2310="Pago tarjeta"),-1,1)*C2310)</f>
        <v/>
      </c>
      <c r="U2310" s="20">
        <f>IF(OR(G2310="",AND(I2310&lt;&gt;"Transferencia",I2310&lt;&gt;"Pago tarjeta")),"",IF(IFERROR(INDEX(ctaMon,MATCH(G2310,ctaNom,0))&amp;"","DOP")=N2310,C2310,IF(N2310="USD",C2310*TasaUSD,C2310/TasaUSD)))</f>
        <v/>
      </c>
      <c r="V2310" s="20">
        <f>IF(I2310="","",IF(IFERROR(INDEX(ctaLiq,MATCH(E2310,ctaNom,0))="Sí",FALSE),IF(OR(I2310="Gasto",I2310="Transferencia",I2310="Pago tarjeta"),-1,1)*O2310,0)+IF(AND(U2310&lt;&gt;"",IFERROR(INDEX(ctaLiq,MATCH(G2310,ctaNom,0))="Sí",FALSE)),O2310,0))</f>
        <v/>
      </c>
      <c r="W2310" s="19">
        <f>IF(OR(F2310="",I2310=""),"",IF(COUNTIFS(F$6:F2310,F2310,I$6:I2310,"?*")=1,MAX(W$5:W2309)+1,""))</f>
        <v/>
      </c>
    </row>
    <row r="2311">
      <c r="B2311" s="15" t="n"/>
      <c r="C2311" s="16" t="n"/>
      <c r="D2311" s="17" t="n"/>
      <c r="E2311" s="17" t="n"/>
      <c r="F2311" s="17" t="n"/>
      <c r="G2311" s="17" t="n"/>
      <c r="H2311" s="18">
        <f>IF(AND(B2311="",C2311="",D2311="",E2311=""),"",IF(B2311="","⚠ Falta fecha",IF(C2311="","⚠ Falta monto",IF(D2311="","⚠ Falta categoría",IF(ISNA(MATCH(D2311,catNom,0)),"⚠ Categoría no existe",IF(E2311="","⚠ Falta cuenta",IF(ISNA(MATCH(E2311,ctaNom,0)),"⚠ Cuenta no existe",IF(AND(OR(I2311="Transferencia",I2311="Pago tarjeta"),G2311=""),"⚠ Indica la cuenta «Hacia»",IF(AND(G2311&lt;&gt;"",G2311=E2311),"⚠ «Hacia» igual a la cuenta",IF(AND(G2311&lt;&gt;"",ISNA(MATCH(G2311,ctaNom,0))),"⚠ «Hacia» no existe",IF(AND(I2311="Pago tarjeta",IFERROR(INDEX(ctaTipo,MATCH(G2311,ctaNom,0)),"")&lt;&gt;"Tarjeta de crédito"),"⚠ «Hacia» debe ser la tarjeta",IF(AND(I2311="Trading",IFERROR(INDEX(ctaTipo,MATCH(E2311,ctaNom,0)),"")&lt;&gt;"Cuenta de trading"),"⚠ Usa la cuenta de trading","✓"))))))))))))</f>
        <v/>
      </c>
      <c r="I2311" s="19">
        <f>IF(OR(B2311="",C2311="",D2311=""),"",IFERROR(INDEX(catTipo,MATCH(D2311,catNom,0))&amp;"",""))</f>
        <v/>
      </c>
      <c r="J2311" s="19">
        <f>IF(I2311="","",IFERROR(INDEX(catGrupo,MATCH(D2311,catNom,0))&amp;"",""))</f>
        <v/>
      </c>
      <c r="K2311" s="19">
        <f>IF(I2311="Gasto",IF(IFERROR(INDEX(catClas,MATCH(D2311,catNom,0))&amp;"","")="","Variable",IFERROR(INDEX(catClas,MATCH(D2311,catNom,0))&amp;"","")),"")</f>
        <v/>
      </c>
      <c r="L2311" s="19">
        <f>IF(I2311="","",IFERROR(INDEX(catAlim,MATCH(D2311,catNom,0))&amp;"",""))</f>
        <v/>
      </c>
      <c r="M2311" s="19">
        <f>IF(I2311="","",IFERROR(INDEX(catComida,MATCH(D2311,catNom,0))&amp;"",""))</f>
        <v/>
      </c>
      <c r="N2311" s="19">
        <f>IF(I2311="","",IFERROR(INDEX(ctaMon,MATCH(E2311,ctaNom,0))&amp;"","DOP"))</f>
        <v/>
      </c>
      <c r="O2311" s="20">
        <f>IF(I2311="","",C2311*IF(N2311="USD",TasaUSD,1))</f>
        <v/>
      </c>
      <c r="P2311" s="20">
        <f>IF(I2311="","",IF(I2311="Gasto",O2311,0))</f>
        <v/>
      </c>
      <c r="Q2311" s="20">
        <f>IF(I2311="","",IF(I2311="Ingreso",O2311,0))</f>
        <v/>
      </c>
      <c r="R2311" s="20">
        <f>IF(I2311="","",IF(I2311="Trading",O2311,0))</f>
        <v/>
      </c>
      <c r="S2311" s="19">
        <f>IF(I2311="","",IF(AND(I2311="Gasto",K2311="Variable",J2311&lt;&gt;"Trading",O2311&gt;0,O2311&lt;=Umbral),1,0))</f>
        <v/>
      </c>
      <c r="T2311" s="20">
        <f>IF(OR(I2311="",E2311=""),"",IF(OR(I2311="Gasto",I2311="Transferencia",I2311="Pago tarjeta"),-1,1)*C2311)</f>
        <v/>
      </c>
      <c r="U2311" s="20">
        <f>IF(OR(G2311="",AND(I2311&lt;&gt;"Transferencia",I2311&lt;&gt;"Pago tarjeta")),"",IF(IFERROR(INDEX(ctaMon,MATCH(G2311,ctaNom,0))&amp;"","DOP")=N2311,C2311,IF(N2311="USD",C2311*TasaUSD,C2311/TasaUSD)))</f>
        <v/>
      </c>
      <c r="V2311" s="20">
        <f>IF(I2311="","",IF(IFERROR(INDEX(ctaLiq,MATCH(E2311,ctaNom,0))="Sí",FALSE),IF(OR(I2311="Gasto",I2311="Transferencia",I2311="Pago tarjeta"),-1,1)*O2311,0)+IF(AND(U2311&lt;&gt;"",IFERROR(INDEX(ctaLiq,MATCH(G2311,ctaNom,0))="Sí",FALSE)),O2311,0))</f>
        <v/>
      </c>
      <c r="W2311" s="19">
        <f>IF(OR(F2311="",I2311=""),"",IF(COUNTIFS(F$6:F2311,F2311,I$6:I2311,"?*")=1,MAX(W$5:W2310)+1,""))</f>
        <v/>
      </c>
    </row>
    <row r="2312">
      <c r="B2312" s="15" t="n"/>
      <c r="C2312" s="16" t="n"/>
      <c r="D2312" s="17" t="n"/>
      <c r="E2312" s="17" t="n"/>
      <c r="F2312" s="17" t="n"/>
      <c r="G2312" s="17" t="n"/>
      <c r="H2312" s="18">
        <f>IF(AND(B2312="",C2312="",D2312="",E2312=""),"",IF(B2312="","⚠ Falta fecha",IF(C2312="","⚠ Falta monto",IF(D2312="","⚠ Falta categoría",IF(ISNA(MATCH(D2312,catNom,0)),"⚠ Categoría no existe",IF(E2312="","⚠ Falta cuenta",IF(ISNA(MATCH(E2312,ctaNom,0)),"⚠ Cuenta no existe",IF(AND(OR(I2312="Transferencia",I2312="Pago tarjeta"),G2312=""),"⚠ Indica la cuenta «Hacia»",IF(AND(G2312&lt;&gt;"",G2312=E2312),"⚠ «Hacia» igual a la cuenta",IF(AND(G2312&lt;&gt;"",ISNA(MATCH(G2312,ctaNom,0))),"⚠ «Hacia» no existe",IF(AND(I2312="Pago tarjeta",IFERROR(INDEX(ctaTipo,MATCH(G2312,ctaNom,0)),"")&lt;&gt;"Tarjeta de crédito"),"⚠ «Hacia» debe ser la tarjeta",IF(AND(I2312="Trading",IFERROR(INDEX(ctaTipo,MATCH(E2312,ctaNom,0)),"")&lt;&gt;"Cuenta de trading"),"⚠ Usa la cuenta de trading","✓"))))))))))))</f>
        <v/>
      </c>
      <c r="I2312" s="19">
        <f>IF(OR(B2312="",C2312="",D2312=""),"",IFERROR(INDEX(catTipo,MATCH(D2312,catNom,0))&amp;"",""))</f>
        <v/>
      </c>
      <c r="J2312" s="19">
        <f>IF(I2312="","",IFERROR(INDEX(catGrupo,MATCH(D2312,catNom,0))&amp;"",""))</f>
        <v/>
      </c>
      <c r="K2312" s="19">
        <f>IF(I2312="Gasto",IF(IFERROR(INDEX(catClas,MATCH(D2312,catNom,0))&amp;"","")="","Variable",IFERROR(INDEX(catClas,MATCH(D2312,catNom,0))&amp;"","")),"")</f>
        <v/>
      </c>
      <c r="L2312" s="19">
        <f>IF(I2312="","",IFERROR(INDEX(catAlim,MATCH(D2312,catNom,0))&amp;"",""))</f>
        <v/>
      </c>
      <c r="M2312" s="19">
        <f>IF(I2312="","",IFERROR(INDEX(catComida,MATCH(D2312,catNom,0))&amp;"",""))</f>
        <v/>
      </c>
      <c r="N2312" s="19">
        <f>IF(I2312="","",IFERROR(INDEX(ctaMon,MATCH(E2312,ctaNom,0))&amp;"","DOP"))</f>
        <v/>
      </c>
      <c r="O2312" s="20">
        <f>IF(I2312="","",C2312*IF(N2312="USD",TasaUSD,1))</f>
        <v/>
      </c>
      <c r="P2312" s="20">
        <f>IF(I2312="","",IF(I2312="Gasto",O2312,0))</f>
        <v/>
      </c>
      <c r="Q2312" s="20">
        <f>IF(I2312="","",IF(I2312="Ingreso",O2312,0))</f>
        <v/>
      </c>
      <c r="R2312" s="20">
        <f>IF(I2312="","",IF(I2312="Trading",O2312,0))</f>
        <v/>
      </c>
      <c r="S2312" s="19">
        <f>IF(I2312="","",IF(AND(I2312="Gasto",K2312="Variable",J2312&lt;&gt;"Trading",O2312&gt;0,O2312&lt;=Umbral),1,0))</f>
        <v/>
      </c>
      <c r="T2312" s="20">
        <f>IF(OR(I2312="",E2312=""),"",IF(OR(I2312="Gasto",I2312="Transferencia",I2312="Pago tarjeta"),-1,1)*C2312)</f>
        <v/>
      </c>
      <c r="U2312" s="20">
        <f>IF(OR(G2312="",AND(I2312&lt;&gt;"Transferencia",I2312&lt;&gt;"Pago tarjeta")),"",IF(IFERROR(INDEX(ctaMon,MATCH(G2312,ctaNom,0))&amp;"","DOP")=N2312,C2312,IF(N2312="USD",C2312*TasaUSD,C2312/TasaUSD)))</f>
        <v/>
      </c>
      <c r="V2312" s="20">
        <f>IF(I2312="","",IF(IFERROR(INDEX(ctaLiq,MATCH(E2312,ctaNom,0))="Sí",FALSE),IF(OR(I2312="Gasto",I2312="Transferencia",I2312="Pago tarjeta"),-1,1)*O2312,0)+IF(AND(U2312&lt;&gt;"",IFERROR(INDEX(ctaLiq,MATCH(G2312,ctaNom,0))="Sí",FALSE)),O2312,0))</f>
        <v/>
      </c>
      <c r="W2312" s="19">
        <f>IF(OR(F2312="",I2312=""),"",IF(COUNTIFS(F$6:F2312,F2312,I$6:I2312,"?*")=1,MAX(W$5:W2311)+1,""))</f>
        <v/>
      </c>
    </row>
    <row r="2313">
      <c r="B2313" s="15" t="n"/>
      <c r="C2313" s="16" t="n"/>
      <c r="D2313" s="17" t="n"/>
      <c r="E2313" s="17" t="n"/>
      <c r="F2313" s="17" t="n"/>
      <c r="G2313" s="17" t="n"/>
      <c r="H2313" s="18">
        <f>IF(AND(B2313="",C2313="",D2313="",E2313=""),"",IF(B2313="","⚠ Falta fecha",IF(C2313="","⚠ Falta monto",IF(D2313="","⚠ Falta categoría",IF(ISNA(MATCH(D2313,catNom,0)),"⚠ Categoría no existe",IF(E2313="","⚠ Falta cuenta",IF(ISNA(MATCH(E2313,ctaNom,0)),"⚠ Cuenta no existe",IF(AND(OR(I2313="Transferencia",I2313="Pago tarjeta"),G2313=""),"⚠ Indica la cuenta «Hacia»",IF(AND(G2313&lt;&gt;"",G2313=E2313),"⚠ «Hacia» igual a la cuenta",IF(AND(G2313&lt;&gt;"",ISNA(MATCH(G2313,ctaNom,0))),"⚠ «Hacia» no existe",IF(AND(I2313="Pago tarjeta",IFERROR(INDEX(ctaTipo,MATCH(G2313,ctaNom,0)),"")&lt;&gt;"Tarjeta de crédito"),"⚠ «Hacia» debe ser la tarjeta",IF(AND(I2313="Trading",IFERROR(INDEX(ctaTipo,MATCH(E2313,ctaNom,0)),"")&lt;&gt;"Cuenta de trading"),"⚠ Usa la cuenta de trading","✓"))))))))))))</f>
        <v/>
      </c>
      <c r="I2313" s="19">
        <f>IF(OR(B2313="",C2313="",D2313=""),"",IFERROR(INDEX(catTipo,MATCH(D2313,catNom,0))&amp;"",""))</f>
        <v/>
      </c>
      <c r="J2313" s="19">
        <f>IF(I2313="","",IFERROR(INDEX(catGrupo,MATCH(D2313,catNom,0))&amp;"",""))</f>
        <v/>
      </c>
      <c r="K2313" s="19">
        <f>IF(I2313="Gasto",IF(IFERROR(INDEX(catClas,MATCH(D2313,catNom,0))&amp;"","")="","Variable",IFERROR(INDEX(catClas,MATCH(D2313,catNom,0))&amp;"","")),"")</f>
        <v/>
      </c>
      <c r="L2313" s="19">
        <f>IF(I2313="","",IFERROR(INDEX(catAlim,MATCH(D2313,catNom,0))&amp;"",""))</f>
        <v/>
      </c>
      <c r="M2313" s="19">
        <f>IF(I2313="","",IFERROR(INDEX(catComida,MATCH(D2313,catNom,0))&amp;"",""))</f>
        <v/>
      </c>
      <c r="N2313" s="19">
        <f>IF(I2313="","",IFERROR(INDEX(ctaMon,MATCH(E2313,ctaNom,0))&amp;"","DOP"))</f>
        <v/>
      </c>
      <c r="O2313" s="20">
        <f>IF(I2313="","",C2313*IF(N2313="USD",TasaUSD,1))</f>
        <v/>
      </c>
      <c r="P2313" s="20">
        <f>IF(I2313="","",IF(I2313="Gasto",O2313,0))</f>
        <v/>
      </c>
      <c r="Q2313" s="20">
        <f>IF(I2313="","",IF(I2313="Ingreso",O2313,0))</f>
        <v/>
      </c>
      <c r="R2313" s="20">
        <f>IF(I2313="","",IF(I2313="Trading",O2313,0))</f>
        <v/>
      </c>
      <c r="S2313" s="19">
        <f>IF(I2313="","",IF(AND(I2313="Gasto",K2313="Variable",J2313&lt;&gt;"Trading",O2313&gt;0,O2313&lt;=Umbral),1,0))</f>
        <v/>
      </c>
      <c r="T2313" s="20">
        <f>IF(OR(I2313="",E2313=""),"",IF(OR(I2313="Gasto",I2313="Transferencia",I2313="Pago tarjeta"),-1,1)*C2313)</f>
        <v/>
      </c>
      <c r="U2313" s="20">
        <f>IF(OR(G2313="",AND(I2313&lt;&gt;"Transferencia",I2313&lt;&gt;"Pago tarjeta")),"",IF(IFERROR(INDEX(ctaMon,MATCH(G2313,ctaNom,0))&amp;"","DOP")=N2313,C2313,IF(N2313="USD",C2313*TasaUSD,C2313/TasaUSD)))</f>
        <v/>
      </c>
      <c r="V2313" s="20">
        <f>IF(I2313="","",IF(IFERROR(INDEX(ctaLiq,MATCH(E2313,ctaNom,0))="Sí",FALSE),IF(OR(I2313="Gasto",I2313="Transferencia",I2313="Pago tarjeta"),-1,1)*O2313,0)+IF(AND(U2313&lt;&gt;"",IFERROR(INDEX(ctaLiq,MATCH(G2313,ctaNom,0))="Sí",FALSE)),O2313,0))</f>
        <v/>
      </c>
      <c r="W2313" s="19">
        <f>IF(OR(F2313="",I2313=""),"",IF(COUNTIFS(F$6:F2313,F2313,I$6:I2313,"?*")=1,MAX(W$5:W2312)+1,""))</f>
        <v/>
      </c>
    </row>
    <row r="2314">
      <c r="B2314" s="15" t="n"/>
      <c r="C2314" s="16" t="n"/>
      <c r="D2314" s="17" t="n"/>
      <c r="E2314" s="17" t="n"/>
      <c r="F2314" s="17" t="n"/>
      <c r="G2314" s="17" t="n"/>
      <c r="H2314" s="18">
        <f>IF(AND(B2314="",C2314="",D2314="",E2314=""),"",IF(B2314="","⚠ Falta fecha",IF(C2314="","⚠ Falta monto",IF(D2314="","⚠ Falta categoría",IF(ISNA(MATCH(D2314,catNom,0)),"⚠ Categoría no existe",IF(E2314="","⚠ Falta cuenta",IF(ISNA(MATCH(E2314,ctaNom,0)),"⚠ Cuenta no existe",IF(AND(OR(I2314="Transferencia",I2314="Pago tarjeta"),G2314=""),"⚠ Indica la cuenta «Hacia»",IF(AND(G2314&lt;&gt;"",G2314=E2314),"⚠ «Hacia» igual a la cuenta",IF(AND(G2314&lt;&gt;"",ISNA(MATCH(G2314,ctaNom,0))),"⚠ «Hacia» no existe",IF(AND(I2314="Pago tarjeta",IFERROR(INDEX(ctaTipo,MATCH(G2314,ctaNom,0)),"")&lt;&gt;"Tarjeta de crédito"),"⚠ «Hacia» debe ser la tarjeta",IF(AND(I2314="Trading",IFERROR(INDEX(ctaTipo,MATCH(E2314,ctaNom,0)),"")&lt;&gt;"Cuenta de trading"),"⚠ Usa la cuenta de trading","✓"))))))))))))</f>
        <v/>
      </c>
      <c r="I2314" s="19">
        <f>IF(OR(B2314="",C2314="",D2314=""),"",IFERROR(INDEX(catTipo,MATCH(D2314,catNom,0))&amp;"",""))</f>
        <v/>
      </c>
      <c r="J2314" s="19">
        <f>IF(I2314="","",IFERROR(INDEX(catGrupo,MATCH(D2314,catNom,0))&amp;"",""))</f>
        <v/>
      </c>
      <c r="K2314" s="19">
        <f>IF(I2314="Gasto",IF(IFERROR(INDEX(catClas,MATCH(D2314,catNom,0))&amp;"","")="","Variable",IFERROR(INDEX(catClas,MATCH(D2314,catNom,0))&amp;"","")),"")</f>
        <v/>
      </c>
      <c r="L2314" s="19">
        <f>IF(I2314="","",IFERROR(INDEX(catAlim,MATCH(D2314,catNom,0))&amp;"",""))</f>
        <v/>
      </c>
      <c r="M2314" s="19">
        <f>IF(I2314="","",IFERROR(INDEX(catComida,MATCH(D2314,catNom,0))&amp;"",""))</f>
        <v/>
      </c>
      <c r="N2314" s="19">
        <f>IF(I2314="","",IFERROR(INDEX(ctaMon,MATCH(E2314,ctaNom,0))&amp;"","DOP"))</f>
        <v/>
      </c>
      <c r="O2314" s="20">
        <f>IF(I2314="","",C2314*IF(N2314="USD",TasaUSD,1))</f>
        <v/>
      </c>
      <c r="P2314" s="20">
        <f>IF(I2314="","",IF(I2314="Gasto",O2314,0))</f>
        <v/>
      </c>
      <c r="Q2314" s="20">
        <f>IF(I2314="","",IF(I2314="Ingreso",O2314,0))</f>
        <v/>
      </c>
      <c r="R2314" s="20">
        <f>IF(I2314="","",IF(I2314="Trading",O2314,0))</f>
        <v/>
      </c>
      <c r="S2314" s="19">
        <f>IF(I2314="","",IF(AND(I2314="Gasto",K2314="Variable",J2314&lt;&gt;"Trading",O2314&gt;0,O2314&lt;=Umbral),1,0))</f>
        <v/>
      </c>
      <c r="T2314" s="20">
        <f>IF(OR(I2314="",E2314=""),"",IF(OR(I2314="Gasto",I2314="Transferencia",I2314="Pago tarjeta"),-1,1)*C2314)</f>
        <v/>
      </c>
      <c r="U2314" s="20">
        <f>IF(OR(G2314="",AND(I2314&lt;&gt;"Transferencia",I2314&lt;&gt;"Pago tarjeta")),"",IF(IFERROR(INDEX(ctaMon,MATCH(G2314,ctaNom,0))&amp;"","DOP")=N2314,C2314,IF(N2314="USD",C2314*TasaUSD,C2314/TasaUSD)))</f>
        <v/>
      </c>
      <c r="V2314" s="20">
        <f>IF(I2314="","",IF(IFERROR(INDEX(ctaLiq,MATCH(E2314,ctaNom,0))="Sí",FALSE),IF(OR(I2314="Gasto",I2314="Transferencia",I2314="Pago tarjeta"),-1,1)*O2314,0)+IF(AND(U2314&lt;&gt;"",IFERROR(INDEX(ctaLiq,MATCH(G2314,ctaNom,0))="Sí",FALSE)),O2314,0))</f>
        <v/>
      </c>
      <c r="W2314" s="19">
        <f>IF(OR(F2314="",I2314=""),"",IF(COUNTIFS(F$6:F2314,F2314,I$6:I2314,"?*")=1,MAX(W$5:W2313)+1,""))</f>
        <v/>
      </c>
    </row>
    <row r="2315">
      <c r="B2315" s="15" t="n"/>
      <c r="C2315" s="16" t="n"/>
      <c r="D2315" s="17" t="n"/>
      <c r="E2315" s="17" t="n"/>
      <c r="F2315" s="17" t="n"/>
      <c r="G2315" s="17" t="n"/>
      <c r="H2315" s="18">
        <f>IF(AND(B2315="",C2315="",D2315="",E2315=""),"",IF(B2315="","⚠ Falta fecha",IF(C2315="","⚠ Falta monto",IF(D2315="","⚠ Falta categoría",IF(ISNA(MATCH(D2315,catNom,0)),"⚠ Categoría no existe",IF(E2315="","⚠ Falta cuenta",IF(ISNA(MATCH(E2315,ctaNom,0)),"⚠ Cuenta no existe",IF(AND(OR(I2315="Transferencia",I2315="Pago tarjeta"),G2315=""),"⚠ Indica la cuenta «Hacia»",IF(AND(G2315&lt;&gt;"",G2315=E2315),"⚠ «Hacia» igual a la cuenta",IF(AND(G2315&lt;&gt;"",ISNA(MATCH(G2315,ctaNom,0))),"⚠ «Hacia» no existe",IF(AND(I2315="Pago tarjeta",IFERROR(INDEX(ctaTipo,MATCH(G2315,ctaNom,0)),"")&lt;&gt;"Tarjeta de crédito"),"⚠ «Hacia» debe ser la tarjeta",IF(AND(I2315="Trading",IFERROR(INDEX(ctaTipo,MATCH(E2315,ctaNom,0)),"")&lt;&gt;"Cuenta de trading"),"⚠ Usa la cuenta de trading","✓"))))))))))))</f>
        <v/>
      </c>
      <c r="I2315" s="19">
        <f>IF(OR(B2315="",C2315="",D2315=""),"",IFERROR(INDEX(catTipo,MATCH(D2315,catNom,0))&amp;"",""))</f>
        <v/>
      </c>
      <c r="J2315" s="19">
        <f>IF(I2315="","",IFERROR(INDEX(catGrupo,MATCH(D2315,catNom,0))&amp;"",""))</f>
        <v/>
      </c>
      <c r="K2315" s="19">
        <f>IF(I2315="Gasto",IF(IFERROR(INDEX(catClas,MATCH(D2315,catNom,0))&amp;"","")="","Variable",IFERROR(INDEX(catClas,MATCH(D2315,catNom,0))&amp;"","")),"")</f>
        <v/>
      </c>
      <c r="L2315" s="19">
        <f>IF(I2315="","",IFERROR(INDEX(catAlim,MATCH(D2315,catNom,0))&amp;"",""))</f>
        <v/>
      </c>
      <c r="M2315" s="19">
        <f>IF(I2315="","",IFERROR(INDEX(catComida,MATCH(D2315,catNom,0))&amp;"",""))</f>
        <v/>
      </c>
      <c r="N2315" s="19">
        <f>IF(I2315="","",IFERROR(INDEX(ctaMon,MATCH(E2315,ctaNom,0))&amp;"","DOP"))</f>
        <v/>
      </c>
      <c r="O2315" s="20">
        <f>IF(I2315="","",C2315*IF(N2315="USD",TasaUSD,1))</f>
        <v/>
      </c>
      <c r="P2315" s="20">
        <f>IF(I2315="","",IF(I2315="Gasto",O2315,0))</f>
        <v/>
      </c>
      <c r="Q2315" s="20">
        <f>IF(I2315="","",IF(I2315="Ingreso",O2315,0))</f>
        <v/>
      </c>
      <c r="R2315" s="20">
        <f>IF(I2315="","",IF(I2315="Trading",O2315,0))</f>
        <v/>
      </c>
      <c r="S2315" s="19">
        <f>IF(I2315="","",IF(AND(I2315="Gasto",K2315="Variable",J2315&lt;&gt;"Trading",O2315&gt;0,O2315&lt;=Umbral),1,0))</f>
        <v/>
      </c>
      <c r="T2315" s="20">
        <f>IF(OR(I2315="",E2315=""),"",IF(OR(I2315="Gasto",I2315="Transferencia",I2315="Pago tarjeta"),-1,1)*C2315)</f>
        <v/>
      </c>
      <c r="U2315" s="20">
        <f>IF(OR(G2315="",AND(I2315&lt;&gt;"Transferencia",I2315&lt;&gt;"Pago tarjeta")),"",IF(IFERROR(INDEX(ctaMon,MATCH(G2315,ctaNom,0))&amp;"","DOP")=N2315,C2315,IF(N2315="USD",C2315*TasaUSD,C2315/TasaUSD)))</f>
        <v/>
      </c>
      <c r="V2315" s="20">
        <f>IF(I2315="","",IF(IFERROR(INDEX(ctaLiq,MATCH(E2315,ctaNom,0))="Sí",FALSE),IF(OR(I2315="Gasto",I2315="Transferencia",I2315="Pago tarjeta"),-1,1)*O2315,0)+IF(AND(U2315&lt;&gt;"",IFERROR(INDEX(ctaLiq,MATCH(G2315,ctaNom,0))="Sí",FALSE)),O2315,0))</f>
        <v/>
      </c>
      <c r="W2315" s="19">
        <f>IF(OR(F2315="",I2315=""),"",IF(COUNTIFS(F$6:F2315,F2315,I$6:I2315,"?*")=1,MAX(W$5:W2314)+1,""))</f>
        <v/>
      </c>
    </row>
    <row r="2316">
      <c r="B2316" s="15" t="n"/>
      <c r="C2316" s="16" t="n"/>
      <c r="D2316" s="17" t="n"/>
      <c r="E2316" s="17" t="n"/>
      <c r="F2316" s="17" t="n"/>
      <c r="G2316" s="17" t="n"/>
      <c r="H2316" s="18">
        <f>IF(AND(B2316="",C2316="",D2316="",E2316=""),"",IF(B2316="","⚠ Falta fecha",IF(C2316="","⚠ Falta monto",IF(D2316="","⚠ Falta categoría",IF(ISNA(MATCH(D2316,catNom,0)),"⚠ Categoría no existe",IF(E2316="","⚠ Falta cuenta",IF(ISNA(MATCH(E2316,ctaNom,0)),"⚠ Cuenta no existe",IF(AND(OR(I2316="Transferencia",I2316="Pago tarjeta"),G2316=""),"⚠ Indica la cuenta «Hacia»",IF(AND(G2316&lt;&gt;"",G2316=E2316),"⚠ «Hacia» igual a la cuenta",IF(AND(G2316&lt;&gt;"",ISNA(MATCH(G2316,ctaNom,0))),"⚠ «Hacia» no existe",IF(AND(I2316="Pago tarjeta",IFERROR(INDEX(ctaTipo,MATCH(G2316,ctaNom,0)),"")&lt;&gt;"Tarjeta de crédito"),"⚠ «Hacia» debe ser la tarjeta",IF(AND(I2316="Trading",IFERROR(INDEX(ctaTipo,MATCH(E2316,ctaNom,0)),"")&lt;&gt;"Cuenta de trading"),"⚠ Usa la cuenta de trading","✓"))))))))))))</f>
        <v/>
      </c>
      <c r="I2316" s="19">
        <f>IF(OR(B2316="",C2316="",D2316=""),"",IFERROR(INDEX(catTipo,MATCH(D2316,catNom,0))&amp;"",""))</f>
        <v/>
      </c>
      <c r="J2316" s="19">
        <f>IF(I2316="","",IFERROR(INDEX(catGrupo,MATCH(D2316,catNom,0))&amp;"",""))</f>
        <v/>
      </c>
      <c r="K2316" s="19">
        <f>IF(I2316="Gasto",IF(IFERROR(INDEX(catClas,MATCH(D2316,catNom,0))&amp;"","")="","Variable",IFERROR(INDEX(catClas,MATCH(D2316,catNom,0))&amp;"","")),"")</f>
        <v/>
      </c>
      <c r="L2316" s="19">
        <f>IF(I2316="","",IFERROR(INDEX(catAlim,MATCH(D2316,catNom,0))&amp;"",""))</f>
        <v/>
      </c>
      <c r="M2316" s="19">
        <f>IF(I2316="","",IFERROR(INDEX(catComida,MATCH(D2316,catNom,0))&amp;"",""))</f>
        <v/>
      </c>
      <c r="N2316" s="19">
        <f>IF(I2316="","",IFERROR(INDEX(ctaMon,MATCH(E2316,ctaNom,0))&amp;"","DOP"))</f>
        <v/>
      </c>
      <c r="O2316" s="20">
        <f>IF(I2316="","",C2316*IF(N2316="USD",TasaUSD,1))</f>
        <v/>
      </c>
      <c r="P2316" s="20">
        <f>IF(I2316="","",IF(I2316="Gasto",O2316,0))</f>
        <v/>
      </c>
      <c r="Q2316" s="20">
        <f>IF(I2316="","",IF(I2316="Ingreso",O2316,0))</f>
        <v/>
      </c>
      <c r="R2316" s="20">
        <f>IF(I2316="","",IF(I2316="Trading",O2316,0))</f>
        <v/>
      </c>
      <c r="S2316" s="19">
        <f>IF(I2316="","",IF(AND(I2316="Gasto",K2316="Variable",J2316&lt;&gt;"Trading",O2316&gt;0,O2316&lt;=Umbral),1,0))</f>
        <v/>
      </c>
      <c r="T2316" s="20">
        <f>IF(OR(I2316="",E2316=""),"",IF(OR(I2316="Gasto",I2316="Transferencia",I2316="Pago tarjeta"),-1,1)*C2316)</f>
        <v/>
      </c>
      <c r="U2316" s="20">
        <f>IF(OR(G2316="",AND(I2316&lt;&gt;"Transferencia",I2316&lt;&gt;"Pago tarjeta")),"",IF(IFERROR(INDEX(ctaMon,MATCH(G2316,ctaNom,0))&amp;"","DOP")=N2316,C2316,IF(N2316="USD",C2316*TasaUSD,C2316/TasaUSD)))</f>
        <v/>
      </c>
      <c r="V2316" s="20">
        <f>IF(I2316="","",IF(IFERROR(INDEX(ctaLiq,MATCH(E2316,ctaNom,0))="Sí",FALSE),IF(OR(I2316="Gasto",I2316="Transferencia",I2316="Pago tarjeta"),-1,1)*O2316,0)+IF(AND(U2316&lt;&gt;"",IFERROR(INDEX(ctaLiq,MATCH(G2316,ctaNom,0))="Sí",FALSE)),O2316,0))</f>
        <v/>
      </c>
      <c r="W2316" s="19">
        <f>IF(OR(F2316="",I2316=""),"",IF(COUNTIFS(F$6:F2316,F2316,I$6:I2316,"?*")=1,MAX(W$5:W2315)+1,""))</f>
        <v/>
      </c>
    </row>
    <row r="2317">
      <c r="B2317" s="15" t="n"/>
      <c r="C2317" s="16" t="n"/>
      <c r="D2317" s="17" t="n"/>
      <c r="E2317" s="17" t="n"/>
      <c r="F2317" s="17" t="n"/>
      <c r="G2317" s="17" t="n"/>
      <c r="H2317" s="18">
        <f>IF(AND(B2317="",C2317="",D2317="",E2317=""),"",IF(B2317="","⚠ Falta fecha",IF(C2317="","⚠ Falta monto",IF(D2317="","⚠ Falta categoría",IF(ISNA(MATCH(D2317,catNom,0)),"⚠ Categoría no existe",IF(E2317="","⚠ Falta cuenta",IF(ISNA(MATCH(E2317,ctaNom,0)),"⚠ Cuenta no existe",IF(AND(OR(I2317="Transferencia",I2317="Pago tarjeta"),G2317=""),"⚠ Indica la cuenta «Hacia»",IF(AND(G2317&lt;&gt;"",G2317=E2317),"⚠ «Hacia» igual a la cuenta",IF(AND(G2317&lt;&gt;"",ISNA(MATCH(G2317,ctaNom,0))),"⚠ «Hacia» no existe",IF(AND(I2317="Pago tarjeta",IFERROR(INDEX(ctaTipo,MATCH(G2317,ctaNom,0)),"")&lt;&gt;"Tarjeta de crédito"),"⚠ «Hacia» debe ser la tarjeta",IF(AND(I2317="Trading",IFERROR(INDEX(ctaTipo,MATCH(E2317,ctaNom,0)),"")&lt;&gt;"Cuenta de trading"),"⚠ Usa la cuenta de trading","✓"))))))))))))</f>
        <v/>
      </c>
      <c r="I2317" s="19">
        <f>IF(OR(B2317="",C2317="",D2317=""),"",IFERROR(INDEX(catTipo,MATCH(D2317,catNom,0))&amp;"",""))</f>
        <v/>
      </c>
      <c r="J2317" s="19">
        <f>IF(I2317="","",IFERROR(INDEX(catGrupo,MATCH(D2317,catNom,0))&amp;"",""))</f>
        <v/>
      </c>
      <c r="K2317" s="19">
        <f>IF(I2317="Gasto",IF(IFERROR(INDEX(catClas,MATCH(D2317,catNom,0))&amp;"","")="","Variable",IFERROR(INDEX(catClas,MATCH(D2317,catNom,0))&amp;"","")),"")</f>
        <v/>
      </c>
      <c r="L2317" s="19">
        <f>IF(I2317="","",IFERROR(INDEX(catAlim,MATCH(D2317,catNom,0))&amp;"",""))</f>
        <v/>
      </c>
      <c r="M2317" s="19">
        <f>IF(I2317="","",IFERROR(INDEX(catComida,MATCH(D2317,catNom,0))&amp;"",""))</f>
        <v/>
      </c>
      <c r="N2317" s="19">
        <f>IF(I2317="","",IFERROR(INDEX(ctaMon,MATCH(E2317,ctaNom,0))&amp;"","DOP"))</f>
        <v/>
      </c>
      <c r="O2317" s="20">
        <f>IF(I2317="","",C2317*IF(N2317="USD",TasaUSD,1))</f>
        <v/>
      </c>
      <c r="P2317" s="20">
        <f>IF(I2317="","",IF(I2317="Gasto",O2317,0))</f>
        <v/>
      </c>
      <c r="Q2317" s="20">
        <f>IF(I2317="","",IF(I2317="Ingreso",O2317,0))</f>
        <v/>
      </c>
      <c r="R2317" s="20">
        <f>IF(I2317="","",IF(I2317="Trading",O2317,0))</f>
        <v/>
      </c>
      <c r="S2317" s="19">
        <f>IF(I2317="","",IF(AND(I2317="Gasto",K2317="Variable",J2317&lt;&gt;"Trading",O2317&gt;0,O2317&lt;=Umbral),1,0))</f>
        <v/>
      </c>
      <c r="T2317" s="20">
        <f>IF(OR(I2317="",E2317=""),"",IF(OR(I2317="Gasto",I2317="Transferencia",I2317="Pago tarjeta"),-1,1)*C2317)</f>
        <v/>
      </c>
      <c r="U2317" s="20">
        <f>IF(OR(G2317="",AND(I2317&lt;&gt;"Transferencia",I2317&lt;&gt;"Pago tarjeta")),"",IF(IFERROR(INDEX(ctaMon,MATCH(G2317,ctaNom,0))&amp;"","DOP")=N2317,C2317,IF(N2317="USD",C2317*TasaUSD,C2317/TasaUSD)))</f>
        <v/>
      </c>
      <c r="V2317" s="20">
        <f>IF(I2317="","",IF(IFERROR(INDEX(ctaLiq,MATCH(E2317,ctaNom,0))="Sí",FALSE),IF(OR(I2317="Gasto",I2317="Transferencia",I2317="Pago tarjeta"),-1,1)*O2317,0)+IF(AND(U2317&lt;&gt;"",IFERROR(INDEX(ctaLiq,MATCH(G2317,ctaNom,0))="Sí",FALSE)),O2317,0))</f>
        <v/>
      </c>
      <c r="W2317" s="19">
        <f>IF(OR(F2317="",I2317=""),"",IF(COUNTIFS(F$6:F2317,F2317,I$6:I2317,"?*")=1,MAX(W$5:W2316)+1,""))</f>
        <v/>
      </c>
    </row>
    <row r="2318">
      <c r="B2318" s="15" t="n"/>
      <c r="C2318" s="16" t="n"/>
      <c r="D2318" s="17" t="n"/>
      <c r="E2318" s="17" t="n"/>
      <c r="F2318" s="17" t="n"/>
      <c r="G2318" s="17" t="n"/>
      <c r="H2318" s="18">
        <f>IF(AND(B2318="",C2318="",D2318="",E2318=""),"",IF(B2318="","⚠ Falta fecha",IF(C2318="","⚠ Falta monto",IF(D2318="","⚠ Falta categoría",IF(ISNA(MATCH(D2318,catNom,0)),"⚠ Categoría no existe",IF(E2318="","⚠ Falta cuenta",IF(ISNA(MATCH(E2318,ctaNom,0)),"⚠ Cuenta no existe",IF(AND(OR(I2318="Transferencia",I2318="Pago tarjeta"),G2318=""),"⚠ Indica la cuenta «Hacia»",IF(AND(G2318&lt;&gt;"",G2318=E2318),"⚠ «Hacia» igual a la cuenta",IF(AND(G2318&lt;&gt;"",ISNA(MATCH(G2318,ctaNom,0))),"⚠ «Hacia» no existe",IF(AND(I2318="Pago tarjeta",IFERROR(INDEX(ctaTipo,MATCH(G2318,ctaNom,0)),"")&lt;&gt;"Tarjeta de crédito"),"⚠ «Hacia» debe ser la tarjeta",IF(AND(I2318="Trading",IFERROR(INDEX(ctaTipo,MATCH(E2318,ctaNom,0)),"")&lt;&gt;"Cuenta de trading"),"⚠ Usa la cuenta de trading","✓"))))))))))))</f>
        <v/>
      </c>
      <c r="I2318" s="19">
        <f>IF(OR(B2318="",C2318="",D2318=""),"",IFERROR(INDEX(catTipo,MATCH(D2318,catNom,0))&amp;"",""))</f>
        <v/>
      </c>
      <c r="J2318" s="19">
        <f>IF(I2318="","",IFERROR(INDEX(catGrupo,MATCH(D2318,catNom,0))&amp;"",""))</f>
        <v/>
      </c>
      <c r="K2318" s="19">
        <f>IF(I2318="Gasto",IF(IFERROR(INDEX(catClas,MATCH(D2318,catNom,0))&amp;"","")="","Variable",IFERROR(INDEX(catClas,MATCH(D2318,catNom,0))&amp;"","")),"")</f>
        <v/>
      </c>
      <c r="L2318" s="19">
        <f>IF(I2318="","",IFERROR(INDEX(catAlim,MATCH(D2318,catNom,0))&amp;"",""))</f>
        <v/>
      </c>
      <c r="M2318" s="19">
        <f>IF(I2318="","",IFERROR(INDEX(catComida,MATCH(D2318,catNom,0))&amp;"",""))</f>
        <v/>
      </c>
      <c r="N2318" s="19">
        <f>IF(I2318="","",IFERROR(INDEX(ctaMon,MATCH(E2318,ctaNom,0))&amp;"","DOP"))</f>
        <v/>
      </c>
      <c r="O2318" s="20">
        <f>IF(I2318="","",C2318*IF(N2318="USD",TasaUSD,1))</f>
        <v/>
      </c>
      <c r="P2318" s="20">
        <f>IF(I2318="","",IF(I2318="Gasto",O2318,0))</f>
        <v/>
      </c>
      <c r="Q2318" s="20">
        <f>IF(I2318="","",IF(I2318="Ingreso",O2318,0))</f>
        <v/>
      </c>
      <c r="R2318" s="20">
        <f>IF(I2318="","",IF(I2318="Trading",O2318,0))</f>
        <v/>
      </c>
      <c r="S2318" s="19">
        <f>IF(I2318="","",IF(AND(I2318="Gasto",K2318="Variable",J2318&lt;&gt;"Trading",O2318&gt;0,O2318&lt;=Umbral),1,0))</f>
        <v/>
      </c>
      <c r="T2318" s="20">
        <f>IF(OR(I2318="",E2318=""),"",IF(OR(I2318="Gasto",I2318="Transferencia",I2318="Pago tarjeta"),-1,1)*C2318)</f>
        <v/>
      </c>
      <c r="U2318" s="20">
        <f>IF(OR(G2318="",AND(I2318&lt;&gt;"Transferencia",I2318&lt;&gt;"Pago tarjeta")),"",IF(IFERROR(INDEX(ctaMon,MATCH(G2318,ctaNom,0))&amp;"","DOP")=N2318,C2318,IF(N2318="USD",C2318*TasaUSD,C2318/TasaUSD)))</f>
        <v/>
      </c>
      <c r="V2318" s="20">
        <f>IF(I2318="","",IF(IFERROR(INDEX(ctaLiq,MATCH(E2318,ctaNom,0))="Sí",FALSE),IF(OR(I2318="Gasto",I2318="Transferencia",I2318="Pago tarjeta"),-1,1)*O2318,0)+IF(AND(U2318&lt;&gt;"",IFERROR(INDEX(ctaLiq,MATCH(G2318,ctaNom,0))="Sí",FALSE)),O2318,0))</f>
        <v/>
      </c>
      <c r="W2318" s="19">
        <f>IF(OR(F2318="",I2318=""),"",IF(COUNTIFS(F$6:F2318,F2318,I$6:I2318,"?*")=1,MAX(W$5:W2317)+1,""))</f>
        <v/>
      </c>
    </row>
    <row r="2319">
      <c r="B2319" s="15" t="n"/>
      <c r="C2319" s="16" t="n"/>
      <c r="D2319" s="17" t="n"/>
      <c r="E2319" s="17" t="n"/>
      <c r="F2319" s="17" t="n"/>
      <c r="G2319" s="17" t="n"/>
      <c r="H2319" s="18">
        <f>IF(AND(B2319="",C2319="",D2319="",E2319=""),"",IF(B2319="","⚠ Falta fecha",IF(C2319="","⚠ Falta monto",IF(D2319="","⚠ Falta categoría",IF(ISNA(MATCH(D2319,catNom,0)),"⚠ Categoría no existe",IF(E2319="","⚠ Falta cuenta",IF(ISNA(MATCH(E2319,ctaNom,0)),"⚠ Cuenta no existe",IF(AND(OR(I2319="Transferencia",I2319="Pago tarjeta"),G2319=""),"⚠ Indica la cuenta «Hacia»",IF(AND(G2319&lt;&gt;"",G2319=E2319),"⚠ «Hacia» igual a la cuenta",IF(AND(G2319&lt;&gt;"",ISNA(MATCH(G2319,ctaNom,0))),"⚠ «Hacia» no existe",IF(AND(I2319="Pago tarjeta",IFERROR(INDEX(ctaTipo,MATCH(G2319,ctaNom,0)),"")&lt;&gt;"Tarjeta de crédito"),"⚠ «Hacia» debe ser la tarjeta",IF(AND(I2319="Trading",IFERROR(INDEX(ctaTipo,MATCH(E2319,ctaNom,0)),"")&lt;&gt;"Cuenta de trading"),"⚠ Usa la cuenta de trading","✓"))))))))))))</f>
        <v/>
      </c>
      <c r="I2319" s="19">
        <f>IF(OR(B2319="",C2319="",D2319=""),"",IFERROR(INDEX(catTipo,MATCH(D2319,catNom,0))&amp;"",""))</f>
        <v/>
      </c>
      <c r="J2319" s="19">
        <f>IF(I2319="","",IFERROR(INDEX(catGrupo,MATCH(D2319,catNom,0))&amp;"",""))</f>
        <v/>
      </c>
      <c r="K2319" s="19">
        <f>IF(I2319="Gasto",IF(IFERROR(INDEX(catClas,MATCH(D2319,catNom,0))&amp;"","")="","Variable",IFERROR(INDEX(catClas,MATCH(D2319,catNom,0))&amp;"","")),"")</f>
        <v/>
      </c>
      <c r="L2319" s="19">
        <f>IF(I2319="","",IFERROR(INDEX(catAlim,MATCH(D2319,catNom,0))&amp;"",""))</f>
        <v/>
      </c>
      <c r="M2319" s="19">
        <f>IF(I2319="","",IFERROR(INDEX(catComida,MATCH(D2319,catNom,0))&amp;"",""))</f>
        <v/>
      </c>
      <c r="N2319" s="19">
        <f>IF(I2319="","",IFERROR(INDEX(ctaMon,MATCH(E2319,ctaNom,0))&amp;"","DOP"))</f>
        <v/>
      </c>
      <c r="O2319" s="20">
        <f>IF(I2319="","",C2319*IF(N2319="USD",TasaUSD,1))</f>
        <v/>
      </c>
      <c r="P2319" s="20">
        <f>IF(I2319="","",IF(I2319="Gasto",O2319,0))</f>
        <v/>
      </c>
      <c r="Q2319" s="20">
        <f>IF(I2319="","",IF(I2319="Ingreso",O2319,0))</f>
        <v/>
      </c>
      <c r="R2319" s="20">
        <f>IF(I2319="","",IF(I2319="Trading",O2319,0))</f>
        <v/>
      </c>
      <c r="S2319" s="19">
        <f>IF(I2319="","",IF(AND(I2319="Gasto",K2319="Variable",J2319&lt;&gt;"Trading",O2319&gt;0,O2319&lt;=Umbral),1,0))</f>
        <v/>
      </c>
      <c r="T2319" s="20">
        <f>IF(OR(I2319="",E2319=""),"",IF(OR(I2319="Gasto",I2319="Transferencia",I2319="Pago tarjeta"),-1,1)*C2319)</f>
        <v/>
      </c>
      <c r="U2319" s="20">
        <f>IF(OR(G2319="",AND(I2319&lt;&gt;"Transferencia",I2319&lt;&gt;"Pago tarjeta")),"",IF(IFERROR(INDEX(ctaMon,MATCH(G2319,ctaNom,0))&amp;"","DOP")=N2319,C2319,IF(N2319="USD",C2319*TasaUSD,C2319/TasaUSD)))</f>
        <v/>
      </c>
      <c r="V2319" s="20">
        <f>IF(I2319="","",IF(IFERROR(INDEX(ctaLiq,MATCH(E2319,ctaNom,0))="Sí",FALSE),IF(OR(I2319="Gasto",I2319="Transferencia",I2319="Pago tarjeta"),-1,1)*O2319,0)+IF(AND(U2319&lt;&gt;"",IFERROR(INDEX(ctaLiq,MATCH(G2319,ctaNom,0))="Sí",FALSE)),O2319,0))</f>
        <v/>
      </c>
      <c r="W2319" s="19">
        <f>IF(OR(F2319="",I2319=""),"",IF(COUNTIFS(F$6:F2319,F2319,I$6:I2319,"?*")=1,MAX(W$5:W2318)+1,""))</f>
        <v/>
      </c>
    </row>
    <row r="2320">
      <c r="B2320" s="15" t="n"/>
      <c r="C2320" s="16" t="n"/>
      <c r="D2320" s="17" t="n"/>
      <c r="E2320" s="17" t="n"/>
      <c r="F2320" s="17" t="n"/>
      <c r="G2320" s="17" t="n"/>
      <c r="H2320" s="18">
        <f>IF(AND(B2320="",C2320="",D2320="",E2320=""),"",IF(B2320="","⚠ Falta fecha",IF(C2320="","⚠ Falta monto",IF(D2320="","⚠ Falta categoría",IF(ISNA(MATCH(D2320,catNom,0)),"⚠ Categoría no existe",IF(E2320="","⚠ Falta cuenta",IF(ISNA(MATCH(E2320,ctaNom,0)),"⚠ Cuenta no existe",IF(AND(OR(I2320="Transferencia",I2320="Pago tarjeta"),G2320=""),"⚠ Indica la cuenta «Hacia»",IF(AND(G2320&lt;&gt;"",G2320=E2320),"⚠ «Hacia» igual a la cuenta",IF(AND(G2320&lt;&gt;"",ISNA(MATCH(G2320,ctaNom,0))),"⚠ «Hacia» no existe",IF(AND(I2320="Pago tarjeta",IFERROR(INDEX(ctaTipo,MATCH(G2320,ctaNom,0)),"")&lt;&gt;"Tarjeta de crédito"),"⚠ «Hacia» debe ser la tarjeta",IF(AND(I2320="Trading",IFERROR(INDEX(ctaTipo,MATCH(E2320,ctaNom,0)),"")&lt;&gt;"Cuenta de trading"),"⚠ Usa la cuenta de trading","✓"))))))))))))</f>
        <v/>
      </c>
      <c r="I2320" s="19">
        <f>IF(OR(B2320="",C2320="",D2320=""),"",IFERROR(INDEX(catTipo,MATCH(D2320,catNom,0))&amp;"",""))</f>
        <v/>
      </c>
      <c r="J2320" s="19">
        <f>IF(I2320="","",IFERROR(INDEX(catGrupo,MATCH(D2320,catNom,0))&amp;"",""))</f>
        <v/>
      </c>
      <c r="K2320" s="19">
        <f>IF(I2320="Gasto",IF(IFERROR(INDEX(catClas,MATCH(D2320,catNom,0))&amp;"","")="","Variable",IFERROR(INDEX(catClas,MATCH(D2320,catNom,0))&amp;"","")),"")</f>
        <v/>
      </c>
      <c r="L2320" s="19">
        <f>IF(I2320="","",IFERROR(INDEX(catAlim,MATCH(D2320,catNom,0))&amp;"",""))</f>
        <v/>
      </c>
      <c r="M2320" s="19">
        <f>IF(I2320="","",IFERROR(INDEX(catComida,MATCH(D2320,catNom,0))&amp;"",""))</f>
        <v/>
      </c>
      <c r="N2320" s="19">
        <f>IF(I2320="","",IFERROR(INDEX(ctaMon,MATCH(E2320,ctaNom,0))&amp;"","DOP"))</f>
        <v/>
      </c>
      <c r="O2320" s="20">
        <f>IF(I2320="","",C2320*IF(N2320="USD",TasaUSD,1))</f>
        <v/>
      </c>
      <c r="P2320" s="20">
        <f>IF(I2320="","",IF(I2320="Gasto",O2320,0))</f>
        <v/>
      </c>
      <c r="Q2320" s="20">
        <f>IF(I2320="","",IF(I2320="Ingreso",O2320,0))</f>
        <v/>
      </c>
      <c r="R2320" s="20">
        <f>IF(I2320="","",IF(I2320="Trading",O2320,0))</f>
        <v/>
      </c>
      <c r="S2320" s="19">
        <f>IF(I2320="","",IF(AND(I2320="Gasto",K2320="Variable",J2320&lt;&gt;"Trading",O2320&gt;0,O2320&lt;=Umbral),1,0))</f>
        <v/>
      </c>
      <c r="T2320" s="20">
        <f>IF(OR(I2320="",E2320=""),"",IF(OR(I2320="Gasto",I2320="Transferencia",I2320="Pago tarjeta"),-1,1)*C2320)</f>
        <v/>
      </c>
      <c r="U2320" s="20">
        <f>IF(OR(G2320="",AND(I2320&lt;&gt;"Transferencia",I2320&lt;&gt;"Pago tarjeta")),"",IF(IFERROR(INDEX(ctaMon,MATCH(G2320,ctaNom,0))&amp;"","DOP")=N2320,C2320,IF(N2320="USD",C2320*TasaUSD,C2320/TasaUSD)))</f>
        <v/>
      </c>
      <c r="V2320" s="20">
        <f>IF(I2320="","",IF(IFERROR(INDEX(ctaLiq,MATCH(E2320,ctaNom,0))="Sí",FALSE),IF(OR(I2320="Gasto",I2320="Transferencia",I2320="Pago tarjeta"),-1,1)*O2320,0)+IF(AND(U2320&lt;&gt;"",IFERROR(INDEX(ctaLiq,MATCH(G2320,ctaNom,0))="Sí",FALSE)),O2320,0))</f>
        <v/>
      </c>
      <c r="W2320" s="19">
        <f>IF(OR(F2320="",I2320=""),"",IF(COUNTIFS(F$6:F2320,F2320,I$6:I2320,"?*")=1,MAX(W$5:W2319)+1,""))</f>
        <v/>
      </c>
    </row>
    <row r="2321">
      <c r="B2321" s="15" t="n"/>
      <c r="C2321" s="16" t="n"/>
      <c r="D2321" s="17" t="n"/>
      <c r="E2321" s="17" t="n"/>
      <c r="F2321" s="17" t="n"/>
      <c r="G2321" s="17" t="n"/>
      <c r="H2321" s="18">
        <f>IF(AND(B2321="",C2321="",D2321="",E2321=""),"",IF(B2321="","⚠ Falta fecha",IF(C2321="","⚠ Falta monto",IF(D2321="","⚠ Falta categoría",IF(ISNA(MATCH(D2321,catNom,0)),"⚠ Categoría no existe",IF(E2321="","⚠ Falta cuenta",IF(ISNA(MATCH(E2321,ctaNom,0)),"⚠ Cuenta no existe",IF(AND(OR(I2321="Transferencia",I2321="Pago tarjeta"),G2321=""),"⚠ Indica la cuenta «Hacia»",IF(AND(G2321&lt;&gt;"",G2321=E2321),"⚠ «Hacia» igual a la cuenta",IF(AND(G2321&lt;&gt;"",ISNA(MATCH(G2321,ctaNom,0))),"⚠ «Hacia» no existe",IF(AND(I2321="Pago tarjeta",IFERROR(INDEX(ctaTipo,MATCH(G2321,ctaNom,0)),"")&lt;&gt;"Tarjeta de crédito"),"⚠ «Hacia» debe ser la tarjeta",IF(AND(I2321="Trading",IFERROR(INDEX(ctaTipo,MATCH(E2321,ctaNom,0)),"")&lt;&gt;"Cuenta de trading"),"⚠ Usa la cuenta de trading","✓"))))))))))))</f>
        <v/>
      </c>
      <c r="I2321" s="19">
        <f>IF(OR(B2321="",C2321="",D2321=""),"",IFERROR(INDEX(catTipo,MATCH(D2321,catNom,0))&amp;"",""))</f>
        <v/>
      </c>
      <c r="J2321" s="19">
        <f>IF(I2321="","",IFERROR(INDEX(catGrupo,MATCH(D2321,catNom,0))&amp;"",""))</f>
        <v/>
      </c>
      <c r="K2321" s="19">
        <f>IF(I2321="Gasto",IF(IFERROR(INDEX(catClas,MATCH(D2321,catNom,0))&amp;"","")="","Variable",IFERROR(INDEX(catClas,MATCH(D2321,catNom,0))&amp;"","")),"")</f>
        <v/>
      </c>
      <c r="L2321" s="19">
        <f>IF(I2321="","",IFERROR(INDEX(catAlim,MATCH(D2321,catNom,0))&amp;"",""))</f>
        <v/>
      </c>
      <c r="M2321" s="19">
        <f>IF(I2321="","",IFERROR(INDEX(catComida,MATCH(D2321,catNom,0))&amp;"",""))</f>
        <v/>
      </c>
      <c r="N2321" s="19">
        <f>IF(I2321="","",IFERROR(INDEX(ctaMon,MATCH(E2321,ctaNom,0))&amp;"","DOP"))</f>
        <v/>
      </c>
      <c r="O2321" s="20">
        <f>IF(I2321="","",C2321*IF(N2321="USD",TasaUSD,1))</f>
        <v/>
      </c>
      <c r="P2321" s="20">
        <f>IF(I2321="","",IF(I2321="Gasto",O2321,0))</f>
        <v/>
      </c>
      <c r="Q2321" s="20">
        <f>IF(I2321="","",IF(I2321="Ingreso",O2321,0))</f>
        <v/>
      </c>
      <c r="R2321" s="20">
        <f>IF(I2321="","",IF(I2321="Trading",O2321,0))</f>
        <v/>
      </c>
      <c r="S2321" s="19">
        <f>IF(I2321="","",IF(AND(I2321="Gasto",K2321="Variable",J2321&lt;&gt;"Trading",O2321&gt;0,O2321&lt;=Umbral),1,0))</f>
        <v/>
      </c>
      <c r="T2321" s="20">
        <f>IF(OR(I2321="",E2321=""),"",IF(OR(I2321="Gasto",I2321="Transferencia",I2321="Pago tarjeta"),-1,1)*C2321)</f>
        <v/>
      </c>
      <c r="U2321" s="20">
        <f>IF(OR(G2321="",AND(I2321&lt;&gt;"Transferencia",I2321&lt;&gt;"Pago tarjeta")),"",IF(IFERROR(INDEX(ctaMon,MATCH(G2321,ctaNom,0))&amp;"","DOP")=N2321,C2321,IF(N2321="USD",C2321*TasaUSD,C2321/TasaUSD)))</f>
        <v/>
      </c>
      <c r="V2321" s="20">
        <f>IF(I2321="","",IF(IFERROR(INDEX(ctaLiq,MATCH(E2321,ctaNom,0))="Sí",FALSE),IF(OR(I2321="Gasto",I2321="Transferencia",I2321="Pago tarjeta"),-1,1)*O2321,0)+IF(AND(U2321&lt;&gt;"",IFERROR(INDEX(ctaLiq,MATCH(G2321,ctaNom,0))="Sí",FALSE)),O2321,0))</f>
        <v/>
      </c>
      <c r="W2321" s="19">
        <f>IF(OR(F2321="",I2321=""),"",IF(COUNTIFS(F$6:F2321,F2321,I$6:I2321,"?*")=1,MAX(W$5:W2320)+1,""))</f>
        <v/>
      </c>
    </row>
    <row r="2322">
      <c r="B2322" s="15" t="n"/>
      <c r="C2322" s="16" t="n"/>
      <c r="D2322" s="17" t="n"/>
      <c r="E2322" s="17" t="n"/>
      <c r="F2322" s="17" t="n"/>
      <c r="G2322" s="17" t="n"/>
      <c r="H2322" s="18">
        <f>IF(AND(B2322="",C2322="",D2322="",E2322=""),"",IF(B2322="","⚠ Falta fecha",IF(C2322="","⚠ Falta monto",IF(D2322="","⚠ Falta categoría",IF(ISNA(MATCH(D2322,catNom,0)),"⚠ Categoría no existe",IF(E2322="","⚠ Falta cuenta",IF(ISNA(MATCH(E2322,ctaNom,0)),"⚠ Cuenta no existe",IF(AND(OR(I2322="Transferencia",I2322="Pago tarjeta"),G2322=""),"⚠ Indica la cuenta «Hacia»",IF(AND(G2322&lt;&gt;"",G2322=E2322),"⚠ «Hacia» igual a la cuenta",IF(AND(G2322&lt;&gt;"",ISNA(MATCH(G2322,ctaNom,0))),"⚠ «Hacia» no existe",IF(AND(I2322="Pago tarjeta",IFERROR(INDEX(ctaTipo,MATCH(G2322,ctaNom,0)),"")&lt;&gt;"Tarjeta de crédito"),"⚠ «Hacia» debe ser la tarjeta",IF(AND(I2322="Trading",IFERROR(INDEX(ctaTipo,MATCH(E2322,ctaNom,0)),"")&lt;&gt;"Cuenta de trading"),"⚠ Usa la cuenta de trading","✓"))))))))))))</f>
        <v/>
      </c>
      <c r="I2322" s="19">
        <f>IF(OR(B2322="",C2322="",D2322=""),"",IFERROR(INDEX(catTipo,MATCH(D2322,catNom,0))&amp;"",""))</f>
        <v/>
      </c>
      <c r="J2322" s="19">
        <f>IF(I2322="","",IFERROR(INDEX(catGrupo,MATCH(D2322,catNom,0))&amp;"",""))</f>
        <v/>
      </c>
      <c r="K2322" s="19">
        <f>IF(I2322="Gasto",IF(IFERROR(INDEX(catClas,MATCH(D2322,catNom,0))&amp;"","")="","Variable",IFERROR(INDEX(catClas,MATCH(D2322,catNom,0))&amp;"","")),"")</f>
        <v/>
      </c>
      <c r="L2322" s="19">
        <f>IF(I2322="","",IFERROR(INDEX(catAlim,MATCH(D2322,catNom,0))&amp;"",""))</f>
        <v/>
      </c>
      <c r="M2322" s="19">
        <f>IF(I2322="","",IFERROR(INDEX(catComida,MATCH(D2322,catNom,0))&amp;"",""))</f>
        <v/>
      </c>
      <c r="N2322" s="19">
        <f>IF(I2322="","",IFERROR(INDEX(ctaMon,MATCH(E2322,ctaNom,0))&amp;"","DOP"))</f>
        <v/>
      </c>
      <c r="O2322" s="20">
        <f>IF(I2322="","",C2322*IF(N2322="USD",TasaUSD,1))</f>
        <v/>
      </c>
      <c r="P2322" s="20">
        <f>IF(I2322="","",IF(I2322="Gasto",O2322,0))</f>
        <v/>
      </c>
      <c r="Q2322" s="20">
        <f>IF(I2322="","",IF(I2322="Ingreso",O2322,0))</f>
        <v/>
      </c>
      <c r="R2322" s="20">
        <f>IF(I2322="","",IF(I2322="Trading",O2322,0))</f>
        <v/>
      </c>
      <c r="S2322" s="19">
        <f>IF(I2322="","",IF(AND(I2322="Gasto",K2322="Variable",J2322&lt;&gt;"Trading",O2322&gt;0,O2322&lt;=Umbral),1,0))</f>
        <v/>
      </c>
      <c r="T2322" s="20">
        <f>IF(OR(I2322="",E2322=""),"",IF(OR(I2322="Gasto",I2322="Transferencia",I2322="Pago tarjeta"),-1,1)*C2322)</f>
        <v/>
      </c>
      <c r="U2322" s="20">
        <f>IF(OR(G2322="",AND(I2322&lt;&gt;"Transferencia",I2322&lt;&gt;"Pago tarjeta")),"",IF(IFERROR(INDEX(ctaMon,MATCH(G2322,ctaNom,0))&amp;"","DOP")=N2322,C2322,IF(N2322="USD",C2322*TasaUSD,C2322/TasaUSD)))</f>
        <v/>
      </c>
      <c r="V2322" s="20">
        <f>IF(I2322="","",IF(IFERROR(INDEX(ctaLiq,MATCH(E2322,ctaNom,0))="Sí",FALSE),IF(OR(I2322="Gasto",I2322="Transferencia",I2322="Pago tarjeta"),-1,1)*O2322,0)+IF(AND(U2322&lt;&gt;"",IFERROR(INDEX(ctaLiq,MATCH(G2322,ctaNom,0))="Sí",FALSE)),O2322,0))</f>
        <v/>
      </c>
      <c r="W2322" s="19">
        <f>IF(OR(F2322="",I2322=""),"",IF(COUNTIFS(F$6:F2322,F2322,I$6:I2322,"?*")=1,MAX(W$5:W2321)+1,""))</f>
        <v/>
      </c>
    </row>
    <row r="2323">
      <c r="B2323" s="15" t="n"/>
      <c r="C2323" s="16" t="n"/>
      <c r="D2323" s="17" t="n"/>
      <c r="E2323" s="17" t="n"/>
      <c r="F2323" s="17" t="n"/>
      <c r="G2323" s="17" t="n"/>
      <c r="H2323" s="18">
        <f>IF(AND(B2323="",C2323="",D2323="",E2323=""),"",IF(B2323="","⚠ Falta fecha",IF(C2323="","⚠ Falta monto",IF(D2323="","⚠ Falta categoría",IF(ISNA(MATCH(D2323,catNom,0)),"⚠ Categoría no existe",IF(E2323="","⚠ Falta cuenta",IF(ISNA(MATCH(E2323,ctaNom,0)),"⚠ Cuenta no existe",IF(AND(OR(I2323="Transferencia",I2323="Pago tarjeta"),G2323=""),"⚠ Indica la cuenta «Hacia»",IF(AND(G2323&lt;&gt;"",G2323=E2323),"⚠ «Hacia» igual a la cuenta",IF(AND(G2323&lt;&gt;"",ISNA(MATCH(G2323,ctaNom,0))),"⚠ «Hacia» no existe",IF(AND(I2323="Pago tarjeta",IFERROR(INDEX(ctaTipo,MATCH(G2323,ctaNom,0)),"")&lt;&gt;"Tarjeta de crédito"),"⚠ «Hacia» debe ser la tarjeta",IF(AND(I2323="Trading",IFERROR(INDEX(ctaTipo,MATCH(E2323,ctaNom,0)),"")&lt;&gt;"Cuenta de trading"),"⚠ Usa la cuenta de trading","✓"))))))))))))</f>
        <v/>
      </c>
      <c r="I2323" s="19">
        <f>IF(OR(B2323="",C2323="",D2323=""),"",IFERROR(INDEX(catTipo,MATCH(D2323,catNom,0))&amp;"",""))</f>
        <v/>
      </c>
      <c r="J2323" s="19">
        <f>IF(I2323="","",IFERROR(INDEX(catGrupo,MATCH(D2323,catNom,0))&amp;"",""))</f>
        <v/>
      </c>
      <c r="K2323" s="19">
        <f>IF(I2323="Gasto",IF(IFERROR(INDEX(catClas,MATCH(D2323,catNom,0))&amp;"","")="","Variable",IFERROR(INDEX(catClas,MATCH(D2323,catNom,0))&amp;"","")),"")</f>
        <v/>
      </c>
      <c r="L2323" s="19">
        <f>IF(I2323="","",IFERROR(INDEX(catAlim,MATCH(D2323,catNom,0))&amp;"",""))</f>
        <v/>
      </c>
      <c r="M2323" s="19">
        <f>IF(I2323="","",IFERROR(INDEX(catComida,MATCH(D2323,catNom,0))&amp;"",""))</f>
        <v/>
      </c>
      <c r="N2323" s="19">
        <f>IF(I2323="","",IFERROR(INDEX(ctaMon,MATCH(E2323,ctaNom,0))&amp;"","DOP"))</f>
        <v/>
      </c>
      <c r="O2323" s="20">
        <f>IF(I2323="","",C2323*IF(N2323="USD",TasaUSD,1))</f>
        <v/>
      </c>
      <c r="P2323" s="20">
        <f>IF(I2323="","",IF(I2323="Gasto",O2323,0))</f>
        <v/>
      </c>
      <c r="Q2323" s="20">
        <f>IF(I2323="","",IF(I2323="Ingreso",O2323,0))</f>
        <v/>
      </c>
      <c r="R2323" s="20">
        <f>IF(I2323="","",IF(I2323="Trading",O2323,0))</f>
        <v/>
      </c>
      <c r="S2323" s="19">
        <f>IF(I2323="","",IF(AND(I2323="Gasto",K2323="Variable",J2323&lt;&gt;"Trading",O2323&gt;0,O2323&lt;=Umbral),1,0))</f>
        <v/>
      </c>
      <c r="T2323" s="20">
        <f>IF(OR(I2323="",E2323=""),"",IF(OR(I2323="Gasto",I2323="Transferencia",I2323="Pago tarjeta"),-1,1)*C2323)</f>
        <v/>
      </c>
      <c r="U2323" s="20">
        <f>IF(OR(G2323="",AND(I2323&lt;&gt;"Transferencia",I2323&lt;&gt;"Pago tarjeta")),"",IF(IFERROR(INDEX(ctaMon,MATCH(G2323,ctaNom,0))&amp;"","DOP")=N2323,C2323,IF(N2323="USD",C2323*TasaUSD,C2323/TasaUSD)))</f>
        <v/>
      </c>
      <c r="V2323" s="20">
        <f>IF(I2323="","",IF(IFERROR(INDEX(ctaLiq,MATCH(E2323,ctaNom,0))="Sí",FALSE),IF(OR(I2323="Gasto",I2323="Transferencia",I2323="Pago tarjeta"),-1,1)*O2323,0)+IF(AND(U2323&lt;&gt;"",IFERROR(INDEX(ctaLiq,MATCH(G2323,ctaNom,0))="Sí",FALSE)),O2323,0))</f>
        <v/>
      </c>
      <c r="W2323" s="19">
        <f>IF(OR(F2323="",I2323=""),"",IF(COUNTIFS(F$6:F2323,F2323,I$6:I2323,"?*")=1,MAX(W$5:W2322)+1,""))</f>
        <v/>
      </c>
    </row>
    <row r="2324">
      <c r="B2324" s="15" t="n"/>
      <c r="C2324" s="16" t="n"/>
      <c r="D2324" s="17" t="n"/>
      <c r="E2324" s="17" t="n"/>
      <c r="F2324" s="17" t="n"/>
      <c r="G2324" s="17" t="n"/>
      <c r="H2324" s="18">
        <f>IF(AND(B2324="",C2324="",D2324="",E2324=""),"",IF(B2324="","⚠ Falta fecha",IF(C2324="","⚠ Falta monto",IF(D2324="","⚠ Falta categoría",IF(ISNA(MATCH(D2324,catNom,0)),"⚠ Categoría no existe",IF(E2324="","⚠ Falta cuenta",IF(ISNA(MATCH(E2324,ctaNom,0)),"⚠ Cuenta no existe",IF(AND(OR(I2324="Transferencia",I2324="Pago tarjeta"),G2324=""),"⚠ Indica la cuenta «Hacia»",IF(AND(G2324&lt;&gt;"",G2324=E2324),"⚠ «Hacia» igual a la cuenta",IF(AND(G2324&lt;&gt;"",ISNA(MATCH(G2324,ctaNom,0))),"⚠ «Hacia» no existe",IF(AND(I2324="Pago tarjeta",IFERROR(INDEX(ctaTipo,MATCH(G2324,ctaNom,0)),"")&lt;&gt;"Tarjeta de crédito"),"⚠ «Hacia» debe ser la tarjeta",IF(AND(I2324="Trading",IFERROR(INDEX(ctaTipo,MATCH(E2324,ctaNom,0)),"")&lt;&gt;"Cuenta de trading"),"⚠ Usa la cuenta de trading","✓"))))))))))))</f>
        <v/>
      </c>
      <c r="I2324" s="19">
        <f>IF(OR(B2324="",C2324="",D2324=""),"",IFERROR(INDEX(catTipo,MATCH(D2324,catNom,0))&amp;"",""))</f>
        <v/>
      </c>
      <c r="J2324" s="19">
        <f>IF(I2324="","",IFERROR(INDEX(catGrupo,MATCH(D2324,catNom,0))&amp;"",""))</f>
        <v/>
      </c>
      <c r="K2324" s="19">
        <f>IF(I2324="Gasto",IF(IFERROR(INDEX(catClas,MATCH(D2324,catNom,0))&amp;"","")="","Variable",IFERROR(INDEX(catClas,MATCH(D2324,catNom,0))&amp;"","")),"")</f>
        <v/>
      </c>
      <c r="L2324" s="19">
        <f>IF(I2324="","",IFERROR(INDEX(catAlim,MATCH(D2324,catNom,0))&amp;"",""))</f>
        <v/>
      </c>
      <c r="M2324" s="19">
        <f>IF(I2324="","",IFERROR(INDEX(catComida,MATCH(D2324,catNom,0))&amp;"",""))</f>
        <v/>
      </c>
      <c r="N2324" s="19">
        <f>IF(I2324="","",IFERROR(INDEX(ctaMon,MATCH(E2324,ctaNom,0))&amp;"","DOP"))</f>
        <v/>
      </c>
      <c r="O2324" s="20">
        <f>IF(I2324="","",C2324*IF(N2324="USD",TasaUSD,1))</f>
        <v/>
      </c>
      <c r="P2324" s="20">
        <f>IF(I2324="","",IF(I2324="Gasto",O2324,0))</f>
        <v/>
      </c>
      <c r="Q2324" s="20">
        <f>IF(I2324="","",IF(I2324="Ingreso",O2324,0))</f>
        <v/>
      </c>
      <c r="R2324" s="20">
        <f>IF(I2324="","",IF(I2324="Trading",O2324,0))</f>
        <v/>
      </c>
      <c r="S2324" s="19">
        <f>IF(I2324="","",IF(AND(I2324="Gasto",K2324="Variable",J2324&lt;&gt;"Trading",O2324&gt;0,O2324&lt;=Umbral),1,0))</f>
        <v/>
      </c>
      <c r="T2324" s="20">
        <f>IF(OR(I2324="",E2324=""),"",IF(OR(I2324="Gasto",I2324="Transferencia",I2324="Pago tarjeta"),-1,1)*C2324)</f>
        <v/>
      </c>
      <c r="U2324" s="20">
        <f>IF(OR(G2324="",AND(I2324&lt;&gt;"Transferencia",I2324&lt;&gt;"Pago tarjeta")),"",IF(IFERROR(INDEX(ctaMon,MATCH(G2324,ctaNom,0))&amp;"","DOP")=N2324,C2324,IF(N2324="USD",C2324*TasaUSD,C2324/TasaUSD)))</f>
        <v/>
      </c>
      <c r="V2324" s="20">
        <f>IF(I2324="","",IF(IFERROR(INDEX(ctaLiq,MATCH(E2324,ctaNom,0))="Sí",FALSE),IF(OR(I2324="Gasto",I2324="Transferencia",I2324="Pago tarjeta"),-1,1)*O2324,0)+IF(AND(U2324&lt;&gt;"",IFERROR(INDEX(ctaLiq,MATCH(G2324,ctaNom,0))="Sí",FALSE)),O2324,0))</f>
        <v/>
      </c>
      <c r="W2324" s="19">
        <f>IF(OR(F2324="",I2324=""),"",IF(COUNTIFS(F$6:F2324,F2324,I$6:I2324,"?*")=1,MAX(W$5:W2323)+1,""))</f>
        <v/>
      </c>
    </row>
    <row r="2325">
      <c r="B2325" s="15" t="n"/>
      <c r="C2325" s="16" t="n"/>
      <c r="D2325" s="17" t="n"/>
      <c r="E2325" s="17" t="n"/>
      <c r="F2325" s="17" t="n"/>
      <c r="G2325" s="17" t="n"/>
      <c r="H2325" s="18">
        <f>IF(AND(B2325="",C2325="",D2325="",E2325=""),"",IF(B2325="","⚠ Falta fecha",IF(C2325="","⚠ Falta monto",IF(D2325="","⚠ Falta categoría",IF(ISNA(MATCH(D2325,catNom,0)),"⚠ Categoría no existe",IF(E2325="","⚠ Falta cuenta",IF(ISNA(MATCH(E2325,ctaNom,0)),"⚠ Cuenta no existe",IF(AND(OR(I2325="Transferencia",I2325="Pago tarjeta"),G2325=""),"⚠ Indica la cuenta «Hacia»",IF(AND(G2325&lt;&gt;"",G2325=E2325),"⚠ «Hacia» igual a la cuenta",IF(AND(G2325&lt;&gt;"",ISNA(MATCH(G2325,ctaNom,0))),"⚠ «Hacia» no existe",IF(AND(I2325="Pago tarjeta",IFERROR(INDEX(ctaTipo,MATCH(G2325,ctaNom,0)),"")&lt;&gt;"Tarjeta de crédito"),"⚠ «Hacia» debe ser la tarjeta",IF(AND(I2325="Trading",IFERROR(INDEX(ctaTipo,MATCH(E2325,ctaNom,0)),"")&lt;&gt;"Cuenta de trading"),"⚠ Usa la cuenta de trading","✓"))))))))))))</f>
        <v/>
      </c>
      <c r="I2325" s="19">
        <f>IF(OR(B2325="",C2325="",D2325=""),"",IFERROR(INDEX(catTipo,MATCH(D2325,catNom,0))&amp;"",""))</f>
        <v/>
      </c>
      <c r="J2325" s="19">
        <f>IF(I2325="","",IFERROR(INDEX(catGrupo,MATCH(D2325,catNom,0))&amp;"",""))</f>
        <v/>
      </c>
      <c r="K2325" s="19">
        <f>IF(I2325="Gasto",IF(IFERROR(INDEX(catClas,MATCH(D2325,catNom,0))&amp;"","")="","Variable",IFERROR(INDEX(catClas,MATCH(D2325,catNom,0))&amp;"","")),"")</f>
        <v/>
      </c>
      <c r="L2325" s="19">
        <f>IF(I2325="","",IFERROR(INDEX(catAlim,MATCH(D2325,catNom,0))&amp;"",""))</f>
        <v/>
      </c>
      <c r="M2325" s="19">
        <f>IF(I2325="","",IFERROR(INDEX(catComida,MATCH(D2325,catNom,0))&amp;"",""))</f>
        <v/>
      </c>
      <c r="N2325" s="19">
        <f>IF(I2325="","",IFERROR(INDEX(ctaMon,MATCH(E2325,ctaNom,0))&amp;"","DOP"))</f>
        <v/>
      </c>
      <c r="O2325" s="20">
        <f>IF(I2325="","",C2325*IF(N2325="USD",TasaUSD,1))</f>
        <v/>
      </c>
      <c r="P2325" s="20">
        <f>IF(I2325="","",IF(I2325="Gasto",O2325,0))</f>
        <v/>
      </c>
      <c r="Q2325" s="20">
        <f>IF(I2325="","",IF(I2325="Ingreso",O2325,0))</f>
        <v/>
      </c>
      <c r="R2325" s="20">
        <f>IF(I2325="","",IF(I2325="Trading",O2325,0))</f>
        <v/>
      </c>
      <c r="S2325" s="19">
        <f>IF(I2325="","",IF(AND(I2325="Gasto",K2325="Variable",J2325&lt;&gt;"Trading",O2325&gt;0,O2325&lt;=Umbral),1,0))</f>
        <v/>
      </c>
      <c r="T2325" s="20">
        <f>IF(OR(I2325="",E2325=""),"",IF(OR(I2325="Gasto",I2325="Transferencia",I2325="Pago tarjeta"),-1,1)*C2325)</f>
        <v/>
      </c>
      <c r="U2325" s="20">
        <f>IF(OR(G2325="",AND(I2325&lt;&gt;"Transferencia",I2325&lt;&gt;"Pago tarjeta")),"",IF(IFERROR(INDEX(ctaMon,MATCH(G2325,ctaNom,0))&amp;"","DOP")=N2325,C2325,IF(N2325="USD",C2325*TasaUSD,C2325/TasaUSD)))</f>
        <v/>
      </c>
      <c r="V2325" s="20">
        <f>IF(I2325="","",IF(IFERROR(INDEX(ctaLiq,MATCH(E2325,ctaNom,0))="Sí",FALSE),IF(OR(I2325="Gasto",I2325="Transferencia",I2325="Pago tarjeta"),-1,1)*O2325,0)+IF(AND(U2325&lt;&gt;"",IFERROR(INDEX(ctaLiq,MATCH(G2325,ctaNom,0))="Sí",FALSE)),O2325,0))</f>
        <v/>
      </c>
      <c r="W2325" s="19">
        <f>IF(OR(F2325="",I2325=""),"",IF(COUNTIFS(F$6:F2325,F2325,I$6:I2325,"?*")=1,MAX(W$5:W2324)+1,""))</f>
        <v/>
      </c>
    </row>
    <row r="2326">
      <c r="B2326" s="15" t="n"/>
      <c r="C2326" s="16" t="n"/>
      <c r="D2326" s="17" t="n"/>
      <c r="E2326" s="17" t="n"/>
      <c r="F2326" s="17" t="n"/>
      <c r="G2326" s="17" t="n"/>
      <c r="H2326" s="18">
        <f>IF(AND(B2326="",C2326="",D2326="",E2326=""),"",IF(B2326="","⚠ Falta fecha",IF(C2326="","⚠ Falta monto",IF(D2326="","⚠ Falta categoría",IF(ISNA(MATCH(D2326,catNom,0)),"⚠ Categoría no existe",IF(E2326="","⚠ Falta cuenta",IF(ISNA(MATCH(E2326,ctaNom,0)),"⚠ Cuenta no existe",IF(AND(OR(I2326="Transferencia",I2326="Pago tarjeta"),G2326=""),"⚠ Indica la cuenta «Hacia»",IF(AND(G2326&lt;&gt;"",G2326=E2326),"⚠ «Hacia» igual a la cuenta",IF(AND(G2326&lt;&gt;"",ISNA(MATCH(G2326,ctaNom,0))),"⚠ «Hacia» no existe",IF(AND(I2326="Pago tarjeta",IFERROR(INDEX(ctaTipo,MATCH(G2326,ctaNom,0)),"")&lt;&gt;"Tarjeta de crédito"),"⚠ «Hacia» debe ser la tarjeta",IF(AND(I2326="Trading",IFERROR(INDEX(ctaTipo,MATCH(E2326,ctaNom,0)),"")&lt;&gt;"Cuenta de trading"),"⚠ Usa la cuenta de trading","✓"))))))))))))</f>
        <v/>
      </c>
      <c r="I2326" s="19">
        <f>IF(OR(B2326="",C2326="",D2326=""),"",IFERROR(INDEX(catTipo,MATCH(D2326,catNom,0))&amp;"",""))</f>
        <v/>
      </c>
      <c r="J2326" s="19">
        <f>IF(I2326="","",IFERROR(INDEX(catGrupo,MATCH(D2326,catNom,0))&amp;"",""))</f>
        <v/>
      </c>
      <c r="K2326" s="19">
        <f>IF(I2326="Gasto",IF(IFERROR(INDEX(catClas,MATCH(D2326,catNom,0))&amp;"","")="","Variable",IFERROR(INDEX(catClas,MATCH(D2326,catNom,0))&amp;"","")),"")</f>
        <v/>
      </c>
      <c r="L2326" s="19">
        <f>IF(I2326="","",IFERROR(INDEX(catAlim,MATCH(D2326,catNom,0))&amp;"",""))</f>
        <v/>
      </c>
      <c r="M2326" s="19">
        <f>IF(I2326="","",IFERROR(INDEX(catComida,MATCH(D2326,catNom,0))&amp;"",""))</f>
        <v/>
      </c>
      <c r="N2326" s="19">
        <f>IF(I2326="","",IFERROR(INDEX(ctaMon,MATCH(E2326,ctaNom,0))&amp;"","DOP"))</f>
        <v/>
      </c>
      <c r="O2326" s="20">
        <f>IF(I2326="","",C2326*IF(N2326="USD",TasaUSD,1))</f>
        <v/>
      </c>
      <c r="P2326" s="20">
        <f>IF(I2326="","",IF(I2326="Gasto",O2326,0))</f>
        <v/>
      </c>
      <c r="Q2326" s="20">
        <f>IF(I2326="","",IF(I2326="Ingreso",O2326,0))</f>
        <v/>
      </c>
      <c r="R2326" s="20">
        <f>IF(I2326="","",IF(I2326="Trading",O2326,0))</f>
        <v/>
      </c>
      <c r="S2326" s="19">
        <f>IF(I2326="","",IF(AND(I2326="Gasto",K2326="Variable",J2326&lt;&gt;"Trading",O2326&gt;0,O2326&lt;=Umbral),1,0))</f>
        <v/>
      </c>
      <c r="T2326" s="20">
        <f>IF(OR(I2326="",E2326=""),"",IF(OR(I2326="Gasto",I2326="Transferencia",I2326="Pago tarjeta"),-1,1)*C2326)</f>
        <v/>
      </c>
      <c r="U2326" s="20">
        <f>IF(OR(G2326="",AND(I2326&lt;&gt;"Transferencia",I2326&lt;&gt;"Pago tarjeta")),"",IF(IFERROR(INDEX(ctaMon,MATCH(G2326,ctaNom,0))&amp;"","DOP")=N2326,C2326,IF(N2326="USD",C2326*TasaUSD,C2326/TasaUSD)))</f>
        <v/>
      </c>
      <c r="V2326" s="20">
        <f>IF(I2326="","",IF(IFERROR(INDEX(ctaLiq,MATCH(E2326,ctaNom,0))="Sí",FALSE),IF(OR(I2326="Gasto",I2326="Transferencia",I2326="Pago tarjeta"),-1,1)*O2326,0)+IF(AND(U2326&lt;&gt;"",IFERROR(INDEX(ctaLiq,MATCH(G2326,ctaNom,0))="Sí",FALSE)),O2326,0))</f>
        <v/>
      </c>
      <c r="W2326" s="19">
        <f>IF(OR(F2326="",I2326=""),"",IF(COUNTIFS(F$6:F2326,F2326,I$6:I2326,"?*")=1,MAX(W$5:W2325)+1,""))</f>
        <v/>
      </c>
    </row>
    <row r="2327">
      <c r="B2327" s="15" t="n"/>
      <c r="C2327" s="16" t="n"/>
      <c r="D2327" s="17" t="n"/>
      <c r="E2327" s="17" t="n"/>
      <c r="F2327" s="17" t="n"/>
      <c r="G2327" s="17" t="n"/>
      <c r="H2327" s="18">
        <f>IF(AND(B2327="",C2327="",D2327="",E2327=""),"",IF(B2327="","⚠ Falta fecha",IF(C2327="","⚠ Falta monto",IF(D2327="","⚠ Falta categoría",IF(ISNA(MATCH(D2327,catNom,0)),"⚠ Categoría no existe",IF(E2327="","⚠ Falta cuenta",IF(ISNA(MATCH(E2327,ctaNom,0)),"⚠ Cuenta no existe",IF(AND(OR(I2327="Transferencia",I2327="Pago tarjeta"),G2327=""),"⚠ Indica la cuenta «Hacia»",IF(AND(G2327&lt;&gt;"",G2327=E2327),"⚠ «Hacia» igual a la cuenta",IF(AND(G2327&lt;&gt;"",ISNA(MATCH(G2327,ctaNom,0))),"⚠ «Hacia» no existe",IF(AND(I2327="Pago tarjeta",IFERROR(INDEX(ctaTipo,MATCH(G2327,ctaNom,0)),"")&lt;&gt;"Tarjeta de crédito"),"⚠ «Hacia» debe ser la tarjeta",IF(AND(I2327="Trading",IFERROR(INDEX(ctaTipo,MATCH(E2327,ctaNom,0)),"")&lt;&gt;"Cuenta de trading"),"⚠ Usa la cuenta de trading","✓"))))))))))))</f>
        <v/>
      </c>
      <c r="I2327" s="19">
        <f>IF(OR(B2327="",C2327="",D2327=""),"",IFERROR(INDEX(catTipo,MATCH(D2327,catNom,0))&amp;"",""))</f>
        <v/>
      </c>
      <c r="J2327" s="19">
        <f>IF(I2327="","",IFERROR(INDEX(catGrupo,MATCH(D2327,catNom,0))&amp;"",""))</f>
        <v/>
      </c>
      <c r="K2327" s="19">
        <f>IF(I2327="Gasto",IF(IFERROR(INDEX(catClas,MATCH(D2327,catNom,0))&amp;"","")="","Variable",IFERROR(INDEX(catClas,MATCH(D2327,catNom,0))&amp;"","")),"")</f>
        <v/>
      </c>
      <c r="L2327" s="19">
        <f>IF(I2327="","",IFERROR(INDEX(catAlim,MATCH(D2327,catNom,0))&amp;"",""))</f>
        <v/>
      </c>
      <c r="M2327" s="19">
        <f>IF(I2327="","",IFERROR(INDEX(catComida,MATCH(D2327,catNom,0))&amp;"",""))</f>
        <v/>
      </c>
      <c r="N2327" s="19">
        <f>IF(I2327="","",IFERROR(INDEX(ctaMon,MATCH(E2327,ctaNom,0))&amp;"","DOP"))</f>
        <v/>
      </c>
      <c r="O2327" s="20">
        <f>IF(I2327="","",C2327*IF(N2327="USD",TasaUSD,1))</f>
        <v/>
      </c>
      <c r="P2327" s="20">
        <f>IF(I2327="","",IF(I2327="Gasto",O2327,0))</f>
        <v/>
      </c>
      <c r="Q2327" s="20">
        <f>IF(I2327="","",IF(I2327="Ingreso",O2327,0))</f>
        <v/>
      </c>
      <c r="R2327" s="20">
        <f>IF(I2327="","",IF(I2327="Trading",O2327,0))</f>
        <v/>
      </c>
      <c r="S2327" s="19">
        <f>IF(I2327="","",IF(AND(I2327="Gasto",K2327="Variable",J2327&lt;&gt;"Trading",O2327&gt;0,O2327&lt;=Umbral),1,0))</f>
        <v/>
      </c>
      <c r="T2327" s="20">
        <f>IF(OR(I2327="",E2327=""),"",IF(OR(I2327="Gasto",I2327="Transferencia",I2327="Pago tarjeta"),-1,1)*C2327)</f>
        <v/>
      </c>
      <c r="U2327" s="20">
        <f>IF(OR(G2327="",AND(I2327&lt;&gt;"Transferencia",I2327&lt;&gt;"Pago tarjeta")),"",IF(IFERROR(INDEX(ctaMon,MATCH(G2327,ctaNom,0))&amp;"","DOP")=N2327,C2327,IF(N2327="USD",C2327*TasaUSD,C2327/TasaUSD)))</f>
        <v/>
      </c>
      <c r="V2327" s="20">
        <f>IF(I2327="","",IF(IFERROR(INDEX(ctaLiq,MATCH(E2327,ctaNom,0))="Sí",FALSE),IF(OR(I2327="Gasto",I2327="Transferencia",I2327="Pago tarjeta"),-1,1)*O2327,0)+IF(AND(U2327&lt;&gt;"",IFERROR(INDEX(ctaLiq,MATCH(G2327,ctaNom,0))="Sí",FALSE)),O2327,0))</f>
        <v/>
      </c>
      <c r="W2327" s="19">
        <f>IF(OR(F2327="",I2327=""),"",IF(COUNTIFS(F$6:F2327,F2327,I$6:I2327,"?*")=1,MAX(W$5:W2326)+1,""))</f>
        <v/>
      </c>
    </row>
    <row r="2328">
      <c r="B2328" s="15" t="n"/>
      <c r="C2328" s="16" t="n"/>
      <c r="D2328" s="17" t="n"/>
      <c r="E2328" s="17" t="n"/>
      <c r="F2328" s="17" t="n"/>
      <c r="G2328" s="17" t="n"/>
      <c r="H2328" s="18">
        <f>IF(AND(B2328="",C2328="",D2328="",E2328=""),"",IF(B2328="","⚠ Falta fecha",IF(C2328="","⚠ Falta monto",IF(D2328="","⚠ Falta categoría",IF(ISNA(MATCH(D2328,catNom,0)),"⚠ Categoría no existe",IF(E2328="","⚠ Falta cuenta",IF(ISNA(MATCH(E2328,ctaNom,0)),"⚠ Cuenta no existe",IF(AND(OR(I2328="Transferencia",I2328="Pago tarjeta"),G2328=""),"⚠ Indica la cuenta «Hacia»",IF(AND(G2328&lt;&gt;"",G2328=E2328),"⚠ «Hacia» igual a la cuenta",IF(AND(G2328&lt;&gt;"",ISNA(MATCH(G2328,ctaNom,0))),"⚠ «Hacia» no existe",IF(AND(I2328="Pago tarjeta",IFERROR(INDEX(ctaTipo,MATCH(G2328,ctaNom,0)),"")&lt;&gt;"Tarjeta de crédito"),"⚠ «Hacia» debe ser la tarjeta",IF(AND(I2328="Trading",IFERROR(INDEX(ctaTipo,MATCH(E2328,ctaNom,0)),"")&lt;&gt;"Cuenta de trading"),"⚠ Usa la cuenta de trading","✓"))))))))))))</f>
        <v/>
      </c>
      <c r="I2328" s="19">
        <f>IF(OR(B2328="",C2328="",D2328=""),"",IFERROR(INDEX(catTipo,MATCH(D2328,catNom,0))&amp;"",""))</f>
        <v/>
      </c>
      <c r="J2328" s="19">
        <f>IF(I2328="","",IFERROR(INDEX(catGrupo,MATCH(D2328,catNom,0))&amp;"",""))</f>
        <v/>
      </c>
      <c r="K2328" s="19">
        <f>IF(I2328="Gasto",IF(IFERROR(INDEX(catClas,MATCH(D2328,catNom,0))&amp;"","")="","Variable",IFERROR(INDEX(catClas,MATCH(D2328,catNom,0))&amp;"","")),"")</f>
        <v/>
      </c>
      <c r="L2328" s="19">
        <f>IF(I2328="","",IFERROR(INDEX(catAlim,MATCH(D2328,catNom,0))&amp;"",""))</f>
        <v/>
      </c>
      <c r="M2328" s="19">
        <f>IF(I2328="","",IFERROR(INDEX(catComida,MATCH(D2328,catNom,0))&amp;"",""))</f>
        <v/>
      </c>
      <c r="N2328" s="19">
        <f>IF(I2328="","",IFERROR(INDEX(ctaMon,MATCH(E2328,ctaNom,0))&amp;"","DOP"))</f>
        <v/>
      </c>
      <c r="O2328" s="20">
        <f>IF(I2328="","",C2328*IF(N2328="USD",TasaUSD,1))</f>
        <v/>
      </c>
      <c r="P2328" s="20">
        <f>IF(I2328="","",IF(I2328="Gasto",O2328,0))</f>
        <v/>
      </c>
      <c r="Q2328" s="20">
        <f>IF(I2328="","",IF(I2328="Ingreso",O2328,0))</f>
        <v/>
      </c>
      <c r="R2328" s="20">
        <f>IF(I2328="","",IF(I2328="Trading",O2328,0))</f>
        <v/>
      </c>
      <c r="S2328" s="19">
        <f>IF(I2328="","",IF(AND(I2328="Gasto",K2328="Variable",J2328&lt;&gt;"Trading",O2328&gt;0,O2328&lt;=Umbral),1,0))</f>
        <v/>
      </c>
      <c r="T2328" s="20">
        <f>IF(OR(I2328="",E2328=""),"",IF(OR(I2328="Gasto",I2328="Transferencia",I2328="Pago tarjeta"),-1,1)*C2328)</f>
        <v/>
      </c>
      <c r="U2328" s="20">
        <f>IF(OR(G2328="",AND(I2328&lt;&gt;"Transferencia",I2328&lt;&gt;"Pago tarjeta")),"",IF(IFERROR(INDEX(ctaMon,MATCH(G2328,ctaNom,0))&amp;"","DOP")=N2328,C2328,IF(N2328="USD",C2328*TasaUSD,C2328/TasaUSD)))</f>
        <v/>
      </c>
      <c r="V2328" s="20">
        <f>IF(I2328="","",IF(IFERROR(INDEX(ctaLiq,MATCH(E2328,ctaNom,0))="Sí",FALSE),IF(OR(I2328="Gasto",I2328="Transferencia",I2328="Pago tarjeta"),-1,1)*O2328,0)+IF(AND(U2328&lt;&gt;"",IFERROR(INDEX(ctaLiq,MATCH(G2328,ctaNom,0))="Sí",FALSE)),O2328,0))</f>
        <v/>
      </c>
      <c r="W2328" s="19">
        <f>IF(OR(F2328="",I2328=""),"",IF(COUNTIFS(F$6:F2328,F2328,I$6:I2328,"?*")=1,MAX(W$5:W2327)+1,""))</f>
        <v/>
      </c>
    </row>
    <row r="2329">
      <c r="B2329" s="15" t="n"/>
      <c r="C2329" s="16" t="n"/>
      <c r="D2329" s="17" t="n"/>
      <c r="E2329" s="17" t="n"/>
      <c r="F2329" s="17" t="n"/>
      <c r="G2329" s="17" t="n"/>
      <c r="H2329" s="18">
        <f>IF(AND(B2329="",C2329="",D2329="",E2329=""),"",IF(B2329="","⚠ Falta fecha",IF(C2329="","⚠ Falta monto",IF(D2329="","⚠ Falta categoría",IF(ISNA(MATCH(D2329,catNom,0)),"⚠ Categoría no existe",IF(E2329="","⚠ Falta cuenta",IF(ISNA(MATCH(E2329,ctaNom,0)),"⚠ Cuenta no existe",IF(AND(OR(I2329="Transferencia",I2329="Pago tarjeta"),G2329=""),"⚠ Indica la cuenta «Hacia»",IF(AND(G2329&lt;&gt;"",G2329=E2329),"⚠ «Hacia» igual a la cuenta",IF(AND(G2329&lt;&gt;"",ISNA(MATCH(G2329,ctaNom,0))),"⚠ «Hacia» no existe",IF(AND(I2329="Pago tarjeta",IFERROR(INDEX(ctaTipo,MATCH(G2329,ctaNom,0)),"")&lt;&gt;"Tarjeta de crédito"),"⚠ «Hacia» debe ser la tarjeta",IF(AND(I2329="Trading",IFERROR(INDEX(ctaTipo,MATCH(E2329,ctaNom,0)),"")&lt;&gt;"Cuenta de trading"),"⚠ Usa la cuenta de trading","✓"))))))))))))</f>
        <v/>
      </c>
      <c r="I2329" s="19">
        <f>IF(OR(B2329="",C2329="",D2329=""),"",IFERROR(INDEX(catTipo,MATCH(D2329,catNom,0))&amp;"",""))</f>
        <v/>
      </c>
      <c r="J2329" s="19">
        <f>IF(I2329="","",IFERROR(INDEX(catGrupo,MATCH(D2329,catNom,0))&amp;"",""))</f>
        <v/>
      </c>
      <c r="K2329" s="19">
        <f>IF(I2329="Gasto",IF(IFERROR(INDEX(catClas,MATCH(D2329,catNom,0))&amp;"","")="","Variable",IFERROR(INDEX(catClas,MATCH(D2329,catNom,0))&amp;"","")),"")</f>
        <v/>
      </c>
      <c r="L2329" s="19">
        <f>IF(I2329="","",IFERROR(INDEX(catAlim,MATCH(D2329,catNom,0))&amp;"",""))</f>
        <v/>
      </c>
      <c r="M2329" s="19">
        <f>IF(I2329="","",IFERROR(INDEX(catComida,MATCH(D2329,catNom,0))&amp;"",""))</f>
        <v/>
      </c>
      <c r="N2329" s="19">
        <f>IF(I2329="","",IFERROR(INDEX(ctaMon,MATCH(E2329,ctaNom,0))&amp;"","DOP"))</f>
        <v/>
      </c>
      <c r="O2329" s="20">
        <f>IF(I2329="","",C2329*IF(N2329="USD",TasaUSD,1))</f>
        <v/>
      </c>
      <c r="P2329" s="20">
        <f>IF(I2329="","",IF(I2329="Gasto",O2329,0))</f>
        <v/>
      </c>
      <c r="Q2329" s="20">
        <f>IF(I2329="","",IF(I2329="Ingreso",O2329,0))</f>
        <v/>
      </c>
      <c r="R2329" s="20">
        <f>IF(I2329="","",IF(I2329="Trading",O2329,0))</f>
        <v/>
      </c>
      <c r="S2329" s="19">
        <f>IF(I2329="","",IF(AND(I2329="Gasto",K2329="Variable",J2329&lt;&gt;"Trading",O2329&gt;0,O2329&lt;=Umbral),1,0))</f>
        <v/>
      </c>
      <c r="T2329" s="20">
        <f>IF(OR(I2329="",E2329=""),"",IF(OR(I2329="Gasto",I2329="Transferencia",I2329="Pago tarjeta"),-1,1)*C2329)</f>
        <v/>
      </c>
      <c r="U2329" s="20">
        <f>IF(OR(G2329="",AND(I2329&lt;&gt;"Transferencia",I2329&lt;&gt;"Pago tarjeta")),"",IF(IFERROR(INDEX(ctaMon,MATCH(G2329,ctaNom,0))&amp;"","DOP")=N2329,C2329,IF(N2329="USD",C2329*TasaUSD,C2329/TasaUSD)))</f>
        <v/>
      </c>
      <c r="V2329" s="20">
        <f>IF(I2329="","",IF(IFERROR(INDEX(ctaLiq,MATCH(E2329,ctaNom,0))="Sí",FALSE),IF(OR(I2329="Gasto",I2329="Transferencia",I2329="Pago tarjeta"),-1,1)*O2329,0)+IF(AND(U2329&lt;&gt;"",IFERROR(INDEX(ctaLiq,MATCH(G2329,ctaNom,0))="Sí",FALSE)),O2329,0))</f>
        <v/>
      </c>
      <c r="W2329" s="19">
        <f>IF(OR(F2329="",I2329=""),"",IF(COUNTIFS(F$6:F2329,F2329,I$6:I2329,"?*")=1,MAX(W$5:W2328)+1,""))</f>
        <v/>
      </c>
    </row>
    <row r="2330">
      <c r="B2330" s="15" t="n"/>
      <c r="C2330" s="16" t="n"/>
      <c r="D2330" s="17" t="n"/>
      <c r="E2330" s="17" t="n"/>
      <c r="F2330" s="17" t="n"/>
      <c r="G2330" s="17" t="n"/>
      <c r="H2330" s="18">
        <f>IF(AND(B2330="",C2330="",D2330="",E2330=""),"",IF(B2330="","⚠ Falta fecha",IF(C2330="","⚠ Falta monto",IF(D2330="","⚠ Falta categoría",IF(ISNA(MATCH(D2330,catNom,0)),"⚠ Categoría no existe",IF(E2330="","⚠ Falta cuenta",IF(ISNA(MATCH(E2330,ctaNom,0)),"⚠ Cuenta no existe",IF(AND(OR(I2330="Transferencia",I2330="Pago tarjeta"),G2330=""),"⚠ Indica la cuenta «Hacia»",IF(AND(G2330&lt;&gt;"",G2330=E2330),"⚠ «Hacia» igual a la cuenta",IF(AND(G2330&lt;&gt;"",ISNA(MATCH(G2330,ctaNom,0))),"⚠ «Hacia» no existe",IF(AND(I2330="Pago tarjeta",IFERROR(INDEX(ctaTipo,MATCH(G2330,ctaNom,0)),"")&lt;&gt;"Tarjeta de crédito"),"⚠ «Hacia» debe ser la tarjeta",IF(AND(I2330="Trading",IFERROR(INDEX(ctaTipo,MATCH(E2330,ctaNom,0)),"")&lt;&gt;"Cuenta de trading"),"⚠ Usa la cuenta de trading","✓"))))))))))))</f>
        <v/>
      </c>
      <c r="I2330" s="19">
        <f>IF(OR(B2330="",C2330="",D2330=""),"",IFERROR(INDEX(catTipo,MATCH(D2330,catNom,0))&amp;"",""))</f>
        <v/>
      </c>
      <c r="J2330" s="19">
        <f>IF(I2330="","",IFERROR(INDEX(catGrupo,MATCH(D2330,catNom,0))&amp;"",""))</f>
        <v/>
      </c>
      <c r="K2330" s="19">
        <f>IF(I2330="Gasto",IF(IFERROR(INDEX(catClas,MATCH(D2330,catNom,0))&amp;"","")="","Variable",IFERROR(INDEX(catClas,MATCH(D2330,catNom,0))&amp;"","")),"")</f>
        <v/>
      </c>
      <c r="L2330" s="19">
        <f>IF(I2330="","",IFERROR(INDEX(catAlim,MATCH(D2330,catNom,0))&amp;"",""))</f>
        <v/>
      </c>
      <c r="M2330" s="19">
        <f>IF(I2330="","",IFERROR(INDEX(catComida,MATCH(D2330,catNom,0))&amp;"",""))</f>
        <v/>
      </c>
      <c r="N2330" s="19">
        <f>IF(I2330="","",IFERROR(INDEX(ctaMon,MATCH(E2330,ctaNom,0))&amp;"","DOP"))</f>
        <v/>
      </c>
      <c r="O2330" s="20">
        <f>IF(I2330="","",C2330*IF(N2330="USD",TasaUSD,1))</f>
        <v/>
      </c>
      <c r="P2330" s="20">
        <f>IF(I2330="","",IF(I2330="Gasto",O2330,0))</f>
        <v/>
      </c>
      <c r="Q2330" s="20">
        <f>IF(I2330="","",IF(I2330="Ingreso",O2330,0))</f>
        <v/>
      </c>
      <c r="R2330" s="20">
        <f>IF(I2330="","",IF(I2330="Trading",O2330,0))</f>
        <v/>
      </c>
      <c r="S2330" s="19">
        <f>IF(I2330="","",IF(AND(I2330="Gasto",K2330="Variable",J2330&lt;&gt;"Trading",O2330&gt;0,O2330&lt;=Umbral),1,0))</f>
        <v/>
      </c>
      <c r="T2330" s="20">
        <f>IF(OR(I2330="",E2330=""),"",IF(OR(I2330="Gasto",I2330="Transferencia",I2330="Pago tarjeta"),-1,1)*C2330)</f>
        <v/>
      </c>
      <c r="U2330" s="20">
        <f>IF(OR(G2330="",AND(I2330&lt;&gt;"Transferencia",I2330&lt;&gt;"Pago tarjeta")),"",IF(IFERROR(INDEX(ctaMon,MATCH(G2330,ctaNom,0))&amp;"","DOP")=N2330,C2330,IF(N2330="USD",C2330*TasaUSD,C2330/TasaUSD)))</f>
        <v/>
      </c>
      <c r="V2330" s="20">
        <f>IF(I2330="","",IF(IFERROR(INDEX(ctaLiq,MATCH(E2330,ctaNom,0))="Sí",FALSE),IF(OR(I2330="Gasto",I2330="Transferencia",I2330="Pago tarjeta"),-1,1)*O2330,0)+IF(AND(U2330&lt;&gt;"",IFERROR(INDEX(ctaLiq,MATCH(G2330,ctaNom,0))="Sí",FALSE)),O2330,0))</f>
        <v/>
      </c>
      <c r="W2330" s="19">
        <f>IF(OR(F2330="",I2330=""),"",IF(COUNTIFS(F$6:F2330,F2330,I$6:I2330,"?*")=1,MAX(W$5:W2329)+1,""))</f>
        <v/>
      </c>
    </row>
    <row r="2331">
      <c r="B2331" s="15" t="n"/>
      <c r="C2331" s="16" t="n"/>
      <c r="D2331" s="17" t="n"/>
      <c r="E2331" s="17" t="n"/>
      <c r="F2331" s="17" t="n"/>
      <c r="G2331" s="17" t="n"/>
      <c r="H2331" s="18">
        <f>IF(AND(B2331="",C2331="",D2331="",E2331=""),"",IF(B2331="","⚠ Falta fecha",IF(C2331="","⚠ Falta monto",IF(D2331="","⚠ Falta categoría",IF(ISNA(MATCH(D2331,catNom,0)),"⚠ Categoría no existe",IF(E2331="","⚠ Falta cuenta",IF(ISNA(MATCH(E2331,ctaNom,0)),"⚠ Cuenta no existe",IF(AND(OR(I2331="Transferencia",I2331="Pago tarjeta"),G2331=""),"⚠ Indica la cuenta «Hacia»",IF(AND(G2331&lt;&gt;"",G2331=E2331),"⚠ «Hacia» igual a la cuenta",IF(AND(G2331&lt;&gt;"",ISNA(MATCH(G2331,ctaNom,0))),"⚠ «Hacia» no existe",IF(AND(I2331="Pago tarjeta",IFERROR(INDEX(ctaTipo,MATCH(G2331,ctaNom,0)),"")&lt;&gt;"Tarjeta de crédito"),"⚠ «Hacia» debe ser la tarjeta",IF(AND(I2331="Trading",IFERROR(INDEX(ctaTipo,MATCH(E2331,ctaNom,0)),"")&lt;&gt;"Cuenta de trading"),"⚠ Usa la cuenta de trading","✓"))))))))))))</f>
        <v/>
      </c>
      <c r="I2331" s="19">
        <f>IF(OR(B2331="",C2331="",D2331=""),"",IFERROR(INDEX(catTipo,MATCH(D2331,catNom,0))&amp;"",""))</f>
        <v/>
      </c>
      <c r="J2331" s="19">
        <f>IF(I2331="","",IFERROR(INDEX(catGrupo,MATCH(D2331,catNom,0))&amp;"",""))</f>
        <v/>
      </c>
      <c r="K2331" s="19">
        <f>IF(I2331="Gasto",IF(IFERROR(INDEX(catClas,MATCH(D2331,catNom,0))&amp;"","")="","Variable",IFERROR(INDEX(catClas,MATCH(D2331,catNom,0))&amp;"","")),"")</f>
        <v/>
      </c>
      <c r="L2331" s="19">
        <f>IF(I2331="","",IFERROR(INDEX(catAlim,MATCH(D2331,catNom,0))&amp;"",""))</f>
        <v/>
      </c>
      <c r="M2331" s="19">
        <f>IF(I2331="","",IFERROR(INDEX(catComida,MATCH(D2331,catNom,0))&amp;"",""))</f>
        <v/>
      </c>
      <c r="N2331" s="19">
        <f>IF(I2331="","",IFERROR(INDEX(ctaMon,MATCH(E2331,ctaNom,0))&amp;"","DOP"))</f>
        <v/>
      </c>
      <c r="O2331" s="20">
        <f>IF(I2331="","",C2331*IF(N2331="USD",TasaUSD,1))</f>
        <v/>
      </c>
      <c r="P2331" s="20">
        <f>IF(I2331="","",IF(I2331="Gasto",O2331,0))</f>
        <v/>
      </c>
      <c r="Q2331" s="20">
        <f>IF(I2331="","",IF(I2331="Ingreso",O2331,0))</f>
        <v/>
      </c>
      <c r="R2331" s="20">
        <f>IF(I2331="","",IF(I2331="Trading",O2331,0))</f>
        <v/>
      </c>
      <c r="S2331" s="19">
        <f>IF(I2331="","",IF(AND(I2331="Gasto",K2331="Variable",J2331&lt;&gt;"Trading",O2331&gt;0,O2331&lt;=Umbral),1,0))</f>
        <v/>
      </c>
      <c r="T2331" s="20">
        <f>IF(OR(I2331="",E2331=""),"",IF(OR(I2331="Gasto",I2331="Transferencia",I2331="Pago tarjeta"),-1,1)*C2331)</f>
        <v/>
      </c>
      <c r="U2331" s="20">
        <f>IF(OR(G2331="",AND(I2331&lt;&gt;"Transferencia",I2331&lt;&gt;"Pago tarjeta")),"",IF(IFERROR(INDEX(ctaMon,MATCH(G2331,ctaNom,0))&amp;"","DOP")=N2331,C2331,IF(N2331="USD",C2331*TasaUSD,C2331/TasaUSD)))</f>
        <v/>
      </c>
      <c r="V2331" s="20">
        <f>IF(I2331="","",IF(IFERROR(INDEX(ctaLiq,MATCH(E2331,ctaNom,0))="Sí",FALSE),IF(OR(I2331="Gasto",I2331="Transferencia",I2331="Pago tarjeta"),-1,1)*O2331,0)+IF(AND(U2331&lt;&gt;"",IFERROR(INDEX(ctaLiq,MATCH(G2331,ctaNom,0))="Sí",FALSE)),O2331,0))</f>
        <v/>
      </c>
      <c r="W2331" s="19">
        <f>IF(OR(F2331="",I2331=""),"",IF(COUNTIFS(F$6:F2331,F2331,I$6:I2331,"?*")=1,MAX(W$5:W2330)+1,""))</f>
        <v/>
      </c>
    </row>
    <row r="2332">
      <c r="B2332" s="15" t="n"/>
      <c r="C2332" s="16" t="n"/>
      <c r="D2332" s="17" t="n"/>
      <c r="E2332" s="17" t="n"/>
      <c r="F2332" s="17" t="n"/>
      <c r="G2332" s="17" t="n"/>
      <c r="H2332" s="18">
        <f>IF(AND(B2332="",C2332="",D2332="",E2332=""),"",IF(B2332="","⚠ Falta fecha",IF(C2332="","⚠ Falta monto",IF(D2332="","⚠ Falta categoría",IF(ISNA(MATCH(D2332,catNom,0)),"⚠ Categoría no existe",IF(E2332="","⚠ Falta cuenta",IF(ISNA(MATCH(E2332,ctaNom,0)),"⚠ Cuenta no existe",IF(AND(OR(I2332="Transferencia",I2332="Pago tarjeta"),G2332=""),"⚠ Indica la cuenta «Hacia»",IF(AND(G2332&lt;&gt;"",G2332=E2332),"⚠ «Hacia» igual a la cuenta",IF(AND(G2332&lt;&gt;"",ISNA(MATCH(G2332,ctaNom,0))),"⚠ «Hacia» no existe",IF(AND(I2332="Pago tarjeta",IFERROR(INDEX(ctaTipo,MATCH(G2332,ctaNom,0)),"")&lt;&gt;"Tarjeta de crédito"),"⚠ «Hacia» debe ser la tarjeta",IF(AND(I2332="Trading",IFERROR(INDEX(ctaTipo,MATCH(E2332,ctaNom,0)),"")&lt;&gt;"Cuenta de trading"),"⚠ Usa la cuenta de trading","✓"))))))))))))</f>
        <v/>
      </c>
      <c r="I2332" s="19">
        <f>IF(OR(B2332="",C2332="",D2332=""),"",IFERROR(INDEX(catTipo,MATCH(D2332,catNom,0))&amp;"",""))</f>
        <v/>
      </c>
      <c r="J2332" s="19">
        <f>IF(I2332="","",IFERROR(INDEX(catGrupo,MATCH(D2332,catNom,0))&amp;"",""))</f>
        <v/>
      </c>
      <c r="K2332" s="19">
        <f>IF(I2332="Gasto",IF(IFERROR(INDEX(catClas,MATCH(D2332,catNom,0))&amp;"","")="","Variable",IFERROR(INDEX(catClas,MATCH(D2332,catNom,0))&amp;"","")),"")</f>
        <v/>
      </c>
      <c r="L2332" s="19">
        <f>IF(I2332="","",IFERROR(INDEX(catAlim,MATCH(D2332,catNom,0))&amp;"",""))</f>
        <v/>
      </c>
      <c r="M2332" s="19">
        <f>IF(I2332="","",IFERROR(INDEX(catComida,MATCH(D2332,catNom,0))&amp;"",""))</f>
        <v/>
      </c>
      <c r="N2332" s="19">
        <f>IF(I2332="","",IFERROR(INDEX(ctaMon,MATCH(E2332,ctaNom,0))&amp;"","DOP"))</f>
        <v/>
      </c>
      <c r="O2332" s="20">
        <f>IF(I2332="","",C2332*IF(N2332="USD",TasaUSD,1))</f>
        <v/>
      </c>
      <c r="P2332" s="20">
        <f>IF(I2332="","",IF(I2332="Gasto",O2332,0))</f>
        <v/>
      </c>
      <c r="Q2332" s="20">
        <f>IF(I2332="","",IF(I2332="Ingreso",O2332,0))</f>
        <v/>
      </c>
      <c r="R2332" s="20">
        <f>IF(I2332="","",IF(I2332="Trading",O2332,0))</f>
        <v/>
      </c>
      <c r="S2332" s="19">
        <f>IF(I2332="","",IF(AND(I2332="Gasto",K2332="Variable",J2332&lt;&gt;"Trading",O2332&gt;0,O2332&lt;=Umbral),1,0))</f>
        <v/>
      </c>
      <c r="T2332" s="20">
        <f>IF(OR(I2332="",E2332=""),"",IF(OR(I2332="Gasto",I2332="Transferencia",I2332="Pago tarjeta"),-1,1)*C2332)</f>
        <v/>
      </c>
      <c r="U2332" s="20">
        <f>IF(OR(G2332="",AND(I2332&lt;&gt;"Transferencia",I2332&lt;&gt;"Pago tarjeta")),"",IF(IFERROR(INDEX(ctaMon,MATCH(G2332,ctaNom,0))&amp;"","DOP")=N2332,C2332,IF(N2332="USD",C2332*TasaUSD,C2332/TasaUSD)))</f>
        <v/>
      </c>
      <c r="V2332" s="20">
        <f>IF(I2332="","",IF(IFERROR(INDEX(ctaLiq,MATCH(E2332,ctaNom,0))="Sí",FALSE),IF(OR(I2332="Gasto",I2332="Transferencia",I2332="Pago tarjeta"),-1,1)*O2332,0)+IF(AND(U2332&lt;&gt;"",IFERROR(INDEX(ctaLiq,MATCH(G2332,ctaNom,0))="Sí",FALSE)),O2332,0))</f>
        <v/>
      </c>
      <c r="W2332" s="19">
        <f>IF(OR(F2332="",I2332=""),"",IF(COUNTIFS(F$6:F2332,F2332,I$6:I2332,"?*")=1,MAX(W$5:W2331)+1,""))</f>
        <v/>
      </c>
    </row>
    <row r="2333">
      <c r="B2333" s="15" t="n"/>
      <c r="C2333" s="16" t="n"/>
      <c r="D2333" s="17" t="n"/>
      <c r="E2333" s="17" t="n"/>
      <c r="F2333" s="17" t="n"/>
      <c r="G2333" s="17" t="n"/>
      <c r="H2333" s="18">
        <f>IF(AND(B2333="",C2333="",D2333="",E2333=""),"",IF(B2333="","⚠ Falta fecha",IF(C2333="","⚠ Falta monto",IF(D2333="","⚠ Falta categoría",IF(ISNA(MATCH(D2333,catNom,0)),"⚠ Categoría no existe",IF(E2333="","⚠ Falta cuenta",IF(ISNA(MATCH(E2333,ctaNom,0)),"⚠ Cuenta no existe",IF(AND(OR(I2333="Transferencia",I2333="Pago tarjeta"),G2333=""),"⚠ Indica la cuenta «Hacia»",IF(AND(G2333&lt;&gt;"",G2333=E2333),"⚠ «Hacia» igual a la cuenta",IF(AND(G2333&lt;&gt;"",ISNA(MATCH(G2333,ctaNom,0))),"⚠ «Hacia» no existe",IF(AND(I2333="Pago tarjeta",IFERROR(INDEX(ctaTipo,MATCH(G2333,ctaNom,0)),"")&lt;&gt;"Tarjeta de crédito"),"⚠ «Hacia» debe ser la tarjeta",IF(AND(I2333="Trading",IFERROR(INDEX(ctaTipo,MATCH(E2333,ctaNom,0)),"")&lt;&gt;"Cuenta de trading"),"⚠ Usa la cuenta de trading","✓"))))))))))))</f>
        <v/>
      </c>
      <c r="I2333" s="19">
        <f>IF(OR(B2333="",C2333="",D2333=""),"",IFERROR(INDEX(catTipo,MATCH(D2333,catNom,0))&amp;"",""))</f>
        <v/>
      </c>
      <c r="J2333" s="19">
        <f>IF(I2333="","",IFERROR(INDEX(catGrupo,MATCH(D2333,catNom,0))&amp;"",""))</f>
        <v/>
      </c>
      <c r="K2333" s="19">
        <f>IF(I2333="Gasto",IF(IFERROR(INDEX(catClas,MATCH(D2333,catNom,0))&amp;"","")="","Variable",IFERROR(INDEX(catClas,MATCH(D2333,catNom,0))&amp;"","")),"")</f>
        <v/>
      </c>
      <c r="L2333" s="19">
        <f>IF(I2333="","",IFERROR(INDEX(catAlim,MATCH(D2333,catNom,0))&amp;"",""))</f>
        <v/>
      </c>
      <c r="M2333" s="19">
        <f>IF(I2333="","",IFERROR(INDEX(catComida,MATCH(D2333,catNom,0))&amp;"",""))</f>
        <v/>
      </c>
      <c r="N2333" s="19">
        <f>IF(I2333="","",IFERROR(INDEX(ctaMon,MATCH(E2333,ctaNom,0))&amp;"","DOP"))</f>
        <v/>
      </c>
      <c r="O2333" s="20">
        <f>IF(I2333="","",C2333*IF(N2333="USD",TasaUSD,1))</f>
        <v/>
      </c>
      <c r="P2333" s="20">
        <f>IF(I2333="","",IF(I2333="Gasto",O2333,0))</f>
        <v/>
      </c>
      <c r="Q2333" s="20">
        <f>IF(I2333="","",IF(I2333="Ingreso",O2333,0))</f>
        <v/>
      </c>
      <c r="R2333" s="20">
        <f>IF(I2333="","",IF(I2333="Trading",O2333,0))</f>
        <v/>
      </c>
      <c r="S2333" s="19">
        <f>IF(I2333="","",IF(AND(I2333="Gasto",K2333="Variable",J2333&lt;&gt;"Trading",O2333&gt;0,O2333&lt;=Umbral),1,0))</f>
        <v/>
      </c>
      <c r="T2333" s="20">
        <f>IF(OR(I2333="",E2333=""),"",IF(OR(I2333="Gasto",I2333="Transferencia",I2333="Pago tarjeta"),-1,1)*C2333)</f>
        <v/>
      </c>
      <c r="U2333" s="20">
        <f>IF(OR(G2333="",AND(I2333&lt;&gt;"Transferencia",I2333&lt;&gt;"Pago tarjeta")),"",IF(IFERROR(INDEX(ctaMon,MATCH(G2333,ctaNom,0))&amp;"","DOP")=N2333,C2333,IF(N2333="USD",C2333*TasaUSD,C2333/TasaUSD)))</f>
        <v/>
      </c>
      <c r="V2333" s="20">
        <f>IF(I2333="","",IF(IFERROR(INDEX(ctaLiq,MATCH(E2333,ctaNom,0))="Sí",FALSE),IF(OR(I2333="Gasto",I2333="Transferencia",I2333="Pago tarjeta"),-1,1)*O2333,0)+IF(AND(U2333&lt;&gt;"",IFERROR(INDEX(ctaLiq,MATCH(G2333,ctaNom,0))="Sí",FALSE)),O2333,0))</f>
        <v/>
      </c>
      <c r="W2333" s="19">
        <f>IF(OR(F2333="",I2333=""),"",IF(COUNTIFS(F$6:F2333,F2333,I$6:I2333,"?*")=1,MAX(W$5:W2332)+1,""))</f>
        <v/>
      </c>
    </row>
    <row r="2334">
      <c r="B2334" s="15" t="n"/>
      <c r="C2334" s="16" t="n"/>
      <c r="D2334" s="17" t="n"/>
      <c r="E2334" s="17" t="n"/>
      <c r="F2334" s="17" t="n"/>
      <c r="G2334" s="17" t="n"/>
      <c r="H2334" s="18">
        <f>IF(AND(B2334="",C2334="",D2334="",E2334=""),"",IF(B2334="","⚠ Falta fecha",IF(C2334="","⚠ Falta monto",IF(D2334="","⚠ Falta categoría",IF(ISNA(MATCH(D2334,catNom,0)),"⚠ Categoría no existe",IF(E2334="","⚠ Falta cuenta",IF(ISNA(MATCH(E2334,ctaNom,0)),"⚠ Cuenta no existe",IF(AND(OR(I2334="Transferencia",I2334="Pago tarjeta"),G2334=""),"⚠ Indica la cuenta «Hacia»",IF(AND(G2334&lt;&gt;"",G2334=E2334),"⚠ «Hacia» igual a la cuenta",IF(AND(G2334&lt;&gt;"",ISNA(MATCH(G2334,ctaNom,0))),"⚠ «Hacia» no existe",IF(AND(I2334="Pago tarjeta",IFERROR(INDEX(ctaTipo,MATCH(G2334,ctaNom,0)),"")&lt;&gt;"Tarjeta de crédito"),"⚠ «Hacia» debe ser la tarjeta",IF(AND(I2334="Trading",IFERROR(INDEX(ctaTipo,MATCH(E2334,ctaNom,0)),"")&lt;&gt;"Cuenta de trading"),"⚠ Usa la cuenta de trading","✓"))))))))))))</f>
        <v/>
      </c>
      <c r="I2334" s="19">
        <f>IF(OR(B2334="",C2334="",D2334=""),"",IFERROR(INDEX(catTipo,MATCH(D2334,catNom,0))&amp;"",""))</f>
        <v/>
      </c>
      <c r="J2334" s="19">
        <f>IF(I2334="","",IFERROR(INDEX(catGrupo,MATCH(D2334,catNom,0))&amp;"",""))</f>
        <v/>
      </c>
      <c r="K2334" s="19">
        <f>IF(I2334="Gasto",IF(IFERROR(INDEX(catClas,MATCH(D2334,catNom,0))&amp;"","")="","Variable",IFERROR(INDEX(catClas,MATCH(D2334,catNom,0))&amp;"","")),"")</f>
        <v/>
      </c>
      <c r="L2334" s="19">
        <f>IF(I2334="","",IFERROR(INDEX(catAlim,MATCH(D2334,catNom,0))&amp;"",""))</f>
        <v/>
      </c>
      <c r="M2334" s="19">
        <f>IF(I2334="","",IFERROR(INDEX(catComida,MATCH(D2334,catNom,0))&amp;"",""))</f>
        <v/>
      </c>
      <c r="N2334" s="19">
        <f>IF(I2334="","",IFERROR(INDEX(ctaMon,MATCH(E2334,ctaNom,0))&amp;"","DOP"))</f>
        <v/>
      </c>
      <c r="O2334" s="20">
        <f>IF(I2334="","",C2334*IF(N2334="USD",TasaUSD,1))</f>
        <v/>
      </c>
      <c r="P2334" s="20">
        <f>IF(I2334="","",IF(I2334="Gasto",O2334,0))</f>
        <v/>
      </c>
      <c r="Q2334" s="20">
        <f>IF(I2334="","",IF(I2334="Ingreso",O2334,0))</f>
        <v/>
      </c>
      <c r="R2334" s="20">
        <f>IF(I2334="","",IF(I2334="Trading",O2334,0))</f>
        <v/>
      </c>
      <c r="S2334" s="19">
        <f>IF(I2334="","",IF(AND(I2334="Gasto",K2334="Variable",J2334&lt;&gt;"Trading",O2334&gt;0,O2334&lt;=Umbral),1,0))</f>
        <v/>
      </c>
      <c r="T2334" s="20">
        <f>IF(OR(I2334="",E2334=""),"",IF(OR(I2334="Gasto",I2334="Transferencia",I2334="Pago tarjeta"),-1,1)*C2334)</f>
        <v/>
      </c>
      <c r="U2334" s="20">
        <f>IF(OR(G2334="",AND(I2334&lt;&gt;"Transferencia",I2334&lt;&gt;"Pago tarjeta")),"",IF(IFERROR(INDEX(ctaMon,MATCH(G2334,ctaNom,0))&amp;"","DOP")=N2334,C2334,IF(N2334="USD",C2334*TasaUSD,C2334/TasaUSD)))</f>
        <v/>
      </c>
      <c r="V2334" s="20">
        <f>IF(I2334="","",IF(IFERROR(INDEX(ctaLiq,MATCH(E2334,ctaNom,0))="Sí",FALSE),IF(OR(I2334="Gasto",I2334="Transferencia",I2334="Pago tarjeta"),-1,1)*O2334,0)+IF(AND(U2334&lt;&gt;"",IFERROR(INDEX(ctaLiq,MATCH(G2334,ctaNom,0))="Sí",FALSE)),O2334,0))</f>
        <v/>
      </c>
      <c r="W2334" s="19">
        <f>IF(OR(F2334="",I2334=""),"",IF(COUNTIFS(F$6:F2334,F2334,I$6:I2334,"?*")=1,MAX(W$5:W2333)+1,""))</f>
        <v/>
      </c>
    </row>
    <row r="2335">
      <c r="B2335" s="15" t="n"/>
      <c r="C2335" s="16" t="n"/>
      <c r="D2335" s="17" t="n"/>
      <c r="E2335" s="17" t="n"/>
      <c r="F2335" s="17" t="n"/>
      <c r="G2335" s="17" t="n"/>
      <c r="H2335" s="18">
        <f>IF(AND(B2335="",C2335="",D2335="",E2335=""),"",IF(B2335="","⚠ Falta fecha",IF(C2335="","⚠ Falta monto",IF(D2335="","⚠ Falta categoría",IF(ISNA(MATCH(D2335,catNom,0)),"⚠ Categoría no existe",IF(E2335="","⚠ Falta cuenta",IF(ISNA(MATCH(E2335,ctaNom,0)),"⚠ Cuenta no existe",IF(AND(OR(I2335="Transferencia",I2335="Pago tarjeta"),G2335=""),"⚠ Indica la cuenta «Hacia»",IF(AND(G2335&lt;&gt;"",G2335=E2335),"⚠ «Hacia» igual a la cuenta",IF(AND(G2335&lt;&gt;"",ISNA(MATCH(G2335,ctaNom,0))),"⚠ «Hacia» no existe",IF(AND(I2335="Pago tarjeta",IFERROR(INDEX(ctaTipo,MATCH(G2335,ctaNom,0)),"")&lt;&gt;"Tarjeta de crédito"),"⚠ «Hacia» debe ser la tarjeta",IF(AND(I2335="Trading",IFERROR(INDEX(ctaTipo,MATCH(E2335,ctaNom,0)),"")&lt;&gt;"Cuenta de trading"),"⚠ Usa la cuenta de trading","✓"))))))))))))</f>
        <v/>
      </c>
      <c r="I2335" s="19">
        <f>IF(OR(B2335="",C2335="",D2335=""),"",IFERROR(INDEX(catTipo,MATCH(D2335,catNom,0))&amp;"",""))</f>
        <v/>
      </c>
      <c r="J2335" s="19">
        <f>IF(I2335="","",IFERROR(INDEX(catGrupo,MATCH(D2335,catNom,0))&amp;"",""))</f>
        <v/>
      </c>
      <c r="K2335" s="19">
        <f>IF(I2335="Gasto",IF(IFERROR(INDEX(catClas,MATCH(D2335,catNom,0))&amp;"","")="","Variable",IFERROR(INDEX(catClas,MATCH(D2335,catNom,0))&amp;"","")),"")</f>
        <v/>
      </c>
      <c r="L2335" s="19">
        <f>IF(I2335="","",IFERROR(INDEX(catAlim,MATCH(D2335,catNom,0))&amp;"",""))</f>
        <v/>
      </c>
      <c r="M2335" s="19">
        <f>IF(I2335="","",IFERROR(INDEX(catComida,MATCH(D2335,catNom,0))&amp;"",""))</f>
        <v/>
      </c>
      <c r="N2335" s="19">
        <f>IF(I2335="","",IFERROR(INDEX(ctaMon,MATCH(E2335,ctaNom,0))&amp;"","DOP"))</f>
        <v/>
      </c>
      <c r="O2335" s="20">
        <f>IF(I2335="","",C2335*IF(N2335="USD",TasaUSD,1))</f>
        <v/>
      </c>
      <c r="P2335" s="20">
        <f>IF(I2335="","",IF(I2335="Gasto",O2335,0))</f>
        <v/>
      </c>
      <c r="Q2335" s="20">
        <f>IF(I2335="","",IF(I2335="Ingreso",O2335,0))</f>
        <v/>
      </c>
      <c r="R2335" s="20">
        <f>IF(I2335="","",IF(I2335="Trading",O2335,0))</f>
        <v/>
      </c>
      <c r="S2335" s="19">
        <f>IF(I2335="","",IF(AND(I2335="Gasto",K2335="Variable",J2335&lt;&gt;"Trading",O2335&gt;0,O2335&lt;=Umbral),1,0))</f>
        <v/>
      </c>
      <c r="T2335" s="20">
        <f>IF(OR(I2335="",E2335=""),"",IF(OR(I2335="Gasto",I2335="Transferencia",I2335="Pago tarjeta"),-1,1)*C2335)</f>
        <v/>
      </c>
      <c r="U2335" s="20">
        <f>IF(OR(G2335="",AND(I2335&lt;&gt;"Transferencia",I2335&lt;&gt;"Pago tarjeta")),"",IF(IFERROR(INDEX(ctaMon,MATCH(G2335,ctaNom,0))&amp;"","DOP")=N2335,C2335,IF(N2335="USD",C2335*TasaUSD,C2335/TasaUSD)))</f>
        <v/>
      </c>
      <c r="V2335" s="20">
        <f>IF(I2335="","",IF(IFERROR(INDEX(ctaLiq,MATCH(E2335,ctaNom,0))="Sí",FALSE),IF(OR(I2335="Gasto",I2335="Transferencia",I2335="Pago tarjeta"),-1,1)*O2335,0)+IF(AND(U2335&lt;&gt;"",IFERROR(INDEX(ctaLiq,MATCH(G2335,ctaNom,0))="Sí",FALSE)),O2335,0))</f>
        <v/>
      </c>
      <c r="W2335" s="19">
        <f>IF(OR(F2335="",I2335=""),"",IF(COUNTIFS(F$6:F2335,F2335,I$6:I2335,"?*")=1,MAX(W$5:W2334)+1,""))</f>
        <v/>
      </c>
    </row>
    <row r="2336">
      <c r="B2336" s="15" t="n"/>
      <c r="C2336" s="16" t="n"/>
      <c r="D2336" s="17" t="n"/>
      <c r="E2336" s="17" t="n"/>
      <c r="F2336" s="17" t="n"/>
      <c r="G2336" s="17" t="n"/>
      <c r="H2336" s="18">
        <f>IF(AND(B2336="",C2336="",D2336="",E2336=""),"",IF(B2336="","⚠ Falta fecha",IF(C2336="","⚠ Falta monto",IF(D2336="","⚠ Falta categoría",IF(ISNA(MATCH(D2336,catNom,0)),"⚠ Categoría no existe",IF(E2336="","⚠ Falta cuenta",IF(ISNA(MATCH(E2336,ctaNom,0)),"⚠ Cuenta no existe",IF(AND(OR(I2336="Transferencia",I2336="Pago tarjeta"),G2336=""),"⚠ Indica la cuenta «Hacia»",IF(AND(G2336&lt;&gt;"",G2336=E2336),"⚠ «Hacia» igual a la cuenta",IF(AND(G2336&lt;&gt;"",ISNA(MATCH(G2336,ctaNom,0))),"⚠ «Hacia» no existe",IF(AND(I2336="Pago tarjeta",IFERROR(INDEX(ctaTipo,MATCH(G2336,ctaNom,0)),"")&lt;&gt;"Tarjeta de crédito"),"⚠ «Hacia» debe ser la tarjeta",IF(AND(I2336="Trading",IFERROR(INDEX(ctaTipo,MATCH(E2336,ctaNom,0)),"")&lt;&gt;"Cuenta de trading"),"⚠ Usa la cuenta de trading","✓"))))))))))))</f>
        <v/>
      </c>
      <c r="I2336" s="19">
        <f>IF(OR(B2336="",C2336="",D2336=""),"",IFERROR(INDEX(catTipo,MATCH(D2336,catNom,0))&amp;"",""))</f>
        <v/>
      </c>
      <c r="J2336" s="19">
        <f>IF(I2336="","",IFERROR(INDEX(catGrupo,MATCH(D2336,catNom,0))&amp;"",""))</f>
        <v/>
      </c>
      <c r="K2336" s="19">
        <f>IF(I2336="Gasto",IF(IFERROR(INDEX(catClas,MATCH(D2336,catNom,0))&amp;"","")="","Variable",IFERROR(INDEX(catClas,MATCH(D2336,catNom,0))&amp;"","")),"")</f>
        <v/>
      </c>
      <c r="L2336" s="19">
        <f>IF(I2336="","",IFERROR(INDEX(catAlim,MATCH(D2336,catNom,0))&amp;"",""))</f>
        <v/>
      </c>
      <c r="M2336" s="19">
        <f>IF(I2336="","",IFERROR(INDEX(catComida,MATCH(D2336,catNom,0))&amp;"",""))</f>
        <v/>
      </c>
      <c r="N2336" s="19">
        <f>IF(I2336="","",IFERROR(INDEX(ctaMon,MATCH(E2336,ctaNom,0))&amp;"","DOP"))</f>
        <v/>
      </c>
      <c r="O2336" s="20">
        <f>IF(I2336="","",C2336*IF(N2336="USD",TasaUSD,1))</f>
        <v/>
      </c>
      <c r="P2336" s="20">
        <f>IF(I2336="","",IF(I2336="Gasto",O2336,0))</f>
        <v/>
      </c>
      <c r="Q2336" s="20">
        <f>IF(I2336="","",IF(I2336="Ingreso",O2336,0))</f>
        <v/>
      </c>
      <c r="R2336" s="20">
        <f>IF(I2336="","",IF(I2336="Trading",O2336,0))</f>
        <v/>
      </c>
      <c r="S2336" s="19">
        <f>IF(I2336="","",IF(AND(I2336="Gasto",K2336="Variable",J2336&lt;&gt;"Trading",O2336&gt;0,O2336&lt;=Umbral),1,0))</f>
        <v/>
      </c>
      <c r="T2336" s="20">
        <f>IF(OR(I2336="",E2336=""),"",IF(OR(I2336="Gasto",I2336="Transferencia",I2336="Pago tarjeta"),-1,1)*C2336)</f>
        <v/>
      </c>
      <c r="U2336" s="20">
        <f>IF(OR(G2336="",AND(I2336&lt;&gt;"Transferencia",I2336&lt;&gt;"Pago tarjeta")),"",IF(IFERROR(INDEX(ctaMon,MATCH(G2336,ctaNom,0))&amp;"","DOP")=N2336,C2336,IF(N2336="USD",C2336*TasaUSD,C2336/TasaUSD)))</f>
        <v/>
      </c>
      <c r="V2336" s="20">
        <f>IF(I2336="","",IF(IFERROR(INDEX(ctaLiq,MATCH(E2336,ctaNom,0))="Sí",FALSE),IF(OR(I2336="Gasto",I2336="Transferencia",I2336="Pago tarjeta"),-1,1)*O2336,0)+IF(AND(U2336&lt;&gt;"",IFERROR(INDEX(ctaLiq,MATCH(G2336,ctaNom,0))="Sí",FALSE)),O2336,0))</f>
        <v/>
      </c>
      <c r="W2336" s="19">
        <f>IF(OR(F2336="",I2336=""),"",IF(COUNTIFS(F$6:F2336,F2336,I$6:I2336,"?*")=1,MAX(W$5:W2335)+1,""))</f>
        <v/>
      </c>
    </row>
    <row r="2337">
      <c r="B2337" s="15" t="n"/>
      <c r="C2337" s="16" t="n"/>
      <c r="D2337" s="17" t="n"/>
      <c r="E2337" s="17" t="n"/>
      <c r="F2337" s="17" t="n"/>
      <c r="G2337" s="17" t="n"/>
      <c r="H2337" s="18">
        <f>IF(AND(B2337="",C2337="",D2337="",E2337=""),"",IF(B2337="","⚠ Falta fecha",IF(C2337="","⚠ Falta monto",IF(D2337="","⚠ Falta categoría",IF(ISNA(MATCH(D2337,catNom,0)),"⚠ Categoría no existe",IF(E2337="","⚠ Falta cuenta",IF(ISNA(MATCH(E2337,ctaNom,0)),"⚠ Cuenta no existe",IF(AND(OR(I2337="Transferencia",I2337="Pago tarjeta"),G2337=""),"⚠ Indica la cuenta «Hacia»",IF(AND(G2337&lt;&gt;"",G2337=E2337),"⚠ «Hacia» igual a la cuenta",IF(AND(G2337&lt;&gt;"",ISNA(MATCH(G2337,ctaNom,0))),"⚠ «Hacia» no existe",IF(AND(I2337="Pago tarjeta",IFERROR(INDEX(ctaTipo,MATCH(G2337,ctaNom,0)),"")&lt;&gt;"Tarjeta de crédito"),"⚠ «Hacia» debe ser la tarjeta",IF(AND(I2337="Trading",IFERROR(INDEX(ctaTipo,MATCH(E2337,ctaNom,0)),"")&lt;&gt;"Cuenta de trading"),"⚠ Usa la cuenta de trading","✓"))))))))))))</f>
        <v/>
      </c>
      <c r="I2337" s="19">
        <f>IF(OR(B2337="",C2337="",D2337=""),"",IFERROR(INDEX(catTipo,MATCH(D2337,catNom,0))&amp;"",""))</f>
        <v/>
      </c>
      <c r="J2337" s="19">
        <f>IF(I2337="","",IFERROR(INDEX(catGrupo,MATCH(D2337,catNom,0))&amp;"",""))</f>
        <v/>
      </c>
      <c r="K2337" s="19">
        <f>IF(I2337="Gasto",IF(IFERROR(INDEX(catClas,MATCH(D2337,catNom,0))&amp;"","")="","Variable",IFERROR(INDEX(catClas,MATCH(D2337,catNom,0))&amp;"","")),"")</f>
        <v/>
      </c>
      <c r="L2337" s="19">
        <f>IF(I2337="","",IFERROR(INDEX(catAlim,MATCH(D2337,catNom,0))&amp;"",""))</f>
        <v/>
      </c>
      <c r="M2337" s="19">
        <f>IF(I2337="","",IFERROR(INDEX(catComida,MATCH(D2337,catNom,0))&amp;"",""))</f>
        <v/>
      </c>
      <c r="N2337" s="19">
        <f>IF(I2337="","",IFERROR(INDEX(ctaMon,MATCH(E2337,ctaNom,0))&amp;"","DOP"))</f>
        <v/>
      </c>
      <c r="O2337" s="20">
        <f>IF(I2337="","",C2337*IF(N2337="USD",TasaUSD,1))</f>
        <v/>
      </c>
      <c r="P2337" s="20">
        <f>IF(I2337="","",IF(I2337="Gasto",O2337,0))</f>
        <v/>
      </c>
      <c r="Q2337" s="20">
        <f>IF(I2337="","",IF(I2337="Ingreso",O2337,0))</f>
        <v/>
      </c>
      <c r="R2337" s="20">
        <f>IF(I2337="","",IF(I2337="Trading",O2337,0))</f>
        <v/>
      </c>
      <c r="S2337" s="19">
        <f>IF(I2337="","",IF(AND(I2337="Gasto",K2337="Variable",J2337&lt;&gt;"Trading",O2337&gt;0,O2337&lt;=Umbral),1,0))</f>
        <v/>
      </c>
      <c r="T2337" s="20">
        <f>IF(OR(I2337="",E2337=""),"",IF(OR(I2337="Gasto",I2337="Transferencia",I2337="Pago tarjeta"),-1,1)*C2337)</f>
        <v/>
      </c>
      <c r="U2337" s="20">
        <f>IF(OR(G2337="",AND(I2337&lt;&gt;"Transferencia",I2337&lt;&gt;"Pago tarjeta")),"",IF(IFERROR(INDEX(ctaMon,MATCH(G2337,ctaNom,0))&amp;"","DOP")=N2337,C2337,IF(N2337="USD",C2337*TasaUSD,C2337/TasaUSD)))</f>
        <v/>
      </c>
      <c r="V2337" s="20">
        <f>IF(I2337="","",IF(IFERROR(INDEX(ctaLiq,MATCH(E2337,ctaNom,0))="Sí",FALSE),IF(OR(I2337="Gasto",I2337="Transferencia",I2337="Pago tarjeta"),-1,1)*O2337,0)+IF(AND(U2337&lt;&gt;"",IFERROR(INDEX(ctaLiq,MATCH(G2337,ctaNom,0))="Sí",FALSE)),O2337,0))</f>
        <v/>
      </c>
      <c r="W2337" s="19">
        <f>IF(OR(F2337="",I2337=""),"",IF(COUNTIFS(F$6:F2337,F2337,I$6:I2337,"?*")=1,MAX(W$5:W2336)+1,""))</f>
        <v/>
      </c>
    </row>
    <row r="2338">
      <c r="B2338" s="15" t="n"/>
      <c r="C2338" s="16" t="n"/>
      <c r="D2338" s="17" t="n"/>
      <c r="E2338" s="17" t="n"/>
      <c r="F2338" s="17" t="n"/>
      <c r="G2338" s="17" t="n"/>
      <c r="H2338" s="18">
        <f>IF(AND(B2338="",C2338="",D2338="",E2338=""),"",IF(B2338="","⚠ Falta fecha",IF(C2338="","⚠ Falta monto",IF(D2338="","⚠ Falta categoría",IF(ISNA(MATCH(D2338,catNom,0)),"⚠ Categoría no existe",IF(E2338="","⚠ Falta cuenta",IF(ISNA(MATCH(E2338,ctaNom,0)),"⚠ Cuenta no existe",IF(AND(OR(I2338="Transferencia",I2338="Pago tarjeta"),G2338=""),"⚠ Indica la cuenta «Hacia»",IF(AND(G2338&lt;&gt;"",G2338=E2338),"⚠ «Hacia» igual a la cuenta",IF(AND(G2338&lt;&gt;"",ISNA(MATCH(G2338,ctaNom,0))),"⚠ «Hacia» no existe",IF(AND(I2338="Pago tarjeta",IFERROR(INDEX(ctaTipo,MATCH(G2338,ctaNom,0)),"")&lt;&gt;"Tarjeta de crédito"),"⚠ «Hacia» debe ser la tarjeta",IF(AND(I2338="Trading",IFERROR(INDEX(ctaTipo,MATCH(E2338,ctaNom,0)),"")&lt;&gt;"Cuenta de trading"),"⚠ Usa la cuenta de trading","✓"))))))))))))</f>
        <v/>
      </c>
      <c r="I2338" s="19">
        <f>IF(OR(B2338="",C2338="",D2338=""),"",IFERROR(INDEX(catTipo,MATCH(D2338,catNom,0))&amp;"",""))</f>
        <v/>
      </c>
      <c r="J2338" s="19">
        <f>IF(I2338="","",IFERROR(INDEX(catGrupo,MATCH(D2338,catNom,0))&amp;"",""))</f>
        <v/>
      </c>
      <c r="K2338" s="19">
        <f>IF(I2338="Gasto",IF(IFERROR(INDEX(catClas,MATCH(D2338,catNom,0))&amp;"","")="","Variable",IFERROR(INDEX(catClas,MATCH(D2338,catNom,0))&amp;"","")),"")</f>
        <v/>
      </c>
      <c r="L2338" s="19">
        <f>IF(I2338="","",IFERROR(INDEX(catAlim,MATCH(D2338,catNom,0))&amp;"",""))</f>
        <v/>
      </c>
      <c r="M2338" s="19">
        <f>IF(I2338="","",IFERROR(INDEX(catComida,MATCH(D2338,catNom,0))&amp;"",""))</f>
        <v/>
      </c>
      <c r="N2338" s="19">
        <f>IF(I2338="","",IFERROR(INDEX(ctaMon,MATCH(E2338,ctaNom,0))&amp;"","DOP"))</f>
        <v/>
      </c>
      <c r="O2338" s="20">
        <f>IF(I2338="","",C2338*IF(N2338="USD",TasaUSD,1))</f>
        <v/>
      </c>
      <c r="P2338" s="20">
        <f>IF(I2338="","",IF(I2338="Gasto",O2338,0))</f>
        <v/>
      </c>
      <c r="Q2338" s="20">
        <f>IF(I2338="","",IF(I2338="Ingreso",O2338,0))</f>
        <v/>
      </c>
      <c r="R2338" s="20">
        <f>IF(I2338="","",IF(I2338="Trading",O2338,0))</f>
        <v/>
      </c>
      <c r="S2338" s="19">
        <f>IF(I2338="","",IF(AND(I2338="Gasto",K2338="Variable",J2338&lt;&gt;"Trading",O2338&gt;0,O2338&lt;=Umbral),1,0))</f>
        <v/>
      </c>
      <c r="T2338" s="20">
        <f>IF(OR(I2338="",E2338=""),"",IF(OR(I2338="Gasto",I2338="Transferencia",I2338="Pago tarjeta"),-1,1)*C2338)</f>
        <v/>
      </c>
      <c r="U2338" s="20">
        <f>IF(OR(G2338="",AND(I2338&lt;&gt;"Transferencia",I2338&lt;&gt;"Pago tarjeta")),"",IF(IFERROR(INDEX(ctaMon,MATCH(G2338,ctaNom,0))&amp;"","DOP")=N2338,C2338,IF(N2338="USD",C2338*TasaUSD,C2338/TasaUSD)))</f>
        <v/>
      </c>
      <c r="V2338" s="20">
        <f>IF(I2338="","",IF(IFERROR(INDEX(ctaLiq,MATCH(E2338,ctaNom,0))="Sí",FALSE),IF(OR(I2338="Gasto",I2338="Transferencia",I2338="Pago tarjeta"),-1,1)*O2338,0)+IF(AND(U2338&lt;&gt;"",IFERROR(INDEX(ctaLiq,MATCH(G2338,ctaNom,0))="Sí",FALSE)),O2338,0))</f>
        <v/>
      </c>
      <c r="W2338" s="19">
        <f>IF(OR(F2338="",I2338=""),"",IF(COUNTIFS(F$6:F2338,F2338,I$6:I2338,"?*")=1,MAX(W$5:W2337)+1,""))</f>
        <v/>
      </c>
    </row>
    <row r="2339">
      <c r="B2339" s="15" t="n"/>
      <c r="C2339" s="16" t="n"/>
      <c r="D2339" s="17" t="n"/>
      <c r="E2339" s="17" t="n"/>
      <c r="F2339" s="17" t="n"/>
      <c r="G2339" s="17" t="n"/>
      <c r="H2339" s="18">
        <f>IF(AND(B2339="",C2339="",D2339="",E2339=""),"",IF(B2339="","⚠ Falta fecha",IF(C2339="","⚠ Falta monto",IF(D2339="","⚠ Falta categoría",IF(ISNA(MATCH(D2339,catNom,0)),"⚠ Categoría no existe",IF(E2339="","⚠ Falta cuenta",IF(ISNA(MATCH(E2339,ctaNom,0)),"⚠ Cuenta no existe",IF(AND(OR(I2339="Transferencia",I2339="Pago tarjeta"),G2339=""),"⚠ Indica la cuenta «Hacia»",IF(AND(G2339&lt;&gt;"",G2339=E2339),"⚠ «Hacia» igual a la cuenta",IF(AND(G2339&lt;&gt;"",ISNA(MATCH(G2339,ctaNom,0))),"⚠ «Hacia» no existe",IF(AND(I2339="Pago tarjeta",IFERROR(INDEX(ctaTipo,MATCH(G2339,ctaNom,0)),"")&lt;&gt;"Tarjeta de crédito"),"⚠ «Hacia» debe ser la tarjeta",IF(AND(I2339="Trading",IFERROR(INDEX(ctaTipo,MATCH(E2339,ctaNom,0)),"")&lt;&gt;"Cuenta de trading"),"⚠ Usa la cuenta de trading","✓"))))))))))))</f>
        <v/>
      </c>
      <c r="I2339" s="19">
        <f>IF(OR(B2339="",C2339="",D2339=""),"",IFERROR(INDEX(catTipo,MATCH(D2339,catNom,0))&amp;"",""))</f>
        <v/>
      </c>
      <c r="J2339" s="19">
        <f>IF(I2339="","",IFERROR(INDEX(catGrupo,MATCH(D2339,catNom,0))&amp;"",""))</f>
        <v/>
      </c>
      <c r="K2339" s="19">
        <f>IF(I2339="Gasto",IF(IFERROR(INDEX(catClas,MATCH(D2339,catNom,0))&amp;"","")="","Variable",IFERROR(INDEX(catClas,MATCH(D2339,catNom,0))&amp;"","")),"")</f>
        <v/>
      </c>
      <c r="L2339" s="19">
        <f>IF(I2339="","",IFERROR(INDEX(catAlim,MATCH(D2339,catNom,0))&amp;"",""))</f>
        <v/>
      </c>
      <c r="M2339" s="19">
        <f>IF(I2339="","",IFERROR(INDEX(catComida,MATCH(D2339,catNom,0))&amp;"",""))</f>
        <v/>
      </c>
      <c r="N2339" s="19">
        <f>IF(I2339="","",IFERROR(INDEX(ctaMon,MATCH(E2339,ctaNom,0))&amp;"","DOP"))</f>
        <v/>
      </c>
      <c r="O2339" s="20">
        <f>IF(I2339="","",C2339*IF(N2339="USD",TasaUSD,1))</f>
        <v/>
      </c>
      <c r="P2339" s="20">
        <f>IF(I2339="","",IF(I2339="Gasto",O2339,0))</f>
        <v/>
      </c>
      <c r="Q2339" s="20">
        <f>IF(I2339="","",IF(I2339="Ingreso",O2339,0))</f>
        <v/>
      </c>
      <c r="R2339" s="20">
        <f>IF(I2339="","",IF(I2339="Trading",O2339,0))</f>
        <v/>
      </c>
      <c r="S2339" s="19">
        <f>IF(I2339="","",IF(AND(I2339="Gasto",K2339="Variable",J2339&lt;&gt;"Trading",O2339&gt;0,O2339&lt;=Umbral),1,0))</f>
        <v/>
      </c>
      <c r="T2339" s="20">
        <f>IF(OR(I2339="",E2339=""),"",IF(OR(I2339="Gasto",I2339="Transferencia",I2339="Pago tarjeta"),-1,1)*C2339)</f>
        <v/>
      </c>
      <c r="U2339" s="20">
        <f>IF(OR(G2339="",AND(I2339&lt;&gt;"Transferencia",I2339&lt;&gt;"Pago tarjeta")),"",IF(IFERROR(INDEX(ctaMon,MATCH(G2339,ctaNom,0))&amp;"","DOP")=N2339,C2339,IF(N2339="USD",C2339*TasaUSD,C2339/TasaUSD)))</f>
        <v/>
      </c>
      <c r="V2339" s="20">
        <f>IF(I2339="","",IF(IFERROR(INDEX(ctaLiq,MATCH(E2339,ctaNom,0))="Sí",FALSE),IF(OR(I2339="Gasto",I2339="Transferencia",I2339="Pago tarjeta"),-1,1)*O2339,0)+IF(AND(U2339&lt;&gt;"",IFERROR(INDEX(ctaLiq,MATCH(G2339,ctaNom,0))="Sí",FALSE)),O2339,0))</f>
        <v/>
      </c>
      <c r="W2339" s="19">
        <f>IF(OR(F2339="",I2339=""),"",IF(COUNTIFS(F$6:F2339,F2339,I$6:I2339,"?*")=1,MAX(W$5:W2338)+1,""))</f>
        <v/>
      </c>
    </row>
    <row r="2340">
      <c r="B2340" s="15" t="n"/>
      <c r="C2340" s="16" t="n"/>
      <c r="D2340" s="17" t="n"/>
      <c r="E2340" s="17" t="n"/>
      <c r="F2340" s="17" t="n"/>
      <c r="G2340" s="17" t="n"/>
      <c r="H2340" s="18">
        <f>IF(AND(B2340="",C2340="",D2340="",E2340=""),"",IF(B2340="","⚠ Falta fecha",IF(C2340="","⚠ Falta monto",IF(D2340="","⚠ Falta categoría",IF(ISNA(MATCH(D2340,catNom,0)),"⚠ Categoría no existe",IF(E2340="","⚠ Falta cuenta",IF(ISNA(MATCH(E2340,ctaNom,0)),"⚠ Cuenta no existe",IF(AND(OR(I2340="Transferencia",I2340="Pago tarjeta"),G2340=""),"⚠ Indica la cuenta «Hacia»",IF(AND(G2340&lt;&gt;"",G2340=E2340),"⚠ «Hacia» igual a la cuenta",IF(AND(G2340&lt;&gt;"",ISNA(MATCH(G2340,ctaNom,0))),"⚠ «Hacia» no existe",IF(AND(I2340="Pago tarjeta",IFERROR(INDEX(ctaTipo,MATCH(G2340,ctaNom,0)),"")&lt;&gt;"Tarjeta de crédito"),"⚠ «Hacia» debe ser la tarjeta",IF(AND(I2340="Trading",IFERROR(INDEX(ctaTipo,MATCH(E2340,ctaNom,0)),"")&lt;&gt;"Cuenta de trading"),"⚠ Usa la cuenta de trading","✓"))))))))))))</f>
        <v/>
      </c>
      <c r="I2340" s="19">
        <f>IF(OR(B2340="",C2340="",D2340=""),"",IFERROR(INDEX(catTipo,MATCH(D2340,catNom,0))&amp;"",""))</f>
        <v/>
      </c>
      <c r="J2340" s="19">
        <f>IF(I2340="","",IFERROR(INDEX(catGrupo,MATCH(D2340,catNom,0))&amp;"",""))</f>
        <v/>
      </c>
      <c r="K2340" s="19">
        <f>IF(I2340="Gasto",IF(IFERROR(INDEX(catClas,MATCH(D2340,catNom,0))&amp;"","")="","Variable",IFERROR(INDEX(catClas,MATCH(D2340,catNom,0))&amp;"","")),"")</f>
        <v/>
      </c>
      <c r="L2340" s="19">
        <f>IF(I2340="","",IFERROR(INDEX(catAlim,MATCH(D2340,catNom,0))&amp;"",""))</f>
        <v/>
      </c>
      <c r="M2340" s="19">
        <f>IF(I2340="","",IFERROR(INDEX(catComida,MATCH(D2340,catNom,0))&amp;"",""))</f>
        <v/>
      </c>
      <c r="N2340" s="19">
        <f>IF(I2340="","",IFERROR(INDEX(ctaMon,MATCH(E2340,ctaNom,0))&amp;"","DOP"))</f>
        <v/>
      </c>
      <c r="O2340" s="20">
        <f>IF(I2340="","",C2340*IF(N2340="USD",TasaUSD,1))</f>
        <v/>
      </c>
      <c r="P2340" s="20">
        <f>IF(I2340="","",IF(I2340="Gasto",O2340,0))</f>
        <v/>
      </c>
      <c r="Q2340" s="20">
        <f>IF(I2340="","",IF(I2340="Ingreso",O2340,0))</f>
        <v/>
      </c>
      <c r="R2340" s="20">
        <f>IF(I2340="","",IF(I2340="Trading",O2340,0))</f>
        <v/>
      </c>
      <c r="S2340" s="19">
        <f>IF(I2340="","",IF(AND(I2340="Gasto",K2340="Variable",J2340&lt;&gt;"Trading",O2340&gt;0,O2340&lt;=Umbral),1,0))</f>
        <v/>
      </c>
      <c r="T2340" s="20">
        <f>IF(OR(I2340="",E2340=""),"",IF(OR(I2340="Gasto",I2340="Transferencia",I2340="Pago tarjeta"),-1,1)*C2340)</f>
        <v/>
      </c>
      <c r="U2340" s="20">
        <f>IF(OR(G2340="",AND(I2340&lt;&gt;"Transferencia",I2340&lt;&gt;"Pago tarjeta")),"",IF(IFERROR(INDEX(ctaMon,MATCH(G2340,ctaNom,0))&amp;"","DOP")=N2340,C2340,IF(N2340="USD",C2340*TasaUSD,C2340/TasaUSD)))</f>
        <v/>
      </c>
      <c r="V2340" s="20">
        <f>IF(I2340="","",IF(IFERROR(INDEX(ctaLiq,MATCH(E2340,ctaNom,0))="Sí",FALSE),IF(OR(I2340="Gasto",I2340="Transferencia",I2340="Pago tarjeta"),-1,1)*O2340,0)+IF(AND(U2340&lt;&gt;"",IFERROR(INDEX(ctaLiq,MATCH(G2340,ctaNom,0))="Sí",FALSE)),O2340,0))</f>
        <v/>
      </c>
      <c r="W2340" s="19">
        <f>IF(OR(F2340="",I2340=""),"",IF(COUNTIFS(F$6:F2340,F2340,I$6:I2340,"?*")=1,MAX(W$5:W2339)+1,""))</f>
        <v/>
      </c>
    </row>
    <row r="2341">
      <c r="B2341" s="15" t="n"/>
      <c r="C2341" s="16" t="n"/>
      <c r="D2341" s="17" t="n"/>
      <c r="E2341" s="17" t="n"/>
      <c r="F2341" s="17" t="n"/>
      <c r="G2341" s="17" t="n"/>
      <c r="H2341" s="18">
        <f>IF(AND(B2341="",C2341="",D2341="",E2341=""),"",IF(B2341="","⚠ Falta fecha",IF(C2341="","⚠ Falta monto",IF(D2341="","⚠ Falta categoría",IF(ISNA(MATCH(D2341,catNom,0)),"⚠ Categoría no existe",IF(E2341="","⚠ Falta cuenta",IF(ISNA(MATCH(E2341,ctaNom,0)),"⚠ Cuenta no existe",IF(AND(OR(I2341="Transferencia",I2341="Pago tarjeta"),G2341=""),"⚠ Indica la cuenta «Hacia»",IF(AND(G2341&lt;&gt;"",G2341=E2341),"⚠ «Hacia» igual a la cuenta",IF(AND(G2341&lt;&gt;"",ISNA(MATCH(G2341,ctaNom,0))),"⚠ «Hacia» no existe",IF(AND(I2341="Pago tarjeta",IFERROR(INDEX(ctaTipo,MATCH(G2341,ctaNom,0)),"")&lt;&gt;"Tarjeta de crédito"),"⚠ «Hacia» debe ser la tarjeta",IF(AND(I2341="Trading",IFERROR(INDEX(ctaTipo,MATCH(E2341,ctaNom,0)),"")&lt;&gt;"Cuenta de trading"),"⚠ Usa la cuenta de trading","✓"))))))))))))</f>
        <v/>
      </c>
      <c r="I2341" s="19">
        <f>IF(OR(B2341="",C2341="",D2341=""),"",IFERROR(INDEX(catTipo,MATCH(D2341,catNom,0))&amp;"",""))</f>
        <v/>
      </c>
      <c r="J2341" s="19">
        <f>IF(I2341="","",IFERROR(INDEX(catGrupo,MATCH(D2341,catNom,0))&amp;"",""))</f>
        <v/>
      </c>
      <c r="K2341" s="19">
        <f>IF(I2341="Gasto",IF(IFERROR(INDEX(catClas,MATCH(D2341,catNom,0))&amp;"","")="","Variable",IFERROR(INDEX(catClas,MATCH(D2341,catNom,0))&amp;"","")),"")</f>
        <v/>
      </c>
      <c r="L2341" s="19">
        <f>IF(I2341="","",IFERROR(INDEX(catAlim,MATCH(D2341,catNom,0))&amp;"",""))</f>
        <v/>
      </c>
      <c r="M2341" s="19">
        <f>IF(I2341="","",IFERROR(INDEX(catComida,MATCH(D2341,catNom,0))&amp;"",""))</f>
        <v/>
      </c>
      <c r="N2341" s="19">
        <f>IF(I2341="","",IFERROR(INDEX(ctaMon,MATCH(E2341,ctaNom,0))&amp;"","DOP"))</f>
        <v/>
      </c>
      <c r="O2341" s="20">
        <f>IF(I2341="","",C2341*IF(N2341="USD",TasaUSD,1))</f>
        <v/>
      </c>
      <c r="P2341" s="20">
        <f>IF(I2341="","",IF(I2341="Gasto",O2341,0))</f>
        <v/>
      </c>
      <c r="Q2341" s="20">
        <f>IF(I2341="","",IF(I2341="Ingreso",O2341,0))</f>
        <v/>
      </c>
      <c r="R2341" s="20">
        <f>IF(I2341="","",IF(I2341="Trading",O2341,0))</f>
        <v/>
      </c>
      <c r="S2341" s="19">
        <f>IF(I2341="","",IF(AND(I2341="Gasto",K2341="Variable",J2341&lt;&gt;"Trading",O2341&gt;0,O2341&lt;=Umbral),1,0))</f>
        <v/>
      </c>
      <c r="T2341" s="20">
        <f>IF(OR(I2341="",E2341=""),"",IF(OR(I2341="Gasto",I2341="Transferencia",I2341="Pago tarjeta"),-1,1)*C2341)</f>
        <v/>
      </c>
      <c r="U2341" s="20">
        <f>IF(OR(G2341="",AND(I2341&lt;&gt;"Transferencia",I2341&lt;&gt;"Pago tarjeta")),"",IF(IFERROR(INDEX(ctaMon,MATCH(G2341,ctaNom,0))&amp;"","DOP")=N2341,C2341,IF(N2341="USD",C2341*TasaUSD,C2341/TasaUSD)))</f>
        <v/>
      </c>
      <c r="V2341" s="20">
        <f>IF(I2341="","",IF(IFERROR(INDEX(ctaLiq,MATCH(E2341,ctaNom,0))="Sí",FALSE),IF(OR(I2341="Gasto",I2341="Transferencia",I2341="Pago tarjeta"),-1,1)*O2341,0)+IF(AND(U2341&lt;&gt;"",IFERROR(INDEX(ctaLiq,MATCH(G2341,ctaNom,0))="Sí",FALSE)),O2341,0))</f>
        <v/>
      </c>
      <c r="W2341" s="19">
        <f>IF(OR(F2341="",I2341=""),"",IF(COUNTIFS(F$6:F2341,F2341,I$6:I2341,"?*")=1,MAX(W$5:W2340)+1,""))</f>
        <v/>
      </c>
    </row>
    <row r="2342">
      <c r="B2342" s="15" t="n"/>
      <c r="C2342" s="16" t="n"/>
      <c r="D2342" s="17" t="n"/>
      <c r="E2342" s="17" t="n"/>
      <c r="F2342" s="17" t="n"/>
      <c r="G2342" s="17" t="n"/>
      <c r="H2342" s="18">
        <f>IF(AND(B2342="",C2342="",D2342="",E2342=""),"",IF(B2342="","⚠ Falta fecha",IF(C2342="","⚠ Falta monto",IF(D2342="","⚠ Falta categoría",IF(ISNA(MATCH(D2342,catNom,0)),"⚠ Categoría no existe",IF(E2342="","⚠ Falta cuenta",IF(ISNA(MATCH(E2342,ctaNom,0)),"⚠ Cuenta no existe",IF(AND(OR(I2342="Transferencia",I2342="Pago tarjeta"),G2342=""),"⚠ Indica la cuenta «Hacia»",IF(AND(G2342&lt;&gt;"",G2342=E2342),"⚠ «Hacia» igual a la cuenta",IF(AND(G2342&lt;&gt;"",ISNA(MATCH(G2342,ctaNom,0))),"⚠ «Hacia» no existe",IF(AND(I2342="Pago tarjeta",IFERROR(INDEX(ctaTipo,MATCH(G2342,ctaNom,0)),"")&lt;&gt;"Tarjeta de crédito"),"⚠ «Hacia» debe ser la tarjeta",IF(AND(I2342="Trading",IFERROR(INDEX(ctaTipo,MATCH(E2342,ctaNom,0)),"")&lt;&gt;"Cuenta de trading"),"⚠ Usa la cuenta de trading","✓"))))))))))))</f>
        <v/>
      </c>
      <c r="I2342" s="19">
        <f>IF(OR(B2342="",C2342="",D2342=""),"",IFERROR(INDEX(catTipo,MATCH(D2342,catNom,0))&amp;"",""))</f>
        <v/>
      </c>
      <c r="J2342" s="19">
        <f>IF(I2342="","",IFERROR(INDEX(catGrupo,MATCH(D2342,catNom,0))&amp;"",""))</f>
        <v/>
      </c>
      <c r="K2342" s="19">
        <f>IF(I2342="Gasto",IF(IFERROR(INDEX(catClas,MATCH(D2342,catNom,0))&amp;"","")="","Variable",IFERROR(INDEX(catClas,MATCH(D2342,catNom,0))&amp;"","")),"")</f>
        <v/>
      </c>
      <c r="L2342" s="19">
        <f>IF(I2342="","",IFERROR(INDEX(catAlim,MATCH(D2342,catNom,0))&amp;"",""))</f>
        <v/>
      </c>
      <c r="M2342" s="19">
        <f>IF(I2342="","",IFERROR(INDEX(catComida,MATCH(D2342,catNom,0))&amp;"",""))</f>
        <v/>
      </c>
      <c r="N2342" s="19">
        <f>IF(I2342="","",IFERROR(INDEX(ctaMon,MATCH(E2342,ctaNom,0))&amp;"","DOP"))</f>
        <v/>
      </c>
      <c r="O2342" s="20">
        <f>IF(I2342="","",C2342*IF(N2342="USD",TasaUSD,1))</f>
        <v/>
      </c>
      <c r="P2342" s="20">
        <f>IF(I2342="","",IF(I2342="Gasto",O2342,0))</f>
        <v/>
      </c>
      <c r="Q2342" s="20">
        <f>IF(I2342="","",IF(I2342="Ingreso",O2342,0))</f>
        <v/>
      </c>
      <c r="R2342" s="20">
        <f>IF(I2342="","",IF(I2342="Trading",O2342,0))</f>
        <v/>
      </c>
      <c r="S2342" s="19">
        <f>IF(I2342="","",IF(AND(I2342="Gasto",K2342="Variable",J2342&lt;&gt;"Trading",O2342&gt;0,O2342&lt;=Umbral),1,0))</f>
        <v/>
      </c>
      <c r="T2342" s="20">
        <f>IF(OR(I2342="",E2342=""),"",IF(OR(I2342="Gasto",I2342="Transferencia",I2342="Pago tarjeta"),-1,1)*C2342)</f>
        <v/>
      </c>
      <c r="U2342" s="20">
        <f>IF(OR(G2342="",AND(I2342&lt;&gt;"Transferencia",I2342&lt;&gt;"Pago tarjeta")),"",IF(IFERROR(INDEX(ctaMon,MATCH(G2342,ctaNom,0))&amp;"","DOP")=N2342,C2342,IF(N2342="USD",C2342*TasaUSD,C2342/TasaUSD)))</f>
        <v/>
      </c>
      <c r="V2342" s="20">
        <f>IF(I2342="","",IF(IFERROR(INDEX(ctaLiq,MATCH(E2342,ctaNom,0))="Sí",FALSE),IF(OR(I2342="Gasto",I2342="Transferencia",I2342="Pago tarjeta"),-1,1)*O2342,0)+IF(AND(U2342&lt;&gt;"",IFERROR(INDEX(ctaLiq,MATCH(G2342,ctaNom,0))="Sí",FALSE)),O2342,0))</f>
        <v/>
      </c>
      <c r="W2342" s="19">
        <f>IF(OR(F2342="",I2342=""),"",IF(COUNTIFS(F$6:F2342,F2342,I$6:I2342,"?*")=1,MAX(W$5:W2341)+1,""))</f>
        <v/>
      </c>
    </row>
    <row r="2343">
      <c r="B2343" s="15" t="n"/>
      <c r="C2343" s="16" t="n"/>
      <c r="D2343" s="17" t="n"/>
      <c r="E2343" s="17" t="n"/>
      <c r="F2343" s="17" t="n"/>
      <c r="G2343" s="17" t="n"/>
      <c r="H2343" s="18">
        <f>IF(AND(B2343="",C2343="",D2343="",E2343=""),"",IF(B2343="","⚠ Falta fecha",IF(C2343="","⚠ Falta monto",IF(D2343="","⚠ Falta categoría",IF(ISNA(MATCH(D2343,catNom,0)),"⚠ Categoría no existe",IF(E2343="","⚠ Falta cuenta",IF(ISNA(MATCH(E2343,ctaNom,0)),"⚠ Cuenta no existe",IF(AND(OR(I2343="Transferencia",I2343="Pago tarjeta"),G2343=""),"⚠ Indica la cuenta «Hacia»",IF(AND(G2343&lt;&gt;"",G2343=E2343),"⚠ «Hacia» igual a la cuenta",IF(AND(G2343&lt;&gt;"",ISNA(MATCH(G2343,ctaNom,0))),"⚠ «Hacia» no existe",IF(AND(I2343="Pago tarjeta",IFERROR(INDEX(ctaTipo,MATCH(G2343,ctaNom,0)),"")&lt;&gt;"Tarjeta de crédito"),"⚠ «Hacia» debe ser la tarjeta",IF(AND(I2343="Trading",IFERROR(INDEX(ctaTipo,MATCH(E2343,ctaNom,0)),"")&lt;&gt;"Cuenta de trading"),"⚠ Usa la cuenta de trading","✓"))))))))))))</f>
        <v/>
      </c>
      <c r="I2343" s="19">
        <f>IF(OR(B2343="",C2343="",D2343=""),"",IFERROR(INDEX(catTipo,MATCH(D2343,catNom,0))&amp;"",""))</f>
        <v/>
      </c>
      <c r="J2343" s="19">
        <f>IF(I2343="","",IFERROR(INDEX(catGrupo,MATCH(D2343,catNom,0))&amp;"",""))</f>
        <v/>
      </c>
      <c r="K2343" s="19">
        <f>IF(I2343="Gasto",IF(IFERROR(INDEX(catClas,MATCH(D2343,catNom,0))&amp;"","")="","Variable",IFERROR(INDEX(catClas,MATCH(D2343,catNom,0))&amp;"","")),"")</f>
        <v/>
      </c>
      <c r="L2343" s="19">
        <f>IF(I2343="","",IFERROR(INDEX(catAlim,MATCH(D2343,catNom,0))&amp;"",""))</f>
        <v/>
      </c>
      <c r="M2343" s="19">
        <f>IF(I2343="","",IFERROR(INDEX(catComida,MATCH(D2343,catNom,0))&amp;"",""))</f>
        <v/>
      </c>
      <c r="N2343" s="19">
        <f>IF(I2343="","",IFERROR(INDEX(ctaMon,MATCH(E2343,ctaNom,0))&amp;"","DOP"))</f>
        <v/>
      </c>
      <c r="O2343" s="20">
        <f>IF(I2343="","",C2343*IF(N2343="USD",TasaUSD,1))</f>
        <v/>
      </c>
      <c r="P2343" s="20">
        <f>IF(I2343="","",IF(I2343="Gasto",O2343,0))</f>
        <v/>
      </c>
      <c r="Q2343" s="20">
        <f>IF(I2343="","",IF(I2343="Ingreso",O2343,0))</f>
        <v/>
      </c>
      <c r="R2343" s="20">
        <f>IF(I2343="","",IF(I2343="Trading",O2343,0))</f>
        <v/>
      </c>
      <c r="S2343" s="19">
        <f>IF(I2343="","",IF(AND(I2343="Gasto",K2343="Variable",J2343&lt;&gt;"Trading",O2343&gt;0,O2343&lt;=Umbral),1,0))</f>
        <v/>
      </c>
      <c r="T2343" s="20">
        <f>IF(OR(I2343="",E2343=""),"",IF(OR(I2343="Gasto",I2343="Transferencia",I2343="Pago tarjeta"),-1,1)*C2343)</f>
        <v/>
      </c>
      <c r="U2343" s="20">
        <f>IF(OR(G2343="",AND(I2343&lt;&gt;"Transferencia",I2343&lt;&gt;"Pago tarjeta")),"",IF(IFERROR(INDEX(ctaMon,MATCH(G2343,ctaNom,0))&amp;"","DOP")=N2343,C2343,IF(N2343="USD",C2343*TasaUSD,C2343/TasaUSD)))</f>
        <v/>
      </c>
      <c r="V2343" s="20">
        <f>IF(I2343="","",IF(IFERROR(INDEX(ctaLiq,MATCH(E2343,ctaNom,0))="Sí",FALSE),IF(OR(I2343="Gasto",I2343="Transferencia",I2343="Pago tarjeta"),-1,1)*O2343,0)+IF(AND(U2343&lt;&gt;"",IFERROR(INDEX(ctaLiq,MATCH(G2343,ctaNom,0))="Sí",FALSE)),O2343,0))</f>
        <v/>
      </c>
      <c r="W2343" s="19">
        <f>IF(OR(F2343="",I2343=""),"",IF(COUNTIFS(F$6:F2343,F2343,I$6:I2343,"?*")=1,MAX(W$5:W2342)+1,""))</f>
        <v/>
      </c>
    </row>
    <row r="2344">
      <c r="B2344" s="15" t="n"/>
      <c r="C2344" s="16" t="n"/>
      <c r="D2344" s="17" t="n"/>
      <c r="E2344" s="17" t="n"/>
      <c r="F2344" s="17" t="n"/>
      <c r="G2344" s="17" t="n"/>
      <c r="H2344" s="18">
        <f>IF(AND(B2344="",C2344="",D2344="",E2344=""),"",IF(B2344="","⚠ Falta fecha",IF(C2344="","⚠ Falta monto",IF(D2344="","⚠ Falta categoría",IF(ISNA(MATCH(D2344,catNom,0)),"⚠ Categoría no existe",IF(E2344="","⚠ Falta cuenta",IF(ISNA(MATCH(E2344,ctaNom,0)),"⚠ Cuenta no existe",IF(AND(OR(I2344="Transferencia",I2344="Pago tarjeta"),G2344=""),"⚠ Indica la cuenta «Hacia»",IF(AND(G2344&lt;&gt;"",G2344=E2344),"⚠ «Hacia» igual a la cuenta",IF(AND(G2344&lt;&gt;"",ISNA(MATCH(G2344,ctaNom,0))),"⚠ «Hacia» no existe",IF(AND(I2344="Pago tarjeta",IFERROR(INDEX(ctaTipo,MATCH(G2344,ctaNom,0)),"")&lt;&gt;"Tarjeta de crédito"),"⚠ «Hacia» debe ser la tarjeta",IF(AND(I2344="Trading",IFERROR(INDEX(ctaTipo,MATCH(E2344,ctaNom,0)),"")&lt;&gt;"Cuenta de trading"),"⚠ Usa la cuenta de trading","✓"))))))))))))</f>
        <v/>
      </c>
      <c r="I2344" s="19">
        <f>IF(OR(B2344="",C2344="",D2344=""),"",IFERROR(INDEX(catTipo,MATCH(D2344,catNom,0))&amp;"",""))</f>
        <v/>
      </c>
      <c r="J2344" s="19">
        <f>IF(I2344="","",IFERROR(INDEX(catGrupo,MATCH(D2344,catNom,0))&amp;"",""))</f>
        <v/>
      </c>
      <c r="K2344" s="19">
        <f>IF(I2344="Gasto",IF(IFERROR(INDEX(catClas,MATCH(D2344,catNom,0))&amp;"","")="","Variable",IFERROR(INDEX(catClas,MATCH(D2344,catNom,0))&amp;"","")),"")</f>
        <v/>
      </c>
      <c r="L2344" s="19">
        <f>IF(I2344="","",IFERROR(INDEX(catAlim,MATCH(D2344,catNom,0))&amp;"",""))</f>
        <v/>
      </c>
      <c r="M2344" s="19">
        <f>IF(I2344="","",IFERROR(INDEX(catComida,MATCH(D2344,catNom,0))&amp;"",""))</f>
        <v/>
      </c>
      <c r="N2344" s="19">
        <f>IF(I2344="","",IFERROR(INDEX(ctaMon,MATCH(E2344,ctaNom,0))&amp;"","DOP"))</f>
        <v/>
      </c>
      <c r="O2344" s="20">
        <f>IF(I2344="","",C2344*IF(N2344="USD",TasaUSD,1))</f>
        <v/>
      </c>
      <c r="P2344" s="20">
        <f>IF(I2344="","",IF(I2344="Gasto",O2344,0))</f>
        <v/>
      </c>
      <c r="Q2344" s="20">
        <f>IF(I2344="","",IF(I2344="Ingreso",O2344,0))</f>
        <v/>
      </c>
      <c r="R2344" s="20">
        <f>IF(I2344="","",IF(I2344="Trading",O2344,0))</f>
        <v/>
      </c>
      <c r="S2344" s="19">
        <f>IF(I2344="","",IF(AND(I2344="Gasto",K2344="Variable",J2344&lt;&gt;"Trading",O2344&gt;0,O2344&lt;=Umbral),1,0))</f>
        <v/>
      </c>
      <c r="T2344" s="20">
        <f>IF(OR(I2344="",E2344=""),"",IF(OR(I2344="Gasto",I2344="Transferencia",I2344="Pago tarjeta"),-1,1)*C2344)</f>
        <v/>
      </c>
      <c r="U2344" s="20">
        <f>IF(OR(G2344="",AND(I2344&lt;&gt;"Transferencia",I2344&lt;&gt;"Pago tarjeta")),"",IF(IFERROR(INDEX(ctaMon,MATCH(G2344,ctaNom,0))&amp;"","DOP")=N2344,C2344,IF(N2344="USD",C2344*TasaUSD,C2344/TasaUSD)))</f>
        <v/>
      </c>
      <c r="V2344" s="20">
        <f>IF(I2344="","",IF(IFERROR(INDEX(ctaLiq,MATCH(E2344,ctaNom,0))="Sí",FALSE),IF(OR(I2344="Gasto",I2344="Transferencia",I2344="Pago tarjeta"),-1,1)*O2344,0)+IF(AND(U2344&lt;&gt;"",IFERROR(INDEX(ctaLiq,MATCH(G2344,ctaNom,0))="Sí",FALSE)),O2344,0))</f>
        <v/>
      </c>
      <c r="W2344" s="19">
        <f>IF(OR(F2344="",I2344=""),"",IF(COUNTIFS(F$6:F2344,F2344,I$6:I2344,"?*")=1,MAX(W$5:W2343)+1,""))</f>
        <v/>
      </c>
    </row>
    <row r="2345">
      <c r="B2345" s="15" t="n"/>
      <c r="C2345" s="16" t="n"/>
      <c r="D2345" s="17" t="n"/>
      <c r="E2345" s="17" t="n"/>
      <c r="F2345" s="17" t="n"/>
      <c r="G2345" s="17" t="n"/>
      <c r="H2345" s="18">
        <f>IF(AND(B2345="",C2345="",D2345="",E2345=""),"",IF(B2345="","⚠ Falta fecha",IF(C2345="","⚠ Falta monto",IF(D2345="","⚠ Falta categoría",IF(ISNA(MATCH(D2345,catNom,0)),"⚠ Categoría no existe",IF(E2345="","⚠ Falta cuenta",IF(ISNA(MATCH(E2345,ctaNom,0)),"⚠ Cuenta no existe",IF(AND(OR(I2345="Transferencia",I2345="Pago tarjeta"),G2345=""),"⚠ Indica la cuenta «Hacia»",IF(AND(G2345&lt;&gt;"",G2345=E2345),"⚠ «Hacia» igual a la cuenta",IF(AND(G2345&lt;&gt;"",ISNA(MATCH(G2345,ctaNom,0))),"⚠ «Hacia» no existe",IF(AND(I2345="Pago tarjeta",IFERROR(INDEX(ctaTipo,MATCH(G2345,ctaNom,0)),"")&lt;&gt;"Tarjeta de crédito"),"⚠ «Hacia» debe ser la tarjeta",IF(AND(I2345="Trading",IFERROR(INDEX(ctaTipo,MATCH(E2345,ctaNom,0)),"")&lt;&gt;"Cuenta de trading"),"⚠ Usa la cuenta de trading","✓"))))))))))))</f>
        <v/>
      </c>
      <c r="I2345" s="19">
        <f>IF(OR(B2345="",C2345="",D2345=""),"",IFERROR(INDEX(catTipo,MATCH(D2345,catNom,0))&amp;"",""))</f>
        <v/>
      </c>
      <c r="J2345" s="19">
        <f>IF(I2345="","",IFERROR(INDEX(catGrupo,MATCH(D2345,catNom,0))&amp;"",""))</f>
        <v/>
      </c>
      <c r="K2345" s="19">
        <f>IF(I2345="Gasto",IF(IFERROR(INDEX(catClas,MATCH(D2345,catNom,0))&amp;"","")="","Variable",IFERROR(INDEX(catClas,MATCH(D2345,catNom,0))&amp;"","")),"")</f>
        <v/>
      </c>
      <c r="L2345" s="19">
        <f>IF(I2345="","",IFERROR(INDEX(catAlim,MATCH(D2345,catNom,0))&amp;"",""))</f>
        <v/>
      </c>
      <c r="M2345" s="19">
        <f>IF(I2345="","",IFERROR(INDEX(catComida,MATCH(D2345,catNom,0))&amp;"",""))</f>
        <v/>
      </c>
      <c r="N2345" s="19">
        <f>IF(I2345="","",IFERROR(INDEX(ctaMon,MATCH(E2345,ctaNom,0))&amp;"","DOP"))</f>
        <v/>
      </c>
      <c r="O2345" s="20">
        <f>IF(I2345="","",C2345*IF(N2345="USD",TasaUSD,1))</f>
        <v/>
      </c>
      <c r="P2345" s="20">
        <f>IF(I2345="","",IF(I2345="Gasto",O2345,0))</f>
        <v/>
      </c>
      <c r="Q2345" s="20">
        <f>IF(I2345="","",IF(I2345="Ingreso",O2345,0))</f>
        <v/>
      </c>
      <c r="R2345" s="20">
        <f>IF(I2345="","",IF(I2345="Trading",O2345,0))</f>
        <v/>
      </c>
      <c r="S2345" s="19">
        <f>IF(I2345="","",IF(AND(I2345="Gasto",K2345="Variable",J2345&lt;&gt;"Trading",O2345&gt;0,O2345&lt;=Umbral),1,0))</f>
        <v/>
      </c>
      <c r="T2345" s="20">
        <f>IF(OR(I2345="",E2345=""),"",IF(OR(I2345="Gasto",I2345="Transferencia",I2345="Pago tarjeta"),-1,1)*C2345)</f>
        <v/>
      </c>
      <c r="U2345" s="20">
        <f>IF(OR(G2345="",AND(I2345&lt;&gt;"Transferencia",I2345&lt;&gt;"Pago tarjeta")),"",IF(IFERROR(INDEX(ctaMon,MATCH(G2345,ctaNom,0))&amp;"","DOP")=N2345,C2345,IF(N2345="USD",C2345*TasaUSD,C2345/TasaUSD)))</f>
        <v/>
      </c>
      <c r="V2345" s="20">
        <f>IF(I2345="","",IF(IFERROR(INDEX(ctaLiq,MATCH(E2345,ctaNom,0))="Sí",FALSE),IF(OR(I2345="Gasto",I2345="Transferencia",I2345="Pago tarjeta"),-1,1)*O2345,0)+IF(AND(U2345&lt;&gt;"",IFERROR(INDEX(ctaLiq,MATCH(G2345,ctaNom,0))="Sí",FALSE)),O2345,0))</f>
        <v/>
      </c>
      <c r="W2345" s="19">
        <f>IF(OR(F2345="",I2345=""),"",IF(COUNTIFS(F$6:F2345,F2345,I$6:I2345,"?*")=1,MAX(W$5:W2344)+1,""))</f>
        <v/>
      </c>
    </row>
    <row r="2346">
      <c r="B2346" s="15" t="n"/>
      <c r="C2346" s="16" t="n"/>
      <c r="D2346" s="17" t="n"/>
      <c r="E2346" s="17" t="n"/>
      <c r="F2346" s="17" t="n"/>
      <c r="G2346" s="17" t="n"/>
      <c r="H2346" s="18">
        <f>IF(AND(B2346="",C2346="",D2346="",E2346=""),"",IF(B2346="","⚠ Falta fecha",IF(C2346="","⚠ Falta monto",IF(D2346="","⚠ Falta categoría",IF(ISNA(MATCH(D2346,catNom,0)),"⚠ Categoría no existe",IF(E2346="","⚠ Falta cuenta",IF(ISNA(MATCH(E2346,ctaNom,0)),"⚠ Cuenta no existe",IF(AND(OR(I2346="Transferencia",I2346="Pago tarjeta"),G2346=""),"⚠ Indica la cuenta «Hacia»",IF(AND(G2346&lt;&gt;"",G2346=E2346),"⚠ «Hacia» igual a la cuenta",IF(AND(G2346&lt;&gt;"",ISNA(MATCH(G2346,ctaNom,0))),"⚠ «Hacia» no existe",IF(AND(I2346="Pago tarjeta",IFERROR(INDEX(ctaTipo,MATCH(G2346,ctaNom,0)),"")&lt;&gt;"Tarjeta de crédito"),"⚠ «Hacia» debe ser la tarjeta",IF(AND(I2346="Trading",IFERROR(INDEX(ctaTipo,MATCH(E2346,ctaNom,0)),"")&lt;&gt;"Cuenta de trading"),"⚠ Usa la cuenta de trading","✓"))))))))))))</f>
        <v/>
      </c>
      <c r="I2346" s="19">
        <f>IF(OR(B2346="",C2346="",D2346=""),"",IFERROR(INDEX(catTipo,MATCH(D2346,catNom,0))&amp;"",""))</f>
        <v/>
      </c>
      <c r="J2346" s="19">
        <f>IF(I2346="","",IFERROR(INDEX(catGrupo,MATCH(D2346,catNom,0))&amp;"",""))</f>
        <v/>
      </c>
      <c r="K2346" s="19">
        <f>IF(I2346="Gasto",IF(IFERROR(INDEX(catClas,MATCH(D2346,catNom,0))&amp;"","")="","Variable",IFERROR(INDEX(catClas,MATCH(D2346,catNom,0))&amp;"","")),"")</f>
        <v/>
      </c>
      <c r="L2346" s="19">
        <f>IF(I2346="","",IFERROR(INDEX(catAlim,MATCH(D2346,catNom,0))&amp;"",""))</f>
        <v/>
      </c>
      <c r="M2346" s="19">
        <f>IF(I2346="","",IFERROR(INDEX(catComida,MATCH(D2346,catNom,0))&amp;"",""))</f>
        <v/>
      </c>
      <c r="N2346" s="19">
        <f>IF(I2346="","",IFERROR(INDEX(ctaMon,MATCH(E2346,ctaNom,0))&amp;"","DOP"))</f>
        <v/>
      </c>
      <c r="O2346" s="20">
        <f>IF(I2346="","",C2346*IF(N2346="USD",TasaUSD,1))</f>
        <v/>
      </c>
      <c r="P2346" s="20">
        <f>IF(I2346="","",IF(I2346="Gasto",O2346,0))</f>
        <v/>
      </c>
      <c r="Q2346" s="20">
        <f>IF(I2346="","",IF(I2346="Ingreso",O2346,0))</f>
        <v/>
      </c>
      <c r="R2346" s="20">
        <f>IF(I2346="","",IF(I2346="Trading",O2346,0))</f>
        <v/>
      </c>
      <c r="S2346" s="19">
        <f>IF(I2346="","",IF(AND(I2346="Gasto",K2346="Variable",J2346&lt;&gt;"Trading",O2346&gt;0,O2346&lt;=Umbral),1,0))</f>
        <v/>
      </c>
      <c r="T2346" s="20">
        <f>IF(OR(I2346="",E2346=""),"",IF(OR(I2346="Gasto",I2346="Transferencia",I2346="Pago tarjeta"),-1,1)*C2346)</f>
        <v/>
      </c>
      <c r="U2346" s="20">
        <f>IF(OR(G2346="",AND(I2346&lt;&gt;"Transferencia",I2346&lt;&gt;"Pago tarjeta")),"",IF(IFERROR(INDEX(ctaMon,MATCH(G2346,ctaNom,0))&amp;"","DOP")=N2346,C2346,IF(N2346="USD",C2346*TasaUSD,C2346/TasaUSD)))</f>
        <v/>
      </c>
      <c r="V2346" s="20">
        <f>IF(I2346="","",IF(IFERROR(INDEX(ctaLiq,MATCH(E2346,ctaNom,0))="Sí",FALSE),IF(OR(I2346="Gasto",I2346="Transferencia",I2346="Pago tarjeta"),-1,1)*O2346,0)+IF(AND(U2346&lt;&gt;"",IFERROR(INDEX(ctaLiq,MATCH(G2346,ctaNom,0))="Sí",FALSE)),O2346,0))</f>
        <v/>
      </c>
      <c r="W2346" s="19">
        <f>IF(OR(F2346="",I2346=""),"",IF(COUNTIFS(F$6:F2346,F2346,I$6:I2346,"?*")=1,MAX(W$5:W2345)+1,""))</f>
        <v/>
      </c>
    </row>
    <row r="2347">
      <c r="B2347" s="15" t="n"/>
      <c r="C2347" s="16" t="n"/>
      <c r="D2347" s="17" t="n"/>
      <c r="E2347" s="17" t="n"/>
      <c r="F2347" s="17" t="n"/>
      <c r="G2347" s="17" t="n"/>
      <c r="H2347" s="18">
        <f>IF(AND(B2347="",C2347="",D2347="",E2347=""),"",IF(B2347="","⚠ Falta fecha",IF(C2347="","⚠ Falta monto",IF(D2347="","⚠ Falta categoría",IF(ISNA(MATCH(D2347,catNom,0)),"⚠ Categoría no existe",IF(E2347="","⚠ Falta cuenta",IF(ISNA(MATCH(E2347,ctaNom,0)),"⚠ Cuenta no existe",IF(AND(OR(I2347="Transferencia",I2347="Pago tarjeta"),G2347=""),"⚠ Indica la cuenta «Hacia»",IF(AND(G2347&lt;&gt;"",G2347=E2347),"⚠ «Hacia» igual a la cuenta",IF(AND(G2347&lt;&gt;"",ISNA(MATCH(G2347,ctaNom,0))),"⚠ «Hacia» no existe",IF(AND(I2347="Pago tarjeta",IFERROR(INDEX(ctaTipo,MATCH(G2347,ctaNom,0)),"")&lt;&gt;"Tarjeta de crédito"),"⚠ «Hacia» debe ser la tarjeta",IF(AND(I2347="Trading",IFERROR(INDEX(ctaTipo,MATCH(E2347,ctaNom,0)),"")&lt;&gt;"Cuenta de trading"),"⚠ Usa la cuenta de trading","✓"))))))))))))</f>
        <v/>
      </c>
      <c r="I2347" s="19">
        <f>IF(OR(B2347="",C2347="",D2347=""),"",IFERROR(INDEX(catTipo,MATCH(D2347,catNom,0))&amp;"",""))</f>
        <v/>
      </c>
      <c r="J2347" s="19">
        <f>IF(I2347="","",IFERROR(INDEX(catGrupo,MATCH(D2347,catNom,0))&amp;"",""))</f>
        <v/>
      </c>
      <c r="K2347" s="19">
        <f>IF(I2347="Gasto",IF(IFERROR(INDEX(catClas,MATCH(D2347,catNom,0))&amp;"","")="","Variable",IFERROR(INDEX(catClas,MATCH(D2347,catNom,0))&amp;"","")),"")</f>
        <v/>
      </c>
      <c r="L2347" s="19">
        <f>IF(I2347="","",IFERROR(INDEX(catAlim,MATCH(D2347,catNom,0))&amp;"",""))</f>
        <v/>
      </c>
      <c r="M2347" s="19">
        <f>IF(I2347="","",IFERROR(INDEX(catComida,MATCH(D2347,catNom,0))&amp;"",""))</f>
        <v/>
      </c>
      <c r="N2347" s="19">
        <f>IF(I2347="","",IFERROR(INDEX(ctaMon,MATCH(E2347,ctaNom,0))&amp;"","DOP"))</f>
        <v/>
      </c>
      <c r="O2347" s="20">
        <f>IF(I2347="","",C2347*IF(N2347="USD",TasaUSD,1))</f>
        <v/>
      </c>
      <c r="P2347" s="20">
        <f>IF(I2347="","",IF(I2347="Gasto",O2347,0))</f>
        <v/>
      </c>
      <c r="Q2347" s="20">
        <f>IF(I2347="","",IF(I2347="Ingreso",O2347,0))</f>
        <v/>
      </c>
      <c r="R2347" s="20">
        <f>IF(I2347="","",IF(I2347="Trading",O2347,0))</f>
        <v/>
      </c>
      <c r="S2347" s="19">
        <f>IF(I2347="","",IF(AND(I2347="Gasto",K2347="Variable",J2347&lt;&gt;"Trading",O2347&gt;0,O2347&lt;=Umbral),1,0))</f>
        <v/>
      </c>
      <c r="T2347" s="20">
        <f>IF(OR(I2347="",E2347=""),"",IF(OR(I2347="Gasto",I2347="Transferencia",I2347="Pago tarjeta"),-1,1)*C2347)</f>
        <v/>
      </c>
      <c r="U2347" s="20">
        <f>IF(OR(G2347="",AND(I2347&lt;&gt;"Transferencia",I2347&lt;&gt;"Pago tarjeta")),"",IF(IFERROR(INDEX(ctaMon,MATCH(G2347,ctaNom,0))&amp;"","DOP")=N2347,C2347,IF(N2347="USD",C2347*TasaUSD,C2347/TasaUSD)))</f>
        <v/>
      </c>
      <c r="V2347" s="20">
        <f>IF(I2347="","",IF(IFERROR(INDEX(ctaLiq,MATCH(E2347,ctaNom,0))="Sí",FALSE),IF(OR(I2347="Gasto",I2347="Transferencia",I2347="Pago tarjeta"),-1,1)*O2347,0)+IF(AND(U2347&lt;&gt;"",IFERROR(INDEX(ctaLiq,MATCH(G2347,ctaNom,0))="Sí",FALSE)),O2347,0))</f>
        <v/>
      </c>
      <c r="W2347" s="19">
        <f>IF(OR(F2347="",I2347=""),"",IF(COUNTIFS(F$6:F2347,F2347,I$6:I2347,"?*")=1,MAX(W$5:W2346)+1,""))</f>
        <v/>
      </c>
    </row>
    <row r="2348">
      <c r="B2348" s="15" t="n"/>
      <c r="C2348" s="16" t="n"/>
      <c r="D2348" s="17" t="n"/>
      <c r="E2348" s="17" t="n"/>
      <c r="F2348" s="17" t="n"/>
      <c r="G2348" s="17" t="n"/>
      <c r="H2348" s="18">
        <f>IF(AND(B2348="",C2348="",D2348="",E2348=""),"",IF(B2348="","⚠ Falta fecha",IF(C2348="","⚠ Falta monto",IF(D2348="","⚠ Falta categoría",IF(ISNA(MATCH(D2348,catNom,0)),"⚠ Categoría no existe",IF(E2348="","⚠ Falta cuenta",IF(ISNA(MATCH(E2348,ctaNom,0)),"⚠ Cuenta no existe",IF(AND(OR(I2348="Transferencia",I2348="Pago tarjeta"),G2348=""),"⚠ Indica la cuenta «Hacia»",IF(AND(G2348&lt;&gt;"",G2348=E2348),"⚠ «Hacia» igual a la cuenta",IF(AND(G2348&lt;&gt;"",ISNA(MATCH(G2348,ctaNom,0))),"⚠ «Hacia» no existe",IF(AND(I2348="Pago tarjeta",IFERROR(INDEX(ctaTipo,MATCH(G2348,ctaNom,0)),"")&lt;&gt;"Tarjeta de crédito"),"⚠ «Hacia» debe ser la tarjeta",IF(AND(I2348="Trading",IFERROR(INDEX(ctaTipo,MATCH(E2348,ctaNom,0)),"")&lt;&gt;"Cuenta de trading"),"⚠ Usa la cuenta de trading","✓"))))))))))))</f>
        <v/>
      </c>
      <c r="I2348" s="19">
        <f>IF(OR(B2348="",C2348="",D2348=""),"",IFERROR(INDEX(catTipo,MATCH(D2348,catNom,0))&amp;"",""))</f>
        <v/>
      </c>
      <c r="J2348" s="19">
        <f>IF(I2348="","",IFERROR(INDEX(catGrupo,MATCH(D2348,catNom,0))&amp;"",""))</f>
        <v/>
      </c>
      <c r="K2348" s="19">
        <f>IF(I2348="Gasto",IF(IFERROR(INDEX(catClas,MATCH(D2348,catNom,0))&amp;"","")="","Variable",IFERROR(INDEX(catClas,MATCH(D2348,catNom,0))&amp;"","")),"")</f>
        <v/>
      </c>
      <c r="L2348" s="19">
        <f>IF(I2348="","",IFERROR(INDEX(catAlim,MATCH(D2348,catNom,0))&amp;"",""))</f>
        <v/>
      </c>
      <c r="M2348" s="19">
        <f>IF(I2348="","",IFERROR(INDEX(catComida,MATCH(D2348,catNom,0))&amp;"",""))</f>
        <v/>
      </c>
      <c r="N2348" s="19">
        <f>IF(I2348="","",IFERROR(INDEX(ctaMon,MATCH(E2348,ctaNom,0))&amp;"","DOP"))</f>
        <v/>
      </c>
      <c r="O2348" s="20">
        <f>IF(I2348="","",C2348*IF(N2348="USD",TasaUSD,1))</f>
        <v/>
      </c>
      <c r="P2348" s="20">
        <f>IF(I2348="","",IF(I2348="Gasto",O2348,0))</f>
        <v/>
      </c>
      <c r="Q2348" s="20">
        <f>IF(I2348="","",IF(I2348="Ingreso",O2348,0))</f>
        <v/>
      </c>
      <c r="R2348" s="20">
        <f>IF(I2348="","",IF(I2348="Trading",O2348,0))</f>
        <v/>
      </c>
      <c r="S2348" s="19">
        <f>IF(I2348="","",IF(AND(I2348="Gasto",K2348="Variable",J2348&lt;&gt;"Trading",O2348&gt;0,O2348&lt;=Umbral),1,0))</f>
        <v/>
      </c>
      <c r="T2348" s="20">
        <f>IF(OR(I2348="",E2348=""),"",IF(OR(I2348="Gasto",I2348="Transferencia",I2348="Pago tarjeta"),-1,1)*C2348)</f>
        <v/>
      </c>
      <c r="U2348" s="20">
        <f>IF(OR(G2348="",AND(I2348&lt;&gt;"Transferencia",I2348&lt;&gt;"Pago tarjeta")),"",IF(IFERROR(INDEX(ctaMon,MATCH(G2348,ctaNom,0))&amp;"","DOP")=N2348,C2348,IF(N2348="USD",C2348*TasaUSD,C2348/TasaUSD)))</f>
        <v/>
      </c>
      <c r="V2348" s="20">
        <f>IF(I2348="","",IF(IFERROR(INDEX(ctaLiq,MATCH(E2348,ctaNom,0))="Sí",FALSE),IF(OR(I2348="Gasto",I2348="Transferencia",I2348="Pago tarjeta"),-1,1)*O2348,0)+IF(AND(U2348&lt;&gt;"",IFERROR(INDEX(ctaLiq,MATCH(G2348,ctaNom,0))="Sí",FALSE)),O2348,0))</f>
        <v/>
      </c>
      <c r="W2348" s="19">
        <f>IF(OR(F2348="",I2348=""),"",IF(COUNTIFS(F$6:F2348,F2348,I$6:I2348,"?*")=1,MAX(W$5:W2347)+1,""))</f>
        <v/>
      </c>
    </row>
    <row r="2349">
      <c r="B2349" s="15" t="n"/>
      <c r="C2349" s="16" t="n"/>
      <c r="D2349" s="17" t="n"/>
      <c r="E2349" s="17" t="n"/>
      <c r="F2349" s="17" t="n"/>
      <c r="G2349" s="17" t="n"/>
      <c r="H2349" s="18">
        <f>IF(AND(B2349="",C2349="",D2349="",E2349=""),"",IF(B2349="","⚠ Falta fecha",IF(C2349="","⚠ Falta monto",IF(D2349="","⚠ Falta categoría",IF(ISNA(MATCH(D2349,catNom,0)),"⚠ Categoría no existe",IF(E2349="","⚠ Falta cuenta",IF(ISNA(MATCH(E2349,ctaNom,0)),"⚠ Cuenta no existe",IF(AND(OR(I2349="Transferencia",I2349="Pago tarjeta"),G2349=""),"⚠ Indica la cuenta «Hacia»",IF(AND(G2349&lt;&gt;"",G2349=E2349),"⚠ «Hacia» igual a la cuenta",IF(AND(G2349&lt;&gt;"",ISNA(MATCH(G2349,ctaNom,0))),"⚠ «Hacia» no existe",IF(AND(I2349="Pago tarjeta",IFERROR(INDEX(ctaTipo,MATCH(G2349,ctaNom,0)),"")&lt;&gt;"Tarjeta de crédito"),"⚠ «Hacia» debe ser la tarjeta",IF(AND(I2349="Trading",IFERROR(INDEX(ctaTipo,MATCH(E2349,ctaNom,0)),"")&lt;&gt;"Cuenta de trading"),"⚠ Usa la cuenta de trading","✓"))))))))))))</f>
        <v/>
      </c>
      <c r="I2349" s="19">
        <f>IF(OR(B2349="",C2349="",D2349=""),"",IFERROR(INDEX(catTipo,MATCH(D2349,catNom,0))&amp;"",""))</f>
        <v/>
      </c>
      <c r="J2349" s="19">
        <f>IF(I2349="","",IFERROR(INDEX(catGrupo,MATCH(D2349,catNom,0))&amp;"",""))</f>
        <v/>
      </c>
      <c r="K2349" s="19">
        <f>IF(I2349="Gasto",IF(IFERROR(INDEX(catClas,MATCH(D2349,catNom,0))&amp;"","")="","Variable",IFERROR(INDEX(catClas,MATCH(D2349,catNom,0))&amp;"","")),"")</f>
        <v/>
      </c>
      <c r="L2349" s="19">
        <f>IF(I2349="","",IFERROR(INDEX(catAlim,MATCH(D2349,catNom,0))&amp;"",""))</f>
        <v/>
      </c>
      <c r="M2349" s="19">
        <f>IF(I2349="","",IFERROR(INDEX(catComida,MATCH(D2349,catNom,0))&amp;"",""))</f>
        <v/>
      </c>
      <c r="N2349" s="19">
        <f>IF(I2349="","",IFERROR(INDEX(ctaMon,MATCH(E2349,ctaNom,0))&amp;"","DOP"))</f>
        <v/>
      </c>
      <c r="O2349" s="20">
        <f>IF(I2349="","",C2349*IF(N2349="USD",TasaUSD,1))</f>
        <v/>
      </c>
      <c r="P2349" s="20">
        <f>IF(I2349="","",IF(I2349="Gasto",O2349,0))</f>
        <v/>
      </c>
      <c r="Q2349" s="20">
        <f>IF(I2349="","",IF(I2349="Ingreso",O2349,0))</f>
        <v/>
      </c>
      <c r="R2349" s="20">
        <f>IF(I2349="","",IF(I2349="Trading",O2349,0))</f>
        <v/>
      </c>
      <c r="S2349" s="19">
        <f>IF(I2349="","",IF(AND(I2349="Gasto",K2349="Variable",J2349&lt;&gt;"Trading",O2349&gt;0,O2349&lt;=Umbral),1,0))</f>
        <v/>
      </c>
      <c r="T2349" s="20">
        <f>IF(OR(I2349="",E2349=""),"",IF(OR(I2349="Gasto",I2349="Transferencia",I2349="Pago tarjeta"),-1,1)*C2349)</f>
        <v/>
      </c>
      <c r="U2349" s="20">
        <f>IF(OR(G2349="",AND(I2349&lt;&gt;"Transferencia",I2349&lt;&gt;"Pago tarjeta")),"",IF(IFERROR(INDEX(ctaMon,MATCH(G2349,ctaNom,0))&amp;"","DOP")=N2349,C2349,IF(N2349="USD",C2349*TasaUSD,C2349/TasaUSD)))</f>
        <v/>
      </c>
      <c r="V2349" s="20">
        <f>IF(I2349="","",IF(IFERROR(INDEX(ctaLiq,MATCH(E2349,ctaNom,0))="Sí",FALSE),IF(OR(I2349="Gasto",I2349="Transferencia",I2349="Pago tarjeta"),-1,1)*O2349,0)+IF(AND(U2349&lt;&gt;"",IFERROR(INDEX(ctaLiq,MATCH(G2349,ctaNom,0))="Sí",FALSE)),O2349,0))</f>
        <v/>
      </c>
      <c r="W2349" s="19">
        <f>IF(OR(F2349="",I2349=""),"",IF(COUNTIFS(F$6:F2349,F2349,I$6:I2349,"?*")=1,MAX(W$5:W2348)+1,""))</f>
        <v/>
      </c>
    </row>
    <row r="2350">
      <c r="B2350" s="15" t="n"/>
      <c r="C2350" s="16" t="n"/>
      <c r="D2350" s="17" t="n"/>
      <c r="E2350" s="17" t="n"/>
      <c r="F2350" s="17" t="n"/>
      <c r="G2350" s="17" t="n"/>
      <c r="H2350" s="18">
        <f>IF(AND(B2350="",C2350="",D2350="",E2350=""),"",IF(B2350="","⚠ Falta fecha",IF(C2350="","⚠ Falta monto",IF(D2350="","⚠ Falta categoría",IF(ISNA(MATCH(D2350,catNom,0)),"⚠ Categoría no existe",IF(E2350="","⚠ Falta cuenta",IF(ISNA(MATCH(E2350,ctaNom,0)),"⚠ Cuenta no existe",IF(AND(OR(I2350="Transferencia",I2350="Pago tarjeta"),G2350=""),"⚠ Indica la cuenta «Hacia»",IF(AND(G2350&lt;&gt;"",G2350=E2350),"⚠ «Hacia» igual a la cuenta",IF(AND(G2350&lt;&gt;"",ISNA(MATCH(G2350,ctaNom,0))),"⚠ «Hacia» no existe",IF(AND(I2350="Pago tarjeta",IFERROR(INDEX(ctaTipo,MATCH(G2350,ctaNom,0)),"")&lt;&gt;"Tarjeta de crédito"),"⚠ «Hacia» debe ser la tarjeta",IF(AND(I2350="Trading",IFERROR(INDEX(ctaTipo,MATCH(E2350,ctaNom,0)),"")&lt;&gt;"Cuenta de trading"),"⚠ Usa la cuenta de trading","✓"))))))))))))</f>
        <v/>
      </c>
      <c r="I2350" s="19">
        <f>IF(OR(B2350="",C2350="",D2350=""),"",IFERROR(INDEX(catTipo,MATCH(D2350,catNom,0))&amp;"",""))</f>
        <v/>
      </c>
      <c r="J2350" s="19">
        <f>IF(I2350="","",IFERROR(INDEX(catGrupo,MATCH(D2350,catNom,0))&amp;"",""))</f>
        <v/>
      </c>
      <c r="K2350" s="19">
        <f>IF(I2350="Gasto",IF(IFERROR(INDEX(catClas,MATCH(D2350,catNom,0))&amp;"","")="","Variable",IFERROR(INDEX(catClas,MATCH(D2350,catNom,0))&amp;"","")),"")</f>
        <v/>
      </c>
      <c r="L2350" s="19">
        <f>IF(I2350="","",IFERROR(INDEX(catAlim,MATCH(D2350,catNom,0))&amp;"",""))</f>
        <v/>
      </c>
      <c r="M2350" s="19">
        <f>IF(I2350="","",IFERROR(INDEX(catComida,MATCH(D2350,catNom,0))&amp;"",""))</f>
        <v/>
      </c>
      <c r="N2350" s="19">
        <f>IF(I2350="","",IFERROR(INDEX(ctaMon,MATCH(E2350,ctaNom,0))&amp;"","DOP"))</f>
        <v/>
      </c>
      <c r="O2350" s="20">
        <f>IF(I2350="","",C2350*IF(N2350="USD",TasaUSD,1))</f>
        <v/>
      </c>
      <c r="P2350" s="20">
        <f>IF(I2350="","",IF(I2350="Gasto",O2350,0))</f>
        <v/>
      </c>
      <c r="Q2350" s="20">
        <f>IF(I2350="","",IF(I2350="Ingreso",O2350,0))</f>
        <v/>
      </c>
      <c r="R2350" s="20">
        <f>IF(I2350="","",IF(I2350="Trading",O2350,0))</f>
        <v/>
      </c>
      <c r="S2350" s="19">
        <f>IF(I2350="","",IF(AND(I2350="Gasto",K2350="Variable",J2350&lt;&gt;"Trading",O2350&gt;0,O2350&lt;=Umbral),1,0))</f>
        <v/>
      </c>
      <c r="T2350" s="20">
        <f>IF(OR(I2350="",E2350=""),"",IF(OR(I2350="Gasto",I2350="Transferencia",I2350="Pago tarjeta"),-1,1)*C2350)</f>
        <v/>
      </c>
      <c r="U2350" s="20">
        <f>IF(OR(G2350="",AND(I2350&lt;&gt;"Transferencia",I2350&lt;&gt;"Pago tarjeta")),"",IF(IFERROR(INDEX(ctaMon,MATCH(G2350,ctaNom,0))&amp;"","DOP")=N2350,C2350,IF(N2350="USD",C2350*TasaUSD,C2350/TasaUSD)))</f>
        <v/>
      </c>
      <c r="V2350" s="20">
        <f>IF(I2350="","",IF(IFERROR(INDEX(ctaLiq,MATCH(E2350,ctaNom,0))="Sí",FALSE),IF(OR(I2350="Gasto",I2350="Transferencia",I2350="Pago tarjeta"),-1,1)*O2350,0)+IF(AND(U2350&lt;&gt;"",IFERROR(INDEX(ctaLiq,MATCH(G2350,ctaNom,0))="Sí",FALSE)),O2350,0))</f>
        <v/>
      </c>
      <c r="W2350" s="19">
        <f>IF(OR(F2350="",I2350=""),"",IF(COUNTIFS(F$6:F2350,F2350,I$6:I2350,"?*")=1,MAX(W$5:W2349)+1,""))</f>
        <v/>
      </c>
    </row>
    <row r="2351">
      <c r="B2351" s="15" t="n"/>
      <c r="C2351" s="16" t="n"/>
      <c r="D2351" s="17" t="n"/>
      <c r="E2351" s="17" t="n"/>
      <c r="F2351" s="17" t="n"/>
      <c r="G2351" s="17" t="n"/>
      <c r="H2351" s="18">
        <f>IF(AND(B2351="",C2351="",D2351="",E2351=""),"",IF(B2351="","⚠ Falta fecha",IF(C2351="","⚠ Falta monto",IF(D2351="","⚠ Falta categoría",IF(ISNA(MATCH(D2351,catNom,0)),"⚠ Categoría no existe",IF(E2351="","⚠ Falta cuenta",IF(ISNA(MATCH(E2351,ctaNom,0)),"⚠ Cuenta no existe",IF(AND(OR(I2351="Transferencia",I2351="Pago tarjeta"),G2351=""),"⚠ Indica la cuenta «Hacia»",IF(AND(G2351&lt;&gt;"",G2351=E2351),"⚠ «Hacia» igual a la cuenta",IF(AND(G2351&lt;&gt;"",ISNA(MATCH(G2351,ctaNom,0))),"⚠ «Hacia» no existe",IF(AND(I2351="Pago tarjeta",IFERROR(INDEX(ctaTipo,MATCH(G2351,ctaNom,0)),"")&lt;&gt;"Tarjeta de crédito"),"⚠ «Hacia» debe ser la tarjeta",IF(AND(I2351="Trading",IFERROR(INDEX(ctaTipo,MATCH(E2351,ctaNom,0)),"")&lt;&gt;"Cuenta de trading"),"⚠ Usa la cuenta de trading","✓"))))))))))))</f>
        <v/>
      </c>
      <c r="I2351" s="19">
        <f>IF(OR(B2351="",C2351="",D2351=""),"",IFERROR(INDEX(catTipo,MATCH(D2351,catNom,0))&amp;"",""))</f>
        <v/>
      </c>
      <c r="J2351" s="19">
        <f>IF(I2351="","",IFERROR(INDEX(catGrupo,MATCH(D2351,catNom,0))&amp;"",""))</f>
        <v/>
      </c>
      <c r="K2351" s="19">
        <f>IF(I2351="Gasto",IF(IFERROR(INDEX(catClas,MATCH(D2351,catNom,0))&amp;"","")="","Variable",IFERROR(INDEX(catClas,MATCH(D2351,catNom,0))&amp;"","")),"")</f>
        <v/>
      </c>
      <c r="L2351" s="19">
        <f>IF(I2351="","",IFERROR(INDEX(catAlim,MATCH(D2351,catNom,0))&amp;"",""))</f>
        <v/>
      </c>
      <c r="M2351" s="19">
        <f>IF(I2351="","",IFERROR(INDEX(catComida,MATCH(D2351,catNom,0))&amp;"",""))</f>
        <v/>
      </c>
      <c r="N2351" s="19">
        <f>IF(I2351="","",IFERROR(INDEX(ctaMon,MATCH(E2351,ctaNom,0))&amp;"","DOP"))</f>
        <v/>
      </c>
      <c r="O2351" s="20">
        <f>IF(I2351="","",C2351*IF(N2351="USD",TasaUSD,1))</f>
        <v/>
      </c>
      <c r="P2351" s="20">
        <f>IF(I2351="","",IF(I2351="Gasto",O2351,0))</f>
        <v/>
      </c>
      <c r="Q2351" s="20">
        <f>IF(I2351="","",IF(I2351="Ingreso",O2351,0))</f>
        <v/>
      </c>
      <c r="R2351" s="20">
        <f>IF(I2351="","",IF(I2351="Trading",O2351,0))</f>
        <v/>
      </c>
      <c r="S2351" s="19">
        <f>IF(I2351="","",IF(AND(I2351="Gasto",K2351="Variable",J2351&lt;&gt;"Trading",O2351&gt;0,O2351&lt;=Umbral),1,0))</f>
        <v/>
      </c>
      <c r="T2351" s="20">
        <f>IF(OR(I2351="",E2351=""),"",IF(OR(I2351="Gasto",I2351="Transferencia",I2351="Pago tarjeta"),-1,1)*C2351)</f>
        <v/>
      </c>
      <c r="U2351" s="20">
        <f>IF(OR(G2351="",AND(I2351&lt;&gt;"Transferencia",I2351&lt;&gt;"Pago tarjeta")),"",IF(IFERROR(INDEX(ctaMon,MATCH(G2351,ctaNom,0))&amp;"","DOP")=N2351,C2351,IF(N2351="USD",C2351*TasaUSD,C2351/TasaUSD)))</f>
        <v/>
      </c>
      <c r="V2351" s="20">
        <f>IF(I2351="","",IF(IFERROR(INDEX(ctaLiq,MATCH(E2351,ctaNom,0))="Sí",FALSE),IF(OR(I2351="Gasto",I2351="Transferencia",I2351="Pago tarjeta"),-1,1)*O2351,0)+IF(AND(U2351&lt;&gt;"",IFERROR(INDEX(ctaLiq,MATCH(G2351,ctaNom,0))="Sí",FALSE)),O2351,0))</f>
        <v/>
      </c>
      <c r="W2351" s="19">
        <f>IF(OR(F2351="",I2351=""),"",IF(COUNTIFS(F$6:F2351,F2351,I$6:I2351,"?*")=1,MAX(W$5:W2350)+1,""))</f>
        <v/>
      </c>
    </row>
    <row r="2352">
      <c r="B2352" s="15" t="n"/>
      <c r="C2352" s="16" t="n"/>
      <c r="D2352" s="17" t="n"/>
      <c r="E2352" s="17" t="n"/>
      <c r="F2352" s="17" t="n"/>
      <c r="G2352" s="17" t="n"/>
      <c r="H2352" s="18">
        <f>IF(AND(B2352="",C2352="",D2352="",E2352=""),"",IF(B2352="","⚠ Falta fecha",IF(C2352="","⚠ Falta monto",IF(D2352="","⚠ Falta categoría",IF(ISNA(MATCH(D2352,catNom,0)),"⚠ Categoría no existe",IF(E2352="","⚠ Falta cuenta",IF(ISNA(MATCH(E2352,ctaNom,0)),"⚠ Cuenta no existe",IF(AND(OR(I2352="Transferencia",I2352="Pago tarjeta"),G2352=""),"⚠ Indica la cuenta «Hacia»",IF(AND(G2352&lt;&gt;"",G2352=E2352),"⚠ «Hacia» igual a la cuenta",IF(AND(G2352&lt;&gt;"",ISNA(MATCH(G2352,ctaNom,0))),"⚠ «Hacia» no existe",IF(AND(I2352="Pago tarjeta",IFERROR(INDEX(ctaTipo,MATCH(G2352,ctaNom,0)),"")&lt;&gt;"Tarjeta de crédito"),"⚠ «Hacia» debe ser la tarjeta",IF(AND(I2352="Trading",IFERROR(INDEX(ctaTipo,MATCH(E2352,ctaNom,0)),"")&lt;&gt;"Cuenta de trading"),"⚠ Usa la cuenta de trading","✓"))))))))))))</f>
        <v/>
      </c>
      <c r="I2352" s="19">
        <f>IF(OR(B2352="",C2352="",D2352=""),"",IFERROR(INDEX(catTipo,MATCH(D2352,catNom,0))&amp;"",""))</f>
        <v/>
      </c>
      <c r="J2352" s="19">
        <f>IF(I2352="","",IFERROR(INDEX(catGrupo,MATCH(D2352,catNom,0))&amp;"",""))</f>
        <v/>
      </c>
      <c r="K2352" s="19">
        <f>IF(I2352="Gasto",IF(IFERROR(INDEX(catClas,MATCH(D2352,catNom,0))&amp;"","")="","Variable",IFERROR(INDEX(catClas,MATCH(D2352,catNom,0))&amp;"","")),"")</f>
        <v/>
      </c>
      <c r="L2352" s="19">
        <f>IF(I2352="","",IFERROR(INDEX(catAlim,MATCH(D2352,catNom,0))&amp;"",""))</f>
        <v/>
      </c>
      <c r="M2352" s="19">
        <f>IF(I2352="","",IFERROR(INDEX(catComida,MATCH(D2352,catNom,0))&amp;"",""))</f>
        <v/>
      </c>
      <c r="N2352" s="19">
        <f>IF(I2352="","",IFERROR(INDEX(ctaMon,MATCH(E2352,ctaNom,0))&amp;"","DOP"))</f>
        <v/>
      </c>
      <c r="O2352" s="20">
        <f>IF(I2352="","",C2352*IF(N2352="USD",TasaUSD,1))</f>
        <v/>
      </c>
      <c r="P2352" s="20">
        <f>IF(I2352="","",IF(I2352="Gasto",O2352,0))</f>
        <v/>
      </c>
      <c r="Q2352" s="20">
        <f>IF(I2352="","",IF(I2352="Ingreso",O2352,0))</f>
        <v/>
      </c>
      <c r="R2352" s="20">
        <f>IF(I2352="","",IF(I2352="Trading",O2352,0))</f>
        <v/>
      </c>
      <c r="S2352" s="19">
        <f>IF(I2352="","",IF(AND(I2352="Gasto",K2352="Variable",J2352&lt;&gt;"Trading",O2352&gt;0,O2352&lt;=Umbral),1,0))</f>
        <v/>
      </c>
      <c r="T2352" s="20">
        <f>IF(OR(I2352="",E2352=""),"",IF(OR(I2352="Gasto",I2352="Transferencia",I2352="Pago tarjeta"),-1,1)*C2352)</f>
        <v/>
      </c>
      <c r="U2352" s="20">
        <f>IF(OR(G2352="",AND(I2352&lt;&gt;"Transferencia",I2352&lt;&gt;"Pago tarjeta")),"",IF(IFERROR(INDEX(ctaMon,MATCH(G2352,ctaNom,0))&amp;"","DOP")=N2352,C2352,IF(N2352="USD",C2352*TasaUSD,C2352/TasaUSD)))</f>
        <v/>
      </c>
      <c r="V2352" s="20">
        <f>IF(I2352="","",IF(IFERROR(INDEX(ctaLiq,MATCH(E2352,ctaNom,0))="Sí",FALSE),IF(OR(I2352="Gasto",I2352="Transferencia",I2352="Pago tarjeta"),-1,1)*O2352,0)+IF(AND(U2352&lt;&gt;"",IFERROR(INDEX(ctaLiq,MATCH(G2352,ctaNom,0))="Sí",FALSE)),O2352,0))</f>
        <v/>
      </c>
      <c r="W2352" s="19">
        <f>IF(OR(F2352="",I2352=""),"",IF(COUNTIFS(F$6:F2352,F2352,I$6:I2352,"?*")=1,MAX(W$5:W2351)+1,""))</f>
        <v/>
      </c>
    </row>
    <row r="2353">
      <c r="B2353" s="15" t="n"/>
      <c r="C2353" s="16" t="n"/>
      <c r="D2353" s="17" t="n"/>
      <c r="E2353" s="17" t="n"/>
      <c r="F2353" s="17" t="n"/>
      <c r="G2353" s="17" t="n"/>
      <c r="H2353" s="18">
        <f>IF(AND(B2353="",C2353="",D2353="",E2353=""),"",IF(B2353="","⚠ Falta fecha",IF(C2353="","⚠ Falta monto",IF(D2353="","⚠ Falta categoría",IF(ISNA(MATCH(D2353,catNom,0)),"⚠ Categoría no existe",IF(E2353="","⚠ Falta cuenta",IF(ISNA(MATCH(E2353,ctaNom,0)),"⚠ Cuenta no existe",IF(AND(OR(I2353="Transferencia",I2353="Pago tarjeta"),G2353=""),"⚠ Indica la cuenta «Hacia»",IF(AND(G2353&lt;&gt;"",G2353=E2353),"⚠ «Hacia» igual a la cuenta",IF(AND(G2353&lt;&gt;"",ISNA(MATCH(G2353,ctaNom,0))),"⚠ «Hacia» no existe",IF(AND(I2353="Pago tarjeta",IFERROR(INDEX(ctaTipo,MATCH(G2353,ctaNom,0)),"")&lt;&gt;"Tarjeta de crédito"),"⚠ «Hacia» debe ser la tarjeta",IF(AND(I2353="Trading",IFERROR(INDEX(ctaTipo,MATCH(E2353,ctaNom,0)),"")&lt;&gt;"Cuenta de trading"),"⚠ Usa la cuenta de trading","✓"))))))))))))</f>
        <v/>
      </c>
      <c r="I2353" s="19">
        <f>IF(OR(B2353="",C2353="",D2353=""),"",IFERROR(INDEX(catTipo,MATCH(D2353,catNom,0))&amp;"",""))</f>
        <v/>
      </c>
      <c r="J2353" s="19">
        <f>IF(I2353="","",IFERROR(INDEX(catGrupo,MATCH(D2353,catNom,0))&amp;"",""))</f>
        <v/>
      </c>
      <c r="K2353" s="19">
        <f>IF(I2353="Gasto",IF(IFERROR(INDEX(catClas,MATCH(D2353,catNom,0))&amp;"","")="","Variable",IFERROR(INDEX(catClas,MATCH(D2353,catNom,0))&amp;"","")),"")</f>
        <v/>
      </c>
      <c r="L2353" s="19">
        <f>IF(I2353="","",IFERROR(INDEX(catAlim,MATCH(D2353,catNom,0))&amp;"",""))</f>
        <v/>
      </c>
      <c r="M2353" s="19">
        <f>IF(I2353="","",IFERROR(INDEX(catComida,MATCH(D2353,catNom,0))&amp;"",""))</f>
        <v/>
      </c>
      <c r="N2353" s="19">
        <f>IF(I2353="","",IFERROR(INDEX(ctaMon,MATCH(E2353,ctaNom,0))&amp;"","DOP"))</f>
        <v/>
      </c>
      <c r="O2353" s="20">
        <f>IF(I2353="","",C2353*IF(N2353="USD",TasaUSD,1))</f>
        <v/>
      </c>
      <c r="P2353" s="20">
        <f>IF(I2353="","",IF(I2353="Gasto",O2353,0))</f>
        <v/>
      </c>
      <c r="Q2353" s="20">
        <f>IF(I2353="","",IF(I2353="Ingreso",O2353,0))</f>
        <v/>
      </c>
      <c r="R2353" s="20">
        <f>IF(I2353="","",IF(I2353="Trading",O2353,0))</f>
        <v/>
      </c>
      <c r="S2353" s="19">
        <f>IF(I2353="","",IF(AND(I2353="Gasto",K2353="Variable",J2353&lt;&gt;"Trading",O2353&gt;0,O2353&lt;=Umbral),1,0))</f>
        <v/>
      </c>
      <c r="T2353" s="20">
        <f>IF(OR(I2353="",E2353=""),"",IF(OR(I2353="Gasto",I2353="Transferencia",I2353="Pago tarjeta"),-1,1)*C2353)</f>
        <v/>
      </c>
      <c r="U2353" s="20">
        <f>IF(OR(G2353="",AND(I2353&lt;&gt;"Transferencia",I2353&lt;&gt;"Pago tarjeta")),"",IF(IFERROR(INDEX(ctaMon,MATCH(G2353,ctaNom,0))&amp;"","DOP")=N2353,C2353,IF(N2353="USD",C2353*TasaUSD,C2353/TasaUSD)))</f>
        <v/>
      </c>
      <c r="V2353" s="20">
        <f>IF(I2353="","",IF(IFERROR(INDEX(ctaLiq,MATCH(E2353,ctaNom,0))="Sí",FALSE),IF(OR(I2353="Gasto",I2353="Transferencia",I2353="Pago tarjeta"),-1,1)*O2353,0)+IF(AND(U2353&lt;&gt;"",IFERROR(INDEX(ctaLiq,MATCH(G2353,ctaNom,0))="Sí",FALSE)),O2353,0))</f>
        <v/>
      </c>
      <c r="W2353" s="19">
        <f>IF(OR(F2353="",I2353=""),"",IF(COUNTIFS(F$6:F2353,F2353,I$6:I2353,"?*")=1,MAX(W$5:W2352)+1,""))</f>
        <v/>
      </c>
    </row>
    <row r="2354">
      <c r="B2354" s="15" t="n"/>
      <c r="C2354" s="16" t="n"/>
      <c r="D2354" s="17" t="n"/>
      <c r="E2354" s="17" t="n"/>
      <c r="F2354" s="17" t="n"/>
      <c r="G2354" s="17" t="n"/>
      <c r="H2354" s="18">
        <f>IF(AND(B2354="",C2354="",D2354="",E2354=""),"",IF(B2354="","⚠ Falta fecha",IF(C2354="","⚠ Falta monto",IF(D2354="","⚠ Falta categoría",IF(ISNA(MATCH(D2354,catNom,0)),"⚠ Categoría no existe",IF(E2354="","⚠ Falta cuenta",IF(ISNA(MATCH(E2354,ctaNom,0)),"⚠ Cuenta no existe",IF(AND(OR(I2354="Transferencia",I2354="Pago tarjeta"),G2354=""),"⚠ Indica la cuenta «Hacia»",IF(AND(G2354&lt;&gt;"",G2354=E2354),"⚠ «Hacia» igual a la cuenta",IF(AND(G2354&lt;&gt;"",ISNA(MATCH(G2354,ctaNom,0))),"⚠ «Hacia» no existe",IF(AND(I2354="Pago tarjeta",IFERROR(INDEX(ctaTipo,MATCH(G2354,ctaNom,0)),"")&lt;&gt;"Tarjeta de crédito"),"⚠ «Hacia» debe ser la tarjeta",IF(AND(I2354="Trading",IFERROR(INDEX(ctaTipo,MATCH(E2354,ctaNom,0)),"")&lt;&gt;"Cuenta de trading"),"⚠ Usa la cuenta de trading","✓"))))))))))))</f>
        <v/>
      </c>
      <c r="I2354" s="19">
        <f>IF(OR(B2354="",C2354="",D2354=""),"",IFERROR(INDEX(catTipo,MATCH(D2354,catNom,0))&amp;"",""))</f>
        <v/>
      </c>
      <c r="J2354" s="19">
        <f>IF(I2354="","",IFERROR(INDEX(catGrupo,MATCH(D2354,catNom,0))&amp;"",""))</f>
        <v/>
      </c>
      <c r="K2354" s="19">
        <f>IF(I2354="Gasto",IF(IFERROR(INDEX(catClas,MATCH(D2354,catNom,0))&amp;"","")="","Variable",IFERROR(INDEX(catClas,MATCH(D2354,catNom,0))&amp;"","")),"")</f>
        <v/>
      </c>
      <c r="L2354" s="19">
        <f>IF(I2354="","",IFERROR(INDEX(catAlim,MATCH(D2354,catNom,0))&amp;"",""))</f>
        <v/>
      </c>
      <c r="M2354" s="19">
        <f>IF(I2354="","",IFERROR(INDEX(catComida,MATCH(D2354,catNom,0))&amp;"",""))</f>
        <v/>
      </c>
      <c r="N2354" s="19">
        <f>IF(I2354="","",IFERROR(INDEX(ctaMon,MATCH(E2354,ctaNom,0))&amp;"","DOP"))</f>
        <v/>
      </c>
      <c r="O2354" s="20">
        <f>IF(I2354="","",C2354*IF(N2354="USD",TasaUSD,1))</f>
        <v/>
      </c>
      <c r="P2354" s="20">
        <f>IF(I2354="","",IF(I2354="Gasto",O2354,0))</f>
        <v/>
      </c>
      <c r="Q2354" s="20">
        <f>IF(I2354="","",IF(I2354="Ingreso",O2354,0))</f>
        <v/>
      </c>
      <c r="R2354" s="20">
        <f>IF(I2354="","",IF(I2354="Trading",O2354,0))</f>
        <v/>
      </c>
      <c r="S2354" s="19">
        <f>IF(I2354="","",IF(AND(I2354="Gasto",K2354="Variable",J2354&lt;&gt;"Trading",O2354&gt;0,O2354&lt;=Umbral),1,0))</f>
        <v/>
      </c>
      <c r="T2354" s="20">
        <f>IF(OR(I2354="",E2354=""),"",IF(OR(I2354="Gasto",I2354="Transferencia",I2354="Pago tarjeta"),-1,1)*C2354)</f>
        <v/>
      </c>
      <c r="U2354" s="20">
        <f>IF(OR(G2354="",AND(I2354&lt;&gt;"Transferencia",I2354&lt;&gt;"Pago tarjeta")),"",IF(IFERROR(INDEX(ctaMon,MATCH(G2354,ctaNom,0))&amp;"","DOP")=N2354,C2354,IF(N2354="USD",C2354*TasaUSD,C2354/TasaUSD)))</f>
        <v/>
      </c>
      <c r="V2354" s="20">
        <f>IF(I2354="","",IF(IFERROR(INDEX(ctaLiq,MATCH(E2354,ctaNom,0))="Sí",FALSE),IF(OR(I2354="Gasto",I2354="Transferencia",I2354="Pago tarjeta"),-1,1)*O2354,0)+IF(AND(U2354&lt;&gt;"",IFERROR(INDEX(ctaLiq,MATCH(G2354,ctaNom,0))="Sí",FALSE)),O2354,0))</f>
        <v/>
      </c>
      <c r="W2354" s="19">
        <f>IF(OR(F2354="",I2354=""),"",IF(COUNTIFS(F$6:F2354,F2354,I$6:I2354,"?*")=1,MAX(W$5:W2353)+1,""))</f>
        <v/>
      </c>
    </row>
    <row r="2355">
      <c r="B2355" s="15" t="n"/>
      <c r="C2355" s="16" t="n"/>
      <c r="D2355" s="17" t="n"/>
      <c r="E2355" s="17" t="n"/>
      <c r="F2355" s="17" t="n"/>
      <c r="G2355" s="17" t="n"/>
      <c r="H2355" s="18">
        <f>IF(AND(B2355="",C2355="",D2355="",E2355=""),"",IF(B2355="","⚠ Falta fecha",IF(C2355="","⚠ Falta monto",IF(D2355="","⚠ Falta categoría",IF(ISNA(MATCH(D2355,catNom,0)),"⚠ Categoría no existe",IF(E2355="","⚠ Falta cuenta",IF(ISNA(MATCH(E2355,ctaNom,0)),"⚠ Cuenta no existe",IF(AND(OR(I2355="Transferencia",I2355="Pago tarjeta"),G2355=""),"⚠ Indica la cuenta «Hacia»",IF(AND(G2355&lt;&gt;"",G2355=E2355),"⚠ «Hacia» igual a la cuenta",IF(AND(G2355&lt;&gt;"",ISNA(MATCH(G2355,ctaNom,0))),"⚠ «Hacia» no existe",IF(AND(I2355="Pago tarjeta",IFERROR(INDEX(ctaTipo,MATCH(G2355,ctaNom,0)),"")&lt;&gt;"Tarjeta de crédito"),"⚠ «Hacia» debe ser la tarjeta",IF(AND(I2355="Trading",IFERROR(INDEX(ctaTipo,MATCH(E2355,ctaNom,0)),"")&lt;&gt;"Cuenta de trading"),"⚠ Usa la cuenta de trading","✓"))))))))))))</f>
        <v/>
      </c>
      <c r="I2355" s="19">
        <f>IF(OR(B2355="",C2355="",D2355=""),"",IFERROR(INDEX(catTipo,MATCH(D2355,catNom,0))&amp;"",""))</f>
        <v/>
      </c>
      <c r="J2355" s="19">
        <f>IF(I2355="","",IFERROR(INDEX(catGrupo,MATCH(D2355,catNom,0))&amp;"",""))</f>
        <v/>
      </c>
      <c r="K2355" s="19">
        <f>IF(I2355="Gasto",IF(IFERROR(INDEX(catClas,MATCH(D2355,catNom,0))&amp;"","")="","Variable",IFERROR(INDEX(catClas,MATCH(D2355,catNom,0))&amp;"","")),"")</f>
        <v/>
      </c>
      <c r="L2355" s="19">
        <f>IF(I2355="","",IFERROR(INDEX(catAlim,MATCH(D2355,catNom,0))&amp;"",""))</f>
        <v/>
      </c>
      <c r="M2355" s="19">
        <f>IF(I2355="","",IFERROR(INDEX(catComida,MATCH(D2355,catNom,0))&amp;"",""))</f>
        <v/>
      </c>
      <c r="N2355" s="19">
        <f>IF(I2355="","",IFERROR(INDEX(ctaMon,MATCH(E2355,ctaNom,0))&amp;"","DOP"))</f>
        <v/>
      </c>
      <c r="O2355" s="20">
        <f>IF(I2355="","",C2355*IF(N2355="USD",TasaUSD,1))</f>
        <v/>
      </c>
      <c r="P2355" s="20">
        <f>IF(I2355="","",IF(I2355="Gasto",O2355,0))</f>
        <v/>
      </c>
      <c r="Q2355" s="20">
        <f>IF(I2355="","",IF(I2355="Ingreso",O2355,0))</f>
        <v/>
      </c>
      <c r="R2355" s="20">
        <f>IF(I2355="","",IF(I2355="Trading",O2355,0))</f>
        <v/>
      </c>
      <c r="S2355" s="19">
        <f>IF(I2355="","",IF(AND(I2355="Gasto",K2355="Variable",J2355&lt;&gt;"Trading",O2355&gt;0,O2355&lt;=Umbral),1,0))</f>
        <v/>
      </c>
      <c r="T2355" s="20">
        <f>IF(OR(I2355="",E2355=""),"",IF(OR(I2355="Gasto",I2355="Transferencia",I2355="Pago tarjeta"),-1,1)*C2355)</f>
        <v/>
      </c>
      <c r="U2355" s="20">
        <f>IF(OR(G2355="",AND(I2355&lt;&gt;"Transferencia",I2355&lt;&gt;"Pago tarjeta")),"",IF(IFERROR(INDEX(ctaMon,MATCH(G2355,ctaNom,0))&amp;"","DOP")=N2355,C2355,IF(N2355="USD",C2355*TasaUSD,C2355/TasaUSD)))</f>
        <v/>
      </c>
      <c r="V2355" s="20">
        <f>IF(I2355="","",IF(IFERROR(INDEX(ctaLiq,MATCH(E2355,ctaNom,0))="Sí",FALSE),IF(OR(I2355="Gasto",I2355="Transferencia",I2355="Pago tarjeta"),-1,1)*O2355,0)+IF(AND(U2355&lt;&gt;"",IFERROR(INDEX(ctaLiq,MATCH(G2355,ctaNom,0))="Sí",FALSE)),O2355,0))</f>
        <v/>
      </c>
      <c r="W2355" s="19">
        <f>IF(OR(F2355="",I2355=""),"",IF(COUNTIFS(F$6:F2355,F2355,I$6:I2355,"?*")=1,MAX(W$5:W2354)+1,""))</f>
        <v/>
      </c>
    </row>
    <row r="2356">
      <c r="B2356" s="15" t="n"/>
      <c r="C2356" s="16" t="n"/>
      <c r="D2356" s="17" t="n"/>
      <c r="E2356" s="17" t="n"/>
      <c r="F2356" s="17" t="n"/>
      <c r="G2356" s="17" t="n"/>
      <c r="H2356" s="18">
        <f>IF(AND(B2356="",C2356="",D2356="",E2356=""),"",IF(B2356="","⚠ Falta fecha",IF(C2356="","⚠ Falta monto",IF(D2356="","⚠ Falta categoría",IF(ISNA(MATCH(D2356,catNom,0)),"⚠ Categoría no existe",IF(E2356="","⚠ Falta cuenta",IF(ISNA(MATCH(E2356,ctaNom,0)),"⚠ Cuenta no existe",IF(AND(OR(I2356="Transferencia",I2356="Pago tarjeta"),G2356=""),"⚠ Indica la cuenta «Hacia»",IF(AND(G2356&lt;&gt;"",G2356=E2356),"⚠ «Hacia» igual a la cuenta",IF(AND(G2356&lt;&gt;"",ISNA(MATCH(G2356,ctaNom,0))),"⚠ «Hacia» no existe",IF(AND(I2356="Pago tarjeta",IFERROR(INDEX(ctaTipo,MATCH(G2356,ctaNom,0)),"")&lt;&gt;"Tarjeta de crédito"),"⚠ «Hacia» debe ser la tarjeta",IF(AND(I2356="Trading",IFERROR(INDEX(ctaTipo,MATCH(E2356,ctaNom,0)),"")&lt;&gt;"Cuenta de trading"),"⚠ Usa la cuenta de trading","✓"))))))))))))</f>
        <v/>
      </c>
      <c r="I2356" s="19">
        <f>IF(OR(B2356="",C2356="",D2356=""),"",IFERROR(INDEX(catTipo,MATCH(D2356,catNom,0))&amp;"",""))</f>
        <v/>
      </c>
      <c r="J2356" s="19">
        <f>IF(I2356="","",IFERROR(INDEX(catGrupo,MATCH(D2356,catNom,0))&amp;"",""))</f>
        <v/>
      </c>
      <c r="K2356" s="19">
        <f>IF(I2356="Gasto",IF(IFERROR(INDEX(catClas,MATCH(D2356,catNom,0))&amp;"","")="","Variable",IFERROR(INDEX(catClas,MATCH(D2356,catNom,0))&amp;"","")),"")</f>
        <v/>
      </c>
      <c r="L2356" s="19">
        <f>IF(I2356="","",IFERROR(INDEX(catAlim,MATCH(D2356,catNom,0))&amp;"",""))</f>
        <v/>
      </c>
      <c r="M2356" s="19">
        <f>IF(I2356="","",IFERROR(INDEX(catComida,MATCH(D2356,catNom,0))&amp;"",""))</f>
        <v/>
      </c>
      <c r="N2356" s="19">
        <f>IF(I2356="","",IFERROR(INDEX(ctaMon,MATCH(E2356,ctaNom,0))&amp;"","DOP"))</f>
        <v/>
      </c>
      <c r="O2356" s="20">
        <f>IF(I2356="","",C2356*IF(N2356="USD",TasaUSD,1))</f>
        <v/>
      </c>
      <c r="P2356" s="20">
        <f>IF(I2356="","",IF(I2356="Gasto",O2356,0))</f>
        <v/>
      </c>
      <c r="Q2356" s="20">
        <f>IF(I2356="","",IF(I2356="Ingreso",O2356,0))</f>
        <v/>
      </c>
      <c r="R2356" s="20">
        <f>IF(I2356="","",IF(I2356="Trading",O2356,0))</f>
        <v/>
      </c>
      <c r="S2356" s="19">
        <f>IF(I2356="","",IF(AND(I2356="Gasto",K2356="Variable",J2356&lt;&gt;"Trading",O2356&gt;0,O2356&lt;=Umbral),1,0))</f>
        <v/>
      </c>
      <c r="T2356" s="20">
        <f>IF(OR(I2356="",E2356=""),"",IF(OR(I2356="Gasto",I2356="Transferencia",I2356="Pago tarjeta"),-1,1)*C2356)</f>
        <v/>
      </c>
      <c r="U2356" s="20">
        <f>IF(OR(G2356="",AND(I2356&lt;&gt;"Transferencia",I2356&lt;&gt;"Pago tarjeta")),"",IF(IFERROR(INDEX(ctaMon,MATCH(G2356,ctaNom,0))&amp;"","DOP")=N2356,C2356,IF(N2356="USD",C2356*TasaUSD,C2356/TasaUSD)))</f>
        <v/>
      </c>
      <c r="V2356" s="20">
        <f>IF(I2356="","",IF(IFERROR(INDEX(ctaLiq,MATCH(E2356,ctaNom,0))="Sí",FALSE),IF(OR(I2356="Gasto",I2356="Transferencia",I2356="Pago tarjeta"),-1,1)*O2356,0)+IF(AND(U2356&lt;&gt;"",IFERROR(INDEX(ctaLiq,MATCH(G2356,ctaNom,0))="Sí",FALSE)),O2356,0))</f>
        <v/>
      </c>
      <c r="W2356" s="19">
        <f>IF(OR(F2356="",I2356=""),"",IF(COUNTIFS(F$6:F2356,F2356,I$6:I2356,"?*")=1,MAX(W$5:W2355)+1,""))</f>
        <v/>
      </c>
    </row>
    <row r="2357">
      <c r="B2357" s="15" t="n"/>
      <c r="C2357" s="16" t="n"/>
      <c r="D2357" s="17" t="n"/>
      <c r="E2357" s="17" t="n"/>
      <c r="F2357" s="17" t="n"/>
      <c r="G2357" s="17" t="n"/>
      <c r="H2357" s="18">
        <f>IF(AND(B2357="",C2357="",D2357="",E2357=""),"",IF(B2357="","⚠ Falta fecha",IF(C2357="","⚠ Falta monto",IF(D2357="","⚠ Falta categoría",IF(ISNA(MATCH(D2357,catNom,0)),"⚠ Categoría no existe",IF(E2357="","⚠ Falta cuenta",IF(ISNA(MATCH(E2357,ctaNom,0)),"⚠ Cuenta no existe",IF(AND(OR(I2357="Transferencia",I2357="Pago tarjeta"),G2357=""),"⚠ Indica la cuenta «Hacia»",IF(AND(G2357&lt;&gt;"",G2357=E2357),"⚠ «Hacia» igual a la cuenta",IF(AND(G2357&lt;&gt;"",ISNA(MATCH(G2357,ctaNom,0))),"⚠ «Hacia» no existe",IF(AND(I2357="Pago tarjeta",IFERROR(INDEX(ctaTipo,MATCH(G2357,ctaNom,0)),"")&lt;&gt;"Tarjeta de crédito"),"⚠ «Hacia» debe ser la tarjeta",IF(AND(I2357="Trading",IFERROR(INDEX(ctaTipo,MATCH(E2357,ctaNom,0)),"")&lt;&gt;"Cuenta de trading"),"⚠ Usa la cuenta de trading","✓"))))))))))))</f>
        <v/>
      </c>
      <c r="I2357" s="19">
        <f>IF(OR(B2357="",C2357="",D2357=""),"",IFERROR(INDEX(catTipo,MATCH(D2357,catNom,0))&amp;"",""))</f>
        <v/>
      </c>
      <c r="J2357" s="19">
        <f>IF(I2357="","",IFERROR(INDEX(catGrupo,MATCH(D2357,catNom,0))&amp;"",""))</f>
        <v/>
      </c>
      <c r="K2357" s="19">
        <f>IF(I2357="Gasto",IF(IFERROR(INDEX(catClas,MATCH(D2357,catNom,0))&amp;"","")="","Variable",IFERROR(INDEX(catClas,MATCH(D2357,catNom,0))&amp;"","")),"")</f>
        <v/>
      </c>
      <c r="L2357" s="19">
        <f>IF(I2357="","",IFERROR(INDEX(catAlim,MATCH(D2357,catNom,0))&amp;"",""))</f>
        <v/>
      </c>
      <c r="M2357" s="19">
        <f>IF(I2357="","",IFERROR(INDEX(catComida,MATCH(D2357,catNom,0))&amp;"",""))</f>
        <v/>
      </c>
      <c r="N2357" s="19">
        <f>IF(I2357="","",IFERROR(INDEX(ctaMon,MATCH(E2357,ctaNom,0))&amp;"","DOP"))</f>
        <v/>
      </c>
      <c r="O2357" s="20">
        <f>IF(I2357="","",C2357*IF(N2357="USD",TasaUSD,1))</f>
        <v/>
      </c>
      <c r="P2357" s="20">
        <f>IF(I2357="","",IF(I2357="Gasto",O2357,0))</f>
        <v/>
      </c>
      <c r="Q2357" s="20">
        <f>IF(I2357="","",IF(I2357="Ingreso",O2357,0))</f>
        <v/>
      </c>
      <c r="R2357" s="20">
        <f>IF(I2357="","",IF(I2357="Trading",O2357,0))</f>
        <v/>
      </c>
      <c r="S2357" s="19">
        <f>IF(I2357="","",IF(AND(I2357="Gasto",K2357="Variable",J2357&lt;&gt;"Trading",O2357&gt;0,O2357&lt;=Umbral),1,0))</f>
        <v/>
      </c>
      <c r="T2357" s="20">
        <f>IF(OR(I2357="",E2357=""),"",IF(OR(I2357="Gasto",I2357="Transferencia",I2357="Pago tarjeta"),-1,1)*C2357)</f>
        <v/>
      </c>
      <c r="U2357" s="20">
        <f>IF(OR(G2357="",AND(I2357&lt;&gt;"Transferencia",I2357&lt;&gt;"Pago tarjeta")),"",IF(IFERROR(INDEX(ctaMon,MATCH(G2357,ctaNom,0))&amp;"","DOP")=N2357,C2357,IF(N2357="USD",C2357*TasaUSD,C2357/TasaUSD)))</f>
        <v/>
      </c>
      <c r="V2357" s="20">
        <f>IF(I2357="","",IF(IFERROR(INDEX(ctaLiq,MATCH(E2357,ctaNom,0))="Sí",FALSE),IF(OR(I2357="Gasto",I2357="Transferencia",I2357="Pago tarjeta"),-1,1)*O2357,0)+IF(AND(U2357&lt;&gt;"",IFERROR(INDEX(ctaLiq,MATCH(G2357,ctaNom,0))="Sí",FALSE)),O2357,0))</f>
        <v/>
      </c>
      <c r="W2357" s="19">
        <f>IF(OR(F2357="",I2357=""),"",IF(COUNTIFS(F$6:F2357,F2357,I$6:I2357,"?*")=1,MAX(W$5:W2356)+1,""))</f>
        <v/>
      </c>
    </row>
    <row r="2358">
      <c r="B2358" s="15" t="n"/>
      <c r="C2358" s="16" t="n"/>
      <c r="D2358" s="17" t="n"/>
      <c r="E2358" s="17" t="n"/>
      <c r="F2358" s="17" t="n"/>
      <c r="G2358" s="17" t="n"/>
      <c r="H2358" s="18">
        <f>IF(AND(B2358="",C2358="",D2358="",E2358=""),"",IF(B2358="","⚠ Falta fecha",IF(C2358="","⚠ Falta monto",IF(D2358="","⚠ Falta categoría",IF(ISNA(MATCH(D2358,catNom,0)),"⚠ Categoría no existe",IF(E2358="","⚠ Falta cuenta",IF(ISNA(MATCH(E2358,ctaNom,0)),"⚠ Cuenta no existe",IF(AND(OR(I2358="Transferencia",I2358="Pago tarjeta"),G2358=""),"⚠ Indica la cuenta «Hacia»",IF(AND(G2358&lt;&gt;"",G2358=E2358),"⚠ «Hacia» igual a la cuenta",IF(AND(G2358&lt;&gt;"",ISNA(MATCH(G2358,ctaNom,0))),"⚠ «Hacia» no existe",IF(AND(I2358="Pago tarjeta",IFERROR(INDEX(ctaTipo,MATCH(G2358,ctaNom,0)),"")&lt;&gt;"Tarjeta de crédito"),"⚠ «Hacia» debe ser la tarjeta",IF(AND(I2358="Trading",IFERROR(INDEX(ctaTipo,MATCH(E2358,ctaNom,0)),"")&lt;&gt;"Cuenta de trading"),"⚠ Usa la cuenta de trading","✓"))))))))))))</f>
        <v/>
      </c>
      <c r="I2358" s="19">
        <f>IF(OR(B2358="",C2358="",D2358=""),"",IFERROR(INDEX(catTipo,MATCH(D2358,catNom,0))&amp;"",""))</f>
        <v/>
      </c>
      <c r="J2358" s="19">
        <f>IF(I2358="","",IFERROR(INDEX(catGrupo,MATCH(D2358,catNom,0))&amp;"",""))</f>
        <v/>
      </c>
      <c r="K2358" s="19">
        <f>IF(I2358="Gasto",IF(IFERROR(INDEX(catClas,MATCH(D2358,catNom,0))&amp;"","")="","Variable",IFERROR(INDEX(catClas,MATCH(D2358,catNom,0))&amp;"","")),"")</f>
        <v/>
      </c>
      <c r="L2358" s="19">
        <f>IF(I2358="","",IFERROR(INDEX(catAlim,MATCH(D2358,catNom,0))&amp;"",""))</f>
        <v/>
      </c>
      <c r="M2358" s="19">
        <f>IF(I2358="","",IFERROR(INDEX(catComida,MATCH(D2358,catNom,0))&amp;"",""))</f>
        <v/>
      </c>
      <c r="N2358" s="19">
        <f>IF(I2358="","",IFERROR(INDEX(ctaMon,MATCH(E2358,ctaNom,0))&amp;"","DOP"))</f>
        <v/>
      </c>
      <c r="O2358" s="20">
        <f>IF(I2358="","",C2358*IF(N2358="USD",TasaUSD,1))</f>
        <v/>
      </c>
      <c r="P2358" s="20">
        <f>IF(I2358="","",IF(I2358="Gasto",O2358,0))</f>
        <v/>
      </c>
      <c r="Q2358" s="20">
        <f>IF(I2358="","",IF(I2358="Ingreso",O2358,0))</f>
        <v/>
      </c>
      <c r="R2358" s="20">
        <f>IF(I2358="","",IF(I2358="Trading",O2358,0))</f>
        <v/>
      </c>
      <c r="S2358" s="19">
        <f>IF(I2358="","",IF(AND(I2358="Gasto",K2358="Variable",J2358&lt;&gt;"Trading",O2358&gt;0,O2358&lt;=Umbral),1,0))</f>
        <v/>
      </c>
      <c r="T2358" s="20">
        <f>IF(OR(I2358="",E2358=""),"",IF(OR(I2358="Gasto",I2358="Transferencia",I2358="Pago tarjeta"),-1,1)*C2358)</f>
        <v/>
      </c>
      <c r="U2358" s="20">
        <f>IF(OR(G2358="",AND(I2358&lt;&gt;"Transferencia",I2358&lt;&gt;"Pago tarjeta")),"",IF(IFERROR(INDEX(ctaMon,MATCH(G2358,ctaNom,0))&amp;"","DOP")=N2358,C2358,IF(N2358="USD",C2358*TasaUSD,C2358/TasaUSD)))</f>
        <v/>
      </c>
      <c r="V2358" s="20">
        <f>IF(I2358="","",IF(IFERROR(INDEX(ctaLiq,MATCH(E2358,ctaNom,0))="Sí",FALSE),IF(OR(I2358="Gasto",I2358="Transferencia",I2358="Pago tarjeta"),-1,1)*O2358,0)+IF(AND(U2358&lt;&gt;"",IFERROR(INDEX(ctaLiq,MATCH(G2358,ctaNom,0))="Sí",FALSE)),O2358,0))</f>
        <v/>
      </c>
      <c r="W2358" s="19">
        <f>IF(OR(F2358="",I2358=""),"",IF(COUNTIFS(F$6:F2358,F2358,I$6:I2358,"?*")=1,MAX(W$5:W2357)+1,""))</f>
        <v/>
      </c>
    </row>
    <row r="2359">
      <c r="B2359" s="15" t="n"/>
      <c r="C2359" s="16" t="n"/>
      <c r="D2359" s="17" t="n"/>
      <c r="E2359" s="17" t="n"/>
      <c r="F2359" s="17" t="n"/>
      <c r="G2359" s="17" t="n"/>
      <c r="H2359" s="18">
        <f>IF(AND(B2359="",C2359="",D2359="",E2359=""),"",IF(B2359="","⚠ Falta fecha",IF(C2359="","⚠ Falta monto",IF(D2359="","⚠ Falta categoría",IF(ISNA(MATCH(D2359,catNom,0)),"⚠ Categoría no existe",IF(E2359="","⚠ Falta cuenta",IF(ISNA(MATCH(E2359,ctaNom,0)),"⚠ Cuenta no existe",IF(AND(OR(I2359="Transferencia",I2359="Pago tarjeta"),G2359=""),"⚠ Indica la cuenta «Hacia»",IF(AND(G2359&lt;&gt;"",G2359=E2359),"⚠ «Hacia» igual a la cuenta",IF(AND(G2359&lt;&gt;"",ISNA(MATCH(G2359,ctaNom,0))),"⚠ «Hacia» no existe",IF(AND(I2359="Pago tarjeta",IFERROR(INDEX(ctaTipo,MATCH(G2359,ctaNom,0)),"")&lt;&gt;"Tarjeta de crédito"),"⚠ «Hacia» debe ser la tarjeta",IF(AND(I2359="Trading",IFERROR(INDEX(ctaTipo,MATCH(E2359,ctaNom,0)),"")&lt;&gt;"Cuenta de trading"),"⚠ Usa la cuenta de trading","✓"))))))))))))</f>
        <v/>
      </c>
      <c r="I2359" s="19">
        <f>IF(OR(B2359="",C2359="",D2359=""),"",IFERROR(INDEX(catTipo,MATCH(D2359,catNom,0))&amp;"",""))</f>
        <v/>
      </c>
      <c r="J2359" s="19">
        <f>IF(I2359="","",IFERROR(INDEX(catGrupo,MATCH(D2359,catNom,0))&amp;"",""))</f>
        <v/>
      </c>
      <c r="K2359" s="19">
        <f>IF(I2359="Gasto",IF(IFERROR(INDEX(catClas,MATCH(D2359,catNom,0))&amp;"","")="","Variable",IFERROR(INDEX(catClas,MATCH(D2359,catNom,0))&amp;"","")),"")</f>
        <v/>
      </c>
      <c r="L2359" s="19">
        <f>IF(I2359="","",IFERROR(INDEX(catAlim,MATCH(D2359,catNom,0))&amp;"",""))</f>
        <v/>
      </c>
      <c r="M2359" s="19">
        <f>IF(I2359="","",IFERROR(INDEX(catComida,MATCH(D2359,catNom,0))&amp;"",""))</f>
        <v/>
      </c>
      <c r="N2359" s="19">
        <f>IF(I2359="","",IFERROR(INDEX(ctaMon,MATCH(E2359,ctaNom,0))&amp;"","DOP"))</f>
        <v/>
      </c>
      <c r="O2359" s="20">
        <f>IF(I2359="","",C2359*IF(N2359="USD",TasaUSD,1))</f>
        <v/>
      </c>
      <c r="P2359" s="20">
        <f>IF(I2359="","",IF(I2359="Gasto",O2359,0))</f>
        <v/>
      </c>
      <c r="Q2359" s="20">
        <f>IF(I2359="","",IF(I2359="Ingreso",O2359,0))</f>
        <v/>
      </c>
      <c r="R2359" s="20">
        <f>IF(I2359="","",IF(I2359="Trading",O2359,0))</f>
        <v/>
      </c>
      <c r="S2359" s="19">
        <f>IF(I2359="","",IF(AND(I2359="Gasto",K2359="Variable",J2359&lt;&gt;"Trading",O2359&gt;0,O2359&lt;=Umbral),1,0))</f>
        <v/>
      </c>
      <c r="T2359" s="20">
        <f>IF(OR(I2359="",E2359=""),"",IF(OR(I2359="Gasto",I2359="Transferencia",I2359="Pago tarjeta"),-1,1)*C2359)</f>
        <v/>
      </c>
      <c r="U2359" s="20">
        <f>IF(OR(G2359="",AND(I2359&lt;&gt;"Transferencia",I2359&lt;&gt;"Pago tarjeta")),"",IF(IFERROR(INDEX(ctaMon,MATCH(G2359,ctaNom,0))&amp;"","DOP")=N2359,C2359,IF(N2359="USD",C2359*TasaUSD,C2359/TasaUSD)))</f>
        <v/>
      </c>
      <c r="V2359" s="20">
        <f>IF(I2359="","",IF(IFERROR(INDEX(ctaLiq,MATCH(E2359,ctaNom,0))="Sí",FALSE),IF(OR(I2359="Gasto",I2359="Transferencia",I2359="Pago tarjeta"),-1,1)*O2359,0)+IF(AND(U2359&lt;&gt;"",IFERROR(INDEX(ctaLiq,MATCH(G2359,ctaNom,0))="Sí",FALSE)),O2359,0))</f>
        <v/>
      </c>
      <c r="W2359" s="19">
        <f>IF(OR(F2359="",I2359=""),"",IF(COUNTIFS(F$6:F2359,F2359,I$6:I2359,"?*")=1,MAX(W$5:W2358)+1,""))</f>
        <v/>
      </c>
    </row>
    <row r="2360">
      <c r="B2360" s="15" t="n"/>
      <c r="C2360" s="16" t="n"/>
      <c r="D2360" s="17" t="n"/>
      <c r="E2360" s="17" t="n"/>
      <c r="F2360" s="17" t="n"/>
      <c r="G2360" s="17" t="n"/>
      <c r="H2360" s="18">
        <f>IF(AND(B2360="",C2360="",D2360="",E2360=""),"",IF(B2360="","⚠ Falta fecha",IF(C2360="","⚠ Falta monto",IF(D2360="","⚠ Falta categoría",IF(ISNA(MATCH(D2360,catNom,0)),"⚠ Categoría no existe",IF(E2360="","⚠ Falta cuenta",IF(ISNA(MATCH(E2360,ctaNom,0)),"⚠ Cuenta no existe",IF(AND(OR(I2360="Transferencia",I2360="Pago tarjeta"),G2360=""),"⚠ Indica la cuenta «Hacia»",IF(AND(G2360&lt;&gt;"",G2360=E2360),"⚠ «Hacia» igual a la cuenta",IF(AND(G2360&lt;&gt;"",ISNA(MATCH(G2360,ctaNom,0))),"⚠ «Hacia» no existe",IF(AND(I2360="Pago tarjeta",IFERROR(INDEX(ctaTipo,MATCH(G2360,ctaNom,0)),"")&lt;&gt;"Tarjeta de crédito"),"⚠ «Hacia» debe ser la tarjeta",IF(AND(I2360="Trading",IFERROR(INDEX(ctaTipo,MATCH(E2360,ctaNom,0)),"")&lt;&gt;"Cuenta de trading"),"⚠ Usa la cuenta de trading","✓"))))))))))))</f>
        <v/>
      </c>
      <c r="I2360" s="19">
        <f>IF(OR(B2360="",C2360="",D2360=""),"",IFERROR(INDEX(catTipo,MATCH(D2360,catNom,0))&amp;"",""))</f>
        <v/>
      </c>
      <c r="J2360" s="19">
        <f>IF(I2360="","",IFERROR(INDEX(catGrupo,MATCH(D2360,catNom,0))&amp;"",""))</f>
        <v/>
      </c>
      <c r="K2360" s="19">
        <f>IF(I2360="Gasto",IF(IFERROR(INDEX(catClas,MATCH(D2360,catNom,0))&amp;"","")="","Variable",IFERROR(INDEX(catClas,MATCH(D2360,catNom,0))&amp;"","")),"")</f>
        <v/>
      </c>
      <c r="L2360" s="19">
        <f>IF(I2360="","",IFERROR(INDEX(catAlim,MATCH(D2360,catNom,0))&amp;"",""))</f>
        <v/>
      </c>
      <c r="M2360" s="19">
        <f>IF(I2360="","",IFERROR(INDEX(catComida,MATCH(D2360,catNom,0))&amp;"",""))</f>
        <v/>
      </c>
      <c r="N2360" s="19">
        <f>IF(I2360="","",IFERROR(INDEX(ctaMon,MATCH(E2360,ctaNom,0))&amp;"","DOP"))</f>
        <v/>
      </c>
      <c r="O2360" s="20">
        <f>IF(I2360="","",C2360*IF(N2360="USD",TasaUSD,1))</f>
        <v/>
      </c>
      <c r="P2360" s="20">
        <f>IF(I2360="","",IF(I2360="Gasto",O2360,0))</f>
        <v/>
      </c>
      <c r="Q2360" s="20">
        <f>IF(I2360="","",IF(I2360="Ingreso",O2360,0))</f>
        <v/>
      </c>
      <c r="R2360" s="20">
        <f>IF(I2360="","",IF(I2360="Trading",O2360,0))</f>
        <v/>
      </c>
      <c r="S2360" s="19">
        <f>IF(I2360="","",IF(AND(I2360="Gasto",K2360="Variable",J2360&lt;&gt;"Trading",O2360&gt;0,O2360&lt;=Umbral),1,0))</f>
        <v/>
      </c>
      <c r="T2360" s="20">
        <f>IF(OR(I2360="",E2360=""),"",IF(OR(I2360="Gasto",I2360="Transferencia",I2360="Pago tarjeta"),-1,1)*C2360)</f>
        <v/>
      </c>
      <c r="U2360" s="20">
        <f>IF(OR(G2360="",AND(I2360&lt;&gt;"Transferencia",I2360&lt;&gt;"Pago tarjeta")),"",IF(IFERROR(INDEX(ctaMon,MATCH(G2360,ctaNom,0))&amp;"","DOP")=N2360,C2360,IF(N2360="USD",C2360*TasaUSD,C2360/TasaUSD)))</f>
        <v/>
      </c>
      <c r="V2360" s="20">
        <f>IF(I2360="","",IF(IFERROR(INDEX(ctaLiq,MATCH(E2360,ctaNom,0))="Sí",FALSE),IF(OR(I2360="Gasto",I2360="Transferencia",I2360="Pago tarjeta"),-1,1)*O2360,0)+IF(AND(U2360&lt;&gt;"",IFERROR(INDEX(ctaLiq,MATCH(G2360,ctaNom,0))="Sí",FALSE)),O2360,0))</f>
        <v/>
      </c>
      <c r="W2360" s="19">
        <f>IF(OR(F2360="",I2360=""),"",IF(COUNTIFS(F$6:F2360,F2360,I$6:I2360,"?*")=1,MAX(W$5:W2359)+1,""))</f>
        <v/>
      </c>
    </row>
    <row r="2361">
      <c r="B2361" s="15" t="n"/>
      <c r="C2361" s="16" t="n"/>
      <c r="D2361" s="17" t="n"/>
      <c r="E2361" s="17" t="n"/>
      <c r="F2361" s="17" t="n"/>
      <c r="G2361" s="17" t="n"/>
      <c r="H2361" s="18">
        <f>IF(AND(B2361="",C2361="",D2361="",E2361=""),"",IF(B2361="","⚠ Falta fecha",IF(C2361="","⚠ Falta monto",IF(D2361="","⚠ Falta categoría",IF(ISNA(MATCH(D2361,catNom,0)),"⚠ Categoría no existe",IF(E2361="","⚠ Falta cuenta",IF(ISNA(MATCH(E2361,ctaNom,0)),"⚠ Cuenta no existe",IF(AND(OR(I2361="Transferencia",I2361="Pago tarjeta"),G2361=""),"⚠ Indica la cuenta «Hacia»",IF(AND(G2361&lt;&gt;"",G2361=E2361),"⚠ «Hacia» igual a la cuenta",IF(AND(G2361&lt;&gt;"",ISNA(MATCH(G2361,ctaNom,0))),"⚠ «Hacia» no existe",IF(AND(I2361="Pago tarjeta",IFERROR(INDEX(ctaTipo,MATCH(G2361,ctaNom,0)),"")&lt;&gt;"Tarjeta de crédito"),"⚠ «Hacia» debe ser la tarjeta",IF(AND(I2361="Trading",IFERROR(INDEX(ctaTipo,MATCH(E2361,ctaNom,0)),"")&lt;&gt;"Cuenta de trading"),"⚠ Usa la cuenta de trading","✓"))))))))))))</f>
        <v/>
      </c>
      <c r="I2361" s="19">
        <f>IF(OR(B2361="",C2361="",D2361=""),"",IFERROR(INDEX(catTipo,MATCH(D2361,catNom,0))&amp;"",""))</f>
        <v/>
      </c>
      <c r="J2361" s="19">
        <f>IF(I2361="","",IFERROR(INDEX(catGrupo,MATCH(D2361,catNom,0))&amp;"",""))</f>
        <v/>
      </c>
      <c r="K2361" s="19">
        <f>IF(I2361="Gasto",IF(IFERROR(INDEX(catClas,MATCH(D2361,catNom,0))&amp;"","")="","Variable",IFERROR(INDEX(catClas,MATCH(D2361,catNom,0))&amp;"","")),"")</f>
        <v/>
      </c>
      <c r="L2361" s="19">
        <f>IF(I2361="","",IFERROR(INDEX(catAlim,MATCH(D2361,catNom,0))&amp;"",""))</f>
        <v/>
      </c>
      <c r="M2361" s="19">
        <f>IF(I2361="","",IFERROR(INDEX(catComida,MATCH(D2361,catNom,0))&amp;"",""))</f>
        <v/>
      </c>
      <c r="N2361" s="19">
        <f>IF(I2361="","",IFERROR(INDEX(ctaMon,MATCH(E2361,ctaNom,0))&amp;"","DOP"))</f>
        <v/>
      </c>
      <c r="O2361" s="20">
        <f>IF(I2361="","",C2361*IF(N2361="USD",TasaUSD,1))</f>
        <v/>
      </c>
      <c r="P2361" s="20">
        <f>IF(I2361="","",IF(I2361="Gasto",O2361,0))</f>
        <v/>
      </c>
      <c r="Q2361" s="20">
        <f>IF(I2361="","",IF(I2361="Ingreso",O2361,0))</f>
        <v/>
      </c>
      <c r="R2361" s="20">
        <f>IF(I2361="","",IF(I2361="Trading",O2361,0))</f>
        <v/>
      </c>
      <c r="S2361" s="19">
        <f>IF(I2361="","",IF(AND(I2361="Gasto",K2361="Variable",J2361&lt;&gt;"Trading",O2361&gt;0,O2361&lt;=Umbral),1,0))</f>
        <v/>
      </c>
      <c r="T2361" s="20">
        <f>IF(OR(I2361="",E2361=""),"",IF(OR(I2361="Gasto",I2361="Transferencia",I2361="Pago tarjeta"),-1,1)*C2361)</f>
        <v/>
      </c>
      <c r="U2361" s="20">
        <f>IF(OR(G2361="",AND(I2361&lt;&gt;"Transferencia",I2361&lt;&gt;"Pago tarjeta")),"",IF(IFERROR(INDEX(ctaMon,MATCH(G2361,ctaNom,0))&amp;"","DOP")=N2361,C2361,IF(N2361="USD",C2361*TasaUSD,C2361/TasaUSD)))</f>
        <v/>
      </c>
      <c r="V2361" s="20">
        <f>IF(I2361="","",IF(IFERROR(INDEX(ctaLiq,MATCH(E2361,ctaNom,0))="Sí",FALSE),IF(OR(I2361="Gasto",I2361="Transferencia",I2361="Pago tarjeta"),-1,1)*O2361,0)+IF(AND(U2361&lt;&gt;"",IFERROR(INDEX(ctaLiq,MATCH(G2361,ctaNom,0))="Sí",FALSE)),O2361,0))</f>
        <v/>
      </c>
      <c r="W2361" s="19">
        <f>IF(OR(F2361="",I2361=""),"",IF(COUNTIFS(F$6:F2361,F2361,I$6:I2361,"?*")=1,MAX(W$5:W2360)+1,""))</f>
        <v/>
      </c>
    </row>
    <row r="2362">
      <c r="B2362" s="15" t="n"/>
      <c r="C2362" s="16" t="n"/>
      <c r="D2362" s="17" t="n"/>
      <c r="E2362" s="17" t="n"/>
      <c r="F2362" s="17" t="n"/>
      <c r="G2362" s="17" t="n"/>
      <c r="H2362" s="18">
        <f>IF(AND(B2362="",C2362="",D2362="",E2362=""),"",IF(B2362="","⚠ Falta fecha",IF(C2362="","⚠ Falta monto",IF(D2362="","⚠ Falta categoría",IF(ISNA(MATCH(D2362,catNom,0)),"⚠ Categoría no existe",IF(E2362="","⚠ Falta cuenta",IF(ISNA(MATCH(E2362,ctaNom,0)),"⚠ Cuenta no existe",IF(AND(OR(I2362="Transferencia",I2362="Pago tarjeta"),G2362=""),"⚠ Indica la cuenta «Hacia»",IF(AND(G2362&lt;&gt;"",G2362=E2362),"⚠ «Hacia» igual a la cuenta",IF(AND(G2362&lt;&gt;"",ISNA(MATCH(G2362,ctaNom,0))),"⚠ «Hacia» no existe",IF(AND(I2362="Pago tarjeta",IFERROR(INDEX(ctaTipo,MATCH(G2362,ctaNom,0)),"")&lt;&gt;"Tarjeta de crédito"),"⚠ «Hacia» debe ser la tarjeta",IF(AND(I2362="Trading",IFERROR(INDEX(ctaTipo,MATCH(E2362,ctaNom,0)),"")&lt;&gt;"Cuenta de trading"),"⚠ Usa la cuenta de trading","✓"))))))))))))</f>
        <v/>
      </c>
      <c r="I2362" s="19">
        <f>IF(OR(B2362="",C2362="",D2362=""),"",IFERROR(INDEX(catTipo,MATCH(D2362,catNom,0))&amp;"",""))</f>
        <v/>
      </c>
      <c r="J2362" s="19">
        <f>IF(I2362="","",IFERROR(INDEX(catGrupo,MATCH(D2362,catNom,0))&amp;"",""))</f>
        <v/>
      </c>
      <c r="K2362" s="19">
        <f>IF(I2362="Gasto",IF(IFERROR(INDEX(catClas,MATCH(D2362,catNom,0))&amp;"","")="","Variable",IFERROR(INDEX(catClas,MATCH(D2362,catNom,0))&amp;"","")),"")</f>
        <v/>
      </c>
      <c r="L2362" s="19">
        <f>IF(I2362="","",IFERROR(INDEX(catAlim,MATCH(D2362,catNom,0))&amp;"",""))</f>
        <v/>
      </c>
      <c r="M2362" s="19">
        <f>IF(I2362="","",IFERROR(INDEX(catComida,MATCH(D2362,catNom,0))&amp;"",""))</f>
        <v/>
      </c>
      <c r="N2362" s="19">
        <f>IF(I2362="","",IFERROR(INDEX(ctaMon,MATCH(E2362,ctaNom,0))&amp;"","DOP"))</f>
        <v/>
      </c>
      <c r="O2362" s="20">
        <f>IF(I2362="","",C2362*IF(N2362="USD",TasaUSD,1))</f>
        <v/>
      </c>
      <c r="P2362" s="20">
        <f>IF(I2362="","",IF(I2362="Gasto",O2362,0))</f>
        <v/>
      </c>
      <c r="Q2362" s="20">
        <f>IF(I2362="","",IF(I2362="Ingreso",O2362,0))</f>
        <v/>
      </c>
      <c r="R2362" s="20">
        <f>IF(I2362="","",IF(I2362="Trading",O2362,0))</f>
        <v/>
      </c>
      <c r="S2362" s="19">
        <f>IF(I2362="","",IF(AND(I2362="Gasto",K2362="Variable",J2362&lt;&gt;"Trading",O2362&gt;0,O2362&lt;=Umbral),1,0))</f>
        <v/>
      </c>
      <c r="T2362" s="20">
        <f>IF(OR(I2362="",E2362=""),"",IF(OR(I2362="Gasto",I2362="Transferencia",I2362="Pago tarjeta"),-1,1)*C2362)</f>
        <v/>
      </c>
      <c r="U2362" s="20">
        <f>IF(OR(G2362="",AND(I2362&lt;&gt;"Transferencia",I2362&lt;&gt;"Pago tarjeta")),"",IF(IFERROR(INDEX(ctaMon,MATCH(G2362,ctaNom,0))&amp;"","DOP")=N2362,C2362,IF(N2362="USD",C2362*TasaUSD,C2362/TasaUSD)))</f>
        <v/>
      </c>
      <c r="V2362" s="20">
        <f>IF(I2362="","",IF(IFERROR(INDEX(ctaLiq,MATCH(E2362,ctaNom,0))="Sí",FALSE),IF(OR(I2362="Gasto",I2362="Transferencia",I2362="Pago tarjeta"),-1,1)*O2362,0)+IF(AND(U2362&lt;&gt;"",IFERROR(INDEX(ctaLiq,MATCH(G2362,ctaNom,0))="Sí",FALSE)),O2362,0))</f>
        <v/>
      </c>
      <c r="W2362" s="19">
        <f>IF(OR(F2362="",I2362=""),"",IF(COUNTIFS(F$6:F2362,F2362,I$6:I2362,"?*")=1,MAX(W$5:W2361)+1,""))</f>
        <v/>
      </c>
    </row>
    <row r="2363">
      <c r="B2363" s="15" t="n"/>
      <c r="C2363" s="16" t="n"/>
      <c r="D2363" s="17" t="n"/>
      <c r="E2363" s="17" t="n"/>
      <c r="F2363" s="17" t="n"/>
      <c r="G2363" s="17" t="n"/>
      <c r="H2363" s="18">
        <f>IF(AND(B2363="",C2363="",D2363="",E2363=""),"",IF(B2363="","⚠ Falta fecha",IF(C2363="","⚠ Falta monto",IF(D2363="","⚠ Falta categoría",IF(ISNA(MATCH(D2363,catNom,0)),"⚠ Categoría no existe",IF(E2363="","⚠ Falta cuenta",IF(ISNA(MATCH(E2363,ctaNom,0)),"⚠ Cuenta no existe",IF(AND(OR(I2363="Transferencia",I2363="Pago tarjeta"),G2363=""),"⚠ Indica la cuenta «Hacia»",IF(AND(G2363&lt;&gt;"",G2363=E2363),"⚠ «Hacia» igual a la cuenta",IF(AND(G2363&lt;&gt;"",ISNA(MATCH(G2363,ctaNom,0))),"⚠ «Hacia» no existe",IF(AND(I2363="Pago tarjeta",IFERROR(INDEX(ctaTipo,MATCH(G2363,ctaNom,0)),"")&lt;&gt;"Tarjeta de crédito"),"⚠ «Hacia» debe ser la tarjeta",IF(AND(I2363="Trading",IFERROR(INDEX(ctaTipo,MATCH(E2363,ctaNom,0)),"")&lt;&gt;"Cuenta de trading"),"⚠ Usa la cuenta de trading","✓"))))))))))))</f>
        <v/>
      </c>
      <c r="I2363" s="19">
        <f>IF(OR(B2363="",C2363="",D2363=""),"",IFERROR(INDEX(catTipo,MATCH(D2363,catNom,0))&amp;"",""))</f>
        <v/>
      </c>
      <c r="J2363" s="19">
        <f>IF(I2363="","",IFERROR(INDEX(catGrupo,MATCH(D2363,catNom,0))&amp;"",""))</f>
        <v/>
      </c>
      <c r="K2363" s="19">
        <f>IF(I2363="Gasto",IF(IFERROR(INDEX(catClas,MATCH(D2363,catNom,0))&amp;"","")="","Variable",IFERROR(INDEX(catClas,MATCH(D2363,catNom,0))&amp;"","")),"")</f>
        <v/>
      </c>
      <c r="L2363" s="19">
        <f>IF(I2363="","",IFERROR(INDEX(catAlim,MATCH(D2363,catNom,0))&amp;"",""))</f>
        <v/>
      </c>
      <c r="M2363" s="19">
        <f>IF(I2363="","",IFERROR(INDEX(catComida,MATCH(D2363,catNom,0))&amp;"",""))</f>
        <v/>
      </c>
      <c r="N2363" s="19">
        <f>IF(I2363="","",IFERROR(INDEX(ctaMon,MATCH(E2363,ctaNom,0))&amp;"","DOP"))</f>
        <v/>
      </c>
      <c r="O2363" s="20">
        <f>IF(I2363="","",C2363*IF(N2363="USD",TasaUSD,1))</f>
        <v/>
      </c>
      <c r="P2363" s="20">
        <f>IF(I2363="","",IF(I2363="Gasto",O2363,0))</f>
        <v/>
      </c>
      <c r="Q2363" s="20">
        <f>IF(I2363="","",IF(I2363="Ingreso",O2363,0))</f>
        <v/>
      </c>
      <c r="R2363" s="20">
        <f>IF(I2363="","",IF(I2363="Trading",O2363,0))</f>
        <v/>
      </c>
      <c r="S2363" s="19">
        <f>IF(I2363="","",IF(AND(I2363="Gasto",K2363="Variable",J2363&lt;&gt;"Trading",O2363&gt;0,O2363&lt;=Umbral),1,0))</f>
        <v/>
      </c>
      <c r="T2363" s="20">
        <f>IF(OR(I2363="",E2363=""),"",IF(OR(I2363="Gasto",I2363="Transferencia",I2363="Pago tarjeta"),-1,1)*C2363)</f>
        <v/>
      </c>
      <c r="U2363" s="20">
        <f>IF(OR(G2363="",AND(I2363&lt;&gt;"Transferencia",I2363&lt;&gt;"Pago tarjeta")),"",IF(IFERROR(INDEX(ctaMon,MATCH(G2363,ctaNom,0))&amp;"","DOP")=N2363,C2363,IF(N2363="USD",C2363*TasaUSD,C2363/TasaUSD)))</f>
        <v/>
      </c>
      <c r="V2363" s="20">
        <f>IF(I2363="","",IF(IFERROR(INDEX(ctaLiq,MATCH(E2363,ctaNom,0))="Sí",FALSE),IF(OR(I2363="Gasto",I2363="Transferencia",I2363="Pago tarjeta"),-1,1)*O2363,0)+IF(AND(U2363&lt;&gt;"",IFERROR(INDEX(ctaLiq,MATCH(G2363,ctaNom,0))="Sí",FALSE)),O2363,0))</f>
        <v/>
      </c>
      <c r="W2363" s="19">
        <f>IF(OR(F2363="",I2363=""),"",IF(COUNTIFS(F$6:F2363,F2363,I$6:I2363,"?*")=1,MAX(W$5:W2362)+1,""))</f>
        <v/>
      </c>
    </row>
    <row r="2364">
      <c r="B2364" s="15" t="n"/>
      <c r="C2364" s="16" t="n"/>
      <c r="D2364" s="17" t="n"/>
      <c r="E2364" s="17" t="n"/>
      <c r="F2364" s="17" t="n"/>
      <c r="G2364" s="17" t="n"/>
      <c r="H2364" s="18">
        <f>IF(AND(B2364="",C2364="",D2364="",E2364=""),"",IF(B2364="","⚠ Falta fecha",IF(C2364="","⚠ Falta monto",IF(D2364="","⚠ Falta categoría",IF(ISNA(MATCH(D2364,catNom,0)),"⚠ Categoría no existe",IF(E2364="","⚠ Falta cuenta",IF(ISNA(MATCH(E2364,ctaNom,0)),"⚠ Cuenta no existe",IF(AND(OR(I2364="Transferencia",I2364="Pago tarjeta"),G2364=""),"⚠ Indica la cuenta «Hacia»",IF(AND(G2364&lt;&gt;"",G2364=E2364),"⚠ «Hacia» igual a la cuenta",IF(AND(G2364&lt;&gt;"",ISNA(MATCH(G2364,ctaNom,0))),"⚠ «Hacia» no existe",IF(AND(I2364="Pago tarjeta",IFERROR(INDEX(ctaTipo,MATCH(G2364,ctaNom,0)),"")&lt;&gt;"Tarjeta de crédito"),"⚠ «Hacia» debe ser la tarjeta",IF(AND(I2364="Trading",IFERROR(INDEX(ctaTipo,MATCH(E2364,ctaNom,0)),"")&lt;&gt;"Cuenta de trading"),"⚠ Usa la cuenta de trading","✓"))))))))))))</f>
        <v/>
      </c>
      <c r="I2364" s="19">
        <f>IF(OR(B2364="",C2364="",D2364=""),"",IFERROR(INDEX(catTipo,MATCH(D2364,catNom,0))&amp;"",""))</f>
        <v/>
      </c>
      <c r="J2364" s="19">
        <f>IF(I2364="","",IFERROR(INDEX(catGrupo,MATCH(D2364,catNom,0))&amp;"",""))</f>
        <v/>
      </c>
      <c r="K2364" s="19">
        <f>IF(I2364="Gasto",IF(IFERROR(INDEX(catClas,MATCH(D2364,catNom,0))&amp;"","")="","Variable",IFERROR(INDEX(catClas,MATCH(D2364,catNom,0))&amp;"","")),"")</f>
        <v/>
      </c>
      <c r="L2364" s="19">
        <f>IF(I2364="","",IFERROR(INDEX(catAlim,MATCH(D2364,catNom,0))&amp;"",""))</f>
        <v/>
      </c>
      <c r="M2364" s="19">
        <f>IF(I2364="","",IFERROR(INDEX(catComida,MATCH(D2364,catNom,0))&amp;"",""))</f>
        <v/>
      </c>
      <c r="N2364" s="19">
        <f>IF(I2364="","",IFERROR(INDEX(ctaMon,MATCH(E2364,ctaNom,0))&amp;"","DOP"))</f>
        <v/>
      </c>
      <c r="O2364" s="20">
        <f>IF(I2364="","",C2364*IF(N2364="USD",TasaUSD,1))</f>
        <v/>
      </c>
      <c r="P2364" s="20">
        <f>IF(I2364="","",IF(I2364="Gasto",O2364,0))</f>
        <v/>
      </c>
      <c r="Q2364" s="20">
        <f>IF(I2364="","",IF(I2364="Ingreso",O2364,0))</f>
        <v/>
      </c>
      <c r="R2364" s="20">
        <f>IF(I2364="","",IF(I2364="Trading",O2364,0))</f>
        <v/>
      </c>
      <c r="S2364" s="19">
        <f>IF(I2364="","",IF(AND(I2364="Gasto",K2364="Variable",J2364&lt;&gt;"Trading",O2364&gt;0,O2364&lt;=Umbral),1,0))</f>
        <v/>
      </c>
      <c r="T2364" s="20">
        <f>IF(OR(I2364="",E2364=""),"",IF(OR(I2364="Gasto",I2364="Transferencia",I2364="Pago tarjeta"),-1,1)*C2364)</f>
        <v/>
      </c>
      <c r="U2364" s="20">
        <f>IF(OR(G2364="",AND(I2364&lt;&gt;"Transferencia",I2364&lt;&gt;"Pago tarjeta")),"",IF(IFERROR(INDEX(ctaMon,MATCH(G2364,ctaNom,0))&amp;"","DOP")=N2364,C2364,IF(N2364="USD",C2364*TasaUSD,C2364/TasaUSD)))</f>
        <v/>
      </c>
      <c r="V2364" s="20">
        <f>IF(I2364="","",IF(IFERROR(INDEX(ctaLiq,MATCH(E2364,ctaNom,0))="Sí",FALSE),IF(OR(I2364="Gasto",I2364="Transferencia",I2364="Pago tarjeta"),-1,1)*O2364,0)+IF(AND(U2364&lt;&gt;"",IFERROR(INDEX(ctaLiq,MATCH(G2364,ctaNom,0))="Sí",FALSE)),O2364,0))</f>
        <v/>
      </c>
      <c r="W2364" s="19">
        <f>IF(OR(F2364="",I2364=""),"",IF(COUNTIFS(F$6:F2364,F2364,I$6:I2364,"?*")=1,MAX(W$5:W2363)+1,""))</f>
        <v/>
      </c>
    </row>
    <row r="2365">
      <c r="B2365" s="15" t="n"/>
      <c r="C2365" s="16" t="n"/>
      <c r="D2365" s="17" t="n"/>
      <c r="E2365" s="17" t="n"/>
      <c r="F2365" s="17" t="n"/>
      <c r="G2365" s="17" t="n"/>
      <c r="H2365" s="18">
        <f>IF(AND(B2365="",C2365="",D2365="",E2365=""),"",IF(B2365="","⚠ Falta fecha",IF(C2365="","⚠ Falta monto",IF(D2365="","⚠ Falta categoría",IF(ISNA(MATCH(D2365,catNom,0)),"⚠ Categoría no existe",IF(E2365="","⚠ Falta cuenta",IF(ISNA(MATCH(E2365,ctaNom,0)),"⚠ Cuenta no existe",IF(AND(OR(I2365="Transferencia",I2365="Pago tarjeta"),G2365=""),"⚠ Indica la cuenta «Hacia»",IF(AND(G2365&lt;&gt;"",G2365=E2365),"⚠ «Hacia» igual a la cuenta",IF(AND(G2365&lt;&gt;"",ISNA(MATCH(G2365,ctaNom,0))),"⚠ «Hacia» no existe",IF(AND(I2365="Pago tarjeta",IFERROR(INDEX(ctaTipo,MATCH(G2365,ctaNom,0)),"")&lt;&gt;"Tarjeta de crédito"),"⚠ «Hacia» debe ser la tarjeta",IF(AND(I2365="Trading",IFERROR(INDEX(ctaTipo,MATCH(E2365,ctaNom,0)),"")&lt;&gt;"Cuenta de trading"),"⚠ Usa la cuenta de trading","✓"))))))))))))</f>
        <v/>
      </c>
      <c r="I2365" s="19">
        <f>IF(OR(B2365="",C2365="",D2365=""),"",IFERROR(INDEX(catTipo,MATCH(D2365,catNom,0))&amp;"",""))</f>
        <v/>
      </c>
      <c r="J2365" s="19">
        <f>IF(I2365="","",IFERROR(INDEX(catGrupo,MATCH(D2365,catNom,0))&amp;"",""))</f>
        <v/>
      </c>
      <c r="K2365" s="19">
        <f>IF(I2365="Gasto",IF(IFERROR(INDEX(catClas,MATCH(D2365,catNom,0))&amp;"","")="","Variable",IFERROR(INDEX(catClas,MATCH(D2365,catNom,0))&amp;"","")),"")</f>
        <v/>
      </c>
      <c r="L2365" s="19">
        <f>IF(I2365="","",IFERROR(INDEX(catAlim,MATCH(D2365,catNom,0))&amp;"",""))</f>
        <v/>
      </c>
      <c r="M2365" s="19">
        <f>IF(I2365="","",IFERROR(INDEX(catComida,MATCH(D2365,catNom,0))&amp;"",""))</f>
        <v/>
      </c>
      <c r="N2365" s="19">
        <f>IF(I2365="","",IFERROR(INDEX(ctaMon,MATCH(E2365,ctaNom,0))&amp;"","DOP"))</f>
        <v/>
      </c>
      <c r="O2365" s="20">
        <f>IF(I2365="","",C2365*IF(N2365="USD",TasaUSD,1))</f>
        <v/>
      </c>
      <c r="P2365" s="20">
        <f>IF(I2365="","",IF(I2365="Gasto",O2365,0))</f>
        <v/>
      </c>
      <c r="Q2365" s="20">
        <f>IF(I2365="","",IF(I2365="Ingreso",O2365,0))</f>
        <v/>
      </c>
      <c r="R2365" s="20">
        <f>IF(I2365="","",IF(I2365="Trading",O2365,0))</f>
        <v/>
      </c>
      <c r="S2365" s="19">
        <f>IF(I2365="","",IF(AND(I2365="Gasto",K2365="Variable",J2365&lt;&gt;"Trading",O2365&gt;0,O2365&lt;=Umbral),1,0))</f>
        <v/>
      </c>
      <c r="T2365" s="20">
        <f>IF(OR(I2365="",E2365=""),"",IF(OR(I2365="Gasto",I2365="Transferencia",I2365="Pago tarjeta"),-1,1)*C2365)</f>
        <v/>
      </c>
      <c r="U2365" s="20">
        <f>IF(OR(G2365="",AND(I2365&lt;&gt;"Transferencia",I2365&lt;&gt;"Pago tarjeta")),"",IF(IFERROR(INDEX(ctaMon,MATCH(G2365,ctaNom,0))&amp;"","DOP")=N2365,C2365,IF(N2365="USD",C2365*TasaUSD,C2365/TasaUSD)))</f>
        <v/>
      </c>
      <c r="V2365" s="20">
        <f>IF(I2365="","",IF(IFERROR(INDEX(ctaLiq,MATCH(E2365,ctaNom,0))="Sí",FALSE),IF(OR(I2365="Gasto",I2365="Transferencia",I2365="Pago tarjeta"),-1,1)*O2365,0)+IF(AND(U2365&lt;&gt;"",IFERROR(INDEX(ctaLiq,MATCH(G2365,ctaNom,0))="Sí",FALSE)),O2365,0))</f>
        <v/>
      </c>
      <c r="W2365" s="19">
        <f>IF(OR(F2365="",I2365=""),"",IF(COUNTIFS(F$6:F2365,F2365,I$6:I2365,"?*")=1,MAX(W$5:W2364)+1,""))</f>
        <v/>
      </c>
    </row>
    <row r="2366">
      <c r="B2366" s="15" t="n"/>
      <c r="C2366" s="16" t="n"/>
      <c r="D2366" s="17" t="n"/>
      <c r="E2366" s="17" t="n"/>
      <c r="F2366" s="17" t="n"/>
      <c r="G2366" s="17" t="n"/>
      <c r="H2366" s="18">
        <f>IF(AND(B2366="",C2366="",D2366="",E2366=""),"",IF(B2366="","⚠ Falta fecha",IF(C2366="","⚠ Falta monto",IF(D2366="","⚠ Falta categoría",IF(ISNA(MATCH(D2366,catNom,0)),"⚠ Categoría no existe",IF(E2366="","⚠ Falta cuenta",IF(ISNA(MATCH(E2366,ctaNom,0)),"⚠ Cuenta no existe",IF(AND(OR(I2366="Transferencia",I2366="Pago tarjeta"),G2366=""),"⚠ Indica la cuenta «Hacia»",IF(AND(G2366&lt;&gt;"",G2366=E2366),"⚠ «Hacia» igual a la cuenta",IF(AND(G2366&lt;&gt;"",ISNA(MATCH(G2366,ctaNom,0))),"⚠ «Hacia» no existe",IF(AND(I2366="Pago tarjeta",IFERROR(INDEX(ctaTipo,MATCH(G2366,ctaNom,0)),"")&lt;&gt;"Tarjeta de crédito"),"⚠ «Hacia» debe ser la tarjeta",IF(AND(I2366="Trading",IFERROR(INDEX(ctaTipo,MATCH(E2366,ctaNom,0)),"")&lt;&gt;"Cuenta de trading"),"⚠ Usa la cuenta de trading","✓"))))))))))))</f>
        <v/>
      </c>
      <c r="I2366" s="19">
        <f>IF(OR(B2366="",C2366="",D2366=""),"",IFERROR(INDEX(catTipo,MATCH(D2366,catNom,0))&amp;"",""))</f>
        <v/>
      </c>
      <c r="J2366" s="19">
        <f>IF(I2366="","",IFERROR(INDEX(catGrupo,MATCH(D2366,catNom,0))&amp;"",""))</f>
        <v/>
      </c>
      <c r="K2366" s="19">
        <f>IF(I2366="Gasto",IF(IFERROR(INDEX(catClas,MATCH(D2366,catNom,0))&amp;"","")="","Variable",IFERROR(INDEX(catClas,MATCH(D2366,catNom,0))&amp;"","")),"")</f>
        <v/>
      </c>
      <c r="L2366" s="19">
        <f>IF(I2366="","",IFERROR(INDEX(catAlim,MATCH(D2366,catNom,0))&amp;"",""))</f>
        <v/>
      </c>
      <c r="M2366" s="19">
        <f>IF(I2366="","",IFERROR(INDEX(catComida,MATCH(D2366,catNom,0))&amp;"",""))</f>
        <v/>
      </c>
      <c r="N2366" s="19">
        <f>IF(I2366="","",IFERROR(INDEX(ctaMon,MATCH(E2366,ctaNom,0))&amp;"","DOP"))</f>
        <v/>
      </c>
      <c r="O2366" s="20">
        <f>IF(I2366="","",C2366*IF(N2366="USD",TasaUSD,1))</f>
        <v/>
      </c>
      <c r="P2366" s="20">
        <f>IF(I2366="","",IF(I2366="Gasto",O2366,0))</f>
        <v/>
      </c>
      <c r="Q2366" s="20">
        <f>IF(I2366="","",IF(I2366="Ingreso",O2366,0))</f>
        <v/>
      </c>
      <c r="R2366" s="20">
        <f>IF(I2366="","",IF(I2366="Trading",O2366,0))</f>
        <v/>
      </c>
      <c r="S2366" s="19">
        <f>IF(I2366="","",IF(AND(I2366="Gasto",K2366="Variable",J2366&lt;&gt;"Trading",O2366&gt;0,O2366&lt;=Umbral),1,0))</f>
        <v/>
      </c>
      <c r="T2366" s="20">
        <f>IF(OR(I2366="",E2366=""),"",IF(OR(I2366="Gasto",I2366="Transferencia",I2366="Pago tarjeta"),-1,1)*C2366)</f>
        <v/>
      </c>
      <c r="U2366" s="20">
        <f>IF(OR(G2366="",AND(I2366&lt;&gt;"Transferencia",I2366&lt;&gt;"Pago tarjeta")),"",IF(IFERROR(INDEX(ctaMon,MATCH(G2366,ctaNom,0))&amp;"","DOP")=N2366,C2366,IF(N2366="USD",C2366*TasaUSD,C2366/TasaUSD)))</f>
        <v/>
      </c>
      <c r="V2366" s="20">
        <f>IF(I2366="","",IF(IFERROR(INDEX(ctaLiq,MATCH(E2366,ctaNom,0))="Sí",FALSE),IF(OR(I2366="Gasto",I2366="Transferencia",I2366="Pago tarjeta"),-1,1)*O2366,0)+IF(AND(U2366&lt;&gt;"",IFERROR(INDEX(ctaLiq,MATCH(G2366,ctaNom,0))="Sí",FALSE)),O2366,0))</f>
        <v/>
      </c>
      <c r="W2366" s="19">
        <f>IF(OR(F2366="",I2366=""),"",IF(COUNTIFS(F$6:F2366,F2366,I$6:I2366,"?*")=1,MAX(W$5:W2365)+1,""))</f>
        <v/>
      </c>
    </row>
    <row r="2367">
      <c r="B2367" s="15" t="n"/>
      <c r="C2367" s="16" t="n"/>
      <c r="D2367" s="17" t="n"/>
      <c r="E2367" s="17" t="n"/>
      <c r="F2367" s="17" t="n"/>
      <c r="G2367" s="17" t="n"/>
      <c r="H2367" s="18">
        <f>IF(AND(B2367="",C2367="",D2367="",E2367=""),"",IF(B2367="","⚠ Falta fecha",IF(C2367="","⚠ Falta monto",IF(D2367="","⚠ Falta categoría",IF(ISNA(MATCH(D2367,catNom,0)),"⚠ Categoría no existe",IF(E2367="","⚠ Falta cuenta",IF(ISNA(MATCH(E2367,ctaNom,0)),"⚠ Cuenta no existe",IF(AND(OR(I2367="Transferencia",I2367="Pago tarjeta"),G2367=""),"⚠ Indica la cuenta «Hacia»",IF(AND(G2367&lt;&gt;"",G2367=E2367),"⚠ «Hacia» igual a la cuenta",IF(AND(G2367&lt;&gt;"",ISNA(MATCH(G2367,ctaNom,0))),"⚠ «Hacia» no existe",IF(AND(I2367="Pago tarjeta",IFERROR(INDEX(ctaTipo,MATCH(G2367,ctaNom,0)),"")&lt;&gt;"Tarjeta de crédito"),"⚠ «Hacia» debe ser la tarjeta",IF(AND(I2367="Trading",IFERROR(INDEX(ctaTipo,MATCH(E2367,ctaNom,0)),"")&lt;&gt;"Cuenta de trading"),"⚠ Usa la cuenta de trading","✓"))))))))))))</f>
        <v/>
      </c>
      <c r="I2367" s="19">
        <f>IF(OR(B2367="",C2367="",D2367=""),"",IFERROR(INDEX(catTipo,MATCH(D2367,catNom,0))&amp;"",""))</f>
        <v/>
      </c>
      <c r="J2367" s="19">
        <f>IF(I2367="","",IFERROR(INDEX(catGrupo,MATCH(D2367,catNom,0))&amp;"",""))</f>
        <v/>
      </c>
      <c r="K2367" s="19">
        <f>IF(I2367="Gasto",IF(IFERROR(INDEX(catClas,MATCH(D2367,catNom,0))&amp;"","")="","Variable",IFERROR(INDEX(catClas,MATCH(D2367,catNom,0))&amp;"","")),"")</f>
        <v/>
      </c>
      <c r="L2367" s="19">
        <f>IF(I2367="","",IFERROR(INDEX(catAlim,MATCH(D2367,catNom,0))&amp;"",""))</f>
        <v/>
      </c>
      <c r="M2367" s="19">
        <f>IF(I2367="","",IFERROR(INDEX(catComida,MATCH(D2367,catNom,0))&amp;"",""))</f>
        <v/>
      </c>
      <c r="N2367" s="19">
        <f>IF(I2367="","",IFERROR(INDEX(ctaMon,MATCH(E2367,ctaNom,0))&amp;"","DOP"))</f>
        <v/>
      </c>
      <c r="O2367" s="20">
        <f>IF(I2367="","",C2367*IF(N2367="USD",TasaUSD,1))</f>
        <v/>
      </c>
      <c r="P2367" s="20">
        <f>IF(I2367="","",IF(I2367="Gasto",O2367,0))</f>
        <v/>
      </c>
      <c r="Q2367" s="20">
        <f>IF(I2367="","",IF(I2367="Ingreso",O2367,0))</f>
        <v/>
      </c>
      <c r="R2367" s="20">
        <f>IF(I2367="","",IF(I2367="Trading",O2367,0))</f>
        <v/>
      </c>
      <c r="S2367" s="19">
        <f>IF(I2367="","",IF(AND(I2367="Gasto",K2367="Variable",J2367&lt;&gt;"Trading",O2367&gt;0,O2367&lt;=Umbral),1,0))</f>
        <v/>
      </c>
      <c r="T2367" s="20">
        <f>IF(OR(I2367="",E2367=""),"",IF(OR(I2367="Gasto",I2367="Transferencia",I2367="Pago tarjeta"),-1,1)*C2367)</f>
        <v/>
      </c>
      <c r="U2367" s="20">
        <f>IF(OR(G2367="",AND(I2367&lt;&gt;"Transferencia",I2367&lt;&gt;"Pago tarjeta")),"",IF(IFERROR(INDEX(ctaMon,MATCH(G2367,ctaNom,0))&amp;"","DOP")=N2367,C2367,IF(N2367="USD",C2367*TasaUSD,C2367/TasaUSD)))</f>
        <v/>
      </c>
      <c r="V2367" s="20">
        <f>IF(I2367="","",IF(IFERROR(INDEX(ctaLiq,MATCH(E2367,ctaNom,0))="Sí",FALSE),IF(OR(I2367="Gasto",I2367="Transferencia",I2367="Pago tarjeta"),-1,1)*O2367,0)+IF(AND(U2367&lt;&gt;"",IFERROR(INDEX(ctaLiq,MATCH(G2367,ctaNom,0))="Sí",FALSE)),O2367,0))</f>
        <v/>
      </c>
      <c r="W2367" s="19">
        <f>IF(OR(F2367="",I2367=""),"",IF(COUNTIFS(F$6:F2367,F2367,I$6:I2367,"?*")=1,MAX(W$5:W2366)+1,""))</f>
        <v/>
      </c>
    </row>
    <row r="2368">
      <c r="B2368" s="15" t="n"/>
      <c r="C2368" s="16" t="n"/>
      <c r="D2368" s="17" t="n"/>
      <c r="E2368" s="17" t="n"/>
      <c r="F2368" s="17" t="n"/>
      <c r="G2368" s="17" t="n"/>
      <c r="H2368" s="18">
        <f>IF(AND(B2368="",C2368="",D2368="",E2368=""),"",IF(B2368="","⚠ Falta fecha",IF(C2368="","⚠ Falta monto",IF(D2368="","⚠ Falta categoría",IF(ISNA(MATCH(D2368,catNom,0)),"⚠ Categoría no existe",IF(E2368="","⚠ Falta cuenta",IF(ISNA(MATCH(E2368,ctaNom,0)),"⚠ Cuenta no existe",IF(AND(OR(I2368="Transferencia",I2368="Pago tarjeta"),G2368=""),"⚠ Indica la cuenta «Hacia»",IF(AND(G2368&lt;&gt;"",G2368=E2368),"⚠ «Hacia» igual a la cuenta",IF(AND(G2368&lt;&gt;"",ISNA(MATCH(G2368,ctaNom,0))),"⚠ «Hacia» no existe",IF(AND(I2368="Pago tarjeta",IFERROR(INDEX(ctaTipo,MATCH(G2368,ctaNom,0)),"")&lt;&gt;"Tarjeta de crédito"),"⚠ «Hacia» debe ser la tarjeta",IF(AND(I2368="Trading",IFERROR(INDEX(ctaTipo,MATCH(E2368,ctaNom,0)),"")&lt;&gt;"Cuenta de trading"),"⚠ Usa la cuenta de trading","✓"))))))))))))</f>
        <v/>
      </c>
      <c r="I2368" s="19">
        <f>IF(OR(B2368="",C2368="",D2368=""),"",IFERROR(INDEX(catTipo,MATCH(D2368,catNom,0))&amp;"",""))</f>
        <v/>
      </c>
      <c r="J2368" s="19">
        <f>IF(I2368="","",IFERROR(INDEX(catGrupo,MATCH(D2368,catNom,0))&amp;"",""))</f>
        <v/>
      </c>
      <c r="K2368" s="19">
        <f>IF(I2368="Gasto",IF(IFERROR(INDEX(catClas,MATCH(D2368,catNom,0))&amp;"","")="","Variable",IFERROR(INDEX(catClas,MATCH(D2368,catNom,0))&amp;"","")),"")</f>
        <v/>
      </c>
      <c r="L2368" s="19">
        <f>IF(I2368="","",IFERROR(INDEX(catAlim,MATCH(D2368,catNom,0))&amp;"",""))</f>
        <v/>
      </c>
      <c r="M2368" s="19">
        <f>IF(I2368="","",IFERROR(INDEX(catComida,MATCH(D2368,catNom,0))&amp;"",""))</f>
        <v/>
      </c>
      <c r="N2368" s="19">
        <f>IF(I2368="","",IFERROR(INDEX(ctaMon,MATCH(E2368,ctaNom,0))&amp;"","DOP"))</f>
        <v/>
      </c>
      <c r="O2368" s="20">
        <f>IF(I2368="","",C2368*IF(N2368="USD",TasaUSD,1))</f>
        <v/>
      </c>
      <c r="P2368" s="20">
        <f>IF(I2368="","",IF(I2368="Gasto",O2368,0))</f>
        <v/>
      </c>
      <c r="Q2368" s="20">
        <f>IF(I2368="","",IF(I2368="Ingreso",O2368,0))</f>
        <v/>
      </c>
      <c r="R2368" s="20">
        <f>IF(I2368="","",IF(I2368="Trading",O2368,0))</f>
        <v/>
      </c>
      <c r="S2368" s="19">
        <f>IF(I2368="","",IF(AND(I2368="Gasto",K2368="Variable",J2368&lt;&gt;"Trading",O2368&gt;0,O2368&lt;=Umbral),1,0))</f>
        <v/>
      </c>
      <c r="T2368" s="20">
        <f>IF(OR(I2368="",E2368=""),"",IF(OR(I2368="Gasto",I2368="Transferencia",I2368="Pago tarjeta"),-1,1)*C2368)</f>
        <v/>
      </c>
      <c r="U2368" s="20">
        <f>IF(OR(G2368="",AND(I2368&lt;&gt;"Transferencia",I2368&lt;&gt;"Pago tarjeta")),"",IF(IFERROR(INDEX(ctaMon,MATCH(G2368,ctaNom,0))&amp;"","DOP")=N2368,C2368,IF(N2368="USD",C2368*TasaUSD,C2368/TasaUSD)))</f>
        <v/>
      </c>
      <c r="V2368" s="20">
        <f>IF(I2368="","",IF(IFERROR(INDEX(ctaLiq,MATCH(E2368,ctaNom,0))="Sí",FALSE),IF(OR(I2368="Gasto",I2368="Transferencia",I2368="Pago tarjeta"),-1,1)*O2368,0)+IF(AND(U2368&lt;&gt;"",IFERROR(INDEX(ctaLiq,MATCH(G2368,ctaNom,0))="Sí",FALSE)),O2368,0))</f>
        <v/>
      </c>
      <c r="W2368" s="19">
        <f>IF(OR(F2368="",I2368=""),"",IF(COUNTIFS(F$6:F2368,F2368,I$6:I2368,"?*")=1,MAX(W$5:W2367)+1,""))</f>
        <v/>
      </c>
    </row>
    <row r="2369">
      <c r="B2369" s="15" t="n"/>
      <c r="C2369" s="16" t="n"/>
      <c r="D2369" s="17" t="n"/>
      <c r="E2369" s="17" t="n"/>
      <c r="F2369" s="17" t="n"/>
      <c r="G2369" s="17" t="n"/>
      <c r="H2369" s="18">
        <f>IF(AND(B2369="",C2369="",D2369="",E2369=""),"",IF(B2369="","⚠ Falta fecha",IF(C2369="","⚠ Falta monto",IF(D2369="","⚠ Falta categoría",IF(ISNA(MATCH(D2369,catNom,0)),"⚠ Categoría no existe",IF(E2369="","⚠ Falta cuenta",IF(ISNA(MATCH(E2369,ctaNom,0)),"⚠ Cuenta no existe",IF(AND(OR(I2369="Transferencia",I2369="Pago tarjeta"),G2369=""),"⚠ Indica la cuenta «Hacia»",IF(AND(G2369&lt;&gt;"",G2369=E2369),"⚠ «Hacia» igual a la cuenta",IF(AND(G2369&lt;&gt;"",ISNA(MATCH(G2369,ctaNom,0))),"⚠ «Hacia» no existe",IF(AND(I2369="Pago tarjeta",IFERROR(INDEX(ctaTipo,MATCH(G2369,ctaNom,0)),"")&lt;&gt;"Tarjeta de crédito"),"⚠ «Hacia» debe ser la tarjeta",IF(AND(I2369="Trading",IFERROR(INDEX(ctaTipo,MATCH(E2369,ctaNom,0)),"")&lt;&gt;"Cuenta de trading"),"⚠ Usa la cuenta de trading","✓"))))))))))))</f>
        <v/>
      </c>
      <c r="I2369" s="19">
        <f>IF(OR(B2369="",C2369="",D2369=""),"",IFERROR(INDEX(catTipo,MATCH(D2369,catNom,0))&amp;"",""))</f>
        <v/>
      </c>
      <c r="J2369" s="19">
        <f>IF(I2369="","",IFERROR(INDEX(catGrupo,MATCH(D2369,catNom,0))&amp;"",""))</f>
        <v/>
      </c>
      <c r="K2369" s="19">
        <f>IF(I2369="Gasto",IF(IFERROR(INDEX(catClas,MATCH(D2369,catNom,0))&amp;"","")="","Variable",IFERROR(INDEX(catClas,MATCH(D2369,catNom,0))&amp;"","")),"")</f>
        <v/>
      </c>
      <c r="L2369" s="19">
        <f>IF(I2369="","",IFERROR(INDEX(catAlim,MATCH(D2369,catNom,0))&amp;"",""))</f>
        <v/>
      </c>
      <c r="M2369" s="19">
        <f>IF(I2369="","",IFERROR(INDEX(catComida,MATCH(D2369,catNom,0))&amp;"",""))</f>
        <v/>
      </c>
      <c r="N2369" s="19">
        <f>IF(I2369="","",IFERROR(INDEX(ctaMon,MATCH(E2369,ctaNom,0))&amp;"","DOP"))</f>
        <v/>
      </c>
      <c r="O2369" s="20">
        <f>IF(I2369="","",C2369*IF(N2369="USD",TasaUSD,1))</f>
        <v/>
      </c>
      <c r="P2369" s="20">
        <f>IF(I2369="","",IF(I2369="Gasto",O2369,0))</f>
        <v/>
      </c>
      <c r="Q2369" s="20">
        <f>IF(I2369="","",IF(I2369="Ingreso",O2369,0))</f>
        <v/>
      </c>
      <c r="R2369" s="20">
        <f>IF(I2369="","",IF(I2369="Trading",O2369,0))</f>
        <v/>
      </c>
      <c r="S2369" s="19">
        <f>IF(I2369="","",IF(AND(I2369="Gasto",K2369="Variable",J2369&lt;&gt;"Trading",O2369&gt;0,O2369&lt;=Umbral),1,0))</f>
        <v/>
      </c>
      <c r="T2369" s="20">
        <f>IF(OR(I2369="",E2369=""),"",IF(OR(I2369="Gasto",I2369="Transferencia",I2369="Pago tarjeta"),-1,1)*C2369)</f>
        <v/>
      </c>
      <c r="U2369" s="20">
        <f>IF(OR(G2369="",AND(I2369&lt;&gt;"Transferencia",I2369&lt;&gt;"Pago tarjeta")),"",IF(IFERROR(INDEX(ctaMon,MATCH(G2369,ctaNom,0))&amp;"","DOP")=N2369,C2369,IF(N2369="USD",C2369*TasaUSD,C2369/TasaUSD)))</f>
        <v/>
      </c>
      <c r="V2369" s="20">
        <f>IF(I2369="","",IF(IFERROR(INDEX(ctaLiq,MATCH(E2369,ctaNom,0))="Sí",FALSE),IF(OR(I2369="Gasto",I2369="Transferencia",I2369="Pago tarjeta"),-1,1)*O2369,0)+IF(AND(U2369&lt;&gt;"",IFERROR(INDEX(ctaLiq,MATCH(G2369,ctaNom,0))="Sí",FALSE)),O2369,0))</f>
        <v/>
      </c>
      <c r="W2369" s="19">
        <f>IF(OR(F2369="",I2369=""),"",IF(COUNTIFS(F$6:F2369,F2369,I$6:I2369,"?*")=1,MAX(W$5:W2368)+1,""))</f>
        <v/>
      </c>
    </row>
    <row r="2370">
      <c r="B2370" s="15" t="n"/>
      <c r="C2370" s="16" t="n"/>
      <c r="D2370" s="17" t="n"/>
      <c r="E2370" s="17" t="n"/>
      <c r="F2370" s="17" t="n"/>
      <c r="G2370" s="17" t="n"/>
      <c r="H2370" s="18">
        <f>IF(AND(B2370="",C2370="",D2370="",E2370=""),"",IF(B2370="","⚠ Falta fecha",IF(C2370="","⚠ Falta monto",IF(D2370="","⚠ Falta categoría",IF(ISNA(MATCH(D2370,catNom,0)),"⚠ Categoría no existe",IF(E2370="","⚠ Falta cuenta",IF(ISNA(MATCH(E2370,ctaNom,0)),"⚠ Cuenta no existe",IF(AND(OR(I2370="Transferencia",I2370="Pago tarjeta"),G2370=""),"⚠ Indica la cuenta «Hacia»",IF(AND(G2370&lt;&gt;"",G2370=E2370),"⚠ «Hacia» igual a la cuenta",IF(AND(G2370&lt;&gt;"",ISNA(MATCH(G2370,ctaNom,0))),"⚠ «Hacia» no existe",IF(AND(I2370="Pago tarjeta",IFERROR(INDEX(ctaTipo,MATCH(G2370,ctaNom,0)),"")&lt;&gt;"Tarjeta de crédito"),"⚠ «Hacia» debe ser la tarjeta",IF(AND(I2370="Trading",IFERROR(INDEX(ctaTipo,MATCH(E2370,ctaNom,0)),"")&lt;&gt;"Cuenta de trading"),"⚠ Usa la cuenta de trading","✓"))))))))))))</f>
        <v/>
      </c>
      <c r="I2370" s="19">
        <f>IF(OR(B2370="",C2370="",D2370=""),"",IFERROR(INDEX(catTipo,MATCH(D2370,catNom,0))&amp;"",""))</f>
        <v/>
      </c>
      <c r="J2370" s="19">
        <f>IF(I2370="","",IFERROR(INDEX(catGrupo,MATCH(D2370,catNom,0))&amp;"",""))</f>
        <v/>
      </c>
      <c r="K2370" s="19">
        <f>IF(I2370="Gasto",IF(IFERROR(INDEX(catClas,MATCH(D2370,catNom,0))&amp;"","")="","Variable",IFERROR(INDEX(catClas,MATCH(D2370,catNom,0))&amp;"","")),"")</f>
        <v/>
      </c>
      <c r="L2370" s="19">
        <f>IF(I2370="","",IFERROR(INDEX(catAlim,MATCH(D2370,catNom,0))&amp;"",""))</f>
        <v/>
      </c>
      <c r="M2370" s="19">
        <f>IF(I2370="","",IFERROR(INDEX(catComida,MATCH(D2370,catNom,0))&amp;"",""))</f>
        <v/>
      </c>
      <c r="N2370" s="19">
        <f>IF(I2370="","",IFERROR(INDEX(ctaMon,MATCH(E2370,ctaNom,0))&amp;"","DOP"))</f>
        <v/>
      </c>
      <c r="O2370" s="20">
        <f>IF(I2370="","",C2370*IF(N2370="USD",TasaUSD,1))</f>
        <v/>
      </c>
      <c r="P2370" s="20">
        <f>IF(I2370="","",IF(I2370="Gasto",O2370,0))</f>
        <v/>
      </c>
      <c r="Q2370" s="20">
        <f>IF(I2370="","",IF(I2370="Ingreso",O2370,0))</f>
        <v/>
      </c>
      <c r="R2370" s="20">
        <f>IF(I2370="","",IF(I2370="Trading",O2370,0))</f>
        <v/>
      </c>
      <c r="S2370" s="19">
        <f>IF(I2370="","",IF(AND(I2370="Gasto",K2370="Variable",J2370&lt;&gt;"Trading",O2370&gt;0,O2370&lt;=Umbral),1,0))</f>
        <v/>
      </c>
      <c r="T2370" s="20">
        <f>IF(OR(I2370="",E2370=""),"",IF(OR(I2370="Gasto",I2370="Transferencia",I2370="Pago tarjeta"),-1,1)*C2370)</f>
        <v/>
      </c>
      <c r="U2370" s="20">
        <f>IF(OR(G2370="",AND(I2370&lt;&gt;"Transferencia",I2370&lt;&gt;"Pago tarjeta")),"",IF(IFERROR(INDEX(ctaMon,MATCH(G2370,ctaNom,0))&amp;"","DOP")=N2370,C2370,IF(N2370="USD",C2370*TasaUSD,C2370/TasaUSD)))</f>
        <v/>
      </c>
      <c r="V2370" s="20">
        <f>IF(I2370="","",IF(IFERROR(INDEX(ctaLiq,MATCH(E2370,ctaNom,0))="Sí",FALSE),IF(OR(I2370="Gasto",I2370="Transferencia",I2370="Pago tarjeta"),-1,1)*O2370,0)+IF(AND(U2370&lt;&gt;"",IFERROR(INDEX(ctaLiq,MATCH(G2370,ctaNom,0))="Sí",FALSE)),O2370,0))</f>
        <v/>
      </c>
      <c r="W2370" s="19">
        <f>IF(OR(F2370="",I2370=""),"",IF(COUNTIFS(F$6:F2370,F2370,I$6:I2370,"?*")=1,MAX(W$5:W2369)+1,""))</f>
        <v/>
      </c>
    </row>
    <row r="2371">
      <c r="B2371" s="15" t="n"/>
      <c r="C2371" s="16" t="n"/>
      <c r="D2371" s="17" t="n"/>
      <c r="E2371" s="17" t="n"/>
      <c r="F2371" s="17" t="n"/>
      <c r="G2371" s="17" t="n"/>
      <c r="H2371" s="18">
        <f>IF(AND(B2371="",C2371="",D2371="",E2371=""),"",IF(B2371="","⚠ Falta fecha",IF(C2371="","⚠ Falta monto",IF(D2371="","⚠ Falta categoría",IF(ISNA(MATCH(D2371,catNom,0)),"⚠ Categoría no existe",IF(E2371="","⚠ Falta cuenta",IF(ISNA(MATCH(E2371,ctaNom,0)),"⚠ Cuenta no existe",IF(AND(OR(I2371="Transferencia",I2371="Pago tarjeta"),G2371=""),"⚠ Indica la cuenta «Hacia»",IF(AND(G2371&lt;&gt;"",G2371=E2371),"⚠ «Hacia» igual a la cuenta",IF(AND(G2371&lt;&gt;"",ISNA(MATCH(G2371,ctaNom,0))),"⚠ «Hacia» no existe",IF(AND(I2371="Pago tarjeta",IFERROR(INDEX(ctaTipo,MATCH(G2371,ctaNom,0)),"")&lt;&gt;"Tarjeta de crédito"),"⚠ «Hacia» debe ser la tarjeta",IF(AND(I2371="Trading",IFERROR(INDEX(ctaTipo,MATCH(E2371,ctaNom,0)),"")&lt;&gt;"Cuenta de trading"),"⚠ Usa la cuenta de trading","✓"))))))))))))</f>
        <v/>
      </c>
      <c r="I2371" s="19">
        <f>IF(OR(B2371="",C2371="",D2371=""),"",IFERROR(INDEX(catTipo,MATCH(D2371,catNom,0))&amp;"",""))</f>
        <v/>
      </c>
      <c r="J2371" s="19">
        <f>IF(I2371="","",IFERROR(INDEX(catGrupo,MATCH(D2371,catNom,0))&amp;"",""))</f>
        <v/>
      </c>
      <c r="K2371" s="19">
        <f>IF(I2371="Gasto",IF(IFERROR(INDEX(catClas,MATCH(D2371,catNom,0))&amp;"","")="","Variable",IFERROR(INDEX(catClas,MATCH(D2371,catNom,0))&amp;"","")),"")</f>
        <v/>
      </c>
      <c r="L2371" s="19">
        <f>IF(I2371="","",IFERROR(INDEX(catAlim,MATCH(D2371,catNom,0))&amp;"",""))</f>
        <v/>
      </c>
      <c r="M2371" s="19">
        <f>IF(I2371="","",IFERROR(INDEX(catComida,MATCH(D2371,catNom,0))&amp;"",""))</f>
        <v/>
      </c>
      <c r="N2371" s="19">
        <f>IF(I2371="","",IFERROR(INDEX(ctaMon,MATCH(E2371,ctaNom,0))&amp;"","DOP"))</f>
        <v/>
      </c>
      <c r="O2371" s="20">
        <f>IF(I2371="","",C2371*IF(N2371="USD",TasaUSD,1))</f>
        <v/>
      </c>
      <c r="P2371" s="20">
        <f>IF(I2371="","",IF(I2371="Gasto",O2371,0))</f>
        <v/>
      </c>
      <c r="Q2371" s="20">
        <f>IF(I2371="","",IF(I2371="Ingreso",O2371,0))</f>
        <v/>
      </c>
      <c r="R2371" s="20">
        <f>IF(I2371="","",IF(I2371="Trading",O2371,0))</f>
        <v/>
      </c>
      <c r="S2371" s="19">
        <f>IF(I2371="","",IF(AND(I2371="Gasto",K2371="Variable",J2371&lt;&gt;"Trading",O2371&gt;0,O2371&lt;=Umbral),1,0))</f>
        <v/>
      </c>
      <c r="T2371" s="20">
        <f>IF(OR(I2371="",E2371=""),"",IF(OR(I2371="Gasto",I2371="Transferencia",I2371="Pago tarjeta"),-1,1)*C2371)</f>
        <v/>
      </c>
      <c r="U2371" s="20">
        <f>IF(OR(G2371="",AND(I2371&lt;&gt;"Transferencia",I2371&lt;&gt;"Pago tarjeta")),"",IF(IFERROR(INDEX(ctaMon,MATCH(G2371,ctaNom,0))&amp;"","DOP")=N2371,C2371,IF(N2371="USD",C2371*TasaUSD,C2371/TasaUSD)))</f>
        <v/>
      </c>
      <c r="V2371" s="20">
        <f>IF(I2371="","",IF(IFERROR(INDEX(ctaLiq,MATCH(E2371,ctaNom,0))="Sí",FALSE),IF(OR(I2371="Gasto",I2371="Transferencia",I2371="Pago tarjeta"),-1,1)*O2371,0)+IF(AND(U2371&lt;&gt;"",IFERROR(INDEX(ctaLiq,MATCH(G2371,ctaNom,0))="Sí",FALSE)),O2371,0))</f>
        <v/>
      </c>
      <c r="W2371" s="19">
        <f>IF(OR(F2371="",I2371=""),"",IF(COUNTIFS(F$6:F2371,F2371,I$6:I2371,"?*")=1,MAX(W$5:W2370)+1,""))</f>
        <v/>
      </c>
    </row>
    <row r="2372">
      <c r="B2372" s="15" t="n"/>
      <c r="C2372" s="16" t="n"/>
      <c r="D2372" s="17" t="n"/>
      <c r="E2372" s="17" t="n"/>
      <c r="F2372" s="17" t="n"/>
      <c r="G2372" s="17" t="n"/>
      <c r="H2372" s="18">
        <f>IF(AND(B2372="",C2372="",D2372="",E2372=""),"",IF(B2372="","⚠ Falta fecha",IF(C2372="","⚠ Falta monto",IF(D2372="","⚠ Falta categoría",IF(ISNA(MATCH(D2372,catNom,0)),"⚠ Categoría no existe",IF(E2372="","⚠ Falta cuenta",IF(ISNA(MATCH(E2372,ctaNom,0)),"⚠ Cuenta no existe",IF(AND(OR(I2372="Transferencia",I2372="Pago tarjeta"),G2372=""),"⚠ Indica la cuenta «Hacia»",IF(AND(G2372&lt;&gt;"",G2372=E2372),"⚠ «Hacia» igual a la cuenta",IF(AND(G2372&lt;&gt;"",ISNA(MATCH(G2372,ctaNom,0))),"⚠ «Hacia» no existe",IF(AND(I2372="Pago tarjeta",IFERROR(INDEX(ctaTipo,MATCH(G2372,ctaNom,0)),"")&lt;&gt;"Tarjeta de crédito"),"⚠ «Hacia» debe ser la tarjeta",IF(AND(I2372="Trading",IFERROR(INDEX(ctaTipo,MATCH(E2372,ctaNom,0)),"")&lt;&gt;"Cuenta de trading"),"⚠ Usa la cuenta de trading","✓"))))))))))))</f>
        <v/>
      </c>
      <c r="I2372" s="19">
        <f>IF(OR(B2372="",C2372="",D2372=""),"",IFERROR(INDEX(catTipo,MATCH(D2372,catNom,0))&amp;"",""))</f>
        <v/>
      </c>
      <c r="J2372" s="19">
        <f>IF(I2372="","",IFERROR(INDEX(catGrupo,MATCH(D2372,catNom,0))&amp;"",""))</f>
        <v/>
      </c>
      <c r="K2372" s="19">
        <f>IF(I2372="Gasto",IF(IFERROR(INDEX(catClas,MATCH(D2372,catNom,0))&amp;"","")="","Variable",IFERROR(INDEX(catClas,MATCH(D2372,catNom,0))&amp;"","")),"")</f>
        <v/>
      </c>
      <c r="L2372" s="19">
        <f>IF(I2372="","",IFERROR(INDEX(catAlim,MATCH(D2372,catNom,0))&amp;"",""))</f>
        <v/>
      </c>
      <c r="M2372" s="19">
        <f>IF(I2372="","",IFERROR(INDEX(catComida,MATCH(D2372,catNom,0))&amp;"",""))</f>
        <v/>
      </c>
      <c r="N2372" s="19">
        <f>IF(I2372="","",IFERROR(INDEX(ctaMon,MATCH(E2372,ctaNom,0))&amp;"","DOP"))</f>
        <v/>
      </c>
      <c r="O2372" s="20">
        <f>IF(I2372="","",C2372*IF(N2372="USD",TasaUSD,1))</f>
        <v/>
      </c>
      <c r="P2372" s="20">
        <f>IF(I2372="","",IF(I2372="Gasto",O2372,0))</f>
        <v/>
      </c>
      <c r="Q2372" s="20">
        <f>IF(I2372="","",IF(I2372="Ingreso",O2372,0))</f>
        <v/>
      </c>
      <c r="R2372" s="20">
        <f>IF(I2372="","",IF(I2372="Trading",O2372,0))</f>
        <v/>
      </c>
      <c r="S2372" s="19">
        <f>IF(I2372="","",IF(AND(I2372="Gasto",K2372="Variable",J2372&lt;&gt;"Trading",O2372&gt;0,O2372&lt;=Umbral),1,0))</f>
        <v/>
      </c>
      <c r="T2372" s="20">
        <f>IF(OR(I2372="",E2372=""),"",IF(OR(I2372="Gasto",I2372="Transferencia",I2372="Pago tarjeta"),-1,1)*C2372)</f>
        <v/>
      </c>
      <c r="U2372" s="20">
        <f>IF(OR(G2372="",AND(I2372&lt;&gt;"Transferencia",I2372&lt;&gt;"Pago tarjeta")),"",IF(IFERROR(INDEX(ctaMon,MATCH(G2372,ctaNom,0))&amp;"","DOP")=N2372,C2372,IF(N2372="USD",C2372*TasaUSD,C2372/TasaUSD)))</f>
        <v/>
      </c>
      <c r="V2372" s="20">
        <f>IF(I2372="","",IF(IFERROR(INDEX(ctaLiq,MATCH(E2372,ctaNom,0))="Sí",FALSE),IF(OR(I2372="Gasto",I2372="Transferencia",I2372="Pago tarjeta"),-1,1)*O2372,0)+IF(AND(U2372&lt;&gt;"",IFERROR(INDEX(ctaLiq,MATCH(G2372,ctaNom,0))="Sí",FALSE)),O2372,0))</f>
        <v/>
      </c>
      <c r="W2372" s="19">
        <f>IF(OR(F2372="",I2372=""),"",IF(COUNTIFS(F$6:F2372,F2372,I$6:I2372,"?*")=1,MAX(W$5:W2371)+1,""))</f>
        <v/>
      </c>
    </row>
    <row r="2373">
      <c r="B2373" s="15" t="n"/>
      <c r="C2373" s="16" t="n"/>
      <c r="D2373" s="17" t="n"/>
      <c r="E2373" s="17" t="n"/>
      <c r="F2373" s="17" t="n"/>
      <c r="G2373" s="17" t="n"/>
      <c r="H2373" s="18">
        <f>IF(AND(B2373="",C2373="",D2373="",E2373=""),"",IF(B2373="","⚠ Falta fecha",IF(C2373="","⚠ Falta monto",IF(D2373="","⚠ Falta categoría",IF(ISNA(MATCH(D2373,catNom,0)),"⚠ Categoría no existe",IF(E2373="","⚠ Falta cuenta",IF(ISNA(MATCH(E2373,ctaNom,0)),"⚠ Cuenta no existe",IF(AND(OR(I2373="Transferencia",I2373="Pago tarjeta"),G2373=""),"⚠ Indica la cuenta «Hacia»",IF(AND(G2373&lt;&gt;"",G2373=E2373),"⚠ «Hacia» igual a la cuenta",IF(AND(G2373&lt;&gt;"",ISNA(MATCH(G2373,ctaNom,0))),"⚠ «Hacia» no existe",IF(AND(I2373="Pago tarjeta",IFERROR(INDEX(ctaTipo,MATCH(G2373,ctaNom,0)),"")&lt;&gt;"Tarjeta de crédito"),"⚠ «Hacia» debe ser la tarjeta",IF(AND(I2373="Trading",IFERROR(INDEX(ctaTipo,MATCH(E2373,ctaNom,0)),"")&lt;&gt;"Cuenta de trading"),"⚠ Usa la cuenta de trading","✓"))))))))))))</f>
        <v/>
      </c>
      <c r="I2373" s="19">
        <f>IF(OR(B2373="",C2373="",D2373=""),"",IFERROR(INDEX(catTipo,MATCH(D2373,catNom,0))&amp;"",""))</f>
        <v/>
      </c>
      <c r="J2373" s="19">
        <f>IF(I2373="","",IFERROR(INDEX(catGrupo,MATCH(D2373,catNom,0))&amp;"",""))</f>
        <v/>
      </c>
      <c r="K2373" s="19">
        <f>IF(I2373="Gasto",IF(IFERROR(INDEX(catClas,MATCH(D2373,catNom,0))&amp;"","")="","Variable",IFERROR(INDEX(catClas,MATCH(D2373,catNom,0))&amp;"","")),"")</f>
        <v/>
      </c>
      <c r="L2373" s="19">
        <f>IF(I2373="","",IFERROR(INDEX(catAlim,MATCH(D2373,catNom,0))&amp;"",""))</f>
        <v/>
      </c>
      <c r="M2373" s="19">
        <f>IF(I2373="","",IFERROR(INDEX(catComida,MATCH(D2373,catNom,0))&amp;"",""))</f>
        <v/>
      </c>
      <c r="N2373" s="19">
        <f>IF(I2373="","",IFERROR(INDEX(ctaMon,MATCH(E2373,ctaNom,0))&amp;"","DOP"))</f>
        <v/>
      </c>
      <c r="O2373" s="20">
        <f>IF(I2373="","",C2373*IF(N2373="USD",TasaUSD,1))</f>
        <v/>
      </c>
      <c r="P2373" s="20">
        <f>IF(I2373="","",IF(I2373="Gasto",O2373,0))</f>
        <v/>
      </c>
      <c r="Q2373" s="20">
        <f>IF(I2373="","",IF(I2373="Ingreso",O2373,0))</f>
        <v/>
      </c>
      <c r="R2373" s="20">
        <f>IF(I2373="","",IF(I2373="Trading",O2373,0))</f>
        <v/>
      </c>
      <c r="S2373" s="19">
        <f>IF(I2373="","",IF(AND(I2373="Gasto",K2373="Variable",J2373&lt;&gt;"Trading",O2373&gt;0,O2373&lt;=Umbral),1,0))</f>
        <v/>
      </c>
      <c r="T2373" s="20">
        <f>IF(OR(I2373="",E2373=""),"",IF(OR(I2373="Gasto",I2373="Transferencia",I2373="Pago tarjeta"),-1,1)*C2373)</f>
        <v/>
      </c>
      <c r="U2373" s="20">
        <f>IF(OR(G2373="",AND(I2373&lt;&gt;"Transferencia",I2373&lt;&gt;"Pago tarjeta")),"",IF(IFERROR(INDEX(ctaMon,MATCH(G2373,ctaNom,0))&amp;"","DOP")=N2373,C2373,IF(N2373="USD",C2373*TasaUSD,C2373/TasaUSD)))</f>
        <v/>
      </c>
      <c r="V2373" s="20">
        <f>IF(I2373="","",IF(IFERROR(INDEX(ctaLiq,MATCH(E2373,ctaNom,0))="Sí",FALSE),IF(OR(I2373="Gasto",I2373="Transferencia",I2373="Pago tarjeta"),-1,1)*O2373,0)+IF(AND(U2373&lt;&gt;"",IFERROR(INDEX(ctaLiq,MATCH(G2373,ctaNom,0))="Sí",FALSE)),O2373,0))</f>
        <v/>
      </c>
      <c r="W2373" s="19">
        <f>IF(OR(F2373="",I2373=""),"",IF(COUNTIFS(F$6:F2373,F2373,I$6:I2373,"?*")=1,MAX(W$5:W2372)+1,""))</f>
        <v/>
      </c>
    </row>
    <row r="2374">
      <c r="B2374" s="15" t="n"/>
      <c r="C2374" s="16" t="n"/>
      <c r="D2374" s="17" t="n"/>
      <c r="E2374" s="17" t="n"/>
      <c r="F2374" s="17" t="n"/>
      <c r="G2374" s="17" t="n"/>
      <c r="H2374" s="18">
        <f>IF(AND(B2374="",C2374="",D2374="",E2374=""),"",IF(B2374="","⚠ Falta fecha",IF(C2374="","⚠ Falta monto",IF(D2374="","⚠ Falta categoría",IF(ISNA(MATCH(D2374,catNom,0)),"⚠ Categoría no existe",IF(E2374="","⚠ Falta cuenta",IF(ISNA(MATCH(E2374,ctaNom,0)),"⚠ Cuenta no existe",IF(AND(OR(I2374="Transferencia",I2374="Pago tarjeta"),G2374=""),"⚠ Indica la cuenta «Hacia»",IF(AND(G2374&lt;&gt;"",G2374=E2374),"⚠ «Hacia» igual a la cuenta",IF(AND(G2374&lt;&gt;"",ISNA(MATCH(G2374,ctaNom,0))),"⚠ «Hacia» no existe",IF(AND(I2374="Pago tarjeta",IFERROR(INDEX(ctaTipo,MATCH(G2374,ctaNom,0)),"")&lt;&gt;"Tarjeta de crédito"),"⚠ «Hacia» debe ser la tarjeta",IF(AND(I2374="Trading",IFERROR(INDEX(ctaTipo,MATCH(E2374,ctaNom,0)),"")&lt;&gt;"Cuenta de trading"),"⚠ Usa la cuenta de trading","✓"))))))))))))</f>
        <v/>
      </c>
      <c r="I2374" s="19">
        <f>IF(OR(B2374="",C2374="",D2374=""),"",IFERROR(INDEX(catTipo,MATCH(D2374,catNom,0))&amp;"",""))</f>
        <v/>
      </c>
      <c r="J2374" s="19">
        <f>IF(I2374="","",IFERROR(INDEX(catGrupo,MATCH(D2374,catNom,0))&amp;"",""))</f>
        <v/>
      </c>
      <c r="K2374" s="19">
        <f>IF(I2374="Gasto",IF(IFERROR(INDEX(catClas,MATCH(D2374,catNom,0))&amp;"","")="","Variable",IFERROR(INDEX(catClas,MATCH(D2374,catNom,0))&amp;"","")),"")</f>
        <v/>
      </c>
      <c r="L2374" s="19">
        <f>IF(I2374="","",IFERROR(INDEX(catAlim,MATCH(D2374,catNom,0))&amp;"",""))</f>
        <v/>
      </c>
      <c r="M2374" s="19">
        <f>IF(I2374="","",IFERROR(INDEX(catComida,MATCH(D2374,catNom,0))&amp;"",""))</f>
        <v/>
      </c>
      <c r="N2374" s="19">
        <f>IF(I2374="","",IFERROR(INDEX(ctaMon,MATCH(E2374,ctaNom,0))&amp;"","DOP"))</f>
        <v/>
      </c>
      <c r="O2374" s="20">
        <f>IF(I2374="","",C2374*IF(N2374="USD",TasaUSD,1))</f>
        <v/>
      </c>
      <c r="P2374" s="20">
        <f>IF(I2374="","",IF(I2374="Gasto",O2374,0))</f>
        <v/>
      </c>
      <c r="Q2374" s="20">
        <f>IF(I2374="","",IF(I2374="Ingreso",O2374,0))</f>
        <v/>
      </c>
      <c r="R2374" s="20">
        <f>IF(I2374="","",IF(I2374="Trading",O2374,0))</f>
        <v/>
      </c>
      <c r="S2374" s="19">
        <f>IF(I2374="","",IF(AND(I2374="Gasto",K2374="Variable",J2374&lt;&gt;"Trading",O2374&gt;0,O2374&lt;=Umbral),1,0))</f>
        <v/>
      </c>
      <c r="T2374" s="20">
        <f>IF(OR(I2374="",E2374=""),"",IF(OR(I2374="Gasto",I2374="Transferencia",I2374="Pago tarjeta"),-1,1)*C2374)</f>
        <v/>
      </c>
      <c r="U2374" s="20">
        <f>IF(OR(G2374="",AND(I2374&lt;&gt;"Transferencia",I2374&lt;&gt;"Pago tarjeta")),"",IF(IFERROR(INDEX(ctaMon,MATCH(G2374,ctaNom,0))&amp;"","DOP")=N2374,C2374,IF(N2374="USD",C2374*TasaUSD,C2374/TasaUSD)))</f>
        <v/>
      </c>
      <c r="V2374" s="20">
        <f>IF(I2374="","",IF(IFERROR(INDEX(ctaLiq,MATCH(E2374,ctaNom,0))="Sí",FALSE),IF(OR(I2374="Gasto",I2374="Transferencia",I2374="Pago tarjeta"),-1,1)*O2374,0)+IF(AND(U2374&lt;&gt;"",IFERROR(INDEX(ctaLiq,MATCH(G2374,ctaNom,0))="Sí",FALSE)),O2374,0))</f>
        <v/>
      </c>
      <c r="W2374" s="19">
        <f>IF(OR(F2374="",I2374=""),"",IF(COUNTIFS(F$6:F2374,F2374,I$6:I2374,"?*")=1,MAX(W$5:W2373)+1,""))</f>
        <v/>
      </c>
    </row>
    <row r="2375">
      <c r="B2375" s="15" t="n"/>
      <c r="C2375" s="16" t="n"/>
      <c r="D2375" s="17" t="n"/>
      <c r="E2375" s="17" t="n"/>
      <c r="F2375" s="17" t="n"/>
      <c r="G2375" s="17" t="n"/>
      <c r="H2375" s="18">
        <f>IF(AND(B2375="",C2375="",D2375="",E2375=""),"",IF(B2375="","⚠ Falta fecha",IF(C2375="","⚠ Falta monto",IF(D2375="","⚠ Falta categoría",IF(ISNA(MATCH(D2375,catNom,0)),"⚠ Categoría no existe",IF(E2375="","⚠ Falta cuenta",IF(ISNA(MATCH(E2375,ctaNom,0)),"⚠ Cuenta no existe",IF(AND(OR(I2375="Transferencia",I2375="Pago tarjeta"),G2375=""),"⚠ Indica la cuenta «Hacia»",IF(AND(G2375&lt;&gt;"",G2375=E2375),"⚠ «Hacia» igual a la cuenta",IF(AND(G2375&lt;&gt;"",ISNA(MATCH(G2375,ctaNom,0))),"⚠ «Hacia» no existe",IF(AND(I2375="Pago tarjeta",IFERROR(INDEX(ctaTipo,MATCH(G2375,ctaNom,0)),"")&lt;&gt;"Tarjeta de crédito"),"⚠ «Hacia» debe ser la tarjeta",IF(AND(I2375="Trading",IFERROR(INDEX(ctaTipo,MATCH(E2375,ctaNom,0)),"")&lt;&gt;"Cuenta de trading"),"⚠ Usa la cuenta de trading","✓"))))))))))))</f>
        <v/>
      </c>
      <c r="I2375" s="19">
        <f>IF(OR(B2375="",C2375="",D2375=""),"",IFERROR(INDEX(catTipo,MATCH(D2375,catNom,0))&amp;"",""))</f>
        <v/>
      </c>
      <c r="J2375" s="19">
        <f>IF(I2375="","",IFERROR(INDEX(catGrupo,MATCH(D2375,catNom,0))&amp;"",""))</f>
        <v/>
      </c>
      <c r="K2375" s="19">
        <f>IF(I2375="Gasto",IF(IFERROR(INDEX(catClas,MATCH(D2375,catNom,0))&amp;"","")="","Variable",IFERROR(INDEX(catClas,MATCH(D2375,catNom,0))&amp;"","")),"")</f>
        <v/>
      </c>
      <c r="L2375" s="19">
        <f>IF(I2375="","",IFERROR(INDEX(catAlim,MATCH(D2375,catNom,0))&amp;"",""))</f>
        <v/>
      </c>
      <c r="M2375" s="19">
        <f>IF(I2375="","",IFERROR(INDEX(catComida,MATCH(D2375,catNom,0))&amp;"",""))</f>
        <v/>
      </c>
      <c r="N2375" s="19">
        <f>IF(I2375="","",IFERROR(INDEX(ctaMon,MATCH(E2375,ctaNom,0))&amp;"","DOP"))</f>
        <v/>
      </c>
      <c r="O2375" s="20">
        <f>IF(I2375="","",C2375*IF(N2375="USD",TasaUSD,1))</f>
        <v/>
      </c>
      <c r="P2375" s="20">
        <f>IF(I2375="","",IF(I2375="Gasto",O2375,0))</f>
        <v/>
      </c>
      <c r="Q2375" s="20">
        <f>IF(I2375="","",IF(I2375="Ingreso",O2375,0))</f>
        <v/>
      </c>
      <c r="R2375" s="20">
        <f>IF(I2375="","",IF(I2375="Trading",O2375,0))</f>
        <v/>
      </c>
      <c r="S2375" s="19">
        <f>IF(I2375="","",IF(AND(I2375="Gasto",K2375="Variable",J2375&lt;&gt;"Trading",O2375&gt;0,O2375&lt;=Umbral),1,0))</f>
        <v/>
      </c>
      <c r="T2375" s="20">
        <f>IF(OR(I2375="",E2375=""),"",IF(OR(I2375="Gasto",I2375="Transferencia",I2375="Pago tarjeta"),-1,1)*C2375)</f>
        <v/>
      </c>
      <c r="U2375" s="20">
        <f>IF(OR(G2375="",AND(I2375&lt;&gt;"Transferencia",I2375&lt;&gt;"Pago tarjeta")),"",IF(IFERROR(INDEX(ctaMon,MATCH(G2375,ctaNom,0))&amp;"","DOP")=N2375,C2375,IF(N2375="USD",C2375*TasaUSD,C2375/TasaUSD)))</f>
        <v/>
      </c>
      <c r="V2375" s="20">
        <f>IF(I2375="","",IF(IFERROR(INDEX(ctaLiq,MATCH(E2375,ctaNom,0))="Sí",FALSE),IF(OR(I2375="Gasto",I2375="Transferencia",I2375="Pago tarjeta"),-1,1)*O2375,0)+IF(AND(U2375&lt;&gt;"",IFERROR(INDEX(ctaLiq,MATCH(G2375,ctaNom,0))="Sí",FALSE)),O2375,0))</f>
        <v/>
      </c>
      <c r="W2375" s="19">
        <f>IF(OR(F2375="",I2375=""),"",IF(COUNTIFS(F$6:F2375,F2375,I$6:I2375,"?*")=1,MAX(W$5:W2374)+1,""))</f>
        <v/>
      </c>
    </row>
    <row r="2376">
      <c r="B2376" s="15" t="n"/>
      <c r="C2376" s="16" t="n"/>
      <c r="D2376" s="17" t="n"/>
      <c r="E2376" s="17" t="n"/>
      <c r="F2376" s="17" t="n"/>
      <c r="G2376" s="17" t="n"/>
      <c r="H2376" s="18">
        <f>IF(AND(B2376="",C2376="",D2376="",E2376=""),"",IF(B2376="","⚠ Falta fecha",IF(C2376="","⚠ Falta monto",IF(D2376="","⚠ Falta categoría",IF(ISNA(MATCH(D2376,catNom,0)),"⚠ Categoría no existe",IF(E2376="","⚠ Falta cuenta",IF(ISNA(MATCH(E2376,ctaNom,0)),"⚠ Cuenta no existe",IF(AND(OR(I2376="Transferencia",I2376="Pago tarjeta"),G2376=""),"⚠ Indica la cuenta «Hacia»",IF(AND(G2376&lt;&gt;"",G2376=E2376),"⚠ «Hacia» igual a la cuenta",IF(AND(G2376&lt;&gt;"",ISNA(MATCH(G2376,ctaNom,0))),"⚠ «Hacia» no existe",IF(AND(I2376="Pago tarjeta",IFERROR(INDEX(ctaTipo,MATCH(G2376,ctaNom,0)),"")&lt;&gt;"Tarjeta de crédito"),"⚠ «Hacia» debe ser la tarjeta",IF(AND(I2376="Trading",IFERROR(INDEX(ctaTipo,MATCH(E2376,ctaNom,0)),"")&lt;&gt;"Cuenta de trading"),"⚠ Usa la cuenta de trading","✓"))))))))))))</f>
        <v/>
      </c>
      <c r="I2376" s="19">
        <f>IF(OR(B2376="",C2376="",D2376=""),"",IFERROR(INDEX(catTipo,MATCH(D2376,catNom,0))&amp;"",""))</f>
        <v/>
      </c>
      <c r="J2376" s="19">
        <f>IF(I2376="","",IFERROR(INDEX(catGrupo,MATCH(D2376,catNom,0))&amp;"",""))</f>
        <v/>
      </c>
      <c r="K2376" s="19">
        <f>IF(I2376="Gasto",IF(IFERROR(INDEX(catClas,MATCH(D2376,catNom,0))&amp;"","")="","Variable",IFERROR(INDEX(catClas,MATCH(D2376,catNom,0))&amp;"","")),"")</f>
        <v/>
      </c>
      <c r="L2376" s="19">
        <f>IF(I2376="","",IFERROR(INDEX(catAlim,MATCH(D2376,catNom,0))&amp;"",""))</f>
        <v/>
      </c>
      <c r="M2376" s="19">
        <f>IF(I2376="","",IFERROR(INDEX(catComida,MATCH(D2376,catNom,0))&amp;"",""))</f>
        <v/>
      </c>
      <c r="N2376" s="19">
        <f>IF(I2376="","",IFERROR(INDEX(ctaMon,MATCH(E2376,ctaNom,0))&amp;"","DOP"))</f>
        <v/>
      </c>
      <c r="O2376" s="20">
        <f>IF(I2376="","",C2376*IF(N2376="USD",TasaUSD,1))</f>
        <v/>
      </c>
      <c r="P2376" s="20">
        <f>IF(I2376="","",IF(I2376="Gasto",O2376,0))</f>
        <v/>
      </c>
      <c r="Q2376" s="20">
        <f>IF(I2376="","",IF(I2376="Ingreso",O2376,0))</f>
        <v/>
      </c>
      <c r="R2376" s="20">
        <f>IF(I2376="","",IF(I2376="Trading",O2376,0))</f>
        <v/>
      </c>
      <c r="S2376" s="19">
        <f>IF(I2376="","",IF(AND(I2376="Gasto",K2376="Variable",J2376&lt;&gt;"Trading",O2376&gt;0,O2376&lt;=Umbral),1,0))</f>
        <v/>
      </c>
      <c r="T2376" s="20">
        <f>IF(OR(I2376="",E2376=""),"",IF(OR(I2376="Gasto",I2376="Transferencia",I2376="Pago tarjeta"),-1,1)*C2376)</f>
        <v/>
      </c>
      <c r="U2376" s="20">
        <f>IF(OR(G2376="",AND(I2376&lt;&gt;"Transferencia",I2376&lt;&gt;"Pago tarjeta")),"",IF(IFERROR(INDEX(ctaMon,MATCH(G2376,ctaNom,0))&amp;"","DOP")=N2376,C2376,IF(N2376="USD",C2376*TasaUSD,C2376/TasaUSD)))</f>
        <v/>
      </c>
      <c r="V2376" s="20">
        <f>IF(I2376="","",IF(IFERROR(INDEX(ctaLiq,MATCH(E2376,ctaNom,0))="Sí",FALSE),IF(OR(I2376="Gasto",I2376="Transferencia",I2376="Pago tarjeta"),-1,1)*O2376,0)+IF(AND(U2376&lt;&gt;"",IFERROR(INDEX(ctaLiq,MATCH(G2376,ctaNom,0))="Sí",FALSE)),O2376,0))</f>
        <v/>
      </c>
      <c r="W2376" s="19">
        <f>IF(OR(F2376="",I2376=""),"",IF(COUNTIFS(F$6:F2376,F2376,I$6:I2376,"?*")=1,MAX(W$5:W2375)+1,""))</f>
        <v/>
      </c>
    </row>
    <row r="2377">
      <c r="B2377" s="15" t="n"/>
      <c r="C2377" s="16" t="n"/>
      <c r="D2377" s="17" t="n"/>
      <c r="E2377" s="17" t="n"/>
      <c r="F2377" s="17" t="n"/>
      <c r="G2377" s="17" t="n"/>
      <c r="H2377" s="18">
        <f>IF(AND(B2377="",C2377="",D2377="",E2377=""),"",IF(B2377="","⚠ Falta fecha",IF(C2377="","⚠ Falta monto",IF(D2377="","⚠ Falta categoría",IF(ISNA(MATCH(D2377,catNom,0)),"⚠ Categoría no existe",IF(E2377="","⚠ Falta cuenta",IF(ISNA(MATCH(E2377,ctaNom,0)),"⚠ Cuenta no existe",IF(AND(OR(I2377="Transferencia",I2377="Pago tarjeta"),G2377=""),"⚠ Indica la cuenta «Hacia»",IF(AND(G2377&lt;&gt;"",G2377=E2377),"⚠ «Hacia» igual a la cuenta",IF(AND(G2377&lt;&gt;"",ISNA(MATCH(G2377,ctaNom,0))),"⚠ «Hacia» no existe",IF(AND(I2377="Pago tarjeta",IFERROR(INDEX(ctaTipo,MATCH(G2377,ctaNom,0)),"")&lt;&gt;"Tarjeta de crédito"),"⚠ «Hacia» debe ser la tarjeta",IF(AND(I2377="Trading",IFERROR(INDEX(ctaTipo,MATCH(E2377,ctaNom,0)),"")&lt;&gt;"Cuenta de trading"),"⚠ Usa la cuenta de trading","✓"))))))))))))</f>
        <v/>
      </c>
      <c r="I2377" s="19">
        <f>IF(OR(B2377="",C2377="",D2377=""),"",IFERROR(INDEX(catTipo,MATCH(D2377,catNom,0))&amp;"",""))</f>
        <v/>
      </c>
      <c r="J2377" s="19">
        <f>IF(I2377="","",IFERROR(INDEX(catGrupo,MATCH(D2377,catNom,0))&amp;"",""))</f>
        <v/>
      </c>
      <c r="K2377" s="19">
        <f>IF(I2377="Gasto",IF(IFERROR(INDEX(catClas,MATCH(D2377,catNom,0))&amp;"","")="","Variable",IFERROR(INDEX(catClas,MATCH(D2377,catNom,0))&amp;"","")),"")</f>
        <v/>
      </c>
      <c r="L2377" s="19">
        <f>IF(I2377="","",IFERROR(INDEX(catAlim,MATCH(D2377,catNom,0))&amp;"",""))</f>
        <v/>
      </c>
      <c r="M2377" s="19">
        <f>IF(I2377="","",IFERROR(INDEX(catComida,MATCH(D2377,catNom,0))&amp;"",""))</f>
        <v/>
      </c>
      <c r="N2377" s="19">
        <f>IF(I2377="","",IFERROR(INDEX(ctaMon,MATCH(E2377,ctaNom,0))&amp;"","DOP"))</f>
        <v/>
      </c>
      <c r="O2377" s="20">
        <f>IF(I2377="","",C2377*IF(N2377="USD",TasaUSD,1))</f>
        <v/>
      </c>
      <c r="P2377" s="20">
        <f>IF(I2377="","",IF(I2377="Gasto",O2377,0))</f>
        <v/>
      </c>
      <c r="Q2377" s="20">
        <f>IF(I2377="","",IF(I2377="Ingreso",O2377,0))</f>
        <v/>
      </c>
      <c r="R2377" s="20">
        <f>IF(I2377="","",IF(I2377="Trading",O2377,0))</f>
        <v/>
      </c>
      <c r="S2377" s="19">
        <f>IF(I2377="","",IF(AND(I2377="Gasto",K2377="Variable",J2377&lt;&gt;"Trading",O2377&gt;0,O2377&lt;=Umbral),1,0))</f>
        <v/>
      </c>
      <c r="T2377" s="20">
        <f>IF(OR(I2377="",E2377=""),"",IF(OR(I2377="Gasto",I2377="Transferencia",I2377="Pago tarjeta"),-1,1)*C2377)</f>
        <v/>
      </c>
      <c r="U2377" s="20">
        <f>IF(OR(G2377="",AND(I2377&lt;&gt;"Transferencia",I2377&lt;&gt;"Pago tarjeta")),"",IF(IFERROR(INDEX(ctaMon,MATCH(G2377,ctaNom,0))&amp;"","DOP")=N2377,C2377,IF(N2377="USD",C2377*TasaUSD,C2377/TasaUSD)))</f>
        <v/>
      </c>
      <c r="V2377" s="20">
        <f>IF(I2377="","",IF(IFERROR(INDEX(ctaLiq,MATCH(E2377,ctaNom,0))="Sí",FALSE),IF(OR(I2377="Gasto",I2377="Transferencia",I2377="Pago tarjeta"),-1,1)*O2377,0)+IF(AND(U2377&lt;&gt;"",IFERROR(INDEX(ctaLiq,MATCH(G2377,ctaNom,0))="Sí",FALSE)),O2377,0))</f>
        <v/>
      </c>
      <c r="W2377" s="19">
        <f>IF(OR(F2377="",I2377=""),"",IF(COUNTIFS(F$6:F2377,F2377,I$6:I2377,"?*")=1,MAX(W$5:W2376)+1,""))</f>
        <v/>
      </c>
    </row>
    <row r="2378">
      <c r="B2378" s="15" t="n"/>
      <c r="C2378" s="16" t="n"/>
      <c r="D2378" s="17" t="n"/>
      <c r="E2378" s="17" t="n"/>
      <c r="F2378" s="17" t="n"/>
      <c r="G2378" s="17" t="n"/>
      <c r="H2378" s="18">
        <f>IF(AND(B2378="",C2378="",D2378="",E2378=""),"",IF(B2378="","⚠ Falta fecha",IF(C2378="","⚠ Falta monto",IF(D2378="","⚠ Falta categoría",IF(ISNA(MATCH(D2378,catNom,0)),"⚠ Categoría no existe",IF(E2378="","⚠ Falta cuenta",IF(ISNA(MATCH(E2378,ctaNom,0)),"⚠ Cuenta no existe",IF(AND(OR(I2378="Transferencia",I2378="Pago tarjeta"),G2378=""),"⚠ Indica la cuenta «Hacia»",IF(AND(G2378&lt;&gt;"",G2378=E2378),"⚠ «Hacia» igual a la cuenta",IF(AND(G2378&lt;&gt;"",ISNA(MATCH(G2378,ctaNom,0))),"⚠ «Hacia» no existe",IF(AND(I2378="Pago tarjeta",IFERROR(INDEX(ctaTipo,MATCH(G2378,ctaNom,0)),"")&lt;&gt;"Tarjeta de crédito"),"⚠ «Hacia» debe ser la tarjeta",IF(AND(I2378="Trading",IFERROR(INDEX(ctaTipo,MATCH(E2378,ctaNom,0)),"")&lt;&gt;"Cuenta de trading"),"⚠ Usa la cuenta de trading","✓"))))))))))))</f>
        <v/>
      </c>
      <c r="I2378" s="19">
        <f>IF(OR(B2378="",C2378="",D2378=""),"",IFERROR(INDEX(catTipo,MATCH(D2378,catNom,0))&amp;"",""))</f>
        <v/>
      </c>
      <c r="J2378" s="19">
        <f>IF(I2378="","",IFERROR(INDEX(catGrupo,MATCH(D2378,catNom,0))&amp;"",""))</f>
        <v/>
      </c>
      <c r="K2378" s="19">
        <f>IF(I2378="Gasto",IF(IFERROR(INDEX(catClas,MATCH(D2378,catNom,0))&amp;"","")="","Variable",IFERROR(INDEX(catClas,MATCH(D2378,catNom,0))&amp;"","")),"")</f>
        <v/>
      </c>
      <c r="L2378" s="19">
        <f>IF(I2378="","",IFERROR(INDEX(catAlim,MATCH(D2378,catNom,0))&amp;"",""))</f>
        <v/>
      </c>
      <c r="M2378" s="19">
        <f>IF(I2378="","",IFERROR(INDEX(catComida,MATCH(D2378,catNom,0))&amp;"",""))</f>
        <v/>
      </c>
      <c r="N2378" s="19">
        <f>IF(I2378="","",IFERROR(INDEX(ctaMon,MATCH(E2378,ctaNom,0))&amp;"","DOP"))</f>
        <v/>
      </c>
      <c r="O2378" s="20">
        <f>IF(I2378="","",C2378*IF(N2378="USD",TasaUSD,1))</f>
        <v/>
      </c>
      <c r="P2378" s="20">
        <f>IF(I2378="","",IF(I2378="Gasto",O2378,0))</f>
        <v/>
      </c>
      <c r="Q2378" s="20">
        <f>IF(I2378="","",IF(I2378="Ingreso",O2378,0))</f>
        <v/>
      </c>
      <c r="R2378" s="20">
        <f>IF(I2378="","",IF(I2378="Trading",O2378,0))</f>
        <v/>
      </c>
      <c r="S2378" s="19">
        <f>IF(I2378="","",IF(AND(I2378="Gasto",K2378="Variable",J2378&lt;&gt;"Trading",O2378&gt;0,O2378&lt;=Umbral),1,0))</f>
        <v/>
      </c>
      <c r="T2378" s="20">
        <f>IF(OR(I2378="",E2378=""),"",IF(OR(I2378="Gasto",I2378="Transferencia",I2378="Pago tarjeta"),-1,1)*C2378)</f>
        <v/>
      </c>
      <c r="U2378" s="20">
        <f>IF(OR(G2378="",AND(I2378&lt;&gt;"Transferencia",I2378&lt;&gt;"Pago tarjeta")),"",IF(IFERROR(INDEX(ctaMon,MATCH(G2378,ctaNom,0))&amp;"","DOP")=N2378,C2378,IF(N2378="USD",C2378*TasaUSD,C2378/TasaUSD)))</f>
        <v/>
      </c>
      <c r="V2378" s="20">
        <f>IF(I2378="","",IF(IFERROR(INDEX(ctaLiq,MATCH(E2378,ctaNom,0))="Sí",FALSE),IF(OR(I2378="Gasto",I2378="Transferencia",I2378="Pago tarjeta"),-1,1)*O2378,0)+IF(AND(U2378&lt;&gt;"",IFERROR(INDEX(ctaLiq,MATCH(G2378,ctaNom,0))="Sí",FALSE)),O2378,0))</f>
        <v/>
      </c>
      <c r="W2378" s="19">
        <f>IF(OR(F2378="",I2378=""),"",IF(COUNTIFS(F$6:F2378,F2378,I$6:I2378,"?*")=1,MAX(W$5:W2377)+1,""))</f>
        <v/>
      </c>
    </row>
    <row r="2379">
      <c r="B2379" s="15" t="n"/>
      <c r="C2379" s="16" t="n"/>
      <c r="D2379" s="17" t="n"/>
      <c r="E2379" s="17" t="n"/>
      <c r="F2379" s="17" t="n"/>
      <c r="G2379" s="17" t="n"/>
      <c r="H2379" s="18">
        <f>IF(AND(B2379="",C2379="",D2379="",E2379=""),"",IF(B2379="","⚠ Falta fecha",IF(C2379="","⚠ Falta monto",IF(D2379="","⚠ Falta categoría",IF(ISNA(MATCH(D2379,catNom,0)),"⚠ Categoría no existe",IF(E2379="","⚠ Falta cuenta",IF(ISNA(MATCH(E2379,ctaNom,0)),"⚠ Cuenta no existe",IF(AND(OR(I2379="Transferencia",I2379="Pago tarjeta"),G2379=""),"⚠ Indica la cuenta «Hacia»",IF(AND(G2379&lt;&gt;"",G2379=E2379),"⚠ «Hacia» igual a la cuenta",IF(AND(G2379&lt;&gt;"",ISNA(MATCH(G2379,ctaNom,0))),"⚠ «Hacia» no existe",IF(AND(I2379="Pago tarjeta",IFERROR(INDEX(ctaTipo,MATCH(G2379,ctaNom,0)),"")&lt;&gt;"Tarjeta de crédito"),"⚠ «Hacia» debe ser la tarjeta",IF(AND(I2379="Trading",IFERROR(INDEX(ctaTipo,MATCH(E2379,ctaNom,0)),"")&lt;&gt;"Cuenta de trading"),"⚠ Usa la cuenta de trading","✓"))))))))))))</f>
        <v/>
      </c>
      <c r="I2379" s="19">
        <f>IF(OR(B2379="",C2379="",D2379=""),"",IFERROR(INDEX(catTipo,MATCH(D2379,catNom,0))&amp;"",""))</f>
        <v/>
      </c>
      <c r="J2379" s="19">
        <f>IF(I2379="","",IFERROR(INDEX(catGrupo,MATCH(D2379,catNom,0))&amp;"",""))</f>
        <v/>
      </c>
      <c r="K2379" s="19">
        <f>IF(I2379="Gasto",IF(IFERROR(INDEX(catClas,MATCH(D2379,catNom,0))&amp;"","")="","Variable",IFERROR(INDEX(catClas,MATCH(D2379,catNom,0))&amp;"","")),"")</f>
        <v/>
      </c>
      <c r="L2379" s="19">
        <f>IF(I2379="","",IFERROR(INDEX(catAlim,MATCH(D2379,catNom,0))&amp;"",""))</f>
        <v/>
      </c>
      <c r="M2379" s="19">
        <f>IF(I2379="","",IFERROR(INDEX(catComida,MATCH(D2379,catNom,0))&amp;"",""))</f>
        <v/>
      </c>
      <c r="N2379" s="19">
        <f>IF(I2379="","",IFERROR(INDEX(ctaMon,MATCH(E2379,ctaNom,0))&amp;"","DOP"))</f>
        <v/>
      </c>
      <c r="O2379" s="20">
        <f>IF(I2379="","",C2379*IF(N2379="USD",TasaUSD,1))</f>
        <v/>
      </c>
      <c r="P2379" s="20">
        <f>IF(I2379="","",IF(I2379="Gasto",O2379,0))</f>
        <v/>
      </c>
      <c r="Q2379" s="20">
        <f>IF(I2379="","",IF(I2379="Ingreso",O2379,0))</f>
        <v/>
      </c>
      <c r="R2379" s="20">
        <f>IF(I2379="","",IF(I2379="Trading",O2379,0))</f>
        <v/>
      </c>
      <c r="S2379" s="19">
        <f>IF(I2379="","",IF(AND(I2379="Gasto",K2379="Variable",J2379&lt;&gt;"Trading",O2379&gt;0,O2379&lt;=Umbral),1,0))</f>
        <v/>
      </c>
      <c r="T2379" s="20">
        <f>IF(OR(I2379="",E2379=""),"",IF(OR(I2379="Gasto",I2379="Transferencia",I2379="Pago tarjeta"),-1,1)*C2379)</f>
        <v/>
      </c>
      <c r="U2379" s="20">
        <f>IF(OR(G2379="",AND(I2379&lt;&gt;"Transferencia",I2379&lt;&gt;"Pago tarjeta")),"",IF(IFERROR(INDEX(ctaMon,MATCH(G2379,ctaNom,0))&amp;"","DOP")=N2379,C2379,IF(N2379="USD",C2379*TasaUSD,C2379/TasaUSD)))</f>
        <v/>
      </c>
      <c r="V2379" s="20">
        <f>IF(I2379="","",IF(IFERROR(INDEX(ctaLiq,MATCH(E2379,ctaNom,0))="Sí",FALSE),IF(OR(I2379="Gasto",I2379="Transferencia",I2379="Pago tarjeta"),-1,1)*O2379,0)+IF(AND(U2379&lt;&gt;"",IFERROR(INDEX(ctaLiq,MATCH(G2379,ctaNom,0))="Sí",FALSE)),O2379,0))</f>
        <v/>
      </c>
      <c r="W2379" s="19">
        <f>IF(OR(F2379="",I2379=""),"",IF(COUNTIFS(F$6:F2379,F2379,I$6:I2379,"?*")=1,MAX(W$5:W2378)+1,""))</f>
        <v/>
      </c>
    </row>
    <row r="2380">
      <c r="B2380" s="15" t="n"/>
      <c r="C2380" s="16" t="n"/>
      <c r="D2380" s="17" t="n"/>
      <c r="E2380" s="17" t="n"/>
      <c r="F2380" s="17" t="n"/>
      <c r="G2380" s="17" t="n"/>
      <c r="H2380" s="18">
        <f>IF(AND(B2380="",C2380="",D2380="",E2380=""),"",IF(B2380="","⚠ Falta fecha",IF(C2380="","⚠ Falta monto",IF(D2380="","⚠ Falta categoría",IF(ISNA(MATCH(D2380,catNom,0)),"⚠ Categoría no existe",IF(E2380="","⚠ Falta cuenta",IF(ISNA(MATCH(E2380,ctaNom,0)),"⚠ Cuenta no existe",IF(AND(OR(I2380="Transferencia",I2380="Pago tarjeta"),G2380=""),"⚠ Indica la cuenta «Hacia»",IF(AND(G2380&lt;&gt;"",G2380=E2380),"⚠ «Hacia» igual a la cuenta",IF(AND(G2380&lt;&gt;"",ISNA(MATCH(G2380,ctaNom,0))),"⚠ «Hacia» no existe",IF(AND(I2380="Pago tarjeta",IFERROR(INDEX(ctaTipo,MATCH(G2380,ctaNom,0)),"")&lt;&gt;"Tarjeta de crédito"),"⚠ «Hacia» debe ser la tarjeta",IF(AND(I2380="Trading",IFERROR(INDEX(ctaTipo,MATCH(E2380,ctaNom,0)),"")&lt;&gt;"Cuenta de trading"),"⚠ Usa la cuenta de trading","✓"))))))))))))</f>
        <v/>
      </c>
      <c r="I2380" s="19">
        <f>IF(OR(B2380="",C2380="",D2380=""),"",IFERROR(INDEX(catTipo,MATCH(D2380,catNom,0))&amp;"",""))</f>
        <v/>
      </c>
      <c r="J2380" s="19">
        <f>IF(I2380="","",IFERROR(INDEX(catGrupo,MATCH(D2380,catNom,0))&amp;"",""))</f>
        <v/>
      </c>
      <c r="K2380" s="19">
        <f>IF(I2380="Gasto",IF(IFERROR(INDEX(catClas,MATCH(D2380,catNom,0))&amp;"","")="","Variable",IFERROR(INDEX(catClas,MATCH(D2380,catNom,0))&amp;"","")),"")</f>
        <v/>
      </c>
      <c r="L2380" s="19">
        <f>IF(I2380="","",IFERROR(INDEX(catAlim,MATCH(D2380,catNom,0))&amp;"",""))</f>
        <v/>
      </c>
      <c r="M2380" s="19">
        <f>IF(I2380="","",IFERROR(INDEX(catComida,MATCH(D2380,catNom,0))&amp;"",""))</f>
        <v/>
      </c>
      <c r="N2380" s="19">
        <f>IF(I2380="","",IFERROR(INDEX(ctaMon,MATCH(E2380,ctaNom,0))&amp;"","DOP"))</f>
        <v/>
      </c>
      <c r="O2380" s="20">
        <f>IF(I2380="","",C2380*IF(N2380="USD",TasaUSD,1))</f>
        <v/>
      </c>
      <c r="P2380" s="20">
        <f>IF(I2380="","",IF(I2380="Gasto",O2380,0))</f>
        <v/>
      </c>
      <c r="Q2380" s="20">
        <f>IF(I2380="","",IF(I2380="Ingreso",O2380,0))</f>
        <v/>
      </c>
      <c r="R2380" s="20">
        <f>IF(I2380="","",IF(I2380="Trading",O2380,0))</f>
        <v/>
      </c>
      <c r="S2380" s="19">
        <f>IF(I2380="","",IF(AND(I2380="Gasto",K2380="Variable",J2380&lt;&gt;"Trading",O2380&gt;0,O2380&lt;=Umbral),1,0))</f>
        <v/>
      </c>
      <c r="T2380" s="20">
        <f>IF(OR(I2380="",E2380=""),"",IF(OR(I2380="Gasto",I2380="Transferencia",I2380="Pago tarjeta"),-1,1)*C2380)</f>
        <v/>
      </c>
      <c r="U2380" s="20">
        <f>IF(OR(G2380="",AND(I2380&lt;&gt;"Transferencia",I2380&lt;&gt;"Pago tarjeta")),"",IF(IFERROR(INDEX(ctaMon,MATCH(G2380,ctaNom,0))&amp;"","DOP")=N2380,C2380,IF(N2380="USD",C2380*TasaUSD,C2380/TasaUSD)))</f>
        <v/>
      </c>
      <c r="V2380" s="20">
        <f>IF(I2380="","",IF(IFERROR(INDEX(ctaLiq,MATCH(E2380,ctaNom,0))="Sí",FALSE),IF(OR(I2380="Gasto",I2380="Transferencia",I2380="Pago tarjeta"),-1,1)*O2380,0)+IF(AND(U2380&lt;&gt;"",IFERROR(INDEX(ctaLiq,MATCH(G2380,ctaNom,0))="Sí",FALSE)),O2380,0))</f>
        <v/>
      </c>
      <c r="W2380" s="19">
        <f>IF(OR(F2380="",I2380=""),"",IF(COUNTIFS(F$6:F2380,F2380,I$6:I2380,"?*")=1,MAX(W$5:W2379)+1,""))</f>
        <v/>
      </c>
    </row>
    <row r="2381">
      <c r="B2381" s="15" t="n"/>
      <c r="C2381" s="16" t="n"/>
      <c r="D2381" s="17" t="n"/>
      <c r="E2381" s="17" t="n"/>
      <c r="F2381" s="17" t="n"/>
      <c r="G2381" s="17" t="n"/>
      <c r="H2381" s="18">
        <f>IF(AND(B2381="",C2381="",D2381="",E2381=""),"",IF(B2381="","⚠ Falta fecha",IF(C2381="","⚠ Falta monto",IF(D2381="","⚠ Falta categoría",IF(ISNA(MATCH(D2381,catNom,0)),"⚠ Categoría no existe",IF(E2381="","⚠ Falta cuenta",IF(ISNA(MATCH(E2381,ctaNom,0)),"⚠ Cuenta no existe",IF(AND(OR(I2381="Transferencia",I2381="Pago tarjeta"),G2381=""),"⚠ Indica la cuenta «Hacia»",IF(AND(G2381&lt;&gt;"",G2381=E2381),"⚠ «Hacia» igual a la cuenta",IF(AND(G2381&lt;&gt;"",ISNA(MATCH(G2381,ctaNom,0))),"⚠ «Hacia» no existe",IF(AND(I2381="Pago tarjeta",IFERROR(INDEX(ctaTipo,MATCH(G2381,ctaNom,0)),"")&lt;&gt;"Tarjeta de crédito"),"⚠ «Hacia» debe ser la tarjeta",IF(AND(I2381="Trading",IFERROR(INDEX(ctaTipo,MATCH(E2381,ctaNom,0)),"")&lt;&gt;"Cuenta de trading"),"⚠ Usa la cuenta de trading","✓"))))))))))))</f>
        <v/>
      </c>
      <c r="I2381" s="19">
        <f>IF(OR(B2381="",C2381="",D2381=""),"",IFERROR(INDEX(catTipo,MATCH(D2381,catNom,0))&amp;"",""))</f>
        <v/>
      </c>
      <c r="J2381" s="19">
        <f>IF(I2381="","",IFERROR(INDEX(catGrupo,MATCH(D2381,catNom,0))&amp;"",""))</f>
        <v/>
      </c>
      <c r="K2381" s="19">
        <f>IF(I2381="Gasto",IF(IFERROR(INDEX(catClas,MATCH(D2381,catNom,0))&amp;"","")="","Variable",IFERROR(INDEX(catClas,MATCH(D2381,catNom,0))&amp;"","")),"")</f>
        <v/>
      </c>
      <c r="L2381" s="19">
        <f>IF(I2381="","",IFERROR(INDEX(catAlim,MATCH(D2381,catNom,0))&amp;"",""))</f>
        <v/>
      </c>
      <c r="M2381" s="19">
        <f>IF(I2381="","",IFERROR(INDEX(catComida,MATCH(D2381,catNom,0))&amp;"",""))</f>
        <v/>
      </c>
      <c r="N2381" s="19">
        <f>IF(I2381="","",IFERROR(INDEX(ctaMon,MATCH(E2381,ctaNom,0))&amp;"","DOP"))</f>
        <v/>
      </c>
      <c r="O2381" s="20">
        <f>IF(I2381="","",C2381*IF(N2381="USD",TasaUSD,1))</f>
        <v/>
      </c>
      <c r="P2381" s="20">
        <f>IF(I2381="","",IF(I2381="Gasto",O2381,0))</f>
        <v/>
      </c>
      <c r="Q2381" s="20">
        <f>IF(I2381="","",IF(I2381="Ingreso",O2381,0))</f>
        <v/>
      </c>
      <c r="R2381" s="20">
        <f>IF(I2381="","",IF(I2381="Trading",O2381,0))</f>
        <v/>
      </c>
      <c r="S2381" s="19">
        <f>IF(I2381="","",IF(AND(I2381="Gasto",K2381="Variable",J2381&lt;&gt;"Trading",O2381&gt;0,O2381&lt;=Umbral),1,0))</f>
        <v/>
      </c>
      <c r="T2381" s="20">
        <f>IF(OR(I2381="",E2381=""),"",IF(OR(I2381="Gasto",I2381="Transferencia",I2381="Pago tarjeta"),-1,1)*C2381)</f>
        <v/>
      </c>
      <c r="U2381" s="20">
        <f>IF(OR(G2381="",AND(I2381&lt;&gt;"Transferencia",I2381&lt;&gt;"Pago tarjeta")),"",IF(IFERROR(INDEX(ctaMon,MATCH(G2381,ctaNom,0))&amp;"","DOP")=N2381,C2381,IF(N2381="USD",C2381*TasaUSD,C2381/TasaUSD)))</f>
        <v/>
      </c>
      <c r="V2381" s="20">
        <f>IF(I2381="","",IF(IFERROR(INDEX(ctaLiq,MATCH(E2381,ctaNom,0))="Sí",FALSE),IF(OR(I2381="Gasto",I2381="Transferencia",I2381="Pago tarjeta"),-1,1)*O2381,0)+IF(AND(U2381&lt;&gt;"",IFERROR(INDEX(ctaLiq,MATCH(G2381,ctaNom,0))="Sí",FALSE)),O2381,0))</f>
        <v/>
      </c>
      <c r="W2381" s="19">
        <f>IF(OR(F2381="",I2381=""),"",IF(COUNTIFS(F$6:F2381,F2381,I$6:I2381,"?*")=1,MAX(W$5:W2380)+1,""))</f>
        <v/>
      </c>
    </row>
    <row r="2382">
      <c r="B2382" s="15" t="n"/>
      <c r="C2382" s="16" t="n"/>
      <c r="D2382" s="17" t="n"/>
      <c r="E2382" s="17" t="n"/>
      <c r="F2382" s="17" t="n"/>
      <c r="G2382" s="17" t="n"/>
      <c r="H2382" s="18">
        <f>IF(AND(B2382="",C2382="",D2382="",E2382=""),"",IF(B2382="","⚠ Falta fecha",IF(C2382="","⚠ Falta monto",IF(D2382="","⚠ Falta categoría",IF(ISNA(MATCH(D2382,catNom,0)),"⚠ Categoría no existe",IF(E2382="","⚠ Falta cuenta",IF(ISNA(MATCH(E2382,ctaNom,0)),"⚠ Cuenta no existe",IF(AND(OR(I2382="Transferencia",I2382="Pago tarjeta"),G2382=""),"⚠ Indica la cuenta «Hacia»",IF(AND(G2382&lt;&gt;"",G2382=E2382),"⚠ «Hacia» igual a la cuenta",IF(AND(G2382&lt;&gt;"",ISNA(MATCH(G2382,ctaNom,0))),"⚠ «Hacia» no existe",IF(AND(I2382="Pago tarjeta",IFERROR(INDEX(ctaTipo,MATCH(G2382,ctaNom,0)),"")&lt;&gt;"Tarjeta de crédito"),"⚠ «Hacia» debe ser la tarjeta",IF(AND(I2382="Trading",IFERROR(INDEX(ctaTipo,MATCH(E2382,ctaNom,0)),"")&lt;&gt;"Cuenta de trading"),"⚠ Usa la cuenta de trading","✓"))))))))))))</f>
        <v/>
      </c>
      <c r="I2382" s="19">
        <f>IF(OR(B2382="",C2382="",D2382=""),"",IFERROR(INDEX(catTipo,MATCH(D2382,catNom,0))&amp;"",""))</f>
        <v/>
      </c>
      <c r="J2382" s="19">
        <f>IF(I2382="","",IFERROR(INDEX(catGrupo,MATCH(D2382,catNom,0))&amp;"",""))</f>
        <v/>
      </c>
      <c r="K2382" s="19">
        <f>IF(I2382="Gasto",IF(IFERROR(INDEX(catClas,MATCH(D2382,catNom,0))&amp;"","")="","Variable",IFERROR(INDEX(catClas,MATCH(D2382,catNom,0))&amp;"","")),"")</f>
        <v/>
      </c>
      <c r="L2382" s="19">
        <f>IF(I2382="","",IFERROR(INDEX(catAlim,MATCH(D2382,catNom,0))&amp;"",""))</f>
        <v/>
      </c>
      <c r="M2382" s="19">
        <f>IF(I2382="","",IFERROR(INDEX(catComida,MATCH(D2382,catNom,0))&amp;"",""))</f>
        <v/>
      </c>
      <c r="N2382" s="19">
        <f>IF(I2382="","",IFERROR(INDEX(ctaMon,MATCH(E2382,ctaNom,0))&amp;"","DOP"))</f>
        <v/>
      </c>
      <c r="O2382" s="20">
        <f>IF(I2382="","",C2382*IF(N2382="USD",TasaUSD,1))</f>
        <v/>
      </c>
      <c r="P2382" s="20">
        <f>IF(I2382="","",IF(I2382="Gasto",O2382,0))</f>
        <v/>
      </c>
      <c r="Q2382" s="20">
        <f>IF(I2382="","",IF(I2382="Ingreso",O2382,0))</f>
        <v/>
      </c>
      <c r="R2382" s="20">
        <f>IF(I2382="","",IF(I2382="Trading",O2382,0))</f>
        <v/>
      </c>
      <c r="S2382" s="19">
        <f>IF(I2382="","",IF(AND(I2382="Gasto",K2382="Variable",J2382&lt;&gt;"Trading",O2382&gt;0,O2382&lt;=Umbral),1,0))</f>
        <v/>
      </c>
      <c r="T2382" s="20">
        <f>IF(OR(I2382="",E2382=""),"",IF(OR(I2382="Gasto",I2382="Transferencia",I2382="Pago tarjeta"),-1,1)*C2382)</f>
        <v/>
      </c>
      <c r="U2382" s="20">
        <f>IF(OR(G2382="",AND(I2382&lt;&gt;"Transferencia",I2382&lt;&gt;"Pago tarjeta")),"",IF(IFERROR(INDEX(ctaMon,MATCH(G2382,ctaNom,0))&amp;"","DOP")=N2382,C2382,IF(N2382="USD",C2382*TasaUSD,C2382/TasaUSD)))</f>
        <v/>
      </c>
      <c r="V2382" s="20">
        <f>IF(I2382="","",IF(IFERROR(INDEX(ctaLiq,MATCH(E2382,ctaNom,0))="Sí",FALSE),IF(OR(I2382="Gasto",I2382="Transferencia",I2382="Pago tarjeta"),-1,1)*O2382,0)+IF(AND(U2382&lt;&gt;"",IFERROR(INDEX(ctaLiq,MATCH(G2382,ctaNom,0))="Sí",FALSE)),O2382,0))</f>
        <v/>
      </c>
      <c r="W2382" s="19">
        <f>IF(OR(F2382="",I2382=""),"",IF(COUNTIFS(F$6:F2382,F2382,I$6:I2382,"?*")=1,MAX(W$5:W2381)+1,""))</f>
        <v/>
      </c>
    </row>
    <row r="2383">
      <c r="B2383" s="15" t="n"/>
      <c r="C2383" s="16" t="n"/>
      <c r="D2383" s="17" t="n"/>
      <c r="E2383" s="17" t="n"/>
      <c r="F2383" s="17" t="n"/>
      <c r="G2383" s="17" t="n"/>
      <c r="H2383" s="18">
        <f>IF(AND(B2383="",C2383="",D2383="",E2383=""),"",IF(B2383="","⚠ Falta fecha",IF(C2383="","⚠ Falta monto",IF(D2383="","⚠ Falta categoría",IF(ISNA(MATCH(D2383,catNom,0)),"⚠ Categoría no existe",IF(E2383="","⚠ Falta cuenta",IF(ISNA(MATCH(E2383,ctaNom,0)),"⚠ Cuenta no existe",IF(AND(OR(I2383="Transferencia",I2383="Pago tarjeta"),G2383=""),"⚠ Indica la cuenta «Hacia»",IF(AND(G2383&lt;&gt;"",G2383=E2383),"⚠ «Hacia» igual a la cuenta",IF(AND(G2383&lt;&gt;"",ISNA(MATCH(G2383,ctaNom,0))),"⚠ «Hacia» no existe",IF(AND(I2383="Pago tarjeta",IFERROR(INDEX(ctaTipo,MATCH(G2383,ctaNom,0)),"")&lt;&gt;"Tarjeta de crédito"),"⚠ «Hacia» debe ser la tarjeta",IF(AND(I2383="Trading",IFERROR(INDEX(ctaTipo,MATCH(E2383,ctaNom,0)),"")&lt;&gt;"Cuenta de trading"),"⚠ Usa la cuenta de trading","✓"))))))))))))</f>
        <v/>
      </c>
      <c r="I2383" s="19">
        <f>IF(OR(B2383="",C2383="",D2383=""),"",IFERROR(INDEX(catTipo,MATCH(D2383,catNom,0))&amp;"",""))</f>
        <v/>
      </c>
      <c r="J2383" s="19">
        <f>IF(I2383="","",IFERROR(INDEX(catGrupo,MATCH(D2383,catNom,0))&amp;"",""))</f>
        <v/>
      </c>
      <c r="K2383" s="19">
        <f>IF(I2383="Gasto",IF(IFERROR(INDEX(catClas,MATCH(D2383,catNom,0))&amp;"","")="","Variable",IFERROR(INDEX(catClas,MATCH(D2383,catNom,0))&amp;"","")),"")</f>
        <v/>
      </c>
      <c r="L2383" s="19">
        <f>IF(I2383="","",IFERROR(INDEX(catAlim,MATCH(D2383,catNom,0))&amp;"",""))</f>
        <v/>
      </c>
      <c r="M2383" s="19">
        <f>IF(I2383="","",IFERROR(INDEX(catComida,MATCH(D2383,catNom,0))&amp;"",""))</f>
        <v/>
      </c>
      <c r="N2383" s="19">
        <f>IF(I2383="","",IFERROR(INDEX(ctaMon,MATCH(E2383,ctaNom,0))&amp;"","DOP"))</f>
        <v/>
      </c>
      <c r="O2383" s="20">
        <f>IF(I2383="","",C2383*IF(N2383="USD",TasaUSD,1))</f>
        <v/>
      </c>
      <c r="P2383" s="20">
        <f>IF(I2383="","",IF(I2383="Gasto",O2383,0))</f>
        <v/>
      </c>
      <c r="Q2383" s="20">
        <f>IF(I2383="","",IF(I2383="Ingreso",O2383,0))</f>
        <v/>
      </c>
      <c r="R2383" s="20">
        <f>IF(I2383="","",IF(I2383="Trading",O2383,0))</f>
        <v/>
      </c>
      <c r="S2383" s="19">
        <f>IF(I2383="","",IF(AND(I2383="Gasto",K2383="Variable",J2383&lt;&gt;"Trading",O2383&gt;0,O2383&lt;=Umbral),1,0))</f>
        <v/>
      </c>
      <c r="T2383" s="20">
        <f>IF(OR(I2383="",E2383=""),"",IF(OR(I2383="Gasto",I2383="Transferencia",I2383="Pago tarjeta"),-1,1)*C2383)</f>
        <v/>
      </c>
      <c r="U2383" s="20">
        <f>IF(OR(G2383="",AND(I2383&lt;&gt;"Transferencia",I2383&lt;&gt;"Pago tarjeta")),"",IF(IFERROR(INDEX(ctaMon,MATCH(G2383,ctaNom,0))&amp;"","DOP")=N2383,C2383,IF(N2383="USD",C2383*TasaUSD,C2383/TasaUSD)))</f>
        <v/>
      </c>
      <c r="V2383" s="20">
        <f>IF(I2383="","",IF(IFERROR(INDEX(ctaLiq,MATCH(E2383,ctaNom,0))="Sí",FALSE),IF(OR(I2383="Gasto",I2383="Transferencia",I2383="Pago tarjeta"),-1,1)*O2383,0)+IF(AND(U2383&lt;&gt;"",IFERROR(INDEX(ctaLiq,MATCH(G2383,ctaNom,0))="Sí",FALSE)),O2383,0))</f>
        <v/>
      </c>
      <c r="W2383" s="19">
        <f>IF(OR(F2383="",I2383=""),"",IF(COUNTIFS(F$6:F2383,F2383,I$6:I2383,"?*")=1,MAX(W$5:W2382)+1,""))</f>
        <v/>
      </c>
    </row>
    <row r="2384">
      <c r="B2384" s="15" t="n"/>
      <c r="C2384" s="16" t="n"/>
      <c r="D2384" s="17" t="n"/>
      <c r="E2384" s="17" t="n"/>
      <c r="F2384" s="17" t="n"/>
      <c r="G2384" s="17" t="n"/>
      <c r="H2384" s="18">
        <f>IF(AND(B2384="",C2384="",D2384="",E2384=""),"",IF(B2384="","⚠ Falta fecha",IF(C2384="","⚠ Falta monto",IF(D2384="","⚠ Falta categoría",IF(ISNA(MATCH(D2384,catNom,0)),"⚠ Categoría no existe",IF(E2384="","⚠ Falta cuenta",IF(ISNA(MATCH(E2384,ctaNom,0)),"⚠ Cuenta no existe",IF(AND(OR(I2384="Transferencia",I2384="Pago tarjeta"),G2384=""),"⚠ Indica la cuenta «Hacia»",IF(AND(G2384&lt;&gt;"",G2384=E2384),"⚠ «Hacia» igual a la cuenta",IF(AND(G2384&lt;&gt;"",ISNA(MATCH(G2384,ctaNom,0))),"⚠ «Hacia» no existe",IF(AND(I2384="Pago tarjeta",IFERROR(INDEX(ctaTipo,MATCH(G2384,ctaNom,0)),"")&lt;&gt;"Tarjeta de crédito"),"⚠ «Hacia» debe ser la tarjeta",IF(AND(I2384="Trading",IFERROR(INDEX(ctaTipo,MATCH(E2384,ctaNom,0)),"")&lt;&gt;"Cuenta de trading"),"⚠ Usa la cuenta de trading","✓"))))))))))))</f>
        <v/>
      </c>
      <c r="I2384" s="19">
        <f>IF(OR(B2384="",C2384="",D2384=""),"",IFERROR(INDEX(catTipo,MATCH(D2384,catNom,0))&amp;"",""))</f>
        <v/>
      </c>
      <c r="J2384" s="19">
        <f>IF(I2384="","",IFERROR(INDEX(catGrupo,MATCH(D2384,catNom,0))&amp;"",""))</f>
        <v/>
      </c>
      <c r="K2384" s="19">
        <f>IF(I2384="Gasto",IF(IFERROR(INDEX(catClas,MATCH(D2384,catNom,0))&amp;"","")="","Variable",IFERROR(INDEX(catClas,MATCH(D2384,catNom,0))&amp;"","")),"")</f>
        <v/>
      </c>
      <c r="L2384" s="19">
        <f>IF(I2384="","",IFERROR(INDEX(catAlim,MATCH(D2384,catNom,0))&amp;"",""))</f>
        <v/>
      </c>
      <c r="M2384" s="19">
        <f>IF(I2384="","",IFERROR(INDEX(catComida,MATCH(D2384,catNom,0))&amp;"",""))</f>
        <v/>
      </c>
      <c r="N2384" s="19">
        <f>IF(I2384="","",IFERROR(INDEX(ctaMon,MATCH(E2384,ctaNom,0))&amp;"","DOP"))</f>
        <v/>
      </c>
      <c r="O2384" s="20">
        <f>IF(I2384="","",C2384*IF(N2384="USD",TasaUSD,1))</f>
        <v/>
      </c>
      <c r="P2384" s="20">
        <f>IF(I2384="","",IF(I2384="Gasto",O2384,0))</f>
        <v/>
      </c>
      <c r="Q2384" s="20">
        <f>IF(I2384="","",IF(I2384="Ingreso",O2384,0))</f>
        <v/>
      </c>
      <c r="R2384" s="20">
        <f>IF(I2384="","",IF(I2384="Trading",O2384,0))</f>
        <v/>
      </c>
      <c r="S2384" s="19">
        <f>IF(I2384="","",IF(AND(I2384="Gasto",K2384="Variable",J2384&lt;&gt;"Trading",O2384&gt;0,O2384&lt;=Umbral),1,0))</f>
        <v/>
      </c>
      <c r="T2384" s="20">
        <f>IF(OR(I2384="",E2384=""),"",IF(OR(I2384="Gasto",I2384="Transferencia",I2384="Pago tarjeta"),-1,1)*C2384)</f>
        <v/>
      </c>
      <c r="U2384" s="20">
        <f>IF(OR(G2384="",AND(I2384&lt;&gt;"Transferencia",I2384&lt;&gt;"Pago tarjeta")),"",IF(IFERROR(INDEX(ctaMon,MATCH(G2384,ctaNom,0))&amp;"","DOP")=N2384,C2384,IF(N2384="USD",C2384*TasaUSD,C2384/TasaUSD)))</f>
        <v/>
      </c>
      <c r="V2384" s="20">
        <f>IF(I2384="","",IF(IFERROR(INDEX(ctaLiq,MATCH(E2384,ctaNom,0))="Sí",FALSE),IF(OR(I2384="Gasto",I2384="Transferencia",I2384="Pago tarjeta"),-1,1)*O2384,0)+IF(AND(U2384&lt;&gt;"",IFERROR(INDEX(ctaLiq,MATCH(G2384,ctaNom,0))="Sí",FALSE)),O2384,0))</f>
        <v/>
      </c>
      <c r="W2384" s="19">
        <f>IF(OR(F2384="",I2384=""),"",IF(COUNTIFS(F$6:F2384,F2384,I$6:I2384,"?*")=1,MAX(W$5:W2383)+1,""))</f>
        <v/>
      </c>
    </row>
    <row r="2385">
      <c r="B2385" s="15" t="n"/>
      <c r="C2385" s="16" t="n"/>
      <c r="D2385" s="17" t="n"/>
      <c r="E2385" s="17" t="n"/>
      <c r="F2385" s="17" t="n"/>
      <c r="G2385" s="17" t="n"/>
      <c r="H2385" s="18">
        <f>IF(AND(B2385="",C2385="",D2385="",E2385=""),"",IF(B2385="","⚠ Falta fecha",IF(C2385="","⚠ Falta monto",IF(D2385="","⚠ Falta categoría",IF(ISNA(MATCH(D2385,catNom,0)),"⚠ Categoría no existe",IF(E2385="","⚠ Falta cuenta",IF(ISNA(MATCH(E2385,ctaNom,0)),"⚠ Cuenta no existe",IF(AND(OR(I2385="Transferencia",I2385="Pago tarjeta"),G2385=""),"⚠ Indica la cuenta «Hacia»",IF(AND(G2385&lt;&gt;"",G2385=E2385),"⚠ «Hacia» igual a la cuenta",IF(AND(G2385&lt;&gt;"",ISNA(MATCH(G2385,ctaNom,0))),"⚠ «Hacia» no existe",IF(AND(I2385="Pago tarjeta",IFERROR(INDEX(ctaTipo,MATCH(G2385,ctaNom,0)),"")&lt;&gt;"Tarjeta de crédito"),"⚠ «Hacia» debe ser la tarjeta",IF(AND(I2385="Trading",IFERROR(INDEX(ctaTipo,MATCH(E2385,ctaNom,0)),"")&lt;&gt;"Cuenta de trading"),"⚠ Usa la cuenta de trading","✓"))))))))))))</f>
        <v/>
      </c>
      <c r="I2385" s="19">
        <f>IF(OR(B2385="",C2385="",D2385=""),"",IFERROR(INDEX(catTipo,MATCH(D2385,catNom,0))&amp;"",""))</f>
        <v/>
      </c>
      <c r="J2385" s="19">
        <f>IF(I2385="","",IFERROR(INDEX(catGrupo,MATCH(D2385,catNom,0))&amp;"",""))</f>
        <v/>
      </c>
      <c r="K2385" s="19">
        <f>IF(I2385="Gasto",IF(IFERROR(INDEX(catClas,MATCH(D2385,catNom,0))&amp;"","")="","Variable",IFERROR(INDEX(catClas,MATCH(D2385,catNom,0))&amp;"","")),"")</f>
        <v/>
      </c>
      <c r="L2385" s="19">
        <f>IF(I2385="","",IFERROR(INDEX(catAlim,MATCH(D2385,catNom,0))&amp;"",""))</f>
        <v/>
      </c>
      <c r="M2385" s="19">
        <f>IF(I2385="","",IFERROR(INDEX(catComida,MATCH(D2385,catNom,0))&amp;"",""))</f>
        <v/>
      </c>
      <c r="N2385" s="19">
        <f>IF(I2385="","",IFERROR(INDEX(ctaMon,MATCH(E2385,ctaNom,0))&amp;"","DOP"))</f>
        <v/>
      </c>
      <c r="O2385" s="20">
        <f>IF(I2385="","",C2385*IF(N2385="USD",TasaUSD,1))</f>
        <v/>
      </c>
      <c r="P2385" s="20">
        <f>IF(I2385="","",IF(I2385="Gasto",O2385,0))</f>
        <v/>
      </c>
      <c r="Q2385" s="20">
        <f>IF(I2385="","",IF(I2385="Ingreso",O2385,0))</f>
        <v/>
      </c>
      <c r="R2385" s="20">
        <f>IF(I2385="","",IF(I2385="Trading",O2385,0))</f>
        <v/>
      </c>
      <c r="S2385" s="19">
        <f>IF(I2385="","",IF(AND(I2385="Gasto",K2385="Variable",J2385&lt;&gt;"Trading",O2385&gt;0,O2385&lt;=Umbral),1,0))</f>
        <v/>
      </c>
      <c r="T2385" s="20">
        <f>IF(OR(I2385="",E2385=""),"",IF(OR(I2385="Gasto",I2385="Transferencia",I2385="Pago tarjeta"),-1,1)*C2385)</f>
        <v/>
      </c>
      <c r="U2385" s="20">
        <f>IF(OR(G2385="",AND(I2385&lt;&gt;"Transferencia",I2385&lt;&gt;"Pago tarjeta")),"",IF(IFERROR(INDEX(ctaMon,MATCH(G2385,ctaNom,0))&amp;"","DOP")=N2385,C2385,IF(N2385="USD",C2385*TasaUSD,C2385/TasaUSD)))</f>
        <v/>
      </c>
      <c r="V2385" s="20">
        <f>IF(I2385="","",IF(IFERROR(INDEX(ctaLiq,MATCH(E2385,ctaNom,0))="Sí",FALSE),IF(OR(I2385="Gasto",I2385="Transferencia",I2385="Pago tarjeta"),-1,1)*O2385,0)+IF(AND(U2385&lt;&gt;"",IFERROR(INDEX(ctaLiq,MATCH(G2385,ctaNom,0))="Sí",FALSE)),O2385,0))</f>
        <v/>
      </c>
      <c r="W2385" s="19">
        <f>IF(OR(F2385="",I2385=""),"",IF(COUNTIFS(F$6:F2385,F2385,I$6:I2385,"?*")=1,MAX(W$5:W2384)+1,""))</f>
        <v/>
      </c>
    </row>
    <row r="2386">
      <c r="B2386" s="15" t="n"/>
      <c r="C2386" s="16" t="n"/>
      <c r="D2386" s="17" t="n"/>
      <c r="E2386" s="17" t="n"/>
      <c r="F2386" s="17" t="n"/>
      <c r="G2386" s="17" t="n"/>
      <c r="H2386" s="18">
        <f>IF(AND(B2386="",C2386="",D2386="",E2386=""),"",IF(B2386="","⚠ Falta fecha",IF(C2386="","⚠ Falta monto",IF(D2386="","⚠ Falta categoría",IF(ISNA(MATCH(D2386,catNom,0)),"⚠ Categoría no existe",IF(E2386="","⚠ Falta cuenta",IF(ISNA(MATCH(E2386,ctaNom,0)),"⚠ Cuenta no existe",IF(AND(OR(I2386="Transferencia",I2386="Pago tarjeta"),G2386=""),"⚠ Indica la cuenta «Hacia»",IF(AND(G2386&lt;&gt;"",G2386=E2386),"⚠ «Hacia» igual a la cuenta",IF(AND(G2386&lt;&gt;"",ISNA(MATCH(G2386,ctaNom,0))),"⚠ «Hacia» no existe",IF(AND(I2386="Pago tarjeta",IFERROR(INDEX(ctaTipo,MATCH(G2386,ctaNom,0)),"")&lt;&gt;"Tarjeta de crédito"),"⚠ «Hacia» debe ser la tarjeta",IF(AND(I2386="Trading",IFERROR(INDEX(ctaTipo,MATCH(E2386,ctaNom,0)),"")&lt;&gt;"Cuenta de trading"),"⚠ Usa la cuenta de trading","✓"))))))))))))</f>
        <v/>
      </c>
      <c r="I2386" s="19">
        <f>IF(OR(B2386="",C2386="",D2386=""),"",IFERROR(INDEX(catTipo,MATCH(D2386,catNom,0))&amp;"",""))</f>
        <v/>
      </c>
      <c r="J2386" s="19">
        <f>IF(I2386="","",IFERROR(INDEX(catGrupo,MATCH(D2386,catNom,0))&amp;"",""))</f>
        <v/>
      </c>
      <c r="K2386" s="19">
        <f>IF(I2386="Gasto",IF(IFERROR(INDEX(catClas,MATCH(D2386,catNom,0))&amp;"","")="","Variable",IFERROR(INDEX(catClas,MATCH(D2386,catNom,0))&amp;"","")),"")</f>
        <v/>
      </c>
      <c r="L2386" s="19">
        <f>IF(I2386="","",IFERROR(INDEX(catAlim,MATCH(D2386,catNom,0))&amp;"",""))</f>
        <v/>
      </c>
      <c r="M2386" s="19">
        <f>IF(I2386="","",IFERROR(INDEX(catComida,MATCH(D2386,catNom,0))&amp;"",""))</f>
        <v/>
      </c>
      <c r="N2386" s="19">
        <f>IF(I2386="","",IFERROR(INDEX(ctaMon,MATCH(E2386,ctaNom,0))&amp;"","DOP"))</f>
        <v/>
      </c>
      <c r="O2386" s="20">
        <f>IF(I2386="","",C2386*IF(N2386="USD",TasaUSD,1))</f>
        <v/>
      </c>
      <c r="P2386" s="20">
        <f>IF(I2386="","",IF(I2386="Gasto",O2386,0))</f>
        <v/>
      </c>
      <c r="Q2386" s="20">
        <f>IF(I2386="","",IF(I2386="Ingreso",O2386,0))</f>
        <v/>
      </c>
      <c r="R2386" s="20">
        <f>IF(I2386="","",IF(I2386="Trading",O2386,0))</f>
        <v/>
      </c>
      <c r="S2386" s="19">
        <f>IF(I2386="","",IF(AND(I2386="Gasto",K2386="Variable",J2386&lt;&gt;"Trading",O2386&gt;0,O2386&lt;=Umbral),1,0))</f>
        <v/>
      </c>
      <c r="T2386" s="20">
        <f>IF(OR(I2386="",E2386=""),"",IF(OR(I2386="Gasto",I2386="Transferencia",I2386="Pago tarjeta"),-1,1)*C2386)</f>
        <v/>
      </c>
      <c r="U2386" s="20">
        <f>IF(OR(G2386="",AND(I2386&lt;&gt;"Transferencia",I2386&lt;&gt;"Pago tarjeta")),"",IF(IFERROR(INDEX(ctaMon,MATCH(G2386,ctaNom,0))&amp;"","DOP")=N2386,C2386,IF(N2386="USD",C2386*TasaUSD,C2386/TasaUSD)))</f>
        <v/>
      </c>
      <c r="V2386" s="20">
        <f>IF(I2386="","",IF(IFERROR(INDEX(ctaLiq,MATCH(E2386,ctaNom,0))="Sí",FALSE),IF(OR(I2386="Gasto",I2386="Transferencia",I2386="Pago tarjeta"),-1,1)*O2386,0)+IF(AND(U2386&lt;&gt;"",IFERROR(INDEX(ctaLiq,MATCH(G2386,ctaNom,0))="Sí",FALSE)),O2386,0))</f>
        <v/>
      </c>
      <c r="W2386" s="19">
        <f>IF(OR(F2386="",I2386=""),"",IF(COUNTIFS(F$6:F2386,F2386,I$6:I2386,"?*")=1,MAX(W$5:W2385)+1,""))</f>
        <v/>
      </c>
    </row>
    <row r="2387">
      <c r="B2387" s="15" t="n"/>
      <c r="C2387" s="16" t="n"/>
      <c r="D2387" s="17" t="n"/>
      <c r="E2387" s="17" t="n"/>
      <c r="F2387" s="17" t="n"/>
      <c r="G2387" s="17" t="n"/>
      <c r="H2387" s="18">
        <f>IF(AND(B2387="",C2387="",D2387="",E2387=""),"",IF(B2387="","⚠ Falta fecha",IF(C2387="","⚠ Falta monto",IF(D2387="","⚠ Falta categoría",IF(ISNA(MATCH(D2387,catNom,0)),"⚠ Categoría no existe",IF(E2387="","⚠ Falta cuenta",IF(ISNA(MATCH(E2387,ctaNom,0)),"⚠ Cuenta no existe",IF(AND(OR(I2387="Transferencia",I2387="Pago tarjeta"),G2387=""),"⚠ Indica la cuenta «Hacia»",IF(AND(G2387&lt;&gt;"",G2387=E2387),"⚠ «Hacia» igual a la cuenta",IF(AND(G2387&lt;&gt;"",ISNA(MATCH(G2387,ctaNom,0))),"⚠ «Hacia» no existe",IF(AND(I2387="Pago tarjeta",IFERROR(INDEX(ctaTipo,MATCH(G2387,ctaNom,0)),"")&lt;&gt;"Tarjeta de crédito"),"⚠ «Hacia» debe ser la tarjeta",IF(AND(I2387="Trading",IFERROR(INDEX(ctaTipo,MATCH(E2387,ctaNom,0)),"")&lt;&gt;"Cuenta de trading"),"⚠ Usa la cuenta de trading","✓"))))))))))))</f>
        <v/>
      </c>
      <c r="I2387" s="19">
        <f>IF(OR(B2387="",C2387="",D2387=""),"",IFERROR(INDEX(catTipo,MATCH(D2387,catNom,0))&amp;"",""))</f>
        <v/>
      </c>
      <c r="J2387" s="19">
        <f>IF(I2387="","",IFERROR(INDEX(catGrupo,MATCH(D2387,catNom,0))&amp;"",""))</f>
        <v/>
      </c>
      <c r="K2387" s="19">
        <f>IF(I2387="Gasto",IF(IFERROR(INDEX(catClas,MATCH(D2387,catNom,0))&amp;"","")="","Variable",IFERROR(INDEX(catClas,MATCH(D2387,catNom,0))&amp;"","")),"")</f>
        <v/>
      </c>
      <c r="L2387" s="19">
        <f>IF(I2387="","",IFERROR(INDEX(catAlim,MATCH(D2387,catNom,0))&amp;"",""))</f>
        <v/>
      </c>
      <c r="M2387" s="19">
        <f>IF(I2387="","",IFERROR(INDEX(catComida,MATCH(D2387,catNom,0))&amp;"",""))</f>
        <v/>
      </c>
      <c r="N2387" s="19">
        <f>IF(I2387="","",IFERROR(INDEX(ctaMon,MATCH(E2387,ctaNom,0))&amp;"","DOP"))</f>
        <v/>
      </c>
      <c r="O2387" s="20">
        <f>IF(I2387="","",C2387*IF(N2387="USD",TasaUSD,1))</f>
        <v/>
      </c>
      <c r="P2387" s="20">
        <f>IF(I2387="","",IF(I2387="Gasto",O2387,0))</f>
        <v/>
      </c>
      <c r="Q2387" s="20">
        <f>IF(I2387="","",IF(I2387="Ingreso",O2387,0))</f>
        <v/>
      </c>
      <c r="R2387" s="20">
        <f>IF(I2387="","",IF(I2387="Trading",O2387,0))</f>
        <v/>
      </c>
      <c r="S2387" s="19">
        <f>IF(I2387="","",IF(AND(I2387="Gasto",K2387="Variable",J2387&lt;&gt;"Trading",O2387&gt;0,O2387&lt;=Umbral),1,0))</f>
        <v/>
      </c>
      <c r="T2387" s="20">
        <f>IF(OR(I2387="",E2387=""),"",IF(OR(I2387="Gasto",I2387="Transferencia",I2387="Pago tarjeta"),-1,1)*C2387)</f>
        <v/>
      </c>
      <c r="U2387" s="20">
        <f>IF(OR(G2387="",AND(I2387&lt;&gt;"Transferencia",I2387&lt;&gt;"Pago tarjeta")),"",IF(IFERROR(INDEX(ctaMon,MATCH(G2387,ctaNom,0))&amp;"","DOP")=N2387,C2387,IF(N2387="USD",C2387*TasaUSD,C2387/TasaUSD)))</f>
        <v/>
      </c>
      <c r="V2387" s="20">
        <f>IF(I2387="","",IF(IFERROR(INDEX(ctaLiq,MATCH(E2387,ctaNom,0))="Sí",FALSE),IF(OR(I2387="Gasto",I2387="Transferencia",I2387="Pago tarjeta"),-1,1)*O2387,0)+IF(AND(U2387&lt;&gt;"",IFERROR(INDEX(ctaLiq,MATCH(G2387,ctaNom,0))="Sí",FALSE)),O2387,0))</f>
        <v/>
      </c>
      <c r="W2387" s="19">
        <f>IF(OR(F2387="",I2387=""),"",IF(COUNTIFS(F$6:F2387,F2387,I$6:I2387,"?*")=1,MAX(W$5:W2386)+1,""))</f>
        <v/>
      </c>
    </row>
    <row r="2388">
      <c r="B2388" s="15" t="n"/>
      <c r="C2388" s="16" t="n"/>
      <c r="D2388" s="17" t="n"/>
      <c r="E2388" s="17" t="n"/>
      <c r="F2388" s="17" t="n"/>
      <c r="G2388" s="17" t="n"/>
      <c r="H2388" s="18">
        <f>IF(AND(B2388="",C2388="",D2388="",E2388=""),"",IF(B2388="","⚠ Falta fecha",IF(C2388="","⚠ Falta monto",IF(D2388="","⚠ Falta categoría",IF(ISNA(MATCH(D2388,catNom,0)),"⚠ Categoría no existe",IF(E2388="","⚠ Falta cuenta",IF(ISNA(MATCH(E2388,ctaNom,0)),"⚠ Cuenta no existe",IF(AND(OR(I2388="Transferencia",I2388="Pago tarjeta"),G2388=""),"⚠ Indica la cuenta «Hacia»",IF(AND(G2388&lt;&gt;"",G2388=E2388),"⚠ «Hacia» igual a la cuenta",IF(AND(G2388&lt;&gt;"",ISNA(MATCH(G2388,ctaNom,0))),"⚠ «Hacia» no existe",IF(AND(I2388="Pago tarjeta",IFERROR(INDEX(ctaTipo,MATCH(G2388,ctaNom,0)),"")&lt;&gt;"Tarjeta de crédito"),"⚠ «Hacia» debe ser la tarjeta",IF(AND(I2388="Trading",IFERROR(INDEX(ctaTipo,MATCH(E2388,ctaNom,0)),"")&lt;&gt;"Cuenta de trading"),"⚠ Usa la cuenta de trading","✓"))))))))))))</f>
        <v/>
      </c>
      <c r="I2388" s="19">
        <f>IF(OR(B2388="",C2388="",D2388=""),"",IFERROR(INDEX(catTipo,MATCH(D2388,catNom,0))&amp;"",""))</f>
        <v/>
      </c>
      <c r="J2388" s="19">
        <f>IF(I2388="","",IFERROR(INDEX(catGrupo,MATCH(D2388,catNom,0))&amp;"",""))</f>
        <v/>
      </c>
      <c r="K2388" s="19">
        <f>IF(I2388="Gasto",IF(IFERROR(INDEX(catClas,MATCH(D2388,catNom,0))&amp;"","")="","Variable",IFERROR(INDEX(catClas,MATCH(D2388,catNom,0))&amp;"","")),"")</f>
        <v/>
      </c>
      <c r="L2388" s="19">
        <f>IF(I2388="","",IFERROR(INDEX(catAlim,MATCH(D2388,catNom,0))&amp;"",""))</f>
        <v/>
      </c>
      <c r="M2388" s="19">
        <f>IF(I2388="","",IFERROR(INDEX(catComida,MATCH(D2388,catNom,0))&amp;"",""))</f>
        <v/>
      </c>
      <c r="N2388" s="19">
        <f>IF(I2388="","",IFERROR(INDEX(ctaMon,MATCH(E2388,ctaNom,0))&amp;"","DOP"))</f>
        <v/>
      </c>
      <c r="O2388" s="20">
        <f>IF(I2388="","",C2388*IF(N2388="USD",TasaUSD,1))</f>
        <v/>
      </c>
      <c r="P2388" s="20">
        <f>IF(I2388="","",IF(I2388="Gasto",O2388,0))</f>
        <v/>
      </c>
      <c r="Q2388" s="20">
        <f>IF(I2388="","",IF(I2388="Ingreso",O2388,0))</f>
        <v/>
      </c>
      <c r="R2388" s="20">
        <f>IF(I2388="","",IF(I2388="Trading",O2388,0))</f>
        <v/>
      </c>
      <c r="S2388" s="19">
        <f>IF(I2388="","",IF(AND(I2388="Gasto",K2388="Variable",J2388&lt;&gt;"Trading",O2388&gt;0,O2388&lt;=Umbral),1,0))</f>
        <v/>
      </c>
      <c r="T2388" s="20">
        <f>IF(OR(I2388="",E2388=""),"",IF(OR(I2388="Gasto",I2388="Transferencia",I2388="Pago tarjeta"),-1,1)*C2388)</f>
        <v/>
      </c>
      <c r="U2388" s="20">
        <f>IF(OR(G2388="",AND(I2388&lt;&gt;"Transferencia",I2388&lt;&gt;"Pago tarjeta")),"",IF(IFERROR(INDEX(ctaMon,MATCH(G2388,ctaNom,0))&amp;"","DOP")=N2388,C2388,IF(N2388="USD",C2388*TasaUSD,C2388/TasaUSD)))</f>
        <v/>
      </c>
      <c r="V2388" s="20">
        <f>IF(I2388="","",IF(IFERROR(INDEX(ctaLiq,MATCH(E2388,ctaNom,0))="Sí",FALSE),IF(OR(I2388="Gasto",I2388="Transferencia",I2388="Pago tarjeta"),-1,1)*O2388,0)+IF(AND(U2388&lt;&gt;"",IFERROR(INDEX(ctaLiq,MATCH(G2388,ctaNom,0))="Sí",FALSE)),O2388,0))</f>
        <v/>
      </c>
      <c r="W2388" s="19">
        <f>IF(OR(F2388="",I2388=""),"",IF(COUNTIFS(F$6:F2388,F2388,I$6:I2388,"?*")=1,MAX(W$5:W2387)+1,""))</f>
        <v/>
      </c>
    </row>
    <row r="2389">
      <c r="B2389" s="15" t="n"/>
      <c r="C2389" s="16" t="n"/>
      <c r="D2389" s="17" t="n"/>
      <c r="E2389" s="17" t="n"/>
      <c r="F2389" s="17" t="n"/>
      <c r="G2389" s="17" t="n"/>
      <c r="H2389" s="18">
        <f>IF(AND(B2389="",C2389="",D2389="",E2389=""),"",IF(B2389="","⚠ Falta fecha",IF(C2389="","⚠ Falta monto",IF(D2389="","⚠ Falta categoría",IF(ISNA(MATCH(D2389,catNom,0)),"⚠ Categoría no existe",IF(E2389="","⚠ Falta cuenta",IF(ISNA(MATCH(E2389,ctaNom,0)),"⚠ Cuenta no existe",IF(AND(OR(I2389="Transferencia",I2389="Pago tarjeta"),G2389=""),"⚠ Indica la cuenta «Hacia»",IF(AND(G2389&lt;&gt;"",G2389=E2389),"⚠ «Hacia» igual a la cuenta",IF(AND(G2389&lt;&gt;"",ISNA(MATCH(G2389,ctaNom,0))),"⚠ «Hacia» no existe",IF(AND(I2389="Pago tarjeta",IFERROR(INDEX(ctaTipo,MATCH(G2389,ctaNom,0)),"")&lt;&gt;"Tarjeta de crédito"),"⚠ «Hacia» debe ser la tarjeta",IF(AND(I2389="Trading",IFERROR(INDEX(ctaTipo,MATCH(E2389,ctaNom,0)),"")&lt;&gt;"Cuenta de trading"),"⚠ Usa la cuenta de trading","✓"))))))))))))</f>
        <v/>
      </c>
      <c r="I2389" s="19">
        <f>IF(OR(B2389="",C2389="",D2389=""),"",IFERROR(INDEX(catTipo,MATCH(D2389,catNom,0))&amp;"",""))</f>
        <v/>
      </c>
      <c r="J2389" s="19">
        <f>IF(I2389="","",IFERROR(INDEX(catGrupo,MATCH(D2389,catNom,0))&amp;"",""))</f>
        <v/>
      </c>
      <c r="K2389" s="19">
        <f>IF(I2389="Gasto",IF(IFERROR(INDEX(catClas,MATCH(D2389,catNom,0))&amp;"","")="","Variable",IFERROR(INDEX(catClas,MATCH(D2389,catNom,0))&amp;"","")),"")</f>
        <v/>
      </c>
      <c r="L2389" s="19">
        <f>IF(I2389="","",IFERROR(INDEX(catAlim,MATCH(D2389,catNom,0))&amp;"",""))</f>
        <v/>
      </c>
      <c r="M2389" s="19">
        <f>IF(I2389="","",IFERROR(INDEX(catComida,MATCH(D2389,catNom,0))&amp;"",""))</f>
        <v/>
      </c>
      <c r="N2389" s="19">
        <f>IF(I2389="","",IFERROR(INDEX(ctaMon,MATCH(E2389,ctaNom,0))&amp;"","DOP"))</f>
        <v/>
      </c>
      <c r="O2389" s="20">
        <f>IF(I2389="","",C2389*IF(N2389="USD",TasaUSD,1))</f>
        <v/>
      </c>
      <c r="P2389" s="20">
        <f>IF(I2389="","",IF(I2389="Gasto",O2389,0))</f>
        <v/>
      </c>
      <c r="Q2389" s="20">
        <f>IF(I2389="","",IF(I2389="Ingreso",O2389,0))</f>
        <v/>
      </c>
      <c r="R2389" s="20">
        <f>IF(I2389="","",IF(I2389="Trading",O2389,0))</f>
        <v/>
      </c>
      <c r="S2389" s="19">
        <f>IF(I2389="","",IF(AND(I2389="Gasto",K2389="Variable",J2389&lt;&gt;"Trading",O2389&gt;0,O2389&lt;=Umbral),1,0))</f>
        <v/>
      </c>
      <c r="T2389" s="20">
        <f>IF(OR(I2389="",E2389=""),"",IF(OR(I2389="Gasto",I2389="Transferencia",I2389="Pago tarjeta"),-1,1)*C2389)</f>
        <v/>
      </c>
      <c r="U2389" s="20">
        <f>IF(OR(G2389="",AND(I2389&lt;&gt;"Transferencia",I2389&lt;&gt;"Pago tarjeta")),"",IF(IFERROR(INDEX(ctaMon,MATCH(G2389,ctaNom,0))&amp;"","DOP")=N2389,C2389,IF(N2389="USD",C2389*TasaUSD,C2389/TasaUSD)))</f>
        <v/>
      </c>
      <c r="V2389" s="20">
        <f>IF(I2389="","",IF(IFERROR(INDEX(ctaLiq,MATCH(E2389,ctaNom,0))="Sí",FALSE),IF(OR(I2389="Gasto",I2389="Transferencia",I2389="Pago tarjeta"),-1,1)*O2389,0)+IF(AND(U2389&lt;&gt;"",IFERROR(INDEX(ctaLiq,MATCH(G2389,ctaNom,0))="Sí",FALSE)),O2389,0))</f>
        <v/>
      </c>
      <c r="W2389" s="19">
        <f>IF(OR(F2389="",I2389=""),"",IF(COUNTIFS(F$6:F2389,F2389,I$6:I2389,"?*")=1,MAX(W$5:W2388)+1,""))</f>
        <v/>
      </c>
    </row>
    <row r="2390">
      <c r="B2390" s="15" t="n"/>
      <c r="C2390" s="16" t="n"/>
      <c r="D2390" s="17" t="n"/>
      <c r="E2390" s="17" t="n"/>
      <c r="F2390" s="17" t="n"/>
      <c r="G2390" s="17" t="n"/>
      <c r="H2390" s="18">
        <f>IF(AND(B2390="",C2390="",D2390="",E2390=""),"",IF(B2390="","⚠ Falta fecha",IF(C2390="","⚠ Falta monto",IF(D2390="","⚠ Falta categoría",IF(ISNA(MATCH(D2390,catNom,0)),"⚠ Categoría no existe",IF(E2390="","⚠ Falta cuenta",IF(ISNA(MATCH(E2390,ctaNom,0)),"⚠ Cuenta no existe",IF(AND(OR(I2390="Transferencia",I2390="Pago tarjeta"),G2390=""),"⚠ Indica la cuenta «Hacia»",IF(AND(G2390&lt;&gt;"",G2390=E2390),"⚠ «Hacia» igual a la cuenta",IF(AND(G2390&lt;&gt;"",ISNA(MATCH(G2390,ctaNom,0))),"⚠ «Hacia» no existe",IF(AND(I2390="Pago tarjeta",IFERROR(INDEX(ctaTipo,MATCH(G2390,ctaNom,0)),"")&lt;&gt;"Tarjeta de crédito"),"⚠ «Hacia» debe ser la tarjeta",IF(AND(I2390="Trading",IFERROR(INDEX(ctaTipo,MATCH(E2390,ctaNom,0)),"")&lt;&gt;"Cuenta de trading"),"⚠ Usa la cuenta de trading","✓"))))))))))))</f>
        <v/>
      </c>
      <c r="I2390" s="19">
        <f>IF(OR(B2390="",C2390="",D2390=""),"",IFERROR(INDEX(catTipo,MATCH(D2390,catNom,0))&amp;"",""))</f>
        <v/>
      </c>
      <c r="J2390" s="19">
        <f>IF(I2390="","",IFERROR(INDEX(catGrupo,MATCH(D2390,catNom,0))&amp;"",""))</f>
        <v/>
      </c>
      <c r="K2390" s="19">
        <f>IF(I2390="Gasto",IF(IFERROR(INDEX(catClas,MATCH(D2390,catNom,0))&amp;"","")="","Variable",IFERROR(INDEX(catClas,MATCH(D2390,catNom,0))&amp;"","")),"")</f>
        <v/>
      </c>
      <c r="L2390" s="19">
        <f>IF(I2390="","",IFERROR(INDEX(catAlim,MATCH(D2390,catNom,0))&amp;"",""))</f>
        <v/>
      </c>
      <c r="M2390" s="19">
        <f>IF(I2390="","",IFERROR(INDEX(catComida,MATCH(D2390,catNom,0))&amp;"",""))</f>
        <v/>
      </c>
      <c r="N2390" s="19">
        <f>IF(I2390="","",IFERROR(INDEX(ctaMon,MATCH(E2390,ctaNom,0))&amp;"","DOP"))</f>
        <v/>
      </c>
      <c r="O2390" s="20">
        <f>IF(I2390="","",C2390*IF(N2390="USD",TasaUSD,1))</f>
        <v/>
      </c>
      <c r="P2390" s="20">
        <f>IF(I2390="","",IF(I2390="Gasto",O2390,0))</f>
        <v/>
      </c>
      <c r="Q2390" s="20">
        <f>IF(I2390="","",IF(I2390="Ingreso",O2390,0))</f>
        <v/>
      </c>
      <c r="R2390" s="20">
        <f>IF(I2390="","",IF(I2390="Trading",O2390,0))</f>
        <v/>
      </c>
      <c r="S2390" s="19">
        <f>IF(I2390="","",IF(AND(I2390="Gasto",K2390="Variable",J2390&lt;&gt;"Trading",O2390&gt;0,O2390&lt;=Umbral),1,0))</f>
        <v/>
      </c>
      <c r="T2390" s="20">
        <f>IF(OR(I2390="",E2390=""),"",IF(OR(I2390="Gasto",I2390="Transferencia",I2390="Pago tarjeta"),-1,1)*C2390)</f>
        <v/>
      </c>
      <c r="U2390" s="20">
        <f>IF(OR(G2390="",AND(I2390&lt;&gt;"Transferencia",I2390&lt;&gt;"Pago tarjeta")),"",IF(IFERROR(INDEX(ctaMon,MATCH(G2390,ctaNom,0))&amp;"","DOP")=N2390,C2390,IF(N2390="USD",C2390*TasaUSD,C2390/TasaUSD)))</f>
        <v/>
      </c>
      <c r="V2390" s="20">
        <f>IF(I2390="","",IF(IFERROR(INDEX(ctaLiq,MATCH(E2390,ctaNom,0))="Sí",FALSE),IF(OR(I2390="Gasto",I2390="Transferencia",I2390="Pago tarjeta"),-1,1)*O2390,0)+IF(AND(U2390&lt;&gt;"",IFERROR(INDEX(ctaLiq,MATCH(G2390,ctaNom,0))="Sí",FALSE)),O2390,0))</f>
        <v/>
      </c>
      <c r="W2390" s="19">
        <f>IF(OR(F2390="",I2390=""),"",IF(COUNTIFS(F$6:F2390,F2390,I$6:I2390,"?*")=1,MAX(W$5:W2389)+1,""))</f>
        <v/>
      </c>
    </row>
    <row r="2391">
      <c r="B2391" s="15" t="n"/>
      <c r="C2391" s="16" t="n"/>
      <c r="D2391" s="17" t="n"/>
      <c r="E2391" s="17" t="n"/>
      <c r="F2391" s="17" t="n"/>
      <c r="G2391" s="17" t="n"/>
      <c r="H2391" s="18">
        <f>IF(AND(B2391="",C2391="",D2391="",E2391=""),"",IF(B2391="","⚠ Falta fecha",IF(C2391="","⚠ Falta monto",IF(D2391="","⚠ Falta categoría",IF(ISNA(MATCH(D2391,catNom,0)),"⚠ Categoría no existe",IF(E2391="","⚠ Falta cuenta",IF(ISNA(MATCH(E2391,ctaNom,0)),"⚠ Cuenta no existe",IF(AND(OR(I2391="Transferencia",I2391="Pago tarjeta"),G2391=""),"⚠ Indica la cuenta «Hacia»",IF(AND(G2391&lt;&gt;"",G2391=E2391),"⚠ «Hacia» igual a la cuenta",IF(AND(G2391&lt;&gt;"",ISNA(MATCH(G2391,ctaNom,0))),"⚠ «Hacia» no existe",IF(AND(I2391="Pago tarjeta",IFERROR(INDEX(ctaTipo,MATCH(G2391,ctaNom,0)),"")&lt;&gt;"Tarjeta de crédito"),"⚠ «Hacia» debe ser la tarjeta",IF(AND(I2391="Trading",IFERROR(INDEX(ctaTipo,MATCH(E2391,ctaNom,0)),"")&lt;&gt;"Cuenta de trading"),"⚠ Usa la cuenta de trading","✓"))))))))))))</f>
        <v/>
      </c>
      <c r="I2391" s="19">
        <f>IF(OR(B2391="",C2391="",D2391=""),"",IFERROR(INDEX(catTipo,MATCH(D2391,catNom,0))&amp;"",""))</f>
        <v/>
      </c>
      <c r="J2391" s="19">
        <f>IF(I2391="","",IFERROR(INDEX(catGrupo,MATCH(D2391,catNom,0))&amp;"",""))</f>
        <v/>
      </c>
      <c r="K2391" s="19">
        <f>IF(I2391="Gasto",IF(IFERROR(INDEX(catClas,MATCH(D2391,catNom,0))&amp;"","")="","Variable",IFERROR(INDEX(catClas,MATCH(D2391,catNom,0))&amp;"","")),"")</f>
        <v/>
      </c>
      <c r="L2391" s="19">
        <f>IF(I2391="","",IFERROR(INDEX(catAlim,MATCH(D2391,catNom,0))&amp;"",""))</f>
        <v/>
      </c>
      <c r="M2391" s="19">
        <f>IF(I2391="","",IFERROR(INDEX(catComida,MATCH(D2391,catNom,0))&amp;"",""))</f>
        <v/>
      </c>
      <c r="N2391" s="19">
        <f>IF(I2391="","",IFERROR(INDEX(ctaMon,MATCH(E2391,ctaNom,0))&amp;"","DOP"))</f>
        <v/>
      </c>
      <c r="O2391" s="20">
        <f>IF(I2391="","",C2391*IF(N2391="USD",TasaUSD,1))</f>
        <v/>
      </c>
      <c r="P2391" s="20">
        <f>IF(I2391="","",IF(I2391="Gasto",O2391,0))</f>
        <v/>
      </c>
      <c r="Q2391" s="20">
        <f>IF(I2391="","",IF(I2391="Ingreso",O2391,0))</f>
        <v/>
      </c>
      <c r="R2391" s="20">
        <f>IF(I2391="","",IF(I2391="Trading",O2391,0))</f>
        <v/>
      </c>
      <c r="S2391" s="19">
        <f>IF(I2391="","",IF(AND(I2391="Gasto",K2391="Variable",J2391&lt;&gt;"Trading",O2391&gt;0,O2391&lt;=Umbral),1,0))</f>
        <v/>
      </c>
      <c r="T2391" s="20">
        <f>IF(OR(I2391="",E2391=""),"",IF(OR(I2391="Gasto",I2391="Transferencia",I2391="Pago tarjeta"),-1,1)*C2391)</f>
        <v/>
      </c>
      <c r="U2391" s="20">
        <f>IF(OR(G2391="",AND(I2391&lt;&gt;"Transferencia",I2391&lt;&gt;"Pago tarjeta")),"",IF(IFERROR(INDEX(ctaMon,MATCH(G2391,ctaNom,0))&amp;"","DOP")=N2391,C2391,IF(N2391="USD",C2391*TasaUSD,C2391/TasaUSD)))</f>
        <v/>
      </c>
      <c r="V2391" s="20">
        <f>IF(I2391="","",IF(IFERROR(INDEX(ctaLiq,MATCH(E2391,ctaNom,0))="Sí",FALSE),IF(OR(I2391="Gasto",I2391="Transferencia",I2391="Pago tarjeta"),-1,1)*O2391,0)+IF(AND(U2391&lt;&gt;"",IFERROR(INDEX(ctaLiq,MATCH(G2391,ctaNom,0))="Sí",FALSE)),O2391,0))</f>
        <v/>
      </c>
      <c r="W2391" s="19">
        <f>IF(OR(F2391="",I2391=""),"",IF(COUNTIFS(F$6:F2391,F2391,I$6:I2391,"?*")=1,MAX(W$5:W2390)+1,""))</f>
        <v/>
      </c>
    </row>
    <row r="2392">
      <c r="B2392" s="15" t="n"/>
      <c r="C2392" s="16" t="n"/>
      <c r="D2392" s="17" t="n"/>
      <c r="E2392" s="17" t="n"/>
      <c r="F2392" s="17" t="n"/>
      <c r="G2392" s="17" t="n"/>
      <c r="H2392" s="18">
        <f>IF(AND(B2392="",C2392="",D2392="",E2392=""),"",IF(B2392="","⚠ Falta fecha",IF(C2392="","⚠ Falta monto",IF(D2392="","⚠ Falta categoría",IF(ISNA(MATCH(D2392,catNom,0)),"⚠ Categoría no existe",IF(E2392="","⚠ Falta cuenta",IF(ISNA(MATCH(E2392,ctaNom,0)),"⚠ Cuenta no existe",IF(AND(OR(I2392="Transferencia",I2392="Pago tarjeta"),G2392=""),"⚠ Indica la cuenta «Hacia»",IF(AND(G2392&lt;&gt;"",G2392=E2392),"⚠ «Hacia» igual a la cuenta",IF(AND(G2392&lt;&gt;"",ISNA(MATCH(G2392,ctaNom,0))),"⚠ «Hacia» no existe",IF(AND(I2392="Pago tarjeta",IFERROR(INDEX(ctaTipo,MATCH(G2392,ctaNom,0)),"")&lt;&gt;"Tarjeta de crédito"),"⚠ «Hacia» debe ser la tarjeta",IF(AND(I2392="Trading",IFERROR(INDEX(ctaTipo,MATCH(E2392,ctaNom,0)),"")&lt;&gt;"Cuenta de trading"),"⚠ Usa la cuenta de trading","✓"))))))))))))</f>
        <v/>
      </c>
      <c r="I2392" s="19">
        <f>IF(OR(B2392="",C2392="",D2392=""),"",IFERROR(INDEX(catTipo,MATCH(D2392,catNom,0))&amp;"",""))</f>
        <v/>
      </c>
      <c r="J2392" s="19">
        <f>IF(I2392="","",IFERROR(INDEX(catGrupo,MATCH(D2392,catNom,0))&amp;"",""))</f>
        <v/>
      </c>
      <c r="K2392" s="19">
        <f>IF(I2392="Gasto",IF(IFERROR(INDEX(catClas,MATCH(D2392,catNom,0))&amp;"","")="","Variable",IFERROR(INDEX(catClas,MATCH(D2392,catNom,0))&amp;"","")),"")</f>
        <v/>
      </c>
      <c r="L2392" s="19">
        <f>IF(I2392="","",IFERROR(INDEX(catAlim,MATCH(D2392,catNom,0))&amp;"",""))</f>
        <v/>
      </c>
      <c r="M2392" s="19">
        <f>IF(I2392="","",IFERROR(INDEX(catComida,MATCH(D2392,catNom,0))&amp;"",""))</f>
        <v/>
      </c>
      <c r="N2392" s="19">
        <f>IF(I2392="","",IFERROR(INDEX(ctaMon,MATCH(E2392,ctaNom,0))&amp;"","DOP"))</f>
        <v/>
      </c>
      <c r="O2392" s="20">
        <f>IF(I2392="","",C2392*IF(N2392="USD",TasaUSD,1))</f>
        <v/>
      </c>
      <c r="P2392" s="20">
        <f>IF(I2392="","",IF(I2392="Gasto",O2392,0))</f>
        <v/>
      </c>
      <c r="Q2392" s="20">
        <f>IF(I2392="","",IF(I2392="Ingreso",O2392,0))</f>
        <v/>
      </c>
      <c r="R2392" s="20">
        <f>IF(I2392="","",IF(I2392="Trading",O2392,0))</f>
        <v/>
      </c>
      <c r="S2392" s="19">
        <f>IF(I2392="","",IF(AND(I2392="Gasto",K2392="Variable",J2392&lt;&gt;"Trading",O2392&gt;0,O2392&lt;=Umbral),1,0))</f>
        <v/>
      </c>
      <c r="T2392" s="20">
        <f>IF(OR(I2392="",E2392=""),"",IF(OR(I2392="Gasto",I2392="Transferencia",I2392="Pago tarjeta"),-1,1)*C2392)</f>
        <v/>
      </c>
      <c r="U2392" s="20">
        <f>IF(OR(G2392="",AND(I2392&lt;&gt;"Transferencia",I2392&lt;&gt;"Pago tarjeta")),"",IF(IFERROR(INDEX(ctaMon,MATCH(G2392,ctaNom,0))&amp;"","DOP")=N2392,C2392,IF(N2392="USD",C2392*TasaUSD,C2392/TasaUSD)))</f>
        <v/>
      </c>
      <c r="V2392" s="20">
        <f>IF(I2392="","",IF(IFERROR(INDEX(ctaLiq,MATCH(E2392,ctaNom,0))="Sí",FALSE),IF(OR(I2392="Gasto",I2392="Transferencia",I2392="Pago tarjeta"),-1,1)*O2392,0)+IF(AND(U2392&lt;&gt;"",IFERROR(INDEX(ctaLiq,MATCH(G2392,ctaNom,0))="Sí",FALSE)),O2392,0))</f>
        <v/>
      </c>
      <c r="W2392" s="19">
        <f>IF(OR(F2392="",I2392=""),"",IF(COUNTIFS(F$6:F2392,F2392,I$6:I2392,"?*")=1,MAX(W$5:W2391)+1,""))</f>
        <v/>
      </c>
    </row>
    <row r="2393">
      <c r="B2393" s="15" t="n"/>
      <c r="C2393" s="16" t="n"/>
      <c r="D2393" s="17" t="n"/>
      <c r="E2393" s="17" t="n"/>
      <c r="F2393" s="17" t="n"/>
      <c r="G2393" s="17" t="n"/>
      <c r="H2393" s="18">
        <f>IF(AND(B2393="",C2393="",D2393="",E2393=""),"",IF(B2393="","⚠ Falta fecha",IF(C2393="","⚠ Falta monto",IF(D2393="","⚠ Falta categoría",IF(ISNA(MATCH(D2393,catNom,0)),"⚠ Categoría no existe",IF(E2393="","⚠ Falta cuenta",IF(ISNA(MATCH(E2393,ctaNom,0)),"⚠ Cuenta no existe",IF(AND(OR(I2393="Transferencia",I2393="Pago tarjeta"),G2393=""),"⚠ Indica la cuenta «Hacia»",IF(AND(G2393&lt;&gt;"",G2393=E2393),"⚠ «Hacia» igual a la cuenta",IF(AND(G2393&lt;&gt;"",ISNA(MATCH(G2393,ctaNom,0))),"⚠ «Hacia» no existe",IF(AND(I2393="Pago tarjeta",IFERROR(INDEX(ctaTipo,MATCH(G2393,ctaNom,0)),"")&lt;&gt;"Tarjeta de crédito"),"⚠ «Hacia» debe ser la tarjeta",IF(AND(I2393="Trading",IFERROR(INDEX(ctaTipo,MATCH(E2393,ctaNom,0)),"")&lt;&gt;"Cuenta de trading"),"⚠ Usa la cuenta de trading","✓"))))))))))))</f>
        <v/>
      </c>
      <c r="I2393" s="19">
        <f>IF(OR(B2393="",C2393="",D2393=""),"",IFERROR(INDEX(catTipo,MATCH(D2393,catNom,0))&amp;"",""))</f>
        <v/>
      </c>
      <c r="J2393" s="19">
        <f>IF(I2393="","",IFERROR(INDEX(catGrupo,MATCH(D2393,catNom,0))&amp;"",""))</f>
        <v/>
      </c>
      <c r="K2393" s="19">
        <f>IF(I2393="Gasto",IF(IFERROR(INDEX(catClas,MATCH(D2393,catNom,0))&amp;"","")="","Variable",IFERROR(INDEX(catClas,MATCH(D2393,catNom,0))&amp;"","")),"")</f>
        <v/>
      </c>
      <c r="L2393" s="19">
        <f>IF(I2393="","",IFERROR(INDEX(catAlim,MATCH(D2393,catNom,0))&amp;"",""))</f>
        <v/>
      </c>
      <c r="M2393" s="19">
        <f>IF(I2393="","",IFERROR(INDEX(catComida,MATCH(D2393,catNom,0))&amp;"",""))</f>
        <v/>
      </c>
      <c r="N2393" s="19">
        <f>IF(I2393="","",IFERROR(INDEX(ctaMon,MATCH(E2393,ctaNom,0))&amp;"","DOP"))</f>
        <v/>
      </c>
      <c r="O2393" s="20">
        <f>IF(I2393="","",C2393*IF(N2393="USD",TasaUSD,1))</f>
        <v/>
      </c>
      <c r="P2393" s="20">
        <f>IF(I2393="","",IF(I2393="Gasto",O2393,0))</f>
        <v/>
      </c>
      <c r="Q2393" s="20">
        <f>IF(I2393="","",IF(I2393="Ingreso",O2393,0))</f>
        <v/>
      </c>
      <c r="R2393" s="20">
        <f>IF(I2393="","",IF(I2393="Trading",O2393,0))</f>
        <v/>
      </c>
      <c r="S2393" s="19">
        <f>IF(I2393="","",IF(AND(I2393="Gasto",K2393="Variable",J2393&lt;&gt;"Trading",O2393&gt;0,O2393&lt;=Umbral),1,0))</f>
        <v/>
      </c>
      <c r="T2393" s="20">
        <f>IF(OR(I2393="",E2393=""),"",IF(OR(I2393="Gasto",I2393="Transferencia",I2393="Pago tarjeta"),-1,1)*C2393)</f>
        <v/>
      </c>
      <c r="U2393" s="20">
        <f>IF(OR(G2393="",AND(I2393&lt;&gt;"Transferencia",I2393&lt;&gt;"Pago tarjeta")),"",IF(IFERROR(INDEX(ctaMon,MATCH(G2393,ctaNom,0))&amp;"","DOP")=N2393,C2393,IF(N2393="USD",C2393*TasaUSD,C2393/TasaUSD)))</f>
        <v/>
      </c>
      <c r="V2393" s="20">
        <f>IF(I2393="","",IF(IFERROR(INDEX(ctaLiq,MATCH(E2393,ctaNom,0))="Sí",FALSE),IF(OR(I2393="Gasto",I2393="Transferencia",I2393="Pago tarjeta"),-1,1)*O2393,0)+IF(AND(U2393&lt;&gt;"",IFERROR(INDEX(ctaLiq,MATCH(G2393,ctaNom,0))="Sí",FALSE)),O2393,0))</f>
        <v/>
      </c>
      <c r="W2393" s="19">
        <f>IF(OR(F2393="",I2393=""),"",IF(COUNTIFS(F$6:F2393,F2393,I$6:I2393,"?*")=1,MAX(W$5:W2392)+1,""))</f>
        <v/>
      </c>
    </row>
    <row r="2394">
      <c r="B2394" s="15" t="n"/>
      <c r="C2394" s="16" t="n"/>
      <c r="D2394" s="17" t="n"/>
      <c r="E2394" s="17" t="n"/>
      <c r="F2394" s="17" t="n"/>
      <c r="G2394" s="17" t="n"/>
      <c r="H2394" s="18">
        <f>IF(AND(B2394="",C2394="",D2394="",E2394=""),"",IF(B2394="","⚠ Falta fecha",IF(C2394="","⚠ Falta monto",IF(D2394="","⚠ Falta categoría",IF(ISNA(MATCH(D2394,catNom,0)),"⚠ Categoría no existe",IF(E2394="","⚠ Falta cuenta",IF(ISNA(MATCH(E2394,ctaNom,0)),"⚠ Cuenta no existe",IF(AND(OR(I2394="Transferencia",I2394="Pago tarjeta"),G2394=""),"⚠ Indica la cuenta «Hacia»",IF(AND(G2394&lt;&gt;"",G2394=E2394),"⚠ «Hacia» igual a la cuenta",IF(AND(G2394&lt;&gt;"",ISNA(MATCH(G2394,ctaNom,0))),"⚠ «Hacia» no existe",IF(AND(I2394="Pago tarjeta",IFERROR(INDEX(ctaTipo,MATCH(G2394,ctaNom,0)),"")&lt;&gt;"Tarjeta de crédito"),"⚠ «Hacia» debe ser la tarjeta",IF(AND(I2394="Trading",IFERROR(INDEX(ctaTipo,MATCH(E2394,ctaNom,0)),"")&lt;&gt;"Cuenta de trading"),"⚠ Usa la cuenta de trading","✓"))))))))))))</f>
        <v/>
      </c>
      <c r="I2394" s="19">
        <f>IF(OR(B2394="",C2394="",D2394=""),"",IFERROR(INDEX(catTipo,MATCH(D2394,catNom,0))&amp;"",""))</f>
        <v/>
      </c>
      <c r="J2394" s="19">
        <f>IF(I2394="","",IFERROR(INDEX(catGrupo,MATCH(D2394,catNom,0))&amp;"",""))</f>
        <v/>
      </c>
      <c r="K2394" s="19">
        <f>IF(I2394="Gasto",IF(IFERROR(INDEX(catClas,MATCH(D2394,catNom,0))&amp;"","")="","Variable",IFERROR(INDEX(catClas,MATCH(D2394,catNom,0))&amp;"","")),"")</f>
        <v/>
      </c>
      <c r="L2394" s="19">
        <f>IF(I2394="","",IFERROR(INDEX(catAlim,MATCH(D2394,catNom,0))&amp;"",""))</f>
        <v/>
      </c>
      <c r="M2394" s="19">
        <f>IF(I2394="","",IFERROR(INDEX(catComida,MATCH(D2394,catNom,0))&amp;"",""))</f>
        <v/>
      </c>
      <c r="N2394" s="19">
        <f>IF(I2394="","",IFERROR(INDEX(ctaMon,MATCH(E2394,ctaNom,0))&amp;"","DOP"))</f>
        <v/>
      </c>
      <c r="O2394" s="20">
        <f>IF(I2394="","",C2394*IF(N2394="USD",TasaUSD,1))</f>
        <v/>
      </c>
      <c r="P2394" s="20">
        <f>IF(I2394="","",IF(I2394="Gasto",O2394,0))</f>
        <v/>
      </c>
      <c r="Q2394" s="20">
        <f>IF(I2394="","",IF(I2394="Ingreso",O2394,0))</f>
        <v/>
      </c>
      <c r="R2394" s="20">
        <f>IF(I2394="","",IF(I2394="Trading",O2394,0))</f>
        <v/>
      </c>
      <c r="S2394" s="19">
        <f>IF(I2394="","",IF(AND(I2394="Gasto",K2394="Variable",J2394&lt;&gt;"Trading",O2394&gt;0,O2394&lt;=Umbral),1,0))</f>
        <v/>
      </c>
      <c r="T2394" s="20">
        <f>IF(OR(I2394="",E2394=""),"",IF(OR(I2394="Gasto",I2394="Transferencia",I2394="Pago tarjeta"),-1,1)*C2394)</f>
        <v/>
      </c>
      <c r="U2394" s="20">
        <f>IF(OR(G2394="",AND(I2394&lt;&gt;"Transferencia",I2394&lt;&gt;"Pago tarjeta")),"",IF(IFERROR(INDEX(ctaMon,MATCH(G2394,ctaNom,0))&amp;"","DOP")=N2394,C2394,IF(N2394="USD",C2394*TasaUSD,C2394/TasaUSD)))</f>
        <v/>
      </c>
      <c r="V2394" s="20">
        <f>IF(I2394="","",IF(IFERROR(INDEX(ctaLiq,MATCH(E2394,ctaNom,0))="Sí",FALSE),IF(OR(I2394="Gasto",I2394="Transferencia",I2394="Pago tarjeta"),-1,1)*O2394,0)+IF(AND(U2394&lt;&gt;"",IFERROR(INDEX(ctaLiq,MATCH(G2394,ctaNom,0))="Sí",FALSE)),O2394,0))</f>
        <v/>
      </c>
      <c r="W2394" s="19">
        <f>IF(OR(F2394="",I2394=""),"",IF(COUNTIFS(F$6:F2394,F2394,I$6:I2394,"?*")=1,MAX(W$5:W2393)+1,""))</f>
        <v/>
      </c>
    </row>
    <row r="2395">
      <c r="B2395" s="15" t="n"/>
      <c r="C2395" s="16" t="n"/>
      <c r="D2395" s="17" t="n"/>
      <c r="E2395" s="17" t="n"/>
      <c r="F2395" s="17" t="n"/>
      <c r="G2395" s="17" t="n"/>
      <c r="H2395" s="18">
        <f>IF(AND(B2395="",C2395="",D2395="",E2395=""),"",IF(B2395="","⚠ Falta fecha",IF(C2395="","⚠ Falta monto",IF(D2395="","⚠ Falta categoría",IF(ISNA(MATCH(D2395,catNom,0)),"⚠ Categoría no existe",IF(E2395="","⚠ Falta cuenta",IF(ISNA(MATCH(E2395,ctaNom,0)),"⚠ Cuenta no existe",IF(AND(OR(I2395="Transferencia",I2395="Pago tarjeta"),G2395=""),"⚠ Indica la cuenta «Hacia»",IF(AND(G2395&lt;&gt;"",G2395=E2395),"⚠ «Hacia» igual a la cuenta",IF(AND(G2395&lt;&gt;"",ISNA(MATCH(G2395,ctaNom,0))),"⚠ «Hacia» no existe",IF(AND(I2395="Pago tarjeta",IFERROR(INDEX(ctaTipo,MATCH(G2395,ctaNom,0)),"")&lt;&gt;"Tarjeta de crédito"),"⚠ «Hacia» debe ser la tarjeta",IF(AND(I2395="Trading",IFERROR(INDEX(ctaTipo,MATCH(E2395,ctaNom,0)),"")&lt;&gt;"Cuenta de trading"),"⚠ Usa la cuenta de trading","✓"))))))))))))</f>
        <v/>
      </c>
      <c r="I2395" s="19">
        <f>IF(OR(B2395="",C2395="",D2395=""),"",IFERROR(INDEX(catTipo,MATCH(D2395,catNom,0))&amp;"",""))</f>
        <v/>
      </c>
      <c r="J2395" s="19">
        <f>IF(I2395="","",IFERROR(INDEX(catGrupo,MATCH(D2395,catNom,0))&amp;"",""))</f>
        <v/>
      </c>
      <c r="K2395" s="19">
        <f>IF(I2395="Gasto",IF(IFERROR(INDEX(catClas,MATCH(D2395,catNom,0))&amp;"","")="","Variable",IFERROR(INDEX(catClas,MATCH(D2395,catNom,0))&amp;"","")),"")</f>
        <v/>
      </c>
      <c r="L2395" s="19">
        <f>IF(I2395="","",IFERROR(INDEX(catAlim,MATCH(D2395,catNom,0))&amp;"",""))</f>
        <v/>
      </c>
      <c r="M2395" s="19">
        <f>IF(I2395="","",IFERROR(INDEX(catComida,MATCH(D2395,catNom,0))&amp;"",""))</f>
        <v/>
      </c>
      <c r="N2395" s="19">
        <f>IF(I2395="","",IFERROR(INDEX(ctaMon,MATCH(E2395,ctaNom,0))&amp;"","DOP"))</f>
        <v/>
      </c>
      <c r="O2395" s="20">
        <f>IF(I2395="","",C2395*IF(N2395="USD",TasaUSD,1))</f>
        <v/>
      </c>
      <c r="P2395" s="20">
        <f>IF(I2395="","",IF(I2395="Gasto",O2395,0))</f>
        <v/>
      </c>
      <c r="Q2395" s="20">
        <f>IF(I2395="","",IF(I2395="Ingreso",O2395,0))</f>
        <v/>
      </c>
      <c r="R2395" s="20">
        <f>IF(I2395="","",IF(I2395="Trading",O2395,0))</f>
        <v/>
      </c>
      <c r="S2395" s="19">
        <f>IF(I2395="","",IF(AND(I2395="Gasto",K2395="Variable",J2395&lt;&gt;"Trading",O2395&gt;0,O2395&lt;=Umbral),1,0))</f>
        <v/>
      </c>
      <c r="T2395" s="20">
        <f>IF(OR(I2395="",E2395=""),"",IF(OR(I2395="Gasto",I2395="Transferencia",I2395="Pago tarjeta"),-1,1)*C2395)</f>
        <v/>
      </c>
      <c r="U2395" s="20">
        <f>IF(OR(G2395="",AND(I2395&lt;&gt;"Transferencia",I2395&lt;&gt;"Pago tarjeta")),"",IF(IFERROR(INDEX(ctaMon,MATCH(G2395,ctaNom,0))&amp;"","DOP")=N2395,C2395,IF(N2395="USD",C2395*TasaUSD,C2395/TasaUSD)))</f>
        <v/>
      </c>
      <c r="V2395" s="20">
        <f>IF(I2395="","",IF(IFERROR(INDEX(ctaLiq,MATCH(E2395,ctaNom,0))="Sí",FALSE),IF(OR(I2395="Gasto",I2395="Transferencia",I2395="Pago tarjeta"),-1,1)*O2395,0)+IF(AND(U2395&lt;&gt;"",IFERROR(INDEX(ctaLiq,MATCH(G2395,ctaNom,0))="Sí",FALSE)),O2395,0))</f>
        <v/>
      </c>
      <c r="W2395" s="19">
        <f>IF(OR(F2395="",I2395=""),"",IF(COUNTIFS(F$6:F2395,F2395,I$6:I2395,"?*")=1,MAX(W$5:W2394)+1,""))</f>
        <v/>
      </c>
    </row>
    <row r="2396">
      <c r="B2396" s="15" t="n"/>
      <c r="C2396" s="16" t="n"/>
      <c r="D2396" s="17" t="n"/>
      <c r="E2396" s="17" t="n"/>
      <c r="F2396" s="17" t="n"/>
      <c r="G2396" s="17" t="n"/>
      <c r="H2396" s="18">
        <f>IF(AND(B2396="",C2396="",D2396="",E2396=""),"",IF(B2396="","⚠ Falta fecha",IF(C2396="","⚠ Falta monto",IF(D2396="","⚠ Falta categoría",IF(ISNA(MATCH(D2396,catNom,0)),"⚠ Categoría no existe",IF(E2396="","⚠ Falta cuenta",IF(ISNA(MATCH(E2396,ctaNom,0)),"⚠ Cuenta no existe",IF(AND(OR(I2396="Transferencia",I2396="Pago tarjeta"),G2396=""),"⚠ Indica la cuenta «Hacia»",IF(AND(G2396&lt;&gt;"",G2396=E2396),"⚠ «Hacia» igual a la cuenta",IF(AND(G2396&lt;&gt;"",ISNA(MATCH(G2396,ctaNom,0))),"⚠ «Hacia» no existe",IF(AND(I2396="Pago tarjeta",IFERROR(INDEX(ctaTipo,MATCH(G2396,ctaNom,0)),"")&lt;&gt;"Tarjeta de crédito"),"⚠ «Hacia» debe ser la tarjeta",IF(AND(I2396="Trading",IFERROR(INDEX(ctaTipo,MATCH(E2396,ctaNom,0)),"")&lt;&gt;"Cuenta de trading"),"⚠ Usa la cuenta de trading","✓"))))))))))))</f>
        <v/>
      </c>
      <c r="I2396" s="19">
        <f>IF(OR(B2396="",C2396="",D2396=""),"",IFERROR(INDEX(catTipo,MATCH(D2396,catNom,0))&amp;"",""))</f>
        <v/>
      </c>
      <c r="J2396" s="19">
        <f>IF(I2396="","",IFERROR(INDEX(catGrupo,MATCH(D2396,catNom,0))&amp;"",""))</f>
        <v/>
      </c>
      <c r="K2396" s="19">
        <f>IF(I2396="Gasto",IF(IFERROR(INDEX(catClas,MATCH(D2396,catNom,0))&amp;"","")="","Variable",IFERROR(INDEX(catClas,MATCH(D2396,catNom,0))&amp;"","")),"")</f>
        <v/>
      </c>
      <c r="L2396" s="19">
        <f>IF(I2396="","",IFERROR(INDEX(catAlim,MATCH(D2396,catNom,0))&amp;"",""))</f>
        <v/>
      </c>
      <c r="M2396" s="19">
        <f>IF(I2396="","",IFERROR(INDEX(catComida,MATCH(D2396,catNom,0))&amp;"",""))</f>
        <v/>
      </c>
      <c r="N2396" s="19">
        <f>IF(I2396="","",IFERROR(INDEX(ctaMon,MATCH(E2396,ctaNom,0))&amp;"","DOP"))</f>
        <v/>
      </c>
      <c r="O2396" s="20">
        <f>IF(I2396="","",C2396*IF(N2396="USD",TasaUSD,1))</f>
        <v/>
      </c>
      <c r="P2396" s="20">
        <f>IF(I2396="","",IF(I2396="Gasto",O2396,0))</f>
        <v/>
      </c>
      <c r="Q2396" s="20">
        <f>IF(I2396="","",IF(I2396="Ingreso",O2396,0))</f>
        <v/>
      </c>
      <c r="R2396" s="20">
        <f>IF(I2396="","",IF(I2396="Trading",O2396,0))</f>
        <v/>
      </c>
      <c r="S2396" s="19">
        <f>IF(I2396="","",IF(AND(I2396="Gasto",K2396="Variable",J2396&lt;&gt;"Trading",O2396&gt;0,O2396&lt;=Umbral),1,0))</f>
        <v/>
      </c>
      <c r="T2396" s="20">
        <f>IF(OR(I2396="",E2396=""),"",IF(OR(I2396="Gasto",I2396="Transferencia",I2396="Pago tarjeta"),-1,1)*C2396)</f>
        <v/>
      </c>
      <c r="U2396" s="20">
        <f>IF(OR(G2396="",AND(I2396&lt;&gt;"Transferencia",I2396&lt;&gt;"Pago tarjeta")),"",IF(IFERROR(INDEX(ctaMon,MATCH(G2396,ctaNom,0))&amp;"","DOP")=N2396,C2396,IF(N2396="USD",C2396*TasaUSD,C2396/TasaUSD)))</f>
        <v/>
      </c>
      <c r="V2396" s="20">
        <f>IF(I2396="","",IF(IFERROR(INDEX(ctaLiq,MATCH(E2396,ctaNom,0))="Sí",FALSE),IF(OR(I2396="Gasto",I2396="Transferencia",I2396="Pago tarjeta"),-1,1)*O2396,0)+IF(AND(U2396&lt;&gt;"",IFERROR(INDEX(ctaLiq,MATCH(G2396,ctaNom,0))="Sí",FALSE)),O2396,0))</f>
        <v/>
      </c>
      <c r="W2396" s="19">
        <f>IF(OR(F2396="",I2396=""),"",IF(COUNTIFS(F$6:F2396,F2396,I$6:I2396,"?*")=1,MAX(W$5:W2395)+1,""))</f>
        <v/>
      </c>
    </row>
    <row r="2397">
      <c r="B2397" s="15" t="n"/>
      <c r="C2397" s="16" t="n"/>
      <c r="D2397" s="17" t="n"/>
      <c r="E2397" s="17" t="n"/>
      <c r="F2397" s="17" t="n"/>
      <c r="G2397" s="17" t="n"/>
      <c r="H2397" s="18">
        <f>IF(AND(B2397="",C2397="",D2397="",E2397=""),"",IF(B2397="","⚠ Falta fecha",IF(C2397="","⚠ Falta monto",IF(D2397="","⚠ Falta categoría",IF(ISNA(MATCH(D2397,catNom,0)),"⚠ Categoría no existe",IF(E2397="","⚠ Falta cuenta",IF(ISNA(MATCH(E2397,ctaNom,0)),"⚠ Cuenta no existe",IF(AND(OR(I2397="Transferencia",I2397="Pago tarjeta"),G2397=""),"⚠ Indica la cuenta «Hacia»",IF(AND(G2397&lt;&gt;"",G2397=E2397),"⚠ «Hacia» igual a la cuenta",IF(AND(G2397&lt;&gt;"",ISNA(MATCH(G2397,ctaNom,0))),"⚠ «Hacia» no existe",IF(AND(I2397="Pago tarjeta",IFERROR(INDEX(ctaTipo,MATCH(G2397,ctaNom,0)),"")&lt;&gt;"Tarjeta de crédito"),"⚠ «Hacia» debe ser la tarjeta",IF(AND(I2397="Trading",IFERROR(INDEX(ctaTipo,MATCH(E2397,ctaNom,0)),"")&lt;&gt;"Cuenta de trading"),"⚠ Usa la cuenta de trading","✓"))))))))))))</f>
        <v/>
      </c>
      <c r="I2397" s="19">
        <f>IF(OR(B2397="",C2397="",D2397=""),"",IFERROR(INDEX(catTipo,MATCH(D2397,catNom,0))&amp;"",""))</f>
        <v/>
      </c>
      <c r="J2397" s="19">
        <f>IF(I2397="","",IFERROR(INDEX(catGrupo,MATCH(D2397,catNom,0))&amp;"",""))</f>
        <v/>
      </c>
      <c r="K2397" s="19">
        <f>IF(I2397="Gasto",IF(IFERROR(INDEX(catClas,MATCH(D2397,catNom,0))&amp;"","")="","Variable",IFERROR(INDEX(catClas,MATCH(D2397,catNom,0))&amp;"","")),"")</f>
        <v/>
      </c>
      <c r="L2397" s="19">
        <f>IF(I2397="","",IFERROR(INDEX(catAlim,MATCH(D2397,catNom,0))&amp;"",""))</f>
        <v/>
      </c>
      <c r="M2397" s="19">
        <f>IF(I2397="","",IFERROR(INDEX(catComida,MATCH(D2397,catNom,0))&amp;"",""))</f>
        <v/>
      </c>
      <c r="N2397" s="19">
        <f>IF(I2397="","",IFERROR(INDEX(ctaMon,MATCH(E2397,ctaNom,0))&amp;"","DOP"))</f>
        <v/>
      </c>
      <c r="O2397" s="20">
        <f>IF(I2397="","",C2397*IF(N2397="USD",TasaUSD,1))</f>
        <v/>
      </c>
      <c r="P2397" s="20">
        <f>IF(I2397="","",IF(I2397="Gasto",O2397,0))</f>
        <v/>
      </c>
      <c r="Q2397" s="20">
        <f>IF(I2397="","",IF(I2397="Ingreso",O2397,0))</f>
        <v/>
      </c>
      <c r="R2397" s="20">
        <f>IF(I2397="","",IF(I2397="Trading",O2397,0))</f>
        <v/>
      </c>
      <c r="S2397" s="19">
        <f>IF(I2397="","",IF(AND(I2397="Gasto",K2397="Variable",J2397&lt;&gt;"Trading",O2397&gt;0,O2397&lt;=Umbral),1,0))</f>
        <v/>
      </c>
      <c r="T2397" s="20">
        <f>IF(OR(I2397="",E2397=""),"",IF(OR(I2397="Gasto",I2397="Transferencia",I2397="Pago tarjeta"),-1,1)*C2397)</f>
        <v/>
      </c>
      <c r="U2397" s="20">
        <f>IF(OR(G2397="",AND(I2397&lt;&gt;"Transferencia",I2397&lt;&gt;"Pago tarjeta")),"",IF(IFERROR(INDEX(ctaMon,MATCH(G2397,ctaNom,0))&amp;"","DOP")=N2397,C2397,IF(N2397="USD",C2397*TasaUSD,C2397/TasaUSD)))</f>
        <v/>
      </c>
      <c r="V2397" s="20">
        <f>IF(I2397="","",IF(IFERROR(INDEX(ctaLiq,MATCH(E2397,ctaNom,0))="Sí",FALSE),IF(OR(I2397="Gasto",I2397="Transferencia",I2397="Pago tarjeta"),-1,1)*O2397,0)+IF(AND(U2397&lt;&gt;"",IFERROR(INDEX(ctaLiq,MATCH(G2397,ctaNom,0))="Sí",FALSE)),O2397,0))</f>
        <v/>
      </c>
      <c r="W2397" s="19">
        <f>IF(OR(F2397="",I2397=""),"",IF(COUNTIFS(F$6:F2397,F2397,I$6:I2397,"?*")=1,MAX(W$5:W2396)+1,""))</f>
        <v/>
      </c>
    </row>
    <row r="2398">
      <c r="B2398" s="15" t="n"/>
      <c r="C2398" s="16" t="n"/>
      <c r="D2398" s="17" t="n"/>
      <c r="E2398" s="17" t="n"/>
      <c r="F2398" s="17" t="n"/>
      <c r="G2398" s="17" t="n"/>
      <c r="H2398" s="18">
        <f>IF(AND(B2398="",C2398="",D2398="",E2398=""),"",IF(B2398="","⚠ Falta fecha",IF(C2398="","⚠ Falta monto",IF(D2398="","⚠ Falta categoría",IF(ISNA(MATCH(D2398,catNom,0)),"⚠ Categoría no existe",IF(E2398="","⚠ Falta cuenta",IF(ISNA(MATCH(E2398,ctaNom,0)),"⚠ Cuenta no existe",IF(AND(OR(I2398="Transferencia",I2398="Pago tarjeta"),G2398=""),"⚠ Indica la cuenta «Hacia»",IF(AND(G2398&lt;&gt;"",G2398=E2398),"⚠ «Hacia» igual a la cuenta",IF(AND(G2398&lt;&gt;"",ISNA(MATCH(G2398,ctaNom,0))),"⚠ «Hacia» no existe",IF(AND(I2398="Pago tarjeta",IFERROR(INDEX(ctaTipo,MATCH(G2398,ctaNom,0)),"")&lt;&gt;"Tarjeta de crédito"),"⚠ «Hacia» debe ser la tarjeta",IF(AND(I2398="Trading",IFERROR(INDEX(ctaTipo,MATCH(E2398,ctaNom,0)),"")&lt;&gt;"Cuenta de trading"),"⚠ Usa la cuenta de trading","✓"))))))))))))</f>
        <v/>
      </c>
      <c r="I2398" s="19">
        <f>IF(OR(B2398="",C2398="",D2398=""),"",IFERROR(INDEX(catTipo,MATCH(D2398,catNom,0))&amp;"",""))</f>
        <v/>
      </c>
      <c r="J2398" s="19">
        <f>IF(I2398="","",IFERROR(INDEX(catGrupo,MATCH(D2398,catNom,0))&amp;"",""))</f>
        <v/>
      </c>
      <c r="K2398" s="19">
        <f>IF(I2398="Gasto",IF(IFERROR(INDEX(catClas,MATCH(D2398,catNom,0))&amp;"","")="","Variable",IFERROR(INDEX(catClas,MATCH(D2398,catNom,0))&amp;"","")),"")</f>
        <v/>
      </c>
      <c r="L2398" s="19">
        <f>IF(I2398="","",IFERROR(INDEX(catAlim,MATCH(D2398,catNom,0))&amp;"",""))</f>
        <v/>
      </c>
      <c r="M2398" s="19">
        <f>IF(I2398="","",IFERROR(INDEX(catComida,MATCH(D2398,catNom,0))&amp;"",""))</f>
        <v/>
      </c>
      <c r="N2398" s="19">
        <f>IF(I2398="","",IFERROR(INDEX(ctaMon,MATCH(E2398,ctaNom,0))&amp;"","DOP"))</f>
        <v/>
      </c>
      <c r="O2398" s="20">
        <f>IF(I2398="","",C2398*IF(N2398="USD",TasaUSD,1))</f>
        <v/>
      </c>
      <c r="P2398" s="20">
        <f>IF(I2398="","",IF(I2398="Gasto",O2398,0))</f>
        <v/>
      </c>
      <c r="Q2398" s="20">
        <f>IF(I2398="","",IF(I2398="Ingreso",O2398,0))</f>
        <v/>
      </c>
      <c r="R2398" s="20">
        <f>IF(I2398="","",IF(I2398="Trading",O2398,0))</f>
        <v/>
      </c>
      <c r="S2398" s="19">
        <f>IF(I2398="","",IF(AND(I2398="Gasto",K2398="Variable",J2398&lt;&gt;"Trading",O2398&gt;0,O2398&lt;=Umbral),1,0))</f>
        <v/>
      </c>
      <c r="T2398" s="20">
        <f>IF(OR(I2398="",E2398=""),"",IF(OR(I2398="Gasto",I2398="Transferencia",I2398="Pago tarjeta"),-1,1)*C2398)</f>
        <v/>
      </c>
      <c r="U2398" s="20">
        <f>IF(OR(G2398="",AND(I2398&lt;&gt;"Transferencia",I2398&lt;&gt;"Pago tarjeta")),"",IF(IFERROR(INDEX(ctaMon,MATCH(G2398,ctaNom,0))&amp;"","DOP")=N2398,C2398,IF(N2398="USD",C2398*TasaUSD,C2398/TasaUSD)))</f>
        <v/>
      </c>
      <c r="V2398" s="20">
        <f>IF(I2398="","",IF(IFERROR(INDEX(ctaLiq,MATCH(E2398,ctaNom,0))="Sí",FALSE),IF(OR(I2398="Gasto",I2398="Transferencia",I2398="Pago tarjeta"),-1,1)*O2398,0)+IF(AND(U2398&lt;&gt;"",IFERROR(INDEX(ctaLiq,MATCH(G2398,ctaNom,0))="Sí",FALSE)),O2398,0))</f>
        <v/>
      </c>
      <c r="W2398" s="19">
        <f>IF(OR(F2398="",I2398=""),"",IF(COUNTIFS(F$6:F2398,F2398,I$6:I2398,"?*")=1,MAX(W$5:W2397)+1,""))</f>
        <v/>
      </c>
    </row>
    <row r="2399">
      <c r="B2399" s="15" t="n"/>
      <c r="C2399" s="16" t="n"/>
      <c r="D2399" s="17" t="n"/>
      <c r="E2399" s="17" t="n"/>
      <c r="F2399" s="17" t="n"/>
      <c r="G2399" s="17" t="n"/>
      <c r="H2399" s="18">
        <f>IF(AND(B2399="",C2399="",D2399="",E2399=""),"",IF(B2399="","⚠ Falta fecha",IF(C2399="","⚠ Falta monto",IF(D2399="","⚠ Falta categoría",IF(ISNA(MATCH(D2399,catNom,0)),"⚠ Categoría no existe",IF(E2399="","⚠ Falta cuenta",IF(ISNA(MATCH(E2399,ctaNom,0)),"⚠ Cuenta no existe",IF(AND(OR(I2399="Transferencia",I2399="Pago tarjeta"),G2399=""),"⚠ Indica la cuenta «Hacia»",IF(AND(G2399&lt;&gt;"",G2399=E2399),"⚠ «Hacia» igual a la cuenta",IF(AND(G2399&lt;&gt;"",ISNA(MATCH(G2399,ctaNom,0))),"⚠ «Hacia» no existe",IF(AND(I2399="Pago tarjeta",IFERROR(INDEX(ctaTipo,MATCH(G2399,ctaNom,0)),"")&lt;&gt;"Tarjeta de crédito"),"⚠ «Hacia» debe ser la tarjeta",IF(AND(I2399="Trading",IFERROR(INDEX(ctaTipo,MATCH(E2399,ctaNom,0)),"")&lt;&gt;"Cuenta de trading"),"⚠ Usa la cuenta de trading","✓"))))))))))))</f>
        <v/>
      </c>
      <c r="I2399" s="19">
        <f>IF(OR(B2399="",C2399="",D2399=""),"",IFERROR(INDEX(catTipo,MATCH(D2399,catNom,0))&amp;"",""))</f>
        <v/>
      </c>
      <c r="J2399" s="19">
        <f>IF(I2399="","",IFERROR(INDEX(catGrupo,MATCH(D2399,catNom,0))&amp;"",""))</f>
        <v/>
      </c>
      <c r="K2399" s="19">
        <f>IF(I2399="Gasto",IF(IFERROR(INDEX(catClas,MATCH(D2399,catNom,0))&amp;"","")="","Variable",IFERROR(INDEX(catClas,MATCH(D2399,catNom,0))&amp;"","")),"")</f>
        <v/>
      </c>
      <c r="L2399" s="19">
        <f>IF(I2399="","",IFERROR(INDEX(catAlim,MATCH(D2399,catNom,0))&amp;"",""))</f>
        <v/>
      </c>
      <c r="M2399" s="19">
        <f>IF(I2399="","",IFERROR(INDEX(catComida,MATCH(D2399,catNom,0))&amp;"",""))</f>
        <v/>
      </c>
      <c r="N2399" s="19">
        <f>IF(I2399="","",IFERROR(INDEX(ctaMon,MATCH(E2399,ctaNom,0))&amp;"","DOP"))</f>
        <v/>
      </c>
      <c r="O2399" s="20">
        <f>IF(I2399="","",C2399*IF(N2399="USD",TasaUSD,1))</f>
        <v/>
      </c>
      <c r="P2399" s="20">
        <f>IF(I2399="","",IF(I2399="Gasto",O2399,0))</f>
        <v/>
      </c>
      <c r="Q2399" s="20">
        <f>IF(I2399="","",IF(I2399="Ingreso",O2399,0))</f>
        <v/>
      </c>
      <c r="R2399" s="20">
        <f>IF(I2399="","",IF(I2399="Trading",O2399,0))</f>
        <v/>
      </c>
      <c r="S2399" s="19">
        <f>IF(I2399="","",IF(AND(I2399="Gasto",K2399="Variable",J2399&lt;&gt;"Trading",O2399&gt;0,O2399&lt;=Umbral),1,0))</f>
        <v/>
      </c>
      <c r="T2399" s="20">
        <f>IF(OR(I2399="",E2399=""),"",IF(OR(I2399="Gasto",I2399="Transferencia",I2399="Pago tarjeta"),-1,1)*C2399)</f>
        <v/>
      </c>
      <c r="U2399" s="20">
        <f>IF(OR(G2399="",AND(I2399&lt;&gt;"Transferencia",I2399&lt;&gt;"Pago tarjeta")),"",IF(IFERROR(INDEX(ctaMon,MATCH(G2399,ctaNom,0))&amp;"","DOP")=N2399,C2399,IF(N2399="USD",C2399*TasaUSD,C2399/TasaUSD)))</f>
        <v/>
      </c>
      <c r="V2399" s="20">
        <f>IF(I2399="","",IF(IFERROR(INDEX(ctaLiq,MATCH(E2399,ctaNom,0))="Sí",FALSE),IF(OR(I2399="Gasto",I2399="Transferencia",I2399="Pago tarjeta"),-1,1)*O2399,0)+IF(AND(U2399&lt;&gt;"",IFERROR(INDEX(ctaLiq,MATCH(G2399,ctaNom,0))="Sí",FALSE)),O2399,0))</f>
        <v/>
      </c>
      <c r="W2399" s="19">
        <f>IF(OR(F2399="",I2399=""),"",IF(COUNTIFS(F$6:F2399,F2399,I$6:I2399,"?*")=1,MAX(W$5:W2398)+1,""))</f>
        <v/>
      </c>
    </row>
    <row r="2400">
      <c r="B2400" s="15" t="n"/>
      <c r="C2400" s="16" t="n"/>
      <c r="D2400" s="17" t="n"/>
      <c r="E2400" s="17" t="n"/>
      <c r="F2400" s="17" t="n"/>
      <c r="G2400" s="17" t="n"/>
      <c r="H2400" s="18">
        <f>IF(AND(B2400="",C2400="",D2400="",E2400=""),"",IF(B2400="","⚠ Falta fecha",IF(C2400="","⚠ Falta monto",IF(D2400="","⚠ Falta categoría",IF(ISNA(MATCH(D2400,catNom,0)),"⚠ Categoría no existe",IF(E2400="","⚠ Falta cuenta",IF(ISNA(MATCH(E2400,ctaNom,0)),"⚠ Cuenta no existe",IF(AND(OR(I2400="Transferencia",I2400="Pago tarjeta"),G2400=""),"⚠ Indica la cuenta «Hacia»",IF(AND(G2400&lt;&gt;"",G2400=E2400),"⚠ «Hacia» igual a la cuenta",IF(AND(G2400&lt;&gt;"",ISNA(MATCH(G2400,ctaNom,0))),"⚠ «Hacia» no existe",IF(AND(I2400="Pago tarjeta",IFERROR(INDEX(ctaTipo,MATCH(G2400,ctaNom,0)),"")&lt;&gt;"Tarjeta de crédito"),"⚠ «Hacia» debe ser la tarjeta",IF(AND(I2400="Trading",IFERROR(INDEX(ctaTipo,MATCH(E2400,ctaNom,0)),"")&lt;&gt;"Cuenta de trading"),"⚠ Usa la cuenta de trading","✓"))))))))))))</f>
        <v/>
      </c>
      <c r="I2400" s="19">
        <f>IF(OR(B2400="",C2400="",D2400=""),"",IFERROR(INDEX(catTipo,MATCH(D2400,catNom,0))&amp;"",""))</f>
        <v/>
      </c>
      <c r="J2400" s="19">
        <f>IF(I2400="","",IFERROR(INDEX(catGrupo,MATCH(D2400,catNom,0))&amp;"",""))</f>
        <v/>
      </c>
      <c r="K2400" s="19">
        <f>IF(I2400="Gasto",IF(IFERROR(INDEX(catClas,MATCH(D2400,catNom,0))&amp;"","")="","Variable",IFERROR(INDEX(catClas,MATCH(D2400,catNom,0))&amp;"","")),"")</f>
        <v/>
      </c>
      <c r="L2400" s="19">
        <f>IF(I2400="","",IFERROR(INDEX(catAlim,MATCH(D2400,catNom,0))&amp;"",""))</f>
        <v/>
      </c>
      <c r="M2400" s="19">
        <f>IF(I2400="","",IFERROR(INDEX(catComida,MATCH(D2400,catNom,0))&amp;"",""))</f>
        <v/>
      </c>
      <c r="N2400" s="19">
        <f>IF(I2400="","",IFERROR(INDEX(ctaMon,MATCH(E2400,ctaNom,0))&amp;"","DOP"))</f>
        <v/>
      </c>
      <c r="O2400" s="20">
        <f>IF(I2400="","",C2400*IF(N2400="USD",TasaUSD,1))</f>
        <v/>
      </c>
      <c r="P2400" s="20">
        <f>IF(I2400="","",IF(I2400="Gasto",O2400,0))</f>
        <v/>
      </c>
      <c r="Q2400" s="20">
        <f>IF(I2400="","",IF(I2400="Ingreso",O2400,0))</f>
        <v/>
      </c>
      <c r="R2400" s="20">
        <f>IF(I2400="","",IF(I2400="Trading",O2400,0))</f>
        <v/>
      </c>
      <c r="S2400" s="19">
        <f>IF(I2400="","",IF(AND(I2400="Gasto",K2400="Variable",J2400&lt;&gt;"Trading",O2400&gt;0,O2400&lt;=Umbral),1,0))</f>
        <v/>
      </c>
      <c r="T2400" s="20">
        <f>IF(OR(I2400="",E2400=""),"",IF(OR(I2400="Gasto",I2400="Transferencia",I2400="Pago tarjeta"),-1,1)*C2400)</f>
        <v/>
      </c>
      <c r="U2400" s="20">
        <f>IF(OR(G2400="",AND(I2400&lt;&gt;"Transferencia",I2400&lt;&gt;"Pago tarjeta")),"",IF(IFERROR(INDEX(ctaMon,MATCH(G2400,ctaNom,0))&amp;"","DOP")=N2400,C2400,IF(N2400="USD",C2400*TasaUSD,C2400/TasaUSD)))</f>
        <v/>
      </c>
      <c r="V2400" s="20">
        <f>IF(I2400="","",IF(IFERROR(INDEX(ctaLiq,MATCH(E2400,ctaNom,0))="Sí",FALSE),IF(OR(I2400="Gasto",I2400="Transferencia",I2400="Pago tarjeta"),-1,1)*O2400,0)+IF(AND(U2400&lt;&gt;"",IFERROR(INDEX(ctaLiq,MATCH(G2400,ctaNom,0))="Sí",FALSE)),O2400,0))</f>
        <v/>
      </c>
      <c r="W2400" s="19">
        <f>IF(OR(F2400="",I2400=""),"",IF(COUNTIFS(F$6:F2400,F2400,I$6:I2400,"?*")=1,MAX(W$5:W2399)+1,""))</f>
        <v/>
      </c>
    </row>
    <row r="2401">
      <c r="B2401" s="15" t="n"/>
      <c r="C2401" s="16" t="n"/>
      <c r="D2401" s="17" t="n"/>
      <c r="E2401" s="17" t="n"/>
      <c r="F2401" s="17" t="n"/>
      <c r="G2401" s="17" t="n"/>
      <c r="H2401" s="18">
        <f>IF(AND(B2401="",C2401="",D2401="",E2401=""),"",IF(B2401="","⚠ Falta fecha",IF(C2401="","⚠ Falta monto",IF(D2401="","⚠ Falta categoría",IF(ISNA(MATCH(D2401,catNom,0)),"⚠ Categoría no existe",IF(E2401="","⚠ Falta cuenta",IF(ISNA(MATCH(E2401,ctaNom,0)),"⚠ Cuenta no existe",IF(AND(OR(I2401="Transferencia",I2401="Pago tarjeta"),G2401=""),"⚠ Indica la cuenta «Hacia»",IF(AND(G2401&lt;&gt;"",G2401=E2401),"⚠ «Hacia» igual a la cuenta",IF(AND(G2401&lt;&gt;"",ISNA(MATCH(G2401,ctaNom,0))),"⚠ «Hacia» no existe",IF(AND(I2401="Pago tarjeta",IFERROR(INDEX(ctaTipo,MATCH(G2401,ctaNom,0)),"")&lt;&gt;"Tarjeta de crédito"),"⚠ «Hacia» debe ser la tarjeta",IF(AND(I2401="Trading",IFERROR(INDEX(ctaTipo,MATCH(E2401,ctaNom,0)),"")&lt;&gt;"Cuenta de trading"),"⚠ Usa la cuenta de trading","✓"))))))))))))</f>
        <v/>
      </c>
      <c r="I2401" s="19">
        <f>IF(OR(B2401="",C2401="",D2401=""),"",IFERROR(INDEX(catTipo,MATCH(D2401,catNom,0))&amp;"",""))</f>
        <v/>
      </c>
      <c r="J2401" s="19">
        <f>IF(I2401="","",IFERROR(INDEX(catGrupo,MATCH(D2401,catNom,0))&amp;"",""))</f>
        <v/>
      </c>
      <c r="K2401" s="19">
        <f>IF(I2401="Gasto",IF(IFERROR(INDEX(catClas,MATCH(D2401,catNom,0))&amp;"","")="","Variable",IFERROR(INDEX(catClas,MATCH(D2401,catNom,0))&amp;"","")),"")</f>
        <v/>
      </c>
      <c r="L2401" s="19">
        <f>IF(I2401="","",IFERROR(INDEX(catAlim,MATCH(D2401,catNom,0))&amp;"",""))</f>
        <v/>
      </c>
      <c r="M2401" s="19">
        <f>IF(I2401="","",IFERROR(INDEX(catComida,MATCH(D2401,catNom,0))&amp;"",""))</f>
        <v/>
      </c>
      <c r="N2401" s="19">
        <f>IF(I2401="","",IFERROR(INDEX(ctaMon,MATCH(E2401,ctaNom,0))&amp;"","DOP"))</f>
        <v/>
      </c>
      <c r="O2401" s="20">
        <f>IF(I2401="","",C2401*IF(N2401="USD",TasaUSD,1))</f>
        <v/>
      </c>
      <c r="P2401" s="20">
        <f>IF(I2401="","",IF(I2401="Gasto",O2401,0))</f>
        <v/>
      </c>
      <c r="Q2401" s="20">
        <f>IF(I2401="","",IF(I2401="Ingreso",O2401,0))</f>
        <v/>
      </c>
      <c r="R2401" s="20">
        <f>IF(I2401="","",IF(I2401="Trading",O2401,0))</f>
        <v/>
      </c>
      <c r="S2401" s="19">
        <f>IF(I2401="","",IF(AND(I2401="Gasto",K2401="Variable",J2401&lt;&gt;"Trading",O2401&gt;0,O2401&lt;=Umbral),1,0))</f>
        <v/>
      </c>
      <c r="T2401" s="20">
        <f>IF(OR(I2401="",E2401=""),"",IF(OR(I2401="Gasto",I2401="Transferencia",I2401="Pago tarjeta"),-1,1)*C2401)</f>
        <v/>
      </c>
      <c r="U2401" s="20">
        <f>IF(OR(G2401="",AND(I2401&lt;&gt;"Transferencia",I2401&lt;&gt;"Pago tarjeta")),"",IF(IFERROR(INDEX(ctaMon,MATCH(G2401,ctaNom,0))&amp;"","DOP")=N2401,C2401,IF(N2401="USD",C2401*TasaUSD,C2401/TasaUSD)))</f>
        <v/>
      </c>
      <c r="V2401" s="20">
        <f>IF(I2401="","",IF(IFERROR(INDEX(ctaLiq,MATCH(E2401,ctaNom,0))="Sí",FALSE),IF(OR(I2401="Gasto",I2401="Transferencia",I2401="Pago tarjeta"),-1,1)*O2401,0)+IF(AND(U2401&lt;&gt;"",IFERROR(INDEX(ctaLiq,MATCH(G2401,ctaNom,0))="Sí",FALSE)),O2401,0))</f>
        <v/>
      </c>
      <c r="W2401" s="19">
        <f>IF(OR(F2401="",I2401=""),"",IF(COUNTIFS(F$6:F2401,F2401,I$6:I2401,"?*")=1,MAX(W$5:W2400)+1,""))</f>
        <v/>
      </c>
    </row>
    <row r="2402">
      <c r="B2402" s="15" t="n"/>
      <c r="C2402" s="16" t="n"/>
      <c r="D2402" s="17" t="n"/>
      <c r="E2402" s="17" t="n"/>
      <c r="F2402" s="17" t="n"/>
      <c r="G2402" s="17" t="n"/>
      <c r="H2402" s="18">
        <f>IF(AND(B2402="",C2402="",D2402="",E2402=""),"",IF(B2402="","⚠ Falta fecha",IF(C2402="","⚠ Falta monto",IF(D2402="","⚠ Falta categoría",IF(ISNA(MATCH(D2402,catNom,0)),"⚠ Categoría no existe",IF(E2402="","⚠ Falta cuenta",IF(ISNA(MATCH(E2402,ctaNom,0)),"⚠ Cuenta no existe",IF(AND(OR(I2402="Transferencia",I2402="Pago tarjeta"),G2402=""),"⚠ Indica la cuenta «Hacia»",IF(AND(G2402&lt;&gt;"",G2402=E2402),"⚠ «Hacia» igual a la cuenta",IF(AND(G2402&lt;&gt;"",ISNA(MATCH(G2402,ctaNom,0))),"⚠ «Hacia» no existe",IF(AND(I2402="Pago tarjeta",IFERROR(INDEX(ctaTipo,MATCH(G2402,ctaNom,0)),"")&lt;&gt;"Tarjeta de crédito"),"⚠ «Hacia» debe ser la tarjeta",IF(AND(I2402="Trading",IFERROR(INDEX(ctaTipo,MATCH(E2402,ctaNom,0)),"")&lt;&gt;"Cuenta de trading"),"⚠ Usa la cuenta de trading","✓"))))))))))))</f>
        <v/>
      </c>
      <c r="I2402" s="19">
        <f>IF(OR(B2402="",C2402="",D2402=""),"",IFERROR(INDEX(catTipo,MATCH(D2402,catNom,0))&amp;"",""))</f>
        <v/>
      </c>
      <c r="J2402" s="19">
        <f>IF(I2402="","",IFERROR(INDEX(catGrupo,MATCH(D2402,catNom,0))&amp;"",""))</f>
        <v/>
      </c>
      <c r="K2402" s="19">
        <f>IF(I2402="Gasto",IF(IFERROR(INDEX(catClas,MATCH(D2402,catNom,0))&amp;"","")="","Variable",IFERROR(INDEX(catClas,MATCH(D2402,catNom,0))&amp;"","")),"")</f>
        <v/>
      </c>
      <c r="L2402" s="19">
        <f>IF(I2402="","",IFERROR(INDEX(catAlim,MATCH(D2402,catNom,0))&amp;"",""))</f>
        <v/>
      </c>
      <c r="M2402" s="19">
        <f>IF(I2402="","",IFERROR(INDEX(catComida,MATCH(D2402,catNom,0))&amp;"",""))</f>
        <v/>
      </c>
      <c r="N2402" s="19">
        <f>IF(I2402="","",IFERROR(INDEX(ctaMon,MATCH(E2402,ctaNom,0))&amp;"","DOP"))</f>
        <v/>
      </c>
      <c r="O2402" s="20">
        <f>IF(I2402="","",C2402*IF(N2402="USD",TasaUSD,1))</f>
        <v/>
      </c>
      <c r="P2402" s="20">
        <f>IF(I2402="","",IF(I2402="Gasto",O2402,0))</f>
        <v/>
      </c>
      <c r="Q2402" s="20">
        <f>IF(I2402="","",IF(I2402="Ingreso",O2402,0))</f>
        <v/>
      </c>
      <c r="R2402" s="20">
        <f>IF(I2402="","",IF(I2402="Trading",O2402,0))</f>
        <v/>
      </c>
      <c r="S2402" s="19">
        <f>IF(I2402="","",IF(AND(I2402="Gasto",K2402="Variable",J2402&lt;&gt;"Trading",O2402&gt;0,O2402&lt;=Umbral),1,0))</f>
        <v/>
      </c>
      <c r="T2402" s="20">
        <f>IF(OR(I2402="",E2402=""),"",IF(OR(I2402="Gasto",I2402="Transferencia",I2402="Pago tarjeta"),-1,1)*C2402)</f>
        <v/>
      </c>
      <c r="U2402" s="20">
        <f>IF(OR(G2402="",AND(I2402&lt;&gt;"Transferencia",I2402&lt;&gt;"Pago tarjeta")),"",IF(IFERROR(INDEX(ctaMon,MATCH(G2402,ctaNom,0))&amp;"","DOP")=N2402,C2402,IF(N2402="USD",C2402*TasaUSD,C2402/TasaUSD)))</f>
        <v/>
      </c>
      <c r="V2402" s="20">
        <f>IF(I2402="","",IF(IFERROR(INDEX(ctaLiq,MATCH(E2402,ctaNom,0))="Sí",FALSE),IF(OR(I2402="Gasto",I2402="Transferencia",I2402="Pago tarjeta"),-1,1)*O2402,0)+IF(AND(U2402&lt;&gt;"",IFERROR(INDEX(ctaLiq,MATCH(G2402,ctaNom,0))="Sí",FALSE)),O2402,0))</f>
        <v/>
      </c>
      <c r="W2402" s="19">
        <f>IF(OR(F2402="",I2402=""),"",IF(COUNTIFS(F$6:F2402,F2402,I$6:I2402,"?*")=1,MAX(W$5:W2401)+1,""))</f>
        <v/>
      </c>
    </row>
    <row r="2403">
      <c r="B2403" s="15" t="n"/>
      <c r="C2403" s="16" t="n"/>
      <c r="D2403" s="17" t="n"/>
      <c r="E2403" s="17" t="n"/>
      <c r="F2403" s="17" t="n"/>
      <c r="G2403" s="17" t="n"/>
      <c r="H2403" s="18">
        <f>IF(AND(B2403="",C2403="",D2403="",E2403=""),"",IF(B2403="","⚠ Falta fecha",IF(C2403="","⚠ Falta monto",IF(D2403="","⚠ Falta categoría",IF(ISNA(MATCH(D2403,catNom,0)),"⚠ Categoría no existe",IF(E2403="","⚠ Falta cuenta",IF(ISNA(MATCH(E2403,ctaNom,0)),"⚠ Cuenta no existe",IF(AND(OR(I2403="Transferencia",I2403="Pago tarjeta"),G2403=""),"⚠ Indica la cuenta «Hacia»",IF(AND(G2403&lt;&gt;"",G2403=E2403),"⚠ «Hacia» igual a la cuenta",IF(AND(G2403&lt;&gt;"",ISNA(MATCH(G2403,ctaNom,0))),"⚠ «Hacia» no existe",IF(AND(I2403="Pago tarjeta",IFERROR(INDEX(ctaTipo,MATCH(G2403,ctaNom,0)),"")&lt;&gt;"Tarjeta de crédito"),"⚠ «Hacia» debe ser la tarjeta",IF(AND(I2403="Trading",IFERROR(INDEX(ctaTipo,MATCH(E2403,ctaNom,0)),"")&lt;&gt;"Cuenta de trading"),"⚠ Usa la cuenta de trading","✓"))))))))))))</f>
        <v/>
      </c>
      <c r="I2403" s="19">
        <f>IF(OR(B2403="",C2403="",D2403=""),"",IFERROR(INDEX(catTipo,MATCH(D2403,catNom,0))&amp;"",""))</f>
        <v/>
      </c>
      <c r="J2403" s="19">
        <f>IF(I2403="","",IFERROR(INDEX(catGrupo,MATCH(D2403,catNom,0))&amp;"",""))</f>
        <v/>
      </c>
      <c r="K2403" s="19">
        <f>IF(I2403="Gasto",IF(IFERROR(INDEX(catClas,MATCH(D2403,catNom,0))&amp;"","")="","Variable",IFERROR(INDEX(catClas,MATCH(D2403,catNom,0))&amp;"","")),"")</f>
        <v/>
      </c>
      <c r="L2403" s="19">
        <f>IF(I2403="","",IFERROR(INDEX(catAlim,MATCH(D2403,catNom,0))&amp;"",""))</f>
        <v/>
      </c>
      <c r="M2403" s="19">
        <f>IF(I2403="","",IFERROR(INDEX(catComida,MATCH(D2403,catNom,0))&amp;"",""))</f>
        <v/>
      </c>
      <c r="N2403" s="19">
        <f>IF(I2403="","",IFERROR(INDEX(ctaMon,MATCH(E2403,ctaNom,0))&amp;"","DOP"))</f>
        <v/>
      </c>
      <c r="O2403" s="20">
        <f>IF(I2403="","",C2403*IF(N2403="USD",TasaUSD,1))</f>
        <v/>
      </c>
      <c r="P2403" s="20">
        <f>IF(I2403="","",IF(I2403="Gasto",O2403,0))</f>
        <v/>
      </c>
      <c r="Q2403" s="20">
        <f>IF(I2403="","",IF(I2403="Ingreso",O2403,0))</f>
        <v/>
      </c>
      <c r="R2403" s="20">
        <f>IF(I2403="","",IF(I2403="Trading",O2403,0))</f>
        <v/>
      </c>
      <c r="S2403" s="19">
        <f>IF(I2403="","",IF(AND(I2403="Gasto",K2403="Variable",J2403&lt;&gt;"Trading",O2403&gt;0,O2403&lt;=Umbral),1,0))</f>
        <v/>
      </c>
      <c r="T2403" s="20">
        <f>IF(OR(I2403="",E2403=""),"",IF(OR(I2403="Gasto",I2403="Transferencia",I2403="Pago tarjeta"),-1,1)*C2403)</f>
        <v/>
      </c>
      <c r="U2403" s="20">
        <f>IF(OR(G2403="",AND(I2403&lt;&gt;"Transferencia",I2403&lt;&gt;"Pago tarjeta")),"",IF(IFERROR(INDEX(ctaMon,MATCH(G2403,ctaNom,0))&amp;"","DOP")=N2403,C2403,IF(N2403="USD",C2403*TasaUSD,C2403/TasaUSD)))</f>
        <v/>
      </c>
      <c r="V2403" s="20">
        <f>IF(I2403="","",IF(IFERROR(INDEX(ctaLiq,MATCH(E2403,ctaNom,0))="Sí",FALSE),IF(OR(I2403="Gasto",I2403="Transferencia",I2403="Pago tarjeta"),-1,1)*O2403,0)+IF(AND(U2403&lt;&gt;"",IFERROR(INDEX(ctaLiq,MATCH(G2403,ctaNom,0))="Sí",FALSE)),O2403,0))</f>
        <v/>
      </c>
      <c r="W2403" s="19">
        <f>IF(OR(F2403="",I2403=""),"",IF(COUNTIFS(F$6:F2403,F2403,I$6:I2403,"?*")=1,MAX(W$5:W2402)+1,""))</f>
        <v/>
      </c>
    </row>
    <row r="2404">
      <c r="B2404" s="15" t="n"/>
      <c r="C2404" s="16" t="n"/>
      <c r="D2404" s="17" t="n"/>
      <c r="E2404" s="17" t="n"/>
      <c r="F2404" s="17" t="n"/>
      <c r="G2404" s="17" t="n"/>
      <c r="H2404" s="18">
        <f>IF(AND(B2404="",C2404="",D2404="",E2404=""),"",IF(B2404="","⚠ Falta fecha",IF(C2404="","⚠ Falta monto",IF(D2404="","⚠ Falta categoría",IF(ISNA(MATCH(D2404,catNom,0)),"⚠ Categoría no existe",IF(E2404="","⚠ Falta cuenta",IF(ISNA(MATCH(E2404,ctaNom,0)),"⚠ Cuenta no existe",IF(AND(OR(I2404="Transferencia",I2404="Pago tarjeta"),G2404=""),"⚠ Indica la cuenta «Hacia»",IF(AND(G2404&lt;&gt;"",G2404=E2404),"⚠ «Hacia» igual a la cuenta",IF(AND(G2404&lt;&gt;"",ISNA(MATCH(G2404,ctaNom,0))),"⚠ «Hacia» no existe",IF(AND(I2404="Pago tarjeta",IFERROR(INDEX(ctaTipo,MATCH(G2404,ctaNom,0)),"")&lt;&gt;"Tarjeta de crédito"),"⚠ «Hacia» debe ser la tarjeta",IF(AND(I2404="Trading",IFERROR(INDEX(ctaTipo,MATCH(E2404,ctaNom,0)),"")&lt;&gt;"Cuenta de trading"),"⚠ Usa la cuenta de trading","✓"))))))))))))</f>
        <v/>
      </c>
      <c r="I2404" s="19">
        <f>IF(OR(B2404="",C2404="",D2404=""),"",IFERROR(INDEX(catTipo,MATCH(D2404,catNom,0))&amp;"",""))</f>
        <v/>
      </c>
      <c r="J2404" s="19">
        <f>IF(I2404="","",IFERROR(INDEX(catGrupo,MATCH(D2404,catNom,0))&amp;"",""))</f>
        <v/>
      </c>
      <c r="K2404" s="19">
        <f>IF(I2404="Gasto",IF(IFERROR(INDEX(catClas,MATCH(D2404,catNom,0))&amp;"","")="","Variable",IFERROR(INDEX(catClas,MATCH(D2404,catNom,0))&amp;"","")),"")</f>
        <v/>
      </c>
      <c r="L2404" s="19">
        <f>IF(I2404="","",IFERROR(INDEX(catAlim,MATCH(D2404,catNom,0))&amp;"",""))</f>
        <v/>
      </c>
      <c r="M2404" s="19">
        <f>IF(I2404="","",IFERROR(INDEX(catComida,MATCH(D2404,catNom,0))&amp;"",""))</f>
        <v/>
      </c>
      <c r="N2404" s="19">
        <f>IF(I2404="","",IFERROR(INDEX(ctaMon,MATCH(E2404,ctaNom,0))&amp;"","DOP"))</f>
        <v/>
      </c>
      <c r="O2404" s="20">
        <f>IF(I2404="","",C2404*IF(N2404="USD",TasaUSD,1))</f>
        <v/>
      </c>
      <c r="P2404" s="20">
        <f>IF(I2404="","",IF(I2404="Gasto",O2404,0))</f>
        <v/>
      </c>
      <c r="Q2404" s="20">
        <f>IF(I2404="","",IF(I2404="Ingreso",O2404,0))</f>
        <v/>
      </c>
      <c r="R2404" s="20">
        <f>IF(I2404="","",IF(I2404="Trading",O2404,0))</f>
        <v/>
      </c>
      <c r="S2404" s="19">
        <f>IF(I2404="","",IF(AND(I2404="Gasto",K2404="Variable",J2404&lt;&gt;"Trading",O2404&gt;0,O2404&lt;=Umbral),1,0))</f>
        <v/>
      </c>
      <c r="T2404" s="20">
        <f>IF(OR(I2404="",E2404=""),"",IF(OR(I2404="Gasto",I2404="Transferencia",I2404="Pago tarjeta"),-1,1)*C2404)</f>
        <v/>
      </c>
      <c r="U2404" s="20">
        <f>IF(OR(G2404="",AND(I2404&lt;&gt;"Transferencia",I2404&lt;&gt;"Pago tarjeta")),"",IF(IFERROR(INDEX(ctaMon,MATCH(G2404,ctaNom,0))&amp;"","DOP")=N2404,C2404,IF(N2404="USD",C2404*TasaUSD,C2404/TasaUSD)))</f>
        <v/>
      </c>
      <c r="V2404" s="20">
        <f>IF(I2404="","",IF(IFERROR(INDEX(ctaLiq,MATCH(E2404,ctaNom,0))="Sí",FALSE),IF(OR(I2404="Gasto",I2404="Transferencia",I2404="Pago tarjeta"),-1,1)*O2404,0)+IF(AND(U2404&lt;&gt;"",IFERROR(INDEX(ctaLiq,MATCH(G2404,ctaNom,0))="Sí",FALSE)),O2404,0))</f>
        <v/>
      </c>
      <c r="W2404" s="19">
        <f>IF(OR(F2404="",I2404=""),"",IF(COUNTIFS(F$6:F2404,F2404,I$6:I2404,"?*")=1,MAX(W$5:W2403)+1,""))</f>
        <v/>
      </c>
    </row>
    <row r="2405">
      <c r="B2405" s="15" t="n"/>
      <c r="C2405" s="16" t="n"/>
      <c r="D2405" s="17" t="n"/>
      <c r="E2405" s="17" t="n"/>
      <c r="F2405" s="17" t="n"/>
      <c r="G2405" s="17" t="n"/>
      <c r="H2405" s="18">
        <f>IF(AND(B2405="",C2405="",D2405="",E2405=""),"",IF(B2405="","⚠ Falta fecha",IF(C2405="","⚠ Falta monto",IF(D2405="","⚠ Falta categoría",IF(ISNA(MATCH(D2405,catNom,0)),"⚠ Categoría no existe",IF(E2405="","⚠ Falta cuenta",IF(ISNA(MATCH(E2405,ctaNom,0)),"⚠ Cuenta no existe",IF(AND(OR(I2405="Transferencia",I2405="Pago tarjeta"),G2405=""),"⚠ Indica la cuenta «Hacia»",IF(AND(G2405&lt;&gt;"",G2405=E2405),"⚠ «Hacia» igual a la cuenta",IF(AND(G2405&lt;&gt;"",ISNA(MATCH(G2405,ctaNom,0))),"⚠ «Hacia» no existe",IF(AND(I2405="Pago tarjeta",IFERROR(INDEX(ctaTipo,MATCH(G2405,ctaNom,0)),"")&lt;&gt;"Tarjeta de crédito"),"⚠ «Hacia» debe ser la tarjeta",IF(AND(I2405="Trading",IFERROR(INDEX(ctaTipo,MATCH(E2405,ctaNom,0)),"")&lt;&gt;"Cuenta de trading"),"⚠ Usa la cuenta de trading","✓"))))))))))))</f>
        <v/>
      </c>
      <c r="I2405" s="19">
        <f>IF(OR(B2405="",C2405="",D2405=""),"",IFERROR(INDEX(catTipo,MATCH(D2405,catNom,0))&amp;"",""))</f>
        <v/>
      </c>
      <c r="J2405" s="19">
        <f>IF(I2405="","",IFERROR(INDEX(catGrupo,MATCH(D2405,catNom,0))&amp;"",""))</f>
        <v/>
      </c>
      <c r="K2405" s="19">
        <f>IF(I2405="Gasto",IF(IFERROR(INDEX(catClas,MATCH(D2405,catNom,0))&amp;"","")="","Variable",IFERROR(INDEX(catClas,MATCH(D2405,catNom,0))&amp;"","")),"")</f>
        <v/>
      </c>
      <c r="L2405" s="19">
        <f>IF(I2405="","",IFERROR(INDEX(catAlim,MATCH(D2405,catNom,0))&amp;"",""))</f>
        <v/>
      </c>
      <c r="M2405" s="19">
        <f>IF(I2405="","",IFERROR(INDEX(catComida,MATCH(D2405,catNom,0))&amp;"",""))</f>
        <v/>
      </c>
      <c r="N2405" s="19">
        <f>IF(I2405="","",IFERROR(INDEX(ctaMon,MATCH(E2405,ctaNom,0))&amp;"","DOP"))</f>
        <v/>
      </c>
      <c r="O2405" s="20">
        <f>IF(I2405="","",C2405*IF(N2405="USD",TasaUSD,1))</f>
        <v/>
      </c>
      <c r="P2405" s="20">
        <f>IF(I2405="","",IF(I2405="Gasto",O2405,0))</f>
        <v/>
      </c>
      <c r="Q2405" s="20">
        <f>IF(I2405="","",IF(I2405="Ingreso",O2405,0))</f>
        <v/>
      </c>
      <c r="R2405" s="20">
        <f>IF(I2405="","",IF(I2405="Trading",O2405,0))</f>
        <v/>
      </c>
      <c r="S2405" s="19">
        <f>IF(I2405="","",IF(AND(I2405="Gasto",K2405="Variable",J2405&lt;&gt;"Trading",O2405&gt;0,O2405&lt;=Umbral),1,0))</f>
        <v/>
      </c>
      <c r="T2405" s="20">
        <f>IF(OR(I2405="",E2405=""),"",IF(OR(I2405="Gasto",I2405="Transferencia",I2405="Pago tarjeta"),-1,1)*C2405)</f>
        <v/>
      </c>
      <c r="U2405" s="20">
        <f>IF(OR(G2405="",AND(I2405&lt;&gt;"Transferencia",I2405&lt;&gt;"Pago tarjeta")),"",IF(IFERROR(INDEX(ctaMon,MATCH(G2405,ctaNom,0))&amp;"","DOP")=N2405,C2405,IF(N2405="USD",C2405*TasaUSD,C2405/TasaUSD)))</f>
        <v/>
      </c>
      <c r="V2405" s="20">
        <f>IF(I2405="","",IF(IFERROR(INDEX(ctaLiq,MATCH(E2405,ctaNom,0))="Sí",FALSE),IF(OR(I2405="Gasto",I2405="Transferencia",I2405="Pago tarjeta"),-1,1)*O2405,0)+IF(AND(U2405&lt;&gt;"",IFERROR(INDEX(ctaLiq,MATCH(G2405,ctaNom,0))="Sí",FALSE)),O2405,0))</f>
        <v/>
      </c>
      <c r="W2405" s="19">
        <f>IF(OR(F2405="",I2405=""),"",IF(COUNTIFS(F$6:F2405,F2405,I$6:I2405,"?*")=1,MAX(W$5:W2404)+1,""))</f>
        <v/>
      </c>
    </row>
    <row r="2406">
      <c r="B2406" s="15" t="n"/>
      <c r="C2406" s="16" t="n"/>
      <c r="D2406" s="17" t="n"/>
      <c r="E2406" s="17" t="n"/>
      <c r="F2406" s="17" t="n"/>
      <c r="G2406" s="17" t="n"/>
      <c r="H2406" s="18">
        <f>IF(AND(B2406="",C2406="",D2406="",E2406=""),"",IF(B2406="","⚠ Falta fecha",IF(C2406="","⚠ Falta monto",IF(D2406="","⚠ Falta categoría",IF(ISNA(MATCH(D2406,catNom,0)),"⚠ Categoría no existe",IF(E2406="","⚠ Falta cuenta",IF(ISNA(MATCH(E2406,ctaNom,0)),"⚠ Cuenta no existe",IF(AND(OR(I2406="Transferencia",I2406="Pago tarjeta"),G2406=""),"⚠ Indica la cuenta «Hacia»",IF(AND(G2406&lt;&gt;"",G2406=E2406),"⚠ «Hacia» igual a la cuenta",IF(AND(G2406&lt;&gt;"",ISNA(MATCH(G2406,ctaNom,0))),"⚠ «Hacia» no existe",IF(AND(I2406="Pago tarjeta",IFERROR(INDEX(ctaTipo,MATCH(G2406,ctaNom,0)),"")&lt;&gt;"Tarjeta de crédito"),"⚠ «Hacia» debe ser la tarjeta",IF(AND(I2406="Trading",IFERROR(INDEX(ctaTipo,MATCH(E2406,ctaNom,0)),"")&lt;&gt;"Cuenta de trading"),"⚠ Usa la cuenta de trading","✓"))))))))))))</f>
        <v/>
      </c>
      <c r="I2406" s="19">
        <f>IF(OR(B2406="",C2406="",D2406=""),"",IFERROR(INDEX(catTipo,MATCH(D2406,catNom,0))&amp;"",""))</f>
        <v/>
      </c>
      <c r="J2406" s="19">
        <f>IF(I2406="","",IFERROR(INDEX(catGrupo,MATCH(D2406,catNom,0))&amp;"",""))</f>
        <v/>
      </c>
      <c r="K2406" s="19">
        <f>IF(I2406="Gasto",IF(IFERROR(INDEX(catClas,MATCH(D2406,catNom,0))&amp;"","")="","Variable",IFERROR(INDEX(catClas,MATCH(D2406,catNom,0))&amp;"","")),"")</f>
        <v/>
      </c>
      <c r="L2406" s="19">
        <f>IF(I2406="","",IFERROR(INDEX(catAlim,MATCH(D2406,catNom,0))&amp;"",""))</f>
        <v/>
      </c>
      <c r="M2406" s="19">
        <f>IF(I2406="","",IFERROR(INDEX(catComida,MATCH(D2406,catNom,0))&amp;"",""))</f>
        <v/>
      </c>
      <c r="N2406" s="19">
        <f>IF(I2406="","",IFERROR(INDEX(ctaMon,MATCH(E2406,ctaNom,0))&amp;"","DOP"))</f>
        <v/>
      </c>
      <c r="O2406" s="20">
        <f>IF(I2406="","",C2406*IF(N2406="USD",TasaUSD,1))</f>
        <v/>
      </c>
      <c r="P2406" s="20">
        <f>IF(I2406="","",IF(I2406="Gasto",O2406,0))</f>
        <v/>
      </c>
      <c r="Q2406" s="20">
        <f>IF(I2406="","",IF(I2406="Ingreso",O2406,0))</f>
        <v/>
      </c>
      <c r="R2406" s="20">
        <f>IF(I2406="","",IF(I2406="Trading",O2406,0))</f>
        <v/>
      </c>
      <c r="S2406" s="19">
        <f>IF(I2406="","",IF(AND(I2406="Gasto",K2406="Variable",J2406&lt;&gt;"Trading",O2406&gt;0,O2406&lt;=Umbral),1,0))</f>
        <v/>
      </c>
      <c r="T2406" s="20">
        <f>IF(OR(I2406="",E2406=""),"",IF(OR(I2406="Gasto",I2406="Transferencia",I2406="Pago tarjeta"),-1,1)*C2406)</f>
        <v/>
      </c>
      <c r="U2406" s="20">
        <f>IF(OR(G2406="",AND(I2406&lt;&gt;"Transferencia",I2406&lt;&gt;"Pago tarjeta")),"",IF(IFERROR(INDEX(ctaMon,MATCH(G2406,ctaNom,0))&amp;"","DOP")=N2406,C2406,IF(N2406="USD",C2406*TasaUSD,C2406/TasaUSD)))</f>
        <v/>
      </c>
      <c r="V2406" s="20">
        <f>IF(I2406="","",IF(IFERROR(INDEX(ctaLiq,MATCH(E2406,ctaNom,0))="Sí",FALSE),IF(OR(I2406="Gasto",I2406="Transferencia",I2406="Pago tarjeta"),-1,1)*O2406,0)+IF(AND(U2406&lt;&gt;"",IFERROR(INDEX(ctaLiq,MATCH(G2406,ctaNom,0))="Sí",FALSE)),O2406,0))</f>
        <v/>
      </c>
      <c r="W2406" s="19">
        <f>IF(OR(F2406="",I2406=""),"",IF(COUNTIFS(F$6:F2406,F2406,I$6:I2406,"?*")=1,MAX(W$5:W2405)+1,""))</f>
        <v/>
      </c>
    </row>
    <row r="2407">
      <c r="B2407" s="15" t="n"/>
      <c r="C2407" s="16" t="n"/>
      <c r="D2407" s="17" t="n"/>
      <c r="E2407" s="17" t="n"/>
      <c r="F2407" s="17" t="n"/>
      <c r="G2407" s="17" t="n"/>
      <c r="H2407" s="18">
        <f>IF(AND(B2407="",C2407="",D2407="",E2407=""),"",IF(B2407="","⚠ Falta fecha",IF(C2407="","⚠ Falta monto",IF(D2407="","⚠ Falta categoría",IF(ISNA(MATCH(D2407,catNom,0)),"⚠ Categoría no existe",IF(E2407="","⚠ Falta cuenta",IF(ISNA(MATCH(E2407,ctaNom,0)),"⚠ Cuenta no existe",IF(AND(OR(I2407="Transferencia",I2407="Pago tarjeta"),G2407=""),"⚠ Indica la cuenta «Hacia»",IF(AND(G2407&lt;&gt;"",G2407=E2407),"⚠ «Hacia» igual a la cuenta",IF(AND(G2407&lt;&gt;"",ISNA(MATCH(G2407,ctaNom,0))),"⚠ «Hacia» no existe",IF(AND(I2407="Pago tarjeta",IFERROR(INDEX(ctaTipo,MATCH(G2407,ctaNom,0)),"")&lt;&gt;"Tarjeta de crédito"),"⚠ «Hacia» debe ser la tarjeta",IF(AND(I2407="Trading",IFERROR(INDEX(ctaTipo,MATCH(E2407,ctaNom,0)),"")&lt;&gt;"Cuenta de trading"),"⚠ Usa la cuenta de trading","✓"))))))))))))</f>
        <v/>
      </c>
      <c r="I2407" s="19">
        <f>IF(OR(B2407="",C2407="",D2407=""),"",IFERROR(INDEX(catTipo,MATCH(D2407,catNom,0))&amp;"",""))</f>
        <v/>
      </c>
      <c r="J2407" s="19">
        <f>IF(I2407="","",IFERROR(INDEX(catGrupo,MATCH(D2407,catNom,0))&amp;"",""))</f>
        <v/>
      </c>
      <c r="K2407" s="19">
        <f>IF(I2407="Gasto",IF(IFERROR(INDEX(catClas,MATCH(D2407,catNom,0))&amp;"","")="","Variable",IFERROR(INDEX(catClas,MATCH(D2407,catNom,0))&amp;"","")),"")</f>
        <v/>
      </c>
      <c r="L2407" s="19">
        <f>IF(I2407="","",IFERROR(INDEX(catAlim,MATCH(D2407,catNom,0))&amp;"",""))</f>
        <v/>
      </c>
      <c r="M2407" s="19">
        <f>IF(I2407="","",IFERROR(INDEX(catComida,MATCH(D2407,catNom,0))&amp;"",""))</f>
        <v/>
      </c>
      <c r="N2407" s="19">
        <f>IF(I2407="","",IFERROR(INDEX(ctaMon,MATCH(E2407,ctaNom,0))&amp;"","DOP"))</f>
        <v/>
      </c>
      <c r="O2407" s="20">
        <f>IF(I2407="","",C2407*IF(N2407="USD",TasaUSD,1))</f>
        <v/>
      </c>
      <c r="P2407" s="20">
        <f>IF(I2407="","",IF(I2407="Gasto",O2407,0))</f>
        <v/>
      </c>
      <c r="Q2407" s="20">
        <f>IF(I2407="","",IF(I2407="Ingreso",O2407,0))</f>
        <v/>
      </c>
      <c r="R2407" s="20">
        <f>IF(I2407="","",IF(I2407="Trading",O2407,0))</f>
        <v/>
      </c>
      <c r="S2407" s="19">
        <f>IF(I2407="","",IF(AND(I2407="Gasto",K2407="Variable",J2407&lt;&gt;"Trading",O2407&gt;0,O2407&lt;=Umbral),1,0))</f>
        <v/>
      </c>
      <c r="T2407" s="20">
        <f>IF(OR(I2407="",E2407=""),"",IF(OR(I2407="Gasto",I2407="Transferencia",I2407="Pago tarjeta"),-1,1)*C2407)</f>
        <v/>
      </c>
      <c r="U2407" s="20">
        <f>IF(OR(G2407="",AND(I2407&lt;&gt;"Transferencia",I2407&lt;&gt;"Pago tarjeta")),"",IF(IFERROR(INDEX(ctaMon,MATCH(G2407,ctaNom,0))&amp;"","DOP")=N2407,C2407,IF(N2407="USD",C2407*TasaUSD,C2407/TasaUSD)))</f>
        <v/>
      </c>
      <c r="V2407" s="20">
        <f>IF(I2407="","",IF(IFERROR(INDEX(ctaLiq,MATCH(E2407,ctaNom,0))="Sí",FALSE),IF(OR(I2407="Gasto",I2407="Transferencia",I2407="Pago tarjeta"),-1,1)*O2407,0)+IF(AND(U2407&lt;&gt;"",IFERROR(INDEX(ctaLiq,MATCH(G2407,ctaNom,0))="Sí",FALSE)),O2407,0))</f>
        <v/>
      </c>
      <c r="W2407" s="19">
        <f>IF(OR(F2407="",I2407=""),"",IF(COUNTIFS(F$6:F2407,F2407,I$6:I2407,"?*")=1,MAX(W$5:W2406)+1,""))</f>
        <v/>
      </c>
    </row>
    <row r="2408">
      <c r="B2408" s="15" t="n"/>
      <c r="C2408" s="16" t="n"/>
      <c r="D2408" s="17" t="n"/>
      <c r="E2408" s="17" t="n"/>
      <c r="F2408" s="17" t="n"/>
      <c r="G2408" s="17" t="n"/>
      <c r="H2408" s="18">
        <f>IF(AND(B2408="",C2408="",D2408="",E2408=""),"",IF(B2408="","⚠ Falta fecha",IF(C2408="","⚠ Falta monto",IF(D2408="","⚠ Falta categoría",IF(ISNA(MATCH(D2408,catNom,0)),"⚠ Categoría no existe",IF(E2408="","⚠ Falta cuenta",IF(ISNA(MATCH(E2408,ctaNom,0)),"⚠ Cuenta no existe",IF(AND(OR(I2408="Transferencia",I2408="Pago tarjeta"),G2408=""),"⚠ Indica la cuenta «Hacia»",IF(AND(G2408&lt;&gt;"",G2408=E2408),"⚠ «Hacia» igual a la cuenta",IF(AND(G2408&lt;&gt;"",ISNA(MATCH(G2408,ctaNom,0))),"⚠ «Hacia» no existe",IF(AND(I2408="Pago tarjeta",IFERROR(INDEX(ctaTipo,MATCH(G2408,ctaNom,0)),"")&lt;&gt;"Tarjeta de crédito"),"⚠ «Hacia» debe ser la tarjeta",IF(AND(I2408="Trading",IFERROR(INDEX(ctaTipo,MATCH(E2408,ctaNom,0)),"")&lt;&gt;"Cuenta de trading"),"⚠ Usa la cuenta de trading","✓"))))))))))))</f>
        <v/>
      </c>
      <c r="I2408" s="19">
        <f>IF(OR(B2408="",C2408="",D2408=""),"",IFERROR(INDEX(catTipo,MATCH(D2408,catNom,0))&amp;"",""))</f>
        <v/>
      </c>
      <c r="J2408" s="19">
        <f>IF(I2408="","",IFERROR(INDEX(catGrupo,MATCH(D2408,catNom,0))&amp;"",""))</f>
        <v/>
      </c>
      <c r="K2408" s="19">
        <f>IF(I2408="Gasto",IF(IFERROR(INDEX(catClas,MATCH(D2408,catNom,0))&amp;"","")="","Variable",IFERROR(INDEX(catClas,MATCH(D2408,catNom,0))&amp;"","")),"")</f>
        <v/>
      </c>
      <c r="L2408" s="19">
        <f>IF(I2408="","",IFERROR(INDEX(catAlim,MATCH(D2408,catNom,0))&amp;"",""))</f>
        <v/>
      </c>
      <c r="M2408" s="19">
        <f>IF(I2408="","",IFERROR(INDEX(catComida,MATCH(D2408,catNom,0))&amp;"",""))</f>
        <v/>
      </c>
      <c r="N2408" s="19">
        <f>IF(I2408="","",IFERROR(INDEX(ctaMon,MATCH(E2408,ctaNom,0))&amp;"","DOP"))</f>
        <v/>
      </c>
      <c r="O2408" s="20">
        <f>IF(I2408="","",C2408*IF(N2408="USD",TasaUSD,1))</f>
        <v/>
      </c>
      <c r="P2408" s="20">
        <f>IF(I2408="","",IF(I2408="Gasto",O2408,0))</f>
        <v/>
      </c>
      <c r="Q2408" s="20">
        <f>IF(I2408="","",IF(I2408="Ingreso",O2408,0))</f>
        <v/>
      </c>
      <c r="R2408" s="20">
        <f>IF(I2408="","",IF(I2408="Trading",O2408,0))</f>
        <v/>
      </c>
      <c r="S2408" s="19">
        <f>IF(I2408="","",IF(AND(I2408="Gasto",K2408="Variable",J2408&lt;&gt;"Trading",O2408&gt;0,O2408&lt;=Umbral),1,0))</f>
        <v/>
      </c>
      <c r="T2408" s="20">
        <f>IF(OR(I2408="",E2408=""),"",IF(OR(I2408="Gasto",I2408="Transferencia",I2408="Pago tarjeta"),-1,1)*C2408)</f>
        <v/>
      </c>
      <c r="U2408" s="20">
        <f>IF(OR(G2408="",AND(I2408&lt;&gt;"Transferencia",I2408&lt;&gt;"Pago tarjeta")),"",IF(IFERROR(INDEX(ctaMon,MATCH(G2408,ctaNom,0))&amp;"","DOP")=N2408,C2408,IF(N2408="USD",C2408*TasaUSD,C2408/TasaUSD)))</f>
        <v/>
      </c>
      <c r="V2408" s="20">
        <f>IF(I2408="","",IF(IFERROR(INDEX(ctaLiq,MATCH(E2408,ctaNom,0))="Sí",FALSE),IF(OR(I2408="Gasto",I2408="Transferencia",I2408="Pago tarjeta"),-1,1)*O2408,0)+IF(AND(U2408&lt;&gt;"",IFERROR(INDEX(ctaLiq,MATCH(G2408,ctaNom,0))="Sí",FALSE)),O2408,0))</f>
        <v/>
      </c>
      <c r="W2408" s="19">
        <f>IF(OR(F2408="",I2408=""),"",IF(COUNTIFS(F$6:F2408,F2408,I$6:I2408,"?*")=1,MAX(W$5:W2407)+1,""))</f>
        <v/>
      </c>
    </row>
    <row r="2409">
      <c r="B2409" s="15" t="n"/>
      <c r="C2409" s="16" t="n"/>
      <c r="D2409" s="17" t="n"/>
      <c r="E2409" s="17" t="n"/>
      <c r="F2409" s="17" t="n"/>
      <c r="G2409" s="17" t="n"/>
      <c r="H2409" s="18">
        <f>IF(AND(B2409="",C2409="",D2409="",E2409=""),"",IF(B2409="","⚠ Falta fecha",IF(C2409="","⚠ Falta monto",IF(D2409="","⚠ Falta categoría",IF(ISNA(MATCH(D2409,catNom,0)),"⚠ Categoría no existe",IF(E2409="","⚠ Falta cuenta",IF(ISNA(MATCH(E2409,ctaNom,0)),"⚠ Cuenta no existe",IF(AND(OR(I2409="Transferencia",I2409="Pago tarjeta"),G2409=""),"⚠ Indica la cuenta «Hacia»",IF(AND(G2409&lt;&gt;"",G2409=E2409),"⚠ «Hacia» igual a la cuenta",IF(AND(G2409&lt;&gt;"",ISNA(MATCH(G2409,ctaNom,0))),"⚠ «Hacia» no existe",IF(AND(I2409="Pago tarjeta",IFERROR(INDEX(ctaTipo,MATCH(G2409,ctaNom,0)),"")&lt;&gt;"Tarjeta de crédito"),"⚠ «Hacia» debe ser la tarjeta",IF(AND(I2409="Trading",IFERROR(INDEX(ctaTipo,MATCH(E2409,ctaNom,0)),"")&lt;&gt;"Cuenta de trading"),"⚠ Usa la cuenta de trading","✓"))))))))))))</f>
        <v/>
      </c>
      <c r="I2409" s="19">
        <f>IF(OR(B2409="",C2409="",D2409=""),"",IFERROR(INDEX(catTipo,MATCH(D2409,catNom,0))&amp;"",""))</f>
        <v/>
      </c>
      <c r="J2409" s="19">
        <f>IF(I2409="","",IFERROR(INDEX(catGrupo,MATCH(D2409,catNom,0))&amp;"",""))</f>
        <v/>
      </c>
      <c r="K2409" s="19">
        <f>IF(I2409="Gasto",IF(IFERROR(INDEX(catClas,MATCH(D2409,catNom,0))&amp;"","")="","Variable",IFERROR(INDEX(catClas,MATCH(D2409,catNom,0))&amp;"","")),"")</f>
        <v/>
      </c>
      <c r="L2409" s="19">
        <f>IF(I2409="","",IFERROR(INDEX(catAlim,MATCH(D2409,catNom,0))&amp;"",""))</f>
        <v/>
      </c>
      <c r="M2409" s="19">
        <f>IF(I2409="","",IFERROR(INDEX(catComida,MATCH(D2409,catNom,0))&amp;"",""))</f>
        <v/>
      </c>
      <c r="N2409" s="19">
        <f>IF(I2409="","",IFERROR(INDEX(ctaMon,MATCH(E2409,ctaNom,0))&amp;"","DOP"))</f>
        <v/>
      </c>
      <c r="O2409" s="20">
        <f>IF(I2409="","",C2409*IF(N2409="USD",TasaUSD,1))</f>
        <v/>
      </c>
      <c r="P2409" s="20">
        <f>IF(I2409="","",IF(I2409="Gasto",O2409,0))</f>
        <v/>
      </c>
      <c r="Q2409" s="20">
        <f>IF(I2409="","",IF(I2409="Ingreso",O2409,0))</f>
        <v/>
      </c>
      <c r="R2409" s="20">
        <f>IF(I2409="","",IF(I2409="Trading",O2409,0))</f>
        <v/>
      </c>
      <c r="S2409" s="19">
        <f>IF(I2409="","",IF(AND(I2409="Gasto",K2409="Variable",J2409&lt;&gt;"Trading",O2409&gt;0,O2409&lt;=Umbral),1,0))</f>
        <v/>
      </c>
      <c r="T2409" s="20">
        <f>IF(OR(I2409="",E2409=""),"",IF(OR(I2409="Gasto",I2409="Transferencia",I2409="Pago tarjeta"),-1,1)*C2409)</f>
        <v/>
      </c>
      <c r="U2409" s="20">
        <f>IF(OR(G2409="",AND(I2409&lt;&gt;"Transferencia",I2409&lt;&gt;"Pago tarjeta")),"",IF(IFERROR(INDEX(ctaMon,MATCH(G2409,ctaNom,0))&amp;"","DOP")=N2409,C2409,IF(N2409="USD",C2409*TasaUSD,C2409/TasaUSD)))</f>
        <v/>
      </c>
      <c r="V2409" s="20">
        <f>IF(I2409="","",IF(IFERROR(INDEX(ctaLiq,MATCH(E2409,ctaNom,0))="Sí",FALSE),IF(OR(I2409="Gasto",I2409="Transferencia",I2409="Pago tarjeta"),-1,1)*O2409,0)+IF(AND(U2409&lt;&gt;"",IFERROR(INDEX(ctaLiq,MATCH(G2409,ctaNom,0))="Sí",FALSE)),O2409,0))</f>
        <v/>
      </c>
      <c r="W2409" s="19">
        <f>IF(OR(F2409="",I2409=""),"",IF(COUNTIFS(F$6:F2409,F2409,I$6:I2409,"?*")=1,MAX(W$5:W2408)+1,""))</f>
        <v/>
      </c>
    </row>
    <row r="2410">
      <c r="B2410" s="15" t="n"/>
      <c r="C2410" s="16" t="n"/>
      <c r="D2410" s="17" t="n"/>
      <c r="E2410" s="17" t="n"/>
      <c r="F2410" s="17" t="n"/>
      <c r="G2410" s="17" t="n"/>
      <c r="H2410" s="18">
        <f>IF(AND(B2410="",C2410="",D2410="",E2410=""),"",IF(B2410="","⚠ Falta fecha",IF(C2410="","⚠ Falta monto",IF(D2410="","⚠ Falta categoría",IF(ISNA(MATCH(D2410,catNom,0)),"⚠ Categoría no existe",IF(E2410="","⚠ Falta cuenta",IF(ISNA(MATCH(E2410,ctaNom,0)),"⚠ Cuenta no existe",IF(AND(OR(I2410="Transferencia",I2410="Pago tarjeta"),G2410=""),"⚠ Indica la cuenta «Hacia»",IF(AND(G2410&lt;&gt;"",G2410=E2410),"⚠ «Hacia» igual a la cuenta",IF(AND(G2410&lt;&gt;"",ISNA(MATCH(G2410,ctaNom,0))),"⚠ «Hacia» no existe",IF(AND(I2410="Pago tarjeta",IFERROR(INDEX(ctaTipo,MATCH(G2410,ctaNom,0)),"")&lt;&gt;"Tarjeta de crédito"),"⚠ «Hacia» debe ser la tarjeta",IF(AND(I2410="Trading",IFERROR(INDEX(ctaTipo,MATCH(E2410,ctaNom,0)),"")&lt;&gt;"Cuenta de trading"),"⚠ Usa la cuenta de trading","✓"))))))))))))</f>
        <v/>
      </c>
      <c r="I2410" s="19">
        <f>IF(OR(B2410="",C2410="",D2410=""),"",IFERROR(INDEX(catTipo,MATCH(D2410,catNom,0))&amp;"",""))</f>
        <v/>
      </c>
      <c r="J2410" s="19">
        <f>IF(I2410="","",IFERROR(INDEX(catGrupo,MATCH(D2410,catNom,0))&amp;"",""))</f>
        <v/>
      </c>
      <c r="K2410" s="19">
        <f>IF(I2410="Gasto",IF(IFERROR(INDEX(catClas,MATCH(D2410,catNom,0))&amp;"","")="","Variable",IFERROR(INDEX(catClas,MATCH(D2410,catNom,0))&amp;"","")),"")</f>
        <v/>
      </c>
      <c r="L2410" s="19">
        <f>IF(I2410="","",IFERROR(INDEX(catAlim,MATCH(D2410,catNom,0))&amp;"",""))</f>
        <v/>
      </c>
      <c r="M2410" s="19">
        <f>IF(I2410="","",IFERROR(INDEX(catComida,MATCH(D2410,catNom,0))&amp;"",""))</f>
        <v/>
      </c>
      <c r="N2410" s="19">
        <f>IF(I2410="","",IFERROR(INDEX(ctaMon,MATCH(E2410,ctaNom,0))&amp;"","DOP"))</f>
        <v/>
      </c>
      <c r="O2410" s="20">
        <f>IF(I2410="","",C2410*IF(N2410="USD",TasaUSD,1))</f>
        <v/>
      </c>
      <c r="P2410" s="20">
        <f>IF(I2410="","",IF(I2410="Gasto",O2410,0))</f>
        <v/>
      </c>
      <c r="Q2410" s="20">
        <f>IF(I2410="","",IF(I2410="Ingreso",O2410,0))</f>
        <v/>
      </c>
      <c r="R2410" s="20">
        <f>IF(I2410="","",IF(I2410="Trading",O2410,0))</f>
        <v/>
      </c>
      <c r="S2410" s="19">
        <f>IF(I2410="","",IF(AND(I2410="Gasto",K2410="Variable",J2410&lt;&gt;"Trading",O2410&gt;0,O2410&lt;=Umbral),1,0))</f>
        <v/>
      </c>
      <c r="T2410" s="20">
        <f>IF(OR(I2410="",E2410=""),"",IF(OR(I2410="Gasto",I2410="Transferencia",I2410="Pago tarjeta"),-1,1)*C2410)</f>
        <v/>
      </c>
      <c r="U2410" s="20">
        <f>IF(OR(G2410="",AND(I2410&lt;&gt;"Transferencia",I2410&lt;&gt;"Pago tarjeta")),"",IF(IFERROR(INDEX(ctaMon,MATCH(G2410,ctaNom,0))&amp;"","DOP")=N2410,C2410,IF(N2410="USD",C2410*TasaUSD,C2410/TasaUSD)))</f>
        <v/>
      </c>
      <c r="V2410" s="20">
        <f>IF(I2410="","",IF(IFERROR(INDEX(ctaLiq,MATCH(E2410,ctaNom,0))="Sí",FALSE),IF(OR(I2410="Gasto",I2410="Transferencia",I2410="Pago tarjeta"),-1,1)*O2410,0)+IF(AND(U2410&lt;&gt;"",IFERROR(INDEX(ctaLiq,MATCH(G2410,ctaNom,0))="Sí",FALSE)),O2410,0))</f>
        <v/>
      </c>
      <c r="W2410" s="19">
        <f>IF(OR(F2410="",I2410=""),"",IF(COUNTIFS(F$6:F2410,F2410,I$6:I2410,"?*")=1,MAX(W$5:W2409)+1,""))</f>
        <v/>
      </c>
    </row>
    <row r="2411">
      <c r="B2411" s="15" t="n"/>
      <c r="C2411" s="16" t="n"/>
      <c r="D2411" s="17" t="n"/>
      <c r="E2411" s="17" t="n"/>
      <c r="F2411" s="17" t="n"/>
      <c r="G2411" s="17" t="n"/>
      <c r="H2411" s="18">
        <f>IF(AND(B2411="",C2411="",D2411="",E2411=""),"",IF(B2411="","⚠ Falta fecha",IF(C2411="","⚠ Falta monto",IF(D2411="","⚠ Falta categoría",IF(ISNA(MATCH(D2411,catNom,0)),"⚠ Categoría no existe",IF(E2411="","⚠ Falta cuenta",IF(ISNA(MATCH(E2411,ctaNom,0)),"⚠ Cuenta no existe",IF(AND(OR(I2411="Transferencia",I2411="Pago tarjeta"),G2411=""),"⚠ Indica la cuenta «Hacia»",IF(AND(G2411&lt;&gt;"",G2411=E2411),"⚠ «Hacia» igual a la cuenta",IF(AND(G2411&lt;&gt;"",ISNA(MATCH(G2411,ctaNom,0))),"⚠ «Hacia» no existe",IF(AND(I2411="Pago tarjeta",IFERROR(INDEX(ctaTipo,MATCH(G2411,ctaNom,0)),"")&lt;&gt;"Tarjeta de crédito"),"⚠ «Hacia» debe ser la tarjeta",IF(AND(I2411="Trading",IFERROR(INDEX(ctaTipo,MATCH(E2411,ctaNom,0)),"")&lt;&gt;"Cuenta de trading"),"⚠ Usa la cuenta de trading","✓"))))))))))))</f>
        <v/>
      </c>
      <c r="I2411" s="19">
        <f>IF(OR(B2411="",C2411="",D2411=""),"",IFERROR(INDEX(catTipo,MATCH(D2411,catNom,0))&amp;"",""))</f>
        <v/>
      </c>
      <c r="J2411" s="19">
        <f>IF(I2411="","",IFERROR(INDEX(catGrupo,MATCH(D2411,catNom,0))&amp;"",""))</f>
        <v/>
      </c>
      <c r="K2411" s="19">
        <f>IF(I2411="Gasto",IF(IFERROR(INDEX(catClas,MATCH(D2411,catNom,0))&amp;"","")="","Variable",IFERROR(INDEX(catClas,MATCH(D2411,catNom,0))&amp;"","")),"")</f>
        <v/>
      </c>
      <c r="L2411" s="19">
        <f>IF(I2411="","",IFERROR(INDEX(catAlim,MATCH(D2411,catNom,0))&amp;"",""))</f>
        <v/>
      </c>
      <c r="M2411" s="19">
        <f>IF(I2411="","",IFERROR(INDEX(catComida,MATCH(D2411,catNom,0))&amp;"",""))</f>
        <v/>
      </c>
      <c r="N2411" s="19">
        <f>IF(I2411="","",IFERROR(INDEX(ctaMon,MATCH(E2411,ctaNom,0))&amp;"","DOP"))</f>
        <v/>
      </c>
      <c r="O2411" s="20">
        <f>IF(I2411="","",C2411*IF(N2411="USD",TasaUSD,1))</f>
        <v/>
      </c>
      <c r="P2411" s="20">
        <f>IF(I2411="","",IF(I2411="Gasto",O2411,0))</f>
        <v/>
      </c>
      <c r="Q2411" s="20">
        <f>IF(I2411="","",IF(I2411="Ingreso",O2411,0))</f>
        <v/>
      </c>
      <c r="R2411" s="20">
        <f>IF(I2411="","",IF(I2411="Trading",O2411,0))</f>
        <v/>
      </c>
      <c r="S2411" s="19">
        <f>IF(I2411="","",IF(AND(I2411="Gasto",K2411="Variable",J2411&lt;&gt;"Trading",O2411&gt;0,O2411&lt;=Umbral),1,0))</f>
        <v/>
      </c>
      <c r="T2411" s="20">
        <f>IF(OR(I2411="",E2411=""),"",IF(OR(I2411="Gasto",I2411="Transferencia",I2411="Pago tarjeta"),-1,1)*C2411)</f>
        <v/>
      </c>
      <c r="U2411" s="20">
        <f>IF(OR(G2411="",AND(I2411&lt;&gt;"Transferencia",I2411&lt;&gt;"Pago tarjeta")),"",IF(IFERROR(INDEX(ctaMon,MATCH(G2411,ctaNom,0))&amp;"","DOP")=N2411,C2411,IF(N2411="USD",C2411*TasaUSD,C2411/TasaUSD)))</f>
        <v/>
      </c>
      <c r="V2411" s="20">
        <f>IF(I2411="","",IF(IFERROR(INDEX(ctaLiq,MATCH(E2411,ctaNom,0))="Sí",FALSE),IF(OR(I2411="Gasto",I2411="Transferencia",I2411="Pago tarjeta"),-1,1)*O2411,0)+IF(AND(U2411&lt;&gt;"",IFERROR(INDEX(ctaLiq,MATCH(G2411,ctaNom,0))="Sí",FALSE)),O2411,0))</f>
        <v/>
      </c>
      <c r="W2411" s="19">
        <f>IF(OR(F2411="",I2411=""),"",IF(COUNTIFS(F$6:F2411,F2411,I$6:I2411,"?*")=1,MAX(W$5:W2410)+1,""))</f>
        <v/>
      </c>
    </row>
    <row r="2412">
      <c r="B2412" s="15" t="n"/>
      <c r="C2412" s="16" t="n"/>
      <c r="D2412" s="17" t="n"/>
      <c r="E2412" s="17" t="n"/>
      <c r="F2412" s="17" t="n"/>
      <c r="G2412" s="17" t="n"/>
      <c r="H2412" s="18">
        <f>IF(AND(B2412="",C2412="",D2412="",E2412=""),"",IF(B2412="","⚠ Falta fecha",IF(C2412="","⚠ Falta monto",IF(D2412="","⚠ Falta categoría",IF(ISNA(MATCH(D2412,catNom,0)),"⚠ Categoría no existe",IF(E2412="","⚠ Falta cuenta",IF(ISNA(MATCH(E2412,ctaNom,0)),"⚠ Cuenta no existe",IF(AND(OR(I2412="Transferencia",I2412="Pago tarjeta"),G2412=""),"⚠ Indica la cuenta «Hacia»",IF(AND(G2412&lt;&gt;"",G2412=E2412),"⚠ «Hacia» igual a la cuenta",IF(AND(G2412&lt;&gt;"",ISNA(MATCH(G2412,ctaNom,0))),"⚠ «Hacia» no existe",IF(AND(I2412="Pago tarjeta",IFERROR(INDEX(ctaTipo,MATCH(G2412,ctaNom,0)),"")&lt;&gt;"Tarjeta de crédito"),"⚠ «Hacia» debe ser la tarjeta",IF(AND(I2412="Trading",IFERROR(INDEX(ctaTipo,MATCH(E2412,ctaNom,0)),"")&lt;&gt;"Cuenta de trading"),"⚠ Usa la cuenta de trading","✓"))))))))))))</f>
        <v/>
      </c>
      <c r="I2412" s="19">
        <f>IF(OR(B2412="",C2412="",D2412=""),"",IFERROR(INDEX(catTipo,MATCH(D2412,catNom,0))&amp;"",""))</f>
        <v/>
      </c>
      <c r="J2412" s="19">
        <f>IF(I2412="","",IFERROR(INDEX(catGrupo,MATCH(D2412,catNom,0))&amp;"",""))</f>
        <v/>
      </c>
      <c r="K2412" s="19">
        <f>IF(I2412="Gasto",IF(IFERROR(INDEX(catClas,MATCH(D2412,catNom,0))&amp;"","")="","Variable",IFERROR(INDEX(catClas,MATCH(D2412,catNom,0))&amp;"","")),"")</f>
        <v/>
      </c>
      <c r="L2412" s="19">
        <f>IF(I2412="","",IFERROR(INDEX(catAlim,MATCH(D2412,catNom,0))&amp;"",""))</f>
        <v/>
      </c>
      <c r="M2412" s="19">
        <f>IF(I2412="","",IFERROR(INDEX(catComida,MATCH(D2412,catNom,0))&amp;"",""))</f>
        <v/>
      </c>
      <c r="N2412" s="19">
        <f>IF(I2412="","",IFERROR(INDEX(ctaMon,MATCH(E2412,ctaNom,0))&amp;"","DOP"))</f>
        <v/>
      </c>
      <c r="O2412" s="20">
        <f>IF(I2412="","",C2412*IF(N2412="USD",TasaUSD,1))</f>
        <v/>
      </c>
      <c r="P2412" s="20">
        <f>IF(I2412="","",IF(I2412="Gasto",O2412,0))</f>
        <v/>
      </c>
      <c r="Q2412" s="20">
        <f>IF(I2412="","",IF(I2412="Ingreso",O2412,0))</f>
        <v/>
      </c>
      <c r="R2412" s="20">
        <f>IF(I2412="","",IF(I2412="Trading",O2412,0))</f>
        <v/>
      </c>
      <c r="S2412" s="19">
        <f>IF(I2412="","",IF(AND(I2412="Gasto",K2412="Variable",J2412&lt;&gt;"Trading",O2412&gt;0,O2412&lt;=Umbral),1,0))</f>
        <v/>
      </c>
      <c r="T2412" s="20">
        <f>IF(OR(I2412="",E2412=""),"",IF(OR(I2412="Gasto",I2412="Transferencia",I2412="Pago tarjeta"),-1,1)*C2412)</f>
        <v/>
      </c>
      <c r="U2412" s="20">
        <f>IF(OR(G2412="",AND(I2412&lt;&gt;"Transferencia",I2412&lt;&gt;"Pago tarjeta")),"",IF(IFERROR(INDEX(ctaMon,MATCH(G2412,ctaNom,0))&amp;"","DOP")=N2412,C2412,IF(N2412="USD",C2412*TasaUSD,C2412/TasaUSD)))</f>
        <v/>
      </c>
      <c r="V2412" s="20">
        <f>IF(I2412="","",IF(IFERROR(INDEX(ctaLiq,MATCH(E2412,ctaNom,0))="Sí",FALSE),IF(OR(I2412="Gasto",I2412="Transferencia",I2412="Pago tarjeta"),-1,1)*O2412,0)+IF(AND(U2412&lt;&gt;"",IFERROR(INDEX(ctaLiq,MATCH(G2412,ctaNom,0))="Sí",FALSE)),O2412,0))</f>
        <v/>
      </c>
      <c r="W2412" s="19">
        <f>IF(OR(F2412="",I2412=""),"",IF(COUNTIFS(F$6:F2412,F2412,I$6:I2412,"?*")=1,MAX(W$5:W2411)+1,""))</f>
        <v/>
      </c>
    </row>
    <row r="2413">
      <c r="B2413" s="15" t="n"/>
      <c r="C2413" s="16" t="n"/>
      <c r="D2413" s="17" t="n"/>
      <c r="E2413" s="17" t="n"/>
      <c r="F2413" s="17" t="n"/>
      <c r="G2413" s="17" t="n"/>
      <c r="H2413" s="18">
        <f>IF(AND(B2413="",C2413="",D2413="",E2413=""),"",IF(B2413="","⚠ Falta fecha",IF(C2413="","⚠ Falta monto",IF(D2413="","⚠ Falta categoría",IF(ISNA(MATCH(D2413,catNom,0)),"⚠ Categoría no existe",IF(E2413="","⚠ Falta cuenta",IF(ISNA(MATCH(E2413,ctaNom,0)),"⚠ Cuenta no existe",IF(AND(OR(I2413="Transferencia",I2413="Pago tarjeta"),G2413=""),"⚠ Indica la cuenta «Hacia»",IF(AND(G2413&lt;&gt;"",G2413=E2413),"⚠ «Hacia» igual a la cuenta",IF(AND(G2413&lt;&gt;"",ISNA(MATCH(G2413,ctaNom,0))),"⚠ «Hacia» no existe",IF(AND(I2413="Pago tarjeta",IFERROR(INDEX(ctaTipo,MATCH(G2413,ctaNom,0)),"")&lt;&gt;"Tarjeta de crédito"),"⚠ «Hacia» debe ser la tarjeta",IF(AND(I2413="Trading",IFERROR(INDEX(ctaTipo,MATCH(E2413,ctaNom,0)),"")&lt;&gt;"Cuenta de trading"),"⚠ Usa la cuenta de trading","✓"))))))))))))</f>
        <v/>
      </c>
      <c r="I2413" s="19">
        <f>IF(OR(B2413="",C2413="",D2413=""),"",IFERROR(INDEX(catTipo,MATCH(D2413,catNom,0))&amp;"",""))</f>
        <v/>
      </c>
      <c r="J2413" s="19">
        <f>IF(I2413="","",IFERROR(INDEX(catGrupo,MATCH(D2413,catNom,0))&amp;"",""))</f>
        <v/>
      </c>
      <c r="K2413" s="19">
        <f>IF(I2413="Gasto",IF(IFERROR(INDEX(catClas,MATCH(D2413,catNom,0))&amp;"","")="","Variable",IFERROR(INDEX(catClas,MATCH(D2413,catNom,0))&amp;"","")),"")</f>
        <v/>
      </c>
      <c r="L2413" s="19">
        <f>IF(I2413="","",IFERROR(INDEX(catAlim,MATCH(D2413,catNom,0))&amp;"",""))</f>
        <v/>
      </c>
      <c r="M2413" s="19">
        <f>IF(I2413="","",IFERROR(INDEX(catComida,MATCH(D2413,catNom,0))&amp;"",""))</f>
        <v/>
      </c>
      <c r="N2413" s="19">
        <f>IF(I2413="","",IFERROR(INDEX(ctaMon,MATCH(E2413,ctaNom,0))&amp;"","DOP"))</f>
        <v/>
      </c>
      <c r="O2413" s="20">
        <f>IF(I2413="","",C2413*IF(N2413="USD",TasaUSD,1))</f>
        <v/>
      </c>
      <c r="P2413" s="20">
        <f>IF(I2413="","",IF(I2413="Gasto",O2413,0))</f>
        <v/>
      </c>
      <c r="Q2413" s="20">
        <f>IF(I2413="","",IF(I2413="Ingreso",O2413,0))</f>
        <v/>
      </c>
      <c r="R2413" s="20">
        <f>IF(I2413="","",IF(I2413="Trading",O2413,0))</f>
        <v/>
      </c>
      <c r="S2413" s="19">
        <f>IF(I2413="","",IF(AND(I2413="Gasto",K2413="Variable",J2413&lt;&gt;"Trading",O2413&gt;0,O2413&lt;=Umbral),1,0))</f>
        <v/>
      </c>
      <c r="T2413" s="20">
        <f>IF(OR(I2413="",E2413=""),"",IF(OR(I2413="Gasto",I2413="Transferencia",I2413="Pago tarjeta"),-1,1)*C2413)</f>
        <v/>
      </c>
      <c r="U2413" s="20">
        <f>IF(OR(G2413="",AND(I2413&lt;&gt;"Transferencia",I2413&lt;&gt;"Pago tarjeta")),"",IF(IFERROR(INDEX(ctaMon,MATCH(G2413,ctaNom,0))&amp;"","DOP")=N2413,C2413,IF(N2413="USD",C2413*TasaUSD,C2413/TasaUSD)))</f>
        <v/>
      </c>
      <c r="V2413" s="20">
        <f>IF(I2413="","",IF(IFERROR(INDEX(ctaLiq,MATCH(E2413,ctaNom,0))="Sí",FALSE),IF(OR(I2413="Gasto",I2413="Transferencia",I2413="Pago tarjeta"),-1,1)*O2413,0)+IF(AND(U2413&lt;&gt;"",IFERROR(INDEX(ctaLiq,MATCH(G2413,ctaNom,0))="Sí",FALSE)),O2413,0))</f>
        <v/>
      </c>
      <c r="W2413" s="19">
        <f>IF(OR(F2413="",I2413=""),"",IF(COUNTIFS(F$6:F2413,F2413,I$6:I2413,"?*")=1,MAX(W$5:W2412)+1,""))</f>
        <v/>
      </c>
    </row>
    <row r="2414">
      <c r="B2414" s="15" t="n"/>
      <c r="C2414" s="16" t="n"/>
      <c r="D2414" s="17" t="n"/>
      <c r="E2414" s="17" t="n"/>
      <c r="F2414" s="17" t="n"/>
      <c r="G2414" s="17" t="n"/>
      <c r="H2414" s="18">
        <f>IF(AND(B2414="",C2414="",D2414="",E2414=""),"",IF(B2414="","⚠ Falta fecha",IF(C2414="","⚠ Falta monto",IF(D2414="","⚠ Falta categoría",IF(ISNA(MATCH(D2414,catNom,0)),"⚠ Categoría no existe",IF(E2414="","⚠ Falta cuenta",IF(ISNA(MATCH(E2414,ctaNom,0)),"⚠ Cuenta no existe",IF(AND(OR(I2414="Transferencia",I2414="Pago tarjeta"),G2414=""),"⚠ Indica la cuenta «Hacia»",IF(AND(G2414&lt;&gt;"",G2414=E2414),"⚠ «Hacia» igual a la cuenta",IF(AND(G2414&lt;&gt;"",ISNA(MATCH(G2414,ctaNom,0))),"⚠ «Hacia» no existe",IF(AND(I2414="Pago tarjeta",IFERROR(INDEX(ctaTipo,MATCH(G2414,ctaNom,0)),"")&lt;&gt;"Tarjeta de crédito"),"⚠ «Hacia» debe ser la tarjeta",IF(AND(I2414="Trading",IFERROR(INDEX(ctaTipo,MATCH(E2414,ctaNom,0)),"")&lt;&gt;"Cuenta de trading"),"⚠ Usa la cuenta de trading","✓"))))))))))))</f>
        <v/>
      </c>
      <c r="I2414" s="19">
        <f>IF(OR(B2414="",C2414="",D2414=""),"",IFERROR(INDEX(catTipo,MATCH(D2414,catNom,0))&amp;"",""))</f>
        <v/>
      </c>
      <c r="J2414" s="19">
        <f>IF(I2414="","",IFERROR(INDEX(catGrupo,MATCH(D2414,catNom,0))&amp;"",""))</f>
        <v/>
      </c>
      <c r="K2414" s="19">
        <f>IF(I2414="Gasto",IF(IFERROR(INDEX(catClas,MATCH(D2414,catNom,0))&amp;"","")="","Variable",IFERROR(INDEX(catClas,MATCH(D2414,catNom,0))&amp;"","")),"")</f>
        <v/>
      </c>
      <c r="L2414" s="19">
        <f>IF(I2414="","",IFERROR(INDEX(catAlim,MATCH(D2414,catNom,0))&amp;"",""))</f>
        <v/>
      </c>
      <c r="M2414" s="19">
        <f>IF(I2414="","",IFERROR(INDEX(catComida,MATCH(D2414,catNom,0))&amp;"",""))</f>
        <v/>
      </c>
      <c r="N2414" s="19">
        <f>IF(I2414="","",IFERROR(INDEX(ctaMon,MATCH(E2414,ctaNom,0))&amp;"","DOP"))</f>
        <v/>
      </c>
      <c r="O2414" s="20">
        <f>IF(I2414="","",C2414*IF(N2414="USD",TasaUSD,1))</f>
        <v/>
      </c>
      <c r="P2414" s="20">
        <f>IF(I2414="","",IF(I2414="Gasto",O2414,0))</f>
        <v/>
      </c>
      <c r="Q2414" s="20">
        <f>IF(I2414="","",IF(I2414="Ingreso",O2414,0))</f>
        <v/>
      </c>
      <c r="R2414" s="20">
        <f>IF(I2414="","",IF(I2414="Trading",O2414,0))</f>
        <v/>
      </c>
      <c r="S2414" s="19">
        <f>IF(I2414="","",IF(AND(I2414="Gasto",K2414="Variable",J2414&lt;&gt;"Trading",O2414&gt;0,O2414&lt;=Umbral),1,0))</f>
        <v/>
      </c>
      <c r="T2414" s="20">
        <f>IF(OR(I2414="",E2414=""),"",IF(OR(I2414="Gasto",I2414="Transferencia",I2414="Pago tarjeta"),-1,1)*C2414)</f>
        <v/>
      </c>
      <c r="U2414" s="20">
        <f>IF(OR(G2414="",AND(I2414&lt;&gt;"Transferencia",I2414&lt;&gt;"Pago tarjeta")),"",IF(IFERROR(INDEX(ctaMon,MATCH(G2414,ctaNom,0))&amp;"","DOP")=N2414,C2414,IF(N2414="USD",C2414*TasaUSD,C2414/TasaUSD)))</f>
        <v/>
      </c>
      <c r="V2414" s="20">
        <f>IF(I2414="","",IF(IFERROR(INDEX(ctaLiq,MATCH(E2414,ctaNom,0))="Sí",FALSE),IF(OR(I2414="Gasto",I2414="Transferencia",I2414="Pago tarjeta"),-1,1)*O2414,0)+IF(AND(U2414&lt;&gt;"",IFERROR(INDEX(ctaLiq,MATCH(G2414,ctaNom,0))="Sí",FALSE)),O2414,0))</f>
        <v/>
      </c>
      <c r="W2414" s="19">
        <f>IF(OR(F2414="",I2414=""),"",IF(COUNTIFS(F$6:F2414,F2414,I$6:I2414,"?*")=1,MAX(W$5:W2413)+1,""))</f>
        <v/>
      </c>
    </row>
    <row r="2415">
      <c r="B2415" s="15" t="n"/>
      <c r="C2415" s="16" t="n"/>
      <c r="D2415" s="17" t="n"/>
      <c r="E2415" s="17" t="n"/>
      <c r="F2415" s="17" t="n"/>
      <c r="G2415" s="17" t="n"/>
      <c r="H2415" s="18">
        <f>IF(AND(B2415="",C2415="",D2415="",E2415=""),"",IF(B2415="","⚠ Falta fecha",IF(C2415="","⚠ Falta monto",IF(D2415="","⚠ Falta categoría",IF(ISNA(MATCH(D2415,catNom,0)),"⚠ Categoría no existe",IF(E2415="","⚠ Falta cuenta",IF(ISNA(MATCH(E2415,ctaNom,0)),"⚠ Cuenta no existe",IF(AND(OR(I2415="Transferencia",I2415="Pago tarjeta"),G2415=""),"⚠ Indica la cuenta «Hacia»",IF(AND(G2415&lt;&gt;"",G2415=E2415),"⚠ «Hacia» igual a la cuenta",IF(AND(G2415&lt;&gt;"",ISNA(MATCH(G2415,ctaNom,0))),"⚠ «Hacia» no existe",IF(AND(I2415="Pago tarjeta",IFERROR(INDEX(ctaTipo,MATCH(G2415,ctaNom,0)),"")&lt;&gt;"Tarjeta de crédito"),"⚠ «Hacia» debe ser la tarjeta",IF(AND(I2415="Trading",IFERROR(INDEX(ctaTipo,MATCH(E2415,ctaNom,0)),"")&lt;&gt;"Cuenta de trading"),"⚠ Usa la cuenta de trading","✓"))))))))))))</f>
        <v/>
      </c>
      <c r="I2415" s="19">
        <f>IF(OR(B2415="",C2415="",D2415=""),"",IFERROR(INDEX(catTipo,MATCH(D2415,catNom,0))&amp;"",""))</f>
        <v/>
      </c>
      <c r="J2415" s="19">
        <f>IF(I2415="","",IFERROR(INDEX(catGrupo,MATCH(D2415,catNom,0))&amp;"",""))</f>
        <v/>
      </c>
      <c r="K2415" s="19">
        <f>IF(I2415="Gasto",IF(IFERROR(INDEX(catClas,MATCH(D2415,catNom,0))&amp;"","")="","Variable",IFERROR(INDEX(catClas,MATCH(D2415,catNom,0))&amp;"","")),"")</f>
        <v/>
      </c>
      <c r="L2415" s="19">
        <f>IF(I2415="","",IFERROR(INDEX(catAlim,MATCH(D2415,catNom,0))&amp;"",""))</f>
        <v/>
      </c>
      <c r="M2415" s="19">
        <f>IF(I2415="","",IFERROR(INDEX(catComida,MATCH(D2415,catNom,0))&amp;"",""))</f>
        <v/>
      </c>
      <c r="N2415" s="19">
        <f>IF(I2415="","",IFERROR(INDEX(ctaMon,MATCH(E2415,ctaNom,0))&amp;"","DOP"))</f>
        <v/>
      </c>
      <c r="O2415" s="20">
        <f>IF(I2415="","",C2415*IF(N2415="USD",TasaUSD,1))</f>
        <v/>
      </c>
      <c r="P2415" s="20">
        <f>IF(I2415="","",IF(I2415="Gasto",O2415,0))</f>
        <v/>
      </c>
      <c r="Q2415" s="20">
        <f>IF(I2415="","",IF(I2415="Ingreso",O2415,0))</f>
        <v/>
      </c>
      <c r="R2415" s="20">
        <f>IF(I2415="","",IF(I2415="Trading",O2415,0))</f>
        <v/>
      </c>
      <c r="S2415" s="19">
        <f>IF(I2415="","",IF(AND(I2415="Gasto",K2415="Variable",J2415&lt;&gt;"Trading",O2415&gt;0,O2415&lt;=Umbral),1,0))</f>
        <v/>
      </c>
      <c r="T2415" s="20">
        <f>IF(OR(I2415="",E2415=""),"",IF(OR(I2415="Gasto",I2415="Transferencia",I2415="Pago tarjeta"),-1,1)*C2415)</f>
        <v/>
      </c>
      <c r="U2415" s="20">
        <f>IF(OR(G2415="",AND(I2415&lt;&gt;"Transferencia",I2415&lt;&gt;"Pago tarjeta")),"",IF(IFERROR(INDEX(ctaMon,MATCH(G2415,ctaNom,0))&amp;"","DOP")=N2415,C2415,IF(N2415="USD",C2415*TasaUSD,C2415/TasaUSD)))</f>
        <v/>
      </c>
      <c r="V2415" s="20">
        <f>IF(I2415="","",IF(IFERROR(INDEX(ctaLiq,MATCH(E2415,ctaNom,0))="Sí",FALSE),IF(OR(I2415="Gasto",I2415="Transferencia",I2415="Pago tarjeta"),-1,1)*O2415,0)+IF(AND(U2415&lt;&gt;"",IFERROR(INDEX(ctaLiq,MATCH(G2415,ctaNom,0))="Sí",FALSE)),O2415,0))</f>
        <v/>
      </c>
      <c r="W2415" s="19">
        <f>IF(OR(F2415="",I2415=""),"",IF(COUNTIFS(F$6:F2415,F2415,I$6:I2415,"?*")=1,MAX(W$5:W2414)+1,""))</f>
        <v/>
      </c>
    </row>
    <row r="2416">
      <c r="B2416" s="15" t="n"/>
      <c r="C2416" s="16" t="n"/>
      <c r="D2416" s="17" t="n"/>
      <c r="E2416" s="17" t="n"/>
      <c r="F2416" s="17" t="n"/>
      <c r="G2416" s="17" t="n"/>
      <c r="H2416" s="18">
        <f>IF(AND(B2416="",C2416="",D2416="",E2416=""),"",IF(B2416="","⚠ Falta fecha",IF(C2416="","⚠ Falta monto",IF(D2416="","⚠ Falta categoría",IF(ISNA(MATCH(D2416,catNom,0)),"⚠ Categoría no existe",IF(E2416="","⚠ Falta cuenta",IF(ISNA(MATCH(E2416,ctaNom,0)),"⚠ Cuenta no existe",IF(AND(OR(I2416="Transferencia",I2416="Pago tarjeta"),G2416=""),"⚠ Indica la cuenta «Hacia»",IF(AND(G2416&lt;&gt;"",G2416=E2416),"⚠ «Hacia» igual a la cuenta",IF(AND(G2416&lt;&gt;"",ISNA(MATCH(G2416,ctaNom,0))),"⚠ «Hacia» no existe",IF(AND(I2416="Pago tarjeta",IFERROR(INDEX(ctaTipo,MATCH(G2416,ctaNom,0)),"")&lt;&gt;"Tarjeta de crédito"),"⚠ «Hacia» debe ser la tarjeta",IF(AND(I2416="Trading",IFERROR(INDEX(ctaTipo,MATCH(E2416,ctaNom,0)),"")&lt;&gt;"Cuenta de trading"),"⚠ Usa la cuenta de trading","✓"))))))))))))</f>
        <v/>
      </c>
      <c r="I2416" s="19">
        <f>IF(OR(B2416="",C2416="",D2416=""),"",IFERROR(INDEX(catTipo,MATCH(D2416,catNom,0))&amp;"",""))</f>
        <v/>
      </c>
      <c r="J2416" s="19">
        <f>IF(I2416="","",IFERROR(INDEX(catGrupo,MATCH(D2416,catNom,0))&amp;"",""))</f>
        <v/>
      </c>
      <c r="K2416" s="19">
        <f>IF(I2416="Gasto",IF(IFERROR(INDEX(catClas,MATCH(D2416,catNom,0))&amp;"","")="","Variable",IFERROR(INDEX(catClas,MATCH(D2416,catNom,0))&amp;"","")),"")</f>
        <v/>
      </c>
      <c r="L2416" s="19">
        <f>IF(I2416="","",IFERROR(INDEX(catAlim,MATCH(D2416,catNom,0))&amp;"",""))</f>
        <v/>
      </c>
      <c r="M2416" s="19">
        <f>IF(I2416="","",IFERROR(INDEX(catComida,MATCH(D2416,catNom,0))&amp;"",""))</f>
        <v/>
      </c>
      <c r="N2416" s="19">
        <f>IF(I2416="","",IFERROR(INDEX(ctaMon,MATCH(E2416,ctaNom,0))&amp;"","DOP"))</f>
        <v/>
      </c>
      <c r="O2416" s="20">
        <f>IF(I2416="","",C2416*IF(N2416="USD",TasaUSD,1))</f>
        <v/>
      </c>
      <c r="P2416" s="20">
        <f>IF(I2416="","",IF(I2416="Gasto",O2416,0))</f>
        <v/>
      </c>
      <c r="Q2416" s="20">
        <f>IF(I2416="","",IF(I2416="Ingreso",O2416,0))</f>
        <v/>
      </c>
      <c r="R2416" s="20">
        <f>IF(I2416="","",IF(I2416="Trading",O2416,0))</f>
        <v/>
      </c>
      <c r="S2416" s="19">
        <f>IF(I2416="","",IF(AND(I2416="Gasto",K2416="Variable",J2416&lt;&gt;"Trading",O2416&gt;0,O2416&lt;=Umbral),1,0))</f>
        <v/>
      </c>
      <c r="T2416" s="20">
        <f>IF(OR(I2416="",E2416=""),"",IF(OR(I2416="Gasto",I2416="Transferencia",I2416="Pago tarjeta"),-1,1)*C2416)</f>
        <v/>
      </c>
      <c r="U2416" s="20">
        <f>IF(OR(G2416="",AND(I2416&lt;&gt;"Transferencia",I2416&lt;&gt;"Pago tarjeta")),"",IF(IFERROR(INDEX(ctaMon,MATCH(G2416,ctaNom,0))&amp;"","DOP")=N2416,C2416,IF(N2416="USD",C2416*TasaUSD,C2416/TasaUSD)))</f>
        <v/>
      </c>
      <c r="V2416" s="20">
        <f>IF(I2416="","",IF(IFERROR(INDEX(ctaLiq,MATCH(E2416,ctaNom,0))="Sí",FALSE),IF(OR(I2416="Gasto",I2416="Transferencia",I2416="Pago tarjeta"),-1,1)*O2416,0)+IF(AND(U2416&lt;&gt;"",IFERROR(INDEX(ctaLiq,MATCH(G2416,ctaNom,0))="Sí",FALSE)),O2416,0))</f>
        <v/>
      </c>
      <c r="W2416" s="19">
        <f>IF(OR(F2416="",I2416=""),"",IF(COUNTIFS(F$6:F2416,F2416,I$6:I2416,"?*")=1,MAX(W$5:W2415)+1,""))</f>
        <v/>
      </c>
    </row>
    <row r="2417">
      <c r="B2417" s="15" t="n"/>
      <c r="C2417" s="16" t="n"/>
      <c r="D2417" s="17" t="n"/>
      <c r="E2417" s="17" t="n"/>
      <c r="F2417" s="17" t="n"/>
      <c r="G2417" s="17" t="n"/>
      <c r="H2417" s="18">
        <f>IF(AND(B2417="",C2417="",D2417="",E2417=""),"",IF(B2417="","⚠ Falta fecha",IF(C2417="","⚠ Falta monto",IF(D2417="","⚠ Falta categoría",IF(ISNA(MATCH(D2417,catNom,0)),"⚠ Categoría no existe",IF(E2417="","⚠ Falta cuenta",IF(ISNA(MATCH(E2417,ctaNom,0)),"⚠ Cuenta no existe",IF(AND(OR(I2417="Transferencia",I2417="Pago tarjeta"),G2417=""),"⚠ Indica la cuenta «Hacia»",IF(AND(G2417&lt;&gt;"",G2417=E2417),"⚠ «Hacia» igual a la cuenta",IF(AND(G2417&lt;&gt;"",ISNA(MATCH(G2417,ctaNom,0))),"⚠ «Hacia» no existe",IF(AND(I2417="Pago tarjeta",IFERROR(INDEX(ctaTipo,MATCH(G2417,ctaNom,0)),"")&lt;&gt;"Tarjeta de crédito"),"⚠ «Hacia» debe ser la tarjeta",IF(AND(I2417="Trading",IFERROR(INDEX(ctaTipo,MATCH(E2417,ctaNom,0)),"")&lt;&gt;"Cuenta de trading"),"⚠ Usa la cuenta de trading","✓"))))))))))))</f>
        <v/>
      </c>
      <c r="I2417" s="19">
        <f>IF(OR(B2417="",C2417="",D2417=""),"",IFERROR(INDEX(catTipo,MATCH(D2417,catNom,0))&amp;"",""))</f>
        <v/>
      </c>
      <c r="J2417" s="19">
        <f>IF(I2417="","",IFERROR(INDEX(catGrupo,MATCH(D2417,catNom,0))&amp;"",""))</f>
        <v/>
      </c>
      <c r="K2417" s="19">
        <f>IF(I2417="Gasto",IF(IFERROR(INDEX(catClas,MATCH(D2417,catNom,0))&amp;"","")="","Variable",IFERROR(INDEX(catClas,MATCH(D2417,catNom,0))&amp;"","")),"")</f>
        <v/>
      </c>
      <c r="L2417" s="19">
        <f>IF(I2417="","",IFERROR(INDEX(catAlim,MATCH(D2417,catNom,0))&amp;"",""))</f>
        <v/>
      </c>
      <c r="M2417" s="19">
        <f>IF(I2417="","",IFERROR(INDEX(catComida,MATCH(D2417,catNom,0))&amp;"",""))</f>
        <v/>
      </c>
      <c r="N2417" s="19">
        <f>IF(I2417="","",IFERROR(INDEX(ctaMon,MATCH(E2417,ctaNom,0))&amp;"","DOP"))</f>
        <v/>
      </c>
      <c r="O2417" s="20">
        <f>IF(I2417="","",C2417*IF(N2417="USD",TasaUSD,1))</f>
        <v/>
      </c>
      <c r="P2417" s="20">
        <f>IF(I2417="","",IF(I2417="Gasto",O2417,0))</f>
        <v/>
      </c>
      <c r="Q2417" s="20">
        <f>IF(I2417="","",IF(I2417="Ingreso",O2417,0))</f>
        <v/>
      </c>
      <c r="R2417" s="20">
        <f>IF(I2417="","",IF(I2417="Trading",O2417,0))</f>
        <v/>
      </c>
      <c r="S2417" s="19">
        <f>IF(I2417="","",IF(AND(I2417="Gasto",K2417="Variable",J2417&lt;&gt;"Trading",O2417&gt;0,O2417&lt;=Umbral),1,0))</f>
        <v/>
      </c>
      <c r="T2417" s="20">
        <f>IF(OR(I2417="",E2417=""),"",IF(OR(I2417="Gasto",I2417="Transferencia",I2417="Pago tarjeta"),-1,1)*C2417)</f>
        <v/>
      </c>
      <c r="U2417" s="20">
        <f>IF(OR(G2417="",AND(I2417&lt;&gt;"Transferencia",I2417&lt;&gt;"Pago tarjeta")),"",IF(IFERROR(INDEX(ctaMon,MATCH(G2417,ctaNom,0))&amp;"","DOP")=N2417,C2417,IF(N2417="USD",C2417*TasaUSD,C2417/TasaUSD)))</f>
        <v/>
      </c>
      <c r="V2417" s="20">
        <f>IF(I2417="","",IF(IFERROR(INDEX(ctaLiq,MATCH(E2417,ctaNom,0))="Sí",FALSE),IF(OR(I2417="Gasto",I2417="Transferencia",I2417="Pago tarjeta"),-1,1)*O2417,0)+IF(AND(U2417&lt;&gt;"",IFERROR(INDEX(ctaLiq,MATCH(G2417,ctaNom,0))="Sí",FALSE)),O2417,0))</f>
        <v/>
      </c>
      <c r="W2417" s="19">
        <f>IF(OR(F2417="",I2417=""),"",IF(COUNTIFS(F$6:F2417,F2417,I$6:I2417,"?*")=1,MAX(W$5:W2416)+1,""))</f>
        <v/>
      </c>
    </row>
    <row r="2418">
      <c r="B2418" s="15" t="n"/>
      <c r="C2418" s="16" t="n"/>
      <c r="D2418" s="17" t="n"/>
      <c r="E2418" s="17" t="n"/>
      <c r="F2418" s="17" t="n"/>
      <c r="G2418" s="17" t="n"/>
      <c r="H2418" s="18">
        <f>IF(AND(B2418="",C2418="",D2418="",E2418=""),"",IF(B2418="","⚠ Falta fecha",IF(C2418="","⚠ Falta monto",IF(D2418="","⚠ Falta categoría",IF(ISNA(MATCH(D2418,catNom,0)),"⚠ Categoría no existe",IF(E2418="","⚠ Falta cuenta",IF(ISNA(MATCH(E2418,ctaNom,0)),"⚠ Cuenta no existe",IF(AND(OR(I2418="Transferencia",I2418="Pago tarjeta"),G2418=""),"⚠ Indica la cuenta «Hacia»",IF(AND(G2418&lt;&gt;"",G2418=E2418),"⚠ «Hacia» igual a la cuenta",IF(AND(G2418&lt;&gt;"",ISNA(MATCH(G2418,ctaNom,0))),"⚠ «Hacia» no existe",IF(AND(I2418="Pago tarjeta",IFERROR(INDEX(ctaTipo,MATCH(G2418,ctaNom,0)),"")&lt;&gt;"Tarjeta de crédito"),"⚠ «Hacia» debe ser la tarjeta",IF(AND(I2418="Trading",IFERROR(INDEX(ctaTipo,MATCH(E2418,ctaNom,0)),"")&lt;&gt;"Cuenta de trading"),"⚠ Usa la cuenta de trading","✓"))))))))))))</f>
        <v/>
      </c>
      <c r="I2418" s="19">
        <f>IF(OR(B2418="",C2418="",D2418=""),"",IFERROR(INDEX(catTipo,MATCH(D2418,catNom,0))&amp;"",""))</f>
        <v/>
      </c>
      <c r="J2418" s="19">
        <f>IF(I2418="","",IFERROR(INDEX(catGrupo,MATCH(D2418,catNom,0))&amp;"",""))</f>
        <v/>
      </c>
      <c r="K2418" s="19">
        <f>IF(I2418="Gasto",IF(IFERROR(INDEX(catClas,MATCH(D2418,catNom,0))&amp;"","")="","Variable",IFERROR(INDEX(catClas,MATCH(D2418,catNom,0))&amp;"","")),"")</f>
        <v/>
      </c>
      <c r="L2418" s="19">
        <f>IF(I2418="","",IFERROR(INDEX(catAlim,MATCH(D2418,catNom,0))&amp;"",""))</f>
        <v/>
      </c>
      <c r="M2418" s="19">
        <f>IF(I2418="","",IFERROR(INDEX(catComida,MATCH(D2418,catNom,0))&amp;"",""))</f>
        <v/>
      </c>
      <c r="N2418" s="19">
        <f>IF(I2418="","",IFERROR(INDEX(ctaMon,MATCH(E2418,ctaNom,0))&amp;"","DOP"))</f>
        <v/>
      </c>
      <c r="O2418" s="20">
        <f>IF(I2418="","",C2418*IF(N2418="USD",TasaUSD,1))</f>
        <v/>
      </c>
      <c r="P2418" s="20">
        <f>IF(I2418="","",IF(I2418="Gasto",O2418,0))</f>
        <v/>
      </c>
      <c r="Q2418" s="20">
        <f>IF(I2418="","",IF(I2418="Ingreso",O2418,0))</f>
        <v/>
      </c>
      <c r="R2418" s="20">
        <f>IF(I2418="","",IF(I2418="Trading",O2418,0))</f>
        <v/>
      </c>
      <c r="S2418" s="19">
        <f>IF(I2418="","",IF(AND(I2418="Gasto",K2418="Variable",J2418&lt;&gt;"Trading",O2418&gt;0,O2418&lt;=Umbral),1,0))</f>
        <v/>
      </c>
      <c r="T2418" s="20">
        <f>IF(OR(I2418="",E2418=""),"",IF(OR(I2418="Gasto",I2418="Transferencia",I2418="Pago tarjeta"),-1,1)*C2418)</f>
        <v/>
      </c>
      <c r="U2418" s="20">
        <f>IF(OR(G2418="",AND(I2418&lt;&gt;"Transferencia",I2418&lt;&gt;"Pago tarjeta")),"",IF(IFERROR(INDEX(ctaMon,MATCH(G2418,ctaNom,0))&amp;"","DOP")=N2418,C2418,IF(N2418="USD",C2418*TasaUSD,C2418/TasaUSD)))</f>
        <v/>
      </c>
      <c r="V2418" s="20">
        <f>IF(I2418="","",IF(IFERROR(INDEX(ctaLiq,MATCH(E2418,ctaNom,0))="Sí",FALSE),IF(OR(I2418="Gasto",I2418="Transferencia",I2418="Pago tarjeta"),-1,1)*O2418,0)+IF(AND(U2418&lt;&gt;"",IFERROR(INDEX(ctaLiq,MATCH(G2418,ctaNom,0))="Sí",FALSE)),O2418,0))</f>
        <v/>
      </c>
      <c r="W2418" s="19">
        <f>IF(OR(F2418="",I2418=""),"",IF(COUNTIFS(F$6:F2418,F2418,I$6:I2418,"?*")=1,MAX(W$5:W2417)+1,""))</f>
        <v/>
      </c>
    </row>
    <row r="2419">
      <c r="B2419" s="15" t="n"/>
      <c r="C2419" s="16" t="n"/>
      <c r="D2419" s="17" t="n"/>
      <c r="E2419" s="17" t="n"/>
      <c r="F2419" s="17" t="n"/>
      <c r="G2419" s="17" t="n"/>
      <c r="H2419" s="18">
        <f>IF(AND(B2419="",C2419="",D2419="",E2419=""),"",IF(B2419="","⚠ Falta fecha",IF(C2419="","⚠ Falta monto",IF(D2419="","⚠ Falta categoría",IF(ISNA(MATCH(D2419,catNom,0)),"⚠ Categoría no existe",IF(E2419="","⚠ Falta cuenta",IF(ISNA(MATCH(E2419,ctaNom,0)),"⚠ Cuenta no existe",IF(AND(OR(I2419="Transferencia",I2419="Pago tarjeta"),G2419=""),"⚠ Indica la cuenta «Hacia»",IF(AND(G2419&lt;&gt;"",G2419=E2419),"⚠ «Hacia» igual a la cuenta",IF(AND(G2419&lt;&gt;"",ISNA(MATCH(G2419,ctaNom,0))),"⚠ «Hacia» no existe",IF(AND(I2419="Pago tarjeta",IFERROR(INDEX(ctaTipo,MATCH(G2419,ctaNom,0)),"")&lt;&gt;"Tarjeta de crédito"),"⚠ «Hacia» debe ser la tarjeta",IF(AND(I2419="Trading",IFERROR(INDEX(ctaTipo,MATCH(E2419,ctaNom,0)),"")&lt;&gt;"Cuenta de trading"),"⚠ Usa la cuenta de trading","✓"))))))))))))</f>
        <v/>
      </c>
      <c r="I2419" s="19">
        <f>IF(OR(B2419="",C2419="",D2419=""),"",IFERROR(INDEX(catTipo,MATCH(D2419,catNom,0))&amp;"",""))</f>
        <v/>
      </c>
      <c r="J2419" s="19">
        <f>IF(I2419="","",IFERROR(INDEX(catGrupo,MATCH(D2419,catNom,0))&amp;"",""))</f>
        <v/>
      </c>
      <c r="K2419" s="19">
        <f>IF(I2419="Gasto",IF(IFERROR(INDEX(catClas,MATCH(D2419,catNom,0))&amp;"","")="","Variable",IFERROR(INDEX(catClas,MATCH(D2419,catNom,0))&amp;"","")),"")</f>
        <v/>
      </c>
      <c r="L2419" s="19">
        <f>IF(I2419="","",IFERROR(INDEX(catAlim,MATCH(D2419,catNom,0))&amp;"",""))</f>
        <v/>
      </c>
      <c r="M2419" s="19">
        <f>IF(I2419="","",IFERROR(INDEX(catComida,MATCH(D2419,catNom,0))&amp;"",""))</f>
        <v/>
      </c>
      <c r="N2419" s="19">
        <f>IF(I2419="","",IFERROR(INDEX(ctaMon,MATCH(E2419,ctaNom,0))&amp;"","DOP"))</f>
        <v/>
      </c>
      <c r="O2419" s="20">
        <f>IF(I2419="","",C2419*IF(N2419="USD",TasaUSD,1))</f>
        <v/>
      </c>
      <c r="P2419" s="20">
        <f>IF(I2419="","",IF(I2419="Gasto",O2419,0))</f>
        <v/>
      </c>
      <c r="Q2419" s="20">
        <f>IF(I2419="","",IF(I2419="Ingreso",O2419,0))</f>
        <v/>
      </c>
      <c r="R2419" s="20">
        <f>IF(I2419="","",IF(I2419="Trading",O2419,0))</f>
        <v/>
      </c>
      <c r="S2419" s="19">
        <f>IF(I2419="","",IF(AND(I2419="Gasto",K2419="Variable",J2419&lt;&gt;"Trading",O2419&gt;0,O2419&lt;=Umbral),1,0))</f>
        <v/>
      </c>
      <c r="T2419" s="20">
        <f>IF(OR(I2419="",E2419=""),"",IF(OR(I2419="Gasto",I2419="Transferencia",I2419="Pago tarjeta"),-1,1)*C2419)</f>
        <v/>
      </c>
      <c r="U2419" s="20">
        <f>IF(OR(G2419="",AND(I2419&lt;&gt;"Transferencia",I2419&lt;&gt;"Pago tarjeta")),"",IF(IFERROR(INDEX(ctaMon,MATCH(G2419,ctaNom,0))&amp;"","DOP")=N2419,C2419,IF(N2419="USD",C2419*TasaUSD,C2419/TasaUSD)))</f>
        <v/>
      </c>
      <c r="V2419" s="20">
        <f>IF(I2419="","",IF(IFERROR(INDEX(ctaLiq,MATCH(E2419,ctaNom,0))="Sí",FALSE),IF(OR(I2419="Gasto",I2419="Transferencia",I2419="Pago tarjeta"),-1,1)*O2419,0)+IF(AND(U2419&lt;&gt;"",IFERROR(INDEX(ctaLiq,MATCH(G2419,ctaNom,0))="Sí",FALSE)),O2419,0))</f>
        <v/>
      </c>
      <c r="W2419" s="19">
        <f>IF(OR(F2419="",I2419=""),"",IF(COUNTIFS(F$6:F2419,F2419,I$6:I2419,"?*")=1,MAX(W$5:W2418)+1,""))</f>
        <v/>
      </c>
    </row>
    <row r="2420">
      <c r="B2420" s="15" t="n"/>
      <c r="C2420" s="16" t="n"/>
      <c r="D2420" s="17" t="n"/>
      <c r="E2420" s="17" t="n"/>
      <c r="F2420" s="17" t="n"/>
      <c r="G2420" s="17" t="n"/>
      <c r="H2420" s="18">
        <f>IF(AND(B2420="",C2420="",D2420="",E2420=""),"",IF(B2420="","⚠ Falta fecha",IF(C2420="","⚠ Falta monto",IF(D2420="","⚠ Falta categoría",IF(ISNA(MATCH(D2420,catNom,0)),"⚠ Categoría no existe",IF(E2420="","⚠ Falta cuenta",IF(ISNA(MATCH(E2420,ctaNom,0)),"⚠ Cuenta no existe",IF(AND(OR(I2420="Transferencia",I2420="Pago tarjeta"),G2420=""),"⚠ Indica la cuenta «Hacia»",IF(AND(G2420&lt;&gt;"",G2420=E2420),"⚠ «Hacia» igual a la cuenta",IF(AND(G2420&lt;&gt;"",ISNA(MATCH(G2420,ctaNom,0))),"⚠ «Hacia» no existe",IF(AND(I2420="Pago tarjeta",IFERROR(INDEX(ctaTipo,MATCH(G2420,ctaNom,0)),"")&lt;&gt;"Tarjeta de crédito"),"⚠ «Hacia» debe ser la tarjeta",IF(AND(I2420="Trading",IFERROR(INDEX(ctaTipo,MATCH(E2420,ctaNom,0)),"")&lt;&gt;"Cuenta de trading"),"⚠ Usa la cuenta de trading","✓"))))))))))))</f>
        <v/>
      </c>
      <c r="I2420" s="19">
        <f>IF(OR(B2420="",C2420="",D2420=""),"",IFERROR(INDEX(catTipo,MATCH(D2420,catNom,0))&amp;"",""))</f>
        <v/>
      </c>
      <c r="J2420" s="19">
        <f>IF(I2420="","",IFERROR(INDEX(catGrupo,MATCH(D2420,catNom,0))&amp;"",""))</f>
        <v/>
      </c>
      <c r="K2420" s="19">
        <f>IF(I2420="Gasto",IF(IFERROR(INDEX(catClas,MATCH(D2420,catNom,0))&amp;"","")="","Variable",IFERROR(INDEX(catClas,MATCH(D2420,catNom,0))&amp;"","")),"")</f>
        <v/>
      </c>
      <c r="L2420" s="19">
        <f>IF(I2420="","",IFERROR(INDEX(catAlim,MATCH(D2420,catNom,0))&amp;"",""))</f>
        <v/>
      </c>
      <c r="M2420" s="19">
        <f>IF(I2420="","",IFERROR(INDEX(catComida,MATCH(D2420,catNom,0))&amp;"",""))</f>
        <v/>
      </c>
      <c r="N2420" s="19">
        <f>IF(I2420="","",IFERROR(INDEX(ctaMon,MATCH(E2420,ctaNom,0))&amp;"","DOP"))</f>
        <v/>
      </c>
      <c r="O2420" s="20">
        <f>IF(I2420="","",C2420*IF(N2420="USD",TasaUSD,1))</f>
        <v/>
      </c>
      <c r="P2420" s="20">
        <f>IF(I2420="","",IF(I2420="Gasto",O2420,0))</f>
        <v/>
      </c>
      <c r="Q2420" s="20">
        <f>IF(I2420="","",IF(I2420="Ingreso",O2420,0))</f>
        <v/>
      </c>
      <c r="R2420" s="20">
        <f>IF(I2420="","",IF(I2420="Trading",O2420,0))</f>
        <v/>
      </c>
      <c r="S2420" s="19">
        <f>IF(I2420="","",IF(AND(I2420="Gasto",K2420="Variable",J2420&lt;&gt;"Trading",O2420&gt;0,O2420&lt;=Umbral),1,0))</f>
        <v/>
      </c>
      <c r="T2420" s="20">
        <f>IF(OR(I2420="",E2420=""),"",IF(OR(I2420="Gasto",I2420="Transferencia",I2420="Pago tarjeta"),-1,1)*C2420)</f>
        <v/>
      </c>
      <c r="U2420" s="20">
        <f>IF(OR(G2420="",AND(I2420&lt;&gt;"Transferencia",I2420&lt;&gt;"Pago tarjeta")),"",IF(IFERROR(INDEX(ctaMon,MATCH(G2420,ctaNom,0))&amp;"","DOP")=N2420,C2420,IF(N2420="USD",C2420*TasaUSD,C2420/TasaUSD)))</f>
        <v/>
      </c>
      <c r="V2420" s="20">
        <f>IF(I2420="","",IF(IFERROR(INDEX(ctaLiq,MATCH(E2420,ctaNom,0))="Sí",FALSE),IF(OR(I2420="Gasto",I2420="Transferencia",I2420="Pago tarjeta"),-1,1)*O2420,0)+IF(AND(U2420&lt;&gt;"",IFERROR(INDEX(ctaLiq,MATCH(G2420,ctaNom,0))="Sí",FALSE)),O2420,0))</f>
        <v/>
      </c>
      <c r="W2420" s="19">
        <f>IF(OR(F2420="",I2420=""),"",IF(COUNTIFS(F$6:F2420,F2420,I$6:I2420,"?*")=1,MAX(W$5:W2419)+1,""))</f>
        <v/>
      </c>
    </row>
    <row r="2421">
      <c r="B2421" s="15" t="n"/>
      <c r="C2421" s="16" t="n"/>
      <c r="D2421" s="17" t="n"/>
      <c r="E2421" s="17" t="n"/>
      <c r="F2421" s="17" t="n"/>
      <c r="G2421" s="17" t="n"/>
      <c r="H2421" s="18">
        <f>IF(AND(B2421="",C2421="",D2421="",E2421=""),"",IF(B2421="","⚠ Falta fecha",IF(C2421="","⚠ Falta monto",IF(D2421="","⚠ Falta categoría",IF(ISNA(MATCH(D2421,catNom,0)),"⚠ Categoría no existe",IF(E2421="","⚠ Falta cuenta",IF(ISNA(MATCH(E2421,ctaNom,0)),"⚠ Cuenta no existe",IF(AND(OR(I2421="Transferencia",I2421="Pago tarjeta"),G2421=""),"⚠ Indica la cuenta «Hacia»",IF(AND(G2421&lt;&gt;"",G2421=E2421),"⚠ «Hacia» igual a la cuenta",IF(AND(G2421&lt;&gt;"",ISNA(MATCH(G2421,ctaNom,0))),"⚠ «Hacia» no existe",IF(AND(I2421="Pago tarjeta",IFERROR(INDEX(ctaTipo,MATCH(G2421,ctaNom,0)),"")&lt;&gt;"Tarjeta de crédito"),"⚠ «Hacia» debe ser la tarjeta",IF(AND(I2421="Trading",IFERROR(INDEX(ctaTipo,MATCH(E2421,ctaNom,0)),"")&lt;&gt;"Cuenta de trading"),"⚠ Usa la cuenta de trading","✓"))))))))))))</f>
        <v/>
      </c>
      <c r="I2421" s="19">
        <f>IF(OR(B2421="",C2421="",D2421=""),"",IFERROR(INDEX(catTipo,MATCH(D2421,catNom,0))&amp;"",""))</f>
        <v/>
      </c>
      <c r="J2421" s="19">
        <f>IF(I2421="","",IFERROR(INDEX(catGrupo,MATCH(D2421,catNom,0))&amp;"",""))</f>
        <v/>
      </c>
      <c r="K2421" s="19">
        <f>IF(I2421="Gasto",IF(IFERROR(INDEX(catClas,MATCH(D2421,catNom,0))&amp;"","")="","Variable",IFERROR(INDEX(catClas,MATCH(D2421,catNom,0))&amp;"","")),"")</f>
        <v/>
      </c>
      <c r="L2421" s="19">
        <f>IF(I2421="","",IFERROR(INDEX(catAlim,MATCH(D2421,catNom,0))&amp;"",""))</f>
        <v/>
      </c>
      <c r="M2421" s="19">
        <f>IF(I2421="","",IFERROR(INDEX(catComida,MATCH(D2421,catNom,0))&amp;"",""))</f>
        <v/>
      </c>
      <c r="N2421" s="19">
        <f>IF(I2421="","",IFERROR(INDEX(ctaMon,MATCH(E2421,ctaNom,0))&amp;"","DOP"))</f>
        <v/>
      </c>
      <c r="O2421" s="20">
        <f>IF(I2421="","",C2421*IF(N2421="USD",TasaUSD,1))</f>
        <v/>
      </c>
      <c r="P2421" s="20">
        <f>IF(I2421="","",IF(I2421="Gasto",O2421,0))</f>
        <v/>
      </c>
      <c r="Q2421" s="20">
        <f>IF(I2421="","",IF(I2421="Ingreso",O2421,0))</f>
        <v/>
      </c>
      <c r="R2421" s="20">
        <f>IF(I2421="","",IF(I2421="Trading",O2421,0))</f>
        <v/>
      </c>
      <c r="S2421" s="19">
        <f>IF(I2421="","",IF(AND(I2421="Gasto",K2421="Variable",J2421&lt;&gt;"Trading",O2421&gt;0,O2421&lt;=Umbral),1,0))</f>
        <v/>
      </c>
      <c r="T2421" s="20">
        <f>IF(OR(I2421="",E2421=""),"",IF(OR(I2421="Gasto",I2421="Transferencia",I2421="Pago tarjeta"),-1,1)*C2421)</f>
        <v/>
      </c>
      <c r="U2421" s="20">
        <f>IF(OR(G2421="",AND(I2421&lt;&gt;"Transferencia",I2421&lt;&gt;"Pago tarjeta")),"",IF(IFERROR(INDEX(ctaMon,MATCH(G2421,ctaNom,0))&amp;"","DOP")=N2421,C2421,IF(N2421="USD",C2421*TasaUSD,C2421/TasaUSD)))</f>
        <v/>
      </c>
      <c r="V2421" s="20">
        <f>IF(I2421="","",IF(IFERROR(INDEX(ctaLiq,MATCH(E2421,ctaNom,0))="Sí",FALSE),IF(OR(I2421="Gasto",I2421="Transferencia",I2421="Pago tarjeta"),-1,1)*O2421,0)+IF(AND(U2421&lt;&gt;"",IFERROR(INDEX(ctaLiq,MATCH(G2421,ctaNom,0))="Sí",FALSE)),O2421,0))</f>
        <v/>
      </c>
      <c r="W2421" s="19">
        <f>IF(OR(F2421="",I2421=""),"",IF(COUNTIFS(F$6:F2421,F2421,I$6:I2421,"?*")=1,MAX(W$5:W2420)+1,""))</f>
        <v/>
      </c>
    </row>
    <row r="2422">
      <c r="B2422" s="15" t="n"/>
      <c r="C2422" s="16" t="n"/>
      <c r="D2422" s="17" t="n"/>
      <c r="E2422" s="17" t="n"/>
      <c r="F2422" s="17" t="n"/>
      <c r="G2422" s="17" t="n"/>
      <c r="H2422" s="18">
        <f>IF(AND(B2422="",C2422="",D2422="",E2422=""),"",IF(B2422="","⚠ Falta fecha",IF(C2422="","⚠ Falta monto",IF(D2422="","⚠ Falta categoría",IF(ISNA(MATCH(D2422,catNom,0)),"⚠ Categoría no existe",IF(E2422="","⚠ Falta cuenta",IF(ISNA(MATCH(E2422,ctaNom,0)),"⚠ Cuenta no existe",IF(AND(OR(I2422="Transferencia",I2422="Pago tarjeta"),G2422=""),"⚠ Indica la cuenta «Hacia»",IF(AND(G2422&lt;&gt;"",G2422=E2422),"⚠ «Hacia» igual a la cuenta",IF(AND(G2422&lt;&gt;"",ISNA(MATCH(G2422,ctaNom,0))),"⚠ «Hacia» no existe",IF(AND(I2422="Pago tarjeta",IFERROR(INDEX(ctaTipo,MATCH(G2422,ctaNom,0)),"")&lt;&gt;"Tarjeta de crédito"),"⚠ «Hacia» debe ser la tarjeta",IF(AND(I2422="Trading",IFERROR(INDEX(ctaTipo,MATCH(E2422,ctaNom,0)),"")&lt;&gt;"Cuenta de trading"),"⚠ Usa la cuenta de trading","✓"))))))))))))</f>
        <v/>
      </c>
      <c r="I2422" s="19">
        <f>IF(OR(B2422="",C2422="",D2422=""),"",IFERROR(INDEX(catTipo,MATCH(D2422,catNom,0))&amp;"",""))</f>
        <v/>
      </c>
      <c r="J2422" s="19">
        <f>IF(I2422="","",IFERROR(INDEX(catGrupo,MATCH(D2422,catNom,0))&amp;"",""))</f>
        <v/>
      </c>
      <c r="K2422" s="19">
        <f>IF(I2422="Gasto",IF(IFERROR(INDEX(catClas,MATCH(D2422,catNom,0))&amp;"","")="","Variable",IFERROR(INDEX(catClas,MATCH(D2422,catNom,0))&amp;"","")),"")</f>
        <v/>
      </c>
      <c r="L2422" s="19">
        <f>IF(I2422="","",IFERROR(INDEX(catAlim,MATCH(D2422,catNom,0))&amp;"",""))</f>
        <v/>
      </c>
      <c r="M2422" s="19">
        <f>IF(I2422="","",IFERROR(INDEX(catComida,MATCH(D2422,catNom,0))&amp;"",""))</f>
        <v/>
      </c>
      <c r="N2422" s="19">
        <f>IF(I2422="","",IFERROR(INDEX(ctaMon,MATCH(E2422,ctaNom,0))&amp;"","DOP"))</f>
        <v/>
      </c>
      <c r="O2422" s="20">
        <f>IF(I2422="","",C2422*IF(N2422="USD",TasaUSD,1))</f>
        <v/>
      </c>
      <c r="P2422" s="20">
        <f>IF(I2422="","",IF(I2422="Gasto",O2422,0))</f>
        <v/>
      </c>
      <c r="Q2422" s="20">
        <f>IF(I2422="","",IF(I2422="Ingreso",O2422,0))</f>
        <v/>
      </c>
      <c r="R2422" s="20">
        <f>IF(I2422="","",IF(I2422="Trading",O2422,0))</f>
        <v/>
      </c>
      <c r="S2422" s="19">
        <f>IF(I2422="","",IF(AND(I2422="Gasto",K2422="Variable",J2422&lt;&gt;"Trading",O2422&gt;0,O2422&lt;=Umbral),1,0))</f>
        <v/>
      </c>
      <c r="T2422" s="20">
        <f>IF(OR(I2422="",E2422=""),"",IF(OR(I2422="Gasto",I2422="Transferencia",I2422="Pago tarjeta"),-1,1)*C2422)</f>
        <v/>
      </c>
      <c r="U2422" s="20">
        <f>IF(OR(G2422="",AND(I2422&lt;&gt;"Transferencia",I2422&lt;&gt;"Pago tarjeta")),"",IF(IFERROR(INDEX(ctaMon,MATCH(G2422,ctaNom,0))&amp;"","DOP")=N2422,C2422,IF(N2422="USD",C2422*TasaUSD,C2422/TasaUSD)))</f>
        <v/>
      </c>
      <c r="V2422" s="20">
        <f>IF(I2422="","",IF(IFERROR(INDEX(ctaLiq,MATCH(E2422,ctaNom,0))="Sí",FALSE),IF(OR(I2422="Gasto",I2422="Transferencia",I2422="Pago tarjeta"),-1,1)*O2422,0)+IF(AND(U2422&lt;&gt;"",IFERROR(INDEX(ctaLiq,MATCH(G2422,ctaNom,0))="Sí",FALSE)),O2422,0))</f>
        <v/>
      </c>
      <c r="W2422" s="19">
        <f>IF(OR(F2422="",I2422=""),"",IF(COUNTIFS(F$6:F2422,F2422,I$6:I2422,"?*")=1,MAX(W$5:W2421)+1,""))</f>
        <v/>
      </c>
    </row>
    <row r="2423">
      <c r="B2423" s="15" t="n"/>
      <c r="C2423" s="16" t="n"/>
      <c r="D2423" s="17" t="n"/>
      <c r="E2423" s="17" t="n"/>
      <c r="F2423" s="17" t="n"/>
      <c r="G2423" s="17" t="n"/>
      <c r="H2423" s="18">
        <f>IF(AND(B2423="",C2423="",D2423="",E2423=""),"",IF(B2423="","⚠ Falta fecha",IF(C2423="","⚠ Falta monto",IF(D2423="","⚠ Falta categoría",IF(ISNA(MATCH(D2423,catNom,0)),"⚠ Categoría no existe",IF(E2423="","⚠ Falta cuenta",IF(ISNA(MATCH(E2423,ctaNom,0)),"⚠ Cuenta no existe",IF(AND(OR(I2423="Transferencia",I2423="Pago tarjeta"),G2423=""),"⚠ Indica la cuenta «Hacia»",IF(AND(G2423&lt;&gt;"",G2423=E2423),"⚠ «Hacia» igual a la cuenta",IF(AND(G2423&lt;&gt;"",ISNA(MATCH(G2423,ctaNom,0))),"⚠ «Hacia» no existe",IF(AND(I2423="Pago tarjeta",IFERROR(INDEX(ctaTipo,MATCH(G2423,ctaNom,0)),"")&lt;&gt;"Tarjeta de crédito"),"⚠ «Hacia» debe ser la tarjeta",IF(AND(I2423="Trading",IFERROR(INDEX(ctaTipo,MATCH(E2423,ctaNom,0)),"")&lt;&gt;"Cuenta de trading"),"⚠ Usa la cuenta de trading","✓"))))))))))))</f>
        <v/>
      </c>
      <c r="I2423" s="19">
        <f>IF(OR(B2423="",C2423="",D2423=""),"",IFERROR(INDEX(catTipo,MATCH(D2423,catNom,0))&amp;"",""))</f>
        <v/>
      </c>
      <c r="J2423" s="19">
        <f>IF(I2423="","",IFERROR(INDEX(catGrupo,MATCH(D2423,catNom,0))&amp;"",""))</f>
        <v/>
      </c>
      <c r="K2423" s="19">
        <f>IF(I2423="Gasto",IF(IFERROR(INDEX(catClas,MATCH(D2423,catNom,0))&amp;"","")="","Variable",IFERROR(INDEX(catClas,MATCH(D2423,catNom,0))&amp;"","")),"")</f>
        <v/>
      </c>
      <c r="L2423" s="19">
        <f>IF(I2423="","",IFERROR(INDEX(catAlim,MATCH(D2423,catNom,0))&amp;"",""))</f>
        <v/>
      </c>
      <c r="M2423" s="19">
        <f>IF(I2423="","",IFERROR(INDEX(catComida,MATCH(D2423,catNom,0))&amp;"",""))</f>
        <v/>
      </c>
      <c r="N2423" s="19">
        <f>IF(I2423="","",IFERROR(INDEX(ctaMon,MATCH(E2423,ctaNom,0))&amp;"","DOP"))</f>
        <v/>
      </c>
      <c r="O2423" s="20">
        <f>IF(I2423="","",C2423*IF(N2423="USD",TasaUSD,1))</f>
        <v/>
      </c>
      <c r="P2423" s="20">
        <f>IF(I2423="","",IF(I2423="Gasto",O2423,0))</f>
        <v/>
      </c>
      <c r="Q2423" s="20">
        <f>IF(I2423="","",IF(I2423="Ingreso",O2423,0))</f>
        <v/>
      </c>
      <c r="R2423" s="20">
        <f>IF(I2423="","",IF(I2423="Trading",O2423,0))</f>
        <v/>
      </c>
      <c r="S2423" s="19">
        <f>IF(I2423="","",IF(AND(I2423="Gasto",K2423="Variable",J2423&lt;&gt;"Trading",O2423&gt;0,O2423&lt;=Umbral),1,0))</f>
        <v/>
      </c>
      <c r="T2423" s="20">
        <f>IF(OR(I2423="",E2423=""),"",IF(OR(I2423="Gasto",I2423="Transferencia",I2423="Pago tarjeta"),-1,1)*C2423)</f>
        <v/>
      </c>
      <c r="U2423" s="20">
        <f>IF(OR(G2423="",AND(I2423&lt;&gt;"Transferencia",I2423&lt;&gt;"Pago tarjeta")),"",IF(IFERROR(INDEX(ctaMon,MATCH(G2423,ctaNom,0))&amp;"","DOP")=N2423,C2423,IF(N2423="USD",C2423*TasaUSD,C2423/TasaUSD)))</f>
        <v/>
      </c>
      <c r="V2423" s="20">
        <f>IF(I2423="","",IF(IFERROR(INDEX(ctaLiq,MATCH(E2423,ctaNom,0))="Sí",FALSE),IF(OR(I2423="Gasto",I2423="Transferencia",I2423="Pago tarjeta"),-1,1)*O2423,0)+IF(AND(U2423&lt;&gt;"",IFERROR(INDEX(ctaLiq,MATCH(G2423,ctaNom,0))="Sí",FALSE)),O2423,0))</f>
        <v/>
      </c>
      <c r="W2423" s="19">
        <f>IF(OR(F2423="",I2423=""),"",IF(COUNTIFS(F$6:F2423,F2423,I$6:I2423,"?*")=1,MAX(W$5:W2422)+1,""))</f>
        <v/>
      </c>
    </row>
    <row r="2424">
      <c r="B2424" s="15" t="n"/>
      <c r="C2424" s="16" t="n"/>
      <c r="D2424" s="17" t="n"/>
      <c r="E2424" s="17" t="n"/>
      <c r="F2424" s="17" t="n"/>
      <c r="G2424" s="17" t="n"/>
      <c r="H2424" s="18">
        <f>IF(AND(B2424="",C2424="",D2424="",E2424=""),"",IF(B2424="","⚠ Falta fecha",IF(C2424="","⚠ Falta monto",IF(D2424="","⚠ Falta categoría",IF(ISNA(MATCH(D2424,catNom,0)),"⚠ Categoría no existe",IF(E2424="","⚠ Falta cuenta",IF(ISNA(MATCH(E2424,ctaNom,0)),"⚠ Cuenta no existe",IF(AND(OR(I2424="Transferencia",I2424="Pago tarjeta"),G2424=""),"⚠ Indica la cuenta «Hacia»",IF(AND(G2424&lt;&gt;"",G2424=E2424),"⚠ «Hacia» igual a la cuenta",IF(AND(G2424&lt;&gt;"",ISNA(MATCH(G2424,ctaNom,0))),"⚠ «Hacia» no existe",IF(AND(I2424="Pago tarjeta",IFERROR(INDEX(ctaTipo,MATCH(G2424,ctaNom,0)),"")&lt;&gt;"Tarjeta de crédito"),"⚠ «Hacia» debe ser la tarjeta",IF(AND(I2424="Trading",IFERROR(INDEX(ctaTipo,MATCH(E2424,ctaNom,0)),"")&lt;&gt;"Cuenta de trading"),"⚠ Usa la cuenta de trading","✓"))))))))))))</f>
        <v/>
      </c>
      <c r="I2424" s="19">
        <f>IF(OR(B2424="",C2424="",D2424=""),"",IFERROR(INDEX(catTipo,MATCH(D2424,catNom,0))&amp;"",""))</f>
        <v/>
      </c>
      <c r="J2424" s="19">
        <f>IF(I2424="","",IFERROR(INDEX(catGrupo,MATCH(D2424,catNom,0))&amp;"",""))</f>
        <v/>
      </c>
      <c r="K2424" s="19">
        <f>IF(I2424="Gasto",IF(IFERROR(INDEX(catClas,MATCH(D2424,catNom,0))&amp;"","")="","Variable",IFERROR(INDEX(catClas,MATCH(D2424,catNom,0))&amp;"","")),"")</f>
        <v/>
      </c>
      <c r="L2424" s="19">
        <f>IF(I2424="","",IFERROR(INDEX(catAlim,MATCH(D2424,catNom,0))&amp;"",""))</f>
        <v/>
      </c>
      <c r="M2424" s="19">
        <f>IF(I2424="","",IFERROR(INDEX(catComida,MATCH(D2424,catNom,0))&amp;"",""))</f>
        <v/>
      </c>
      <c r="N2424" s="19">
        <f>IF(I2424="","",IFERROR(INDEX(ctaMon,MATCH(E2424,ctaNom,0))&amp;"","DOP"))</f>
        <v/>
      </c>
      <c r="O2424" s="20">
        <f>IF(I2424="","",C2424*IF(N2424="USD",TasaUSD,1))</f>
        <v/>
      </c>
      <c r="P2424" s="20">
        <f>IF(I2424="","",IF(I2424="Gasto",O2424,0))</f>
        <v/>
      </c>
      <c r="Q2424" s="20">
        <f>IF(I2424="","",IF(I2424="Ingreso",O2424,0))</f>
        <v/>
      </c>
      <c r="R2424" s="20">
        <f>IF(I2424="","",IF(I2424="Trading",O2424,0))</f>
        <v/>
      </c>
      <c r="S2424" s="19">
        <f>IF(I2424="","",IF(AND(I2424="Gasto",K2424="Variable",J2424&lt;&gt;"Trading",O2424&gt;0,O2424&lt;=Umbral),1,0))</f>
        <v/>
      </c>
      <c r="T2424" s="20">
        <f>IF(OR(I2424="",E2424=""),"",IF(OR(I2424="Gasto",I2424="Transferencia",I2424="Pago tarjeta"),-1,1)*C2424)</f>
        <v/>
      </c>
      <c r="U2424" s="20">
        <f>IF(OR(G2424="",AND(I2424&lt;&gt;"Transferencia",I2424&lt;&gt;"Pago tarjeta")),"",IF(IFERROR(INDEX(ctaMon,MATCH(G2424,ctaNom,0))&amp;"","DOP")=N2424,C2424,IF(N2424="USD",C2424*TasaUSD,C2424/TasaUSD)))</f>
        <v/>
      </c>
      <c r="V2424" s="20">
        <f>IF(I2424="","",IF(IFERROR(INDEX(ctaLiq,MATCH(E2424,ctaNom,0))="Sí",FALSE),IF(OR(I2424="Gasto",I2424="Transferencia",I2424="Pago tarjeta"),-1,1)*O2424,0)+IF(AND(U2424&lt;&gt;"",IFERROR(INDEX(ctaLiq,MATCH(G2424,ctaNom,0))="Sí",FALSE)),O2424,0))</f>
        <v/>
      </c>
      <c r="W2424" s="19">
        <f>IF(OR(F2424="",I2424=""),"",IF(COUNTIFS(F$6:F2424,F2424,I$6:I2424,"?*")=1,MAX(W$5:W2423)+1,""))</f>
        <v/>
      </c>
    </row>
    <row r="2425">
      <c r="B2425" s="15" t="n"/>
      <c r="C2425" s="16" t="n"/>
      <c r="D2425" s="17" t="n"/>
      <c r="E2425" s="17" t="n"/>
      <c r="F2425" s="17" t="n"/>
      <c r="G2425" s="17" t="n"/>
      <c r="H2425" s="18">
        <f>IF(AND(B2425="",C2425="",D2425="",E2425=""),"",IF(B2425="","⚠ Falta fecha",IF(C2425="","⚠ Falta monto",IF(D2425="","⚠ Falta categoría",IF(ISNA(MATCH(D2425,catNom,0)),"⚠ Categoría no existe",IF(E2425="","⚠ Falta cuenta",IF(ISNA(MATCH(E2425,ctaNom,0)),"⚠ Cuenta no existe",IF(AND(OR(I2425="Transferencia",I2425="Pago tarjeta"),G2425=""),"⚠ Indica la cuenta «Hacia»",IF(AND(G2425&lt;&gt;"",G2425=E2425),"⚠ «Hacia» igual a la cuenta",IF(AND(G2425&lt;&gt;"",ISNA(MATCH(G2425,ctaNom,0))),"⚠ «Hacia» no existe",IF(AND(I2425="Pago tarjeta",IFERROR(INDEX(ctaTipo,MATCH(G2425,ctaNom,0)),"")&lt;&gt;"Tarjeta de crédito"),"⚠ «Hacia» debe ser la tarjeta",IF(AND(I2425="Trading",IFERROR(INDEX(ctaTipo,MATCH(E2425,ctaNom,0)),"")&lt;&gt;"Cuenta de trading"),"⚠ Usa la cuenta de trading","✓"))))))))))))</f>
        <v/>
      </c>
      <c r="I2425" s="19">
        <f>IF(OR(B2425="",C2425="",D2425=""),"",IFERROR(INDEX(catTipo,MATCH(D2425,catNom,0))&amp;"",""))</f>
        <v/>
      </c>
      <c r="J2425" s="19">
        <f>IF(I2425="","",IFERROR(INDEX(catGrupo,MATCH(D2425,catNom,0))&amp;"",""))</f>
        <v/>
      </c>
      <c r="K2425" s="19">
        <f>IF(I2425="Gasto",IF(IFERROR(INDEX(catClas,MATCH(D2425,catNom,0))&amp;"","")="","Variable",IFERROR(INDEX(catClas,MATCH(D2425,catNom,0))&amp;"","")),"")</f>
        <v/>
      </c>
      <c r="L2425" s="19">
        <f>IF(I2425="","",IFERROR(INDEX(catAlim,MATCH(D2425,catNom,0))&amp;"",""))</f>
        <v/>
      </c>
      <c r="M2425" s="19">
        <f>IF(I2425="","",IFERROR(INDEX(catComida,MATCH(D2425,catNom,0))&amp;"",""))</f>
        <v/>
      </c>
      <c r="N2425" s="19">
        <f>IF(I2425="","",IFERROR(INDEX(ctaMon,MATCH(E2425,ctaNom,0))&amp;"","DOP"))</f>
        <v/>
      </c>
      <c r="O2425" s="20">
        <f>IF(I2425="","",C2425*IF(N2425="USD",TasaUSD,1))</f>
        <v/>
      </c>
      <c r="P2425" s="20">
        <f>IF(I2425="","",IF(I2425="Gasto",O2425,0))</f>
        <v/>
      </c>
      <c r="Q2425" s="20">
        <f>IF(I2425="","",IF(I2425="Ingreso",O2425,0))</f>
        <v/>
      </c>
      <c r="R2425" s="20">
        <f>IF(I2425="","",IF(I2425="Trading",O2425,0))</f>
        <v/>
      </c>
      <c r="S2425" s="19">
        <f>IF(I2425="","",IF(AND(I2425="Gasto",K2425="Variable",J2425&lt;&gt;"Trading",O2425&gt;0,O2425&lt;=Umbral),1,0))</f>
        <v/>
      </c>
      <c r="T2425" s="20">
        <f>IF(OR(I2425="",E2425=""),"",IF(OR(I2425="Gasto",I2425="Transferencia",I2425="Pago tarjeta"),-1,1)*C2425)</f>
        <v/>
      </c>
      <c r="U2425" s="20">
        <f>IF(OR(G2425="",AND(I2425&lt;&gt;"Transferencia",I2425&lt;&gt;"Pago tarjeta")),"",IF(IFERROR(INDEX(ctaMon,MATCH(G2425,ctaNom,0))&amp;"","DOP")=N2425,C2425,IF(N2425="USD",C2425*TasaUSD,C2425/TasaUSD)))</f>
        <v/>
      </c>
      <c r="V2425" s="20">
        <f>IF(I2425="","",IF(IFERROR(INDEX(ctaLiq,MATCH(E2425,ctaNom,0))="Sí",FALSE),IF(OR(I2425="Gasto",I2425="Transferencia",I2425="Pago tarjeta"),-1,1)*O2425,0)+IF(AND(U2425&lt;&gt;"",IFERROR(INDEX(ctaLiq,MATCH(G2425,ctaNom,0))="Sí",FALSE)),O2425,0))</f>
        <v/>
      </c>
      <c r="W2425" s="19">
        <f>IF(OR(F2425="",I2425=""),"",IF(COUNTIFS(F$6:F2425,F2425,I$6:I2425,"?*")=1,MAX(W$5:W2424)+1,""))</f>
        <v/>
      </c>
    </row>
    <row r="2426">
      <c r="B2426" s="15" t="n"/>
      <c r="C2426" s="16" t="n"/>
      <c r="D2426" s="17" t="n"/>
      <c r="E2426" s="17" t="n"/>
      <c r="F2426" s="17" t="n"/>
      <c r="G2426" s="17" t="n"/>
      <c r="H2426" s="18">
        <f>IF(AND(B2426="",C2426="",D2426="",E2426=""),"",IF(B2426="","⚠ Falta fecha",IF(C2426="","⚠ Falta monto",IF(D2426="","⚠ Falta categoría",IF(ISNA(MATCH(D2426,catNom,0)),"⚠ Categoría no existe",IF(E2426="","⚠ Falta cuenta",IF(ISNA(MATCH(E2426,ctaNom,0)),"⚠ Cuenta no existe",IF(AND(OR(I2426="Transferencia",I2426="Pago tarjeta"),G2426=""),"⚠ Indica la cuenta «Hacia»",IF(AND(G2426&lt;&gt;"",G2426=E2426),"⚠ «Hacia» igual a la cuenta",IF(AND(G2426&lt;&gt;"",ISNA(MATCH(G2426,ctaNom,0))),"⚠ «Hacia» no existe",IF(AND(I2426="Pago tarjeta",IFERROR(INDEX(ctaTipo,MATCH(G2426,ctaNom,0)),"")&lt;&gt;"Tarjeta de crédito"),"⚠ «Hacia» debe ser la tarjeta",IF(AND(I2426="Trading",IFERROR(INDEX(ctaTipo,MATCH(E2426,ctaNom,0)),"")&lt;&gt;"Cuenta de trading"),"⚠ Usa la cuenta de trading","✓"))))))))))))</f>
        <v/>
      </c>
      <c r="I2426" s="19">
        <f>IF(OR(B2426="",C2426="",D2426=""),"",IFERROR(INDEX(catTipo,MATCH(D2426,catNom,0))&amp;"",""))</f>
        <v/>
      </c>
      <c r="J2426" s="19">
        <f>IF(I2426="","",IFERROR(INDEX(catGrupo,MATCH(D2426,catNom,0))&amp;"",""))</f>
        <v/>
      </c>
      <c r="K2426" s="19">
        <f>IF(I2426="Gasto",IF(IFERROR(INDEX(catClas,MATCH(D2426,catNom,0))&amp;"","")="","Variable",IFERROR(INDEX(catClas,MATCH(D2426,catNom,0))&amp;"","")),"")</f>
        <v/>
      </c>
      <c r="L2426" s="19">
        <f>IF(I2426="","",IFERROR(INDEX(catAlim,MATCH(D2426,catNom,0))&amp;"",""))</f>
        <v/>
      </c>
      <c r="M2426" s="19">
        <f>IF(I2426="","",IFERROR(INDEX(catComida,MATCH(D2426,catNom,0))&amp;"",""))</f>
        <v/>
      </c>
      <c r="N2426" s="19">
        <f>IF(I2426="","",IFERROR(INDEX(ctaMon,MATCH(E2426,ctaNom,0))&amp;"","DOP"))</f>
        <v/>
      </c>
      <c r="O2426" s="20">
        <f>IF(I2426="","",C2426*IF(N2426="USD",TasaUSD,1))</f>
        <v/>
      </c>
      <c r="P2426" s="20">
        <f>IF(I2426="","",IF(I2426="Gasto",O2426,0))</f>
        <v/>
      </c>
      <c r="Q2426" s="20">
        <f>IF(I2426="","",IF(I2426="Ingreso",O2426,0))</f>
        <v/>
      </c>
      <c r="R2426" s="20">
        <f>IF(I2426="","",IF(I2426="Trading",O2426,0))</f>
        <v/>
      </c>
      <c r="S2426" s="19">
        <f>IF(I2426="","",IF(AND(I2426="Gasto",K2426="Variable",J2426&lt;&gt;"Trading",O2426&gt;0,O2426&lt;=Umbral),1,0))</f>
        <v/>
      </c>
      <c r="T2426" s="20">
        <f>IF(OR(I2426="",E2426=""),"",IF(OR(I2426="Gasto",I2426="Transferencia",I2426="Pago tarjeta"),-1,1)*C2426)</f>
        <v/>
      </c>
      <c r="U2426" s="20">
        <f>IF(OR(G2426="",AND(I2426&lt;&gt;"Transferencia",I2426&lt;&gt;"Pago tarjeta")),"",IF(IFERROR(INDEX(ctaMon,MATCH(G2426,ctaNom,0))&amp;"","DOP")=N2426,C2426,IF(N2426="USD",C2426*TasaUSD,C2426/TasaUSD)))</f>
        <v/>
      </c>
      <c r="V2426" s="20">
        <f>IF(I2426="","",IF(IFERROR(INDEX(ctaLiq,MATCH(E2426,ctaNom,0))="Sí",FALSE),IF(OR(I2426="Gasto",I2426="Transferencia",I2426="Pago tarjeta"),-1,1)*O2426,0)+IF(AND(U2426&lt;&gt;"",IFERROR(INDEX(ctaLiq,MATCH(G2426,ctaNom,0))="Sí",FALSE)),O2426,0))</f>
        <v/>
      </c>
      <c r="W2426" s="19">
        <f>IF(OR(F2426="",I2426=""),"",IF(COUNTIFS(F$6:F2426,F2426,I$6:I2426,"?*")=1,MAX(W$5:W2425)+1,""))</f>
        <v/>
      </c>
    </row>
    <row r="2427">
      <c r="B2427" s="15" t="n"/>
      <c r="C2427" s="16" t="n"/>
      <c r="D2427" s="17" t="n"/>
      <c r="E2427" s="17" t="n"/>
      <c r="F2427" s="17" t="n"/>
      <c r="G2427" s="17" t="n"/>
      <c r="H2427" s="18">
        <f>IF(AND(B2427="",C2427="",D2427="",E2427=""),"",IF(B2427="","⚠ Falta fecha",IF(C2427="","⚠ Falta monto",IF(D2427="","⚠ Falta categoría",IF(ISNA(MATCH(D2427,catNom,0)),"⚠ Categoría no existe",IF(E2427="","⚠ Falta cuenta",IF(ISNA(MATCH(E2427,ctaNom,0)),"⚠ Cuenta no existe",IF(AND(OR(I2427="Transferencia",I2427="Pago tarjeta"),G2427=""),"⚠ Indica la cuenta «Hacia»",IF(AND(G2427&lt;&gt;"",G2427=E2427),"⚠ «Hacia» igual a la cuenta",IF(AND(G2427&lt;&gt;"",ISNA(MATCH(G2427,ctaNom,0))),"⚠ «Hacia» no existe",IF(AND(I2427="Pago tarjeta",IFERROR(INDEX(ctaTipo,MATCH(G2427,ctaNom,0)),"")&lt;&gt;"Tarjeta de crédito"),"⚠ «Hacia» debe ser la tarjeta",IF(AND(I2427="Trading",IFERROR(INDEX(ctaTipo,MATCH(E2427,ctaNom,0)),"")&lt;&gt;"Cuenta de trading"),"⚠ Usa la cuenta de trading","✓"))))))))))))</f>
        <v/>
      </c>
      <c r="I2427" s="19">
        <f>IF(OR(B2427="",C2427="",D2427=""),"",IFERROR(INDEX(catTipo,MATCH(D2427,catNom,0))&amp;"",""))</f>
        <v/>
      </c>
      <c r="J2427" s="19">
        <f>IF(I2427="","",IFERROR(INDEX(catGrupo,MATCH(D2427,catNom,0))&amp;"",""))</f>
        <v/>
      </c>
      <c r="K2427" s="19">
        <f>IF(I2427="Gasto",IF(IFERROR(INDEX(catClas,MATCH(D2427,catNom,0))&amp;"","")="","Variable",IFERROR(INDEX(catClas,MATCH(D2427,catNom,0))&amp;"","")),"")</f>
        <v/>
      </c>
      <c r="L2427" s="19">
        <f>IF(I2427="","",IFERROR(INDEX(catAlim,MATCH(D2427,catNom,0))&amp;"",""))</f>
        <v/>
      </c>
      <c r="M2427" s="19">
        <f>IF(I2427="","",IFERROR(INDEX(catComida,MATCH(D2427,catNom,0))&amp;"",""))</f>
        <v/>
      </c>
      <c r="N2427" s="19">
        <f>IF(I2427="","",IFERROR(INDEX(ctaMon,MATCH(E2427,ctaNom,0))&amp;"","DOP"))</f>
        <v/>
      </c>
      <c r="O2427" s="20">
        <f>IF(I2427="","",C2427*IF(N2427="USD",TasaUSD,1))</f>
        <v/>
      </c>
      <c r="P2427" s="20">
        <f>IF(I2427="","",IF(I2427="Gasto",O2427,0))</f>
        <v/>
      </c>
      <c r="Q2427" s="20">
        <f>IF(I2427="","",IF(I2427="Ingreso",O2427,0))</f>
        <v/>
      </c>
      <c r="R2427" s="20">
        <f>IF(I2427="","",IF(I2427="Trading",O2427,0))</f>
        <v/>
      </c>
      <c r="S2427" s="19">
        <f>IF(I2427="","",IF(AND(I2427="Gasto",K2427="Variable",J2427&lt;&gt;"Trading",O2427&gt;0,O2427&lt;=Umbral),1,0))</f>
        <v/>
      </c>
      <c r="T2427" s="20">
        <f>IF(OR(I2427="",E2427=""),"",IF(OR(I2427="Gasto",I2427="Transferencia",I2427="Pago tarjeta"),-1,1)*C2427)</f>
        <v/>
      </c>
      <c r="U2427" s="20">
        <f>IF(OR(G2427="",AND(I2427&lt;&gt;"Transferencia",I2427&lt;&gt;"Pago tarjeta")),"",IF(IFERROR(INDEX(ctaMon,MATCH(G2427,ctaNom,0))&amp;"","DOP")=N2427,C2427,IF(N2427="USD",C2427*TasaUSD,C2427/TasaUSD)))</f>
        <v/>
      </c>
      <c r="V2427" s="20">
        <f>IF(I2427="","",IF(IFERROR(INDEX(ctaLiq,MATCH(E2427,ctaNom,0))="Sí",FALSE),IF(OR(I2427="Gasto",I2427="Transferencia",I2427="Pago tarjeta"),-1,1)*O2427,0)+IF(AND(U2427&lt;&gt;"",IFERROR(INDEX(ctaLiq,MATCH(G2427,ctaNom,0))="Sí",FALSE)),O2427,0))</f>
        <v/>
      </c>
      <c r="W2427" s="19">
        <f>IF(OR(F2427="",I2427=""),"",IF(COUNTIFS(F$6:F2427,F2427,I$6:I2427,"?*")=1,MAX(W$5:W2426)+1,""))</f>
        <v/>
      </c>
    </row>
    <row r="2428">
      <c r="B2428" s="15" t="n"/>
      <c r="C2428" s="16" t="n"/>
      <c r="D2428" s="17" t="n"/>
      <c r="E2428" s="17" t="n"/>
      <c r="F2428" s="17" t="n"/>
      <c r="G2428" s="17" t="n"/>
      <c r="H2428" s="18">
        <f>IF(AND(B2428="",C2428="",D2428="",E2428=""),"",IF(B2428="","⚠ Falta fecha",IF(C2428="","⚠ Falta monto",IF(D2428="","⚠ Falta categoría",IF(ISNA(MATCH(D2428,catNom,0)),"⚠ Categoría no existe",IF(E2428="","⚠ Falta cuenta",IF(ISNA(MATCH(E2428,ctaNom,0)),"⚠ Cuenta no existe",IF(AND(OR(I2428="Transferencia",I2428="Pago tarjeta"),G2428=""),"⚠ Indica la cuenta «Hacia»",IF(AND(G2428&lt;&gt;"",G2428=E2428),"⚠ «Hacia» igual a la cuenta",IF(AND(G2428&lt;&gt;"",ISNA(MATCH(G2428,ctaNom,0))),"⚠ «Hacia» no existe",IF(AND(I2428="Pago tarjeta",IFERROR(INDEX(ctaTipo,MATCH(G2428,ctaNom,0)),"")&lt;&gt;"Tarjeta de crédito"),"⚠ «Hacia» debe ser la tarjeta",IF(AND(I2428="Trading",IFERROR(INDEX(ctaTipo,MATCH(E2428,ctaNom,0)),"")&lt;&gt;"Cuenta de trading"),"⚠ Usa la cuenta de trading","✓"))))))))))))</f>
        <v/>
      </c>
      <c r="I2428" s="19">
        <f>IF(OR(B2428="",C2428="",D2428=""),"",IFERROR(INDEX(catTipo,MATCH(D2428,catNom,0))&amp;"",""))</f>
        <v/>
      </c>
      <c r="J2428" s="19">
        <f>IF(I2428="","",IFERROR(INDEX(catGrupo,MATCH(D2428,catNom,0))&amp;"",""))</f>
        <v/>
      </c>
      <c r="K2428" s="19">
        <f>IF(I2428="Gasto",IF(IFERROR(INDEX(catClas,MATCH(D2428,catNom,0))&amp;"","")="","Variable",IFERROR(INDEX(catClas,MATCH(D2428,catNom,0))&amp;"","")),"")</f>
        <v/>
      </c>
      <c r="L2428" s="19">
        <f>IF(I2428="","",IFERROR(INDEX(catAlim,MATCH(D2428,catNom,0))&amp;"",""))</f>
        <v/>
      </c>
      <c r="M2428" s="19">
        <f>IF(I2428="","",IFERROR(INDEX(catComida,MATCH(D2428,catNom,0))&amp;"",""))</f>
        <v/>
      </c>
      <c r="N2428" s="19">
        <f>IF(I2428="","",IFERROR(INDEX(ctaMon,MATCH(E2428,ctaNom,0))&amp;"","DOP"))</f>
        <v/>
      </c>
      <c r="O2428" s="20">
        <f>IF(I2428="","",C2428*IF(N2428="USD",TasaUSD,1))</f>
        <v/>
      </c>
      <c r="P2428" s="20">
        <f>IF(I2428="","",IF(I2428="Gasto",O2428,0))</f>
        <v/>
      </c>
      <c r="Q2428" s="20">
        <f>IF(I2428="","",IF(I2428="Ingreso",O2428,0))</f>
        <v/>
      </c>
      <c r="R2428" s="20">
        <f>IF(I2428="","",IF(I2428="Trading",O2428,0))</f>
        <v/>
      </c>
      <c r="S2428" s="19">
        <f>IF(I2428="","",IF(AND(I2428="Gasto",K2428="Variable",J2428&lt;&gt;"Trading",O2428&gt;0,O2428&lt;=Umbral),1,0))</f>
        <v/>
      </c>
      <c r="T2428" s="20">
        <f>IF(OR(I2428="",E2428=""),"",IF(OR(I2428="Gasto",I2428="Transferencia",I2428="Pago tarjeta"),-1,1)*C2428)</f>
        <v/>
      </c>
      <c r="U2428" s="20">
        <f>IF(OR(G2428="",AND(I2428&lt;&gt;"Transferencia",I2428&lt;&gt;"Pago tarjeta")),"",IF(IFERROR(INDEX(ctaMon,MATCH(G2428,ctaNom,0))&amp;"","DOP")=N2428,C2428,IF(N2428="USD",C2428*TasaUSD,C2428/TasaUSD)))</f>
        <v/>
      </c>
      <c r="V2428" s="20">
        <f>IF(I2428="","",IF(IFERROR(INDEX(ctaLiq,MATCH(E2428,ctaNom,0))="Sí",FALSE),IF(OR(I2428="Gasto",I2428="Transferencia",I2428="Pago tarjeta"),-1,1)*O2428,0)+IF(AND(U2428&lt;&gt;"",IFERROR(INDEX(ctaLiq,MATCH(G2428,ctaNom,0))="Sí",FALSE)),O2428,0))</f>
        <v/>
      </c>
      <c r="W2428" s="19">
        <f>IF(OR(F2428="",I2428=""),"",IF(COUNTIFS(F$6:F2428,F2428,I$6:I2428,"?*")=1,MAX(W$5:W2427)+1,""))</f>
        <v/>
      </c>
    </row>
    <row r="2429">
      <c r="B2429" s="15" t="n"/>
      <c r="C2429" s="16" t="n"/>
      <c r="D2429" s="17" t="n"/>
      <c r="E2429" s="17" t="n"/>
      <c r="F2429" s="17" t="n"/>
      <c r="G2429" s="17" t="n"/>
      <c r="H2429" s="18">
        <f>IF(AND(B2429="",C2429="",D2429="",E2429=""),"",IF(B2429="","⚠ Falta fecha",IF(C2429="","⚠ Falta monto",IF(D2429="","⚠ Falta categoría",IF(ISNA(MATCH(D2429,catNom,0)),"⚠ Categoría no existe",IF(E2429="","⚠ Falta cuenta",IF(ISNA(MATCH(E2429,ctaNom,0)),"⚠ Cuenta no existe",IF(AND(OR(I2429="Transferencia",I2429="Pago tarjeta"),G2429=""),"⚠ Indica la cuenta «Hacia»",IF(AND(G2429&lt;&gt;"",G2429=E2429),"⚠ «Hacia» igual a la cuenta",IF(AND(G2429&lt;&gt;"",ISNA(MATCH(G2429,ctaNom,0))),"⚠ «Hacia» no existe",IF(AND(I2429="Pago tarjeta",IFERROR(INDEX(ctaTipo,MATCH(G2429,ctaNom,0)),"")&lt;&gt;"Tarjeta de crédito"),"⚠ «Hacia» debe ser la tarjeta",IF(AND(I2429="Trading",IFERROR(INDEX(ctaTipo,MATCH(E2429,ctaNom,0)),"")&lt;&gt;"Cuenta de trading"),"⚠ Usa la cuenta de trading","✓"))))))))))))</f>
        <v/>
      </c>
      <c r="I2429" s="19">
        <f>IF(OR(B2429="",C2429="",D2429=""),"",IFERROR(INDEX(catTipo,MATCH(D2429,catNom,0))&amp;"",""))</f>
        <v/>
      </c>
      <c r="J2429" s="19">
        <f>IF(I2429="","",IFERROR(INDEX(catGrupo,MATCH(D2429,catNom,0))&amp;"",""))</f>
        <v/>
      </c>
      <c r="K2429" s="19">
        <f>IF(I2429="Gasto",IF(IFERROR(INDEX(catClas,MATCH(D2429,catNom,0))&amp;"","")="","Variable",IFERROR(INDEX(catClas,MATCH(D2429,catNom,0))&amp;"","")),"")</f>
        <v/>
      </c>
      <c r="L2429" s="19">
        <f>IF(I2429="","",IFERROR(INDEX(catAlim,MATCH(D2429,catNom,0))&amp;"",""))</f>
        <v/>
      </c>
      <c r="M2429" s="19">
        <f>IF(I2429="","",IFERROR(INDEX(catComida,MATCH(D2429,catNom,0))&amp;"",""))</f>
        <v/>
      </c>
      <c r="N2429" s="19">
        <f>IF(I2429="","",IFERROR(INDEX(ctaMon,MATCH(E2429,ctaNom,0))&amp;"","DOP"))</f>
        <v/>
      </c>
      <c r="O2429" s="20">
        <f>IF(I2429="","",C2429*IF(N2429="USD",TasaUSD,1))</f>
        <v/>
      </c>
      <c r="P2429" s="20">
        <f>IF(I2429="","",IF(I2429="Gasto",O2429,0))</f>
        <v/>
      </c>
      <c r="Q2429" s="20">
        <f>IF(I2429="","",IF(I2429="Ingreso",O2429,0))</f>
        <v/>
      </c>
      <c r="R2429" s="20">
        <f>IF(I2429="","",IF(I2429="Trading",O2429,0))</f>
        <v/>
      </c>
      <c r="S2429" s="19">
        <f>IF(I2429="","",IF(AND(I2429="Gasto",K2429="Variable",J2429&lt;&gt;"Trading",O2429&gt;0,O2429&lt;=Umbral),1,0))</f>
        <v/>
      </c>
      <c r="T2429" s="20">
        <f>IF(OR(I2429="",E2429=""),"",IF(OR(I2429="Gasto",I2429="Transferencia",I2429="Pago tarjeta"),-1,1)*C2429)</f>
        <v/>
      </c>
      <c r="U2429" s="20">
        <f>IF(OR(G2429="",AND(I2429&lt;&gt;"Transferencia",I2429&lt;&gt;"Pago tarjeta")),"",IF(IFERROR(INDEX(ctaMon,MATCH(G2429,ctaNom,0))&amp;"","DOP")=N2429,C2429,IF(N2429="USD",C2429*TasaUSD,C2429/TasaUSD)))</f>
        <v/>
      </c>
      <c r="V2429" s="20">
        <f>IF(I2429="","",IF(IFERROR(INDEX(ctaLiq,MATCH(E2429,ctaNom,0))="Sí",FALSE),IF(OR(I2429="Gasto",I2429="Transferencia",I2429="Pago tarjeta"),-1,1)*O2429,0)+IF(AND(U2429&lt;&gt;"",IFERROR(INDEX(ctaLiq,MATCH(G2429,ctaNom,0))="Sí",FALSE)),O2429,0))</f>
        <v/>
      </c>
      <c r="W2429" s="19">
        <f>IF(OR(F2429="",I2429=""),"",IF(COUNTIFS(F$6:F2429,F2429,I$6:I2429,"?*")=1,MAX(W$5:W2428)+1,""))</f>
        <v/>
      </c>
    </row>
    <row r="2430">
      <c r="B2430" s="15" t="n"/>
      <c r="C2430" s="16" t="n"/>
      <c r="D2430" s="17" t="n"/>
      <c r="E2430" s="17" t="n"/>
      <c r="F2430" s="17" t="n"/>
      <c r="G2430" s="17" t="n"/>
      <c r="H2430" s="18">
        <f>IF(AND(B2430="",C2430="",D2430="",E2430=""),"",IF(B2430="","⚠ Falta fecha",IF(C2430="","⚠ Falta monto",IF(D2430="","⚠ Falta categoría",IF(ISNA(MATCH(D2430,catNom,0)),"⚠ Categoría no existe",IF(E2430="","⚠ Falta cuenta",IF(ISNA(MATCH(E2430,ctaNom,0)),"⚠ Cuenta no existe",IF(AND(OR(I2430="Transferencia",I2430="Pago tarjeta"),G2430=""),"⚠ Indica la cuenta «Hacia»",IF(AND(G2430&lt;&gt;"",G2430=E2430),"⚠ «Hacia» igual a la cuenta",IF(AND(G2430&lt;&gt;"",ISNA(MATCH(G2430,ctaNom,0))),"⚠ «Hacia» no existe",IF(AND(I2430="Pago tarjeta",IFERROR(INDEX(ctaTipo,MATCH(G2430,ctaNom,0)),"")&lt;&gt;"Tarjeta de crédito"),"⚠ «Hacia» debe ser la tarjeta",IF(AND(I2430="Trading",IFERROR(INDEX(ctaTipo,MATCH(E2430,ctaNom,0)),"")&lt;&gt;"Cuenta de trading"),"⚠ Usa la cuenta de trading","✓"))))))))))))</f>
        <v/>
      </c>
      <c r="I2430" s="19">
        <f>IF(OR(B2430="",C2430="",D2430=""),"",IFERROR(INDEX(catTipo,MATCH(D2430,catNom,0))&amp;"",""))</f>
        <v/>
      </c>
      <c r="J2430" s="19">
        <f>IF(I2430="","",IFERROR(INDEX(catGrupo,MATCH(D2430,catNom,0))&amp;"",""))</f>
        <v/>
      </c>
      <c r="K2430" s="19">
        <f>IF(I2430="Gasto",IF(IFERROR(INDEX(catClas,MATCH(D2430,catNom,0))&amp;"","")="","Variable",IFERROR(INDEX(catClas,MATCH(D2430,catNom,0))&amp;"","")),"")</f>
        <v/>
      </c>
      <c r="L2430" s="19">
        <f>IF(I2430="","",IFERROR(INDEX(catAlim,MATCH(D2430,catNom,0))&amp;"",""))</f>
        <v/>
      </c>
      <c r="M2430" s="19">
        <f>IF(I2430="","",IFERROR(INDEX(catComida,MATCH(D2430,catNom,0))&amp;"",""))</f>
        <v/>
      </c>
      <c r="N2430" s="19">
        <f>IF(I2430="","",IFERROR(INDEX(ctaMon,MATCH(E2430,ctaNom,0))&amp;"","DOP"))</f>
        <v/>
      </c>
      <c r="O2430" s="20">
        <f>IF(I2430="","",C2430*IF(N2430="USD",TasaUSD,1))</f>
        <v/>
      </c>
      <c r="P2430" s="20">
        <f>IF(I2430="","",IF(I2430="Gasto",O2430,0))</f>
        <v/>
      </c>
      <c r="Q2430" s="20">
        <f>IF(I2430="","",IF(I2430="Ingreso",O2430,0))</f>
        <v/>
      </c>
      <c r="R2430" s="20">
        <f>IF(I2430="","",IF(I2430="Trading",O2430,0))</f>
        <v/>
      </c>
      <c r="S2430" s="19">
        <f>IF(I2430="","",IF(AND(I2430="Gasto",K2430="Variable",J2430&lt;&gt;"Trading",O2430&gt;0,O2430&lt;=Umbral),1,0))</f>
        <v/>
      </c>
      <c r="T2430" s="20">
        <f>IF(OR(I2430="",E2430=""),"",IF(OR(I2430="Gasto",I2430="Transferencia",I2430="Pago tarjeta"),-1,1)*C2430)</f>
        <v/>
      </c>
      <c r="U2430" s="20">
        <f>IF(OR(G2430="",AND(I2430&lt;&gt;"Transferencia",I2430&lt;&gt;"Pago tarjeta")),"",IF(IFERROR(INDEX(ctaMon,MATCH(G2430,ctaNom,0))&amp;"","DOP")=N2430,C2430,IF(N2430="USD",C2430*TasaUSD,C2430/TasaUSD)))</f>
        <v/>
      </c>
      <c r="V2430" s="20">
        <f>IF(I2430="","",IF(IFERROR(INDEX(ctaLiq,MATCH(E2430,ctaNom,0))="Sí",FALSE),IF(OR(I2430="Gasto",I2430="Transferencia",I2430="Pago tarjeta"),-1,1)*O2430,0)+IF(AND(U2430&lt;&gt;"",IFERROR(INDEX(ctaLiq,MATCH(G2430,ctaNom,0))="Sí",FALSE)),O2430,0))</f>
        <v/>
      </c>
      <c r="W2430" s="19">
        <f>IF(OR(F2430="",I2430=""),"",IF(COUNTIFS(F$6:F2430,F2430,I$6:I2430,"?*")=1,MAX(W$5:W2429)+1,""))</f>
        <v/>
      </c>
    </row>
    <row r="2431">
      <c r="B2431" s="15" t="n"/>
      <c r="C2431" s="16" t="n"/>
      <c r="D2431" s="17" t="n"/>
      <c r="E2431" s="17" t="n"/>
      <c r="F2431" s="17" t="n"/>
      <c r="G2431" s="17" t="n"/>
      <c r="H2431" s="18">
        <f>IF(AND(B2431="",C2431="",D2431="",E2431=""),"",IF(B2431="","⚠ Falta fecha",IF(C2431="","⚠ Falta monto",IF(D2431="","⚠ Falta categoría",IF(ISNA(MATCH(D2431,catNom,0)),"⚠ Categoría no existe",IF(E2431="","⚠ Falta cuenta",IF(ISNA(MATCH(E2431,ctaNom,0)),"⚠ Cuenta no existe",IF(AND(OR(I2431="Transferencia",I2431="Pago tarjeta"),G2431=""),"⚠ Indica la cuenta «Hacia»",IF(AND(G2431&lt;&gt;"",G2431=E2431),"⚠ «Hacia» igual a la cuenta",IF(AND(G2431&lt;&gt;"",ISNA(MATCH(G2431,ctaNom,0))),"⚠ «Hacia» no existe",IF(AND(I2431="Pago tarjeta",IFERROR(INDEX(ctaTipo,MATCH(G2431,ctaNom,0)),"")&lt;&gt;"Tarjeta de crédito"),"⚠ «Hacia» debe ser la tarjeta",IF(AND(I2431="Trading",IFERROR(INDEX(ctaTipo,MATCH(E2431,ctaNom,0)),"")&lt;&gt;"Cuenta de trading"),"⚠ Usa la cuenta de trading","✓"))))))))))))</f>
        <v/>
      </c>
      <c r="I2431" s="19">
        <f>IF(OR(B2431="",C2431="",D2431=""),"",IFERROR(INDEX(catTipo,MATCH(D2431,catNom,0))&amp;"",""))</f>
        <v/>
      </c>
      <c r="J2431" s="19">
        <f>IF(I2431="","",IFERROR(INDEX(catGrupo,MATCH(D2431,catNom,0))&amp;"",""))</f>
        <v/>
      </c>
      <c r="K2431" s="19">
        <f>IF(I2431="Gasto",IF(IFERROR(INDEX(catClas,MATCH(D2431,catNom,0))&amp;"","")="","Variable",IFERROR(INDEX(catClas,MATCH(D2431,catNom,0))&amp;"","")),"")</f>
        <v/>
      </c>
      <c r="L2431" s="19">
        <f>IF(I2431="","",IFERROR(INDEX(catAlim,MATCH(D2431,catNom,0))&amp;"",""))</f>
        <v/>
      </c>
      <c r="M2431" s="19">
        <f>IF(I2431="","",IFERROR(INDEX(catComida,MATCH(D2431,catNom,0))&amp;"",""))</f>
        <v/>
      </c>
      <c r="N2431" s="19">
        <f>IF(I2431="","",IFERROR(INDEX(ctaMon,MATCH(E2431,ctaNom,0))&amp;"","DOP"))</f>
        <v/>
      </c>
      <c r="O2431" s="20">
        <f>IF(I2431="","",C2431*IF(N2431="USD",TasaUSD,1))</f>
        <v/>
      </c>
      <c r="P2431" s="20">
        <f>IF(I2431="","",IF(I2431="Gasto",O2431,0))</f>
        <v/>
      </c>
      <c r="Q2431" s="20">
        <f>IF(I2431="","",IF(I2431="Ingreso",O2431,0))</f>
        <v/>
      </c>
      <c r="R2431" s="20">
        <f>IF(I2431="","",IF(I2431="Trading",O2431,0))</f>
        <v/>
      </c>
      <c r="S2431" s="19">
        <f>IF(I2431="","",IF(AND(I2431="Gasto",K2431="Variable",J2431&lt;&gt;"Trading",O2431&gt;0,O2431&lt;=Umbral),1,0))</f>
        <v/>
      </c>
      <c r="T2431" s="20">
        <f>IF(OR(I2431="",E2431=""),"",IF(OR(I2431="Gasto",I2431="Transferencia",I2431="Pago tarjeta"),-1,1)*C2431)</f>
        <v/>
      </c>
      <c r="U2431" s="20">
        <f>IF(OR(G2431="",AND(I2431&lt;&gt;"Transferencia",I2431&lt;&gt;"Pago tarjeta")),"",IF(IFERROR(INDEX(ctaMon,MATCH(G2431,ctaNom,0))&amp;"","DOP")=N2431,C2431,IF(N2431="USD",C2431*TasaUSD,C2431/TasaUSD)))</f>
        <v/>
      </c>
      <c r="V2431" s="20">
        <f>IF(I2431="","",IF(IFERROR(INDEX(ctaLiq,MATCH(E2431,ctaNom,0))="Sí",FALSE),IF(OR(I2431="Gasto",I2431="Transferencia",I2431="Pago tarjeta"),-1,1)*O2431,0)+IF(AND(U2431&lt;&gt;"",IFERROR(INDEX(ctaLiq,MATCH(G2431,ctaNom,0))="Sí",FALSE)),O2431,0))</f>
        <v/>
      </c>
      <c r="W2431" s="19">
        <f>IF(OR(F2431="",I2431=""),"",IF(COUNTIFS(F$6:F2431,F2431,I$6:I2431,"?*")=1,MAX(W$5:W2430)+1,""))</f>
        <v/>
      </c>
    </row>
    <row r="2432">
      <c r="B2432" s="15" t="n"/>
      <c r="C2432" s="16" t="n"/>
      <c r="D2432" s="17" t="n"/>
      <c r="E2432" s="17" t="n"/>
      <c r="F2432" s="17" t="n"/>
      <c r="G2432" s="17" t="n"/>
      <c r="H2432" s="18">
        <f>IF(AND(B2432="",C2432="",D2432="",E2432=""),"",IF(B2432="","⚠ Falta fecha",IF(C2432="","⚠ Falta monto",IF(D2432="","⚠ Falta categoría",IF(ISNA(MATCH(D2432,catNom,0)),"⚠ Categoría no existe",IF(E2432="","⚠ Falta cuenta",IF(ISNA(MATCH(E2432,ctaNom,0)),"⚠ Cuenta no existe",IF(AND(OR(I2432="Transferencia",I2432="Pago tarjeta"),G2432=""),"⚠ Indica la cuenta «Hacia»",IF(AND(G2432&lt;&gt;"",G2432=E2432),"⚠ «Hacia» igual a la cuenta",IF(AND(G2432&lt;&gt;"",ISNA(MATCH(G2432,ctaNom,0))),"⚠ «Hacia» no existe",IF(AND(I2432="Pago tarjeta",IFERROR(INDEX(ctaTipo,MATCH(G2432,ctaNom,0)),"")&lt;&gt;"Tarjeta de crédito"),"⚠ «Hacia» debe ser la tarjeta",IF(AND(I2432="Trading",IFERROR(INDEX(ctaTipo,MATCH(E2432,ctaNom,0)),"")&lt;&gt;"Cuenta de trading"),"⚠ Usa la cuenta de trading","✓"))))))))))))</f>
        <v/>
      </c>
      <c r="I2432" s="19">
        <f>IF(OR(B2432="",C2432="",D2432=""),"",IFERROR(INDEX(catTipo,MATCH(D2432,catNom,0))&amp;"",""))</f>
        <v/>
      </c>
      <c r="J2432" s="19">
        <f>IF(I2432="","",IFERROR(INDEX(catGrupo,MATCH(D2432,catNom,0))&amp;"",""))</f>
        <v/>
      </c>
      <c r="K2432" s="19">
        <f>IF(I2432="Gasto",IF(IFERROR(INDEX(catClas,MATCH(D2432,catNom,0))&amp;"","")="","Variable",IFERROR(INDEX(catClas,MATCH(D2432,catNom,0))&amp;"","")),"")</f>
        <v/>
      </c>
      <c r="L2432" s="19">
        <f>IF(I2432="","",IFERROR(INDEX(catAlim,MATCH(D2432,catNom,0))&amp;"",""))</f>
        <v/>
      </c>
      <c r="M2432" s="19">
        <f>IF(I2432="","",IFERROR(INDEX(catComida,MATCH(D2432,catNom,0))&amp;"",""))</f>
        <v/>
      </c>
      <c r="N2432" s="19">
        <f>IF(I2432="","",IFERROR(INDEX(ctaMon,MATCH(E2432,ctaNom,0))&amp;"","DOP"))</f>
        <v/>
      </c>
      <c r="O2432" s="20">
        <f>IF(I2432="","",C2432*IF(N2432="USD",TasaUSD,1))</f>
        <v/>
      </c>
      <c r="P2432" s="20">
        <f>IF(I2432="","",IF(I2432="Gasto",O2432,0))</f>
        <v/>
      </c>
      <c r="Q2432" s="20">
        <f>IF(I2432="","",IF(I2432="Ingreso",O2432,0))</f>
        <v/>
      </c>
      <c r="R2432" s="20">
        <f>IF(I2432="","",IF(I2432="Trading",O2432,0))</f>
        <v/>
      </c>
      <c r="S2432" s="19">
        <f>IF(I2432="","",IF(AND(I2432="Gasto",K2432="Variable",J2432&lt;&gt;"Trading",O2432&gt;0,O2432&lt;=Umbral),1,0))</f>
        <v/>
      </c>
      <c r="T2432" s="20">
        <f>IF(OR(I2432="",E2432=""),"",IF(OR(I2432="Gasto",I2432="Transferencia",I2432="Pago tarjeta"),-1,1)*C2432)</f>
        <v/>
      </c>
      <c r="U2432" s="20">
        <f>IF(OR(G2432="",AND(I2432&lt;&gt;"Transferencia",I2432&lt;&gt;"Pago tarjeta")),"",IF(IFERROR(INDEX(ctaMon,MATCH(G2432,ctaNom,0))&amp;"","DOP")=N2432,C2432,IF(N2432="USD",C2432*TasaUSD,C2432/TasaUSD)))</f>
        <v/>
      </c>
      <c r="V2432" s="20">
        <f>IF(I2432="","",IF(IFERROR(INDEX(ctaLiq,MATCH(E2432,ctaNom,0))="Sí",FALSE),IF(OR(I2432="Gasto",I2432="Transferencia",I2432="Pago tarjeta"),-1,1)*O2432,0)+IF(AND(U2432&lt;&gt;"",IFERROR(INDEX(ctaLiq,MATCH(G2432,ctaNom,0))="Sí",FALSE)),O2432,0))</f>
        <v/>
      </c>
      <c r="W2432" s="19">
        <f>IF(OR(F2432="",I2432=""),"",IF(COUNTIFS(F$6:F2432,F2432,I$6:I2432,"?*")=1,MAX(W$5:W2431)+1,""))</f>
        <v/>
      </c>
    </row>
    <row r="2433">
      <c r="B2433" s="15" t="n"/>
      <c r="C2433" s="16" t="n"/>
      <c r="D2433" s="17" t="n"/>
      <c r="E2433" s="17" t="n"/>
      <c r="F2433" s="17" t="n"/>
      <c r="G2433" s="17" t="n"/>
      <c r="H2433" s="18">
        <f>IF(AND(B2433="",C2433="",D2433="",E2433=""),"",IF(B2433="","⚠ Falta fecha",IF(C2433="","⚠ Falta monto",IF(D2433="","⚠ Falta categoría",IF(ISNA(MATCH(D2433,catNom,0)),"⚠ Categoría no existe",IF(E2433="","⚠ Falta cuenta",IF(ISNA(MATCH(E2433,ctaNom,0)),"⚠ Cuenta no existe",IF(AND(OR(I2433="Transferencia",I2433="Pago tarjeta"),G2433=""),"⚠ Indica la cuenta «Hacia»",IF(AND(G2433&lt;&gt;"",G2433=E2433),"⚠ «Hacia» igual a la cuenta",IF(AND(G2433&lt;&gt;"",ISNA(MATCH(G2433,ctaNom,0))),"⚠ «Hacia» no existe",IF(AND(I2433="Pago tarjeta",IFERROR(INDEX(ctaTipo,MATCH(G2433,ctaNom,0)),"")&lt;&gt;"Tarjeta de crédito"),"⚠ «Hacia» debe ser la tarjeta",IF(AND(I2433="Trading",IFERROR(INDEX(ctaTipo,MATCH(E2433,ctaNom,0)),"")&lt;&gt;"Cuenta de trading"),"⚠ Usa la cuenta de trading","✓"))))))))))))</f>
        <v/>
      </c>
      <c r="I2433" s="19">
        <f>IF(OR(B2433="",C2433="",D2433=""),"",IFERROR(INDEX(catTipo,MATCH(D2433,catNom,0))&amp;"",""))</f>
        <v/>
      </c>
      <c r="J2433" s="19">
        <f>IF(I2433="","",IFERROR(INDEX(catGrupo,MATCH(D2433,catNom,0))&amp;"",""))</f>
        <v/>
      </c>
      <c r="K2433" s="19">
        <f>IF(I2433="Gasto",IF(IFERROR(INDEX(catClas,MATCH(D2433,catNom,0))&amp;"","")="","Variable",IFERROR(INDEX(catClas,MATCH(D2433,catNom,0))&amp;"","")),"")</f>
        <v/>
      </c>
      <c r="L2433" s="19">
        <f>IF(I2433="","",IFERROR(INDEX(catAlim,MATCH(D2433,catNom,0))&amp;"",""))</f>
        <v/>
      </c>
      <c r="M2433" s="19">
        <f>IF(I2433="","",IFERROR(INDEX(catComida,MATCH(D2433,catNom,0))&amp;"",""))</f>
        <v/>
      </c>
      <c r="N2433" s="19">
        <f>IF(I2433="","",IFERROR(INDEX(ctaMon,MATCH(E2433,ctaNom,0))&amp;"","DOP"))</f>
        <v/>
      </c>
      <c r="O2433" s="20">
        <f>IF(I2433="","",C2433*IF(N2433="USD",TasaUSD,1))</f>
        <v/>
      </c>
      <c r="P2433" s="20">
        <f>IF(I2433="","",IF(I2433="Gasto",O2433,0))</f>
        <v/>
      </c>
      <c r="Q2433" s="20">
        <f>IF(I2433="","",IF(I2433="Ingreso",O2433,0))</f>
        <v/>
      </c>
      <c r="R2433" s="20">
        <f>IF(I2433="","",IF(I2433="Trading",O2433,0))</f>
        <v/>
      </c>
      <c r="S2433" s="19">
        <f>IF(I2433="","",IF(AND(I2433="Gasto",K2433="Variable",J2433&lt;&gt;"Trading",O2433&gt;0,O2433&lt;=Umbral),1,0))</f>
        <v/>
      </c>
      <c r="T2433" s="20">
        <f>IF(OR(I2433="",E2433=""),"",IF(OR(I2433="Gasto",I2433="Transferencia",I2433="Pago tarjeta"),-1,1)*C2433)</f>
        <v/>
      </c>
      <c r="U2433" s="20">
        <f>IF(OR(G2433="",AND(I2433&lt;&gt;"Transferencia",I2433&lt;&gt;"Pago tarjeta")),"",IF(IFERROR(INDEX(ctaMon,MATCH(G2433,ctaNom,0))&amp;"","DOP")=N2433,C2433,IF(N2433="USD",C2433*TasaUSD,C2433/TasaUSD)))</f>
        <v/>
      </c>
      <c r="V2433" s="20">
        <f>IF(I2433="","",IF(IFERROR(INDEX(ctaLiq,MATCH(E2433,ctaNom,0))="Sí",FALSE),IF(OR(I2433="Gasto",I2433="Transferencia",I2433="Pago tarjeta"),-1,1)*O2433,0)+IF(AND(U2433&lt;&gt;"",IFERROR(INDEX(ctaLiq,MATCH(G2433,ctaNom,0))="Sí",FALSE)),O2433,0))</f>
        <v/>
      </c>
      <c r="W2433" s="19">
        <f>IF(OR(F2433="",I2433=""),"",IF(COUNTIFS(F$6:F2433,F2433,I$6:I2433,"?*")=1,MAX(W$5:W2432)+1,""))</f>
        <v/>
      </c>
    </row>
    <row r="2434">
      <c r="B2434" s="15" t="n"/>
      <c r="C2434" s="16" t="n"/>
      <c r="D2434" s="17" t="n"/>
      <c r="E2434" s="17" t="n"/>
      <c r="F2434" s="17" t="n"/>
      <c r="G2434" s="17" t="n"/>
      <c r="H2434" s="18">
        <f>IF(AND(B2434="",C2434="",D2434="",E2434=""),"",IF(B2434="","⚠ Falta fecha",IF(C2434="","⚠ Falta monto",IF(D2434="","⚠ Falta categoría",IF(ISNA(MATCH(D2434,catNom,0)),"⚠ Categoría no existe",IF(E2434="","⚠ Falta cuenta",IF(ISNA(MATCH(E2434,ctaNom,0)),"⚠ Cuenta no existe",IF(AND(OR(I2434="Transferencia",I2434="Pago tarjeta"),G2434=""),"⚠ Indica la cuenta «Hacia»",IF(AND(G2434&lt;&gt;"",G2434=E2434),"⚠ «Hacia» igual a la cuenta",IF(AND(G2434&lt;&gt;"",ISNA(MATCH(G2434,ctaNom,0))),"⚠ «Hacia» no existe",IF(AND(I2434="Pago tarjeta",IFERROR(INDEX(ctaTipo,MATCH(G2434,ctaNom,0)),"")&lt;&gt;"Tarjeta de crédito"),"⚠ «Hacia» debe ser la tarjeta",IF(AND(I2434="Trading",IFERROR(INDEX(ctaTipo,MATCH(E2434,ctaNom,0)),"")&lt;&gt;"Cuenta de trading"),"⚠ Usa la cuenta de trading","✓"))))))))))))</f>
        <v/>
      </c>
      <c r="I2434" s="19">
        <f>IF(OR(B2434="",C2434="",D2434=""),"",IFERROR(INDEX(catTipo,MATCH(D2434,catNom,0))&amp;"",""))</f>
        <v/>
      </c>
      <c r="J2434" s="19">
        <f>IF(I2434="","",IFERROR(INDEX(catGrupo,MATCH(D2434,catNom,0))&amp;"",""))</f>
        <v/>
      </c>
      <c r="K2434" s="19">
        <f>IF(I2434="Gasto",IF(IFERROR(INDEX(catClas,MATCH(D2434,catNom,0))&amp;"","")="","Variable",IFERROR(INDEX(catClas,MATCH(D2434,catNom,0))&amp;"","")),"")</f>
        <v/>
      </c>
      <c r="L2434" s="19">
        <f>IF(I2434="","",IFERROR(INDEX(catAlim,MATCH(D2434,catNom,0))&amp;"",""))</f>
        <v/>
      </c>
      <c r="M2434" s="19">
        <f>IF(I2434="","",IFERROR(INDEX(catComida,MATCH(D2434,catNom,0))&amp;"",""))</f>
        <v/>
      </c>
      <c r="N2434" s="19">
        <f>IF(I2434="","",IFERROR(INDEX(ctaMon,MATCH(E2434,ctaNom,0))&amp;"","DOP"))</f>
        <v/>
      </c>
      <c r="O2434" s="20">
        <f>IF(I2434="","",C2434*IF(N2434="USD",TasaUSD,1))</f>
        <v/>
      </c>
      <c r="P2434" s="20">
        <f>IF(I2434="","",IF(I2434="Gasto",O2434,0))</f>
        <v/>
      </c>
      <c r="Q2434" s="20">
        <f>IF(I2434="","",IF(I2434="Ingreso",O2434,0))</f>
        <v/>
      </c>
      <c r="R2434" s="20">
        <f>IF(I2434="","",IF(I2434="Trading",O2434,0))</f>
        <v/>
      </c>
      <c r="S2434" s="19">
        <f>IF(I2434="","",IF(AND(I2434="Gasto",K2434="Variable",J2434&lt;&gt;"Trading",O2434&gt;0,O2434&lt;=Umbral),1,0))</f>
        <v/>
      </c>
      <c r="T2434" s="20">
        <f>IF(OR(I2434="",E2434=""),"",IF(OR(I2434="Gasto",I2434="Transferencia",I2434="Pago tarjeta"),-1,1)*C2434)</f>
        <v/>
      </c>
      <c r="U2434" s="20">
        <f>IF(OR(G2434="",AND(I2434&lt;&gt;"Transferencia",I2434&lt;&gt;"Pago tarjeta")),"",IF(IFERROR(INDEX(ctaMon,MATCH(G2434,ctaNom,0))&amp;"","DOP")=N2434,C2434,IF(N2434="USD",C2434*TasaUSD,C2434/TasaUSD)))</f>
        <v/>
      </c>
      <c r="V2434" s="20">
        <f>IF(I2434="","",IF(IFERROR(INDEX(ctaLiq,MATCH(E2434,ctaNom,0))="Sí",FALSE),IF(OR(I2434="Gasto",I2434="Transferencia",I2434="Pago tarjeta"),-1,1)*O2434,0)+IF(AND(U2434&lt;&gt;"",IFERROR(INDEX(ctaLiq,MATCH(G2434,ctaNom,0))="Sí",FALSE)),O2434,0))</f>
        <v/>
      </c>
      <c r="W2434" s="19">
        <f>IF(OR(F2434="",I2434=""),"",IF(COUNTIFS(F$6:F2434,F2434,I$6:I2434,"?*")=1,MAX(W$5:W2433)+1,""))</f>
        <v/>
      </c>
    </row>
    <row r="2435">
      <c r="B2435" s="15" t="n"/>
      <c r="C2435" s="16" t="n"/>
      <c r="D2435" s="17" t="n"/>
      <c r="E2435" s="17" t="n"/>
      <c r="F2435" s="17" t="n"/>
      <c r="G2435" s="17" t="n"/>
      <c r="H2435" s="18">
        <f>IF(AND(B2435="",C2435="",D2435="",E2435=""),"",IF(B2435="","⚠ Falta fecha",IF(C2435="","⚠ Falta monto",IF(D2435="","⚠ Falta categoría",IF(ISNA(MATCH(D2435,catNom,0)),"⚠ Categoría no existe",IF(E2435="","⚠ Falta cuenta",IF(ISNA(MATCH(E2435,ctaNom,0)),"⚠ Cuenta no existe",IF(AND(OR(I2435="Transferencia",I2435="Pago tarjeta"),G2435=""),"⚠ Indica la cuenta «Hacia»",IF(AND(G2435&lt;&gt;"",G2435=E2435),"⚠ «Hacia» igual a la cuenta",IF(AND(G2435&lt;&gt;"",ISNA(MATCH(G2435,ctaNom,0))),"⚠ «Hacia» no existe",IF(AND(I2435="Pago tarjeta",IFERROR(INDEX(ctaTipo,MATCH(G2435,ctaNom,0)),"")&lt;&gt;"Tarjeta de crédito"),"⚠ «Hacia» debe ser la tarjeta",IF(AND(I2435="Trading",IFERROR(INDEX(ctaTipo,MATCH(E2435,ctaNom,0)),"")&lt;&gt;"Cuenta de trading"),"⚠ Usa la cuenta de trading","✓"))))))))))))</f>
        <v/>
      </c>
      <c r="I2435" s="19">
        <f>IF(OR(B2435="",C2435="",D2435=""),"",IFERROR(INDEX(catTipo,MATCH(D2435,catNom,0))&amp;"",""))</f>
        <v/>
      </c>
      <c r="J2435" s="19">
        <f>IF(I2435="","",IFERROR(INDEX(catGrupo,MATCH(D2435,catNom,0))&amp;"",""))</f>
        <v/>
      </c>
      <c r="K2435" s="19">
        <f>IF(I2435="Gasto",IF(IFERROR(INDEX(catClas,MATCH(D2435,catNom,0))&amp;"","")="","Variable",IFERROR(INDEX(catClas,MATCH(D2435,catNom,0))&amp;"","")),"")</f>
        <v/>
      </c>
      <c r="L2435" s="19">
        <f>IF(I2435="","",IFERROR(INDEX(catAlim,MATCH(D2435,catNom,0))&amp;"",""))</f>
        <v/>
      </c>
      <c r="M2435" s="19">
        <f>IF(I2435="","",IFERROR(INDEX(catComida,MATCH(D2435,catNom,0))&amp;"",""))</f>
        <v/>
      </c>
      <c r="N2435" s="19">
        <f>IF(I2435="","",IFERROR(INDEX(ctaMon,MATCH(E2435,ctaNom,0))&amp;"","DOP"))</f>
        <v/>
      </c>
      <c r="O2435" s="20">
        <f>IF(I2435="","",C2435*IF(N2435="USD",TasaUSD,1))</f>
        <v/>
      </c>
      <c r="P2435" s="20">
        <f>IF(I2435="","",IF(I2435="Gasto",O2435,0))</f>
        <v/>
      </c>
      <c r="Q2435" s="20">
        <f>IF(I2435="","",IF(I2435="Ingreso",O2435,0))</f>
        <v/>
      </c>
      <c r="R2435" s="20">
        <f>IF(I2435="","",IF(I2435="Trading",O2435,0))</f>
        <v/>
      </c>
      <c r="S2435" s="19">
        <f>IF(I2435="","",IF(AND(I2435="Gasto",K2435="Variable",J2435&lt;&gt;"Trading",O2435&gt;0,O2435&lt;=Umbral),1,0))</f>
        <v/>
      </c>
      <c r="T2435" s="20">
        <f>IF(OR(I2435="",E2435=""),"",IF(OR(I2435="Gasto",I2435="Transferencia",I2435="Pago tarjeta"),-1,1)*C2435)</f>
        <v/>
      </c>
      <c r="U2435" s="20">
        <f>IF(OR(G2435="",AND(I2435&lt;&gt;"Transferencia",I2435&lt;&gt;"Pago tarjeta")),"",IF(IFERROR(INDEX(ctaMon,MATCH(G2435,ctaNom,0))&amp;"","DOP")=N2435,C2435,IF(N2435="USD",C2435*TasaUSD,C2435/TasaUSD)))</f>
        <v/>
      </c>
      <c r="V2435" s="20">
        <f>IF(I2435="","",IF(IFERROR(INDEX(ctaLiq,MATCH(E2435,ctaNom,0))="Sí",FALSE),IF(OR(I2435="Gasto",I2435="Transferencia",I2435="Pago tarjeta"),-1,1)*O2435,0)+IF(AND(U2435&lt;&gt;"",IFERROR(INDEX(ctaLiq,MATCH(G2435,ctaNom,0))="Sí",FALSE)),O2435,0))</f>
        <v/>
      </c>
      <c r="W2435" s="19">
        <f>IF(OR(F2435="",I2435=""),"",IF(COUNTIFS(F$6:F2435,F2435,I$6:I2435,"?*")=1,MAX(W$5:W2434)+1,""))</f>
        <v/>
      </c>
    </row>
    <row r="2436">
      <c r="B2436" s="15" t="n"/>
      <c r="C2436" s="16" t="n"/>
      <c r="D2436" s="17" t="n"/>
      <c r="E2436" s="17" t="n"/>
      <c r="F2436" s="17" t="n"/>
      <c r="G2436" s="17" t="n"/>
      <c r="H2436" s="18">
        <f>IF(AND(B2436="",C2436="",D2436="",E2436=""),"",IF(B2436="","⚠ Falta fecha",IF(C2436="","⚠ Falta monto",IF(D2436="","⚠ Falta categoría",IF(ISNA(MATCH(D2436,catNom,0)),"⚠ Categoría no existe",IF(E2436="","⚠ Falta cuenta",IF(ISNA(MATCH(E2436,ctaNom,0)),"⚠ Cuenta no existe",IF(AND(OR(I2436="Transferencia",I2436="Pago tarjeta"),G2436=""),"⚠ Indica la cuenta «Hacia»",IF(AND(G2436&lt;&gt;"",G2436=E2436),"⚠ «Hacia» igual a la cuenta",IF(AND(G2436&lt;&gt;"",ISNA(MATCH(G2436,ctaNom,0))),"⚠ «Hacia» no existe",IF(AND(I2436="Pago tarjeta",IFERROR(INDEX(ctaTipo,MATCH(G2436,ctaNom,0)),"")&lt;&gt;"Tarjeta de crédito"),"⚠ «Hacia» debe ser la tarjeta",IF(AND(I2436="Trading",IFERROR(INDEX(ctaTipo,MATCH(E2436,ctaNom,0)),"")&lt;&gt;"Cuenta de trading"),"⚠ Usa la cuenta de trading","✓"))))))))))))</f>
        <v/>
      </c>
      <c r="I2436" s="19">
        <f>IF(OR(B2436="",C2436="",D2436=""),"",IFERROR(INDEX(catTipo,MATCH(D2436,catNom,0))&amp;"",""))</f>
        <v/>
      </c>
      <c r="J2436" s="19">
        <f>IF(I2436="","",IFERROR(INDEX(catGrupo,MATCH(D2436,catNom,0))&amp;"",""))</f>
        <v/>
      </c>
      <c r="K2436" s="19">
        <f>IF(I2436="Gasto",IF(IFERROR(INDEX(catClas,MATCH(D2436,catNom,0))&amp;"","")="","Variable",IFERROR(INDEX(catClas,MATCH(D2436,catNom,0))&amp;"","")),"")</f>
        <v/>
      </c>
      <c r="L2436" s="19">
        <f>IF(I2436="","",IFERROR(INDEX(catAlim,MATCH(D2436,catNom,0))&amp;"",""))</f>
        <v/>
      </c>
      <c r="M2436" s="19">
        <f>IF(I2436="","",IFERROR(INDEX(catComida,MATCH(D2436,catNom,0))&amp;"",""))</f>
        <v/>
      </c>
      <c r="N2436" s="19">
        <f>IF(I2436="","",IFERROR(INDEX(ctaMon,MATCH(E2436,ctaNom,0))&amp;"","DOP"))</f>
        <v/>
      </c>
      <c r="O2436" s="20">
        <f>IF(I2436="","",C2436*IF(N2436="USD",TasaUSD,1))</f>
        <v/>
      </c>
      <c r="P2436" s="20">
        <f>IF(I2436="","",IF(I2436="Gasto",O2436,0))</f>
        <v/>
      </c>
      <c r="Q2436" s="20">
        <f>IF(I2436="","",IF(I2436="Ingreso",O2436,0))</f>
        <v/>
      </c>
      <c r="R2436" s="20">
        <f>IF(I2436="","",IF(I2436="Trading",O2436,0))</f>
        <v/>
      </c>
      <c r="S2436" s="19">
        <f>IF(I2436="","",IF(AND(I2436="Gasto",K2436="Variable",J2436&lt;&gt;"Trading",O2436&gt;0,O2436&lt;=Umbral),1,0))</f>
        <v/>
      </c>
      <c r="T2436" s="20">
        <f>IF(OR(I2436="",E2436=""),"",IF(OR(I2436="Gasto",I2436="Transferencia",I2436="Pago tarjeta"),-1,1)*C2436)</f>
        <v/>
      </c>
      <c r="U2436" s="20">
        <f>IF(OR(G2436="",AND(I2436&lt;&gt;"Transferencia",I2436&lt;&gt;"Pago tarjeta")),"",IF(IFERROR(INDEX(ctaMon,MATCH(G2436,ctaNom,0))&amp;"","DOP")=N2436,C2436,IF(N2436="USD",C2436*TasaUSD,C2436/TasaUSD)))</f>
        <v/>
      </c>
      <c r="V2436" s="20">
        <f>IF(I2436="","",IF(IFERROR(INDEX(ctaLiq,MATCH(E2436,ctaNom,0))="Sí",FALSE),IF(OR(I2436="Gasto",I2436="Transferencia",I2436="Pago tarjeta"),-1,1)*O2436,0)+IF(AND(U2436&lt;&gt;"",IFERROR(INDEX(ctaLiq,MATCH(G2436,ctaNom,0))="Sí",FALSE)),O2436,0))</f>
        <v/>
      </c>
      <c r="W2436" s="19">
        <f>IF(OR(F2436="",I2436=""),"",IF(COUNTIFS(F$6:F2436,F2436,I$6:I2436,"?*")=1,MAX(W$5:W2435)+1,""))</f>
        <v/>
      </c>
    </row>
    <row r="2437">
      <c r="B2437" s="15" t="n"/>
      <c r="C2437" s="16" t="n"/>
      <c r="D2437" s="17" t="n"/>
      <c r="E2437" s="17" t="n"/>
      <c r="F2437" s="17" t="n"/>
      <c r="G2437" s="17" t="n"/>
      <c r="H2437" s="18">
        <f>IF(AND(B2437="",C2437="",D2437="",E2437=""),"",IF(B2437="","⚠ Falta fecha",IF(C2437="","⚠ Falta monto",IF(D2437="","⚠ Falta categoría",IF(ISNA(MATCH(D2437,catNom,0)),"⚠ Categoría no existe",IF(E2437="","⚠ Falta cuenta",IF(ISNA(MATCH(E2437,ctaNom,0)),"⚠ Cuenta no existe",IF(AND(OR(I2437="Transferencia",I2437="Pago tarjeta"),G2437=""),"⚠ Indica la cuenta «Hacia»",IF(AND(G2437&lt;&gt;"",G2437=E2437),"⚠ «Hacia» igual a la cuenta",IF(AND(G2437&lt;&gt;"",ISNA(MATCH(G2437,ctaNom,0))),"⚠ «Hacia» no existe",IF(AND(I2437="Pago tarjeta",IFERROR(INDEX(ctaTipo,MATCH(G2437,ctaNom,0)),"")&lt;&gt;"Tarjeta de crédito"),"⚠ «Hacia» debe ser la tarjeta",IF(AND(I2437="Trading",IFERROR(INDEX(ctaTipo,MATCH(E2437,ctaNom,0)),"")&lt;&gt;"Cuenta de trading"),"⚠ Usa la cuenta de trading","✓"))))))))))))</f>
        <v/>
      </c>
      <c r="I2437" s="19">
        <f>IF(OR(B2437="",C2437="",D2437=""),"",IFERROR(INDEX(catTipo,MATCH(D2437,catNom,0))&amp;"",""))</f>
        <v/>
      </c>
      <c r="J2437" s="19">
        <f>IF(I2437="","",IFERROR(INDEX(catGrupo,MATCH(D2437,catNom,0))&amp;"",""))</f>
        <v/>
      </c>
      <c r="K2437" s="19">
        <f>IF(I2437="Gasto",IF(IFERROR(INDEX(catClas,MATCH(D2437,catNom,0))&amp;"","")="","Variable",IFERROR(INDEX(catClas,MATCH(D2437,catNom,0))&amp;"","")),"")</f>
        <v/>
      </c>
      <c r="L2437" s="19">
        <f>IF(I2437="","",IFERROR(INDEX(catAlim,MATCH(D2437,catNom,0))&amp;"",""))</f>
        <v/>
      </c>
      <c r="M2437" s="19">
        <f>IF(I2437="","",IFERROR(INDEX(catComida,MATCH(D2437,catNom,0))&amp;"",""))</f>
        <v/>
      </c>
      <c r="N2437" s="19">
        <f>IF(I2437="","",IFERROR(INDEX(ctaMon,MATCH(E2437,ctaNom,0))&amp;"","DOP"))</f>
        <v/>
      </c>
      <c r="O2437" s="20">
        <f>IF(I2437="","",C2437*IF(N2437="USD",TasaUSD,1))</f>
        <v/>
      </c>
      <c r="P2437" s="20">
        <f>IF(I2437="","",IF(I2437="Gasto",O2437,0))</f>
        <v/>
      </c>
      <c r="Q2437" s="20">
        <f>IF(I2437="","",IF(I2437="Ingreso",O2437,0))</f>
        <v/>
      </c>
      <c r="R2437" s="20">
        <f>IF(I2437="","",IF(I2437="Trading",O2437,0))</f>
        <v/>
      </c>
      <c r="S2437" s="19">
        <f>IF(I2437="","",IF(AND(I2437="Gasto",K2437="Variable",J2437&lt;&gt;"Trading",O2437&gt;0,O2437&lt;=Umbral),1,0))</f>
        <v/>
      </c>
      <c r="T2437" s="20">
        <f>IF(OR(I2437="",E2437=""),"",IF(OR(I2437="Gasto",I2437="Transferencia",I2437="Pago tarjeta"),-1,1)*C2437)</f>
        <v/>
      </c>
      <c r="U2437" s="20">
        <f>IF(OR(G2437="",AND(I2437&lt;&gt;"Transferencia",I2437&lt;&gt;"Pago tarjeta")),"",IF(IFERROR(INDEX(ctaMon,MATCH(G2437,ctaNom,0))&amp;"","DOP")=N2437,C2437,IF(N2437="USD",C2437*TasaUSD,C2437/TasaUSD)))</f>
        <v/>
      </c>
      <c r="V2437" s="20">
        <f>IF(I2437="","",IF(IFERROR(INDEX(ctaLiq,MATCH(E2437,ctaNom,0))="Sí",FALSE),IF(OR(I2437="Gasto",I2437="Transferencia",I2437="Pago tarjeta"),-1,1)*O2437,0)+IF(AND(U2437&lt;&gt;"",IFERROR(INDEX(ctaLiq,MATCH(G2437,ctaNom,0))="Sí",FALSE)),O2437,0))</f>
        <v/>
      </c>
      <c r="W2437" s="19">
        <f>IF(OR(F2437="",I2437=""),"",IF(COUNTIFS(F$6:F2437,F2437,I$6:I2437,"?*")=1,MAX(W$5:W2436)+1,""))</f>
        <v/>
      </c>
    </row>
    <row r="2438">
      <c r="B2438" s="15" t="n"/>
      <c r="C2438" s="16" t="n"/>
      <c r="D2438" s="17" t="n"/>
      <c r="E2438" s="17" t="n"/>
      <c r="F2438" s="17" t="n"/>
      <c r="G2438" s="17" t="n"/>
      <c r="H2438" s="18">
        <f>IF(AND(B2438="",C2438="",D2438="",E2438=""),"",IF(B2438="","⚠ Falta fecha",IF(C2438="","⚠ Falta monto",IF(D2438="","⚠ Falta categoría",IF(ISNA(MATCH(D2438,catNom,0)),"⚠ Categoría no existe",IF(E2438="","⚠ Falta cuenta",IF(ISNA(MATCH(E2438,ctaNom,0)),"⚠ Cuenta no existe",IF(AND(OR(I2438="Transferencia",I2438="Pago tarjeta"),G2438=""),"⚠ Indica la cuenta «Hacia»",IF(AND(G2438&lt;&gt;"",G2438=E2438),"⚠ «Hacia» igual a la cuenta",IF(AND(G2438&lt;&gt;"",ISNA(MATCH(G2438,ctaNom,0))),"⚠ «Hacia» no existe",IF(AND(I2438="Pago tarjeta",IFERROR(INDEX(ctaTipo,MATCH(G2438,ctaNom,0)),"")&lt;&gt;"Tarjeta de crédito"),"⚠ «Hacia» debe ser la tarjeta",IF(AND(I2438="Trading",IFERROR(INDEX(ctaTipo,MATCH(E2438,ctaNom,0)),"")&lt;&gt;"Cuenta de trading"),"⚠ Usa la cuenta de trading","✓"))))))))))))</f>
        <v/>
      </c>
      <c r="I2438" s="19">
        <f>IF(OR(B2438="",C2438="",D2438=""),"",IFERROR(INDEX(catTipo,MATCH(D2438,catNom,0))&amp;"",""))</f>
        <v/>
      </c>
      <c r="J2438" s="19">
        <f>IF(I2438="","",IFERROR(INDEX(catGrupo,MATCH(D2438,catNom,0))&amp;"",""))</f>
        <v/>
      </c>
      <c r="K2438" s="19">
        <f>IF(I2438="Gasto",IF(IFERROR(INDEX(catClas,MATCH(D2438,catNom,0))&amp;"","")="","Variable",IFERROR(INDEX(catClas,MATCH(D2438,catNom,0))&amp;"","")),"")</f>
        <v/>
      </c>
      <c r="L2438" s="19">
        <f>IF(I2438="","",IFERROR(INDEX(catAlim,MATCH(D2438,catNom,0))&amp;"",""))</f>
        <v/>
      </c>
      <c r="M2438" s="19">
        <f>IF(I2438="","",IFERROR(INDEX(catComida,MATCH(D2438,catNom,0))&amp;"",""))</f>
        <v/>
      </c>
      <c r="N2438" s="19">
        <f>IF(I2438="","",IFERROR(INDEX(ctaMon,MATCH(E2438,ctaNom,0))&amp;"","DOP"))</f>
        <v/>
      </c>
      <c r="O2438" s="20">
        <f>IF(I2438="","",C2438*IF(N2438="USD",TasaUSD,1))</f>
        <v/>
      </c>
      <c r="P2438" s="20">
        <f>IF(I2438="","",IF(I2438="Gasto",O2438,0))</f>
        <v/>
      </c>
      <c r="Q2438" s="20">
        <f>IF(I2438="","",IF(I2438="Ingreso",O2438,0))</f>
        <v/>
      </c>
      <c r="R2438" s="20">
        <f>IF(I2438="","",IF(I2438="Trading",O2438,0))</f>
        <v/>
      </c>
      <c r="S2438" s="19">
        <f>IF(I2438="","",IF(AND(I2438="Gasto",K2438="Variable",J2438&lt;&gt;"Trading",O2438&gt;0,O2438&lt;=Umbral),1,0))</f>
        <v/>
      </c>
      <c r="T2438" s="20">
        <f>IF(OR(I2438="",E2438=""),"",IF(OR(I2438="Gasto",I2438="Transferencia",I2438="Pago tarjeta"),-1,1)*C2438)</f>
        <v/>
      </c>
      <c r="U2438" s="20">
        <f>IF(OR(G2438="",AND(I2438&lt;&gt;"Transferencia",I2438&lt;&gt;"Pago tarjeta")),"",IF(IFERROR(INDEX(ctaMon,MATCH(G2438,ctaNom,0))&amp;"","DOP")=N2438,C2438,IF(N2438="USD",C2438*TasaUSD,C2438/TasaUSD)))</f>
        <v/>
      </c>
      <c r="V2438" s="20">
        <f>IF(I2438="","",IF(IFERROR(INDEX(ctaLiq,MATCH(E2438,ctaNom,0))="Sí",FALSE),IF(OR(I2438="Gasto",I2438="Transferencia",I2438="Pago tarjeta"),-1,1)*O2438,0)+IF(AND(U2438&lt;&gt;"",IFERROR(INDEX(ctaLiq,MATCH(G2438,ctaNom,0))="Sí",FALSE)),O2438,0))</f>
        <v/>
      </c>
      <c r="W2438" s="19">
        <f>IF(OR(F2438="",I2438=""),"",IF(COUNTIFS(F$6:F2438,F2438,I$6:I2438,"?*")=1,MAX(W$5:W2437)+1,""))</f>
        <v/>
      </c>
    </row>
    <row r="2439">
      <c r="B2439" s="15" t="n"/>
      <c r="C2439" s="16" t="n"/>
      <c r="D2439" s="17" t="n"/>
      <c r="E2439" s="17" t="n"/>
      <c r="F2439" s="17" t="n"/>
      <c r="G2439" s="17" t="n"/>
      <c r="H2439" s="18">
        <f>IF(AND(B2439="",C2439="",D2439="",E2439=""),"",IF(B2439="","⚠ Falta fecha",IF(C2439="","⚠ Falta monto",IF(D2439="","⚠ Falta categoría",IF(ISNA(MATCH(D2439,catNom,0)),"⚠ Categoría no existe",IF(E2439="","⚠ Falta cuenta",IF(ISNA(MATCH(E2439,ctaNom,0)),"⚠ Cuenta no existe",IF(AND(OR(I2439="Transferencia",I2439="Pago tarjeta"),G2439=""),"⚠ Indica la cuenta «Hacia»",IF(AND(G2439&lt;&gt;"",G2439=E2439),"⚠ «Hacia» igual a la cuenta",IF(AND(G2439&lt;&gt;"",ISNA(MATCH(G2439,ctaNom,0))),"⚠ «Hacia» no existe",IF(AND(I2439="Pago tarjeta",IFERROR(INDEX(ctaTipo,MATCH(G2439,ctaNom,0)),"")&lt;&gt;"Tarjeta de crédito"),"⚠ «Hacia» debe ser la tarjeta",IF(AND(I2439="Trading",IFERROR(INDEX(ctaTipo,MATCH(E2439,ctaNom,0)),"")&lt;&gt;"Cuenta de trading"),"⚠ Usa la cuenta de trading","✓"))))))))))))</f>
        <v/>
      </c>
      <c r="I2439" s="19">
        <f>IF(OR(B2439="",C2439="",D2439=""),"",IFERROR(INDEX(catTipo,MATCH(D2439,catNom,0))&amp;"",""))</f>
        <v/>
      </c>
      <c r="J2439" s="19">
        <f>IF(I2439="","",IFERROR(INDEX(catGrupo,MATCH(D2439,catNom,0))&amp;"",""))</f>
        <v/>
      </c>
      <c r="K2439" s="19">
        <f>IF(I2439="Gasto",IF(IFERROR(INDEX(catClas,MATCH(D2439,catNom,0))&amp;"","")="","Variable",IFERROR(INDEX(catClas,MATCH(D2439,catNom,0))&amp;"","")),"")</f>
        <v/>
      </c>
      <c r="L2439" s="19">
        <f>IF(I2439="","",IFERROR(INDEX(catAlim,MATCH(D2439,catNom,0))&amp;"",""))</f>
        <v/>
      </c>
      <c r="M2439" s="19">
        <f>IF(I2439="","",IFERROR(INDEX(catComida,MATCH(D2439,catNom,0))&amp;"",""))</f>
        <v/>
      </c>
      <c r="N2439" s="19">
        <f>IF(I2439="","",IFERROR(INDEX(ctaMon,MATCH(E2439,ctaNom,0))&amp;"","DOP"))</f>
        <v/>
      </c>
      <c r="O2439" s="20">
        <f>IF(I2439="","",C2439*IF(N2439="USD",TasaUSD,1))</f>
        <v/>
      </c>
      <c r="P2439" s="20">
        <f>IF(I2439="","",IF(I2439="Gasto",O2439,0))</f>
        <v/>
      </c>
      <c r="Q2439" s="20">
        <f>IF(I2439="","",IF(I2439="Ingreso",O2439,0))</f>
        <v/>
      </c>
      <c r="R2439" s="20">
        <f>IF(I2439="","",IF(I2439="Trading",O2439,0))</f>
        <v/>
      </c>
      <c r="S2439" s="19">
        <f>IF(I2439="","",IF(AND(I2439="Gasto",K2439="Variable",J2439&lt;&gt;"Trading",O2439&gt;0,O2439&lt;=Umbral),1,0))</f>
        <v/>
      </c>
      <c r="T2439" s="20">
        <f>IF(OR(I2439="",E2439=""),"",IF(OR(I2439="Gasto",I2439="Transferencia",I2439="Pago tarjeta"),-1,1)*C2439)</f>
        <v/>
      </c>
      <c r="U2439" s="20">
        <f>IF(OR(G2439="",AND(I2439&lt;&gt;"Transferencia",I2439&lt;&gt;"Pago tarjeta")),"",IF(IFERROR(INDEX(ctaMon,MATCH(G2439,ctaNom,0))&amp;"","DOP")=N2439,C2439,IF(N2439="USD",C2439*TasaUSD,C2439/TasaUSD)))</f>
        <v/>
      </c>
      <c r="V2439" s="20">
        <f>IF(I2439="","",IF(IFERROR(INDEX(ctaLiq,MATCH(E2439,ctaNom,0))="Sí",FALSE),IF(OR(I2439="Gasto",I2439="Transferencia",I2439="Pago tarjeta"),-1,1)*O2439,0)+IF(AND(U2439&lt;&gt;"",IFERROR(INDEX(ctaLiq,MATCH(G2439,ctaNom,0))="Sí",FALSE)),O2439,0))</f>
        <v/>
      </c>
      <c r="W2439" s="19">
        <f>IF(OR(F2439="",I2439=""),"",IF(COUNTIFS(F$6:F2439,F2439,I$6:I2439,"?*")=1,MAX(W$5:W2438)+1,""))</f>
        <v/>
      </c>
    </row>
    <row r="2440">
      <c r="B2440" s="15" t="n"/>
      <c r="C2440" s="16" t="n"/>
      <c r="D2440" s="17" t="n"/>
      <c r="E2440" s="17" t="n"/>
      <c r="F2440" s="17" t="n"/>
      <c r="G2440" s="17" t="n"/>
      <c r="H2440" s="18">
        <f>IF(AND(B2440="",C2440="",D2440="",E2440=""),"",IF(B2440="","⚠ Falta fecha",IF(C2440="","⚠ Falta monto",IF(D2440="","⚠ Falta categoría",IF(ISNA(MATCH(D2440,catNom,0)),"⚠ Categoría no existe",IF(E2440="","⚠ Falta cuenta",IF(ISNA(MATCH(E2440,ctaNom,0)),"⚠ Cuenta no existe",IF(AND(OR(I2440="Transferencia",I2440="Pago tarjeta"),G2440=""),"⚠ Indica la cuenta «Hacia»",IF(AND(G2440&lt;&gt;"",G2440=E2440),"⚠ «Hacia» igual a la cuenta",IF(AND(G2440&lt;&gt;"",ISNA(MATCH(G2440,ctaNom,0))),"⚠ «Hacia» no existe",IF(AND(I2440="Pago tarjeta",IFERROR(INDEX(ctaTipo,MATCH(G2440,ctaNom,0)),"")&lt;&gt;"Tarjeta de crédito"),"⚠ «Hacia» debe ser la tarjeta",IF(AND(I2440="Trading",IFERROR(INDEX(ctaTipo,MATCH(E2440,ctaNom,0)),"")&lt;&gt;"Cuenta de trading"),"⚠ Usa la cuenta de trading","✓"))))))))))))</f>
        <v/>
      </c>
      <c r="I2440" s="19">
        <f>IF(OR(B2440="",C2440="",D2440=""),"",IFERROR(INDEX(catTipo,MATCH(D2440,catNom,0))&amp;"",""))</f>
        <v/>
      </c>
      <c r="J2440" s="19">
        <f>IF(I2440="","",IFERROR(INDEX(catGrupo,MATCH(D2440,catNom,0))&amp;"",""))</f>
        <v/>
      </c>
      <c r="K2440" s="19">
        <f>IF(I2440="Gasto",IF(IFERROR(INDEX(catClas,MATCH(D2440,catNom,0))&amp;"","")="","Variable",IFERROR(INDEX(catClas,MATCH(D2440,catNom,0))&amp;"","")),"")</f>
        <v/>
      </c>
      <c r="L2440" s="19">
        <f>IF(I2440="","",IFERROR(INDEX(catAlim,MATCH(D2440,catNom,0))&amp;"",""))</f>
        <v/>
      </c>
      <c r="M2440" s="19">
        <f>IF(I2440="","",IFERROR(INDEX(catComida,MATCH(D2440,catNom,0))&amp;"",""))</f>
        <v/>
      </c>
      <c r="N2440" s="19">
        <f>IF(I2440="","",IFERROR(INDEX(ctaMon,MATCH(E2440,ctaNom,0))&amp;"","DOP"))</f>
        <v/>
      </c>
      <c r="O2440" s="20">
        <f>IF(I2440="","",C2440*IF(N2440="USD",TasaUSD,1))</f>
        <v/>
      </c>
      <c r="P2440" s="20">
        <f>IF(I2440="","",IF(I2440="Gasto",O2440,0))</f>
        <v/>
      </c>
      <c r="Q2440" s="20">
        <f>IF(I2440="","",IF(I2440="Ingreso",O2440,0))</f>
        <v/>
      </c>
      <c r="R2440" s="20">
        <f>IF(I2440="","",IF(I2440="Trading",O2440,0))</f>
        <v/>
      </c>
      <c r="S2440" s="19">
        <f>IF(I2440="","",IF(AND(I2440="Gasto",K2440="Variable",J2440&lt;&gt;"Trading",O2440&gt;0,O2440&lt;=Umbral),1,0))</f>
        <v/>
      </c>
      <c r="T2440" s="20">
        <f>IF(OR(I2440="",E2440=""),"",IF(OR(I2440="Gasto",I2440="Transferencia",I2440="Pago tarjeta"),-1,1)*C2440)</f>
        <v/>
      </c>
      <c r="U2440" s="20">
        <f>IF(OR(G2440="",AND(I2440&lt;&gt;"Transferencia",I2440&lt;&gt;"Pago tarjeta")),"",IF(IFERROR(INDEX(ctaMon,MATCH(G2440,ctaNom,0))&amp;"","DOP")=N2440,C2440,IF(N2440="USD",C2440*TasaUSD,C2440/TasaUSD)))</f>
        <v/>
      </c>
      <c r="V2440" s="20">
        <f>IF(I2440="","",IF(IFERROR(INDEX(ctaLiq,MATCH(E2440,ctaNom,0))="Sí",FALSE),IF(OR(I2440="Gasto",I2440="Transferencia",I2440="Pago tarjeta"),-1,1)*O2440,0)+IF(AND(U2440&lt;&gt;"",IFERROR(INDEX(ctaLiq,MATCH(G2440,ctaNom,0))="Sí",FALSE)),O2440,0))</f>
        <v/>
      </c>
      <c r="W2440" s="19">
        <f>IF(OR(F2440="",I2440=""),"",IF(COUNTIFS(F$6:F2440,F2440,I$6:I2440,"?*")=1,MAX(W$5:W2439)+1,""))</f>
        <v/>
      </c>
    </row>
    <row r="2441">
      <c r="B2441" s="15" t="n"/>
      <c r="C2441" s="16" t="n"/>
      <c r="D2441" s="17" t="n"/>
      <c r="E2441" s="17" t="n"/>
      <c r="F2441" s="17" t="n"/>
      <c r="G2441" s="17" t="n"/>
      <c r="H2441" s="18">
        <f>IF(AND(B2441="",C2441="",D2441="",E2441=""),"",IF(B2441="","⚠ Falta fecha",IF(C2441="","⚠ Falta monto",IF(D2441="","⚠ Falta categoría",IF(ISNA(MATCH(D2441,catNom,0)),"⚠ Categoría no existe",IF(E2441="","⚠ Falta cuenta",IF(ISNA(MATCH(E2441,ctaNom,0)),"⚠ Cuenta no existe",IF(AND(OR(I2441="Transferencia",I2441="Pago tarjeta"),G2441=""),"⚠ Indica la cuenta «Hacia»",IF(AND(G2441&lt;&gt;"",G2441=E2441),"⚠ «Hacia» igual a la cuenta",IF(AND(G2441&lt;&gt;"",ISNA(MATCH(G2441,ctaNom,0))),"⚠ «Hacia» no existe",IF(AND(I2441="Pago tarjeta",IFERROR(INDEX(ctaTipo,MATCH(G2441,ctaNom,0)),"")&lt;&gt;"Tarjeta de crédito"),"⚠ «Hacia» debe ser la tarjeta",IF(AND(I2441="Trading",IFERROR(INDEX(ctaTipo,MATCH(E2441,ctaNom,0)),"")&lt;&gt;"Cuenta de trading"),"⚠ Usa la cuenta de trading","✓"))))))))))))</f>
        <v/>
      </c>
      <c r="I2441" s="19">
        <f>IF(OR(B2441="",C2441="",D2441=""),"",IFERROR(INDEX(catTipo,MATCH(D2441,catNom,0))&amp;"",""))</f>
        <v/>
      </c>
      <c r="J2441" s="19">
        <f>IF(I2441="","",IFERROR(INDEX(catGrupo,MATCH(D2441,catNom,0))&amp;"",""))</f>
        <v/>
      </c>
      <c r="K2441" s="19">
        <f>IF(I2441="Gasto",IF(IFERROR(INDEX(catClas,MATCH(D2441,catNom,0))&amp;"","")="","Variable",IFERROR(INDEX(catClas,MATCH(D2441,catNom,0))&amp;"","")),"")</f>
        <v/>
      </c>
      <c r="L2441" s="19">
        <f>IF(I2441="","",IFERROR(INDEX(catAlim,MATCH(D2441,catNom,0))&amp;"",""))</f>
        <v/>
      </c>
      <c r="M2441" s="19">
        <f>IF(I2441="","",IFERROR(INDEX(catComida,MATCH(D2441,catNom,0))&amp;"",""))</f>
        <v/>
      </c>
      <c r="N2441" s="19">
        <f>IF(I2441="","",IFERROR(INDEX(ctaMon,MATCH(E2441,ctaNom,0))&amp;"","DOP"))</f>
        <v/>
      </c>
      <c r="O2441" s="20">
        <f>IF(I2441="","",C2441*IF(N2441="USD",TasaUSD,1))</f>
        <v/>
      </c>
      <c r="P2441" s="20">
        <f>IF(I2441="","",IF(I2441="Gasto",O2441,0))</f>
        <v/>
      </c>
      <c r="Q2441" s="20">
        <f>IF(I2441="","",IF(I2441="Ingreso",O2441,0))</f>
        <v/>
      </c>
      <c r="R2441" s="20">
        <f>IF(I2441="","",IF(I2441="Trading",O2441,0))</f>
        <v/>
      </c>
      <c r="S2441" s="19">
        <f>IF(I2441="","",IF(AND(I2441="Gasto",K2441="Variable",J2441&lt;&gt;"Trading",O2441&gt;0,O2441&lt;=Umbral),1,0))</f>
        <v/>
      </c>
      <c r="T2441" s="20">
        <f>IF(OR(I2441="",E2441=""),"",IF(OR(I2441="Gasto",I2441="Transferencia",I2441="Pago tarjeta"),-1,1)*C2441)</f>
        <v/>
      </c>
      <c r="U2441" s="20">
        <f>IF(OR(G2441="",AND(I2441&lt;&gt;"Transferencia",I2441&lt;&gt;"Pago tarjeta")),"",IF(IFERROR(INDEX(ctaMon,MATCH(G2441,ctaNom,0))&amp;"","DOP")=N2441,C2441,IF(N2441="USD",C2441*TasaUSD,C2441/TasaUSD)))</f>
        <v/>
      </c>
      <c r="V2441" s="20">
        <f>IF(I2441="","",IF(IFERROR(INDEX(ctaLiq,MATCH(E2441,ctaNom,0))="Sí",FALSE),IF(OR(I2441="Gasto",I2441="Transferencia",I2441="Pago tarjeta"),-1,1)*O2441,0)+IF(AND(U2441&lt;&gt;"",IFERROR(INDEX(ctaLiq,MATCH(G2441,ctaNom,0))="Sí",FALSE)),O2441,0))</f>
        <v/>
      </c>
      <c r="W2441" s="19">
        <f>IF(OR(F2441="",I2441=""),"",IF(COUNTIFS(F$6:F2441,F2441,I$6:I2441,"?*")=1,MAX(W$5:W2440)+1,""))</f>
        <v/>
      </c>
    </row>
    <row r="2442">
      <c r="B2442" s="15" t="n"/>
      <c r="C2442" s="16" t="n"/>
      <c r="D2442" s="17" t="n"/>
      <c r="E2442" s="17" t="n"/>
      <c r="F2442" s="17" t="n"/>
      <c r="G2442" s="17" t="n"/>
      <c r="H2442" s="18">
        <f>IF(AND(B2442="",C2442="",D2442="",E2442=""),"",IF(B2442="","⚠ Falta fecha",IF(C2442="","⚠ Falta monto",IF(D2442="","⚠ Falta categoría",IF(ISNA(MATCH(D2442,catNom,0)),"⚠ Categoría no existe",IF(E2442="","⚠ Falta cuenta",IF(ISNA(MATCH(E2442,ctaNom,0)),"⚠ Cuenta no existe",IF(AND(OR(I2442="Transferencia",I2442="Pago tarjeta"),G2442=""),"⚠ Indica la cuenta «Hacia»",IF(AND(G2442&lt;&gt;"",G2442=E2442),"⚠ «Hacia» igual a la cuenta",IF(AND(G2442&lt;&gt;"",ISNA(MATCH(G2442,ctaNom,0))),"⚠ «Hacia» no existe",IF(AND(I2442="Pago tarjeta",IFERROR(INDEX(ctaTipo,MATCH(G2442,ctaNom,0)),"")&lt;&gt;"Tarjeta de crédito"),"⚠ «Hacia» debe ser la tarjeta",IF(AND(I2442="Trading",IFERROR(INDEX(ctaTipo,MATCH(E2442,ctaNom,0)),"")&lt;&gt;"Cuenta de trading"),"⚠ Usa la cuenta de trading","✓"))))))))))))</f>
        <v/>
      </c>
      <c r="I2442" s="19">
        <f>IF(OR(B2442="",C2442="",D2442=""),"",IFERROR(INDEX(catTipo,MATCH(D2442,catNom,0))&amp;"",""))</f>
        <v/>
      </c>
      <c r="J2442" s="19">
        <f>IF(I2442="","",IFERROR(INDEX(catGrupo,MATCH(D2442,catNom,0))&amp;"",""))</f>
        <v/>
      </c>
      <c r="K2442" s="19">
        <f>IF(I2442="Gasto",IF(IFERROR(INDEX(catClas,MATCH(D2442,catNom,0))&amp;"","")="","Variable",IFERROR(INDEX(catClas,MATCH(D2442,catNom,0))&amp;"","")),"")</f>
        <v/>
      </c>
      <c r="L2442" s="19">
        <f>IF(I2442="","",IFERROR(INDEX(catAlim,MATCH(D2442,catNom,0))&amp;"",""))</f>
        <v/>
      </c>
      <c r="M2442" s="19">
        <f>IF(I2442="","",IFERROR(INDEX(catComida,MATCH(D2442,catNom,0))&amp;"",""))</f>
        <v/>
      </c>
      <c r="N2442" s="19">
        <f>IF(I2442="","",IFERROR(INDEX(ctaMon,MATCH(E2442,ctaNom,0))&amp;"","DOP"))</f>
        <v/>
      </c>
      <c r="O2442" s="20">
        <f>IF(I2442="","",C2442*IF(N2442="USD",TasaUSD,1))</f>
        <v/>
      </c>
      <c r="P2442" s="20">
        <f>IF(I2442="","",IF(I2442="Gasto",O2442,0))</f>
        <v/>
      </c>
      <c r="Q2442" s="20">
        <f>IF(I2442="","",IF(I2442="Ingreso",O2442,0))</f>
        <v/>
      </c>
      <c r="R2442" s="20">
        <f>IF(I2442="","",IF(I2442="Trading",O2442,0))</f>
        <v/>
      </c>
      <c r="S2442" s="19">
        <f>IF(I2442="","",IF(AND(I2442="Gasto",K2442="Variable",J2442&lt;&gt;"Trading",O2442&gt;0,O2442&lt;=Umbral),1,0))</f>
        <v/>
      </c>
      <c r="T2442" s="20">
        <f>IF(OR(I2442="",E2442=""),"",IF(OR(I2442="Gasto",I2442="Transferencia",I2442="Pago tarjeta"),-1,1)*C2442)</f>
        <v/>
      </c>
      <c r="U2442" s="20">
        <f>IF(OR(G2442="",AND(I2442&lt;&gt;"Transferencia",I2442&lt;&gt;"Pago tarjeta")),"",IF(IFERROR(INDEX(ctaMon,MATCH(G2442,ctaNom,0))&amp;"","DOP")=N2442,C2442,IF(N2442="USD",C2442*TasaUSD,C2442/TasaUSD)))</f>
        <v/>
      </c>
      <c r="V2442" s="20">
        <f>IF(I2442="","",IF(IFERROR(INDEX(ctaLiq,MATCH(E2442,ctaNom,0))="Sí",FALSE),IF(OR(I2442="Gasto",I2442="Transferencia",I2442="Pago tarjeta"),-1,1)*O2442,0)+IF(AND(U2442&lt;&gt;"",IFERROR(INDEX(ctaLiq,MATCH(G2442,ctaNom,0))="Sí",FALSE)),O2442,0))</f>
        <v/>
      </c>
      <c r="W2442" s="19">
        <f>IF(OR(F2442="",I2442=""),"",IF(COUNTIFS(F$6:F2442,F2442,I$6:I2442,"?*")=1,MAX(W$5:W2441)+1,""))</f>
        <v/>
      </c>
    </row>
    <row r="2443">
      <c r="B2443" s="15" t="n"/>
      <c r="C2443" s="16" t="n"/>
      <c r="D2443" s="17" t="n"/>
      <c r="E2443" s="17" t="n"/>
      <c r="F2443" s="17" t="n"/>
      <c r="G2443" s="17" t="n"/>
      <c r="H2443" s="18">
        <f>IF(AND(B2443="",C2443="",D2443="",E2443=""),"",IF(B2443="","⚠ Falta fecha",IF(C2443="","⚠ Falta monto",IF(D2443="","⚠ Falta categoría",IF(ISNA(MATCH(D2443,catNom,0)),"⚠ Categoría no existe",IF(E2443="","⚠ Falta cuenta",IF(ISNA(MATCH(E2443,ctaNom,0)),"⚠ Cuenta no existe",IF(AND(OR(I2443="Transferencia",I2443="Pago tarjeta"),G2443=""),"⚠ Indica la cuenta «Hacia»",IF(AND(G2443&lt;&gt;"",G2443=E2443),"⚠ «Hacia» igual a la cuenta",IF(AND(G2443&lt;&gt;"",ISNA(MATCH(G2443,ctaNom,0))),"⚠ «Hacia» no existe",IF(AND(I2443="Pago tarjeta",IFERROR(INDEX(ctaTipo,MATCH(G2443,ctaNom,0)),"")&lt;&gt;"Tarjeta de crédito"),"⚠ «Hacia» debe ser la tarjeta",IF(AND(I2443="Trading",IFERROR(INDEX(ctaTipo,MATCH(E2443,ctaNom,0)),"")&lt;&gt;"Cuenta de trading"),"⚠ Usa la cuenta de trading","✓"))))))))))))</f>
        <v/>
      </c>
      <c r="I2443" s="19">
        <f>IF(OR(B2443="",C2443="",D2443=""),"",IFERROR(INDEX(catTipo,MATCH(D2443,catNom,0))&amp;"",""))</f>
        <v/>
      </c>
      <c r="J2443" s="19">
        <f>IF(I2443="","",IFERROR(INDEX(catGrupo,MATCH(D2443,catNom,0))&amp;"",""))</f>
        <v/>
      </c>
      <c r="K2443" s="19">
        <f>IF(I2443="Gasto",IF(IFERROR(INDEX(catClas,MATCH(D2443,catNom,0))&amp;"","")="","Variable",IFERROR(INDEX(catClas,MATCH(D2443,catNom,0))&amp;"","")),"")</f>
        <v/>
      </c>
      <c r="L2443" s="19">
        <f>IF(I2443="","",IFERROR(INDEX(catAlim,MATCH(D2443,catNom,0))&amp;"",""))</f>
        <v/>
      </c>
      <c r="M2443" s="19">
        <f>IF(I2443="","",IFERROR(INDEX(catComida,MATCH(D2443,catNom,0))&amp;"",""))</f>
        <v/>
      </c>
      <c r="N2443" s="19">
        <f>IF(I2443="","",IFERROR(INDEX(ctaMon,MATCH(E2443,ctaNom,0))&amp;"","DOP"))</f>
        <v/>
      </c>
      <c r="O2443" s="20">
        <f>IF(I2443="","",C2443*IF(N2443="USD",TasaUSD,1))</f>
        <v/>
      </c>
      <c r="P2443" s="20">
        <f>IF(I2443="","",IF(I2443="Gasto",O2443,0))</f>
        <v/>
      </c>
      <c r="Q2443" s="20">
        <f>IF(I2443="","",IF(I2443="Ingreso",O2443,0))</f>
        <v/>
      </c>
      <c r="R2443" s="20">
        <f>IF(I2443="","",IF(I2443="Trading",O2443,0))</f>
        <v/>
      </c>
      <c r="S2443" s="19">
        <f>IF(I2443="","",IF(AND(I2443="Gasto",K2443="Variable",J2443&lt;&gt;"Trading",O2443&gt;0,O2443&lt;=Umbral),1,0))</f>
        <v/>
      </c>
      <c r="T2443" s="20">
        <f>IF(OR(I2443="",E2443=""),"",IF(OR(I2443="Gasto",I2443="Transferencia",I2443="Pago tarjeta"),-1,1)*C2443)</f>
        <v/>
      </c>
      <c r="U2443" s="20">
        <f>IF(OR(G2443="",AND(I2443&lt;&gt;"Transferencia",I2443&lt;&gt;"Pago tarjeta")),"",IF(IFERROR(INDEX(ctaMon,MATCH(G2443,ctaNom,0))&amp;"","DOP")=N2443,C2443,IF(N2443="USD",C2443*TasaUSD,C2443/TasaUSD)))</f>
        <v/>
      </c>
      <c r="V2443" s="20">
        <f>IF(I2443="","",IF(IFERROR(INDEX(ctaLiq,MATCH(E2443,ctaNom,0))="Sí",FALSE),IF(OR(I2443="Gasto",I2443="Transferencia",I2443="Pago tarjeta"),-1,1)*O2443,0)+IF(AND(U2443&lt;&gt;"",IFERROR(INDEX(ctaLiq,MATCH(G2443,ctaNom,0))="Sí",FALSE)),O2443,0))</f>
        <v/>
      </c>
      <c r="W2443" s="19">
        <f>IF(OR(F2443="",I2443=""),"",IF(COUNTIFS(F$6:F2443,F2443,I$6:I2443,"?*")=1,MAX(W$5:W2442)+1,""))</f>
        <v/>
      </c>
    </row>
    <row r="2444">
      <c r="B2444" s="15" t="n"/>
      <c r="C2444" s="16" t="n"/>
      <c r="D2444" s="17" t="n"/>
      <c r="E2444" s="17" t="n"/>
      <c r="F2444" s="17" t="n"/>
      <c r="G2444" s="17" t="n"/>
      <c r="H2444" s="18">
        <f>IF(AND(B2444="",C2444="",D2444="",E2444=""),"",IF(B2444="","⚠ Falta fecha",IF(C2444="","⚠ Falta monto",IF(D2444="","⚠ Falta categoría",IF(ISNA(MATCH(D2444,catNom,0)),"⚠ Categoría no existe",IF(E2444="","⚠ Falta cuenta",IF(ISNA(MATCH(E2444,ctaNom,0)),"⚠ Cuenta no existe",IF(AND(OR(I2444="Transferencia",I2444="Pago tarjeta"),G2444=""),"⚠ Indica la cuenta «Hacia»",IF(AND(G2444&lt;&gt;"",G2444=E2444),"⚠ «Hacia» igual a la cuenta",IF(AND(G2444&lt;&gt;"",ISNA(MATCH(G2444,ctaNom,0))),"⚠ «Hacia» no existe",IF(AND(I2444="Pago tarjeta",IFERROR(INDEX(ctaTipo,MATCH(G2444,ctaNom,0)),"")&lt;&gt;"Tarjeta de crédito"),"⚠ «Hacia» debe ser la tarjeta",IF(AND(I2444="Trading",IFERROR(INDEX(ctaTipo,MATCH(E2444,ctaNom,0)),"")&lt;&gt;"Cuenta de trading"),"⚠ Usa la cuenta de trading","✓"))))))))))))</f>
        <v/>
      </c>
      <c r="I2444" s="19">
        <f>IF(OR(B2444="",C2444="",D2444=""),"",IFERROR(INDEX(catTipo,MATCH(D2444,catNom,0))&amp;"",""))</f>
        <v/>
      </c>
      <c r="J2444" s="19">
        <f>IF(I2444="","",IFERROR(INDEX(catGrupo,MATCH(D2444,catNom,0))&amp;"",""))</f>
        <v/>
      </c>
      <c r="K2444" s="19">
        <f>IF(I2444="Gasto",IF(IFERROR(INDEX(catClas,MATCH(D2444,catNom,0))&amp;"","")="","Variable",IFERROR(INDEX(catClas,MATCH(D2444,catNom,0))&amp;"","")),"")</f>
        <v/>
      </c>
      <c r="L2444" s="19">
        <f>IF(I2444="","",IFERROR(INDEX(catAlim,MATCH(D2444,catNom,0))&amp;"",""))</f>
        <v/>
      </c>
      <c r="M2444" s="19">
        <f>IF(I2444="","",IFERROR(INDEX(catComida,MATCH(D2444,catNom,0))&amp;"",""))</f>
        <v/>
      </c>
      <c r="N2444" s="19">
        <f>IF(I2444="","",IFERROR(INDEX(ctaMon,MATCH(E2444,ctaNom,0))&amp;"","DOP"))</f>
        <v/>
      </c>
      <c r="O2444" s="20">
        <f>IF(I2444="","",C2444*IF(N2444="USD",TasaUSD,1))</f>
        <v/>
      </c>
      <c r="P2444" s="20">
        <f>IF(I2444="","",IF(I2444="Gasto",O2444,0))</f>
        <v/>
      </c>
      <c r="Q2444" s="20">
        <f>IF(I2444="","",IF(I2444="Ingreso",O2444,0))</f>
        <v/>
      </c>
      <c r="R2444" s="20">
        <f>IF(I2444="","",IF(I2444="Trading",O2444,0))</f>
        <v/>
      </c>
      <c r="S2444" s="19">
        <f>IF(I2444="","",IF(AND(I2444="Gasto",K2444="Variable",J2444&lt;&gt;"Trading",O2444&gt;0,O2444&lt;=Umbral),1,0))</f>
        <v/>
      </c>
      <c r="T2444" s="20">
        <f>IF(OR(I2444="",E2444=""),"",IF(OR(I2444="Gasto",I2444="Transferencia",I2444="Pago tarjeta"),-1,1)*C2444)</f>
        <v/>
      </c>
      <c r="U2444" s="20">
        <f>IF(OR(G2444="",AND(I2444&lt;&gt;"Transferencia",I2444&lt;&gt;"Pago tarjeta")),"",IF(IFERROR(INDEX(ctaMon,MATCH(G2444,ctaNom,0))&amp;"","DOP")=N2444,C2444,IF(N2444="USD",C2444*TasaUSD,C2444/TasaUSD)))</f>
        <v/>
      </c>
      <c r="V2444" s="20">
        <f>IF(I2444="","",IF(IFERROR(INDEX(ctaLiq,MATCH(E2444,ctaNom,0))="Sí",FALSE),IF(OR(I2444="Gasto",I2444="Transferencia",I2444="Pago tarjeta"),-1,1)*O2444,0)+IF(AND(U2444&lt;&gt;"",IFERROR(INDEX(ctaLiq,MATCH(G2444,ctaNom,0))="Sí",FALSE)),O2444,0))</f>
        <v/>
      </c>
      <c r="W2444" s="19">
        <f>IF(OR(F2444="",I2444=""),"",IF(COUNTIFS(F$6:F2444,F2444,I$6:I2444,"?*")=1,MAX(W$5:W2443)+1,""))</f>
        <v/>
      </c>
    </row>
    <row r="2445">
      <c r="B2445" s="15" t="n"/>
      <c r="C2445" s="16" t="n"/>
      <c r="D2445" s="17" t="n"/>
      <c r="E2445" s="17" t="n"/>
      <c r="F2445" s="17" t="n"/>
      <c r="G2445" s="17" t="n"/>
      <c r="H2445" s="18">
        <f>IF(AND(B2445="",C2445="",D2445="",E2445=""),"",IF(B2445="","⚠ Falta fecha",IF(C2445="","⚠ Falta monto",IF(D2445="","⚠ Falta categoría",IF(ISNA(MATCH(D2445,catNom,0)),"⚠ Categoría no existe",IF(E2445="","⚠ Falta cuenta",IF(ISNA(MATCH(E2445,ctaNom,0)),"⚠ Cuenta no existe",IF(AND(OR(I2445="Transferencia",I2445="Pago tarjeta"),G2445=""),"⚠ Indica la cuenta «Hacia»",IF(AND(G2445&lt;&gt;"",G2445=E2445),"⚠ «Hacia» igual a la cuenta",IF(AND(G2445&lt;&gt;"",ISNA(MATCH(G2445,ctaNom,0))),"⚠ «Hacia» no existe",IF(AND(I2445="Pago tarjeta",IFERROR(INDEX(ctaTipo,MATCH(G2445,ctaNom,0)),"")&lt;&gt;"Tarjeta de crédito"),"⚠ «Hacia» debe ser la tarjeta",IF(AND(I2445="Trading",IFERROR(INDEX(ctaTipo,MATCH(E2445,ctaNom,0)),"")&lt;&gt;"Cuenta de trading"),"⚠ Usa la cuenta de trading","✓"))))))))))))</f>
        <v/>
      </c>
      <c r="I2445" s="19">
        <f>IF(OR(B2445="",C2445="",D2445=""),"",IFERROR(INDEX(catTipo,MATCH(D2445,catNom,0))&amp;"",""))</f>
        <v/>
      </c>
      <c r="J2445" s="19">
        <f>IF(I2445="","",IFERROR(INDEX(catGrupo,MATCH(D2445,catNom,0))&amp;"",""))</f>
        <v/>
      </c>
      <c r="K2445" s="19">
        <f>IF(I2445="Gasto",IF(IFERROR(INDEX(catClas,MATCH(D2445,catNom,0))&amp;"","")="","Variable",IFERROR(INDEX(catClas,MATCH(D2445,catNom,0))&amp;"","")),"")</f>
        <v/>
      </c>
      <c r="L2445" s="19">
        <f>IF(I2445="","",IFERROR(INDEX(catAlim,MATCH(D2445,catNom,0))&amp;"",""))</f>
        <v/>
      </c>
      <c r="M2445" s="19">
        <f>IF(I2445="","",IFERROR(INDEX(catComida,MATCH(D2445,catNom,0))&amp;"",""))</f>
        <v/>
      </c>
      <c r="N2445" s="19">
        <f>IF(I2445="","",IFERROR(INDEX(ctaMon,MATCH(E2445,ctaNom,0))&amp;"","DOP"))</f>
        <v/>
      </c>
      <c r="O2445" s="20">
        <f>IF(I2445="","",C2445*IF(N2445="USD",TasaUSD,1))</f>
        <v/>
      </c>
      <c r="P2445" s="20">
        <f>IF(I2445="","",IF(I2445="Gasto",O2445,0))</f>
        <v/>
      </c>
      <c r="Q2445" s="20">
        <f>IF(I2445="","",IF(I2445="Ingreso",O2445,0))</f>
        <v/>
      </c>
      <c r="R2445" s="20">
        <f>IF(I2445="","",IF(I2445="Trading",O2445,0))</f>
        <v/>
      </c>
      <c r="S2445" s="19">
        <f>IF(I2445="","",IF(AND(I2445="Gasto",K2445="Variable",J2445&lt;&gt;"Trading",O2445&gt;0,O2445&lt;=Umbral),1,0))</f>
        <v/>
      </c>
      <c r="T2445" s="20">
        <f>IF(OR(I2445="",E2445=""),"",IF(OR(I2445="Gasto",I2445="Transferencia",I2445="Pago tarjeta"),-1,1)*C2445)</f>
        <v/>
      </c>
      <c r="U2445" s="20">
        <f>IF(OR(G2445="",AND(I2445&lt;&gt;"Transferencia",I2445&lt;&gt;"Pago tarjeta")),"",IF(IFERROR(INDEX(ctaMon,MATCH(G2445,ctaNom,0))&amp;"","DOP")=N2445,C2445,IF(N2445="USD",C2445*TasaUSD,C2445/TasaUSD)))</f>
        <v/>
      </c>
      <c r="V2445" s="20">
        <f>IF(I2445="","",IF(IFERROR(INDEX(ctaLiq,MATCH(E2445,ctaNom,0))="Sí",FALSE),IF(OR(I2445="Gasto",I2445="Transferencia",I2445="Pago tarjeta"),-1,1)*O2445,0)+IF(AND(U2445&lt;&gt;"",IFERROR(INDEX(ctaLiq,MATCH(G2445,ctaNom,0))="Sí",FALSE)),O2445,0))</f>
        <v/>
      </c>
      <c r="W2445" s="19">
        <f>IF(OR(F2445="",I2445=""),"",IF(COUNTIFS(F$6:F2445,F2445,I$6:I2445,"?*")=1,MAX(W$5:W2444)+1,""))</f>
        <v/>
      </c>
    </row>
    <row r="2446">
      <c r="B2446" s="15" t="n"/>
      <c r="C2446" s="16" t="n"/>
      <c r="D2446" s="17" t="n"/>
      <c r="E2446" s="17" t="n"/>
      <c r="F2446" s="17" t="n"/>
      <c r="G2446" s="17" t="n"/>
      <c r="H2446" s="18">
        <f>IF(AND(B2446="",C2446="",D2446="",E2446=""),"",IF(B2446="","⚠ Falta fecha",IF(C2446="","⚠ Falta monto",IF(D2446="","⚠ Falta categoría",IF(ISNA(MATCH(D2446,catNom,0)),"⚠ Categoría no existe",IF(E2446="","⚠ Falta cuenta",IF(ISNA(MATCH(E2446,ctaNom,0)),"⚠ Cuenta no existe",IF(AND(OR(I2446="Transferencia",I2446="Pago tarjeta"),G2446=""),"⚠ Indica la cuenta «Hacia»",IF(AND(G2446&lt;&gt;"",G2446=E2446),"⚠ «Hacia» igual a la cuenta",IF(AND(G2446&lt;&gt;"",ISNA(MATCH(G2446,ctaNom,0))),"⚠ «Hacia» no existe",IF(AND(I2446="Pago tarjeta",IFERROR(INDEX(ctaTipo,MATCH(G2446,ctaNom,0)),"")&lt;&gt;"Tarjeta de crédito"),"⚠ «Hacia» debe ser la tarjeta",IF(AND(I2446="Trading",IFERROR(INDEX(ctaTipo,MATCH(E2446,ctaNom,0)),"")&lt;&gt;"Cuenta de trading"),"⚠ Usa la cuenta de trading","✓"))))))))))))</f>
        <v/>
      </c>
      <c r="I2446" s="19">
        <f>IF(OR(B2446="",C2446="",D2446=""),"",IFERROR(INDEX(catTipo,MATCH(D2446,catNom,0))&amp;"",""))</f>
        <v/>
      </c>
      <c r="J2446" s="19">
        <f>IF(I2446="","",IFERROR(INDEX(catGrupo,MATCH(D2446,catNom,0))&amp;"",""))</f>
        <v/>
      </c>
      <c r="K2446" s="19">
        <f>IF(I2446="Gasto",IF(IFERROR(INDEX(catClas,MATCH(D2446,catNom,0))&amp;"","")="","Variable",IFERROR(INDEX(catClas,MATCH(D2446,catNom,0))&amp;"","")),"")</f>
        <v/>
      </c>
      <c r="L2446" s="19">
        <f>IF(I2446="","",IFERROR(INDEX(catAlim,MATCH(D2446,catNom,0))&amp;"",""))</f>
        <v/>
      </c>
      <c r="M2446" s="19">
        <f>IF(I2446="","",IFERROR(INDEX(catComida,MATCH(D2446,catNom,0))&amp;"",""))</f>
        <v/>
      </c>
      <c r="N2446" s="19">
        <f>IF(I2446="","",IFERROR(INDEX(ctaMon,MATCH(E2446,ctaNom,0))&amp;"","DOP"))</f>
        <v/>
      </c>
      <c r="O2446" s="20">
        <f>IF(I2446="","",C2446*IF(N2446="USD",TasaUSD,1))</f>
        <v/>
      </c>
      <c r="P2446" s="20">
        <f>IF(I2446="","",IF(I2446="Gasto",O2446,0))</f>
        <v/>
      </c>
      <c r="Q2446" s="20">
        <f>IF(I2446="","",IF(I2446="Ingreso",O2446,0))</f>
        <v/>
      </c>
      <c r="R2446" s="20">
        <f>IF(I2446="","",IF(I2446="Trading",O2446,0))</f>
        <v/>
      </c>
      <c r="S2446" s="19">
        <f>IF(I2446="","",IF(AND(I2446="Gasto",K2446="Variable",J2446&lt;&gt;"Trading",O2446&gt;0,O2446&lt;=Umbral),1,0))</f>
        <v/>
      </c>
      <c r="T2446" s="20">
        <f>IF(OR(I2446="",E2446=""),"",IF(OR(I2446="Gasto",I2446="Transferencia",I2446="Pago tarjeta"),-1,1)*C2446)</f>
        <v/>
      </c>
      <c r="U2446" s="20">
        <f>IF(OR(G2446="",AND(I2446&lt;&gt;"Transferencia",I2446&lt;&gt;"Pago tarjeta")),"",IF(IFERROR(INDEX(ctaMon,MATCH(G2446,ctaNom,0))&amp;"","DOP")=N2446,C2446,IF(N2446="USD",C2446*TasaUSD,C2446/TasaUSD)))</f>
        <v/>
      </c>
      <c r="V2446" s="20">
        <f>IF(I2446="","",IF(IFERROR(INDEX(ctaLiq,MATCH(E2446,ctaNom,0))="Sí",FALSE),IF(OR(I2446="Gasto",I2446="Transferencia",I2446="Pago tarjeta"),-1,1)*O2446,0)+IF(AND(U2446&lt;&gt;"",IFERROR(INDEX(ctaLiq,MATCH(G2446,ctaNom,0))="Sí",FALSE)),O2446,0))</f>
        <v/>
      </c>
      <c r="W2446" s="19">
        <f>IF(OR(F2446="",I2446=""),"",IF(COUNTIFS(F$6:F2446,F2446,I$6:I2446,"?*")=1,MAX(W$5:W2445)+1,""))</f>
        <v/>
      </c>
    </row>
    <row r="2447">
      <c r="B2447" s="15" t="n"/>
      <c r="C2447" s="16" t="n"/>
      <c r="D2447" s="17" t="n"/>
      <c r="E2447" s="17" t="n"/>
      <c r="F2447" s="17" t="n"/>
      <c r="G2447" s="17" t="n"/>
      <c r="H2447" s="18">
        <f>IF(AND(B2447="",C2447="",D2447="",E2447=""),"",IF(B2447="","⚠ Falta fecha",IF(C2447="","⚠ Falta monto",IF(D2447="","⚠ Falta categoría",IF(ISNA(MATCH(D2447,catNom,0)),"⚠ Categoría no existe",IF(E2447="","⚠ Falta cuenta",IF(ISNA(MATCH(E2447,ctaNom,0)),"⚠ Cuenta no existe",IF(AND(OR(I2447="Transferencia",I2447="Pago tarjeta"),G2447=""),"⚠ Indica la cuenta «Hacia»",IF(AND(G2447&lt;&gt;"",G2447=E2447),"⚠ «Hacia» igual a la cuenta",IF(AND(G2447&lt;&gt;"",ISNA(MATCH(G2447,ctaNom,0))),"⚠ «Hacia» no existe",IF(AND(I2447="Pago tarjeta",IFERROR(INDEX(ctaTipo,MATCH(G2447,ctaNom,0)),"")&lt;&gt;"Tarjeta de crédito"),"⚠ «Hacia» debe ser la tarjeta",IF(AND(I2447="Trading",IFERROR(INDEX(ctaTipo,MATCH(E2447,ctaNom,0)),"")&lt;&gt;"Cuenta de trading"),"⚠ Usa la cuenta de trading","✓"))))))))))))</f>
        <v/>
      </c>
      <c r="I2447" s="19">
        <f>IF(OR(B2447="",C2447="",D2447=""),"",IFERROR(INDEX(catTipo,MATCH(D2447,catNom,0))&amp;"",""))</f>
        <v/>
      </c>
      <c r="J2447" s="19">
        <f>IF(I2447="","",IFERROR(INDEX(catGrupo,MATCH(D2447,catNom,0))&amp;"",""))</f>
        <v/>
      </c>
      <c r="K2447" s="19">
        <f>IF(I2447="Gasto",IF(IFERROR(INDEX(catClas,MATCH(D2447,catNom,0))&amp;"","")="","Variable",IFERROR(INDEX(catClas,MATCH(D2447,catNom,0))&amp;"","")),"")</f>
        <v/>
      </c>
      <c r="L2447" s="19">
        <f>IF(I2447="","",IFERROR(INDEX(catAlim,MATCH(D2447,catNom,0))&amp;"",""))</f>
        <v/>
      </c>
      <c r="M2447" s="19">
        <f>IF(I2447="","",IFERROR(INDEX(catComida,MATCH(D2447,catNom,0))&amp;"",""))</f>
        <v/>
      </c>
      <c r="N2447" s="19">
        <f>IF(I2447="","",IFERROR(INDEX(ctaMon,MATCH(E2447,ctaNom,0))&amp;"","DOP"))</f>
        <v/>
      </c>
      <c r="O2447" s="20">
        <f>IF(I2447="","",C2447*IF(N2447="USD",TasaUSD,1))</f>
        <v/>
      </c>
      <c r="P2447" s="20">
        <f>IF(I2447="","",IF(I2447="Gasto",O2447,0))</f>
        <v/>
      </c>
      <c r="Q2447" s="20">
        <f>IF(I2447="","",IF(I2447="Ingreso",O2447,0))</f>
        <v/>
      </c>
      <c r="R2447" s="20">
        <f>IF(I2447="","",IF(I2447="Trading",O2447,0))</f>
        <v/>
      </c>
      <c r="S2447" s="19">
        <f>IF(I2447="","",IF(AND(I2447="Gasto",K2447="Variable",J2447&lt;&gt;"Trading",O2447&gt;0,O2447&lt;=Umbral),1,0))</f>
        <v/>
      </c>
      <c r="T2447" s="20">
        <f>IF(OR(I2447="",E2447=""),"",IF(OR(I2447="Gasto",I2447="Transferencia",I2447="Pago tarjeta"),-1,1)*C2447)</f>
        <v/>
      </c>
      <c r="U2447" s="20">
        <f>IF(OR(G2447="",AND(I2447&lt;&gt;"Transferencia",I2447&lt;&gt;"Pago tarjeta")),"",IF(IFERROR(INDEX(ctaMon,MATCH(G2447,ctaNom,0))&amp;"","DOP")=N2447,C2447,IF(N2447="USD",C2447*TasaUSD,C2447/TasaUSD)))</f>
        <v/>
      </c>
      <c r="V2447" s="20">
        <f>IF(I2447="","",IF(IFERROR(INDEX(ctaLiq,MATCH(E2447,ctaNom,0))="Sí",FALSE),IF(OR(I2447="Gasto",I2447="Transferencia",I2447="Pago tarjeta"),-1,1)*O2447,0)+IF(AND(U2447&lt;&gt;"",IFERROR(INDEX(ctaLiq,MATCH(G2447,ctaNom,0))="Sí",FALSE)),O2447,0))</f>
        <v/>
      </c>
      <c r="W2447" s="19">
        <f>IF(OR(F2447="",I2447=""),"",IF(COUNTIFS(F$6:F2447,F2447,I$6:I2447,"?*")=1,MAX(W$5:W2446)+1,""))</f>
        <v/>
      </c>
    </row>
    <row r="2448">
      <c r="B2448" s="15" t="n"/>
      <c r="C2448" s="16" t="n"/>
      <c r="D2448" s="17" t="n"/>
      <c r="E2448" s="17" t="n"/>
      <c r="F2448" s="17" t="n"/>
      <c r="G2448" s="17" t="n"/>
      <c r="H2448" s="18">
        <f>IF(AND(B2448="",C2448="",D2448="",E2448=""),"",IF(B2448="","⚠ Falta fecha",IF(C2448="","⚠ Falta monto",IF(D2448="","⚠ Falta categoría",IF(ISNA(MATCH(D2448,catNom,0)),"⚠ Categoría no existe",IF(E2448="","⚠ Falta cuenta",IF(ISNA(MATCH(E2448,ctaNom,0)),"⚠ Cuenta no existe",IF(AND(OR(I2448="Transferencia",I2448="Pago tarjeta"),G2448=""),"⚠ Indica la cuenta «Hacia»",IF(AND(G2448&lt;&gt;"",G2448=E2448),"⚠ «Hacia» igual a la cuenta",IF(AND(G2448&lt;&gt;"",ISNA(MATCH(G2448,ctaNom,0))),"⚠ «Hacia» no existe",IF(AND(I2448="Pago tarjeta",IFERROR(INDEX(ctaTipo,MATCH(G2448,ctaNom,0)),"")&lt;&gt;"Tarjeta de crédito"),"⚠ «Hacia» debe ser la tarjeta",IF(AND(I2448="Trading",IFERROR(INDEX(ctaTipo,MATCH(E2448,ctaNom,0)),"")&lt;&gt;"Cuenta de trading"),"⚠ Usa la cuenta de trading","✓"))))))))))))</f>
        <v/>
      </c>
      <c r="I2448" s="19">
        <f>IF(OR(B2448="",C2448="",D2448=""),"",IFERROR(INDEX(catTipo,MATCH(D2448,catNom,0))&amp;"",""))</f>
        <v/>
      </c>
      <c r="J2448" s="19">
        <f>IF(I2448="","",IFERROR(INDEX(catGrupo,MATCH(D2448,catNom,0))&amp;"",""))</f>
        <v/>
      </c>
      <c r="K2448" s="19">
        <f>IF(I2448="Gasto",IF(IFERROR(INDEX(catClas,MATCH(D2448,catNom,0))&amp;"","")="","Variable",IFERROR(INDEX(catClas,MATCH(D2448,catNom,0))&amp;"","")),"")</f>
        <v/>
      </c>
      <c r="L2448" s="19">
        <f>IF(I2448="","",IFERROR(INDEX(catAlim,MATCH(D2448,catNom,0))&amp;"",""))</f>
        <v/>
      </c>
      <c r="M2448" s="19">
        <f>IF(I2448="","",IFERROR(INDEX(catComida,MATCH(D2448,catNom,0))&amp;"",""))</f>
        <v/>
      </c>
      <c r="N2448" s="19">
        <f>IF(I2448="","",IFERROR(INDEX(ctaMon,MATCH(E2448,ctaNom,0))&amp;"","DOP"))</f>
        <v/>
      </c>
      <c r="O2448" s="20">
        <f>IF(I2448="","",C2448*IF(N2448="USD",TasaUSD,1))</f>
        <v/>
      </c>
      <c r="P2448" s="20">
        <f>IF(I2448="","",IF(I2448="Gasto",O2448,0))</f>
        <v/>
      </c>
      <c r="Q2448" s="20">
        <f>IF(I2448="","",IF(I2448="Ingreso",O2448,0))</f>
        <v/>
      </c>
      <c r="R2448" s="20">
        <f>IF(I2448="","",IF(I2448="Trading",O2448,0))</f>
        <v/>
      </c>
      <c r="S2448" s="19">
        <f>IF(I2448="","",IF(AND(I2448="Gasto",K2448="Variable",J2448&lt;&gt;"Trading",O2448&gt;0,O2448&lt;=Umbral),1,0))</f>
        <v/>
      </c>
      <c r="T2448" s="20">
        <f>IF(OR(I2448="",E2448=""),"",IF(OR(I2448="Gasto",I2448="Transferencia",I2448="Pago tarjeta"),-1,1)*C2448)</f>
        <v/>
      </c>
      <c r="U2448" s="20">
        <f>IF(OR(G2448="",AND(I2448&lt;&gt;"Transferencia",I2448&lt;&gt;"Pago tarjeta")),"",IF(IFERROR(INDEX(ctaMon,MATCH(G2448,ctaNom,0))&amp;"","DOP")=N2448,C2448,IF(N2448="USD",C2448*TasaUSD,C2448/TasaUSD)))</f>
        <v/>
      </c>
      <c r="V2448" s="20">
        <f>IF(I2448="","",IF(IFERROR(INDEX(ctaLiq,MATCH(E2448,ctaNom,0))="Sí",FALSE),IF(OR(I2448="Gasto",I2448="Transferencia",I2448="Pago tarjeta"),-1,1)*O2448,0)+IF(AND(U2448&lt;&gt;"",IFERROR(INDEX(ctaLiq,MATCH(G2448,ctaNom,0))="Sí",FALSE)),O2448,0))</f>
        <v/>
      </c>
      <c r="W2448" s="19">
        <f>IF(OR(F2448="",I2448=""),"",IF(COUNTIFS(F$6:F2448,F2448,I$6:I2448,"?*")=1,MAX(W$5:W2447)+1,""))</f>
        <v/>
      </c>
    </row>
    <row r="2449">
      <c r="B2449" s="15" t="n"/>
      <c r="C2449" s="16" t="n"/>
      <c r="D2449" s="17" t="n"/>
      <c r="E2449" s="17" t="n"/>
      <c r="F2449" s="17" t="n"/>
      <c r="G2449" s="17" t="n"/>
      <c r="H2449" s="18">
        <f>IF(AND(B2449="",C2449="",D2449="",E2449=""),"",IF(B2449="","⚠ Falta fecha",IF(C2449="","⚠ Falta monto",IF(D2449="","⚠ Falta categoría",IF(ISNA(MATCH(D2449,catNom,0)),"⚠ Categoría no existe",IF(E2449="","⚠ Falta cuenta",IF(ISNA(MATCH(E2449,ctaNom,0)),"⚠ Cuenta no existe",IF(AND(OR(I2449="Transferencia",I2449="Pago tarjeta"),G2449=""),"⚠ Indica la cuenta «Hacia»",IF(AND(G2449&lt;&gt;"",G2449=E2449),"⚠ «Hacia» igual a la cuenta",IF(AND(G2449&lt;&gt;"",ISNA(MATCH(G2449,ctaNom,0))),"⚠ «Hacia» no existe",IF(AND(I2449="Pago tarjeta",IFERROR(INDEX(ctaTipo,MATCH(G2449,ctaNom,0)),"")&lt;&gt;"Tarjeta de crédito"),"⚠ «Hacia» debe ser la tarjeta",IF(AND(I2449="Trading",IFERROR(INDEX(ctaTipo,MATCH(E2449,ctaNom,0)),"")&lt;&gt;"Cuenta de trading"),"⚠ Usa la cuenta de trading","✓"))))))))))))</f>
        <v/>
      </c>
      <c r="I2449" s="19">
        <f>IF(OR(B2449="",C2449="",D2449=""),"",IFERROR(INDEX(catTipo,MATCH(D2449,catNom,0))&amp;"",""))</f>
        <v/>
      </c>
      <c r="J2449" s="19">
        <f>IF(I2449="","",IFERROR(INDEX(catGrupo,MATCH(D2449,catNom,0))&amp;"",""))</f>
        <v/>
      </c>
      <c r="K2449" s="19">
        <f>IF(I2449="Gasto",IF(IFERROR(INDEX(catClas,MATCH(D2449,catNom,0))&amp;"","")="","Variable",IFERROR(INDEX(catClas,MATCH(D2449,catNom,0))&amp;"","")),"")</f>
        <v/>
      </c>
      <c r="L2449" s="19">
        <f>IF(I2449="","",IFERROR(INDEX(catAlim,MATCH(D2449,catNom,0))&amp;"",""))</f>
        <v/>
      </c>
      <c r="M2449" s="19">
        <f>IF(I2449="","",IFERROR(INDEX(catComida,MATCH(D2449,catNom,0))&amp;"",""))</f>
        <v/>
      </c>
      <c r="N2449" s="19">
        <f>IF(I2449="","",IFERROR(INDEX(ctaMon,MATCH(E2449,ctaNom,0))&amp;"","DOP"))</f>
        <v/>
      </c>
      <c r="O2449" s="20">
        <f>IF(I2449="","",C2449*IF(N2449="USD",TasaUSD,1))</f>
        <v/>
      </c>
      <c r="P2449" s="20">
        <f>IF(I2449="","",IF(I2449="Gasto",O2449,0))</f>
        <v/>
      </c>
      <c r="Q2449" s="20">
        <f>IF(I2449="","",IF(I2449="Ingreso",O2449,0))</f>
        <v/>
      </c>
      <c r="R2449" s="20">
        <f>IF(I2449="","",IF(I2449="Trading",O2449,0))</f>
        <v/>
      </c>
      <c r="S2449" s="19">
        <f>IF(I2449="","",IF(AND(I2449="Gasto",K2449="Variable",J2449&lt;&gt;"Trading",O2449&gt;0,O2449&lt;=Umbral),1,0))</f>
        <v/>
      </c>
      <c r="T2449" s="20">
        <f>IF(OR(I2449="",E2449=""),"",IF(OR(I2449="Gasto",I2449="Transferencia",I2449="Pago tarjeta"),-1,1)*C2449)</f>
        <v/>
      </c>
      <c r="U2449" s="20">
        <f>IF(OR(G2449="",AND(I2449&lt;&gt;"Transferencia",I2449&lt;&gt;"Pago tarjeta")),"",IF(IFERROR(INDEX(ctaMon,MATCH(G2449,ctaNom,0))&amp;"","DOP")=N2449,C2449,IF(N2449="USD",C2449*TasaUSD,C2449/TasaUSD)))</f>
        <v/>
      </c>
      <c r="V2449" s="20">
        <f>IF(I2449="","",IF(IFERROR(INDEX(ctaLiq,MATCH(E2449,ctaNom,0))="Sí",FALSE),IF(OR(I2449="Gasto",I2449="Transferencia",I2449="Pago tarjeta"),-1,1)*O2449,0)+IF(AND(U2449&lt;&gt;"",IFERROR(INDEX(ctaLiq,MATCH(G2449,ctaNom,0))="Sí",FALSE)),O2449,0))</f>
        <v/>
      </c>
      <c r="W2449" s="19">
        <f>IF(OR(F2449="",I2449=""),"",IF(COUNTIFS(F$6:F2449,F2449,I$6:I2449,"?*")=1,MAX(W$5:W2448)+1,""))</f>
        <v/>
      </c>
    </row>
    <row r="2450">
      <c r="B2450" s="15" t="n"/>
      <c r="C2450" s="16" t="n"/>
      <c r="D2450" s="17" t="n"/>
      <c r="E2450" s="17" t="n"/>
      <c r="F2450" s="17" t="n"/>
      <c r="G2450" s="17" t="n"/>
      <c r="H2450" s="18">
        <f>IF(AND(B2450="",C2450="",D2450="",E2450=""),"",IF(B2450="","⚠ Falta fecha",IF(C2450="","⚠ Falta monto",IF(D2450="","⚠ Falta categoría",IF(ISNA(MATCH(D2450,catNom,0)),"⚠ Categoría no existe",IF(E2450="","⚠ Falta cuenta",IF(ISNA(MATCH(E2450,ctaNom,0)),"⚠ Cuenta no existe",IF(AND(OR(I2450="Transferencia",I2450="Pago tarjeta"),G2450=""),"⚠ Indica la cuenta «Hacia»",IF(AND(G2450&lt;&gt;"",G2450=E2450),"⚠ «Hacia» igual a la cuenta",IF(AND(G2450&lt;&gt;"",ISNA(MATCH(G2450,ctaNom,0))),"⚠ «Hacia» no existe",IF(AND(I2450="Pago tarjeta",IFERROR(INDEX(ctaTipo,MATCH(G2450,ctaNom,0)),"")&lt;&gt;"Tarjeta de crédito"),"⚠ «Hacia» debe ser la tarjeta",IF(AND(I2450="Trading",IFERROR(INDEX(ctaTipo,MATCH(E2450,ctaNom,0)),"")&lt;&gt;"Cuenta de trading"),"⚠ Usa la cuenta de trading","✓"))))))))))))</f>
        <v/>
      </c>
      <c r="I2450" s="19">
        <f>IF(OR(B2450="",C2450="",D2450=""),"",IFERROR(INDEX(catTipo,MATCH(D2450,catNom,0))&amp;"",""))</f>
        <v/>
      </c>
      <c r="J2450" s="19">
        <f>IF(I2450="","",IFERROR(INDEX(catGrupo,MATCH(D2450,catNom,0))&amp;"",""))</f>
        <v/>
      </c>
      <c r="K2450" s="19">
        <f>IF(I2450="Gasto",IF(IFERROR(INDEX(catClas,MATCH(D2450,catNom,0))&amp;"","")="","Variable",IFERROR(INDEX(catClas,MATCH(D2450,catNom,0))&amp;"","")),"")</f>
        <v/>
      </c>
      <c r="L2450" s="19">
        <f>IF(I2450="","",IFERROR(INDEX(catAlim,MATCH(D2450,catNom,0))&amp;"",""))</f>
        <v/>
      </c>
      <c r="M2450" s="19">
        <f>IF(I2450="","",IFERROR(INDEX(catComida,MATCH(D2450,catNom,0))&amp;"",""))</f>
        <v/>
      </c>
      <c r="N2450" s="19">
        <f>IF(I2450="","",IFERROR(INDEX(ctaMon,MATCH(E2450,ctaNom,0))&amp;"","DOP"))</f>
        <v/>
      </c>
      <c r="O2450" s="20">
        <f>IF(I2450="","",C2450*IF(N2450="USD",TasaUSD,1))</f>
        <v/>
      </c>
      <c r="P2450" s="20">
        <f>IF(I2450="","",IF(I2450="Gasto",O2450,0))</f>
        <v/>
      </c>
      <c r="Q2450" s="20">
        <f>IF(I2450="","",IF(I2450="Ingreso",O2450,0))</f>
        <v/>
      </c>
      <c r="R2450" s="20">
        <f>IF(I2450="","",IF(I2450="Trading",O2450,0))</f>
        <v/>
      </c>
      <c r="S2450" s="19">
        <f>IF(I2450="","",IF(AND(I2450="Gasto",K2450="Variable",J2450&lt;&gt;"Trading",O2450&gt;0,O2450&lt;=Umbral),1,0))</f>
        <v/>
      </c>
      <c r="T2450" s="20">
        <f>IF(OR(I2450="",E2450=""),"",IF(OR(I2450="Gasto",I2450="Transferencia",I2450="Pago tarjeta"),-1,1)*C2450)</f>
        <v/>
      </c>
      <c r="U2450" s="20">
        <f>IF(OR(G2450="",AND(I2450&lt;&gt;"Transferencia",I2450&lt;&gt;"Pago tarjeta")),"",IF(IFERROR(INDEX(ctaMon,MATCH(G2450,ctaNom,0))&amp;"","DOP")=N2450,C2450,IF(N2450="USD",C2450*TasaUSD,C2450/TasaUSD)))</f>
        <v/>
      </c>
      <c r="V2450" s="20">
        <f>IF(I2450="","",IF(IFERROR(INDEX(ctaLiq,MATCH(E2450,ctaNom,0))="Sí",FALSE),IF(OR(I2450="Gasto",I2450="Transferencia",I2450="Pago tarjeta"),-1,1)*O2450,0)+IF(AND(U2450&lt;&gt;"",IFERROR(INDEX(ctaLiq,MATCH(G2450,ctaNom,0))="Sí",FALSE)),O2450,0))</f>
        <v/>
      </c>
      <c r="W2450" s="19">
        <f>IF(OR(F2450="",I2450=""),"",IF(COUNTIFS(F$6:F2450,F2450,I$6:I2450,"?*")=1,MAX(W$5:W2449)+1,""))</f>
        <v/>
      </c>
    </row>
    <row r="2451">
      <c r="B2451" s="15" t="n"/>
      <c r="C2451" s="16" t="n"/>
      <c r="D2451" s="17" t="n"/>
      <c r="E2451" s="17" t="n"/>
      <c r="F2451" s="17" t="n"/>
      <c r="G2451" s="17" t="n"/>
      <c r="H2451" s="18">
        <f>IF(AND(B2451="",C2451="",D2451="",E2451=""),"",IF(B2451="","⚠ Falta fecha",IF(C2451="","⚠ Falta monto",IF(D2451="","⚠ Falta categoría",IF(ISNA(MATCH(D2451,catNom,0)),"⚠ Categoría no existe",IF(E2451="","⚠ Falta cuenta",IF(ISNA(MATCH(E2451,ctaNom,0)),"⚠ Cuenta no existe",IF(AND(OR(I2451="Transferencia",I2451="Pago tarjeta"),G2451=""),"⚠ Indica la cuenta «Hacia»",IF(AND(G2451&lt;&gt;"",G2451=E2451),"⚠ «Hacia» igual a la cuenta",IF(AND(G2451&lt;&gt;"",ISNA(MATCH(G2451,ctaNom,0))),"⚠ «Hacia» no existe",IF(AND(I2451="Pago tarjeta",IFERROR(INDEX(ctaTipo,MATCH(G2451,ctaNom,0)),"")&lt;&gt;"Tarjeta de crédito"),"⚠ «Hacia» debe ser la tarjeta",IF(AND(I2451="Trading",IFERROR(INDEX(ctaTipo,MATCH(E2451,ctaNom,0)),"")&lt;&gt;"Cuenta de trading"),"⚠ Usa la cuenta de trading","✓"))))))))))))</f>
        <v/>
      </c>
      <c r="I2451" s="19">
        <f>IF(OR(B2451="",C2451="",D2451=""),"",IFERROR(INDEX(catTipo,MATCH(D2451,catNom,0))&amp;"",""))</f>
        <v/>
      </c>
      <c r="J2451" s="19">
        <f>IF(I2451="","",IFERROR(INDEX(catGrupo,MATCH(D2451,catNom,0))&amp;"",""))</f>
        <v/>
      </c>
      <c r="K2451" s="19">
        <f>IF(I2451="Gasto",IF(IFERROR(INDEX(catClas,MATCH(D2451,catNom,0))&amp;"","")="","Variable",IFERROR(INDEX(catClas,MATCH(D2451,catNom,0))&amp;"","")),"")</f>
        <v/>
      </c>
      <c r="L2451" s="19">
        <f>IF(I2451="","",IFERROR(INDEX(catAlim,MATCH(D2451,catNom,0))&amp;"",""))</f>
        <v/>
      </c>
      <c r="M2451" s="19">
        <f>IF(I2451="","",IFERROR(INDEX(catComida,MATCH(D2451,catNom,0))&amp;"",""))</f>
        <v/>
      </c>
      <c r="N2451" s="19">
        <f>IF(I2451="","",IFERROR(INDEX(ctaMon,MATCH(E2451,ctaNom,0))&amp;"","DOP"))</f>
        <v/>
      </c>
      <c r="O2451" s="20">
        <f>IF(I2451="","",C2451*IF(N2451="USD",TasaUSD,1))</f>
        <v/>
      </c>
      <c r="P2451" s="20">
        <f>IF(I2451="","",IF(I2451="Gasto",O2451,0))</f>
        <v/>
      </c>
      <c r="Q2451" s="20">
        <f>IF(I2451="","",IF(I2451="Ingreso",O2451,0))</f>
        <v/>
      </c>
      <c r="R2451" s="20">
        <f>IF(I2451="","",IF(I2451="Trading",O2451,0))</f>
        <v/>
      </c>
      <c r="S2451" s="19">
        <f>IF(I2451="","",IF(AND(I2451="Gasto",K2451="Variable",J2451&lt;&gt;"Trading",O2451&gt;0,O2451&lt;=Umbral),1,0))</f>
        <v/>
      </c>
      <c r="T2451" s="20">
        <f>IF(OR(I2451="",E2451=""),"",IF(OR(I2451="Gasto",I2451="Transferencia",I2451="Pago tarjeta"),-1,1)*C2451)</f>
        <v/>
      </c>
      <c r="U2451" s="20">
        <f>IF(OR(G2451="",AND(I2451&lt;&gt;"Transferencia",I2451&lt;&gt;"Pago tarjeta")),"",IF(IFERROR(INDEX(ctaMon,MATCH(G2451,ctaNom,0))&amp;"","DOP")=N2451,C2451,IF(N2451="USD",C2451*TasaUSD,C2451/TasaUSD)))</f>
        <v/>
      </c>
      <c r="V2451" s="20">
        <f>IF(I2451="","",IF(IFERROR(INDEX(ctaLiq,MATCH(E2451,ctaNom,0))="Sí",FALSE),IF(OR(I2451="Gasto",I2451="Transferencia",I2451="Pago tarjeta"),-1,1)*O2451,0)+IF(AND(U2451&lt;&gt;"",IFERROR(INDEX(ctaLiq,MATCH(G2451,ctaNom,0))="Sí",FALSE)),O2451,0))</f>
        <v/>
      </c>
      <c r="W2451" s="19">
        <f>IF(OR(F2451="",I2451=""),"",IF(COUNTIFS(F$6:F2451,F2451,I$6:I2451,"?*")=1,MAX(W$5:W2450)+1,""))</f>
        <v/>
      </c>
    </row>
    <row r="2452">
      <c r="B2452" s="15" t="n"/>
      <c r="C2452" s="16" t="n"/>
      <c r="D2452" s="17" t="n"/>
      <c r="E2452" s="17" t="n"/>
      <c r="F2452" s="17" t="n"/>
      <c r="G2452" s="17" t="n"/>
      <c r="H2452" s="18">
        <f>IF(AND(B2452="",C2452="",D2452="",E2452=""),"",IF(B2452="","⚠ Falta fecha",IF(C2452="","⚠ Falta monto",IF(D2452="","⚠ Falta categoría",IF(ISNA(MATCH(D2452,catNom,0)),"⚠ Categoría no existe",IF(E2452="","⚠ Falta cuenta",IF(ISNA(MATCH(E2452,ctaNom,0)),"⚠ Cuenta no existe",IF(AND(OR(I2452="Transferencia",I2452="Pago tarjeta"),G2452=""),"⚠ Indica la cuenta «Hacia»",IF(AND(G2452&lt;&gt;"",G2452=E2452),"⚠ «Hacia» igual a la cuenta",IF(AND(G2452&lt;&gt;"",ISNA(MATCH(G2452,ctaNom,0))),"⚠ «Hacia» no existe",IF(AND(I2452="Pago tarjeta",IFERROR(INDEX(ctaTipo,MATCH(G2452,ctaNom,0)),"")&lt;&gt;"Tarjeta de crédito"),"⚠ «Hacia» debe ser la tarjeta",IF(AND(I2452="Trading",IFERROR(INDEX(ctaTipo,MATCH(E2452,ctaNom,0)),"")&lt;&gt;"Cuenta de trading"),"⚠ Usa la cuenta de trading","✓"))))))))))))</f>
        <v/>
      </c>
      <c r="I2452" s="19">
        <f>IF(OR(B2452="",C2452="",D2452=""),"",IFERROR(INDEX(catTipo,MATCH(D2452,catNom,0))&amp;"",""))</f>
        <v/>
      </c>
      <c r="J2452" s="19">
        <f>IF(I2452="","",IFERROR(INDEX(catGrupo,MATCH(D2452,catNom,0))&amp;"",""))</f>
        <v/>
      </c>
      <c r="K2452" s="19">
        <f>IF(I2452="Gasto",IF(IFERROR(INDEX(catClas,MATCH(D2452,catNom,0))&amp;"","")="","Variable",IFERROR(INDEX(catClas,MATCH(D2452,catNom,0))&amp;"","")),"")</f>
        <v/>
      </c>
      <c r="L2452" s="19">
        <f>IF(I2452="","",IFERROR(INDEX(catAlim,MATCH(D2452,catNom,0))&amp;"",""))</f>
        <v/>
      </c>
      <c r="M2452" s="19">
        <f>IF(I2452="","",IFERROR(INDEX(catComida,MATCH(D2452,catNom,0))&amp;"",""))</f>
        <v/>
      </c>
      <c r="N2452" s="19">
        <f>IF(I2452="","",IFERROR(INDEX(ctaMon,MATCH(E2452,ctaNom,0))&amp;"","DOP"))</f>
        <v/>
      </c>
      <c r="O2452" s="20">
        <f>IF(I2452="","",C2452*IF(N2452="USD",TasaUSD,1))</f>
        <v/>
      </c>
      <c r="P2452" s="20">
        <f>IF(I2452="","",IF(I2452="Gasto",O2452,0))</f>
        <v/>
      </c>
      <c r="Q2452" s="20">
        <f>IF(I2452="","",IF(I2452="Ingreso",O2452,0))</f>
        <v/>
      </c>
      <c r="R2452" s="20">
        <f>IF(I2452="","",IF(I2452="Trading",O2452,0))</f>
        <v/>
      </c>
      <c r="S2452" s="19">
        <f>IF(I2452="","",IF(AND(I2452="Gasto",K2452="Variable",J2452&lt;&gt;"Trading",O2452&gt;0,O2452&lt;=Umbral),1,0))</f>
        <v/>
      </c>
      <c r="T2452" s="20">
        <f>IF(OR(I2452="",E2452=""),"",IF(OR(I2452="Gasto",I2452="Transferencia",I2452="Pago tarjeta"),-1,1)*C2452)</f>
        <v/>
      </c>
      <c r="U2452" s="20">
        <f>IF(OR(G2452="",AND(I2452&lt;&gt;"Transferencia",I2452&lt;&gt;"Pago tarjeta")),"",IF(IFERROR(INDEX(ctaMon,MATCH(G2452,ctaNom,0))&amp;"","DOP")=N2452,C2452,IF(N2452="USD",C2452*TasaUSD,C2452/TasaUSD)))</f>
        <v/>
      </c>
      <c r="V2452" s="20">
        <f>IF(I2452="","",IF(IFERROR(INDEX(ctaLiq,MATCH(E2452,ctaNom,0))="Sí",FALSE),IF(OR(I2452="Gasto",I2452="Transferencia",I2452="Pago tarjeta"),-1,1)*O2452,0)+IF(AND(U2452&lt;&gt;"",IFERROR(INDEX(ctaLiq,MATCH(G2452,ctaNom,0))="Sí",FALSE)),O2452,0))</f>
        <v/>
      </c>
      <c r="W2452" s="19">
        <f>IF(OR(F2452="",I2452=""),"",IF(COUNTIFS(F$6:F2452,F2452,I$6:I2452,"?*")=1,MAX(W$5:W2451)+1,""))</f>
        <v/>
      </c>
    </row>
    <row r="2453">
      <c r="B2453" s="15" t="n"/>
      <c r="C2453" s="16" t="n"/>
      <c r="D2453" s="17" t="n"/>
      <c r="E2453" s="17" t="n"/>
      <c r="F2453" s="17" t="n"/>
      <c r="G2453" s="17" t="n"/>
      <c r="H2453" s="18">
        <f>IF(AND(B2453="",C2453="",D2453="",E2453=""),"",IF(B2453="","⚠ Falta fecha",IF(C2453="","⚠ Falta monto",IF(D2453="","⚠ Falta categoría",IF(ISNA(MATCH(D2453,catNom,0)),"⚠ Categoría no existe",IF(E2453="","⚠ Falta cuenta",IF(ISNA(MATCH(E2453,ctaNom,0)),"⚠ Cuenta no existe",IF(AND(OR(I2453="Transferencia",I2453="Pago tarjeta"),G2453=""),"⚠ Indica la cuenta «Hacia»",IF(AND(G2453&lt;&gt;"",G2453=E2453),"⚠ «Hacia» igual a la cuenta",IF(AND(G2453&lt;&gt;"",ISNA(MATCH(G2453,ctaNom,0))),"⚠ «Hacia» no existe",IF(AND(I2453="Pago tarjeta",IFERROR(INDEX(ctaTipo,MATCH(G2453,ctaNom,0)),"")&lt;&gt;"Tarjeta de crédito"),"⚠ «Hacia» debe ser la tarjeta",IF(AND(I2453="Trading",IFERROR(INDEX(ctaTipo,MATCH(E2453,ctaNom,0)),"")&lt;&gt;"Cuenta de trading"),"⚠ Usa la cuenta de trading","✓"))))))))))))</f>
        <v/>
      </c>
      <c r="I2453" s="19">
        <f>IF(OR(B2453="",C2453="",D2453=""),"",IFERROR(INDEX(catTipo,MATCH(D2453,catNom,0))&amp;"",""))</f>
        <v/>
      </c>
      <c r="J2453" s="19">
        <f>IF(I2453="","",IFERROR(INDEX(catGrupo,MATCH(D2453,catNom,0))&amp;"",""))</f>
        <v/>
      </c>
      <c r="K2453" s="19">
        <f>IF(I2453="Gasto",IF(IFERROR(INDEX(catClas,MATCH(D2453,catNom,0))&amp;"","")="","Variable",IFERROR(INDEX(catClas,MATCH(D2453,catNom,0))&amp;"","")),"")</f>
        <v/>
      </c>
      <c r="L2453" s="19">
        <f>IF(I2453="","",IFERROR(INDEX(catAlim,MATCH(D2453,catNom,0))&amp;"",""))</f>
        <v/>
      </c>
      <c r="M2453" s="19">
        <f>IF(I2453="","",IFERROR(INDEX(catComida,MATCH(D2453,catNom,0))&amp;"",""))</f>
        <v/>
      </c>
      <c r="N2453" s="19">
        <f>IF(I2453="","",IFERROR(INDEX(ctaMon,MATCH(E2453,ctaNom,0))&amp;"","DOP"))</f>
        <v/>
      </c>
      <c r="O2453" s="20">
        <f>IF(I2453="","",C2453*IF(N2453="USD",TasaUSD,1))</f>
        <v/>
      </c>
      <c r="P2453" s="20">
        <f>IF(I2453="","",IF(I2453="Gasto",O2453,0))</f>
        <v/>
      </c>
      <c r="Q2453" s="20">
        <f>IF(I2453="","",IF(I2453="Ingreso",O2453,0))</f>
        <v/>
      </c>
      <c r="R2453" s="20">
        <f>IF(I2453="","",IF(I2453="Trading",O2453,0))</f>
        <v/>
      </c>
      <c r="S2453" s="19">
        <f>IF(I2453="","",IF(AND(I2453="Gasto",K2453="Variable",J2453&lt;&gt;"Trading",O2453&gt;0,O2453&lt;=Umbral),1,0))</f>
        <v/>
      </c>
      <c r="T2453" s="20">
        <f>IF(OR(I2453="",E2453=""),"",IF(OR(I2453="Gasto",I2453="Transferencia",I2453="Pago tarjeta"),-1,1)*C2453)</f>
        <v/>
      </c>
      <c r="U2453" s="20">
        <f>IF(OR(G2453="",AND(I2453&lt;&gt;"Transferencia",I2453&lt;&gt;"Pago tarjeta")),"",IF(IFERROR(INDEX(ctaMon,MATCH(G2453,ctaNom,0))&amp;"","DOP")=N2453,C2453,IF(N2453="USD",C2453*TasaUSD,C2453/TasaUSD)))</f>
        <v/>
      </c>
      <c r="V2453" s="20">
        <f>IF(I2453="","",IF(IFERROR(INDEX(ctaLiq,MATCH(E2453,ctaNom,0))="Sí",FALSE),IF(OR(I2453="Gasto",I2453="Transferencia",I2453="Pago tarjeta"),-1,1)*O2453,0)+IF(AND(U2453&lt;&gt;"",IFERROR(INDEX(ctaLiq,MATCH(G2453,ctaNom,0))="Sí",FALSE)),O2453,0))</f>
        <v/>
      </c>
      <c r="W2453" s="19">
        <f>IF(OR(F2453="",I2453=""),"",IF(COUNTIFS(F$6:F2453,F2453,I$6:I2453,"?*")=1,MAX(W$5:W2452)+1,""))</f>
        <v/>
      </c>
    </row>
    <row r="2454">
      <c r="B2454" s="15" t="n"/>
      <c r="C2454" s="16" t="n"/>
      <c r="D2454" s="17" t="n"/>
      <c r="E2454" s="17" t="n"/>
      <c r="F2454" s="17" t="n"/>
      <c r="G2454" s="17" t="n"/>
      <c r="H2454" s="18">
        <f>IF(AND(B2454="",C2454="",D2454="",E2454=""),"",IF(B2454="","⚠ Falta fecha",IF(C2454="","⚠ Falta monto",IF(D2454="","⚠ Falta categoría",IF(ISNA(MATCH(D2454,catNom,0)),"⚠ Categoría no existe",IF(E2454="","⚠ Falta cuenta",IF(ISNA(MATCH(E2454,ctaNom,0)),"⚠ Cuenta no existe",IF(AND(OR(I2454="Transferencia",I2454="Pago tarjeta"),G2454=""),"⚠ Indica la cuenta «Hacia»",IF(AND(G2454&lt;&gt;"",G2454=E2454),"⚠ «Hacia» igual a la cuenta",IF(AND(G2454&lt;&gt;"",ISNA(MATCH(G2454,ctaNom,0))),"⚠ «Hacia» no existe",IF(AND(I2454="Pago tarjeta",IFERROR(INDEX(ctaTipo,MATCH(G2454,ctaNom,0)),"")&lt;&gt;"Tarjeta de crédito"),"⚠ «Hacia» debe ser la tarjeta",IF(AND(I2454="Trading",IFERROR(INDEX(ctaTipo,MATCH(E2454,ctaNom,0)),"")&lt;&gt;"Cuenta de trading"),"⚠ Usa la cuenta de trading","✓"))))))))))))</f>
        <v/>
      </c>
      <c r="I2454" s="19">
        <f>IF(OR(B2454="",C2454="",D2454=""),"",IFERROR(INDEX(catTipo,MATCH(D2454,catNom,0))&amp;"",""))</f>
        <v/>
      </c>
      <c r="J2454" s="19">
        <f>IF(I2454="","",IFERROR(INDEX(catGrupo,MATCH(D2454,catNom,0))&amp;"",""))</f>
        <v/>
      </c>
      <c r="K2454" s="19">
        <f>IF(I2454="Gasto",IF(IFERROR(INDEX(catClas,MATCH(D2454,catNom,0))&amp;"","")="","Variable",IFERROR(INDEX(catClas,MATCH(D2454,catNom,0))&amp;"","")),"")</f>
        <v/>
      </c>
      <c r="L2454" s="19">
        <f>IF(I2454="","",IFERROR(INDEX(catAlim,MATCH(D2454,catNom,0))&amp;"",""))</f>
        <v/>
      </c>
      <c r="M2454" s="19">
        <f>IF(I2454="","",IFERROR(INDEX(catComida,MATCH(D2454,catNom,0))&amp;"",""))</f>
        <v/>
      </c>
      <c r="N2454" s="19">
        <f>IF(I2454="","",IFERROR(INDEX(ctaMon,MATCH(E2454,ctaNom,0))&amp;"","DOP"))</f>
        <v/>
      </c>
      <c r="O2454" s="20">
        <f>IF(I2454="","",C2454*IF(N2454="USD",TasaUSD,1))</f>
        <v/>
      </c>
      <c r="P2454" s="20">
        <f>IF(I2454="","",IF(I2454="Gasto",O2454,0))</f>
        <v/>
      </c>
      <c r="Q2454" s="20">
        <f>IF(I2454="","",IF(I2454="Ingreso",O2454,0))</f>
        <v/>
      </c>
      <c r="R2454" s="20">
        <f>IF(I2454="","",IF(I2454="Trading",O2454,0))</f>
        <v/>
      </c>
      <c r="S2454" s="19">
        <f>IF(I2454="","",IF(AND(I2454="Gasto",K2454="Variable",J2454&lt;&gt;"Trading",O2454&gt;0,O2454&lt;=Umbral),1,0))</f>
        <v/>
      </c>
      <c r="T2454" s="20">
        <f>IF(OR(I2454="",E2454=""),"",IF(OR(I2454="Gasto",I2454="Transferencia",I2454="Pago tarjeta"),-1,1)*C2454)</f>
        <v/>
      </c>
      <c r="U2454" s="20">
        <f>IF(OR(G2454="",AND(I2454&lt;&gt;"Transferencia",I2454&lt;&gt;"Pago tarjeta")),"",IF(IFERROR(INDEX(ctaMon,MATCH(G2454,ctaNom,0))&amp;"","DOP")=N2454,C2454,IF(N2454="USD",C2454*TasaUSD,C2454/TasaUSD)))</f>
        <v/>
      </c>
      <c r="V2454" s="20">
        <f>IF(I2454="","",IF(IFERROR(INDEX(ctaLiq,MATCH(E2454,ctaNom,0))="Sí",FALSE),IF(OR(I2454="Gasto",I2454="Transferencia",I2454="Pago tarjeta"),-1,1)*O2454,0)+IF(AND(U2454&lt;&gt;"",IFERROR(INDEX(ctaLiq,MATCH(G2454,ctaNom,0))="Sí",FALSE)),O2454,0))</f>
        <v/>
      </c>
      <c r="W2454" s="19">
        <f>IF(OR(F2454="",I2454=""),"",IF(COUNTIFS(F$6:F2454,F2454,I$6:I2454,"?*")=1,MAX(W$5:W2453)+1,""))</f>
        <v/>
      </c>
    </row>
    <row r="2455">
      <c r="B2455" s="15" t="n"/>
      <c r="C2455" s="16" t="n"/>
      <c r="D2455" s="17" t="n"/>
      <c r="E2455" s="17" t="n"/>
      <c r="F2455" s="17" t="n"/>
      <c r="G2455" s="17" t="n"/>
      <c r="H2455" s="18">
        <f>IF(AND(B2455="",C2455="",D2455="",E2455=""),"",IF(B2455="","⚠ Falta fecha",IF(C2455="","⚠ Falta monto",IF(D2455="","⚠ Falta categoría",IF(ISNA(MATCH(D2455,catNom,0)),"⚠ Categoría no existe",IF(E2455="","⚠ Falta cuenta",IF(ISNA(MATCH(E2455,ctaNom,0)),"⚠ Cuenta no existe",IF(AND(OR(I2455="Transferencia",I2455="Pago tarjeta"),G2455=""),"⚠ Indica la cuenta «Hacia»",IF(AND(G2455&lt;&gt;"",G2455=E2455),"⚠ «Hacia» igual a la cuenta",IF(AND(G2455&lt;&gt;"",ISNA(MATCH(G2455,ctaNom,0))),"⚠ «Hacia» no existe",IF(AND(I2455="Pago tarjeta",IFERROR(INDEX(ctaTipo,MATCH(G2455,ctaNom,0)),"")&lt;&gt;"Tarjeta de crédito"),"⚠ «Hacia» debe ser la tarjeta",IF(AND(I2455="Trading",IFERROR(INDEX(ctaTipo,MATCH(E2455,ctaNom,0)),"")&lt;&gt;"Cuenta de trading"),"⚠ Usa la cuenta de trading","✓"))))))))))))</f>
        <v/>
      </c>
      <c r="I2455" s="19">
        <f>IF(OR(B2455="",C2455="",D2455=""),"",IFERROR(INDEX(catTipo,MATCH(D2455,catNom,0))&amp;"",""))</f>
        <v/>
      </c>
      <c r="J2455" s="19">
        <f>IF(I2455="","",IFERROR(INDEX(catGrupo,MATCH(D2455,catNom,0))&amp;"",""))</f>
        <v/>
      </c>
      <c r="K2455" s="19">
        <f>IF(I2455="Gasto",IF(IFERROR(INDEX(catClas,MATCH(D2455,catNom,0))&amp;"","")="","Variable",IFERROR(INDEX(catClas,MATCH(D2455,catNom,0))&amp;"","")),"")</f>
        <v/>
      </c>
      <c r="L2455" s="19">
        <f>IF(I2455="","",IFERROR(INDEX(catAlim,MATCH(D2455,catNom,0))&amp;"",""))</f>
        <v/>
      </c>
      <c r="M2455" s="19">
        <f>IF(I2455="","",IFERROR(INDEX(catComida,MATCH(D2455,catNom,0))&amp;"",""))</f>
        <v/>
      </c>
      <c r="N2455" s="19">
        <f>IF(I2455="","",IFERROR(INDEX(ctaMon,MATCH(E2455,ctaNom,0))&amp;"","DOP"))</f>
        <v/>
      </c>
      <c r="O2455" s="20">
        <f>IF(I2455="","",C2455*IF(N2455="USD",TasaUSD,1))</f>
        <v/>
      </c>
      <c r="P2455" s="20">
        <f>IF(I2455="","",IF(I2455="Gasto",O2455,0))</f>
        <v/>
      </c>
      <c r="Q2455" s="20">
        <f>IF(I2455="","",IF(I2455="Ingreso",O2455,0))</f>
        <v/>
      </c>
      <c r="R2455" s="20">
        <f>IF(I2455="","",IF(I2455="Trading",O2455,0))</f>
        <v/>
      </c>
      <c r="S2455" s="19">
        <f>IF(I2455="","",IF(AND(I2455="Gasto",K2455="Variable",J2455&lt;&gt;"Trading",O2455&gt;0,O2455&lt;=Umbral),1,0))</f>
        <v/>
      </c>
      <c r="T2455" s="20">
        <f>IF(OR(I2455="",E2455=""),"",IF(OR(I2455="Gasto",I2455="Transferencia",I2455="Pago tarjeta"),-1,1)*C2455)</f>
        <v/>
      </c>
      <c r="U2455" s="20">
        <f>IF(OR(G2455="",AND(I2455&lt;&gt;"Transferencia",I2455&lt;&gt;"Pago tarjeta")),"",IF(IFERROR(INDEX(ctaMon,MATCH(G2455,ctaNom,0))&amp;"","DOP")=N2455,C2455,IF(N2455="USD",C2455*TasaUSD,C2455/TasaUSD)))</f>
        <v/>
      </c>
      <c r="V2455" s="20">
        <f>IF(I2455="","",IF(IFERROR(INDEX(ctaLiq,MATCH(E2455,ctaNom,0))="Sí",FALSE),IF(OR(I2455="Gasto",I2455="Transferencia",I2455="Pago tarjeta"),-1,1)*O2455,0)+IF(AND(U2455&lt;&gt;"",IFERROR(INDEX(ctaLiq,MATCH(G2455,ctaNom,0))="Sí",FALSE)),O2455,0))</f>
        <v/>
      </c>
      <c r="W2455" s="19">
        <f>IF(OR(F2455="",I2455=""),"",IF(COUNTIFS(F$6:F2455,F2455,I$6:I2455,"?*")=1,MAX(W$5:W2454)+1,""))</f>
        <v/>
      </c>
    </row>
    <row r="2456">
      <c r="B2456" s="15" t="n"/>
      <c r="C2456" s="16" t="n"/>
      <c r="D2456" s="17" t="n"/>
      <c r="E2456" s="17" t="n"/>
      <c r="F2456" s="17" t="n"/>
      <c r="G2456" s="17" t="n"/>
      <c r="H2456" s="18">
        <f>IF(AND(B2456="",C2456="",D2456="",E2456=""),"",IF(B2456="","⚠ Falta fecha",IF(C2456="","⚠ Falta monto",IF(D2456="","⚠ Falta categoría",IF(ISNA(MATCH(D2456,catNom,0)),"⚠ Categoría no existe",IF(E2456="","⚠ Falta cuenta",IF(ISNA(MATCH(E2456,ctaNom,0)),"⚠ Cuenta no existe",IF(AND(OR(I2456="Transferencia",I2456="Pago tarjeta"),G2456=""),"⚠ Indica la cuenta «Hacia»",IF(AND(G2456&lt;&gt;"",G2456=E2456),"⚠ «Hacia» igual a la cuenta",IF(AND(G2456&lt;&gt;"",ISNA(MATCH(G2456,ctaNom,0))),"⚠ «Hacia» no existe",IF(AND(I2456="Pago tarjeta",IFERROR(INDEX(ctaTipo,MATCH(G2456,ctaNom,0)),"")&lt;&gt;"Tarjeta de crédito"),"⚠ «Hacia» debe ser la tarjeta",IF(AND(I2456="Trading",IFERROR(INDEX(ctaTipo,MATCH(E2456,ctaNom,0)),"")&lt;&gt;"Cuenta de trading"),"⚠ Usa la cuenta de trading","✓"))))))))))))</f>
        <v/>
      </c>
      <c r="I2456" s="19">
        <f>IF(OR(B2456="",C2456="",D2456=""),"",IFERROR(INDEX(catTipo,MATCH(D2456,catNom,0))&amp;"",""))</f>
        <v/>
      </c>
      <c r="J2456" s="19">
        <f>IF(I2456="","",IFERROR(INDEX(catGrupo,MATCH(D2456,catNom,0))&amp;"",""))</f>
        <v/>
      </c>
      <c r="K2456" s="19">
        <f>IF(I2456="Gasto",IF(IFERROR(INDEX(catClas,MATCH(D2456,catNom,0))&amp;"","")="","Variable",IFERROR(INDEX(catClas,MATCH(D2456,catNom,0))&amp;"","")),"")</f>
        <v/>
      </c>
      <c r="L2456" s="19">
        <f>IF(I2456="","",IFERROR(INDEX(catAlim,MATCH(D2456,catNom,0))&amp;"",""))</f>
        <v/>
      </c>
      <c r="M2456" s="19">
        <f>IF(I2456="","",IFERROR(INDEX(catComida,MATCH(D2456,catNom,0))&amp;"",""))</f>
        <v/>
      </c>
      <c r="N2456" s="19">
        <f>IF(I2456="","",IFERROR(INDEX(ctaMon,MATCH(E2456,ctaNom,0))&amp;"","DOP"))</f>
        <v/>
      </c>
      <c r="O2456" s="20">
        <f>IF(I2456="","",C2456*IF(N2456="USD",TasaUSD,1))</f>
        <v/>
      </c>
      <c r="P2456" s="20">
        <f>IF(I2456="","",IF(I2456="Gasto",O2456,0))</f>
        <v/>
      </c>
      <c r="Q2456" s="20">
        <f>IF(I2456="","",IF(I2456="Ingreso",O2456,0))</f>
        <v/>
      </c>
      <c r="R2456" s="20">
        <f>IF(I2456="","",IF(I2456="Trading",O2456,0))</f>
        <v/>
      </c>
      <c r="S2456" s="19">
        <f>IF(I2456="","",IF(AND(I2456="Gasto",K2456="Variable",J2456&lt;&gt;"Trading",O2456&gt;0,O2456&lt;=Umbral),1,0))</f>
        <v/>
      </c>
      <c r="T2456" s="20">
        <f>IF(OR(I2456="",E2456=""),"",IF(OR(I2456="Gasto",I2456="Transferencia",I2456="Pago tarjeta"),-1,1)*C2456)</f>
        <v/>
      </c>
      <c r="U2456" s="20">
        <f>IF(OR(G2456="",AND(I2456&lt;&gt;"Transferencia",I2456&lt;&gt;"Pago tarjeta")),"",IF(IFERROR(INDEX(ctaMon,MATCH(G2456,ctaNom,0))&amp;"","DOP")=N2456,C2456,IF(N2456="USD",C2456*TasaUSD,C2456/TasaUSD)))</f>
        <v/>
      </c>
      <c r="V2456" s="20">
        <f>IF(I2456="","",IF(IFERROR(INDEX(ctaLiq,MATCH(E2456,ctaNom,0))="Sí",FALSE),IF(OR(I2456="Gasto",I2456="Transferencia",I2456="Pago tarjeta"),-1,1)*O2456,0)+IF(AND(U2456&lt;&gt;"",IFERROR(INDEX(ctaLiq,MATCH(G2456,ctaNom,0))="Sí",FALSE)),O2456,0))</f>
        <v/>
      </c>
      <c r="W2456" s="19">
        <f>IF(OR(F2456="",I2456=""),"",IF(COUNTIFS(F$6:F2456,F2456,I$6:I2456,"?*")=1,MAX(W$5:W2455)+1,""))</f>
        <v/>
      </c>
    </row>
    <row r="2457">
      <c r="B2457" s="15" t="n"/>
      <c r="C2457" s="16" t="n"/>
      <c r="D2457" s="17" t="n"/>
      <c r="E2457" s="17" t="n"/>
      <c r="F2457" s="17" t="n"/>
      <c r="G2457" s="17" t="n"/>
      <c r="H2457" s="18">
        <f>IF(AND(B2457="",C2457="",D2457="",E2457=""),"",IF(B2457="","⚠ Falta fecha",IF(C2457="","⚠ Falta monto",IF(D2457="","⚠ Falta categoría",IF(ISNA(MATCH(D2457,catNom,0)),"⚠ Categoría no existe",IF(E2457="","⚠ Falta cuenta",IF(ISNA(MATCH(E2457,ctaNom,0)),"⚠ Cuenta no existe",IF(AND(OR(I2457="Transferencia",I2457="Pago tarjeta"),G2457=""),"⚠ Indica la cuenta «Hacia»",IF(AND(G2457&lt;&gt;"",G2457=E2457),"⚠ «Hacia» igual a la cuenta",IF(AND(G2457&lt;&gt;"",ISNA(MATCH(G2457,ctaNom,0))),"⚠ «Hacia» no existe",IF(AND(I2457="Pago tarjeta",IFERROR(INDEX(ctaTipo,MATCH(G2457,ctaNom,0)),"")&lt;&gt;"Tarjeta de crédito"),"⚠ «Hacia» debe ser la tarjeta",IF(AND(I2457="Trading",IFERROR(INDEX(ctaTipo,MATCH(E2457,ctaNom,0)),"")&lt;&gt;"Cuenta de trading"),"⚠ Usa la cuenta de trading","✓"))))))))))))</f>
        <v/>
      </c>
      <c r="I2457" s="19">
        <f>IF(OR(B2457="",C2457="",D2457=""),"",IFERROR(INDEX(catTipo,MATCH(D2457,catNom,0))&amp;"",""))</f>
        <v/>
      </c>
      <c r="J2457" s="19">
        <f>IF(I2457="","",IFERROR(INDEX(catGrupo,MATCH(D2457,catNom,0))&amp;"",""))</f>
        <v/>
      </c>
      <c r="K2457" s="19">
        <f>IF(I2457="Gasto",IF(IFERROR(INDEX(catClas,MATCH(D2457,catNom,0))&amp;"","")="","Variable",IFERROR(INDEX(catClas,MATCH(D2457,catNom,0))&amp;"","")),"")</f>
        <v/>
      </c>
      <c r="L2457" s="19">
        <f>IF(I2457="","",IFERROR(INDEX(catAlim,MATCH(D2457,catNom,0))&amp;"",""))</f>
        <v/>
      </c>
      <c r="M2457" s="19">
        <f>IF(I2457="","",IFERROR(INDEX(catComida,MATCH(D2457,catNom,0))&amp;"",""))</f>
        <v/>
      </c>
      <c r="N2457" s="19">
        <f>IF(I2457="","",IFERROR(INDEX(ctaMon,MATCH(E2457,ctaNom,0))&amp;"","DOP"))</f>
        <v/>
      </c>
      <c r="O2457" s="20">
        <f>IF(I2457="","",C2457*IF(N2457="USD",TasaUSD,1))</f>
        <v/>
      </c>
      <c r="P2457" s="20">
        <f>IF(I2457="","",IF(I2457="Gasto",O2457,0))</f>
        <v/>
      </c>
      <c r="Q2457" s="20">
        <f>IF(I2457="","",IF(I2457="Ingreso",O2457,0))</f>
        <v/>
      </c>
      <c r="R2457" s="20">
        <f>IF(I2457="","",IF(I2457="Trading",O2457,0))</f>
        <v/>
      </c>
      <c r="S2457" s="19">
        <f>IF(I2457="","",IF(AND(I2457="Gasto",K2457="Variable",J2457&lt;&gt;"Trading",O2457&gt;0,O2457&lt;=Umbral),1,0))</f>
        <v/>
      </c>
      <c r="T2457" s="20">
        <f>IF(OR(I2457="",E2457=""),"",IF(OR(I2457="Gasto",I2457="Transferencia",I2457="Pago tarjeta"),-1,1)*C2457)</f>
        <v/>
      </c>
      <c r="U2457" s="20">
        <f>IF(OR(G2457="",AND(I2457&lt;&gt;"Transferencia",I2457&lt;&gt;"Pago tarjeta")),"",IF(IFERROR(INDEX(ctaMon,MATCH(G2457,ctaNom,0))&amp;"","DOP")=N2457,C2457,IF(N2457="USD",C2457*TasaUSD,C2457/TasaUSD)))</f>
        <v/>
      </c>
      <c r="V2457" s="20">
        <f>IF(I2457="","",IF(IFERROR(INDEX(ctaLiq,MATCH(E2457,ctaNom,0))="Sí",FALSE),IF(OR(I2457="Gasto",I2457="Transferencia",I2457="Pago tarjeta"),-1,1)*O2457,0)+IF(AND(U2457&lt;&gt;"",IFERROR(INDEX(ctaLiq,MATCH(G2457,ctaNom,0))="Sí",FALSE)),O2457,0))</f>
        <v/>
      </c>
      <c r="W2457" s="19">
        <f>IF(OR(F2457="",I2457=""),"",IF(COUNTIFS(F$6:F2457,F2457,I$6:I2457,"?*")=1,MAX(W$5:W2456)+1,""))</f>
        <v/>
      </c>
    </row>
    <row r="2458">
      <c r="B2458" s="15" t="n"/>
      <c r="C2458" s="16" t="n"/>
      <c r="D2458" s="17" t="n"/>
      <c r="E2458" s="17" t="n"/>
      <c r="F2458" s="17" t="n"/>
      <c r="G2458" s="17" t="n"/>
      <c r="H2458" s="18">
        <f>IF(AND(B2458="",C2458="",D2458="",E2458=""),"",IF(B2458="","⚠ Falta fecha",IF(C2458="","⚠ Falta monto",IF(D2458="","⚠ Falta categoría",IF(ISNA(MATCH(D2458,catNom,0)),"⚠ Categoría no existe",IF(E2458="","⚠ Falta cuenta",IF(ISNA(MATCH(E2458,ctaNom,0)),"⚠ Cuenta no existe",IF(AND(OR(I2458="Transferencia",I2458="Pago tarjeta"),G2458=""),"⚠ Indica la cuenta «Hacia»",IF(AND(G2458&lt;&gt;"",G2458=E2458),"⚠ «Hacia» igual a la cuenta",IF(AND(G2458&lt;&gt;"",ISNA(MATCH(G2458,ctaNom,0))),"⚠ «Hacia» no existe",IF(AND(I2458="Pago tarjeta",IFERROR(INDEX(ctaTipo,MATCH(G2458,ctaNom,0)),"")&lt;&gt;"Tarjeta de crédito"),"⚠ «Hacia» debe ser la tarjeta",IF(AND(I2458="Trading",IFERROR(INDEX(ctaTipo,MATCH(E2458,ctaNom,0)),"")&lt;&gt;"Cuenta de trading"),"⚠ Usa la cuenta de trading","✓"))))))))))))</f>
        <v/>
      </c>
      <c r="I2458" s="19">
        <f>IF(OR(B2458="",C2458="",D2458=""),"",IFERROR(INDEX(catTipo,MATCH(D2458,catNom,0))&amp;"",""))</f>
        <v/>
      </c>
      <c r="J2458" s="19">
        <f>IF(I2458="","",IFERROR(INDEX(catGrupo,MATCH(D2458,catNom,0))&amp;"",""))</f>
        <v/>
      </c>
      <c r="K2458" s="19">
        <f>IF(I2458="Gasto",IF(IFERROR(INDEX(catClas,MATCH(D2458,catNom,0))&amp;"","")="","Variable",IFERROR(INDEX(catClas,MATCH(D2458,catNom,0))&amp;"","")),"")</f>
        <v/>
      </c>
      <c r="L2458" s="19">
        <f>IF(I2458="","",IFERROR(INDEX(catAlim,MATCH(D2458,catNom,0))&amp;"",""))</f>
        <v/>
      </c>
      <c r="M2458" s="19">
        <f>IF(I2458="","",IFERROR(INDEX(catComida,MATCH(D2458,catNom,0))&amp;"",""))</f>
        <v/>
      </c>
      <c r="N2458" s="19">
        <f>IF(I2458="","",IFERROR(INDEX(ctaMon,MATCH(E2458,ctaNom,0))&amp;"","DOP"))</f>
        <v/>
      </c>
      <c r="O2458" s="20">
        <f>IF(I2458="","",C2458*IF(N2458="USD",TasaUSD,1))</f>
        <v/>
      </c>
      <c r="P2458" s="20">
        <f>IF(I2458="","",IF(I2458="Gasto",O2458,0))</f>
        <v/>
      </c>
      <c r="Q2458" s="20">
        <f>IF(I2458="","",IF(I2458="Ingreso",O2458,0))</f>
        <v/>
      </c>
      <c r="R2458" s="20">
        <f>IF(I2458="","",IF(I2458="Trading",O2458,0))</f>
        <v/>
      </c>
      <c r="S2458" s="19">
        <f>IF(I2458="","",IF(AND(I2458="Gasto",K2458="Variable",J2458&lt;&gt;"Trading",O2458&gt;0,O2458&lt;=Umbral),1,0))</f>
        <v/>
      </c>
      <c r="T2458" s="20">
        <f>IF(OR(I2458="",E2458=""),"",IF(OR(I2458="Gasto",I2458="Transferencia",I2458="Pago tarjeta"),-1,1)*C2458)</f>
        <v/>
      </c>
      <c r="U2458" s="20">
        <f>IF(OR(G2458="",AND(I2458&lt;&gt;"Transferencia",I2458&lt;&gt;"Pago tarjeta")),"",IF(IFERROR(INDEX(ctaMon,MATCH(G2458,ctaNom,0))&amp;"","DOP")=N2458,C2458,IF(N2458="USD",C2458*TasaUSD,C2458/TasaUSD)))</f>
        <v/>
      </c>
      <c r="V2458" s="20">
        <f>IF(I2458="","",IF(IFERROR(INDEX(ctaLiq,MATCH(E2458,ctaNom,0))="Sí",FALSE),IF(OR(I2458="Gasto",I2458="Transferencia",I2458="Pago tarjeta"),-1,1)*O2458,0)+IF(AND(U2458&lt;&gt;"",IFERROR(INDEX(ctaLiq,MATCH(G2458,ctaNom,0))="Sí",FALSE)),O2458,0))</f>
        <v/>
      </c>
      <c r="W2458" s="19">
        <f>IF(OR(F2458="",I2458=""),"",IF(COUNTIFS(F$6:F2458,F2458,I$6:I2458,"?*")=1,MAX(W$5:W2457)+1,""))</f>
        <v/>
      </c>
    </row>
    <row r="2459">
      <c r="B2459" s="15" t="n"/>
      <c r="C2459" s="16" t="n"/>
      <c r="D2459" s="17" t="n"/>
      <c r="E2459" s="17" t="n"/>
      <c r="F2459" s="17" t="n"/>
      <c r="G2459" s="17" t="n"/>
      <c r="H2459" s="18">
        <f>IF(AND(B2459="",C2459="",D2459="",E2459=""),"",IF(B2459="","⚠ Falta fecha",IF(C2459="","⚠ Falta monto",IF(D2459="","⚠ Falta categoría",IF(ISNA(MATCH(D2459,catNom,0)),"⚠ Categoría no existe",IF(E2459="","⚠ Falta cuenta",IF(ISNA(MATCH(E2459,ctaNom,0)),"⚠ Cuenta no existe",IF(AND(OR(I2459="Transferencia",I2459="Pago tarjeta"),G2459=""),"⚠ Indica la cuenta «Hacia»",IF(AND(G2459&lt;&gt;"",G2459=E2459),"⚠ «Hacia» igual a la cuenta",IF(AND(G2459&lt;&gt;"",ISNA(MATCH(G2459,ctaNom,0))),"⚠ «Hacia» no existe",IF(AND(I2459="Pago tarjeta",IFERROR(INDEX(ctaTipo,MATCH(G2459,ctaNom,0)),"")&lt;&gt;"Tarjeta de crédito"),"⚠ «Hacia» debe ser la tarjeta",IF(AND(I2459="Trading",IFERROR(INDEX(ctaTipo,MATCH(E2459,ctaNom,0)),"")&lt;&gt;"Cuenta de trading"),"⚠ Usa la cuenta de trading","✓"))))))))))))</f>
        <v/>
      </c>
      <c r="I2459" s="19">
        <f>IF(OR(B2459="",C2459="",D2459=""),"",IFERROR(INDEX(catTipo,MATCH(D2459,catNom,0))&amp;"",""))</f>
        <v/>
      </c>
      <c r="J2459" s="19">
        <f>IF(I2459="","",IFERROR(INDEX(catGrupo,MATCH(D2459,catNom,0))&amp;"",""))</f>
        <v/>
      </c>
      <c r="K2459" s="19">
        <f>IF(I2459="Gasto",IF(IFERROR(INDEX(catClas,MATCH(D2459,catNom,0))&amp;"","")="","Variable",IFERROR(INDEX(catClas,MATCH(D2459,catNom,0))&amp;"","")),"")</f>
        <v/>
      </c>
      <c r="L2459" s="19">
        <f>IF(I2459="","",IFERROR(INDEX(catAlim,MATCH(D2459,catNom,0))&amp;"",""))</f>
        <v/>
      </c>
      <c r="M2459" s="19">
        <f>IF(I2459="","",IFERROR(INDEX(catComida,MATCH(D2459,catNom,0))&amp;"",""))</f>
        <v/>
      </c>
      <c r="N2459" s="19">
        <f>IF(I2459="","",IFERROR(INDEX(ctaMon,MATCH(E2459,ctaNom,0))&amp;"","DOP"))</f>
        <v/>
      </c>
      <c r="O2459" s="20">
        <f>IF(I2459="","",C2459*IF(N2459="USD",TasaUSD,1))</f>
        <v/>
      </c>
      <c r="P2459" s="20">
        <f>IF(I2459="","",IF(I2459="Gasto",O2459,0))</f>
        <v/>
      </c>
      <c r="Q2459" s="20">
        <f>IF(I2459="","",IF(I2459="Ingreso",O2459,0))</f>
        <v/>
      </c>
      <c r="R2459" s="20">
        <f>IF(I2459="","",IF(I2459="Trading",O2459,0))</f>
        <v/>
      </c>
      <c r="S2459" s="19">
        <f>IF(I2459="","",IF(AND(I2459="Gasto",K2459="Variable",J2459&lt;&gt;"Trading",O2459&gt;0,O2459&lt;=Umbral),1,0))</f>
        <v/>
      </c>
      <c r="T2459" s="20">
        <f>IF(OR(I2459="",E2459=""),"",IF(OR(I2459="Gasto",I2459="Transferencia",I2459="Pago tarjeta"),-1,1)*C2459)</f>
        <v/>
      </c>
      <c r="U2459" s="20">
        <f>IF(OR(G2459="",AND(I2459&lt;&gt;"Transferencia",I2459&lt;&gt;"Pago tarjeta")),"",IF(IFERROR(INDEX(ctaMon,MATCH(G2459,ctaNom,0))&amp;"","DOP")=N2459,C2459,IF(N2459="USD",C2459*TasaUSD,C2459/TasaUSD)))</f>
        <v/>
      </c>
      <c r="V2459" s="20">
        <f>IF(I2459="","",IF(IFERROR(INDEX(ctaLiq,MATCH(E2459,ctaNom,0))="Sí",FALSE),IF(OR(I2459="Gasto",I2459="Transferencia",I2459="Pago tarjeta"),-1,1)*O2459,0)+IF(AND(U2459&lt;&gt;"",IFERROR(INDEX(ctaLiq,MATCH(G2459,ctaNom,0))="Sí",FALSE)),O2459,0))</f>
        <v/>
      </c>
      <c r="W2459" s="19">
        <f>IF(OR(F2459="",I2459=""),"",IF(COUNTIFS(F$6:F2459,F2459,I$6:I2459,"?*")=1,MAX(W$5:W2458)+1,""))</f>
        <v/>
      </c>
    </row>
    <row r="2460">
      <c r="B2460" s="15" t="n"/>
      <c r="C2460" s="16" t="n"/>
      <c r="D2460" s="17" t="n"/>
      <c r="E2460" s="17" t="n"/>
      <c r="F2460" s="17" t="n"/>
      <c r="G2460" s="17" t="n"/>
      <c r="H2460" s="18">
        <f>IF(AND(B2460="",C2460="",D2460="",E2460=""),"",IF(B2460="","⚠ Falta fecha",IF(C2460="","⚠ Falta monto",IF(D2460="","⚠ Falta categoría",IF(ISNA(MATCH(D2460,catNom,0)),"⚠ Categoría no existe",IF(E2460="","⚠ Falta cuenta",IF(ISNA(MATCH(E2460,ctaNom,0)),"⚠ Cuenta no existe",IF(AND(OR(I2460="Transferencia",I2460="Pago tarjeta"),G2460=""),"⚠ Indica la cuenta «Hacia»",IF(AND(G2460&lt;&gt;"",G2460=E2460),"⚠ «Hacia» igual a la cuenta",IF(AND(G2460&lt;&gt;"",ISNA(MATCH(G2460,ctaNom,0))),"⚠ «Hacia» no existe",IF(AND(I2460="Pago tarjeta",IFERROR(INDEX(ctaTipo,MATCH(G2460,ctaNom,0)),"")&lt;&gt;"Tarjeta de crédito"),"⚠ «Hacia» debe ser la tarjeta",IF(AND(I2460="Trading",IFERROR(INDEX(ctaTipo,MATCH(E2460,ctaNom,0)),"")&lt;&gt;"Cuenta de trading"),"⚠ Usa la cuenta de trading","✓"))))))))))))</f>
        <v/>
      </c>
      <c r="I2460" s="19">
        <f>IF(OR(B2460="",C2460="",D2460=""),"",IFERROR(INDEX(catTipo,MATCH(D2460,catNom,0))&amp;"",""))</f>
        <v/>
      </c>
      <c r="J2460" s="19">
        <f>IF(I2460="","",IFERROR(INDEX(catGrupo,MATCH(D2460,catNom,0))&amp;"",""))</f>
        <v/>
      </c>
      <c r="K2460" s="19">
        <f>IF(I2460="Gasto",IF(IFERROR(INDEX(catClas,MATCH(D2460,catNom,0))&amp;"","")="","Variable",IFERROR(INDEX(catClas,MATCH(D2460,catNom,0))&amp;"","")),"")</f>
        <v/>
      </c>
      <c r="L2460" s="19">
        <f>IF(I2460="","",IFERROR(INDEX(catAlim,MATCH(D2460,catNom,0))&amp;"",""))</f>
        <v/>
      </c>
      <c r="M2460" s="19">
        <f>IF(I2460="","",IFERROR(INDEX(catComida,MATCH(D2460,catNom,0))&amp;"",""))</f>
        <v/>
      </c>
      <c r="N2460" s="19">
        <f>IF(I2460="","",IFERROR(INDEX(ctaMon,MATCH(E2460,ctaNom,0))&amp;"","DOP"))</f>
        <v/>
      </c>
      <c r="O2460" s="20">
        <f>IF(I2460="","",C2460*IF(N2460="USD",TasaUSD,1))</f>
        <v/>
      </c>
      <c r="P2460" s="20">
        <f>IF(I2460="","",IF(I2460="Gasto",O2460,0))</f>
        <v/>
      </c>
      <c r="Q2460" s="20">
        <f>IF(I2460="","",IF(I2460="Ingreso",O2460,0))</f>
        <v/>
      </c>
      <c r="R2460" s="20">
        <f>IF(I2460="","",IF(I2460="Trading",O2460,0))</f>
        <v/>
      </c>
      <c r="S2460" s="19">
        <f>IF(I2460="","",IF(AND(I2460="Gasto",K2460="Variable",J2460&lt;&gt;"Trading",O2460&gt;0,O2460&lt;=Umbral),1,0))</f>
        <v/>
      </c>
      <c r="T2460" s="20">
        <f>IF(OR(I2460="",E2460=""),"",IF(OR(I2460="Gasto",I2460="Transferencia",I2460="Pago tarjeta"),-1,1)*C2460)</f>
        <v/>
      </c>
      <c r="U2460" s="20">
        <f>IF(OR(G2460="",AND(I2460&lt;&gt;"Transferencia",I2460&lt;&gt;"Pago tarjeta")),"",IF(IFERROR(INDEX(ctaMon,MATCH(G2460,ctaNom,0))&amp;"","DOP")=N2460,C2460,IF(N2460="USD",C2460*TasaUSD,C2460/TasaUSD)))</f>
        <v/>
      </c>
      <c r="V2460" s="20">
        <f>IF(I2460="","",IF(IFERROR(INDEX(ctaLiq,MATCH(E2460,ctaNom,0))="Sí",FALSE),IF(OR(I2460="Gasto",I2460="Transferencia",I2460="Pago tarjeta"),-1,1)*O2460,0)+IF(AND(U2460&lt;&gt;"",IFERROR(INDEX(ctaLiq,MATCH(G2460,ctaNom,0))="Sí",FALSE)),O2460,0))</f>
        <v/>
      </c>
      <c r="W2460" s="19">
        <f>IF(OR(F2460="",I2460=""),"",IF(COUNTIFS(F$6:F2460,F2460,I$6:I2460,"?*")=1,MAX(W$5:W2459)+1,""))</f>
        <v/>
      </c>
    </row>
    <row r="2461">
      <c r="B2461" s="15" t="n"/>
      <c r="C2461" s="16" t="n"/>
      <c r="D2461" s="17" t="n"/>
      <c r="E2461" s="17" t="n"/>
      <c r="F2461" s="17" t="n"/>
      <c r="G2461" s="17" t="n"/>
      <c r="H2461" s="18">
        <f>IF(AND(B2461="",C2461="",D2461="",E2461=""),"",IF(B2461="","⚠ Falta fecha",IF(C2461="","⚠ Falta monto",IF(D2461="","⚠ Falta categoría",IF(ISNA(MATCH(D2461,catNom,0)),"⚠ Categoría no existe",IF(E2461="","⚠ Falta cuenta",IF(ISNA(MATCH(E2461,ctaNom,0)),"⚠ Cuenta no existe",IF(AND(OR(I2461="Transferencia",I2461="Pago tarjeta"),G2461=""),"⚠ Indica la cuenta «Hacia»",IF(AND(G2461&lt;&gt;"",G2461=E2461),"⚠ «Hacia» igual a la cuenta",IF(AND(G2461&lt;&gt;"",ISNA(MATCH(G2461,ctaNom,0))),"⚠ «Hacia» no existe",IF(AND(I2461="Pago tarjeta",IFERROR(INDEX(ctaTipo,MATCH(G2461,ctaNom,0)),"")&lt;&gt;"Tarjeta de crédito"),"⚠ «Hacia» debe ser la tarjeta",IF(AND(I2461="Trading",IFERROR(INDEX(ctaTipo,MATCH(E2461,ctaNom,0)),"")&lt;&gt;"Cuenta de trading"),"⚠ Usa la cuenta de trading","✓"))))))))))))</f>
        <v/>
      </c>
      <c r="I2461" s="19">
        <f>IF(OR(B2461="",C2461="",D2461=""),"",IFERROR(INDEX(catTipo,MATCH(D2461,catNom,0))&amp;"",""))</f>
        <v/>
      </c>
      <c r="J2461" s="19">
        <f>IF(I2461="","",IFERROR(INDEX(catGrupo,MATCH(D2461,catNom,0))&amp;"",""))</f>
        <v/>
      </c>
      <c r="K2461" s="19">
        <f>IF(I2461="Gasto",IF(IFERROR(INDEX(catClas,MATCH(D2461,catNom,0))&amp;"","")="","Variable",IFERROR(INDEX(catClas,MATCH(D2461,catNom,0))&amp;"","")),"")</f>
        <v/>
      </c>
      <c r="L2461" s="19">
        <f>IF(I2461="","",IFERROR(INDEX(catAlim,MATCH(D2461,catNom,0))&amp;"",""))</f>
        <v/>
      </c>
      <c r="M2461" s="19">
        <f>IF(I2461="","",IFERROR(INDEX(catComida,MATCH(D2461,catNom,0))&amp;"",""))</f>
        <v/>
      </c>
      <c r="N2461" s="19">
        <f>IF(I2461="","",IFERROR(INDEX(ctaMon,MATCH(E2461,ctaNom,0))&amp;"","DOP"))</f>
        <v/>
      </c>
      <c r="O2461" s="20">
        <f>IF(I2461="","",C2461*IF(N2461="USD",TasaUSD,1))</f>
        <v/>
      </c>
      <c r="P2461" s="20">
        <f>IF(I2461="","",IF(I2461="Gasto",O2461,0))</f>
        <v/>
      </c>
      <c r="Q2461" s="20">
        <f>IF(I2461="","",IF(I2461="Ingreso",O2461,0))</f>
        <v/>
      </c>
      <c r="R2461" s="20">
        <f>IF(I2461="","",IF(I2461="Trading",O2461,0))</f>
        <v/>
      </c>
      <c r="S2461" s="19">
        <f>IF(I2461="","",IF(AND(I2461="Gasto",K2461="Variable",J2461&lt;&gt;"Trading",O2461&gt;0,O2461&lt;=Umbral),1,0))</f>
        <v/>
      </c>
      <c r="T2461" s="20">
        <f>IF(OR(I2461="",E2461=""),"",IF(OR(I2461="Gasto",I2461="Transferencia",I2461="Pago tarjeta"),-1,1)*C2461)</f>
        <v/>
      </c>
      <c r="U2461" s="20">
        <f>IF(OR(G2461="",AND(I2461&lt;&gt;"Transferencia",I2461&lt;&gt;"Pago tarjeta")),"",IF(IFERROR(INDEX(ctaMon,MATCH(G2461,ctaNom,0))&amp;"","DOP")=N2461,C2461,IF(N2461="USD",C2461*TasaUSD,C2461/TasaUSD)))</f>
        <v/>
      </c>
      <c r="V2461" s="20">
        <f>IF(I2461="","",IF(IFERROR(INDEX(ctaLiq,MATCH(E2461,ctaNom,0))="Sí",FALSE),IF(OR(I2461="Gasto",I2461="Transferencia",I2461="Pago tarjeta"),-1,1)*O2461,0)+IF(AND(U2461&lt;&gt;"",IFERROR(INDEX(ctaLiq,MATCH(G2461,ctaNom,0))="Sí",FALSE)),O2461,0))</f>
        <v/>
      </c>
      <c r="W2461" s="19">
        <f>IF(OR(F2461="",I2461=""),"",IF(COUNTIFS(F$6:F2461,F2461,I$6:I2461,"?*")=1,MAX(W$5:W2460)+1,""))</f>
        <v/>
      </c>
    </row>
    <row r="2462">
      <c r="B2462" s="15" t="n"/>
      <c r="C2462" s="16" t="n"/>
      <c r="D2462" s="17" t="n"/>
      <c r="E2462" s="17" t="n"/>
      <c r="F2462" s="17" t="n"/>
      <c r="G2462" s="17" t="n"/>
      <c r="H2462" s="18">
        <f>IF(AND(B2462="",C2462="",D2462="",E2462=""),"",IF(B2462="","⚠ Falta fecha",IF(C2462="","⚠ Falta monto",IF(D2462="","⚠ Falta categoría",IF(ISNA(MATCH(D2462,catNom,0)),"⚠ Categoría no existe",IF(E2462="","⚠ Falta cuenta",IF(ISNA(MATCH(E2462,ctaNom,0)),"⚠ Cuenta no existe",IF(AND(OR(I2462="Transferencia",I2462="Pago tarjeta"),G2462=""),"⚠ Indica la cuenta «Hacia»",IF(AND(G2462&lt;&gt;"",G2462=E2462),"⚠ «Hacia» igual a la cuenta",IF(AND(G2462&lt;&gt;"",ISNA(MATCH(G2462,ctaNom,0))),"⚠ «Hacia» no existe",IF(AND(I2462="Pago tarjeta",IFERROR(INDEX(ctaTipo,MATCH(G2462,ctaNom,0)),"")&lt;&gt;"Tarjeta de crédito"),"⚠ «Hacia» debe ser la tarjeta",IF(AND(I2462="Trading",IFERROR(INDEX(ctaTipo,MATCH(E2462,ctaNom,0)),"")&lt;&gt;"Cuenta de trading"),"⚠ Usa la cuenta de trading","✓"))))))))))))</f>
        <v/>
      </c>
      <c r="I2462" s="19">
        <f>IF(OR(B2462="",C2462="",D2462=""),"",IFERROR(INDEX(catTipo,MATCH(D2462,catNom,0))&amp;"",""))</f>
        <v/>
      </c>
      <c r="J2462" s="19">
        <f>IF(I2462="","",IFERROR(INDEX(catGrupo,MATCH(D2462,catNom,0))&amp;"",""))</f>
        <v/>
      </c>
      <c r="K2462" s="19">
        <f>IF(I2462="Gasto",IF(IFERROR(INDEX(catClas,MATCH(D2462,catNom,0))&amp;"","")="","Variable",IFERROR(INDEX(catClas,MATCH(D2462,catNom,0))&amp;"","")),"")</f>
        <v/>
      </c>
      <c r="L2462" s="19">
        <f>IF(I2462="","",IFERROR(INDEX(catAlim,MATCH(D2462,catNom,0))&amp;"",""))</f>
        <v/>
      </c>
      <c r="M2462" s="19">
        <f>IF(I2462="","",IFERROR(INDEX(catComida,MATCH(D2462,catNom,0))&amp;"",""))</f>
        <v/>
      </c>
      <c r="N2462" s="19">
        <f>IF(I2462="","",IFERROR(INDEX(ctaMon,MATCH(E2462,ctaNom,0))&amp;"","DOP"))</f>
        <v/>
      </c>
      <c r="O2462" s="20">
        <f>IF(I2462="","",C2462*IF(N2462="USD",TasaUSD,1))</f>
        <v/>
      </c>
      <c r="P2462" s="20">
        <f>IF(I2462="","",IF(I2462="Gasto",O2462,0))</f>
        <v/>
      </c>
      <c r="Q2462" s="20">
        <f>IF(I2462="","",IF(I2462="Ingreso",O2462,0))</f>
        <v/>
      </c>
      <c r="R2462" s="20">
        <f>IF(I2462="","",IF(I2462="Trading",O2462,0))</f>
        <v/>
      </c>
      <c r="S2462" s="19">
        <f>IF(I2462="","",IF(AND(I2462="Gasto",K2462="Variable",J2462&lt;&gt;"Trading",O2462&gt;0,O2462&lt;=Umbral),1,0))</f>
        <v/>
      </c>
      <c r="T2462" s="20">
        <f>IF(OR(I2462="",E2462=""),"",IF(OR(I2462="Gasto",I2462="Transferencia",I2462="Pago tarjeta"),-1,1)*C2462)</f>
        <v/>
      </c>
      <c r="U2462" s="20">
        <f>IF(OR(G2462="",AND(I2462&lt;&gt;"Transferencia",I2462&lt;&gt;"Pago tarjeta")),"",IF(IFERROR(INDEX(ctaMon,MATCH(G2462,ctaNom,0))&amp;"","DOP")=N2462,C2462,IF(N2462="USD",C2462*TasaUSD,C2462/TasaUSD)))</f>
        <v/>
      </c>
      <c r="V2462" s="20">
        <f>IF(I2462="","",IF(IFERROR(INDEX(ctaLiq,MATCH(E2462,ctaNom,0))="Sí",FALSE),IF(OR(I2462="Gasto",I2462="Transferencia",I2462="Pago tarjeta"),-1,1)*O2462,0)+IF(AND(U2462&lt;&gt;"",IFERROR(INDEX(ctaLiq,MATCH(G2462,ctaNom,0))="Sí",FALSE)),O2462,0))</f>
        <v/>
      </c>
      <c r="W2462" s="19">
        <f>IF(OR(F2462="",I2462=""),"",IF(COUNTIFS(F$6:F2462,F2462,I$6:I2462,"?*")=1,MAX(W$5:W2461)+1,""))</f>
        <v/>
      </c>
    </row>
    <row r="2463">
      <c r="B2463" s="15" t="n"/>
      <c r="C2463" s="16" t="n"/>
      <c r="D2463" s="17" t="n"/>
      <c r="E2463" s="17" t="n"/>
      <c r="F2463" s="17" t="n"/>
      <c r="G2463" s="17" t="n"/>
      <c r="H2463" s="18">
        <f>IF(AND(B2463="",C2463="",D2463="",E2463=""),"",IF(B2463="","⚠ Falta fecha",IF(C2463="","⚠ Falta monto",IF(D2463="","⚠ Falta categoría",IF(ISNA(MATCH(D2463,catNom,0)),"⚠ Categoría no existe",IF(E2463="","⚠ Falta cuenta",IF(ISNA(MATCH(E2463,ctaNom,0)),"⚠ Cuenta no existe",IF(AND(OR(I2463="Transferencia",I2463="Pago tarjeta"),G2463=""),"⚠ Indica la cuenta «Hacia»",IF(AND(G2463&lt;&gt;"",G2463=E2463),"⚠ «Hacia» igual a la cuenta",IF(AND(G2463&lt;&gt;"",ISNA(MATCH(G2463,ctaNom,0))),"⚠ «Hacia» no existe",IF(AND(I2463="Pago tarjeta",IFERROR(INDEX(ctaTipo,MATCH(G2463,ctaNom,0)),"")&lt;&gt;"Tarjeta de crédito"),"⚠ «Hacia» debe ser la tarjeta",IF(AND(I2463="Trading",IFERROR(INDEX(ctaTipo,MATCH(E2463,ctaNom,0)),"")&lt;&gt;"Cuenta de trading"),"⚠ Usa la cuenta de trading","✓"))))))))))))</f>
        <v/>
      </c>
      <c r="I2463" s="19">
        <f>IF(OR(B2463="",C2463="",D2463=""),"",IFERROR(INDEX(catTipo,MATCH(D2463,catNom,0))&amp;"",""))</f>
        <v/>
      </c>
      <c r="J2463" s="19">
        <f>IF(I2463="","",IFERROR(INDEX(catGrupo,MATCH(D2463,catNom,0))&amp;"",""))</f>
        <v/>
      </c>
      <c r="K2463" s="19">
        <f>IF(I2463="Gasto",IF(IFERROR(INDEX(catClas,MATCH(D2463,catNom,0))&amp;"","")="","Variable",IFERROR(INDEX(catClas,MATCH(D2463,catNom,0))&amp;"","")),"")</f>
        <v/>
      </c>
      <c r="L2463" s="19">
        <f>IF(I2463="","",IFERROR(INDEX(catAlim,MATCH(D2463,catNom,0))&amp;"",""))</f>
        <v/>
      </c>
      <c r="M2463" s="19">
        <f>IF(I2463="","",IFERROR(INDEX(catComida,MATCH(D2463,catNom,0))&amp;"",""))</f>
        <v/>
      </c>
      <c r="N2463" s="19">
        <f>IF(I2463="","",IFERROR(INDEX(ctaMon,MATCH(E2463,ctaNom,0))&amp;"","DOP"))</f>
        <v/>
      </c>
      <c r="O2463" s="20">
        <f>IF(I2463="","",C2463*IF(N2463="USD",TasaUSD,1))</f>
        <v/>
      </c>
      <c r="P2463" s="20">
        <f>IF(I2463="","",IF(I2463="Gasto",O2463,0))</f>
        <v/>
      </c>
      <c r="Q2463" s="20">
        <f>IF(I2463="","",IF(I2463="Ingreso",O2463,0))</f>
        <v/>
      </c>
      <c r="R2463" s="20">
        <f>IF(I2463="","",IF(I2463="Trading",O2463,0))</f>
        <v/>
      </c>
      <c r="S2463" s="19">
        <f>IF(I2463="","",IF(AND(I2463="Gasto",K2463="Variable",J2463&lt;&gt;"Trading",O2463&gt;0,O2463&lt;=Umbral),1,0))</f>
        <v/>
      </c>
      <c r="T2463" s="20">
        <f>IF(OR(I2463="",E2463=""),"",IF(OR(I2463="Gasto",I2463="Transferencia",I2463="Pago tarjeta"),-1,1)*C2463)</f>
        <v/>
      </c>
      <c r="U2463" s="20">
        <f>IF(OR(G2463="",AND(I2463&lt;&gt;"Transferencia",I2463&lt;&gt;"Pago tarjeta")),"",IF(IFERROR(INDEX(ctaMon,MATCH(G2463,ctaNom,0))&amp;"","DOP")=N2463,C2463,IF(N2463="USD",C2463*TasaUSD,C2463/TasaUSD)))</f>
        <v/>
      </c>
      <c r="V2463" s="20">
        <f>IF(I2463="","",IF(IFERROR(INDEX(ctaLiq,MATCH(E2463,ctaNom,0))="Sí",FALSE),IF(OR(I2463="Gasto",I2463="Transferencia",I2463="Pago tarjeta"),-1,1)*O2463,0)+IF(AND(U2463&lt;&gt;"",IFERROR(INDEX(ctaLiq,MATCH(G2463,ctaNom,0))="Sí",FALSE)),O2463,0))</f>
        <v/>
      </c>
      <c r="W2463" s="19">
        <f>IF(OR(F2463="",I2463=""),"",IF(COUNTIFS(F$6:F2463,F2463,I$6:I2463,"?*")=1,MAX(W$5:W2462)+1,""))</f>
        <v/>
      </c>
    </row>
    <row r="2464">
      <c r="B2464" s="15" t="n"/>
      <c r="C2464" s="16" t="n"/>
      <c r="D2464" s="17" t="n"/>
      <c r="E2464" s="17" t="n"/>
      <c r="F2464" s="17" t="n"/>
      <c r="G2464" s="17" t="n"/>
      <c r="H2464" s="18">
        <f>IF(AND(B2464="",C2464="",D2464="",E2464=""),"",IF(B2464="","⚠ Falta fecha",IF(C2464="","⚠ Falta monto",IF(D2464="","⚠ Falta categoría",IF(ISNA(MATCH(D2464,catNom,0)),"⚠ Categoría no existe",IF(E2464="","⚠ Falta cuenta",IF(ISNA(MATCH(E2464,ctaNom,0)),"⚠ Cuenta no existe",IF(AND(OR(I2464="Transferencia",I2464="Pago tarjeta"),G2464=""),"⚠ Indica la cuenta «Hacia»",IF(AND(G2464&lt;&gt;"",G2464=E2464),"⚠ «Hacia» igual a la cuenta",IF(AND(G2464&lt;&gt;"",ISNA(MATCH(G2464,ctaNom,0))),"⚠ «Hacia» no existe",IF(AND(I2464="Pago tarjeta",IFERROR(INDEX(ctaTipo,MATCH(G2464,ctaNom,0)),"")&lt;&gt;"Tarjeta de crédito"),"⚠ «Hacia» debe ser la tarjeta",IF(AND(I2464="Trading",IFERROR(INDEX(ctaTipo,MATCH(E2464,ctaNom,0)),"")&lt;&gt;"Cuenta de trading"),"⚠ Usa la cuenta de trading","✓"))))))))))))</f>
        <v/>
      </c>
      <c r="I2464" s="19">
        <f>IF(OR(B2464="",C2464="",D2464=""),"",IFERROR(INDEX(catTipo,MATCH(D2464,catNom,0))&amp;"",""))</f>
        <v/>
      </c>
      <c r="J2464" s="19">
        <f>IF(I2464="","",IFERROR(INDEX(catGrupo,MATCH(D2464,catNom,0))&amp;"",""))</f>
        <v/>
      </c>
      <c r="K2464" s="19">
        <f>IF(I2464="Gasto",IF(IFERROR(INDEX(catClas,MATCH(D2464,catNom,0))&amp;"","")="","Variable",IFERROR(INDEX(catClas,MATCH(D2464,catNom,0))&amp;"","")),"")</f>
        <v/>
      </c>
      <c r="L2464" s="19">
        <f>IF(I2464="","",IFERROR(INDEX(catAlim,MATCH(D2464,catNom,0))&amp;"",""))</f>
        <v/>
      </c>
      <c r="M2464" s="19">
        <f>IF(I2464="","",IFERROR(INDEX(catComida,MATCH(D2464,catNom,0))&amp;"",""))</f>
        <v/>
      </c>
      <c r="N2464" s="19">
        <f>IF(I2464="","",IFERROR(INDEX(ctaMon,MATCH(E2464,ctaNom,0))&amp;"","DOP"))</f>
        <v/>
      </c>
      <c r="O2464" s="20">
        <f>IF(I2464="","",C2464*IF(N2464="USD",TasaUSD,1))</f>
        <v/>
      </c>
      <c r="P2464" s="20">
        <f>IF(I2464="","",IF(I2464="Gasto",O2464,0))</f>
        <v/>
      </c>
      <c r="Q2464" s="20">
        <f>IF(I2464="","",IF(I2464="Ingreso",O2464,0))</f>
        <v/>
      </c>
      <c r="R2464" s="20">
        <f>IF(I2464="","",IF(I2464="Trading",O2464,0))</f>
        <v/>
      </c>
      <c r="S2464" s="19">
        <f>IF(I2464="","",IF(AND(I2464="Gasto",K2464="Variable",J2464&lt;&gt;"Trading",O2464&gt;0,O2464&lt;=Umbral),1,0))</f>
        <v/>
      </c>
      <c r="T2464" s="20">
        <f>IF(OR(I2464="",E2464=""),"",IF(OR(I2464="Gasto",I2464="Transferencia",I2464="Pago tarjeta"),-1,1)*C2464)</f>
        <v/>
      </c>
      <c r="U2464" s="20">
        <f>IF(OR(G2464="",AND(I2464&lt;&gt;"Transferencia",I2464&lt;&gt;"Pago tarjeta")),"",IF(IFERROR(INDEX(ctaMon,MATCH(G2464,ctaNom,0))&amp;"","DOP")=N2464,C2464,IF(N2464="USD",C2464*TasaUSD,C2464/TasaUSD)))</f>
        <v/>
      </c>
      <c r="V2464" s="20">
        <f>IF(I2464="","",IF(IFERROR(INDEX(ctaLiq,MATCH(E2464,ctaNom,0))="Sí",FALSE),IF(OR(I2464="Gasto",I2464="Transferencia",I2464="Pago tarjeta"),-1,1)*O2464,0)+IF(AND(U2464&lt;&gt;"",IFERROR(INDEX(ctaLiq,MATCH(G2464,ctaNom,0))="Sí",FALSE)),O2464,0))</f>
        <v/>
      </c>
      <c r="W2464" s="19">
        <f>IF(OR(F2464="",I2464=""),"",IF(COUNTIFS(F$6:F2464,F2464,I$6:I2464,"?*")=1,MAX(W$5:W2463)+1,""))</f>
        <v/>
      </c>
    </row>
    <row r="2465">
      <c r="B2465" s="15" t="n"/>
      <c r="C2465" s="16" t="n"/>
      <c r="D2465" s="17" t="n"/>
      <c r="E2465" s="17" t="n"/>
      <c r="F2465" s="17" t="n"/>
      <c r="G2465" s="17" t="n"/>
      <c r="H2465" s="18">
        <f>IF(AND(B2465="",C2465="",D2465="",E2465=""),"",IF(B2465="","⚠ Falta fecha",IF(C2465="","⚠ Falta monto",IF(D2465="","⚠ Falta categoría",IF(ISNA(MATCH(D2465,catNom,0)),"⚠ Categoría no existe",IF(E2465="","⚠ Falta cuenta",IF(ISNA(MATCH(E2465,ctaNom,0)),"⚠ Cuenta no existe",IF(AND(OR(I2465="Transferencia",I2465="Pago tarjeta"),G2465=""),"⚠ Indica la cuenta «Hacia»",IF(AND(G2465&lt;&gt;"",G2465=E2465),"⚠ «Hacia» igual a la cuenta",IF(AND(G2465&lt;&gt;"",ISNA(MATCH(G2465,ctaNom,0))),"⚠ «Hacia» no existe",IF(AND(I2465="Pago tarjeta",IFERROR(INDEX(ctaTipo,MATCH(G2465,ctaNom,0)),"")&lt;&gt;"Tarjeta de crédito"),"⚠ «Hacia» debe ser la tarjeta",IF(AND(I2465="Trading",IFERROR(INDEX(ctaTipo,MATCH(E2465,ctaNom,0)),"")&lt;&gt;"Cuenta de trading"),"⚠ Usa la cuenta de trading","✓"))))))))))))</f>
        <v/>
      </c>
      <c r="I2465" s="19">
        <f>IF(OR(B2465="",C2465="",D2465=""),"",IFERROR(INDEX(catTipo,MATCH(D2465,catNom,0))&amp;"",""))</f>
        <v/>
      </c>
      <c r="J2465" s="19">
        <f>IF(I2465="","",IFERROR(INDEX(catGrupo,MATCH(D2465,catNom,0))&amp;"",""))</f>
        <v/>
      </c>
      <c r="K2465" s="19">
        <f>IF(I2465="Gasto",IF(IFERROR(INDEX(catClas,MATCH(D2465,catNom,0))&amp;"","")="","Variable",IFERROR(INDEX(catClas,MATCH(D2465,catNom,0))&amp;"","")),"")</f>
        <v/>
      </c>
      <c r="L2465" s="19">
        <f>IF(I2465="","",IFERROR(INDEX(catAlim,MATCH(D2465,catNom,0))&amp;"",""))</f>
        <v/>
      </c>
      <c r="M2465" s="19">
        <f>IF(I2465="","",IFERROR(INDEX(catComida,MATCH(D2465,catNom,0))&amp;"",""))</f>
        <v/>
      </c>
      <c r="N2465" s="19">
        <f>IF(I2465="","",IFERROR(INDEX(ctaMon,MATCH(E2465,ctaNom,0))&amp;"","DOP"))</f>
        <v/>
      </c>
      <c r="O2465" s="20">
        <f>IF(I2465="","",C2465*IF(N2465="USD",TasaUSD,1))</f>
        <v/>
      </c>
      <c r="P2465" s="20">
        <f>IF(I2465="","",IF(I2465="Gasto",O2465,0))</f>
        <v/>
      </c>
      <c r="Q2465" s="20">
        <f>IF(I2465="","",IF(I2465="Ingreso",O2465,0))</f>
        <v/>
      </c>
      <c r="R2465" s="20">
        <f>IF(I2465="","",IF(I2465="Trading",O2465,0))</f>
        <v/>
      </c>
      <c r="S2465" s="19">
        <f>IF(I2465="","",IF(AND(I2465="Gasto",K2465="Variable",J2465&lt;&gt;"Trading",O2465&gt;0,O2465&lt;=Umbral),1,0))</f>
        <v/>
      </c>
      <c r="T2465" s="20">
        <f>IF(OR(I2465="",E2465=""),"",IF(OR(I2465="Gasto",I2465="Transferencia",I2465="Pago tarjeta"),-1,1)*C2465)</f>
        <v/>
      </c>
      <c r="U2465" s="20">
        <f>IF(OR(G2465="",AND(I2465&lt;&gt;"Transferencia",I2465&lt;&gt;"Pago tarjeta")),"",IF(IFERROR(INDEX(ctaMon,MATCH(G2465,ctaNom,0))&amp;"","DOP")=N2465,C2465,IF(N2465="USD",C2465*TasaUSD,C2465/TasaUSD)))</f>
        <v/>
      </c>
      <c r="V2465" s="20">
        <f>IF(I2465="","",IF(IFERROR(INDEX(ctaLiq,MATCH(E2465,ctaNom,0))="Sí",FALSE),IF(OR(I2465="Gasto",I2465="Transferencia",I2465="Pago tarjeta"),-1,1)*O2465,0)+IF(AND(U2465&lt;&gt;"",IFERROR(INDEX(ctaLiq,MATCH(G2465,ctaNom,0))="Sí",FALSE)),O2465,0))</f>
        <v/>
      </c>
      <c r="W2465" s="19">
        <f>IF(OR(F2465="",I2465=""),"",IF(COUNTIFS(F$6:F2465,F2465,I$6:I2465,"?*")=1,MAX(W$5:W2464)+1,""))</f>
        <v/>
      </c>
    </row>
    <row r="2466">
      <c r="B2466" s="15" t="n"/>
      <c r="C2466" s="16" t="n"/>
      <c r="D2466" s="17" t="n"/>
      <c r="E2466" s="17" t="n"/>
      <c r="F2466" s="17" t="n"/>
      <c r="G2466" s="17" t="n"/>
      <c r="H2466" s="18">
        <f>IF(AND(B2466="",C2466="",D2466="",E2466=""),"",IF(B2466="","⚠ Falta fecha",IF(C2466="","⚠ Falta monto",IF(D2466="","⚠ Falta categoría",IF(ISNA(MATCH(D2466,catNom,0)),"⚠ Categoría no existe",IF(E2466="","⚠ Falta cuenta",IF(ISNA(MATCH(E2466,ctaNom,0)),"⚠ Cuenta no existe",IF(AND(OR(I2466="Transferencia",I2466="Pago tarjeta"),G2466=""),"⚠ Indica la cuenta «Hacia»",IF(AND(G2466&lt;&gt;"",G2466=E2466),"⚠ «Hacia» igual a la cuenta",IF(AND(G2466&lt;&gt;"",ISNA(MATCH(G2466,ctaNom,0))),"⚠ «Hacia» no existe",IF(AND(I2466="Pago tarjeta",IFERROR(INDEX(ctaTipo,MATCH(G2466,ctaNom,0)),"")&lt;&gt;"Tarjeta de crédito"),"⚠ «Hacia» debe ser la tarjeta",IF(AND(I2466="Trading",IFERROR(INDEX(ctaTipo,MATCH(E2466,ctaNom,0)),"")&lt;&gt;"Cuenta de trading"),"⚠ Usa la cuenta de trading","✓"))))))))))))</f>
        <v/>
      </c>
      <c r="I2466" s="19">
        <f>IF(OR(B2466="",C2466="",D2466=""),"",IFERROR(INDEX(catTipo,MATCH(D2466,catNom,0))&amp;"",""))</f>
        <v/>
      </c>
      <c r="J2466" s="19">
        <f>IF(I2466="","",IFERROR(INDEX(catGrupo,MATCH(D2466,catNom,0))&amp;"",""))</f>
        <v/>
      </c>
      <c r="K2466" s="19">
        <f>IF(I2466="Gasto",IF(IFERROR(INDEX(catClas,MATCH(D2466,catNom,0))&amp;"","")="","Variable",IFERROR(INDEX(catClas,MATCH(D2466,catNom,0))&amp;"","")),"")</f>
        <v/>
      </c>
      <c r="L2466" s="19">
        <f>IF(I2466="","",IFERROR(INDEX(catAlim,MATCH(D2466,catNom,0))&amp;"",""))</f>
        <v/>
      </c>
      <c r="M2466" s="19">
        <f>IF(I2466="","",IFERROR(INDEX(catComida,MATCH(D2466,catNom,0))&amp;"",""))</f>
        <v/>
      </c>
      <c r="N2466" s="19">
        <f>IF(I2466="","",IFERROR(INDEX(ctaMon,MATCH(E2466,ctaNom,0))&amp;"","DOP"))</f>
        <v/>
      </c>
      <c r="O2466" s="20">
        <f>IF(I2466="","",C2466*IF(N2466="USD",TasaUSD,1))</f>
        <v/>
      </c>
      <c r="P2466" s="20">
        <f>IF(I2466="","",IF(I2466="Gasto",O2466,0))</f>
        <v/>
      </c>
      <c r="Q2466" s="20">
        <f>IF(I2466="","",IF(I2466="Ingreso",O2466,0))</f>
        <v/>
      </c>
      <c r="R2466" s="20">
        <f>IF(I2466="","",IF(I2466="Trading",O2466,0))</f>
        <v/>
      </c>
      <c r="S2466" s="19">
        <f>IF(I2466="","",IF(AND(I2466="Gasto",K2466="Variable",J2466&lt;&gt;"Trading",O2466&gt;0,O2466&lt;=Umbral),1,0))</f>
        <v/>
      </c>
      <c r="T2466" s="20">
        <f>IF(OR(I2466="",E2466=""),"",IF(OR(I2466="Gasto",I2466="Transferencia",I2466="Pago tarjeta"),-1,1)*C2466)</f>
        <v/>
      </c>
      <c r="U2466" s="20">
        <f>IF(OR(G2466="",AND(I2466&lt;&gt;"Transferencia",I2466&lt;&gt;"Pago tarjeta")),"",IF(IFERROR(INDEX(ctaMon,MATCH(G2466,ctaNom,0))&amp;"","DOP")=N2466,C2466,IF(N2466="USD",C2466*TasaUSD,C2466/TasaUSD)))</f>
        <v/>
      </c>
      <c r="V2466" s="20">
        <f>IF(I2466="","",IF(IFERROR(INDEX(ctaLiq,MATCH(E2466,ctaNom,0))="Sí",FALSE),IF(OR(I2466="Gasto",I2466="Transferencia",I2466="Pago tarjeta"),-1,1)*O2466,0)+IF(AND(U2466&lt;&gt;"",IFERROR(INDEX(ctaLiq,MATCH(G2466,ctaNom,0))="Sí",FALSE)),O2466,0))</f>
        <v/>
      </c>
      <c r="W2466" s="19">
        <f>IF(OR(F2466="",I2466=""),"",IF(COUNTIFS(F$6:F2466,F2466,I$6:I2466,"?*")=1,MAX(W$5:W2465)+1,""))</f>
        <v/>
      </c>
    </row>
    <row r="2467">
      <c r="B2467" s="15" t="n"/>
      <c r="C2467" s="16" t="n"/>
      <c r="D2467" s="17" t="n"/>
      <c r="E2467" s="17" t="n"/>
      <c r="F2467" s="17" t="n"/>
      <c r="G2467" s="17" t="n"/>
      <c r="H2467" s="18">
        <f>IF(AND(B2467="",C2467="",D2467="",E2467=""),"",IF(B2467="","⚠ Falta fecha",IF(C2467="","⚠ Falta monto",IF(D2467="","⚠ Falta categoría",IF(ISNA(MATCH(D2467,catNom,0)),"⚠ Categoría no existe",IF(E2467="","⚠ Falta cuenta",IF(ISNA(MATCH(E2467,ctaNom,0)),"⚠ Cuenta no existe",IF(AND(OR(I2467="Transferencia",I2467="Pago tarjeta"),G2467=""),"⚠ Indica la cuenta «Hacia»",IF(AND(G2467&lt;&gt;"",G2467=E2467),"⚠ «Hacia» igual a la cuenta",IF(AND(G2467&lt;&gt;"",ISNA(MATCH(G2467,ctaNom,0))),"⚠ «Hacia» no existe",IF(AND(I2467="Pago tarjeta",IFERROR(INDEX(ctaTipo,MATCH(G2467,ctaNom,0)),"")&lt;&gt;"Tarjeta de crédito"),"⚠ «Hacia» debe ser la tarjeta",IF(AND(I2467="Trading",IFERROR(INDEX(ctaTipo,MATCH(E2467,ctaNom,0)),"")&lt;&gt;"Cuenta de trading"),"⚠ Usa la cuenta de trading","✓"))))))))))))</f>
        <v/>
      </c>
      <c r="I2467" s="19">
        <f>IF(OR(B2467="",C2467="",D2467=""),"",IFERROR(INDEX(catTipo,MATCH(D2467,catNom,0))&amp;"",""))</f>
        <v/>
      </c>
      <c r="J2467" s="19">
        <f>IF(I2467="","",IFERROR(INDEX(catGrupo,MATCH(D2467,catNom,0))&amp;"",""))</f>
        <v/>
      </c>
      <c r="K2467" s="19">
        <f>IF(I2467="Gasto",IF(IFERROR(INDEX(catClas,MATCH(D2467,catNom,0))&amp;"","")="","Variable",IFERROR(INDEX(catClas,MATCH(D2467,catNom,0))&amp;"","")),"")</f>
        <v/>
      </c>
      <c r="L2467" s="19">
        <f>IF(I2467="","",IFERROR(INDEX(catAlim,MATCH(D2467,catNom,0))&amp;"",""))</f>
        <v/>
      </c>
      <c r="M2467" s="19">
        <f>IF(I2467="","",IFERROR(INDEX(catComida,MATCH(D2467,catNom,0))&amp;"",""))</f>
        <v/>
      </c>
      <c r="N2467" s="19">
        <f>IF(I2467="","",IFERROR(INDEX(ctaMon,MATCH(E2467,ctaNom,0))&amp;"","DOP"))</f>
        <v/>
      </c>
      <c r="O2467" s="20">
        <f>IF(I2467="","",C2467*IF(N2467="USD",TasaUSD,1))</f>
        <v/>
      </c>
      <c r="P2467" s="20">
        <f>IF(I2467="","",IF(I2467="Gasto",O2467,0))</f>
        <v/>
      </c>
      <c r="Q2467" s="20">
        <f>IF(I2467="","",IF(I2467="Ingreso",O2467,0))</f>
        <v/>
      </c>
      <c r="R2467" s="20">
        <f>IF(I2467="","",IF(I2467="Trading",O2467,0))</f>
        <v/>
      </c>
      <c r="S2467" s="19">
        <f>IF(I2467="","",IF(AND(I2467="Gasto",K2467="Variable",J2467&lt;&gt;"Trading",O2467&gt;0,O2467&lt;=Umbral),1,0))</f>
        <v/>
      </c>
      <c r="T2467" s="20">
        <f>IF(OR(I2467="",E2467=""),"",IF(OR(I2467="Gasto",I2467="Transferencia",I2467="Pago tarjeta"),-1,1)*C2467)</f>
        <v/>
      </c>
      <c r="U2467" s="20">
        <f>IF(OR(G2467="",AND(I2467&lt;&gt;"Transferencia",I2467&lt;&gt;"Pago tarjeta")),"",IF(IFERROR(INDEX(ctaMon,MATCH(G2467,ctaNom,0))&amp;"","DOP")=N2467,C2467,IF(N2467="USD",C2467*TasaUSD,C2467/TasaUSD)))</f>
        <v/>
      </c>
      <c r="V2467" s="20">
        <f>IF(I2467="","",IF(IFERROR(INDEX(ctaLiq,MATCH(E2467,ctaNom,0))="Sí",FALSE),IF(OR(I2467="Gasto",I2467="Transferencia",I2467="Pago tarjeta"),-1,1)*O2467,0)+IF(AND(U2467&lt;&gt;"",IFERROR(INDEX(ctaLiq,MATCH(G2467,ctaNom,0))="Sí",FALSE)),O2467,0))</f>
        <v/>
      </c>
      <c r="W2467" s="19">
        <f>IF(OR(F2467="",I2467=""),"",IF(COUNTIFS(F$6:F2467,F2467,I$6:I2467,"?*")=1,MAX(W$5:W2466)+1,""))</f>
        <v/>
      </c>
    </row>
    <row r="2468">
      <c r="B2468" s="15" t="n"/>
      <c r="C2468" s="16" t="n"/>
      <c r="D2468" s="17" t="n"/>
      <c r="E2468" s="17" t="n"/>
      <c r="F2468" s="17" t="n"/>
      <c r="G2468" s="17" t="n"/>
      <c r="H2468" s="18">
        <f>IF(AND(B2468="",C2468="",D2468="",E2468=""),"",IF(B2468="","⚠ Falta fecha",IF(C2468="","⚠ Falta monto",IF(D2468="","⚠ Falta categoría",IF(ISNA(MATCH(D2468,catNom,0)),"⚠ Categoría no existe",IF(E2468="","⚠ Falta cuenta",IF(ISNA(MATCH(E2468,ctaNom,0)),"⚠ Cuenta no existe",IF(AND(OR(I2468="Transferencia",I2468="Pago tarjeta"),G2468=""),"⚠ Indica la cuenta «Hacia»",IF(AND(G2468&lt;&gt;"",G2468=E2468),"⚠ «Hacia» igual a la cuenta",IF(AND(G2468&lt;&gt;"",ISNA(MATCH(G2468,ctaNom,0))),"⚠ «Hacia» no existe",IF(AND(I2468="Pago tarjeta",IFERROR(INDEX(ctaTipo,MATCH(G2468,ctaNom,0)),"")&lt;&gt;"Tarjeta de crédito"),"⚠ «Hacia» debe ser la tarjeta",IF(AND(I2468="Trading",IFERROR(INDEX(ctaTipo,MATCH(E2468,ctaNom,0)),"")&lt;&gt;"Cuenta de trading"),"⚠ Usa la cuenta de trading","✓"))))))))))))</f>
        <v/>
      </c>
      <c r="I2468" s="19">
        <f>IF(OR(B2468="",C2468="",D2468=""),"",IFERROR(INDEX(catTipo,MATCH(D2468,catNom,0))&amp;"",""))</f>
        <v/>
      </c>
      <c r="J2468" s="19">
        <f>IF(I2468="","",IFERROR(INDEX(catGrupo,MATCH(D2468,catNom,0))&amp;"",""))</f>
        <v/>
      </c>
      <c r="K2468" s="19">
        <f>IF(I2468="Gasto",IF(IFERROR(INDEX(catClas,MATCH(D2468,catNom,0))&amp;"","")="","Variable",IFERROR(INDEX(catClas,MATCH(D2468,catNom,0))&amp;"","")),"")</f>
        <v/>
      </c>
      <c r="L2468" s="19">
        <f>IF(I2468="","",IFERROR(INDEX(catAlim,MATCH(D2468,catNom,0))&amp;"",""))</f>
        <v/>
      </c>
      <c r="M2468" s="19">
        <f>IF(I2468="","",IFERROR(INDEX(catComida,MATCH(D2468,catNom,0))&amp;"",""))</f>
        <v/>
      </c>
      <c r="N2468" s="19">
        <f>IF(I2468="","",IFERROR(INDEX(ctaMon,MATCH(E2468,ctaNom,0))&amp;"","DOP"))</f>
        <v/>
      </c>
      <c r="O2468" s="20">
        <f>IF(I2468="","",C2468*IF(N2468="USD",TasaUSD,1))</f>
        <v/>
      </c>
      <c r="P2468" s="20">
        <f>IF(I2468="","",IF(I2468="Gasto",O2468,0))</f>
        <v/>
      </c>
      <c r="Q2468" s="20">
        <f>IF(I2468="","",IF(I2468="Ingreso",O2468,0))</f>
        <v/>
      </c>
      <c r="R2468" s="20">
        <f>IF(I2468="","",IF(I2468="Trading",O2468,0))</f>
        <v/>
      </c>
      <c r="S2468" s="19">
        <f>IF(I2468="","",IF(AND(I2468="Gasto",K2468="Variable",J2468&lt;&gt;"Trading",O2468&gt;0,O2468&lt;=Umbral),1,0))</f>
        <v/>
      </c>
      <c r="T2468" s="20">
        <f>IF(OR(I2468="",E2468=""),"",IF(OR(I2468="Gasto",I2468="Transferencia",I2468="Pago tarjeta"),-1,1)*C2468)</f>
        <v/>
      </c>
      <c r="U2468" s="20">
        <f>IF(OR(G2468="",AND(I2468&lt;&gt;"Transferencia",I2468&lt;&gt;"Pago tarjeta")),"",IF(IFERROR(INDEX(ctaMon,MATCH(G2468,ctaNom,0))&amp;"","DOP")=N2468,C2468,IF(N2468="USD",C2468*TasaUSD,C2468/TasaUSD)))</f>
        <v/>
      </c>
      <c r="V2468" s="20">
        <f>IF(I2468="","",IF(IFERROR(INDEX(ctaLiq,MATCH(E2468,ctaNom,0))="Sí",FALSE),IF(OR(I2468="Gasto",I2468="Transferencia",I2468="Pago tarjeta"),-1,1)*O2468,0)+IF(AND(U2468&lt;&gt;"",IFERROR(INDEX(ctaLiq,MATCH(G2468,ctaNom,0))="Sí",FALSE)),O2468,0))</f>
        <v/>
      </c>
      <c r="W2468" s="19">
        <f>IF(OR(F2468="",I2468=""),"",IF(COUNTIFS(F$6:F2468,F2468,I$6:I2468,"?*")=1,MAX(W$5:W2467)+1,""))</f>
        <v/>
      </c>
    </row>
    <row r="2469">
      <c r="B2469" s="15" t="n"/>
      <c r="C2469" s="16" t="n"/>
      <c r="D2469" s="17" t="n"/>
      <c r="E2469" s="17" t="n"/>
      <c r="F2469" s="17" t="n"/>
      <c r="G2469" s="17" t="n"/>
      <c r="H2469" s="18">
        <f>IF(AND(B2469="",C2469="",D2469="",E2469=""),"",IF(B2469="","⚠ Falta fecha",IF(C2469="","⚠ Falta monto",IF(D2469="","⚠ Falta categoría",IF(ISNA(MATCH(D2469,catNom,0)),"⚠ Categoría no existe",IF(E2469="","⚠ Falta cuenta",IF(ISNA(MATCH(E2469,ctaNom,0)),"⚠ Cuenta no existe",IF(AND(OR(I2469="Transferencia",I2469="Pago tarjeta"),G2469=""),"⚠ Indica la cuenta «Hacia»",IF(AND(G2469&lt;&gt;"",G2469=E2469),"⚠ «Hacia» igual a la cuenta",IF(AND(G2469&lt;&gt;"",ISNA(MATCH(G2469,ctaNom,0))),"⚠ «Hacia» no existe",IF(AND(I2469="Pago tarjeta",IFERROR(INDEX(ctaTipo,MATCH(G2469,ctaNom,0)),"")&lt;&gt;"Tarjeta de crédito"),"⚠ «Hacia» debe ser la tarjeta",IF(AND(I2469="Trading",IFERROR(INDEX(ctaTipo,MATCH(E2469,ctaNom,0)),"")&lt;&gt;"Cuenta de trading"),"⚠ Usa la cuenta de trading","✓"))))))))))))</f>
        <v/>
      </c>
      <c r="I2469" s="19">
        <f>IF(OR(B2469="",C2469="",D2469=""),"",IFERROR(INDEX(catTipo,MATCH(D2469,catNom,0))&amp;"",""))</f>
        <v/>
      </c>
      <c r="J2469" s="19">
        <f>IF(I2469="","",IFERROR(INDEX(catGrupo,MATCH(D2469,catNom,0))&amp;"",""))</f>
        <v/>
      </c>
      <c r="K2469" s="19">
        <f>IF(I2469="Gasto",IF(IFERROR(INDEX(catClas,MATCH(D2469,catNom,0))&amp;"","")="","Variable",IFERROR(INDEX(catClas,MATCH(D2469,catNom,0))&amp;"","")),"")</f>
        <v/>
      </c>
      <c r="L2469" s="19">
        <f>IF(I2469="","",IFERROR(INDEX(catAlim,MATCH(D2469,catNom,0))&amp;"",""))</f>
        <v/>
      </c>
      <c r="M2469" s="19">
        <f>IF(I2469="","",IFERROR(INDEX(catComida,MATCH(D2469,catNom,0))&amp;"",""))</f>
        <v/>
      </c>
      <c r="N2469" s="19">
        <f>IF(I2469="","",IFERROR(INDEX(ctaMon,MATCH(E2469,ctaNom,0))&amp;"","DOP"))</f>
        <v/>
      </c>
      <c r="O2469" s="20">
        <f>IF(I2469="","",C2469*IF(N2469="USD",TasaUSD,1))</f>
        <v/>
      </c>
      <c r="P2469" s="20">
        <f>IF(I2469="","",IF(I2469="Gasto",O2469,0))</f>
        <v/>
      </c>
      <c r="Q2469" s="20">
        <f>IF(I2469="","",IF(I2469="Ingreso",O2469,0))</f>
        <v/>
      </c>
      <c r="R2469" s="20">
        <f>IF(I2469="","",IF(I2469="Trading",O2469,0))</f>
        <v/>
      </c>
      <c r="S2469" s="19">
        <f>IF(I2469="","",IF(AND(I2469="Gasto",K2469="Variable",J2469&lt;&gt;"Trading",O2469&gt;0,O2469&lt;=Umbral),1,0))</f>
        <v/>
      </c>
      <c r="T2469" s="20">
        <f>IF(OR(I2469="",E2469=""),"",IF(OR(I2469="Gasto",I2469="Transferencia",I2469="Pago tarjeta"),-1,1)*C2469)</f>
        <v/>
      </c>
      <c r="U2469" s="20">
        <f>IF(OR(G2469="",AND(I2469&lt;&gt;"Transferencia",I2469&lt;&gt;"Pago tarjeta")),"",IF(IFERROR(INDEX(ctaMon,MATCH(G2469,ctaNom,0))&amp;"","DOP")=N2469,C2469,IF(N2469="USD",C2469*TasaUSD,C2469/TasaUSD)))</f>
        <v/>
      </c>
      <c r="V2469" s="20">
        <f>IF(I2469="","",IF(IFERROR(INDEX(ctaLiq,MATCH(E2469,ctaNom,0))="Sí",FALSE),IF(OR(I2469="Gasto",I2469="Transferencia",I2469="Pago tarjeta"),-1,1)*O2469,0)+IF(AND(U2469&lt;&gt;"",IFERROR(INDEX(ctaLiq,MATCH(G2469,ctaNom,0))="Sí",FALSE)),O2469,0))</f>
        <v/>
      </c>
      <c r="W2469" s="19">
        <f>IF(OR(F2469="",I2469=""),"",IF(COUNTIFS(F$6:F2469,F2469,I$6:I2469,"?*")=1,MAX(W$5:W2468)+1,""))</f>
        <v/>
      </c>
    </row>
    <row r="2470">
      <c r="B2470" s="15" t="n"/>
      <c r="C2470" s="16" t="n"/>
      <c r="D2470" s="17" t="n"/>
      <c r="E2470" s="17" t="n"/>
      <c r="F2470" s="17" t="n"/>
      <c r="G2470" s="17" t="n"/>
      <c r="H2470" s="18">
        <f>IF(AND(B2470="",C2470="",D2470="",E2470=""),"",IF(B2470="","⚠ Falta fecha",IF(C2470="","⚠ Falta monto",IF(D2470="","⚠ Falta categoría",IF(ISNA(MATCH(D2470,catNom,0)),"⚠ Categoría no existe",IF(E2470="","⚠ Falta cuenta",IF(ISNA(MATCH(E2470,ctaNom,0)),"⚠ Cuenta no existe",IF(AND(OR(I2470="Transferencia",I2470="Pago tarjeta"),G2470=""),"⚠ Indica la cuenta «Hacia»",IF(AND(G2470&lt;&gt;"",G2470=E2470),"⚠ «Hacia» igual a la cuenta",IF(AND(G2470&lt;&gt;"",ISNA(MATCH(G2470,ctaNom,0))),"⚠ «Hacia» no existe",IF(AND(I2470="Pago tarjeta",IFERROR(INDEX(ctaTipo,MATCH(G2470,ctaNom,0)),"")&lt;&gt;"Tarjeta de crédito"),"⚠ «Hacia» debe ser la tarjeta",IF(AND(I2470="Trading",IFERROR(INDEX(ctaTipo,MATCH(E2470,ctaNom,0)),"")&lt;&gt;"Cuenta de trading"),"⚠ Usa la cuenta de trading","✓"))))))))))))</f>
        <v/>
      </c>
      <c r="I2470" s="19">
        <f>IF(OR(B2470="",C2470="",D2470=""),"",IFERROR(INDEX(catTipo,MATCH(D2470,catNom,0))&amp;"",""))</f>
        <v/>
      </c>
      <c r="J2470" s="19">
        <f>IF(I2470="","",IFERROR(INDEX(catGrupo,MATCH(D2470,catNom,0))&amp;"",""))</f>
        <v/>
      </c>
      <c r="K2470" s="19">
        <f>IF(I2470="Gasto",IF(IFERROR(INDEX(catClas,MATCH(D2470,catNom,0))&amp;"","")="","Variable",IFERROR(INDEX(catClas,MATCH(D2470,catNom,0))&amp;"","")),"")</f>
        <v/>
      </c>
      <c r="L2470" s="19">
        <f>IF(I2470="","",IFERROR(INDEX(catAlim,MATCH(D2470,catNom,0))&amp;"",""))</f>
        <v/>
      </c>
      <c r="M2470" s="19">
        <f>IF(I2470="","",IFERROR(INDEX(catComida,MATCH(D2470,catNom,0))&amp;"",""))</f>
        <v/>
      </c>
      <c r="N2470" s="19">
        <f>IF(I2470="","",IFERROR(INDEX(ctaMon,MATCH(E2470,ctaNom,0))&amp;"","DOP"))</f>
        <v/>
      </c>
      <c r="O2470" s="20">
        <f>IF(I2470="","",C2470*IF(N2470="USD",TasaUSD,1))</f>
        <v/>
      </c>
      <c r="P2470" s="20">
        <f>IF(I2470="","",IF(I2470="Gasto",O2470,0))</f>
        <v/>
      </c>
      <c r="Q2470" s="20">
        <f>IF(I2470="","",IF(I2470="Ingreso",O2470,0))</f>
        <v/>
      </c>
      <c r="R2470" s="20">
        <f>IF(I2470="","",IF(I2470="Trading",O2470,0))</f>
        <v/>
      </c>
      <c r="S2470" s="19">
        <f>IF(I2470="","",IF(AND(I2470="Gasto",K2470="Variable",J2470&lt;&gt;"Trading",O2470&gt;0,O2470&lt;=Umbral),1,0))</f>
        <v/>
      </c>
      <c r="T2470" s="20">
        <f>IF(OR(I2470="",E2470=""),"",IF(OR(I2470="Gasto",I2470="Transferencia",I2470="Pago tarjeta"),-1,1)*C2470)</f>
        <v/>
      </c>
      <c r="U2470" s="20">
        <f>IF(OR(G2470="",AND(I2470&lt;&gt;"Transferencia",I2470&lt;&gt;"Pago tarjeta")),"",IF(IFERROR(INDEX(ctaMon,MATCH(G2470,ctaNom,0))&amp;"","DOP")=N2470,C2470,IF(N2470="USD",C2470*TasaUSD,C2470/TasaUSD)))</f>
        <v/>
      </c>
      <c r="V2470" s="20">
        <f>IF(I2470="","",IF(IFERROR(INDEX(ctaLiq,MATCH(E2470,ctaNom,0))="Sí",FALSE),IF(OR(I2470="Gasto",I2470="Transferencia",I2470="Pago tarjeta"),-1,1)*O2470,0)+IF(AND(U2470&lt;&gt;"",IFERROR(INDEX(ctaLiq,MATCH(G2470,ctaNom,0))="Sí",FALSE)),O2470,0))</f>
        <v/>
      </c>
      <c r="W2470" s="19">
        <f>IF(OR(F2470="",I2470=""),"",IF(COUNTIFS(F$6:F2470,F2470,I$6:I2470,"?*")=1,MAX(W$5:W2469)+1,""))</f>
        <v/>
      </c>
    </row>
    <row r="2471">
      <c r="B2471" s="15" t="n"/>
      <c r="C2471" s="16" t="n"/>
      <c r="D2471" s="17" t="n"/>
      <c r="E2471" s="17" t="n"/>
      <c r="F2471" s="17" t="n"/>
      <c r="G2471" s="17" t="n"/>
      <c r="H2471" s="18">
        <f>IF(AND(B2471="",C2471="",D2471="",E2471=""),"",IF(B2471="","⚠ Falta fecha",IF(C2471="","⚠ Falta monto",IF(D2471="","⚠ Falta categoría",IF(ISNA(MATCH(D2471,catNom,0)),"⚠ Categoría no existe",IF(E2471="","⚠ Falta cuenta",IF(ISNA(MATCH(E2471,ctaNom,0)),"⚠ Cuenta no existe",IF(AND(OR(I2471="Transferencia",I2471="Pago tarjeta"),G2471=""),"⚠ Indica la cuenta «Hacia»",IF(AND(G2471&lt;&gt;"",G2471=E2471),"⚠ «Hacia» igual a la cuenta",IF(AND(G2471&lt;&gt;"",ISNA(MATCH(G2471,ctaNom,0))),"⚠ «Hacia» no existe",IF(AND(I2471="Pago tarjeta",IFERROR(INDEX(ctaTipo,MATCH(G2471,ctaNom,0)),"")&lt;&gt;"Tarjeta de crédito"),"⚠ «Hacia» debe ser la tarjeta",IF(AND(I2471="Trading",IFERROR(INDEX(ctaTipo,MATCH(E2471,ctaNom,0)),"")&lt;&gt;"Cuenta de trading"),"⚠ Usa la cuenta de trading","✓"))))))))))))</f>
        <v/>
      </c>
      <c r="I2471" s="19">
        <f>IF(OR(B2471="",C2471="",D2471=""),"",IFERROR(INDEX(catTipo,MATCH(D2471,catNom,0))&amp;"",""))</f>
        <v/>
      </c>
      <c r="J2471" s="19">
        <f>IF(I2471="","",IFERROR(INDEX(catGrupo,MATCH(D2471,catNom,0))&amp;"",""))</f>
        <v/>
      </c>
      <c r="K2471" s="19">
        <f>IF(I2471="Gasto",IF(IFERROR(INDEX(catClas,MATCH(D2471,catNom,0))&amp;"","")="","Variable",IFERROR(INDEX(catClas,MATCH(D2471,catNom,0))&amp;"","")),"")</f>
        <v/>
      </c>
      <c r="L2471" s="19">
        <f>IF(I2471="","",IFERROR(INDEX(catAlim,MATCH(D2471,catNom,0))&amp;"",""))</f>
        <v/>
      </c>
      <c r="M2471" s="19">
        <f>IF(I2471="","",IFERROR(INDEX(catComida,MATCH(D2471,catNom,0))&amp;"",""))</f>
        <v/>
      </c>
      <c r="N2471" s="19">
        <f>IF(I2471="","",IFERROR(INDEX(ctaMon,MATCH(E2471,ctaNom,0))&amp;"","DOP"))</f>
        <v/>
      </c>
      <c r="O2471" s="20">
        <f>IF(I2471="","",C2471*IF(N2471="USD",TasaUSD,1))</f>
        <v/>
      </c>
      <c r="P2471" s="20">
        <f>IF(I2471="","",IF(I2471="Gasto",O2471,0))</f>
        <v/>
      </c>
      <c r="Q2471" s="20">
        <f>IF(I2471="","",IF(I2471="Ingreso",O2471,0))</f>
        <v/>
      </c>
      <c r="R2471" s="20">
        <f>IF(I2471="","",IF(I2471="Trading",O2471,0))</f>
        <v/>
      </c>
      <c r="S2471" s="19">
        <f>IF(I2471="","",IF(AND(I2471="Gasto",K2471="Variable",J2471&lt;&gt;"Trading",O2471&gt;0,O2471&lt;=Umbral),1,0))</f>
        <v/>
      </c>
      <c r="T2471" s="20">
        <f>IF(OR(I2471="",E2471=""),"",IF(OR(I2471="Gasto",I2471="Transferencia",I2471="Pago tarjeta"),-1,1)*C2471)</f>
        <v/>
      </c>
      <c r="U2471" s="20">
        <f>IF(OR(G2471="",AND(I2471&lt;&gt;"Transferencia",I2471&lt;&gt;"Pago tarjeta")),"",IF(IFERROR(INDEX(ctaMon,MATCH(G2471,ctaNom,0))&amp;"","DOP")=N2471,C2471,IF(N2471="USD",C2471*TasaUSD,C2471/TasaUSD)))</f>
        <v/>
      </c>
      <c r="V2471" s="20">
        <f>IF(I2471="","",IF(IFERROR(INDEX(ctaLiq,MATCH(E2471,ctaNom,0))="Sí",FALSE),IF(OR(I2471="Gasto",I2471="Transferencia",I2471="Pago tarjeta"),-1,1)*O2471,0)+IF(AND(U2471&lt;&gt;"",IFERROR(INDEX(ctaLiq,MATCH(G2471,ctaNom,0))="Sí",FALSE)),O2471,0))</f>
        <v/>
      </c>
      <c r="W2471" s="19">
        <f>IF(OR(F2471="",I2471=""),"",IF(COUNTIFS(F$6:F2471,F2471,I$6:I2471,"?*")=1,MAX(W$5:W2470)+1,""))</f>
        <v/>
      </c>
    </row>
    <row r="2472">
      <c r="B2472" s="15" t="n"/>
      <c r="C2472" s="16" t="n"/>
      <c r="D2472" s="17" t="n"/>
      <c r="E2472" s="17" t="n"/>
      <c r="F2472" s="17" t="n"/>
      <c r="G2472" s="17" t="n"/>
      <c r="H2472" s="18">
        <f>IF(AND(B2472="",C2472="",D2472="",E2472=""),"",IF(B2472="","⚠ Falta fecha",IF(C2472="","⚠ Falta monto",IF(D2472="","⚠ Falta categoría",IF(ISNA(MATCH(D2472,catNom,0)),"⚠ Categoría no existe",IF(E2472="","⚠ Falta cuenta",IF(ISNA(MATCH(E2472,ctaNom,0)),"⚠ Cuenta no existe",IF(AND(OR(I2472="Transferencia",I2472="Pago tarjeta"),G2472=""),"⚠ Indica la cuenta «Hacia»",IF(AND(G2472&lt;&gt;"",G2472=E2472),"⚠ «Hacia» igual a la cuenta",IF(AND(G2472&lt;&gt;"",ISNA(MATCH(G2472,ctaNom,0))),"⚠ «Hacia» no existe",IF(AND(I2472="Pago tarjeta",IFERROR(INDEX(ctaTipo,MATCH(G2472,ctaNom,0)),"")&lt;&gt;"Tarjeta de crédito"),"⚠ «Hacia» debe ser la tarjeta",IF(AND(I2472="Trading",IFERROR(INDEX(ctaTipo,MATCH(E2472,ctaNom,0)),"")&lt;&gt;"Cuenta de trading"),"⚠ Usa la cuenta de trading","✓"))))))))))))</f>
        <v/>
      </c>
      <c r="I2472" s="19">
        <f>IF(OR(B2472="",C2472="",D2472=""),"",IFERROR(INDEX(catTipo,MATCH(D2472,catNom,0))&amp;"",""))</f>
        <v/>
      </c>
      <c r="J2472" s="19">
        <f>IF(I2472="","",IFERROR(INDEX(catGrupo,MATCH(D2472,catNom,0))&amp;"",""))</f>
        <v/>
      </c>
      <c r="K2472" s="19">
        <f>IF(I2472="Gasto",IF(IFERROR(INDEX(catClas,MATCH(D2472,catNom,0))&amp;"","")="","Variable",IFERROR(INDEX(catClas,MATCH(D2472,catNom,0))&amp;"","")),"")</f>
        <v/>
      </c>
      <c r="L2472" s="19">
        <f>IF(I2472="","",IFERROR(INDEX(catAlim,MATCH(D2472,catNom,0))&amp;"",""))</f>
        <v/>
      </c>
      <c r="M2472" s="19">
        <f>IF(I2472="","",IFERROR(INDEX(catComida,MATCH(D2472,catNom,0))&amp;"",""))</f>
        <v/>
      </c>
      <c r="N2472" s="19">
        <f>IF(I2472="","",IFERROR(INDEX(ctaMon,MATCH(E2472,ctaNom,0))&amp;"","DOP"))</f>
        <v/>
      </c>
      <c r="O2472" s="20">
        <f>IF(I2472="","",C2472*IF(N2472="USD",TasaUSD,1))</f>
        <v/>
      </c>
      <c r="P2472" s="20">
        <f>IF(I2472="","",IF(I2472="Gasto",O2472,0))</f>
        <v/>
      </c>
      <c r="Q2472" s="20">
        <f>IF(I2472="","",IF(I2472="Ingreso",O2472,0))</f>
        <v/>
      </c>
      <c r="R2472" s="20">
        <f>IF(I2472="","",IF(I2472="Trading",O2472,0))</f>
        <v/>
      </c>
      <c r="S2472" s="19">
        <f>IF(I2472="","",IF(AND(I2472="Gasto",K2472="Variable",J2472&lt;&gt;"Trading",O2472&gt;0,O2472&lt;=Umbral),1,0))</f>
        <v/>
      </c>
      <c r="T2472" s="20">
        <f>IF(OR(I2472="",E2472=""),"",IF(OR(I2472="Gasto",I2472="Transferencia",I2472="Pago tarjeta"),-1,1)*C2472)</f>
        <v/>
      </c>
      <c r="U2472" s="20">
        <f>IF(OR(G2472="",AND(I2472&lt;&gt;"Transferencia",I2472&lt;&gt;"Pago tarjeta")),"",IF(IFERROR(INDEX(ctaMon,MATCH(G2472,ctaNom,0))&amp;"","DOP")=N2472,C2472,IF(N2472="USD",C2472*TasaUSD,C2472/TasaUSD)))</f>
        <v/>
      </c>
      <c r="V2472" s="20">
        <f>IF(I2472="","",IF(IFERROR(INDEX(ctaLiq,MATCH(E2472,ctaNom,0))="Sí",FALSE),IF(OR(I2472="Gasto",I2472="Transferencia",I2472="Pago tarjeta"),-1,1)*O2472,0)+IF(AND(U2472&lt;&gt;"",IFERROR(INDEX(ctaLiq,MATCH(G2472,ctaNom,0))="Sí",FALSE)),O2472,0))</f>
        <v/>
      </c>
      <c r="W2472" s="19">
        <f>IF(OR(F2472="",I2472=""),"",IF(COUNTIFS(F$6:F2472,F2472,I$6:I2472,"?*")=1,MAX(W$5:W2471)+1,""))</f>
        <v/>
      </c>
    </row>
    <row r="2473">
      <c r="B2473" s="15" t="n"/>
      <c r="C2473" s="16" t="n"/>
      <c r="D2473" s="17" t="n"/>
      <c r="E2473" s="17" t="n"/>
      <c r="F2473" s="17" t="n"/>
      <c r="G2473" s="17" t="n"/>
      <c r="H2473" s="18">
        <f>IF(AND(B2473="",C2473="",D2473="",E2473=""),"",IF(B2473="","⚠ Falta fecha",IF(C2473="","⚠ Falta monto",IF(D2473="","⚠ Falta categoría",IF(ISNA(MATCH(D2473,catNom,0)),"⚠ Categoría no existe",IF(E2473="","⚠ Falta cuenta",IF(ISNA(MATCH(E2473,ctaNom,0)),"⚠ Cuenta no existe",IF(AND(OR(I2473="Transferencia",I2473="Pago tarjeta"),G2473=""),"⚠ Indica la cuenta «Hacia»",IF(AND(G2473&lt;&gt;"",G2473=E2473),"⚠ «Hacia» igual a la cuenta",IF(AND(G2473&lt;&gt;"",ISNA(MATCH(G2473,ctaNom,0))),"⚠ «Hacia» no existe",IF(AND(I2473="Pago tarjeta",IFERROR(INDEX(ctaTipo,MATCH(G2473,ctaNom,0)),"")&lt;&gt;"Tarjeta de crédito"),"⚠ «Hacia» debe ser la tarjeta",IF(AND(I2473="Trading",IFERROR(INDEX(ctaTipo,MATCH(E2473,ctaNom,0)),"")&lt;&gt;"Cuenta de trading"),"⚠ Usa la cuenta de trading","✓"))))))))))))</f>
        <v/>
      </c>
      <c r="I2473" s="19">
        <f>IF(OR(B2473="",C2473="",D2473=""),"",IFERROR(INDEX(catTipo,MATCH(D2473,catNom,0))&amp;"",""))</f>
        <v/>
      </c>
      <c r="J2473" s="19">
        <f>IF(I2473="","",IFERROR(INDEX(catGrupo,MATCH(D2473,catNom,0))&amp;"",""))</f>
        <v/>
      </c>
      <c r="K2473" s="19">
        <f>IF(I2473="Gasto",IF(IFERROR(INDEX(catClas,MATCH(D2473,catNom,0))&amp;"","")="","Variable",IFERROR(INDEX(catClas,MATCH(D2473,catNom,0))&amp;"","")),"")</f>
        <v/>
      </c>
      <c r="L2473" s="19">
        <f>IF(I2473="","",IFERROR(INDEX(catAlim,MATCH(D2473,catNom,0))&amp;"",""))</f>
        <v/>
      </c>
      <c r="M2473" s="19">
        <f>IF(I2473="","",IFERROR(INDEX(catComida,MATCH(D2473,catNom,0))&amp;"",""))</f>
        <v/>
      </c>
      <c r="N2473" s="19">
        <f>IF(I2473="","",IFERROR(INDEX(ctaMon,MATCH(E2473,ctaNom,0))&amp;"","DOP"))</f>
        <v/>
      </c>
      <c r="O2473" s="20">
        <f>IF(I2473="","",C2473*IF(N2473="USD",TasaUSD,1))</f>
        <v/>
      </c>
      <c r="P2473" s="20">
        <f>IF(I2473="","",IF(I2473="Gasto",O2473,0))</f>
        <v/>
      </c>
      <c r="Q2473" s="20">
        <f>IF(I2473="","",IF(I2473="Ingreso",O2473,0))</f>
        <v/>
      </c>
      <c r="R2473" s="20">
        <f>IF(I2473="","",IF(I2473="Trading",O2473,0))</f>
        <v/>
      </c>
      <c r="S2473" s="19">
        <f>IF(I2473="","",IF(AND(I2473="Gasto",K2473="Variable",J2473&lt;&gt;"Trading",O2473&gt;0,O2473&lt;=Umbral),1,0))</f>
        <v/>
      </c>
      <c r="T2473" s="20">
        <f>IF(OR(I2473="",E2473=""),"",IF(OR(I2473="Gasto",I2473="Transferencia",I2473="Pago tarjeta"),-1,1)*C2473)</f>
        <v/>
      </c>
      <c r="U2473" s="20">
        <f>IF(OR(G2473="",AND(I2473&lt;&gt;"Transferencia",I2473&lt;&gt;"Pago tarjeta")),"",IF(IFERROR(INDEX(ctaMon,MATCH(G2473,ctaNom,0))&amp;"","DOP")=N2473,C2473,IF(N2473="USD",C2473*TasaUSD,C2473/TasaUSD)))</f>
        <v/>
      </c>
      <c r="V2473" s="20">
        <f>IF(I2473="","",IF(IFERROR(INDEX(ctaLiq,MATCH(E2473,ctaNom,0))="Sí",FALSE),IF(OR(I2473="Gasto",I2473="Transferencia",I2473="Pago tarjeta"),-1,1)*O2473,0)+IF(AND(U2473&lt;&gt;"",IFERROR(INDEX(ctaLiq,MATCH(G2473,ctaNom,0))="Sí",FALSE)),O2473,0))</f>
        <v/>
      </c>
      <c r="W2473" s="19">
        <f>IF(OR(F2473="",I2473=""),"",IF(COUNTIFS(F$6:F2473,F2473,I$6:I2473,"?*")=1,MAX(W$5:W2472)+1,""))</f>
        <v/>
      </c>
    </row>
    <row r="2474">
      <c r="B2474" s="15" t="n"/>
      <c r="C2474" s="16" t="n"/>
      <c r="D2474" s="17" t="n"/>
      <c r="E2474" s="17" t="n"/>
      <c r="F2474" s="17" t="n"/>
      <c r="G2474" s="17" t="n"/>
      <c r="H2474" s="18">
        <f>IF(AND(B2474="",C2474="",D2474="",E2474=""),"",IF(B2474="","⚠ Falta fecha",IF(C2474="","⚠ Falta monto",IF(D2474="","⚠ Falta categoría",IF(ISNA(MATCH(D2474,catNom,0)),"⚠ Categoría no existe",IF(E2474="","⚠ Falta cuenta",IF(ISNA(MATCH(E2474,ctaNom,0)),"⚠ Cuenta no existe",IF(AND(OR(I2474="Transferencia",I2474="Pago tarjeta"),G2474=""),"⚠ Indica la cuenta «Hacia»",IF(AND(G2474&lt;&gt;"",G2474=E2474),"⚠ «Hacia» igual a la cuenta",IF(AND(G2474&lt;&gt;"",ISNA(MATCH(G2474,ctaNom,0))),"⚠ «Hacia» no existe",IF(AND(I2474="Pago tarjeta",IFERROR(INDEX(ctaTipo,MATCH(G2474,ctaNom,0)),"")&lt;&gt;"Tarjeta de crédito"),"⚠ «Hacia» debe ser la tarjeta",IF(AND(I2474="Trading",IFERROR(INDEX(ctaTipo,MATCH(E2474,ctaNom,0)),"")&lt;&gt;"Cuenta de trading"),"⚠ Usa la cuenta de trading","✓"))))))))))))</f>
        <v/>
      </c>
      <c r="I2474" s="19">
        <f>IF(OR(B2474="",C2474="",D2474=""),"",IFERROR(INDEX(catTipo,MATCH(D2474,catNom,0))&amp;"",""))</f>
        <v/>
      </c>
      <c r="J2474" s="19">
        <f>IF(I2474="","",IFERROR(INDEX(catGrupo,MATCH(D2474,catNom,0))&amp;"",""))</f>
        <v/>
      </c>
      <c r="K2474" s="19">
        <f>IF(I2474="Gasto",IF(IFERROR(INDEX(catClas,MATCH(D2474,catNom,0))&amp;"","")="","Variable",IFERROR(INDEX(catClas,MATCH(D2474,catNom,0))&amp;"","")),"")</f>
        <v/>
      </c>
      <c r="L2474" s="19">
        <f>IF(I2474="","",IFERROR(INDEX(catAlim,MATCH(D2474,catNom,0))&amp;"",""))</f>
        <v/>
      </c>
      <c r="M2474" s="19">
        <f>IF(I2474="","",IFERROR(INDEX(catComida,MATCH(D2474,catNom,0))&amp;"",""))</f>
        <v/>
      </c>
      <c r="N2474" s="19">
        <f>IF(I2474="","",IFERROR(INDEX(ctaMon,MATCH(E2474,ctaNom,0))&amp;"","DOP"))</f>
        <v/>
      </c>
      <c r="O2474" s="20">
        <f>IF(I2474="","",C2474*IF(N2474="USD",TasaUSD,1))</f>
        <v/>
      </c>
      <c r="P2474" s="20">
        <f>IF(I2474="","",IF(I2474="Gasto",O2474,0))</f>
        <v/>
      </c>
      <c r="Q2474" s="20">
        <f>IF(I2474="","",IF(I2474="Ingreso",O2474,0))</f>
        <v/>
      </c>
      <c r="R2474" s="20">
        <f>IF(I2474="","",IF(I2474="Trading",O2474,0))</f>
        <v/>
      </c>
      <c r="S2474" s="19">
        <f>IF(I2474="","",IF(AND(I2474="Gasto",K2474="Variable",J2474&lt;&gt;"Trading",O2474&gt;0,O2474&lt;=Umbral),1,0))</f>
        <v/>
      </c>
      <c r="T2474" s="20">
        <f>IF(OR(I2474="",E2474=""),"",IF(OR(I2474="Gasto",I2474="Transferencia",I2474="Pago tarjeta"),-1,1)*C2474)</f>
        <v/>
      </c>
      <c r="U2474" s="20">
        <f>IF(OR(G2474="",AND(I2474&lt;&gt;"Transferencia",I2474&lt;&gt;"Pago tarjeta")),"",IF(IFERROR(INDEX(ctaMon,MATCH(G2474,ctaNom,0))&amp;"","DOP")=N2474,C2474,IF(N2474="USD",C2474*TasaUSD,C2474/TasaUSD)))</f>
        <v/>
      </c>
      <c r="V2474" s="20">
        <f>IF(I2474="","",IF(IFERROR(INDEX(ctaLiq,MATCH(E2474,ctaNom,0))="Sí",FALSE),IF(OR(I2474="Gasto",I2474="Transferencia",I2474="Pago tarjeta"),-1,1)*O2474,0)+IF(AND(U2474&lt;&gt;"",IFERROR(INDEX(ctaLiq,MATCH(G2474,ctaNom,0))="Sí",FALSE)),O2474,0))</f>
        <v/>
      </c>
      <c r="W2474" s="19">
        <f>IF(OR(F2474="",I2474=""),"",IF(COUNTIFS(F$6:F2474,F2474,I$6:I2474,"?*")=1,MAX(W$5:W2473)+1,""))</f>
        <v/>
      </c>
    </row>
    <row r="2475">
      <c r="B2475" s="15" t="n"/>
      <c r="C2475" s="16" t="n"/>
      <c r="D2475" s="17" t="n"/>
      <c r="E2475" s="17" t="n"/>
      <c r="F2475" s="17" t="n"/>
      <c r="G2475" s="17" t="n"/>
      <c r="H2475" s="18">
        <f>IF(AND(B2475="",C2475="",D2475="",E2475=""),"",IF(B2475="","⚠ Falta fecha",IF(C2475="","⚠ Falta monto",IF(D2475="","⚠ Falta categoría",IF(ISNA(MATCH(D2475,catNom,0)),"⚠ Categoría no existe",IF(E2475="","⚠ Falta cuenta",IF(ISNA(MATCH(E2475,ctaNom,0)),"⚠ Cuenta no existe",IF(AND(OR(I2475="Transferencia",I2475="Pago tarjeta"),G2475=""),"⚠ Indica la cuenta «Hacia»",IF(AND(G2475&lt;&gt;"",G2475=E2475),"⚠ «Hacia» igual a la cuenta",IF(AND(G2475&lt;&gt;"",ISNA(MATCH(G2475,ctaNom,0))),"⚠ «Hacia» no existe",IF(AND(I2475="Pago tarjeta",IFERROR(INDEX(ctaTipo,MATCH(G2475,ctaNom,0)),"")&lt;&gt;"Tarjeta de crédito"),"⚠ «Hacia» debe ser la tarjeta",IF(AND(I2475="Trading",IFERROR(INDEX(ctaTipo,MATCH(E2475,ctaNom,0)),"")&lt;&gt;"Cuenta de trading"),"⚠ Usa la cuenta de trading","✓"))))))))))))</f>
        <v/>
      </c>
      <c r="I2475" s="19">
        <f>IF(OR(B2475="",C2475="",D2475=""),"",IFERROR(INDEX(catTipo,MATCH(D2475,catNom,0))&amp;"",""))</f>
        <v/>
      </c>
      <c r="J2475" s="19">
        <f>IF(I2475="","",IFERROR(INDEX(catGrupo,MATCH(D2475,catNom,0))&amp;"",""))</f>
        <v/>
      </c>
      <c r="K2475" s="19">
        <f>IF(I2475="Gasto",IF(IFERROR(INDEX(catClas,MATCH(D2475,catNom,0))&amp;"","")="","Variable",IFERROR(INDEX(catClas,MATCH(D2475,catNom,0))&amp;"","")),"")</f>
        <v/>
      </c>
      <c r="L2475" s="19">
        <f>IF(I2475="","",IFERROR(INDEX(catAlim,MATCH(D2475,catNom,0))&amp;"",""))</f>
        <v/>
      </c>
      <c r="M2475" s="19">
        <f>IF(I2475="","",IFERROR(INDEX(catComida,MATCH(D2475,catNom,0))&amp;"",""))</f>
        <v/>
      </c>
      <c r="N2475" s="19">
        <f>IF(I2475="","",IFERROR(INDEX(ctaMon,MATCH(E2475,ctaNom,0))&amp;"","DOP"))</f>
        <v/>
      </c>
      <c r="O2475" s="20">
        <f>IF(I2475="","",C2475*IF(N2475="USD",TasaUSD,1))</f>
        <v/>
      </c>
      <c r="P2475" s="20">
        <f>IF(I2475="","",IF(I2475="Gasto",O2475,0))</f>
        <v/>
      </c>
      <c r="Q2475" s="20">
        <f>IF(I2475="","",IF(I2475="Ingreso",O2475,0))</f>
        <v/>
      </c>
      <c r="R2475" s="20">
        <f>IF(I2475="","",IF(I2475="Trading",O2475,0))</f>
        <v/>
      </c>
      <c r="S2475" s="19">
        <f>IF(I2475="","",IF(AND(I2475="Gasto",K2475="Variable",J2475&lt;&gt;"Trading",O2475&gt;0,O2475&lt;=Umbral),1,0))</f>
        <v/>
      </c>
      <c r="T2475" s="20">
        <f>IF(OR(I2475="",E2475=""),"",IF(OR(I2475="Gasto",I2475="Transferencia",I2475="Pago tarjeta"),-1,1)*C2475)</f>
        <v/>
      </c>
      <c r="U2475" s="20">
        <f>IF(OR(G2475="",AND(I2475&lt;&gt;"Transferencia",I2475&lt;&gt;"Pago tarjeta")),"",IF(IFERROR(INDEX(ctaMon,MATCH(G2475,ctaNom,0))&amp;"","DOP")=N2475,C2475,IF(N2475="USD",C2475*TasaUSD,C2475/TasaUSD)))</f>
        <v/>
      </c>
      <c r="V2475" s="20">
        <f>IF(I2475="","",IF(IFERROR(INDEX(ctaLiq,MATCH(E2475,ctaNom,0))="Sí",FALSE),IF(OR(I2475="Gasto",I2475="Transferencia",I2475="Pago tarjeta"),-1,1)*O2475,0)+IF(AND(U2475&lt;&gt;"",IFERROR(INDEX(ctaLiq,MATCH(G2475,ctaNom,0))="Sí",FALSE)),O2475,0))</f>
        <v/>
      </c>
      <c r="W2475" s="19">
        <f>IF(OR(F2475="",I2475=""),"",IF(COUNTIFS(F$6:F2475,F2475,I$6:I2475,"?*")=1,MAX(W$5:W2474)+1,""))</f>
        <v/>
      </c>
    </row>
    <row r="2476">
      <c r="B2476" s="15" t="n"/>
      <c r="C2476" s="16" t="n"/>
      <c r="D2476" s="17" t="n"/>
      <c r="E2476" s="17" t="n"/>
      <c r="F2476" s="17" t="n"/>
      <c r="G2476" s="17" t="n"/>
      <c r="H2476" s="18">
        <f>IF(AND(B2476="",C2476="",D2476="",E2476=""),"",IF(B2476="","⚠ Falta fecha",IF(C2476="","⚠ Falta monto",IF(D2476="","⚠ Falta categoría",IF(ISNA(MATCH(D2476,catNom,0)),"⚠ Categoría no existe",IF(E2476="","⚠ Falta cuenta",IF(ISNA(MATCH(E2476,ctaNom,0)),"⚠ Cuenta no existe",IF(AND(OR(I2476="Transferencia",I2476="Pago tarjeta"),G2476=""),"⚠ Indica la cuenta «Hacia»",IF(AND(G2476&lt;&gt;"",G2476=E2476),"⚠ «Hacia» igual a la cuenta",IF(AND(G2476&lt;&gt;"",ISNA(MATCH(G2476,ctaNom,0))),"⚠ «Hacia» no existe",IF(AND(I2476="Pago tarjeta",IFERROR(INDEX(ctaTipo,MATCH(G2476,ctaNom,0)),"")&lt;&gt;"Tarjeta de crédito"),"⚠ «Hacia» debe ser la tarjeta",IF(AND(I2476="Trading",IFERROR(INDEX(ctaTipo,MATCH(E2476,ctaNom,0)),"")&lt;&gt;"Cuenta de trading"),"⚠ Usa la cuenta de trading","✓"))))))))))))</f>
        <v/>
      </c>
      <c r="I2476" s="19">
        <f>IF(OR(B2476="",C2476="",D2476=""),"",IFERROR(INDEX(catTipo,MATCH(D2476,catNom,0))&amp;"",""))</f>
        <v/>
      </c>
      <c r="J2476" s="19">
        <f>IF(I2476="","",IFERROR(INDEX(catGrupo,MATCH(D2476,catNom,0))&amp;"",""))</f>
        <v/>
      </c>
      <c r="K2476" s="19">
        <f>IF(I2476="Gasto",IF(IFERROR(INDEX(catClas,MATCH(D2476,catNom,0))&amp;"","")="","Variable",IFERROR(INDEX(catClas,MATCH(D2476,catNom,0))&amp;"","")),"")</f>
        <v/>
      </c>
      <c r="L2476" s="19">
        <f>IF(I2476="","",IFERROR(INDEX(catAlim,MATCH(D2476,catNom,0))&amp;"",""))</f>
        <v/>
      </c>
      <c r="M2476" s="19">
        <f>IF(I2476="","",IFERROR(INDEX(catComida,MATCH(D2476,catNom,0))&amp;"",""))</f>
        <v/>
      </c>
      <c r="N2476" s="19">
        <f>IF(I2476="","",IFERROR(INDEX(ctaMon,MATCH(E2476,ctaNom,0))&amp;"","DOP"))</f>
        <v/>
      </c>
      <c r="O2476" s="20">
        <f>IF(I2476="","",C2476*IF(N2476="USD",TasaUSD,1))</f>
        <v/>
      </c>
      <c r="P2476" s="20">
        <f>IF(I2476="","",IF(I2476="Gasto",O2476,0))</f>
        <v/>
      </c>
      <c r="Q2476" s="20">
        <f>IF(I2476="","",IF(I2476="Ingreso",O2476,0))</f>
        <v/>
      </c>
      <c r="R2476" s="20">
        <f>IF(I2476="","",IF(I2476="Trading",O2476,0))</f>
        <v/>
      </c>
      <c r="S2476" s="19">
        <f>IF(I2476="","",IF(AND(I2476="Gasto",K2476="Variable",J2476&lt;&gt;"Trading",O2476&gt;0,O2476&lt;=Umbral),1,0))</f>
        <v/>
      </c>
      <c r="T2476" s="20">
        <f>IF(OR(I2476="",E2476=""),"",IF(OR(I2476="Gasto",I2476="Transferencia",I2476="Pago tarjeta"),-1,1)*C2476)</f>
        <v/>
      </c>
      <c r="U2476" s="20">
        <f>IF(OR(G2476="",AND(I2476&lt;&gt;"Transferencia",I2476&lt;&gt;"Pago tarjeta")),"",IF(IFERROR(INDEX(ctaMon,MATCH(G2476,ctaNom,0))&amp;"","DOP")=N2476,C2476,IF(N2476="USD",C2476*TasaUSD,C2476/TasaUSD)))</f>
        <v/>
      </c>
      <c r="V2476" s="20">
        <f>IF(I2476="","",IF(IFERROR(INDEX(ctaLiq,MATCH(E2476,ctaNom,0))="Sí",FALSE),IF(OR(I2476="Gasto",I2476="Transferencia",I2476="Pago tarjeta"),-1,1)*O2476,0)+IF(AND(U2476&lt;&gt;"",IFERROR(INDEX(ctaLiq,MATCH(G2476,ctaNom,0))="Sí",FALSE)),O2476,0))</f>
        <v/>
      </c>
      <c r="W2476" s="19">
        <f>IF(OR(F2476="",I2476=""),"",IF(COUNTIFS(F$6:F2476,F2476,I$6:I2476,"?*")=1,MAX(W$5:W2475)+1,""))</f>
        <v/>
      </c>
    </row>
    <row r="2477">
      <c r="B2477" s="15" t="n"/>
      <c r="C2477" s="16" t="n"/>
      <c r="D2477" s="17" t="n"/>
      <c r="E2477" s="17" t="n"/>
      <c r="F2477" s="17" t="n"/>
      <c r="G2477" s="17" t="n"/>
      <c r="H2477" s="18">
        <f>IF(AND(B2477="",C2477="",D2477="",E2477=""),"",IF(B2477="","⚠ Falta fecha",IF(C2477="","⚠ Falta monto",IF(D2477="","⚠ Falta categoría",IF(ISNA(MATCH(D2477,catNom,0)),"⚠ Categoría no existe",IF(E2477="","⚠ Falta cuenta",IF(ISNA(MATCH(E2477,ctaNom,0)),"⚠ Cuenta no existe",IF(AND(OR(I2477="Transferencia",I2477="Pago tarjeta"),G2477=""),"⚠ Indica la cuenta «Hacia»",IF(AND(G2477&lt;&gt;"",G2477=E2477),"⚠ «Hacia» igual a la cuenta",IF(AND(G2477&lt;&gt;"",ISNA(MATCH(G2477,ctaNom,0))),"⚠ «Hacia» no existe",IF(AND(I2477="Pago tarjeta",IFERROR(INDEX(ctaTipo,MATCH(G2477,ctaNom,0)),"")&lt;&gt;"Tarjeta de crédito"),"⚠ «Hacia» debe ser la tarjeta",IF(AND(I2477="Trading",IFERROR(INDEX(ctaTipo,MATCH(E2477,ctaNom,0)),"")&lt;&gt;"Cuenta de trading"),"⚠ Usa la cuenta de trading","✓"))))))))))))</f>
        <v/>
      </c>
      <c r="I2477" s="19">
        <f>IF(OR(B2477="",C2477="",D2477=""),"",IFERROR(INDEX(catTipo,MATCH(D2477,catNom,0))&amp;"",""))</f>
        <v/>
      </c>
      <c r="J2477" s="19">
        <f>IF(I2477="","",IFERROR(INDEX(catGrupo,MATCH(D2477,catNom,0))&amp;"",""))</f>
        <v/>
      </c>
      <c r="K2477" s="19">
        <f>IF(I2477="Gasto",IF(IFERROR(INDEX(catClas,MATCH(D2477,catNom,0))&amp;"","")="","Variable",IFERROR(INDEX(catClas,MATCH(D2477,catNom,0))&amp;"","")),"")</f>
        <v/>
      </c>
      <c r="L2477" s="19">
        <f>IF(I2477="","",IFERROR(INDEX(catAlim,MATCH(D2477,catNom,0))&amp;"",""))</f>
        <v/>
      </c>
      <c r="M2477" s="19">
        <f>IF(I2477="","",IFERROR(INDEX(catComida,MATCH(D2477,catNom,0))&amp;"",""))</f>
        <v/>
      </c>
      <c r="N2477" s="19">
        <f>IF(I2477="","",IFERROR(INDEX(ctaMon,MATCH(E2477,ctaNom,0))&amp;"","DOP"))</f>
        <v/>
      </c>
      <c r="O2477" s="20">
        <f>IF(I2477="","",C2477*IF(N2477="USD",TasaUSD,1))</f>
        <v/>
      </c>
      <c r="P2477" s="20">
        <f>IF(I2477="","",IF(I2477="Gasto",O2477,0))</f>
        <v/>
      </c>
      <c r="Q2477" s="20">
        <f>IF(I2477="","",IF(I2477="Ingreso",O2477,0))</f>
        <v/>
      </c>
      <c r="R2477" s="20">
        <f>IF(I2477="","",IF(I2477="Trading",O2477,0))</f>
        <v/>
      </c>
      <c r="S2477" s="19">
        <f>IF(I2477="","",IF(AND(I2477="Gasto",K2477="Variable",J2477&lt;&gt;"Trading",O2477&gt;0,O2477&lt;=Umbral),1,0))</f>
        <v/>
      </c>
      <c r="T2477" s="20">
        <f>IF(OR(I2477="",E2477=""),"",IF(OR(I2477="Gasto",I2477="Transferencia",I2477="Pago tarjeta"),-1,1)*C2477)</f>
        <v/>
      </c>
      <c r="U2477" s="20">
        <f>IF(OR(G2477="",AND(I2477&lt;&gt;"Transferencia",I2477&lt;&gt;"Pago tarjeta")),"",IF(IFERROR(INDEX(ctaMon,MATCH(G2477,ctaNom,0))&amp;"","DOP")=N2477,C2477,IF(N2477="USD",C2477*TasaUSD,C2477/TasaUSD)))</f>
        <v/>
      </c>
      <c r="V2477" s="20">
        <f>IF(I2477="","",IF(IFERROR(INDEX(ctaLiq,MATCH(E2477,ctaNom,0))="Sí",FALSE),IF(OR(I2477="Gasto",I2477="Transferencia",I2477="Pago tarjeta"),-1,1)*O2477,0)+IF(AND(U2477&lt;&gt;"",IFERROR(INDEX(ctaLiq,MATCH(G2477,ctaNom,0))="Sí",FALSE)),O2477,0))</f>
        <v/>
      </c>
      <c r="W2477" s="19">
        <f>IF(OR(F2477="",I2477=""),"",IF(COUNTIFS(F$6:F2477,F2477,I$6:I2477,"?*")=1,MAX(W$5:W2476)+1,""))</f>
        <v/>
      </c>
    </row>
    <row r="2478">
      <c r="B2478" s="15" t="n"/>
      <c r="C2478" s="16" t="n"/>
      <c r="D2478" s="17" t="n"/>
      <c r="E2478" s="17" t="n"/>
      <c r="F2478" s="17" t="n"/>
      <c r="G2478" s="17" t="n"/>
      <c r="H2478" s="18">
        <f>IF(AND(B2478="",C2478="",D2478="",E2478=""),"",IF(B2478="","⚠ Falta fecha",IF(C2478="","⚠ Falta monto",IF(D2478="","⚠ Falta categoría",IF(ISNA(MATCH(D2478,catNom,0)),"⚠ Categoría no existe",IF(E2478="","⚠ Falta cuenta",IF(ISNA(MATCH(E2478,ctaNom,0)),"⚠ Cuenta no existe",IF(AND(OR(I2478="Transferencia",I2478="Pago tarjeta"),G2478=""),"⚠ Indica la cuenta «Hacia»",IF(AND(G2478&lt;&gt;"",G2478=E2478),"⚠ «Hacia» igual a la cuenta",IF(AND(G2478&lt;&gt;"",ISNA(MATCH(G2478,ctaNom,0))),"⚠ «Hacia» no existe",IF(AND(I2478="Pago tarjeta",IFERROR(INDEX(ctaTipo,MATCH(G2478,ctaNom,0)),"")&lt;&gt;"Tarjeta de crédito"),"⚠ «Hacia» debe ser la tarjeta",IF(AND(I2478="Trading",IFERROR(INDEX(ctaTipo,MATCH(E2478,ctaNom,0)),"")&lt;&gt;"Cuenta de trading"),"⚠ Usa la cuenta de trading","✓"))))))))))))</f>
        <v/>
      </c>
      <c r="I2478" s="19">
        <f>IF(OR(B2478="",C2478="",D2478=""),"",IFERROR(INDEX(catTipo,MATCH(D2478,catNom,0))&amp;"",""))</f>
        <v/>
      </c>
      <c r="J2478" s="19">
        <f>IF(I2478="","",IFERROR(INDEX(catGrupo,MATCH(D2478,catNom,0))&amp;"",""))</f>
        <v/>
      </c>
      <c r="K2478" s="19">
        <f>IF(I2478="Gasto",IF(IFERROR(INDEX(catClas,MATCH(D2478,catNom,0))&amp;"","")="","Variable",IFERROR(INDEX(catClas,MATCH(D2478,catNom,0))&amp;"","")),"")</f>
        <v/>
      </c>
      <c r="L2478" s="19">
        <f>IF(I2478="","",IFERROR(INDEX(catAlim,MATCH(D2478,catNom,0))&amp;"",""))</f>
        <v/>
      </c>
      <c r="M2478" s="19">
        <f>IF(I2478="","",IFERROR(INDEX(catComida,MATCH(D2478,catNom,0))&amp;"",""))</f>
        <v/>
      </c>
      <c r="N2478" s="19">
        <f>IF(I2478="","",IFERROR(INDEX(ctaMon,MATCH(E2478,ctaNom,0))&amp;"","DOP"))</f>
        <v/>
      </c>
      <c r="O2478" s="20">
        <f>IF(I2478="","",C2478*IF(N2478="USD",TasaUSD,1))</f>
        <v/>
      </c>
      <c r="P2478" s="20">
        <f>IF(I2478="","",IF(I2478="Gasto",O2478,0))</f>
        <v/>
      </c>
      <c r="Q2478" s="20">
        <f>IF(I2478="","",IF(I2478="Ingreso",O2478,0))</f>
        <v/>
      </c>
      <c r="R2478" s="20">
        <f>IF(I2478="","",IF(I2478="Trading",O2478,0))</f>
        <v/>
      </c>
      <c r="S2478" s="19">
        <f>IF(I2478="","",IF(AND(I2478="Gasto",K2478="Variable",J2478&lt;&gt;"Trading",O2478&gt;0,O2478&lt;=Umbral),1,0))</f>
        <v/>
      </c>
      <c r="T2478" s="20">
        <f>IF(OR(I2478="",E2478=""),"",IF(OR(I2478="Gasto",I2478="Transferencia",I2478="Pago tarjeta"),-1,1)*C2478)</f>
        <v/>
      </c>
      <c r="U2478" s="20">
        <f>IF(OR(G2478="",AND(I2478&lt;&gt;"Transferencia",I2478&lt;&gt;"Pago tarjeta")),"",IF(IFERROR(INDEX(ctaMon,MATCH(G2478,ctaNom,0))&amp;"","DOP")=N2478,C2478,IF(N2478="USD",C2478*TasaUSD,C2478/TasaUSD)))</f>
        <v/>
      </c>
      <c r="V2478" s="20">
        <f>IF(I2478="","",IF(IFERROR(INDEX(ctaLiq,MATCH(E2478,ctaNom,0))="Sí",FALSE),IF(OR(I2478="Gasto",I2478="Transferencia",I2478="Pago tarjeta"),-1,1)*O2478,0)+IF(AND(U2478&lt;&gt;"",IFERROR(INDEX(ctaLiq,MATCH(G2478,ctaNom,0))="Sí",FALSE)),O2478,0))</f>
        <v/>
      </c>
      <c r="W2478" s="19">
        <f>IF(OR(F2478="",I2478=""),"",IF(COUNTIFS(F$6:F2478,F2478,I$6:I2478,"?*")=1,MAX(W$5:W2477)+1,""))</f>
        <v/>
      </c>
    </row>
    <row r="2479">
      <c r="B2479" s="15" t="n"/>
      <c r="C2479" s="16" t="n"/>
      <c r="D2479" s="17" t="n"/>
      <c r="E2479" s="17" t="n"/>
      <c r="F2479" s="17" t="n"/>
      <c r="G2479" s="17" t="n"/>
      <c r="H2479" s="18">
        <f>IF(AND(B2479="",C2479="",D2479="",E2479=""),"",IF(B2479="","⚠ Falta fecha",IF(C2479="","⚠ Falta monto",IF(D2479="","⚠ Falta categoría",IF(ISNA(MATCH(D2479,catNom,0)),"⚠ Categoría no existe",IF(E2479="","⚠ Falta cuenta",IF(ISNA(MATCH(E2479,ctaNom,0)),"⚠ Cuenta no existe",IF(AND(OR(I2479="Transferencia",I2479="Pago tarjeta"),G2479=""),"⚠ Indica la cuenta «Hacia»",IF(AND(G2479&lt;&gt;"",G2479=E2479),"⚠ «Hacia» igual a la cuenta",IF(AND(G2479&lt;&gt;"",ISNA(MATCH(G2479,ctaNom,0))),"⚠ «Hacia» no existe",IF(AND(I2479="Pago tarjeta",IFERROR(INDEX(ctaTipo,MATCH(G2479,ctaNom,0)),"")&lt;&gt;"Tarjeta de crédito"),"⚠ «Hacia» debe ser la tarjeta",IF(AND(I2479="Trading",IFERROR(INDEX(ctaTipo,MATCH(E2479,ctaNom,0)),"")&lt;&gt;"Cuenta de trading"),"⚠ Usa la cuenta de trading","✓"))))))))))))</f>
        <v/>
      </c>
      <c r="I2479" s="19">
        <f>IF(OR(B2479="",C2479="",D2479=""),"",IFERROR(INDEX(catTipo,MATCH(D2479,catNom,0))&amp;"",""))</f>
        <v/>
      </c>
      <c r="J2479" s="19">
        <f>IF(I2479="","",IFERROR(INDEX(catGrupo,MATCH(D2479,catNom,0))&amp;"",""))</f>
        <v/>
      </c>
      <c r="K2479" s="19">
        <f>IF(I2479="Gasto",IF(IFERROR(INDEX(catClas,MATCH(D2479,catNom,0))&amp;"","")="","Variable",IFERROR(INDEX(catClas,MATCH(D2479,catNom,0))&amp;"","")),"")</f>
        <v/>
      </c>
      <c r="L2479" s="19">
        <f>IF(I2479="","",IFERROR(INDEX(catAlim,MATCH(D2479,catNom,0))&amp;"",""))</f>
        <v/>
      </c>
      <c r="M2479" s="19">
        <f>IF(I2479="","",IFERROR(INDEX(catComida,MATCH(D2479,catNom,0))&amp;"",""))</f>
        <v/>
      </c>
      <c r="N2479" s="19">
        <f>IF(I2479="","",IFERROR(INDEX(ctaMon,MATCH(E2479,ctaNom,0))&amp;"","DOP"))</f>
        <v/>
      </c>
      <c r="O2479" s="20">
        <f>IF(I2479="","",C2479*IF(N2479="USD",TasaUSD,1))</f>
        <v/>
      </c>
      <c r="P2479" s="20">
        <f>IF(I2479="","",IF(I2479="Gasto",O2479,0))</f>
        <v/>
      </c>
      <c r="Q2479" s="20">
        <f>IF(I2479="","",IF(I2479="Ingreso",O2479,0))</f>
        <v/>
      </c>
      <c r="R2479" s="20">
        <f>IF(I2479="","",IF(I2479="Trading",O2479,0))</f>
        <v/>
      </c>
      <c r="S2479" s="19">
        <f>IF(I2479="","",IF(AND(I2479="Gasto",K2479="Variable",J2479&lt;&gt;"Trading",O2479&gt;0,O2479&lt;=Umbral),1,0))</f>
        <v/>
      </c>
      <c r="T2479" s="20">
        <f>IF(OR(I2479="",E2479=""),"",IF(OR(I2479="Gasto",I2479="Transferencia",I2479="Pago tarjeta"),-1,1)*C2479)</f>
        <v/>
      </c>
      <c r="U2479" s="20">
        <f>IF(OR(G2479="",AND(I2479&lt;&gt;"Transferencia",I2479&lt;&gt;"Pago tarjeta")),"",IF(IFERROR(INDEX(ctaMon,MATCH(G2479,ctaNom,0))&amp;"","DOP")=N2479,C2479,IF(N2479="USD",C2479*TasaUSD,C2479/TasaUSD)))</f>
        <v/>
      </c>
      <c r="V2479" s="20">
        <f>IF(I2479="","",IF(IFERROR(INDEX(ctaLiq,MATCH(E2479,ctaNom,0))="Sí",FALSE),IF(OR(I2479="Gasto",I2479="Transferencia",I2479="Pago tarjeta"),-1,1)*O2479,0)+IF(AND(U2479&lt;&gt;"",IFERROR(INDEX(ctaLiq,MATCH(G2479,ctaNom,0))="Sí",FALSE)),O2479,0))</f>
        <v/>
      </c>
      <c r="W2479" s="19">
        <f>IF(OR(F2479="",I2479=""),"",IF(COUNTIFS(F$6:F2479,F2479,I$6:I2479,"?*")=1,MAX(W$5:W2478)+1,""))</f>
        <v/>
      </c>
    </row>
    <row r="2480">
      <c r="B2480" s="15" t="n"/>
      <c r="C2480" s="16" t="n"/>
      <c r="D2480" s="17" t="n"/>
      <c r="E2480" s="17" t="n"/>
      <c r="F2480" s="17" t="n"/>
      <c r="G2480" s="17" t="n"/>
      <c r="H2480" s="18">
        <f>IF(AND(B2480="",C2480="",D2480="",E2480=""),"",IF(B2480="","⚠ Falta fecha",IF(C2480="","⚠ Falta monto",IF(D2480="","⚠ Falta categoría",IF(ISNA(MATCH(D2480,catNom,0)),"⚠ Categoría no existe",IF(E2480="","⚠ Falta cuenta",IF(ISNA(MATCH(E2480,ctaNom,0)),"⚠ Cuenta no existe",IF(AND(OR(I2480="Transferencia",I2480="Pago tarjeta"),G2480=""),"⚠ Indica la cuenta «Hacia»",IF(AND(G2480&lt;&gt;"",G2480=E2480),"⚠ «Hacia» igual a la cuenta",IF(AND(G2480&lt;&gt;"",ISNA(MATCH(G2480,ctaNom,0))),"⚠ «Hacia» no existe",IF(AND(I2480="Pago tarjeta",IFERROR(INDEX(ctaTipo,MATCH(G2480,ctaNom,0)),"")&lt;&gt;"Tarjeta de crédito"),"⚠ «Hacia» debe ser la tarjeta",IF(AND(I2480="Trading",IFERROR(INDEX(ctaTipo,MATCH(E2480,ctaNom,0)),"")&lt;&gt;"Cuenta de trading"),"⚠ Usa la cuenta de trading","✓"))))))))))))</f>
        <v/>
      </c>
      <c r="I2480" s="19">
        <f>IF(OR(B2480="",C2480="",D2480=""),"",IFERROR(INDEX(catTipo,MATCH(D2480,catNom,0))&amp;"",""))</f>
        <v/>
      </c>
      <c r="J2480" s="19">
        <f>IF(I2480="","",IFERROR(INDEX(catGrupo,MATCH(D2480,catNom,0))&amp;"",""))</f>
        <v/>
      </c>
      <c r="K2480" s="19">
        <f>IF(I2480="Gasto",IF(IFERROR(INDEX(catClas,MATCH(D2480,catNom,0))&amp;"","")="","Variable",IFERROR(INDEX(catClas,MATCH(D2480,catNom,0))&amp;"","")),"")</f>
        <v/>
      </c>
      <c r="L2480" s="19">
        <f>IF(I2480="","",IFERROR(INDEX(catAlim,MATCH(D2480,catNom,0))&amp;"",""))</f>
        <v/>
      </c>
      <c r="M2480" s="19">
        <f>IF(I2480="","",IFERROR(INDEX(catComida,MATCH(D2480,catNom,0))&amp;"",""))</f>
        <v/>
      </c>
      <c r="N2480" s="19">
        <f>IF(I2480="","",IFERROR(INDEX(ctaMon,MATCH(E2480,ctaNom,0))&amp;"","DOP"))</f>
        <v/>
      </c>
      <c r="O2480" s="20">
        <f>IF(I2480="","",C2480*IF(N2480="USD",TasaUSD,1))</f>
        <v/>
      </c>
      <c r="P2480" s="20">
        <f>IF(I2480="","",IF(I2480="Gasto",O2480,0))</f>
        <v/>
      </c>
      <c r="Q2480" s="20">
        <f>IF(I2480="","",IF(I2480="Ingreso",O2480,0))</f>
        <v/>
      </c>
      <c r="R2480" s="20">
        <f>IF(I2480="","",IF(I2480="Trading",O2480,0))</f>
        <v/>
      </c>
      <c r="S2480" s="19">
        <f>IF(I2480="","",IF(AND(I2480="Gasto",K2480="Variable",J2480&lt;&gt;"Trading",O2480&gt;0,O2480&lt;=Umbral),1,0))</f>
        <v/>
      </c>
      <c r="T2480" s="20">
        <f>IF(OR(I2480="",E2480=""),"",IF(OR(I2480="Gasto",I2480="Transferencia",I2480="Pago tarjeta"),-1,1)*C2480)</f>
        <v/>
      </c>
      <c r="U2480" s="20">
        <f>IF(OR(G2480="",AND(I2480&lt;&gt;"Transferencia",I2480&lt;&gt;"Pago tarjeta")),"",IF(IFERROR(INDEX(ctaMon,MATCH(G2480,ctaNom,0))&amp;"","DOP")=N2480,C2480,IF(N2480="USD",C2480*TasaUSD,C2480/TasaUSD)))</f>
        <v/>
      </c>
      <c r="V2480" s="20">
        <f>IF(I2480="","",IF(IFERROR(INDEX(ctaLiq,MATCH(E2480,ctaNom,0))="Sí",FALSE),IF(OR(I2480="Gasto",I2480="Transferencia",I2480="Pago tarjeta"),-1,1)*O2480,0)+IF(AND(U2480&lt;&gt;"",IFERROR(INDEX(ctaLiq,MATCH(G2480,ctaNom,0))="Sí",FALSE)),O2480,0))</f>
        <v/>
      </c>
      <c r="W2480" s="19">
        <f>IF(OR(F2480="",I2480=""),"",IF(COUNTIFS(F$6:F2480,F2480,I$6:I2480,"?*")=1,MAX(W$5:W2479)+1,""))</f>
        <v/>
      </c>
    </row>
    <row r="2481">
      <c r="B2481" s="15" t="n"/>
      <c r="C2481" s="16" t="n"/>
      <c r="D2481" s="17" t="n"/>
      <c r="E2481" s="17" t="n"/>
      <c r="F2481" s="17" t="n"/>
      <c r="G2481" s="17" t="n"/>
      <c r="H2481" s="18">
        <f>IF(AND(B2481="",C2481="",D2481="",E2481=""),"",IF(B2481="","⚠ Falta fecha",IF(C2481="","⚠ Falta monto",IF(D2481="","⚠ Falta categoría",IF(ISNA(MATCH(D2481,catNom,0)),"⚠ Categoría no existe",IF(E2481="","⚠ Falta cuenta",IF(ISNA(MATCH(E2481,ctaNom,0)),"⚠ Cuenta no existe",IF(AND(OR(I2481="Transferencia",I2481="Pago tarjeta"),G2481=""),"⚠ Indica la cuenta «Hacia»",IF(AND(G2481&lt;&gt;"",G2481=E2481),"⚠ «Hacia» igual a la cuenta",IF(AND(G2481&lt;&gt;"",ISNA(MATCH(G2481,ctaNom,0))),"⚠ «Hacia» no existe",IF(AND(I2481="Pago tarjeta",IFERROR(INDEX(ctaTipo,MATCH(G2481,ctaNom,0)),"")&lt;&gt;"Tarjeta de crédito"),"⚠ «Hacia» debe ser la tarjeta",IF(AND(I2481="Trading",IFERROR(INDEX(ctaTipo,MATCH(E2481,ctaNom,0)),"")&lt;&gt;"Cuenta de trading"),"⚠ Usa la cuenta de trading","✓"))))))))))))</f>
        <v/>
      </c>
      <c r="I2481" s="19">
        <f>IF(OR(B2481="",C2481="",D2481=""),"",IFERROR(INDEX(catTipo,MATCH(D2481,catNom,0))&amp;"",""))</f>
        <v/>
      </c>
      <c r="J2481" s="19">
        <f>IF(I2481="","",IFERROR(INDEX(catGrupo,MATCH(D2481,catNom,0))&amp;"",""))</f>
        <v/>
      </c>
      <c r="K2481" s="19">
        <f>IF(I2481="Gasto",IF(IFERROR(INDEX(catClas,MATCH(D2481,catNom,0))&amp;"","")="","Variable",IFERROR(INDEX(catClas,MATCH(D2481,catNom,0))&amp;"","")),"")</f>
        <v/>
      </c>
      <c r="L2481" s="19">
        <f>IF(I2481="","",IFERROR(INDEX(catAlim,MATCH(D2481,catNom,0))&amp;"",""))</f>
        <v/>
      </c>
      <c r="M2481" s="19">
        <f>IF(I2481="","",IFERROR(INDEX(catComida,MATCH(D2481,catNom,0))&amp;"",""))</f>
        <v/>
      </c>
      <c r="N2481" s="19">
        <f>IF(I2481="","",IFERROR(INDEX(ctaMon,MATCH(E2481,ctaNom,0))&amp;"","DOP"))</f>
        <v/>
      </c>
      <c r="O2481" s="20">
        <f>IF(I2481="","",C2481*IF(N2481="USD",TasaUSD,1))</f>
        <v/>
      </c>
      <c r="P2481" s="20">
        <f>IF(I2481="","",IF(I2481="Gasto",O2481,0))</f>
        <v/>
      </c>
      <c r="Q2481" s="20">
        <f>IF(I2481="","",IF(I2481="Ingreso",O2481,0))</f>
        <v/>
      </c>
      <c r="R2481" s="20">
        <f>IF(I2481="","",IF(I2481="Trading",O2481,0))</f>
        <v/>
      </c>
      <c r="S2481" s="19">
        <f>IF(I2481="","",IF(AND(I2481="Gasto",K2481="Variable",J2481&lt;&gt;"Trading",O2481&gt;0,O2481&lt;=Umbral),1,0))</f>
        <v/>
      </c>
      <c r="T2481" s="20">
        <f>IF(OR(I2481="",E2481=""),"",IF(OR(I2481="Gasto",I2481="Transferencia",I2481="Pago tarjeta"),-1,1)*C2481)</f>
        <v/>
      </c>
      <c r="U2481" s="20">
        <f>IF(OR(G2481="",AND(I2481&lt;&gt;"Transferencia",I2481&lt;&gt;"Pago tarjeta")),"",IF(IFERROR(INDEX(ctaMon,MATCH(G2481,ctaNom,0))&amp;"","DOP")=N2481,C2481,IF(N2481="USD",C2481*TasaUSD,C2481/TasaUSD)))</f>
        <v/>
      </c>
      <c r="V2481" s="20">
        <f>IF(I2481="","",IF(IFERROR(INDEX(ctaLiq,MATCH(E2481,ctaNom,0))="Sí",FALSE),IF(OR(I2481="Gasto",I2481="Transferencia",I2481="Pago tarjeta"),-1,1)*O2481,0)+IF(AND(U2481&lt;&gt;"",IFERROR(INDEX(ctaLiq,MATCH(G2481,ctaNom,0))="Sí",FALSE)),O2481,0))</f>
        <v/>
      </c>
      <c r="W2481" s="19">
        <f>IF(OR(F2481="",I2481=""),"",IF(COUNTIFS(F$6:F2481,F2481,I$6:I2481,"?*")=1,MAX(W$5:W2480)+1,""))</f>
        <v/>
      </c>
    </row>
    <row r="2482">
      <c r="B2482" s="15" t="n"/>
      <c r="C2482" s="16" t="n"/>
      <c r="D2482" s="17" t="n"/>
      <c r="E2482" s="17" t="n"/>
      <c r="F2482" s="17" t="n"/>
      <c r="G2482" s="17" t="n"/>
      <c r="H2482" s="18">
        <f>IF(AND(B2482="",C2482="",D2482="",E2482=""),"",IF(B2482="","⚠ Falta fecha",IF(C2482="","⚠ Falta monto",IF(D2482="","⚠ Falta categoría",IF(ISNA(MATCH(D2482,catNom,0)),"⚠ Categoría no existe",IF(E2482="","⚠ Falta cuenta",IF(ISNA(MATCH(E2482,ctaNom,0)),"⚠ Cuenta no existe",IF(AND(OR(I2482="Transferencia",I2482="Pago tarjeta"),G2482=""),"⚠ Indica la cuenta «Hacia»",IF(AND(G2482&lt;&gt;"",G2482=E2482),"⚠ «Hacia» igual a la cuenta",IF(AND(G2482&lt;&gt;"",ISNA(MATCH(G2482,ctaNom,0))),"⚠ «Hacia» no existe",IF(AND(I2482="Pago tarjeta",IFERROR(INDEX(ctaTipo,MATCH(G2482,ctaNom,0)),"")&lt;&gt;"Tarjeta de crédito"),"⚠ «Hacia» debe ser la tarjeta",IF(AND(I2482="Trading",IFERROR(INDEX(ctaTipo,MATCH(E2482,ctaNom,0)),"")&lt;&gt;"Cuenta de trading"),"⚠ Usa la cuenta de trading","✓"))))))))))))</f>
        <v/>
      </c>
      <c r="I2482" s="19">
        <f>IF(OR(B2482="",C2482="",D2482=""),"",IFERROR(INDEX(catTipo,MATCH(D2482,catNom,0))&amp;"",""))</f>
        <v/>
      </c>
      <c r="J2482" s="19">
        <f>IF(I2482="","",IFERROR(INDEX(catGrupo,MATCH(D2482,catNom,0))&amp;"",""))</f>
        <v/>
      </c>
      <c r="K2482" s="19">
        <f>IF(I2482="Gasto",IF(IFERROR(INDEX(catClas,MATCH(D2482,catNom,0))&amp;"","")="","Variable",IFERROR(INDEX(catClas,MATCH(D2482,catNom,0))&amp;"","")),"")</f>
        <v/>
      </c>
      <c r="L2482" s="19">
        <f>IF(I2482="","",IFERROR(INDEX(catAlim,MATCH(D2482,catNom,0))&amp;"",""))</f>
        <v/>
      </c>
      <c r="M2482" s="19">
        <f>IF(I2482="","",IFERROR(INDEX(catComida,MATCH(D2482,catNom,0))&amp;"",""))</f>
        <v/>
      </c>
      <c r="N2482" s="19">
        <f>IF(I2482="","",IFERROR(INDEX(ctaMon,MATCH(E2482,ctaNom,0))&amp;"","DOP"))</f>
        <v/>
      </c>
      <c r="O2482" s="20">
        <f>IF(I2482="","",C2482*IF(N2482="USD",TasaUSD,1))</f>
        <v/>
      </c>
      <c r="P2482" s="20">
        <f>IF(I2482="","",IF(I2482="Gasto",O2482,0))</f>
        <v/>
      </c>
      <c r="Q2482" s="20">
        <f>IF(I2482="","",IF(I2482="Ingreso",O2482,0))</f>
        <v/>
      </c>
      <c r="R2482" s="20">
        <f>IF(I2482="","",IF(I2482="Trading",O2482,0))</f>
        <v/>
      </c>
      <c r="S2482" s="19">
        <f>IF(I2482="","",IF(AND(I2482="Gasto",K2482="Variable",J2482&lt;&gt;"Trading",O2482&gt;0,O2482&lt;=Umbral),1,0))</f>
        <v/>
      </c>
      <c r="T2482" s="20">
        <f>IF(OR(I2482="",E2482=""),"",IF(OR(I2482="Gasto",I2482="Transferencia",I2482="Pago tarjeta"),-1,1)*C2482)</f>
        <v/>
      </c>
      <c r="U2482" s="20">
        <f>IF(OR(G2482="",AND(I2482&lt;&gt;"Transferencia",I2482&lt;&gt;"Pago tarjeta")),"",IF(IFERROR(INDEX(ctaMon,MATCH(G2482,ctaNom,0))&amp;"","DOP")=N2482,C2482,IF(N2482="USD",C2482*TasaUSD,C2482/TasaUSD)))</f>
        <v/>
      </c>
      <c r="V2482" s="20">
        <f>IF(I2482="","",IF(IFERROR(INDEX(ctaLiq,MATCH(E2482,ctaNom,0))="Sí",FALSE),IF(OR(I2482="Gasto",I2482="Transferencia",I2482="Pago tarjeta"),-1,1)*O2482,0)+IF(AND(U2482&lt;&gt;"",IFERROR(INDEX(ctaLiq,MATCH(G2482,ctaNom,0))="Sí",FALSE)),O2482,0))</f>
        <v/>
      </c>
      <c r="W2482" s="19">
        <f>IF(OR(F2482="",I2482=""),"",IF(COUNTIFS(F$6:F2482,F2482,I$6:I2482,"?*")=1,MAX(W$5:W2481)+1,""))</f>
        <v/>
      </c>
    </row>
    <row r="2483">
      <c r="B2483" s="15" t="n"/>
      <c r="C2483" s="16" t="n"/>
      <c r="D2483" s="17" t="n"/>
      <c r="E2483" s="17" t="n"/>
      <c r="F2483" s="17" t="n"/>
      <c r="G2483" s="17" t="n"/>
      <c r="H2483" s="18">
        <f>IF(AND(B2483="",C2483="",D2483="",E2483=""),"",IF(B2483="","⚠ Falta fecha",IF(C2483="","⚠ Falta monto",IF(D2483="","⚠ Falta categoría",IF(ISNA(MATCH(D2483,catNom,0)),"⚠ Categoría no existe",IF(E2483="","⚠ Falta cuenta",IF(ISNA(MATCH(E2483,ctaNom,0)),"⚠ Cuenta no existe",IF(AND(OR(I2483="Transferencia",I2483="Pago tarjeta"),G2483=""),"⚠ Indica la cuenta «Hacia»",IF(AND(G2483&lt;&gt;"",G2483=E2483),"⚠ «Hacia» igual a la cuenta",IF(AND(G2483&lt;&gt;"",ISNA(MATCH(G2483,ctaNom,0))),"⚠ «Hacia» no existe",IF(AND(I2483="Pago tarjeta",IFERROR(INDEX(ctaTipo,MATCH(G2483,ctaNom,0)),"")&lt;&gt;"Tarjeta de crédito"),"⚠ «Hacia» debe ser la tarjeta",IF(AND(I2483="Trading",IFERROR(INDEX(ctaTipo,MATCH(E2483,ctaNom,0)),"")&lt;&gt;"Cuenta de trading"),"⚠ Usa la cuenta de trading","✓"))))))))))))</f>
        <v/>
      </c>
      <c r="I2483" s="19">
        <f>IF(OR(B2483="",C2483="",D2483=""),"",IFERROR(INDEX(catTipo,MATCH(D2483,catNom,0))&amp;"",""))</f>
        <v/>
      </c>
      <c r="J2483" s="19">
        <f>IF(I2483="","",IFERROR(INDEX(catGrupo,MATCH(D2483,catNom,0))&amp;"",""))</f>
        <v/>
      </c>
      <c r="K2483" s="19">
        <f>IF(I2483="Gasto",IF(IFERROR(INDEX(catClas,MATCH(D2483,catNom,0))&amp;"","")="","Variable",IFERROR(INDEX(catClas,MATCH(D2483,catNom,0))&amp;"","")),"")</f>
        <v/>
      </c>
      <c r="L2483" s="19">
        <f>IF(I2483="","",IFERROR(INDEX(catAlim,MATCH(D2483,catNom,0))&amp;"",""))</f>
        <v/>
      </c>
      <c r="M2483" s="19">
        <f>IF(I2483="","",IFERROR(INDEX(catComida,MATCH(D2483,catNom,0))&amp;"",""))</f>
        <v/>
      </c>
      <c r="N2483" s="19">
        <f>IF(I2483="","",IFERROR(INDEX(ctaMon,MATCH(E2483,ctaNom,0))&amp;"","DOP"))</f>
        <v/>
      </c>
      <c r="O2483" s="20">
        <f>IF(I2483="","",C2483*IF(N2483="USD",TasaUSD,1))</f>
        <v/>
      </c>
      <c r="P2483" s="20">
        <f>IF(I2483="","",IF(I2483="Gasto",O2483,0))</f>
        <v/>
      </c>
      <c r="Q2483" s="20">
        <f>IF(I2483="","",IF(I2483="Ingreso",O2483,0))</f>
        <v/>
      </c>
      <c r="R2483" s="20">
        <f>IF(I2483="","",IF(I2483="Trading",O2483,0))</f>
        <v/>
      </c>
      <c r="S2483" s="19">
        <f>IF(I2483="","",IF(AND(I2483="Gasto",K2483="Variable",J2483&lt;&gt;"Trading",O2483&gt;0,O2483&lt;=Umbral),1,0))</f>
        <v/>
      </c>
      <c r="T2483" s="20">
        <f>IF(OR(I2483="",E2483=""),"",IF(OR(I2483="Gasto",I2483="Transferencia",I2483="Pago tarjeta"),-1,1)*C2483)</f>
        <v/>
      </c>
      <c r="U2483" s="20">
        <f>IF(OR(G2483="",AND(I2483&lt;&gt;"Transferencia",I2483&lt;&gt;"Pago tarjeta")),"",IF(IFERROR(INDEX(ctaMon,MATCH(G2483,ctaNom,0))&amp;"","DOP")=N2483,C2483,IF(N2483="USD",C2483*TasaUSD,C2483/TasaUSD)))</f>
        <v/>
      </c>
      <c r="V2483" s="20">
        <f>IF(I2483="","",IF(IFERROR(INDEX(ctaLiq,MATCH(E2483,ctaNom,0))="Sí",FALSE),IF(OR(I2483="Gasto",I2483="Transferencia",I2483="Pago tarjeta"),-1,1)*O2483,0)+IF(AND(U2483&lt;&gt;"",IFERROR(INDEX(ctaLiq,MATCH(G2483,ctaNom,0))="Sí",FALSE)),O2483,0))</f>
        <v/>
      </c>
      <c r="W2483" s="19">
        <f>IF(OR(F2483="",I2483=""),"",IF(COUNTIFS(F$6:F2483,F2483,I$6:I2483,"?*")=1,MAX(W$5:W2482)+1,""))</f>
        <v/>
      </c>
    </row>
    <row r="2484">
      <c r="B2484" s="15" t="n"/>
      <c r="C2484" s="16" t="n"/>
      <c r="D2484" s="17" t="n"/>
      <c r="E2484" s="17" t="n"/>
      <c r="F2484" s="17" t="n"/>
      <c r="G2484" s="17" t="n"/>
      <c r="H2484" s="18">
        <f>IF(AND(B2484="",C2484="",D2484="",E2484=""),"",IF(B2484="","⚠ Falta fecha",IF(C2484="","⚠ Falta monto",IF(D2484="","⚠ Falta categoría",IF(ISNA(MATCH(D2484,catNom,0)),"⚠ Categoría no existe",IF(E2484="","⚠ Falta cuenta",IF(ISNA(MATCH(E2484,ctaNom,0)),"⚠ Cuenta no existe",IF(AND(OR(I2484="Transferencia",I2484="Pago tarjeta"),G2484=""),"⚠ Indica la cuenta «Hacia»",IF(AND(G2484&lt;&gt;"",G2484=E2484),"⚠ «Hacia» igual a la cuenta",IF(AND(G2484&lt;&gt;"",ISNA(MATCH(G2484,ctaNom,0))),"⚠ «Hacia» no existe",IF(AND(I2484="Pago tarjeta",IFERROR(INDEX(ctaTipo,MATCH(G2484,ctaNom,0)),"")&lt;&gt;"Tarjeta de crédito"),"⚠ «Hacia» debe ser la tarjeta",IF(AND(I2484="Trading",IFERROR(INDEX(ctaTipo,MATCH(E2484,ctaNom,0)),"")&lt;&gt;"Cuenta de trading"),"⚠ Usa la cuenta de trading","✓"))))))))))))</f>
        <v/>
      </c>
      <c r="I2484" s="19">
        <f>IF(OR(B2484="",C2484="",D2484=""),"",IFERROR(INDEX(catTipo,MATCH(D2484,catNom,0))&amp;"",""))</f>
        <v/>
      </c>
      <c r="J2484" s="19">
        <f>IF(I2484="","",IFERROR(INDEX(catGrupo,MATCH(D2484,catNom,0))&amp;"",""))</f>
        <v/>
      </c>
      <c r="K2484" s="19">
        <f>IF(I2484="Gasto",IF(IFERROR(INDEX(catClas,MATCH(D2484,catNom,0))&amp;"","")="","Variable",IFERROR(INDEX(catClas,MATCH(D2484,catNom,0))&amp;"","")),"")</f>
        <v/>
      </c>
      <c r="L2484" s="19">
        <f>IF(I2484="","",IFERROR(INDEX(catAlim,MATCH(D2484,catNom,0))&amp;"",""))</f>
        <v/>
      </c>
      <c r="M2484" s="19">
        <f>IF(I2484="","",IFERROR(INDEX(catComida,MATCH(D2484,catNom,0))&amp;"",""))</f>
        <v/>
      </c>
      <c r="N2484" s="19">
        <f>IF(I2484="","",IFERROR(INDEX(ctaMon,MATCH(E2484,ctaNom,0))&amp;"","DOP"))</f>
        <v/>
      </c>
      <c r="O2484" s="20">
        <f>IF(I2484="","",C2484*IF(N2484="USD",TasaUSD,1))</f>
        <v/>
      </c>
      <c r="P2484" s="20">
        <f>IF(I2484="","",IF(I2484="Gasto",O2484,0))</f>
        <v/>
      </c>
      <c r="Q2484" s="20">
        <f>IF(I2484="","",IF(I2484="Ingreso",O2484,0))</f>
        <v/>
      </c>
      <c r="R2484" s="20">
        <f>IF(I2484="","",IF(I2484="Trading",O2484,0))</f>
        <v/>
      </c>
      <c r="S2484" s="19">
        <f>IF(I2484="","",IF(AND(I2484="Gasto",K2484="Variable",J2484&lt;&gt;"Trading",O2484&gt;0,O2484&lt;=Umbral),1,0))</f>
        <v/>
      </c>
      <c r="T2484" s="20">
        <f>IF(OR(I2484="",E2484=""),"",IF(OR(I2484="Gasto",I2484="Transferencia",I2484="Pago tarjeta"),-1,1)*C2484)</f>
        <v/>
      </c>
      <c r="U2484" s="20">
        <f>IF(OR(G2484="",AND(I2484&lt;&gt;"Transferencia",I2484&lt;&gt;"Pago tarjeta")),"",IF(IFERROR(INDEX(ctaMon,MATCH(G2484,ctaNom,0))&amp;"","DOP")=N2484,C2484,IF(N2484="USD",C2484*TasaUSD,C2484/TasaUSD)))</f>
        <v/>
      </c>
      <c r="V2484" s="20">
        <f>IF(I2484="","",IF(IFERROR(INDEX(ctaLiq,MATCH(E2484,ctaNom,0))="Sí",FALSE),IF(OR(I2484="Gasto",I2484="Transferencia",I2484="Pago tarjeta"),-1,1)*O2484,0)+IF(AND(U2484&lt;&gt;"",IFERROR(INDEX(ctaLiq,MATCH(G2484,ctaNom,0))="Sí",FALSE)),O2484,0))</f>
        <v/>
      </c>
      <c r="W2484" s="19">
        <f>IF(OR(F2484="",I2484=""),"",IF(COUNTIFS(F$6:F2484,F2484,I$6:I2484,"?*")=1,MAX(W$5:W2483)+1,""))</f>
        <v/>
      </c>
    </row>
    <row r="2485">
      <c r="B2485" s="15" t="n"/>
      <c r="C2485" s="16" t="n"/>
      <c r="D2485" s="17" t="n"/>
      <c r="E2485" s="17" t="n"/>
      <c r="F2485" s="17" t="n"/>
      <c r="G2485" s="17" t="n"/>
      <c r="H2485" s="18">
        <f>IF(AND(B2485="",C2485="",D2485="",E2485=""),"",IF(B2485="","⚠ Falta fecha",IF(C2485="","⚠ Falta monto",IF(D2485="","⚠ Falta categoría",IF(ISNA(MATCH(D2485,catNom,0)),"⚠ Categoría no existe",IF(E2485="","⚠ Falta cuenta",IF(ISNA(MATCH(E2485,ctaNom,0)),"⚠ Cuenta no existe",IF(AND(OR(I2485="Transferencia",I2485="Pago tarjeta"),G2485=""),"⚠ Indica la cuenta «Hacia»",IF(AND(G2485&lt;&gt;"",G2485=E2485),"⚠ «Hacia» igual a la cuenta",IF(AND(G2485&lt;&gt;"",ISNA(MATCH(G2485,ctaNom,0))),"⚠ «Hacia» no existe",IF(AND(I2485="Pago tarjeta",IFERROR(INDEX(ctaTipo,MATCH(G2485,ctaNom,0)),"")&lt;&gt;"Tarjeta de crédito"),"⚠ «Hacia» debe ser la tarjeta",IF(AND(I2485="Trading",IFERROR(INDEX(ctaTipo,MATCH(E2485,ctaNom,0)),"")&lt;&gt;"Cuenta de trading"),"⚠ Usa la cuenta de trading","✓"))))))))))))</f>
        <v/>
      </c>
      <c r="I2485" s="19">
        <f>IF(OR(B2485="",C2485="",D2485=""),"",IFERROR(INDEX(catTipo,MATCH(D2485,catNom,0))&amp;"",""))</f>
        <v/>
      </c>
      <c r="J2485" s="19">
        <f>IF(I2485="","",IFERROR(INDEX(catGrupo,MATCH(D2485,catNom,0))&amp;"",""))</f>
        <v/>
      </c>
      <c r="K2485" s="19">
        <f>IF(I2485="Gasto",IF(IFERROR(INDEX(catClas,MATCH(D2485,catNom,0))&amp;"","")="","Variable",IFERROR(INDEX(catClas,MATCH(D2485,catNom,0))&amp;"","")),"")</f>
        <v/>
      </c>
      <c r="L2485" s="19">
        <f>IF(I2485="","",IFERROR(INDEX(catAlim,MATCH(D2485,catNom,0))&amp;"",""))</f>
        <v/>
      </c>
      <c r="M2485" s="19">
        <f>IF(I2485="","",IFERROR(INDEX(catComida,MATCH(D2485,catNom,0))&amp;"",""))</f>
        <v/>
      </c>
      <c r="N2485" s="19">
        <f>IF(I2485="","",IFERROR(INDEX(ctaMon,MATCH(E2485,ctaNom,0))&amp;"","DOP"))</f>
        <v/>
      </c>
      <c r="O2485" s="20">
        <f>IF(I2485="","",C2485*IF(N2485="USD",TasaUSD,1))</f>
        <v/>
      </c>
      <c r="P2485" s="20">
        <f>IF(I2485="","",IF(I2485="Gasto",O2485,0))</f>
        <v/>
      </c>
      <c r="Q2485" s="20">
        <f>IF(I2485="","",IF(I2485="Ingreso",O2485,0))</f>
        <v/>
      </c>
      <c r="R2485" s="20">
        <f>IF(I2485="","",IF(I2485="Trading",O2485,0))</f>
        <v/>
      </c>
      <c r="S2485" s="19">
        <f>IF(I2485="","",IF(AND(I2485="Gasto",K2485="Variable",J2485&lt;&gt;"Trading",O2485&gt;0,O2485&lt;=Umbral),1,0))</f>
        <v/>
      </c>
      <c r="T2485" s="20">
        <f>IF(OR(I2485="",E2485=""),"",IF(OR(I2485="Gasto",I2485="Transferencia",I2485="Pago tarjeta"),-1,1)*C2485)</f>
        <v/>
      </c>
      <c r="U2485" s="20">
        <f>IF(OR(G2485="",AND(I2485&lt;&gt;"Transferencia",I2485&lt;&gt;"Pago tarjeta")),"",IF(IFERROR(INDEX(ctaMon,MATCH(G2485,ctaNom,0))&amp;"","DOP")=N2485,C2485,IF(N2485="USD",C2485*TasaUSD,C2485/TasaUSD)))</f>
        <v/>
      </c>
      <c r="V2485" s="20">
        <f>IF(I2485="","",IF(IFERROR(INDEX(ctaLiq,MATCH(E2485,ctaNom,0))="Sí",FALSE),IF(OR(I2485="Gasto",I2485="Transferencia",I2485="Pago tarjeta"),-1,1)*O2485,0)+IF(AND(U2485&lt;&gt;"",IFERROR(INDEX(ctaLiq,MATCH(G2485,ctaNom,0))="Sí",FALSE)),O2485,0))</f>
        <v/>
      </c>
      <c r="W2485" s="19">
        <f>IF(OR(F2485="",I2485=""),"",IF(COUNTIFS(F$6:F2485,F2485,I$6:I2485,"?*")=1,MAX(W$5:W2484)+1,""))</f>
        <v/>
      </c>
    </row>
    <row r="2486">
      <c r="B2486" s="15" t="n"/>
      <c r="C2486" s="16" t="n"/>
      <c r="D2486" s="17" t="n"/>
      <c r="E2486" s="17" t="n"/>
      <c r="F2486" s="17" t="n"/>
      <c r="G2486" s="17" t="n"/>
      <c r="H2486" s="18">
        <f>IF(AND(B2486="",C2486="",D2486="",E2486=""),"",IF(B2486="","⚠ Falta fecha",IF(C2486="","⚠ Falta monto",IF(D2486="","⚠ Falta categoría",IF(ISNA(MATCH(D2486,catNom,0)),"⚠ Categoría no existe",IF(E2486="","⚠ Falta cuenta",IF(ISNA(MATCH(E2486,ctaNom,0)),"⚠ Cuenta no existe",IF(AND(OR(I2486="Transferencia",I2486="Pago tarjeta"),G2486=""),"⚠ Indica la cuenta «Hacia»",IF(AND(G2486&lt;&gt;"",G2486=E2486),"⚠ «Hacia» igual a la cuenta",IF(AND(G2486&lt;&gt;"",ISNA(MATCH(G2486,ctaNom,0))),"⚠ «Hacia» no existe",IF(AND(I2486="Pago tarjeta",IFERROR(INDEX(ctaTipo,MATCH(G2486,ctaNom,0)),"")&lt;&gt;"Tarjeta de crédito"),"⚠ «Hacia» debe ser la tarjeta",IF(AND(I2486="Trading",IFERROR(INDEX(ctaTipo,MATCH(E2486,ctaNom,0)),"")&lt;&gt;"Cuenta de trading"),"⚠ Usa la cuenta de trading","✓"))))))))))))</f>
        <v/>
      </c>
      <c r="I2486" s="19">
        <f>IF(OR(B2486="",C2486="",D2486=""),"",IFERROR(INDEX(catTipo,MATCH(D2486,catNom,0))&amp;"",""))</f>
        <v/>
      </c>
      <c r="J2486" s="19">
        <f>IF(I2486="","",IFERROR(INDEX(catGrupo,MATCH(D2486,catNom,0))&amp;"",""))</f>
        <v/>
      </c>
      <c r="K2486" s="19">
        <f>IF(I2486="Gasto",IF(IFERROR(INDEX(catClas,MATCH(D2486,catNom,0))&amp;"","")="","Variable",IFERROR(INDEX(catClas,MATCH(D2486,catNom,0))&amp;"","")),"")</f>
        <v/>
      </c>
      <c r="L2486" s="19">
        <f>IF(I2486="","",IFERROR(INDEX(catAlim,MATCH(D2486,catNom,0))&amp;"",""))</f>
        <v/>
      </c>
      <c r="M2486" s="19">
        <f>IF(I2486="","",IFERROR(INDEX(catComida,MATCH(D2486,catNom,0))&amp;"",""))</f>
        <v/>
      </c>
      <c r="N2486" s="19">
        <f>IF(I2486="","",IFERROR(INDEX(ctaMon,MATCH(E2486,ctaNom,0))&amp;"","DOP"))</f>
        <v/>
      </c>
      <c r="O2486" s="20">
        <f>IF(I2486="","",C2486*IF(N2486="USD",TasaUSD,1))</f>
        <v/>
      </c>
      <c r="P2486" s="20">
        <f>IF(I2486="","",IF(I2486="Gasto",O2486,0))</f>
        <v/>
      </c>
      <c r="Q2486" s="20">
        <f>IF(I2486="","",IF(I2486="Ingreso",O2486,0))</f>
        <v/>
      </c>
      <c r="R2486" s="20">
        <f>IF(I2486="","",IF(I2486="Trading",O2486,0))</f>
        <v/>
      </c>
      <c r="S2486" s="19">
        <f>IF(I2486="","",IF(AND(I2486="Gasto",K2486="Variable",J2486&lt;&gt;"Trading",O2486&gt;0,O2486&lt;=Umbral),1,0))</f>
        <v/>
      </c>
      <c r="T2486" s="20">
        <f>IF(OR(I2486="",E2486=""),"",IF(OR(I2486="Gasto",I2486="Transferencia",I2486="Pago tarjeta"),-1,1)*C2486)</f>
        <v/>
      </c>
      <c r="U2486" s="20">
        <f>IF(OR(G2486="",AND(I2486&lt;&gt;"Transferencia",I2486&lt;&gt;"Pago tarjeta")),"",IF(IFERROR(INDEX(ctaMon,MATCH(G2486,ctaNom,0))&amp;"","DOP")=N2486,C2486,IF(N2486="USD",C2486*TasaUSD,C2486/TasaUSD)))</f>
        <v/>
      </c>
      <c r="V2486" s="20">
        <f>IF(I2486="","",IF(IFERROR(INDEX(ctaLiq,MATCH(E2486,ctaNom,0))="Sí",FALSE),IF(OR(I2486="Gasto",I2486="Transferencia",I2486="Pago tarjeta"),-1,1)*O2486,0)+IF(AND(U2486&lt;&gt;"",IFERROR(INDEX(ctaLiq,MATCH(G2486,ctaNom,0))="Sí",FALSE)),O2486,0))</f>
        <v/>
      </c>
      <c r="W2486" s="19">
        <f>IF(OR(F2486="",I2486=""),"",IF(COUNTIFS(F$6:F2486,F2486,I$6:I2486,"?*")=1,MAX(W$5:W2485)+1,""))</f>
        <v/>
      </c>
    </row>
    <row r="2487">
      <c r="B2487" s="15" t="n"/>
      <c r="C2487" s="16" t="n"/>
      <c r="D2487" s="17" t="n"/>
      <c r="E2487" s="17" t="n"/>
      <c r="F2487" s="17" t="n"/>
      <c r="G2487" s="17" t="n"/>
      <c r="H2487" s="18">
        <f>IF(AND(B2487="",C2487="",D2487="",E2487=""),"",IF(B2487="","⚠ Falta fecha",IF(C2487="","⚠ Falta monto",IF(D2487="","⚠ Falta categoría",IF(ISNA(MATCH(D2487,catNom,0)),"⚠ Categoría no existe",IF(E2487="","⚠ Falta cuenta",IF(ISNA(MATCH(E2487,ctaNom,0)),"⚠ Cuenta no existe",IF(AND(OR(I2487="Transferencia",I2487="Pago tarjeta"),G2487=""),"⚠ Indica la cuenta «Hacia»",IF(AND(G2487&lt;&gt;"",G2487=E2487),"⚠ «Hacia» igual a la cuenta",IF(AND(G2487&lt;&gt;"",ISNA(MATCH(G2487,ctaNom,0))),"⚠ «Hacia» no existe",IF(AND(I2487="Pago tarjeta",IFERROR(INDEX(ctaTipo,MATCH(G2487,ctaNom,0)),"")&lt;&gt;"Tarjeta de crédito"),"⚠ «Hacia» debe ser la tarjeta",IF(AND(I2487="Trading",IFERROR(INDEX(ctaTipo,MATCH(E2487,ctaNom,0)),"")&lt;&gt;"Cuenta de trading"),"⚠ Usa la cuenta de trading","✓"))))))))))))</f>
        <v/>
      </c>
      <c r="I2487" s="19">
        <f>IF(OR(B2487="",C2487="",D2487=""),"",IFERROR(INDEX(catTipo,MATCH(D2487,catNom,0))&amp;"",""))</f>
        <v/>
      </c>
      <c r="J2487" s="19">
        <f>IF(I2487="","",IFERROR(INDEX(catGrupo,MATCH(D2487,catNom,0))&amp;"",""))</f>
        <v/>
      </c>
      <c r="K2487" s="19">
        <f>IF(I2487="Gasto",IF(IFERROR(INDEX(catClas,MATCH(D2487,catNom,0))&amp;"","")="","Variable",IFERROR(INDEX(catClas,MATCH(D2487,catNom,0))&amp;"","")),"")</f>
        <v/>
      </c>
      <c r="L2487" s="19">
        <f>IF(I2487="","",IFERROR(INDEX(catAlim,MATCH(D2487,catNom,0))&amp;"",""))</f>
        <v/>
      </c>
      <c r="M2487" s="19">
        <f>IF(I2487="","",IFERROR(INDEX(catComida,MATCH(D2487,catNom,0))&amp;"",""))</f>
        <v/>
      </c>
      <c r="N2487" s="19">
        <f>IF(I2487="","",IFERROR(INDEX(ctaMon,MATCH(E2487,ctaNom,0))&amp;"","DOP"))</f>
        <v/>
      </c>
      <c r="O2487" s="20">
        <f>IF(I2487="","",C2487*IF(N2487="USD",TasaUSD,1))</f>
        <v/>
      </c>
      <c r="P2487" s="20">
        <f>IF(I2487="","",IF(I2487="Gasto",O2487,0))</f>
        <v/>
      </c>
      <c r="Q2487" s="20">
        <f>IF(I2487="","",IF(I2487="Ingreso",O2487,0))</f>
        <v/>
      </c>
      <c r="R2487" s="20">
        <f>IF(I2487="","",IF(I2487="Trading",O2487,0))</f>
        <v/>
      </c>
      <c r="S2487" s="19">
        <f>IF(I2487="","",IF(AND(I2487="Gasto",K2487="Variable",J2487&lt;&gt;"Trading",O2487&gt;0,O2487&lt;=Umbral),1,0))</f>
        <v/>
      </c>
      <c r="T2487" s="20">
        <f>IF(OR(I2487="",E2487=""),"",IF(OR(I2487="Gasto",I2487="Transferencia",I2487="Pago tarjeta"),-1,1)*C2487)</f>
        <v/>
      </c>
      <c r="U2487" s="20">
        <f>IF(OR(G2487="",AND(I2487&lt;&gt;"Transferencia",I2487&lt;&gt;"Pago tarjeta")),"",IF(IFERROR(INDEX(ctaMon,MATCH(G2487,ctaNom,0))&amp;"","DOP")=N2487,C2487,IF(N2487="USD",C2487*TasaUSD,C2487/TasaUSD)))</f>
        <v/>
      </c>
      <c r="V2487" s="20">
        <f>IF(I2487="","",IF(IFERROR(INDEX(ctaLiq,MATCH(E2487,ctaNom,0))="Sí",FALSE),IF(OR(I2487="Gasto",I2487="Transferencia",I2487="Pago tarjeta"),-1,1)*O2487,0)+IF(AND(U2487&lt;&gt;"",IFERROR(INDEX(ctaLiq,MATCH(G2487,ctaNom,0))="Sí",FALSE)),O2487,0))</f>
        <v/>
      </c>
      <c r="W2487" s="19">
        <f>IF(OR(F2487="",I2487=""),"",IF(COUNTIFS(F$6:F2487,F2487,I$6:I2487,"?*")=1,MAX(W$5:W2486)+1,""))</f>
        <v/>
      </c>
    </row>
    <row r="2488">
      <c r="B2488" s="15" t="n"/>
      <c r="C2488" s="16" t="n"/>
      <c r="D2488" s="17" t="n"/>
      <c r="E2488" s="17" t="n"/>
      <c r="F2488" s="17" t="n"/>
      <c r="G2488" s="17" t="n"/>
      <c r="H2488" s="18">
        <f>IF(AND(B2488="",C2488="",D2488="",E2488=""),"",IF(B2488="","⚠ Falta fecha",IF(C2488="","⚠ Falta monto",IF(D2488="","⚠ Falta categoría",IF(ISNA(MATCH(D2488,catNom,0)),"⚠ Categoría no existe",IF(E2488="","⚠ Falta cuenta",IF(ISNA(MATCH(E2488,ctaNom,0)),"⚠ Cuenta no existe",IF(AND(OR(I2488="Transferencia",I2488="Pago tarjeta"),G2488=""),"⚠ Indica la cuenta «Hacia»",IF(AND(G2488&lt;&gt;"",G2488=E2488),"⚠ «Hacia» igual a la cuenta",IF(AND(G2488&lt;&gt;"",ISNA(MATCH(G2488,ctaNom,0))),"⚠ «Hacia» no existe",IF(AND(I2488="Pago tarjeta",IFERROR(INDEX(ctaTipo,MATCH(G2488,ctaNom,0)),"")&lt;&gt;"Tarjeta de crédito"),"⚠ «Hacia» debe ser la tarjeta",IF(AND(I2488="Trading",IFERROR(INDEX(ctaTipo,MATCH(E2488,ctaNom,0)),"")&lt;&gt;"Cuenta de trading"),"⚠ Usa la cuenta de trading","✓"))))))))))))</f>
        <v/>
      </c>
      <c r="I2488" s="19">
        <f>IF(OR(B2488="",C2488="",D2488=""),"",IFERROR(INDEX(catTipo,MATCH(D2488,catNom,0))&amp;"",""))</f>
        <v/>
      </c>
      <c r="J2488" s="19">
        <f>IF(I2488="","",IFERROR(INDEX(catGrupo,MATCH(D2488,catNom,0))&amp;"",""))</f>
        <v/>
      </c>
      <c r="K2488" s="19">
        <f>IF(I2488="Gasto",IF(IFERROR(INDEX(catClas,MATCH(D2488,catNom,0))&amp;"","")="","Variable",IFERROR(INDEX(catClas,MATCH(D2488,catNom,0))&amp;"","")),"")</f>
        <v/>
      </c>
      <c r="L2488" s="19">
        <f>IF(I2488="","",IFERROR(INDEX(catAlim,MATCH(D2488,catNom,0))&amp;"",""))</f>
        <v/>
      </c>
      <c r="M2488" s="19">
        <f>IF(I2488="","",IFERROR(INDEX(catComida,MATCH(D2488,catNom,0))&amp;"",""))</f>
        <v/>
      </c>
      <c r="N2488" s="19">
        <f>IF(I2488="","",IFERROR(INDEX(ctaMon,MATCH(E2488,ctaNom,0))&amp;"","DOP"))</f>
        <v/>
      </c>
      <c r="O2488" s="20">
        <f>IF(I2488="","",C2488*IF(N2488="USD",TasaUSD,1))</f>
        <v/>
      </c>
      <c r="P2488" s="20">
        <f>IF(I2488="","",IF(I2488="Gasto",O2488,0))</f>
        <v/>
      </c>
      <c r="Q2488" s="20">
        <f>IF(I2488="","",IF(I2488="Ingreso",O2488,0))</f>
        <v/>
      </c>
      <c r="R2488" s="20">
        <f>IF(I2488="","",IF(I2488="Trading",O2488,0))</f>
        <v/>
      </c>
      <c r="S2488" s="19">
        <f>IF(I2488="","",IF(AND(I2488="Gasto",K2488="Variable",J2488&lt;&gt;"Trading",O2488&gt;0,O2488&lt;=Umbral),1,0))</f>
        <v/>
      </c>
      <c r="T2488" s="20">
        <f>IF(OR(I2488="",E2488=""),"",IF(OR(I2488="Gasto",I2488="Transferencia",I2488="Pago tarjeta"),-1,1)*C2488)</f>
        <v/>
      </c>
      <c r="U2488" s="20">
        <f>IF(OR(G2488="",AND(I2488&lt;&gt;"Transferencia",I2488&lt;&gt;"Pago tarjeta")),"",IF(IFERROR(INDEX(ctaMon,MATCH(G2488,ctaNom,0))&amp;"","DOP")=N2488,C2488,IF(N2488="USD",C2488*TasaUSD,C2488/TasaUSD)))</f>
        <v/>
      </c>
      <c r="V2488" s="20">
        <f>IF(I2488="","",IF(IFERROR(INDEX(ctaLiq,MATCH(E2488,ctaNom,0))="Sí",FALSE),IF(OR(I2488="Gasto",I2488="Transferencia",I2488="Pago tarjeta"),-1,1)*O2488,0)+IF(AND(U2488&lt;&gt;"",IFERROR(INDEX(ctaLiq,MATCH(G2488,ctaNom,0))="Sí",FALSE)),O2488,0))</f>
        <v/>
      </c>
      <c r="W2488" s="19">
        <f>IF(OR(F2488="",I2488=""),"",IF(COUNTIFS(F$6:F2488,F2488,I$6:I2488,"?*")=1,MAX(W$5:W2487)+1,""))</f>
        <v/>
      </c>
    </row>
    <row r="2489">
      <c r="B2489" s="15" t="n"/>
      <c r="C2489" s="16" t="n"/>
      <c r="D2489" s="17" t="n"/>
      <c r="E2489" s="17" t="n"/>
      <c r="F2489" s="17" t="n"/>
      <c r="G2489" s="17" t="n"/>
      <c r="H2489" s="18">
        <f>IF(AND(B2489="",C2489="",D2489="",E2489=""),"",IF(B2489="","⚠ Falta fecha",IF(C2489="","⚠ Falta monto",IF(D2489="","⚠ Falta categoría",IF(ISNA(MATCH(D2489,catNom,0)),"⚠ Categoría no existe",IF(E2489="","⚠ Falta cuenta",IF(ISNA(MATCH(E2489,ctaNom,0)),"⚠ Cuenta no existe",IF(AND(OR(I2489="Transferencia",I2489="Pago tarjeta"),G2489=""),"⚠ Indica la cuenta «Hacia»",IF(AND(G2489&lt;&gt;"",G2489=E2489),"⚠ «Hacia» igual a la cuenta",IF(AND(G2489&lt;&gt;"",ISNA(MATCH(G2489,ctaNom,0))),"⚠ «Hacia» no existe",IF(AND(I2489="Pago tarjeta",IFERROR(INDEX(ctaTipo,MATCH(G2489,ctaNom,0)),"")&lt;&gt;"Tarjeta de crédito"),"⚠ «Hacia» debe ser la tarjeta",IF(AND(I2489="Trading",IFERROR(INDEX(ctaTipo,MATCH(E2489,ctaNom,0)),"")&lt;&gt;"Cuenta de trading"),"⚠ Usa la cuenta de trading","✓"))))))))))))</f>
        <v/>
      </c>
      <c r="I2489" s="19">
        <f>IF(OR(B2489="",C2489="",D2489=""),"",IFERROR(INDEX(catTipo,MATCH(D2489,catNom,0))&amp;"",""))</f>
        <v/>
      </c>
      <c r="J2489" s="19">
        <f>IF(I2489="","",IFERROR(INDEX(catGrupo,MATCH(D2489,catNom,0))&amp;"",""))</f>
        <v/>
      </c>
      <c r="K2489" s="19">
        <f>IF(I2489="Gasto",IF(IFERROR(INDEX(catClas,MATCH(D2489,catNom,0))&amp;"","")="","Variable",IFERROR(INDEX(catClas,MATCH(D2489,catNom,0))&amp;"","")),"")</f>
        <v/>
      </c>
      <c r="L2489" s="19">
        <f>IF(I2489="","",IFERROR(INDEX(catAlim,MATCH(D2489,catNom,0))&amp;"",""))</f>
        <v/>
      </c>
      <c r="M2489" s="19">
        <f>IF(I2489="","",IFERROR(INDEX(catComida,MATCH(D2489,catNom,0))&amp;"",""))</f>
        <v/>
      </c>
      <c r="N2489" s="19">
        <f>IF(I2489="","",IFERROR(INDEX(ctaMon,MATCH(E2489,ctaNom,0))&amp;"","DOP"))</f>
        <v/>
      </c>
      <c r="O2489" s="20">
        <f>IF(I2489="","",C2489*IF(N2489="USD",TasaUSD,1))</f>
        <v/>
      </c>
      <c r="P2489" s="20">
        <f>IF(I2489="","",IF(I2489="Gasto",O2489,0))</f>
        <v/>
      </c>
      <c r="Q2489" s="20">
        <f>IF(I2489="","",IF(I2489="Ingreso",O2489,0))</f>
        <v/>
      </c>
      <c r="R2489" s="20">
        <f>IF(I2489="","",IF(I2489="Trading",O2489,0))</f>
        <v/>
      </c>
      <c r="S2489" s="19">
        <f>IF(I2489="","",IF(AND(I2489="Gasto",K2489="Variable",J2489&lt;&gt;"Trading",O2489&gt;0,O2489&lt;=Umbral),1,0))</f>
        <v/>
      </c>
      <c r="T2489" s="20">
        <f>IF(OR(I2489="",E2489=""),"",IF(OR(I2489="Gasto",I2489="Transferencia",I2489="Pago tarjeta"),-1,1)*C2489)</f>
        <v/>
      </c>
      <c r="U2489" s="20">
        <f>IF(OR(G2489="",AND(I2489&lt;&gt;"Transferencia",I2489&lt;&gt;"Pago tarjeta")),"",IF(IFERROR(INDEX(ctaMon,MATCH(G2489,ctaNom,0))&amp;"","DOP")=N2489,C2489,IF(N2489="USD",C2489*TasaUSD,C2489/TasaUSD)))</f>
        <v/>
      </c>
      <c r="V2489" s="20">
        <f>IF(I2489="","",IF(IFERROR(INDEX(ctaLiq,MATCH(E2489,ctaNom,0))="Sí",FALSE),IF(OR(I2489="Gasto",I2489="Transferencia",I2489="Pago tarjeta"),-1,1)*O2489,0)+IF(AND(U2489&lt;&gt;"",IFERROR(INDEX(ctaLiq,MATCH(G2489,ctaNom,0))="Sí",FALSE)),O2489,0))</f>
        <v/>
      </c>
      <c r="W2489" s="19">
        <f>IF(OR(F2489="",I2489=""),"",IF(COUNTIFS(F$6:F2489,F2489,I$6:I2489,"?*")=1,MAX(W$5:W2488)+1,""))</f>
        <v/>
      </c>
    </row>
    <row r="2490">
      <c r="B2490" s="15" t="n"/>
      <c r="C2490" s="16" t="n"/>
      <c r="D2490" s="17" t="n"/>
      <c r="E2490" s="17" t="n"/>
      <c r="F2490" s="17" t="n"/>
      <c r="G2490" s="17" t="n"/>
      <c r="H2490" s="18">
        <f>IF(AND(B2490="",C2490="",D2490="",E2490=""),"",IF(B2490="","⚠ Falta fecha",IF(C2490="","⚠ Falta monto",IF(D2490="","⚠ Falta categoría",IF(ISNA(MATCH(D2490,catNom,0)),"⚠ Categoría no existe",IF(E2490="","⚠ Falta cuenta",IF(ISNA(MATCH(E2490,ctaNom,0)),"⚠ Cuenta no existe",IF(AND(OR(I2490="Transferencia",I2490="Pago tarjeta"),G2490=""),"⚠ Indica la cuenta «Hacia»",IF(AND(G2490&lt;&gt;"",G2490=E2490),"⚠ «Hacia» igual a la cuenta",IF(AND(G2490&lt;&gt;"",ISNA(MATCH(G2490,ctaNom,0))),"⚠ «Hacia» no existe",IF(AND(I2490="Pago tarjeta",IFERROR(INDEX(ctaTipo,MATCH(G2490,ctaNom,0)),"")&lt;&gt;"Tarjeta de crédito"),"⚠ «Hacia» debe ser la tarjeta",IF(AND(I2490="Trading",IFERROR(INDEX(ctaTipo,MATCH(E2490,ctaNom,0)),"")&lt;&gt;"Cuenta de trading"),"⚠ Usa la cuenta de trading","✓"))))))))))))</f>
        <v/>
      </c>
      <c r="I2490" s="19">
        <f>IF(OR(B2490="",C2490="",D2490=""),"",IFERROR(INDEX(catTipo,MATCH(D2490,catNom,0))&amp;"",""))</f>
        <v/>
      </c>
      <c r="J2490" s="19">
        <f>IF(I2490="","",IFERROR(INDEX(catGrupo,MATCH(D2490,catNom,0))&amp;"",""))</f>
        <v/>
      </c>
      <c r="K2490" s="19">
        <f>IF(I2490="Gasto",IF(IFERROR(INDEX(catClas,MATCH(D2490,catNom,0))&amp;"","")="","Variable",IFERROR(INDEX(catClas,MATCH(D2490,catNom,0))&amp;"","")),"")</f>
        <v/>
      </c>
      <c r="L2490" s="19">
        <f>IF(I2490="","",IFERROR(INDEX(catAlim,MATCH(D2490,catNom,0))&amp;"",""))</f>
        <v/>
      </c>
      <c r="M2490" s="19">
        <f>IF(I2490="","",IFERROR(INDEX(catComida,MATCH(D2490,catNom,0))&amp;"",""))</f>
        <v/>
      </c>
      <c r="N2490" s="19">
        <f>IF(I2490="","",IFERROR(INDEX(ctaMon,MATCH(E2490,ctaNom,0))&amp;"","DOP"))</f>
        <v/>
      </c>
      <c r="O2490" s="20">
        <f>IF(I2490="","",C2490*IF(N2490="USD",TasaUSD,1))</f>
        <v/>
      </c>
      <c r="P2490" s="20">
        <f>IF(I2490="","",IF(I2490="Gasto",O2490,0))</f>
        <v/>
      </c>
      <c r="Q2490" s="20">
        <f>IF(I2490="","",IF(I2490="Ingreso",O2490,0))</f>
        <v/>
      </c>
      <c r="R2490" s="20">
        <f>IF(I2490="","",IF(I2490="Trading",O2490,0))</f>
        <v/>
      </c>
      <c r="S2490" s="19">
        <f>IF(I2490="","",IF(AND(I2490="Gasto",K2490="Variable",J2490&lt;&gt;"Trading",O2490&gt;0,O2490&lt;=Umbral),1,0))</f>
        <v/>
      </c>
      <c r="T2490" s="20">
        <f>IF(OR(I2490="",E2490=""),"",IF(OR(I2490="Gasto",I2490="Transferencia",I2490="Pago tarjeta"),-1,1)*C2490)</f>
        <v/>
      </c>
      <c r="U2490" s="20">
        <f>IF(OR(G2490="",AND(I2490&lt;&gt;"Transferencia",I2490&lt;&gt;"Pago tarjeta")),"",IF(IFERROR(INDEX(ctaMon,MATCH(G2490,ctaNom,0))&amp;"","DOP")=N2490,C2490,IF(N2490="USD",C2490*TasaUSD,C2490/TasaUSD)))</f>
        <v/>
      </c>
      <c r="V2490" s="20">
        <f>IF(I2490="","",IF(IFERROR(INDEX(ctaLiq,MATCH(E2490,ctaNom,0))="Sí",FALSE),IF(OR(I2490="Gasto",I2490="Transferencia",I2490="Pago tarjeta"),-1,1)*O2490,0)+IF(AND(U2490&lt;&gt;"",IFERROR(INDEX(ctaLiq,MATCH(G2490,ctaNom,0))="Sí",FALSE)),O2490,0))</f>
        <v/>
      </c>
      <c r="W2490" s="19">
        <f>IF(OR(F2490="",I2490=""),"",IF(COUNTIFS(F$6:F2490,F2490,I$6:I2490,"?*")=1,MAX(W$5:W2489)+1,""))</f>
        <v/>
      </c>
    </row>
    <row r="2491">
      <c r="B2491" s="15" t="n"/>
      <c r="C2491" s="16" t="n"/>
      <c r="D2491" s="17" t="n"/>
      <c r="E2491" s="17" t="n"/>
      <c r="F2491" s="17" t="n"/>
      <c r="G2491" s="17" t="n"/>
      <c r="H2491" s="18">
        <f>IF(AND(B2491="",C2491="",D2491="",E2491=""),"",IF(B2491="","⚠ Falta fecha",IF(C2491="","⚠ Falta monto",IF(D2491="","⚠ Falta categoría",IF(ISNA(MATCH(D2491,catNom,0)),"⚠ Categoría no existe",IF(E2491="","⚠ Falta cuenta",IF(ISNA(MATCH(E2491,ctaNom,0)),"⚠ Cuenta no existe",IF(AND(OR(I2491="Transferencia",I2491="Pago tarjeta"),G2491=""),"⚠ Indica la cuenta «Hacia»",IF(AND(G2491&lt;&gt;"",G2491=E2491),"⚠ «Hacia» igual a la cuenta",IF(AND(G2491&lt;&gt;"",ISNA(MATCH(G2491,ctaNom,0))),"⚠ «Hacia» no existe",IF(AND(I2491="Pago tarjeta",IFERROR(INDEX(ctaTipo,MATCH(G2491,ctaNom,0)),"")&lt;&gt;"Tarjeta de crédito"),"⚠ «Hacia» debe ser la tarjeta",IF(AND(I2491="Trading",IFERROR(INDEX(ctaTipo,MATCH(E2491,ctaNom,0)),"")&lt;&gt;"Cuenta de trading"),"⚠ Usa la cuenta de trading","✓"))))))))))))</f>
        <v/>
      </c>
      <c r="I2491" s="19">
        <f>IF(OR(B2491="",C2491="",D2491=""),"",IFERROR(INDEX(catTipo,MATCH(D2491,catNom,0))&amp;"",""))</f>
        <v/>
      </c>
      <c r="J2491" s="19">
        <f>IF(I2491="","",IFERROR(INDEX(catGrupo,MATCH(D2491,catNom,0))&amp;"",""))</f>
        <v/>
      </c>
      <c r="K2491" s="19">
        <f>IF(I2491="Gasto",IF(IFERROR(INDEX(catClas,MATCH(D2491,catNom,0))&amp;"","")="","Variable",IFERROR(INDEX(catClas,MATCH(D2491,catNom,0))&amp;"","")),"")</f>
        <v/>
      </c>
      <c r="L2491" s="19">
        <f>IF(I2491="","",IFERROR(INDEX(catAlim,MATCH(D2491,catNom,0))&amp;"",""))</f>
        <v/>
      </c>
      <c r="M2491" s="19">
        <f>IF(I2491="","",IFERROR(INDEX(catComida,MATCH(D2491,catNom,0))&amp;"",""))</f>
        <v/>
      </c>
      <c r="N2491" s="19">
        <f>IF(I2491="","",IFERROR(INDEX(ctaMon,MATCH(E2491,ctaNom,0))&amp;"","DOP"))</f>
        <v/>
      </c>
      <c r="O2491" s="20">
        <f>IF(I2491="","",C2491*IF(N2491="USD",TasaUSD,1))</f>
        <v/>
      </c>
      <c r="P2491" s="20">
        <f>IF(I2491="","",IF(I2491="Gasto",O2491,0))</f>
        <v/>
      </c>
      <c r="Q2491" s="20">
        <f>IF(I2491="","",IF(I2491="Ingreso",O2491,0))</f>
        <v/>
      </c>
      <c r="R2491" s="20">
        <f>IF(I2491="","",IF(I2491="Trading",O2491,0))</f>
        <v/>
      </c>
      <c r="S2491" s="19">
        <f>IF(I2491="","",IF(AND(I2491="Gasto",K2491="Variable",J2491&lt;&gt;"Trading",O2491&gt;0,O2491&lt;=Umbral),1,0))</f>
        <v/>
      </c>
      <c r="T2491" s="20">
        <f>IF(OR(I2491="",E2491=""),"",IF(OR(I2491="Gasto",I2491="Transferencia",I2491="Pago tarjeta"),-1,1)*C2491)</f>
        <v/>
      </c>
      <c r="U2491" s="20">
        <f>IF(OR(G2491="",AND(I2491&lt;&gt;"Transferencia",I2491&lt;&gt;"Pago tarjeta")),"",IF(IFERROR(INDEX(ctaMon,MATCH(G2491,ctaNom,0))&amp;"","DOP")=N2491,C2491,IF(N2491="USD",C2491*TasaUSD,C2491/TasaUSD)))</f>
        <v/>
      </c>
      <c r="V2491" s="20">
        <f>IF(I2491="","",IF(IFERROR(INDEX(ctaLiq,MATCH(E2491,ctaNom,0))="Sí",FALSE),IF(OR(I2491="Gasto",I2491="Transferencia",I2491="Pago tarjeta"),-1,1)*O2491,0)+IF(AND(U2491&lt;&gt;"",IFERROR(INDEX(ctaLiq,MATCH(G2491,ctaNom,0))="Sí",FALSE)),O2491,0))</f>
        <v/>
      </c>
      <c r="W2491" s="19">
        <f>IF(OR(F2491="",I2491=""),"",IF(COUNTIFS(F$6:F2491,F2491,I$6:I2491,"?*")=1,MAX(W$5:W2490)+1,""))</f>
        <v/>
      </c>
    </row>
    <row r="2492">
      <c r="B2492" s="15" t="n"/>
      <c r="C2492" s="16" t="n"/>
      <c r="D2492" s="17" t="n"/>
      <c r="E2492" s="17" t="n"/>
      <c r="F2492" s="17" t="n"/>
      <c r="G2492" s="17" t="n"/>
      <c r="H2492" s="18">
        <f>IF(AND(B2492="",C2492="",D2492="",E2492=""),"",IF(B2492="","⚠ Falta fecha",IF(C2492="","⚠ Falta monto",IF(D2492="","⚠ Falta categoría",IF(ISNA(MATCH(D2492,catNom,0)),"⚠ Categoría no existe",IF(E2492="","⚠ Falta cuenta",IF(ISNA(MATCH(E2492,ctaNom,0)),"⚠ Cuenta no existe",IF(AND(OR(I2492="Transferencia",I2492="Pago tarjeta"),G2492=""),"⚠ Indica la cuenta «Hacia»",IF(AND(G2492&lt;&gt;"",G2492=E2492),"⚠ «Hacia» igual a la cuenta",IF(AND(G2492&lt;&gt;"",ISNA(MATCH(G2492,ctaNom,0))),"⚠ «Hacia» no existe",IF(AND(I2492="Pago tarjeta",IFERROR(INDEX(ctaTipo,MATCH(G2492,ctaNom,0)),"")&lt;&gt;"Tarjeta de crédito"),"⚠ «Hacia» debe ser la tarjeta",IF(AND(I2492="Trading",IFERROR(INDEX(ctaTipo,MATCH(E2492,ctaNom,0)),"")&lt;&gt;"Cuenta de trading"),"⚠ Usa la cuenta de trading","✓"))))))))))))</f>
        <v/>
      </c>
      <c r="I2492" s="19">
        <f>IF(OR(B2492="",C2492="",D2492=""),"",IFERROR(INDEX(catTipo,MATCH(D2492,catNom,0))&amp;"",""))</f>
        <v/>
      </c>
      <c r="J2492" s="19">
        <f>IF(I2492="","",IFERROR(INDEX(catGrupo,MATCH(D2492,catNom,0))&amp;"",""))</f>
        <v/>
      </c>
      <c r="K2492" s="19">
        <f>IF(I2492="Gasto",IF(IFERROR(INDEX(catClas,MATCH(D2492,catNom,0))&amp;"","")="","Variable",IFERROR(INDEX(catClas,MATCH(D2492,catNom,0))&amp;"","")),"")</f>
        <v/>
      </c>
      <c r="L2492" s="19">
        <f>IF(I2492="","",IFERROR(INDEX(catAlim,MATCH(D2492,catNom,0))&amp;"",""))</f>
        <v/>
      </c>
      <c r="M2492" s="19">
        <f>IF(I2492="","",IFERROR(INDEX(catComida,MATCH(D2492,catNom,0))&amp;"",""))</f>
        <v/>
      </c>
      <c r="N2492" s="19">
        <f>IF(I2492="","",IFERROR(INDEX(ctaMon,MATCH(E2492,ctaNom,0))&amp;"","DOP"))</f>
        <v/>
      </c>
      <c r="O2492" s="20">
        <f>IF(I2492="","",C2492*IF(N2492="USD",TasaUSD,1))</f>
        <v/>
      </c>
      <c r="P2492" s="20">
        <f>IF(I2492="","",IF(I2492="Gasto",O2492,0))</f>
        <v/>
      </c>
      <c r="Q2492" s="20">
        <f>IF(I2492="","",IF(I2492="Ingreso",O2492,0))</f>
        <v/>
      </c>
      <c r="R2492" s="20">
        <f>IF(I2492="","",IF(I2492="Trading",O2492,0))</f>
        <v/>
      </c>
      <c r="S2492" s="19">
        <f>IF(I2492="","",IF(AND(I2492="Gasto",K2492="Variable",J2492&lt;&gt;"Trading",O2492&gt;0,O2492&lt;=Umbral),1,0))</f>
        <v/>
      </c>
      <c r="T2492" s="20">
        <f>IF(OR(I2492="",E2492=""),"",IF(OR(I2492="Gasto",I2492="Transferencia",I2492="Pago tarjeta"),-1,1)*C2492)</f>
        <v/>
      </c>
      <c r="U2492" s="20">
        <f>IF(OR(G2492="",AND(I2492&lt;&gt;"Transferencia",I2492&lt;&gt;"Pago tarjeta")),"",IF(IFERROR(INDEX(ctaMon,MATCH(G2492,ctaNom,0))&amp;"","DOP")=N2492,C2492,IF(N2492="USD",C2492*TasaUSD,C2492/TasaUSD)))</f>
        <v/>
      </c>
      <c r="V2492" s="20">
        <f>IF(I2492="","",IF(IFERROR(INDEX(ctaLiq,MATCH(E2492,ctaNom,0))="Sí",FALSE),IF(OR(I2492="Gasto",I2492="Transferencia",I2492="Pago tarjeta"),-1,1)*O2492,0)+IF(AND(U2492&lt;&gt;"",IFERROR(INDEX(ctaLiq,MATCH(G2492,ctaNom,0))="Sí",FALSE)),O2492,0))</f>
        <v/>
      </c>
      <c r="W2492" s="19">
        <f>IF(OR(F2492="",I2492=""),"",IF(COUNTIFS(F$6:F2492,F2492,I$6:I2492,"?*")=1,MAX(W$5:W2491)+1,""))</f>
        <v/>
      </c>
    </row>
    <row r="2493">
      <c r="B2493" s="15" t="n"/>
      <c r="C2493" s="16" t="n"/>
      <c r="D2493" s="17" t="n"/>
      <c r="E2493" s="17" t="n"/>
      <c r="F2493" s="17" t="n"/>
      <c r="G2493" s="17" t="n"/>
      <c r="H2493" s="18">
        <f>IF(AND(B2493="",C2493="",D2493="",E2493=""),"",IF(B2493="","⚠ Falta fecha",IF(C2493="","⚠ Falta monto",IF(D2493="","⚠ Falta categoría",IF(ISNA(MATCH(D2493,catNom,0)),"⚠ Categoría no existe",IF(E2493="","⚠ Falta cuenta",IF(ISNA(MATCH(E2493,ctaNom,0)),"⚠ Cuenta no existe",IF(AND(OR(I2493="Transferencia",I2493="Pago tarjeta"),G2493=""),"⚠ Indica la cuenta «Hacia»",IF(AND(G2493&lt;&gt;"",G2493=E2493),"⚠ «Hacia» igual a la cuenta",IF(AND(G2493&lt;&gt;"",ISNA(MATCH(G2493,ctaNom,0))),"⚠ «Hacia» no existe",IF(AND(I2493="Pago tarjeta",IFERROR(INDEX(ctaTipo,MATCH(G2493,ctaNom,0)),"")&lt;&gt;"Tarjeta de crédito"),"⚠ «Hacia» debe ser la tarjeta",IF(AND(I2493="Trading",IFERROR(INDEX(ctaTipo,MATCH(E2493,ctaNom,0)),"")&lt;&gt;"Cuenta de trading"),"⚠ Usa la cuenta de trading","✓"))))))))))))</f>
        <v/>
      </c>
      <c r="I2493" s="19">
        <f>IF(OR(B2493="",C2493="",D2493=""),"",IFERROR(INDEX(catTipo,MATCH(D2493,catNom,0))&amp;"",""))</f>
        <v/>
      </c>
      <c r="J2493" s="19">
        <f>IF(I2493="","",IFERROR(INDEX(catGrupo,MATCH(D2493,catNom,0))&amp;"",""))</f>
        <v/>
      </c>
      <c r="K2493" s="19">
        <f>IF(I2493="Gasto",IF(IFERROR(INDEX(catClas,MATCH(D2493,catNom,0))&amp;"","")="","Variable",IFERROR(INDEX(catClas,MATCH(D2493,catNom,0))&amp;"","")),"")</f>
        <v/>
      </c>
      <c r="L2493" s="19">
        <f>IF(I2493="","",IFERROR(INDEX(catAlim,MATCH(D2493,catNom,0))&amp;"",""))</f>
        <v/>
      </c>
      <c r="M2493" s="19">
        <f>IF(I2493="","",IFERROR(INDEX(catComida,MATCH(D2493,catNom,0))&amp;"",""))</f>
        <v/>
      </c>
      <c r="N2493" s="19">
        <f>IF(I2493="","",IFERROR(INDEX(ctaMon,MATCH(E2493,ctaNom,0))&amp;"","DOP"))</f>
        <v/>
      </c>
      <c r="O2493" s="20">
        <f>IF(I2493="","",C2493*IF(N2493="USD",TasaUSD,1))</f>
        <v/>
      </c>
      <c r="P2493" s="20">
        <f>IF(I2493="","",IF(I2493="Gasto",O2493,0))</f>
        <v/>
      </c>
      <c r="Q2493" s="20">
        <f>IF(I2493="","",IF(I2493="Ingreso",O2493,0))</f>
        <v/>
      </c>
      <c r="R2493" s="20">
        <f>IF(I2493="","",IF(I2493="Trading",O2493,0))</f>
        <v/>
      </c>
      <c r="S2493" s="19">
        <f>IF(I2493="","",IF(AND(I2493="Gasto",K2493="Variable",J2493&lt;&gt;"Trading",O2493&gt;0,O2493&lt;=Umbral),1,0))</f>
        <v/>
      </c>
      <c r="T2493" s="20">
        <f>IF(OR(I2493="",E2493=""),"",IF(OR(I2493="Gasto",I2493="Transferencia",I2493="Pago tarjeta"),-1,1)*C2493)</f>
        <v/>
      </c>
      <c r="U2493" s="20">
        <f>IF(OR(G2493="",AND(I2493&lt;&gt;"Transferencia",I2493&lt;&gt;"Pago tarjeta")),"",IF(IFERROR(INDEX(ctaMon,MATCH(G2493,ctaNom,0))&amp;"","DOP")=N2493,C2493,IF(N2493="USD",C2493*TasaUSD,C2493/TasaUSD)))</f>
        <v/>
      </c>
      <c r="V2493" s="20">
        <f>IF(I2493="","",IF(IFERROR(INDEX(ctaLiq,MATCH(E2493,ctaNom,0))="Sí",FALSE),IF(OR(I2493="Gasto",I2493="Transferencia",I2493="Pago tarjeta"),-1,1)*O2493,0)+IF(AND(U2493&lt;&gt;"",IFERROR(INDEX(ctaLiq,MATCH(G2493,ctaNom,0))="Sí",FALSE)),O2493,0))</f>
        <v/>
      </c>
      <c r="W2493" s="19">
        <f>IF(OR(F2493="",I2493=""),"",IF(COUNTIFS(F$6:F2493,F2493,I$6:I2493,"?*")=1,MAX(W$5:W2492)+1,""))</f>
        <v/>
      </c>
    </row>
    <row r="2494">
      <c r="B2494" s="15" t="n"/>
      <c r="C2494" s="16" t="n"/>
      <c r="D2494" s="17" t="n"/>
      <c r="E2494" s="17" t="n"/>
      <c r="F2494" s="17" t="n"/>
      <c r="G2494" s="17" t="n"/>
      <c r="H2494" s="18">
        <f>IF(AND(B2494="",C2494="",D2494="",E2494=""),"",IF(B2494="","⚠ Falta fecha",IF(C2494="","⚠ Falta monto",IF(D2494="","⚠ Falta categoría",IF(ISNA(MATCH(D2494,catNom,0)),"⚠ Categoría no existe",IF(E2494="","⚠ Falta cuenta",IF(ISNA(MATCH(E2494,ctaNom,0)),"⚠ Cuenta no existe",IF(AND(OR(I2494="Transferencia",I2494="Pago tarjeta"),G2494=""),"⚠ Indica la cuenta «Hacia»",IF(AND(G2494&lt;&gt;"",G2494=E2494),"⚠ «Hacia» igual a la cuenta",IF(AND(G2494&lt;&gt;"",ISNA(MATCH(G2494,ctaNom,0))),"⚠ «Hacia» no existe",IF(AND(I2494="Pago tarjeta",IFERROR(INDEX(ctaTipo,MATCH(G2494,ctaNom,0)),"")&lt;&gt;"Tarjeta de crédito"),"⚠ «Hacia» debe ser la tarjeta",IF(AND(I2494="Trading",IFERROR(INDEX(ctaTipo,MATCH(E2494,ctaNom,0)),"")&lt;&gt;"Cuenta de trading"),"⚠ Usa la cuenta de trading","✓"))))))))))))</f>
        <v/>
      </c>
      <c r="I2494" s="19">
        <f>IF(OR(B2494="",C2494="",D2494=""),"",IFERROR(INDEX(catTipo,MATCH(D2494,catNom,0))&amp;"",""))</f>
        <v/>
      </c>
      <c r="J2494" s="19">
        <f>IF(I2494="","",IFERROR(INDEX(catGrupo,MATCH(D2494,catNom,0))&amp;"",""))</f>
        <v/>
      </c>
      <c r="K2494" s="19">
        <f>IF(I2494="Gasto",IF(IFERROR(INDEX(catClas,MATCH(D2494,catNom,0))&amp;"","")="","Variable",IFERROR(INDEX(catClas,MATCH(D2494,catNom,0))&amp;"","")),"")</f>
        <v/>
      </c>
      <c r="L2494" s="19">
        <f>IF(I2494="","",IFERROR(INDEX(catAlim,MATCH(D2494,catNom,0))&amp;"",""))</f>
        <v/>
      </c>
      <c r="M2494" s="19">
        <f>IF(I2494="","",IFERROR(INDEX(catComida,MATCH(D2494,catNom,0))&amp;"",""))</f>
        <v/>
      </c>
      <c r="N2494" s="19">
        <f>IF(I2494="","",IFERROR(INDEX(ctaMon,MATCH(E2494,ctaNom,0))&amp;"","DOP"))</f>
        <v/>
      </c>
      <c r="O2494" s="20">
        <f>IF(I2494="","",C2494*IF(N2494="USD",TasaUSD,1))</f>
        <v/>
      </c>
      <c r="P2494" s="20">
        <f>IF(I2494="","",IF(I2494="Gasto",O2494,0))</f>
        <v/>
      </c>
      <c r="Q2494" s="20">
        <f>IF(I2494="","",IF(I2494="Ingreso",O2494,0))</f>
        <v/>
      </c>
      <c r="R2494" s="20">
        <f>IF(I2494="","",IF(I2494="Trading",O2494,0))</f>
        <v/>
      </c>
      <c r="S2494" s="19">
        <f>IF(I2494="","",IF(AND(I2494="Gasto",K2494="Variable",J2494&lt;&gt;"Trading",O2494&gt;0,O2494&lt;=Umbral),1,0))</f>
        <v/>
      </c>
      <c r="T2494" s="20">
        <f>IF(OR(I2494="",E2494=""),"",IF(OR(I2494="Gasto",I2494="Transferencia",I2494="Pago tarjeta"),-1,1)*C2494)</f>
        <v/>
      </c>
      <c r="U2494" s="20">
        <f>IF(OR(G2494="",AND(I2494&lt;&gt;"Transferencia",I2494&lt;&gt;"Pago tarjeta")),"",IF(IFERROR(INDEX(ctaMon,MATCH(G2494,ctaNom,0))&amp;"","DOP")=N2494,C2494,IF(N2494="USD",C2494*TasaUSD,C2494/TasaUSD)))</f>
        <v/>
      </c>
      <c r="V2494" s="20">
        <f>IF(I2494="","",IF(IFERROR(INDEX(ctaLiq,MATCH(E2494,ctaNom,0))="Sí",FALSE),IF(OR(I2494="Gasto",I2494="Transferencia",I2494="Pago tarjeta"),-1,1)*O2494,0)+IF(AND(U2494&lt;&gt;"",IFERROR(INDEX(ctaLiq,MATCH(G2494,ctaNom,0))="Sí",FALSE)),O2494,0))</f>
        <v/>
      </c>
      <c r="W2494" s="19">
        <f>IF(OR(F2494="",I2494=""),"",IF(COUNTIFS(F$6:F2494,F2494,I$6:I2494,"?*")=1,MAX(W$5:W2493)+1,""))</f>
        <v/>
      </c>
    </row>
    <row r="2495">
      <c r="B2495" s="15" t="n"/>
      <c r="C2495" s="16" t="n"/>
      <c r="D2495" s="17" t="n"/>
      <c r="E2495" s="17" t="n"/>
      <c r="F2495" s="17" t="n"/>
      <c r="G2495" s="17" t="n"/>
      <c r="H2495" s="18">
        <f>IF(AND(B2495="",C2495="",D2495="",E2495=""),"",IF(B2495="","⚠ Falta fecha",IF(C2495="","⚠ Falta monto",IF(D2495="","⚠ Falta categoría",IF(ISNA(MATCH(D2495,catNom,0)),"⚠ Categoría no existe",IF(E2495="","⚠ Falta cuenta",IF(ISNA(MATCH(E2495,ctaNom,0)),"⚠ Cuenta no existe",IF(AND(OR(I2495="Transferencia",I2495="Pago tarjeta"),G2495=""),"⚠ Indica la cuenta «Hacia»",IF(AND(G2495&lt;&gt;"",G2495=E2495),"⚠ «Hacia» igual a la cuenta",IF(AND(G2495&lt;&gt;"",ISNA(MATCH(G2495,ctaNom,0))),"⚠ «Hacia» no existe",IF(AND(I2495="Pago tarjeta",IFERROR(INDEX(ctaTipo,MATCH(G2495,ctaNom,0)),"")&lt;&gt;"Tarjeta de crédito"),"⚠ «Hacia» debe ser la tarjeta",IF(AND(I2495="Trading",IFERROR(INDEX(ctaTipo,MATCH(E2495,ctaNom,0)),"")&lt;&gt;"Cuenta de trading"),"⚠ Usa la cuenta de trading","✓"))))))))))))</f>
        <v/>
      </c>
      <c r="I2495" s="19">
        <f>IF(OR(B2495="",C2495="",D2495=""),"",IFERROR(INDEX(catTipo,MATCH(D2495,catNom,0))&amp;"",""))</f>
        <v/>
      </c>
      <c r="J2495" s="19">
        <f>IF(I2495="","",IFERROR(INDEX(catGrupo,MATCH(D2495,catNom,0))&amp;"",""))</f>
        <v/>
      </c>
      <c r="K2495" s="19">
        <f>IF(I2495="Gasto",IF(IFERROR(INDEX(catClas,MATCH(D2495,catNom,0))&amp;"","")="","Variable",IFERROR(INDEX(catClas,MATCH(D2495,catNom,0))&amp;"","")),"")</f>
        <v/>
      </c>
      <c r="L2495" s="19">
        <f>IF(I2495="","",IFERROR(INDEX(catAlim,MATCH(D2495,catNom,0))&amp;"",""))</f>
        <v/>
      </c>
      <c r="M2495" s="19">
        <f>IF(I2495="","",IFERROR(INDEX(catComida,MATCH(D2495,catNom,0))&amp;"",""))</f>
        <v/>
      </c>
      <c r="N2495" s="19">
        <f>IF(I2495="","",IFERROR(INDEX(ctaMon,MATCH(E2495,ctaNom,0))&amp;"","DOP"))</f>
        <v/>
      </c>
      <c r="O2495" s="20">
        <f>IF(I2495="","",C2495*IF(N2495="USD",TasaUSD,1))</f>
        <v/>
      </c>
      <c r="P2495" s="20">
        <f>IF(I2495="","",IF(I2495="Gasto",O2495,0))</f>
        <v/>
      </c>
      <c r="Q2495" s="20">
        <f>IF(I2495="","",IF(I2495="Ingreso",O2495,0))</f>
        <v/>
      </c>
      <c r="R2495" s="20">
        <f>IF(I2495="","",IF(I2495="Trading",O2495,0))</f>
        <v/>
      </c>
      <c r="S2495" s="19">
        <f>IF(I2495="","",IF(AND(I2495="Gasto",K2495="Variable",J2495&lt;&gt;"Trading",O2495&gt;0,O2495&lt;=Umbral),1,0))</f>
        <v/>
      </c>
      <c r="T2495" s="20">
        <f>IF(OR(I2495="",E2495=""),"",IF(OR(I2495="Gasto",I2495="Transferencia",I2495="Pago tarjeta"),-1,1)*C2495)</f>
        <v/>
      </c>
      <c r="U2495" s="20">
        <f>IF(OR(G2495="",AND(I2495&lt;&gt;"Transferencia",I2495&lt;&gt;"Pago tarjeta")),"",IF(IFERROR(INDEX(ctaMon,MATCH(G2495,ctaNom,0))&amp;"","DOP")=N2495,C2495,IF(N2495="USD",C2495*TasaUSD,C2495/TasaUSD)))</f>
        <v/>
      </c>
      <c r="V2495" s="20">
        <f>IF(I2495="","",IF(IFERROR(INDEX(ctaLiq,MATCH(E2495,ctaNom,0))="Sí",FALSE),IF(OR(I2495="Gasto",I2495="Transferencia",I2495="Pago tarjeta"),-1,1)*O2495,0)+IF(AND(U2495&lt;&gt;"",IFERROR(INDEX(ctaLiq,MATCH(G2495,ctaNom,0))="Sí",FALSE)),O2495,0))</f>
        <v/>
      </c>
      <c r="W2495" s="19">
        <f>IF(OR(F2495="",I2495=""),"",IF(COUNTIFS(F$6:F2495,F2495,I$6:I2495,"?*")=1,MAX(W$5:W2494)+1,""))</f>
        <v/>
      </c>
    </row>
    <row r="2496">
      <c r="B2496" s="15" t="n"/>
      <c r="C2496" s="16" t="n"/>
      <c r="D2496" s="17" t="n"/>
      <c r="E2496" s="17" t="n"/>
      <c r="F2496" s="17" t="n"/>
      <c r="G2496" s="17" t="n"/>
      <c r="H2496" s="18">
        <f>IF(AND(B2496="",C2496="",D2496="",E2496=""),"",IF(B2496="","⚠ Falta fecha",IF(C2496="","⚠ Falta monto",IF(D2496="","⚠ Falta categoría",IF(ISNA(MATCH(D2496,catNom,0)),"⚠ Categoría no existe",IF(E2496="","⚠ Falta cuenta",IF(ISNA(MATCH(E2496,ctaNom,0)),"⚠ Cuenta no existe",IF(AND(OR(I2496="Transferencia",I2496="Pago tarjeta"),G2496=""),"⚠ Indica la cuenta «Hacia»",IF(AND(G2496&lt;&gt;"",G2496=E2496),"⚠ «Hacia» igual a la cuenta",IF(AND(G2496&lt;&gt;"",ISNA(MATCH(G2496,ctaNom,0))),"⚠ «Hacia» no existe",IF(AND(I2496="Pago tarjeta",IFERROR(INDEX(ctaTipo,MATCH(G2496,ctaNom,0)),"")&lt;&gt;"Tarjeta de crédito"),"⚠ «Hacia» debe ser la tarjeta",IF(AND(I2496="Trading",IFERROR(INDEX(ctaTipo,MATCH(E2496,ctaNom,0)),"")&lt;&gt;"Cuenta de trading"),"⚠ Usa la cuenta de trading","✓"))))))))))))</f>
        <v/>
      </c>
      <c r="I2496" s="19">
        <f>IF(OR(B2496="",C2496="",D2496=""),"",IFERROR(INDEX(catTipo,MATCH(D2496,catNom,0))&amp;"",""))</f>
        <v/>
      </c>
      <c r="J2496" s="19">
        <f>IF(I2496="","",IFERROR(INDEX(catGrupo,MATCH(D2496,catNom,0))&amp;"",""))</f>
        <v/>
      </c>
      <c r="K2496" s="19">
        <f>IF(I2496="Gasto",IF(IFERROR(INDEX(catClas,MATCH(D2496,catNom,0))&amp;"","")="","Variable",IFERROR(INDEX(catClas,MATCH(D2496,catNom,0))&amp;"","")),"")</f>
        <v/>
      </c>
      <c r="L2496" s="19">
        <f>IF(I2496="","",IFERROR(INDEX(catAlim,MATCH(D2496,catNom,0))&amp;"",""))</f>
        <v/>
      </c>
      <c r="M2496" s="19">
        <f>IF(I2496="","",IFERROR(INDEX(catComida,MATCH(D2496,catNom,0))&amp;"",""))</f>
        <v/>
      </c>
      <c r="N2496" s="19">
        <f>IF(I2496="","",IFERROR(INDEX(ctaMon,MATCH(E2496,ctaNom,0))&amp;"","DOP"))</f>
        <v/>
      </c>
      <c r="O2496" s="20">
        <f>IF(I2496="","",C2496*IF(N2496="USD",TasaUSD,1))</f>
        <v/>
      </c>
      <c r="P2496" s="20">
        <f>IF(I2496="","",IF(I2496="Gasto",O2496,0))</f>
        <v/>
      </c>
      <c r="Q2496" s="20">
        <f>IF(I2496="","",IF(I2496="Ingreso",O2496,0))</f>
        <v/>
      </c>
      <c r="R2496" s="20">
        <f>IF(I2496="","",IF(I2496="Trading",O2496,0))</f>
        <v/>
      </c>
      <c r="S2496" s="19">
        <f>IF(I2496="","",IF(AND(I2496="Gasto",K2496="Variable",J2496&lt;&gt;"Trading",O2496&gt;0,O2496&lt;=Umbral),1,0))</f>
        <v/>
      </c>
      <c r="T2496" s="20">
        <f>IF(OR(I2496="",E2496=""),"",IF(OR(I2496="Gasto",I2496="Transferencia",I2496="Pago tarjeta"),-1,1)*C2496)</f>
        <v/>
      </c>
      <c r="U2496" s="20">
        <f>IF(OR(G2496="",AND(I2496&lt;&gt;"Transferencia",I2496&lt;&gt;"Pago tarjeta")),"",IF(IFERROR(INDEX(ctaMon,MATCH(G2496,ctaNom,0))&amp;"","DOP")=N2496,C2496,IF(N2496="USD",C2496*TasaUSD,C2496/TasaUSD)))</f>
        <v/>
      </c>
      <c r="V2496" s="20">
        <f>IF(I2496="","",IF(IFERROR(INDEX(ctaLiq,MATCH(E2496,ctaNom,0))="Sí",FALSE),IF(OR(I2496="Gasto",I2496="Transferencia",I2496="Pago tarjeta"),-1,1)*O2496,0)+IF(AND(U2496&lt;&gt;"",IFERROR(INDEX(ctaLiq,MATCH(G2496,ctaNom,0))="Sí",FALSE)),O2496,0))</f>
        <v/>
      </c>
      <c r="W2496" s="19">
        <f>IF(OR(F2496="",I2496=""),"",IF(COUNTIFS(F$6:F2496,F2496,I$6:I2496,"?*")=1,MAX(W$5:W2495)+1,""))</f>
        <v/>
      </c>
    </row>
    <row r="2497">
      <c r="B2497" s="15" t="n"/>
      <c r="C2497" s="16" t="n"/>
      <c r="D2497" s="17" t="n"/>
      <c r="E2497" s="17" t="n"/>
      <c r="F2497" s="17" t="n"/>
      <c r="G2497" s="17" t="n"/>
      <c r="H2497" s="18">
        <f>IF(AND(B2497="",C2497="",D2497="",E2497=""),"",IF(B2497="","⚠ Falta fecha",IF(C2497="","⚠ Falta monto",IF(D2497="","⚠ Falta categoría",IF(ISNA(MATCH(D2497,catNom,0)),"⚠ Categoría no existe",IF(E2497="","⚠ Falta cuenta",IF(ISNA(MATCH(E2497,ctaNom,0)),"⚠ Cuenta no existe",IF(AND(OR(I2497="Transferencia",I2497="Pago tarjeta"),G2497=""),"⚠ Indica la cuenta «Hacia»",IF(AND(G2497&lt;&gt;"",G2497=E2497),"⚠ «Hacia» igual a la cuenta",IF(AND(G2497&lt;&gt;"",ISNA(MATCH(G2497,ctaNom,0))),"⚠ «Hacia» no existe",IF(AND(I2497="Pago tarjeta",IFERROR(INDEX(ctaTipo,MATCH(G2497,ctaNom,0)),"")&lt;&gt;"Tarjeta de crédito"),"⚠ «Hacia» debe ser la tarjeta",IF(AND(I2497="Trading",IFERROR(INDEX(ctaTipo,MATCH(E2497,ctaNom,0)),"")&lt;&gt;"Cuenta de trading"),"⚠ Usa la cuenta de trading","✓"))))))))))))</f>
        <v/>
      </c>
      <c r="I2497" s="19">
        <f>IF(OR(B2497="",C2497="",D2497=""),"",IFERROR(INDEX(catTipo,MATCH(D2497,catNom,0))&amp;"",""))</f>
        <v/>
      </c>
      <c r="J2497" s="19">
        <f>IF(I2497="","",IFERROR(INDEX(catGrupo,MATCH(D2497,catNom,0))&amp;"",""))</f>
        <v/>
      </c>
      <c r="K2497" s="19">
        <f>IF(I2497="Gasto",IF(IFERROR(INDEX(catClas,MATCH(D2497,catNom,0))&amp;"","")="","Variable",IFERROR(INDEX(catClas,MATCH(D2497,catNom,0))&amp;"","")),"")</f>
        <v/>
      </c>
      <c r="L2497" s="19">
        <f>IF(I2497="","",IFERROR(INDEX(catAlim,MATCH(D2497,catNom,0))&amp;"",""))</f>
        <v/>
      </c>
      <c r="M2497" s="19">
        <f>IF(I2497="","",IFERROR(INDEX(catComida,MATCH(D2497,catNom,0))&amp;"",""))</f>
        <v/>
      </c>
      <c r="N2497" s="19">
        <f>IF(I2497="","",IFERROR(INDEX(ctaMon,MATCH(E2497,ctaNom,0))&amp;"","DOP"))</f>
        <v/>
      </c>
      <c r="O2497" s="20">
        <f>IF(I2497="","",C2497*IF(N2497="USD",TasaUSD,1))</f>
        <v/>
      </c>
      <c r="P2497" s="20">
        <f>IF(I2497="","",IF(I2497="Gasto",O2497,0))</f>
        <v/>
      </c>
      <c r="Q2497" s="20">
        <f>IF(I2497="","",IF(I2497="Ingreso",O2497,0))</f>
        <v/>
      </c>
      <c r="R2497" s="20">
        <f>IF(I2497="","",IF(I2497="Trading",O2497,0))</f>
        <v/>
      </c>
      <c r="S2497" s="19">
        <f>IF(I2497="","",IF(AND(I2497="Gasto",K2497="Variable",J2497&lt;&gt;"Trading",O2497&gt;0,O2497&lt;=Umbral),1,0))</f>
        <v/>
      </c>
      <c r="T2497" s="20">
        <f>IF(OR(I2497="",E2497=""),"",IF(OR(I2497="Gasto",I2497="Transferencia",I2497="Pago tarjeta"),-1,1)*C2497)</f>
        <v/>
      </c>
      <c r="U2497" s="20">
        <f>IF(OR(G2497="",AND(I2497&lt;&gt;"Transferencia",I2497&lt;&gt;"Pago tarjeta")),"",IF(IFERROR(INDEX(ctaMon,MATCH(G2497,ctaNom,0))&amp;"","DOP")=N2497,C2497,IF(N2497="USD",C2497*TasaUSD,C2497/TasaUSD)))</f>
        <v/>
      </c>
      <c r="V2497" s="20">
        <f>IF(I2497="","",IF(IFERROR(INDEX(ctaLiq,MATCH(E2497,ctaNom,0))="Sí",FALSE),IF(OR(I2497="Gasto",I2497="Transferencia",I2497="Pago tarjeta"),-1,1)*O2497,0)+IF(AND(U2497&lt;&gt;"",IFERROR(INDEX(ctaLiq,MATCH(G2497,ctaNom,0))="Sí",FALSE)),O2497,0))</f>
        <v/>
      </c>
      <c r="W2497" s="19">
        <f>IF(OR(F2497="",I2497=""),"",IF(COUNTIFS(F$6:F2497,F2497,I$6:I2497,"?*")=1,MAX(W$5:W2496)+1,""))</f>
        <v/>
      </c>
    </row>
    <row r="2498">
      <c r="B2498" s="15" t="n"/>
      <c r="C2498" s="16" t="n"/>
      <c r="D2498" s="17" t="n"/>
      <c r="E2498" s="17" t="n"/>
      <c r="F2498" s="17" t="n"/>
      <c r="G2498" s="17" t="n"/>
      <c r="H2498" s="18">
        <f>IF(AND(B2498="",C2498="",D2498="",E2498=""),"",IF(B2498="","⚠ Falta fecha",IF(C2498="","⚠ Falta monto",IF(D2498="","⚠ Falta categoría",IF(ISNA(MATCH(D2498,catNom,0)),"⚠ Categoría no existe",IF(E2498="","⚠ Falta cuenta",IF(ISNA(MATCH(E2498,ctaNom,0)),"⚠ Cuenta no existe",IF(AND(OR(I2498="Transferencia",I2498="Pago tarjeta"),G2498=""),"⚠ Indica la cuenta «Hacia»",IF(AND(G2498&lt;&gt;"",G2498=E2498),"⚠ «Hacia» igual a la cuenta",IF(AND(G2498&lt;&gt;"",ISNA(MATCH(G2498,ctaNom,0))),"⚠ «Hacia» no existe",IF(AND(I2498="Pago tarjeta",IFERROR(INDEX(ctaTipo,MATCH(G2498,ctaNom,0)),"")&lt;&gt;"Tarjeta de crédito"),"⚠ «Hacia» debe ser la tarjeta",IF(AND(I2498="Trading",IFERROR(INDEX(ctaTipo,MATCH(E2498,ctaNom,0)),"")&lt;&gt;"Cuenta de trading"),"⚠ Usa la cuenta de trading","✓"))))))))))))</f>
        <v/>
      </c>
      <c r="I2498" s="19">
        <f>IF(OR(B2498="",C2498="",D2498=""),"",IFERROR(INDEX(catTipo,MATCH(D2498,catNom,0))&amp;"",""))</f>
        <v/>
      </c>
      <c r="J2498" s="19">
        <f>IF(I2498="","",IFERROR(INDEX(catGrupo,MATCH(D2498,catNom,0))&amp;"",""))</f>
        <v/>
      </c>
      <c r="K2498" s="19">
        <f>IF(I2498="Gasto",IF(IFERROR(INDEX(catClas,MATCH(D2498,catNom,0))&amp;"","")="","Variable",IFERROR(INDEX(catClas,MATCH(D2498,catNom,0))&amp;"","")),"")</f>
        <v/>
      </c>
      <c r="L2498" s="19">
        <f>IF(I2498="","",IFERROR(INDEX(catAlim,MATCH(D2498,catNom,0))&amp;"",""))</f>
        <v/>
      </c>
      <c r="M2498" s="19">
        <f>IF(I2498="","",IFERROR(INDEX(catComida,MATCH(D2498,catNom,0))&amp;"",""))</f>
        <v/>
      </c>
      <c r="N2498" s="19">
        <f>IF(I2498="","",IFERROR(INDEX(ctaMon,MATCH(E2498,ctaNom,0))&amp;"","DOP"))</f>
        <v/>
      </c>
      <c r="O2498" s="20">
        <f>IF(I2498="","",C2498*IF(N2498="USD",TasaUSD,1))</f>
        <v/>
      </c>
      <c r="P2498" s="20">
        <f>IF(I2498="","",IF(I2498="Gasto",O2498,0))</f>
        <v/>
      </c>
      <c r="Q2498" s="20">
        <f>IF(I2498="","",IF(I2498="Ingreso",O2498,0))</f>
        <v/>
      </c>
      <c r="R2498" s="20">
        <f>IF(I2498="","",IF(I2498="Trading",O2498,0))</f>
        <v/>
      </c>
      <c r="S2498" s="19">
        <f>IF(I2498="","",IF(AND(I2498="Gasto",K2498="Variable",J2498&lt;&gt;"Trading",O2498&gt;0,O2498&lt;=Umbral),1,0))</f>
        <v/>
      </c>
      <c r="T2498" s="20">
        <f>IF(OR(I2498="",E2498=""),"",IF(OR(I2498="Gasto",I2498="Transferencia",I2498="Pago tarjeta"),-1,1)*C2498)</f>
        <v/>
      </c>
      <c r="U2498" s="20">
        <f>IF(OR(G2498="",AND(I2498&lt;&gt;"Transferencia",I2498&lt;&gt;"Pago tarjeta")),"",IF(IFERROR(INDEX(ctaMon,MATCH(G2498,ctaNom,0))&amp;"","DOP")=N2498,C2498,IF(N2498="USD",C2498*TasaUSD,C2498/TasaUSD)))</f>
        <v/>
      </c>
      <c r="V2498" s="20">
        <f>IF(I2498="","",IF(IFERROR(INDEX(ctaLiq,MATCH(E2498,ctaNom,0))="Sí",FALSE),IF(OR(I2498="Gasto",I2498="Transferencia",I2498="Pago tarjeta"),-1,1)*O2498,0)+IF(AND(U2498&lt;&gt;"",IFERROR(INDEX(ctaLiq,MATCH(G2498,ctaNom,0))="Sí",FALSE)),O2498,0))</f>
        <v/>
      </c>
      <c r="W2498" s="19">
        <f>IF(OR(F2498="",I2498=""),"",IF(COUNTIFS(F$6:F2498,F2498,I$6:I2498,"?*")=1,MAX(W$5:W2497)+1,""))</f>
        <v/>
      </c>
    </row>
    <row r="2499">
      <c r="B2499" s="15" t="n"/>
      <c r="C2499" s="16" t="n"/>
      <c r="D2499" s="17" t="n"/>
      <c r="E2499" s="17" t="n"/>
      <c r="F2499" s="17" t="n"/>
      <c r="G2499" s="17" t="n"/>
      <c r="H2499" s="18">
        <f>IF(AND(B2499="",C2499="",D2499="",E2499=""),"",IF(B2499="","⚠ Falta fecha",IF(C2499="","⚠ Falta monto",IF(D2499="","⚠ Falta categoría",IF(ISNA(MATCH(D2499,catNom,0)),"⚠ Categoría no existe",IF(E2499="","⚠ Falta cuenta",IF(ISNA(MATCH(E2499,ctaNom,0)),"⚠ Cuenta no existe",IF(AND(OR(I2499="Transferencia",I2499="Pago tarjeta"),G2499=""),"⚠ Indica la cuenta «Hacia»",IF(AND(G2499&lt;&gt;"",G2499=E2499),"⚠ «Hacia» igual a la cuenta",IF(AND(G2499&lt;&gt;"",ISNA(MATCH(G2499,ctaNom,0))),"⚠ «Hacia» no existe",IF(AND(I2499="Pago tarjeta",IFERROR(INDEX(ctaTipo,MATCH(G2499,ctaNom,0)),"")&lt;&gt;"Tarjeta de crédito"),"⚠ «Hacia» debe ser la tarjeta",IF(AND(I2499="Trading",IFERROR(INDEX(ctaTipo,MATCH(E2499,ctaNom,0)),"")&lt;&gt;"Cuenta de trading"),"⚠ Usa la cuenta de trading","✓"))))))))))))</f>
        <v/>
      </c>
      <c r="I2499" s="19">
        <f>IF(OR(B2499="",C2499="",D2499=""),"",IFERROR(INDEX(catTipo,MATCH(D2499,catNom,0))&amp;"",""))</f>
        <v/>
      </c>
      <c r="J2499" s="19">
        <f>IF(I2499="","",IFERROR(INDEX(catGrupo,MATCH(D2499,catNom,0))&amp;"",""))</f>
        <v/>
      </c>
      <c r="K2499" s="19">
        <f>IF(I2499="Gasto",IF(IFERROR(INDEX(catClas,MATCH(D2499,catNom,0))&amp;"","")="","Variable",IFERROR(INDEX(catClas,MATCH(D2499,catNom,0))&amp;"","")),"")</f>
        <v/>
      </c>
      <c r="L2499" s="19">
        <f>IF(I2499="","",IFERROR(INDEX(catAlim,MATCH(D2499,catNom,0))&amp;"",""))</f>
        <v/>
      </c>
      <c r="M2499" s="19">
        <f>IF(I2499="","",IFERROR(INDEX(catComida,MATCH(D2499,catNom,0))&amp;"",""))</f>
        <v/>
      </c>
      <c r="N2499" s="19">
        <f>IF(I2499="","",IFERROR(INDEX(ctaMon,MATCH(E2499,ctaNom,0))&amp;"","DOP"))</f>
        <v/>
      </c>
      <c r="O2499" s="20">
        <f>IF(I2499="","",C2499*IF(N2499="USD",TasaUSD,1))</f>
        <v/>
      </c>
      <c r="P2499" s="20">
        <f>IF(I2499="","",IF(I2499="Gasto",O2499,0))</f>
        <v/>
      </c>
      <c r="Q2499" s="20">
        <f>IF(I2499="","",IF(I2499="Ingreso",O2499,0))</f>
        <v/>
      </c>
      <c r="R2499" s="20">
        <f>IF(I2499="","",IF(I2499="Trading",O2499,0))</f>
        <v/>
      </c>
      <c r="S2499" s="19">
        <f>IF(I2499="","",IF(AND(I2499="Gasto",K2499="Variable",J2499&lt;&gt;"Trading",O2499&gt;0,O2499&lt;=Umbral),1,0))</f>
        <v/>
      </c>
      <c r="T2499" s="20">
        <f>IF(OR(I2499="",E2499=""),"",IF(OR(I2499="Gasto",I2499="Transferencia",I2499="Pago tarjeta"),-1,1)*C2499)</f>
        <v/>
      </c>
      <c r="U2499" s="20">
        <f>IF(OR(G2499="",AND(I2499&lt;&gt;"Transferencia",I2499&lt;&gt;"Pago tarjeta")),"",IF(IFERROR(INDEX(ctaMon,MATCH(G2499,ctaNom,0))&amp;"","DOP")=N2499,C2499,IF(N2499="USD",C2499*TasaUSD,C2499/TasaUSD)))</f>
        <v/>
      </c>
      <c r="V2499" s="20">
        <f>IF(I2499="","",IF(IFERROR(INDEX(ctaLiq,MATCH(E2499,ctaNom,0))="Sí",FALSE),IF(OR(I2499="Gasto",I2499="Transferencia",I2499="Pago tarjeta"),-1,1)*O2499,0)+IF(AND(U2499&lt;&gt;"",IFERROR(INDEX(ctaLiq,MATCH(G2499,ctaNom,0))="Sí",FALSE)),O2499,0))</f>
        <v/>
      </c>
      <c r="W2499" s="19">
        <f>IF(OR(F2499="",I2499=""),"",IF(COUNTIFS(F$6:F2499,F2499,I$6:I2499,"?*")=1,MAX(W$5:W2498)+1,""))</f>
        <v/>
      </c>
    </row>
    <row r="2500">
      <c r="B2500" s="15" t="n"/>
      <c r="C2500" s="16" t="n"/>
      <c r="D2500" s="17" t="n"/>
      <c r="E2500" s="17" t="n"/>
      <c r="F2500" s="17" t="n"/>
      <c r="G2500" s="17" t="n"/>
      <c r="H2500" s="18">
        <f>IF(AND(B2500="",C2500="",D2500="",E2500=""),"",IF(B2500="","⚠ Falta fecha",IF(C2500="","⚠ Falta monto",IF(D2500="","⚠ Falta categoría",IF(ISNA(MATCH(D2500,catNom,0)),"⚠ Categoría no existe",IF(E2500="","⚠ Falta cuenta",IF(ISNA(MATCH(E2500,ctaNom,0)),"⚠ Cuenta no existe",IF(AND(OR(I2500="Transferencia",I2500="Pago tarjeta"),G2500=""),"⚠ Indica la cuenta «Hacia»",IF(AND(G2500&lt;&gt;"",G2500=E2500),"⚠ «Hacia» igual a la cuenta",IF(AND(G2500&lt;&gt;"",ISNA(MATCH(G2500,ctaNom,0))),"⚠ «Hacia» no existe",IF(AND(I2500="Pago tarjeta",IFERROR(INDEX(ctaTipo,MATCH(G2500,ctaNom,0)),"")&lt;&gt;"Tarjeta de crédito"),"⚠ «Hacia» debe ser la tarjeta",IF(AND(I2500="Trading",IFERROR(INDEX(ctaTipo,MATCH(E2500,ctaNom,0)),"")&lt;&gt;"Cuenta de trading"),"⚠ Usa la cuenta de trading","✓"))))))))))))</f>
        <v/>
      </c>
      <c r="I2500" s="19">
        <f>IF(OR(B2500="",C2500="",D2500=""),"",IFERROR(INDEX(catTipo,MATCH(D2500,catNom,0))&amp;"",""))</f>
        <v/>
      </c>
      <c r="J2500" s="19">
        <f>IF(I2500="","",IFERROR(INDEX(catGrupo,MATCH(D2500,catNom,0))&amp;"",""))</f>
        <v/>
      </c>
      <c r="K2500" s="19">
        <f>IF(I2500="Gasto",IF(IFERROR(INDEX(catClas,MATCH(D2500,catNom,0))&amp;"","")="","Variable",IFERROR(INDEX(catClas,MATCH(D2500,catNom,0))&amp;"","")),"")</f>
        <v/>
      </c>
      <c r="L2500" s="19">
        <f>IF(I2500="","",IFERROR(INDEX(catAlim,MATCH(D2500,catNom,0))&amp;"",""))</f>
        <v/>
      </c>
      <c r="M2500" s="19">
        <f>IF(I2500="","",IFERROR(INDEX(catComida,MATCH(D2500,catNom,0))&amp;"",""))</f>
        <v/>
      </c>
      <c r="N2500" s="19">
        <f>IF(I2500="","",IFERROR(INDEX(ctaMon,MATCH(E2500,ctaNom,0))&amp;"","DOP"))</f>
        <v/>
      </c>
      <c r="O2500" s="20">
        <f>IF(I2500="","",C2500*IF(N2500="USD",TasaUSD,1))</f>
        <v/>
      </c>
      <c r="P2500" s="20">
        <f>IF(I2500="","",IF(I2500="Gasto",O2500,0))</f>
        <v/>
      </c>
      <c r="Q2500" s="20">
        <f>IF(I2500="","",IF(I2500="Ingreso",O2500,0))</f>
        <v/>
      </c>
      <c r="R2500" s="20">
        <f>IF(I2500="","",IF(I2500="Trading",O2500,0))</f>
        <v/>
      </c>
      <c r="S2500" s="19">
        <f>IF(I2500="","",IF(AND(I2500="Gasto",K2500="Variable",J2500&lt;&gt;"Trading",O2500&gt;0,O2500&lt;=Umbral),1,0))</f>
        <v/>
      </c>
      <c r="T2500" s="20">
        <f>IF(OR(I2500="",E2500=""),"",IF(OR(I2500="Gasto",I2500="Transferencia",I2500="Pago tarjeta"),-1,1)*C2500)</f>
        <v/>
      </c>
      <c r="U2500" s="20">
        <f>IF(OR(G2500="",AND(I2500&lt;&gt;"Transferencia",I2500&lt;&gt;"Pago tarjeta")),"",IF(IFERROR(INDEX(ctaMon,MATCH(G2500,ctaNom,0))&amp;"","DOP")=N2500,C2500,IF(N2500="USD",C2500*TasaUSD,C2500/TasaUSD)))</f>
        <v/>
      </c>
      <c r="V2500" s="20">
        <f>IF(I2500="","",IF(IFERROR(INDEX(ctaLiq,MATCH(E2500,ctaNom,0))="Sí",FALSE),IF(OR(I2500="Gasto",I2500="Transferencia",I2500="Pago tarjeta"),-1,1)*O2500,0)+IF(AND(U2500&lt;&gt;"",IFERROR(INDEX(ctaLiq,MATCH(G2500,ctaNom,0))="Sí",FALSE)),O2500,0))</f>
        <v/>
      </c>
      <c r="W2500" s="19">
        <f>IF(OR(F2500="",I2500=""),"",IF(COUNTIFS(F$6:F2500,F2500,I$6:I2500,"?*")=1,MAX(W$5:W2499)+1,""))</f>
        <v/>
      </c>
    </row>
    <row r="2501">
      <c r="B2501" s="15" t="n"/>
      <c r="C2501" s="16" t="n"/>
      <c r="D2501" s="17" t="n"/>
      <c r="E2501" s="17" t="n"/>
      <c r="F2501" s="17" t="n"/>
      <c r="G2501" s="17" t="n"/>
      <c r="H2501" s="18">
        <f>IF(AND(B2501="",C2501="",D2501="",E2501=""),"",IF(B2501="","⚠ Falta fecha",IF(C2501="","⚠ Falta monto",IF(D2501="","⚠ Falta categoría",IF(ISNA(MATCH(D2501,catNom,0)),"⚠ Categoría no existe",IF(E2501="","⚠ Falta cuenta",IF(ISNA(MATCH(E2501,ctaNom,0)),"⚠ Cuenta no existe",IF(AND(OR(I2501="Transferencia",I2501="Pago tarjeta"),G2501=""),"⚠ Indica la cuenta «Hacia»",IF(AND(G2501&lt;&gt;"",G2501=E2501),"⚠ «Hacia» igual a la cuenta",IF(AND(G2501&lt;&gt;"",ISNA(MATCH(G2501,ctaNom,0))),"⚠ «Hacia» no existe",IF(AND(I2501="Pago tarjeta",IFERROR(INDEX(ctaTipo,MATCH(G2501,ctaNom,0)),"")&lt;&gt;"Tarjeta de crédito"),"⚠ «Hacia» debe ser la tarjeta",IF(AND(I2501="Trading",IFERROR(INDEX(ctaTipo,MATCH(E2501,ctaNom,0)),"")&lt;&gt;"Cuenta de trading"),"⚠ Usa la cuenta de trading","✓"))))))))))))</f>
        <v/>
      </c>
      <c r="I2501" s="19">
        <f>IF(OR(B2501="",C2501="",D2501=""),"",IFERROR(INDEX(catTipo,MATCH(D2501,catNom,0))&amp;"",""))</f>
        <v/>
      </c>
      <c r="J2501" s="19">
        <f>IF(I2501="","",IFERROR(INDEX(catGrupo,MATCH(D2501,catNom,0))&amp;"",""))</f>
        <v/>
      </c>
      <c r="K2501" s="19">
        <f>IF(I2501="Gasto",IF(IFERROR(INDEX(catClas,MATCH(D2501,catNom,0))&amp;"","")="","Variable",IFERROR(INDEX(catClas,MATCH(D2501,catNom,0))&amp;"","")),"")</f>
        <v/>
      </c>
      <c r="L2501" s="19">
        <f>IF(I2501="","",IFERROR(INDEX(catAlim,MATCH(D2501,catNom,0))&amp;"",""))</f>
        <v/>
      </c>
      <c r="M2501" s="19">
        <f>IF(I2501="","",IFERROR(INDEX(catComida,MATCH(D2501,catNom,0))&amp;"",""))</f>
        <v/>
      </c>
      <c r="N2501" s="19">
        <f>IF(I2501="","",IFERROR(INDEX(ctaMon,MATCH(E2501,ctaNom,0))&amp;"","DOP"))</f>
        <v/>
      </c>
      <c r="O2501" s="20">
        <f>IF(I2501="","",C2501*IF(N2501="USD",TasaUSD,1))</f>
        <v/>
      </c>
      <c r="P2501" s="20">
        <f>IF(I2501="","",IF(I2501="Gasto",O2501,0))</f>
        <v/>
      </c>
      <c r="Q2501" s="20">
        <f>IF(I2501="","",IF(I2501="Ingreso",O2501,0))</f>
        <v/>
      </c>
      <c r="R2501" s="20">
        <f>IF(I2501="","",IF(I2501="Trading",O2501,0))</f>
        <v/>
      </c>
      <c r="S2501" s="19">
        <f>IF(I2501="","",IF(AND(I2501="Gasto",K2501="Variable",J2501&lt;&gt;"Trading",O2501&gt;0,O2501&lt;=Umbral),1,0))</f>
        <v/>
      </c>
      <c r="T2501" s="20">
        <f>IF(OR(I2501="",E2501=""),"",IF(OR(I2501="Gasto",I2501="Transferencia",I2501="Pago tarjeta"),-1,1)*C2501)</f>
        <v/>
      </c>
      <c r="U2501" s="20">
        <f>IF(OR(G2501="",AND(I2501&lt;&gt;"Transferencia",I2501&lt;&gt;"Pago tarjeta")),"",IF(IFERROR(INDEX(ctaMon,MATCH(G2501,ctaNom,0))&amp;"","DOP")=N2501,C2501,IF(N2501="USD",C2501*TasaUSD,C2501/TasaUSD)))</f>
        <v/>
      </c>
      <c r="V2501" s="20">
        <f>IF(I2501="","",IF(IFERROR(INDEX(ctaLiq,MATCH(E2501,ctaNom,0))="Sí",FALSE),IF(OR(I2501="Gasto",I2501="Transferencia",I2501="Pago tarjeta"),-1,1)*O2501,0)+IF(AND(U2501&lt;&gt;"",IFERROR(INDEX(ctaLiq,MATCH(G2501,ctaNom,0))="Sí",FALSE)),O2501,0))</f>
        <v/>
      </c>
      <c r="W2501" s="19">
        <f>IF(OR(F2501="",I2501=""),"",IF(COUNTIFS(F$6:F2501,F2501,I$6:I2501,"?*")=1,MAX(W$5:W2500)+1,""))</f>
        <v/>
      </c>
    </row>
    <row r="2502">
      <c r="B2502" s="15" t="n"/>
      <c r="C2502" s="16" t="n"/>
      <c r="D2502" s="17" t="n"/>
      <c r="E2502" s="17" t="n"/>
      <c r="F2502" s="17" t="n"/>
      <c r="G2502" s="17" t="n"/>
      <c r="H2502" s="18">
        <f>IF(AND(B2502="",C2502="",D2502="",E2502=""),"",IF(B2502="","⚠ Falta fecha",IF(C2502="","⚠ Falta monto",IF(D2502="","⚠ Falta categoría",IF(ISNA(MATCH(D2502,catNom,0)),"⚠ Categoría no existe",IF(E2502="","⚠ Falta cuenta",IF(ISNA(MATCH(E2502,ctaNom,0)),"⚠ Cuenta no existe",IF(AND(OR(I2502="Transferencia",I2502="Pago tarjeta"),G2502=""),"⚠ Indica la cuenta «Hacia»",IF(AND(G2502&lt;&gt;"",G2502=E2502),"⚠ «Hacia» igual a la cuenta",IF(AND(G2502&lt;&gt;"",ISNA(MATCH(G2502,ctaNom,0))),"⚠ «Hacia» no existe",IF(AND(I2502="Pago tarjeta",IFERROR(INDEX(ctaTipo,MATCH(G2502,ctaNom,0)),"")&lt;&gt;"Tarjeta de crédito"),"⚠ «Hacia» debe ser la tarjeta",IF(AND(I2502="Trading",IFERROR(INDEX(ctaTipo,MATCH(E2502,ctaNom,0)),"")&lt;&gt;"Cuenta de trading"),"⚠ Usa la cuenta de trading","✓"))))))))))))</f>
        <v/>
      </c>
      <c r="I2502" s="19">
        <f>IF(OR(B2502="",C2502="",D2502=""),"",IFERROR(INDEX(catTipo,MATCH(D2502,catNom,0))&amp;"",""))</f>
        <v/>
      </c>
      <c r="J2502" s="19">
        <f>IF(I2502="","",IFERROR(INDEX(catGrupo,MATCH(D2502,catNom,0))&amp;"",""))</f>
        <v/>
      </c>
      <c r="K2502" s="19">
        <f>IF(I2502="Gasto",IF(IFERROR(INDEX(catClas,MATCH(D2502,catNom,0))&amp;"","")="","Variable",IFERROR(INDEX(catClas,MATCH(D2502,catNom,0))&amp;"","")),"")</f>
        <v/>
      </c>
      <c r="L2502" s="19">
        <f>IF(I2502="","",IFERROR(INDEX(catAlim,MATCH(D2502,catNom,0))&amp;"",""))</f>
        <v/>
      </c>
      <c r="M2502" s="19">
        <f>IF(I2502="","",IFERROR(INDEX(catComida,MATCH(D2502,catNom,0))&amp;"",""))</f>
        <v/>
      </c>
      <c r="N2502" s="19">
        <f>IF(I2502="","",IFERROR(INDEX(ctaMon,MATCH(E2502,ctaNom,0))&amp;"","DOP"))</f>
        <v/>
      </c>
      <c r="O2502" s="20">
        <f>IF(I2502="","",C2502*IF(N2502="USD",TasaUSD,1))</f>
        <v/>
      </c>
      <c r="P2502" s="20">
        <f>IF(I2502="","",IF(I2502="Gasto",O2502,0))</f>
        <v/>
      </c>
      <c r="Q2502" s="20">
        <f>IF(I2502="","",IF(I2502="Ingreso",O2502,0))</f>
        <v/>
      </c>
      <c r="R2502" s="20">
        <f>IF(I2502="","",IF(I2502="Trading",O2502,0))</f>
        <v/>
      </c>
      <c r="S2502" s="19">
        <f>IF(I2502="","",IF(AND(I2502="Gasto",K2502="Variable",J2502&lt;&gt;"Trading",O2502&gt;0,O2502&lt;=Umbral),1,0))</f>
        <v/>
      </c>
      <c r="T2502" s="20">
        <f>IF(OR(I2502="",E2502=""),"",IF(OR(I2502="Gasto",I2502="Transferencia",I2502="Pago tarjeta"),-1,1)*C2502)</f>
        <v/>
      </c>
      <c r="U2502" s="20">
        <f>IF(OR(G2502="",AND(I2502&lt;&gt;"Transferencia",I2502&lt;&gt;"Pago tarjeta")),"",IF(IFERROR(INDEX(ctaMon,MATCH(G2502,ctaNom,0))&amp;"","DOP")=N2502,C2502,IF(N2502="USD",C2502*TasaUSD,C2502/TasaUSD)))</f>
        <v/>
      </c>
      <c r="V2502" s="20">
        <f>IF(I2502="","",IF(IFERROR(INDEX(ctaLiq,MATCH(E2502,ctaNom,0))="Sí",FALSE),IF(OR(I2502="Gasto",I2502="Transferencia",I2502="Pago tarjeta"),-1,1)*O2502,0)+IF(AND(U2502&lt;&gt;"",IFERROR(INDEX(ctaLiq,MATCH(G2502,ctaNom,0))="Sí",FALSE)),O2502,0))</f>
        <v/>
      </c>
      <c r="W2502" s="19">
        <f>IF(OR(F2502="",I2502=""),"",IF(COUNTIFS(F$6:F2502,F2502,I$6:I2502,"?*")=1,MAX(W$5:W2501)+1,""))</f>
        <v/>
      </c>
    </row>
    <row r="2503">
      <c r="B2503" s="15" t="n"/>
      <c r="C2503" s="16" t="n"/>
      <c r="D2503" s="17" t="n"/>
      <c r="E2503" s="17" t="n"/>
      <c r="F2503" s="17" t="n"/>
      <c r="G2503" s="17" t="n"/>
      <c r="H2503" s="18">
        <f>IF(AND(B2503="",C2503="",D2503="",E2503=""),"",IF(B2503="","⚠ Falta fecha",IF(C2503="","⚠ Falta monto",IF(D2503="","⚠ Falta categoría",IF(ISNA(MATCH(D2503,catNom,0)),"⚠ Categoría no existe",IF(E2503="","⚠ Falta cuenta",IF(ISNA(MATCH(E2503,ctaNom,0)),"⚠ Cuenta no existe",IF(AND(OR(I2503="Transferencia",I2503="Pago tarjeta"),G2503=""),"⚠ Indica la cuenta «Hacia»",IF(AND(G2503&lt;&gt;"",G2503=E2503),"⚠ «Hacia» igual a la cuenta",IF(AND(G2503&lt;&gt;"",ISNA(MATCH(G2503,ctaNom,0))),"⚠ «Hacia» no existe",IF(AND(I2503="Pago tarjeta",IFERROR(INDEX(ctaTipo,MATCH(G2503,ctaNom,0)),"")&lt;&gt;"Tarjeta de crédito"),"⚠ «Hacia» debe ser la tarjeta",IF(AND(I2503="Trading",IFERROR(INDEX(ctaTipo,MATCH(E2503,ctaNom,0)),"")&lt;&gt;"Cuenta de trading"),"⚠ Usa la cuenta de trading","✓"))))))))))))</f>
        <v/>
      </c>
      <c r="I2503" s="19">
        <f>IF(OR(B2503="",C2503="",D2503=""),"",IFERROR(INDEX(catTipo,MATCH(D2503,catNom,0))&amp;"",""))</f>
        <v/>
      </c>
      <c r="J2503" s="19">
        <f>IF(I2503="","",IFERROR(INDEX(catGrupo,MATCH(D2503,catNom,0))&amp;"",""))</f>
        <v/>
      </c>
      <c r="K2503" s="19">
        <f>IF(I2503="Gasto",IF(IFERROR(INDEX(catClas,MATCH(D2503,catNom,0))&amp;"","")="","Variable",IFERROR(INDEX(catClas,MATCH(D2503,catNom,0))&amp;"","")),"")</f>
        <v/>
      </c>
      <c r="L2503" s="19">
        <f>IF(I2503="","",IFERROR(INDEX(catAlim,MATCH(D2503,catNom,0))&amp;"",""))</f>
        <v/>
      </c>
      <c r="M2503" s="19">
        <f>IF(I2503="","",IFERROR(INDEX(catComida,MATCH(D2503,catNom,0))&amp;"",""))</f>
        <v/>
      </c>
      <c r="N2503" s="19">
        <f>IF(I2503="","",IFERROR(INDEX(ctaMon,MATCH(E2503,ctaNom,0))&amp;"","DOP"))</f>
        <v/>
      </c>
      <c r="O2503" s="20">
        <f>IF(I2503="","",C2503*IF(N2503="USD",TasaUSD,1))</f>
        <v/>
      </c>
      <c r="P2503" s="20">
        <f>IF(I2503="","",IF(I2503="Gasto",O2503,0))</f>
        <v/>
      </c>
      <c r="Q2503" s="20">
        <f>IF(I2503="","",IF(I2503="Ingreso",O2503,0))</f>
        <v/>
      </c>
      <c r="R2503" s="20">
        <f>IF(I2503="","",IF(I2503="Trading",O2503,0))</f>
        <v/>
      </c>
      <c r="S2503" s="19">
        <f>IF(I2503="","",IF(AND(I2503="Gasto",K2503="Variable",J2503&lt;&gt;"Trading",O2503&gt;0,O2503&lt;=Umbral),1,0))</f>
        <v/>
      </c>
      <c r="T2503" s="20">
        <f>IF(OR(I2503="",E2503=""),"",IF(OR(I2503="Gasto",I2503="Transferencia",I2503="Pago tarjeta"),-1,1)*C2503)</f>
        <v/>
      </c>
      <c r="U2503" s="20">
        <f>IF(OR(G2503="",AND(I2503&lt;&gt;"Transferencia",I2503&lt;&gt;"Pago tarjeta")),"",IF(IFERROR(INDEX(ctaMon,MATCH(G2503,ctaNom,0))&amp;"","DOP")=N2503,C2503,IF(N2503="USD",C2503*TasaUSD,C2503/TasaUSD)))</f>
        <v/>
      </c>
      <c r="V2503" s="20">
        <f>IF(I2503="","",IF(IFERROR(INDEX(ctaLiq,MATCH(E2503,ctaNom,0))="Sí",FALSE),IF(OR(I2503="Gasto",I2503="Transferencia",I2503="Pago tarjeta"),-1,1)*O2503,0)+IF(AND(U2503&lt;&gt;"",IFERROR(INDEX(ctaLiq,MATCH(G2503,ctaNom,0))="Sí",FALSE)),O2503,0))</f>
        <v/>
      </c>
      <c r="W2503" s="19">
        <f>IF(OR(F2503="",I2503=""),"",IF(COUNTIFS(F$6:F2503,F2503,I$6:I2503,"?*")=1,MAX(W$5:W2502)+1,""))</f>
        <v/>
      </c>
    </row>
    <row r="2504">
      <c r="B2504" s="15" t="n"/>
      <c r="C2504" s="16" t="n"/>
      <c r="D2504" s="17" t="n"/>
      <c r="E2504" s="17" t="n"/>
      <c r="F2504" s="17" t="n"/>
      <c r="G2504" s="17" t="n"/>
      <c r="H2504" s="18">
        <f>IF(AND(B2504="",C2504="",D2504="",E2504=""),"",IF(B2504="","⚠ Falta fecha",IF(C2504="","⚠ Falta monto",IF(D2504="","⚠ Falta categoría",IF(ISNA(MATCH(D2504,catNom,0)),"⚠ Categoría no existe",IF(E2504="","⚠ Falta cuenta",IF(ISNA(MATCH(E2504,ctaNom,0)),"⚠ Cuenta no existe",IF(AND(OR(I2504="Transferencia",I2504="Pago tarjeta"),G2504=""),"⚠ Indica la cuenta «Hacia»",IF(AND(G2504&lt;&gt;"",G2504=E2504),"⚠ «Hacia» igual a la cuenta",IF(AND(G2504&lt;&gt;"",ISNA(MATCH(G2504,ctaNom,0))),"⚠ «Hacia» no existe",IF(AND(I2504="Pago tarjeta",IFERROR(INDEX(ctaTipo,MATCH(G2504,ctaNom,0)),"")&lt;&gt;"Tarjeta de crédito"),"⚠ «Hacia» debe ser la tarjeta",IF(AND(I2504="Trading",IFERROR(INDEX(ctaTipo,MATCH(E2504,ctaNom,0)),"")&lt;&gt;"Cuenta de trading"),"⚠ Usa la cuenta de trading","✓"))))))))))))</f>
        <v/>
      </c>
      <c r="I2504" s="19">
        <f>IF(OR(B2504="",C2504="",D2504=""),"",IFERROR(INDEX(catTipo,MATCH(D2504,catNom,0))&amp;"",""))</f>
        <v/>
      </c>
      <c r="J2504" s="19">
        <f>IF(I2504="","",IFERROR(INDEX(catGrupo,MATCH(D2504,catNom,0))&amp;"",""))</f>
        <v/>
      </c>
      <c r="K2504" s="19">
        <f>IF(I2504="Gasto",IF(IFERROR(INDEX(catClas,MATCH(D2504,catNom,0))&amp;"","")="","Variable",IFERROR(INDEX(catClas,MATCH(D2504,catNom,0))&amp;"","")),"")</f>
        <v/>
      </c>
      <c r="L2504" s="19">
        <f>IF(I2504="","",IFERROR(INDEX(catAlim,MATCH(D2504,catNom,0))&amp;"",""))</f>
        <v/>
      </c>
      <c r="M2504" s="19">
        <f>IF(I2504="","",IFERROR(INDEX(catComida,MATCH(D2504,catNom,0))&amp;"",""))</f>
        <v/>
      </c>
      <c r="N2504" s="19">
        <f>IF(I2504="","",IFERROR(INDEX(ctaMon,MATCH(E2504,ctaNom,0))&amp;"","DOP"))</f>
        <v/>
      </c>
      <c r="O2504" s="20">
        <f>IF(I2504="","",C2504*IF(N2504="USD",TasaUSD,1))</f>
        <v/>
      </c>
      <c r="P2504" s="20">
        <f>IF(I2504="","",IF(I2504="Gasto",O2504,0))</f>
        <v/>
      </c>
      <c r="Q2504" s="20">
        <f>IF(I2504="","",IF(I2504="Ingreso",O2504,0))</f>
        <v/>
      </c>
      <c r="R2504" s="20">
        <f>IF(I2504="","",IF(I2504="Trading",O2504,0))</f>
        <v/>
      </c>
      <c r="S2504" s="19">
        <f>IF(I2504="","",IF(AND(I2504="Gasto",K2504="Variable",J2504&lt;&gt;"Trading",O2504&gt;0,O2504&lt;=Umbral),1,0))</f>
        <v/>
      </c>
      <c r="T2504" s="20">
        <f>IF(OR(I2504="",E2504=""),"",IF(OR(I2504="Gasto",I2504="Transferencia",I2504="Pago tarjeta"),-1,1)*C2504)</f>
        <v/>
      </c>
      <c r="U2504" s="20">
        <f>IF(OR(G2504="",AND(I2504&lt;&gt;"Transferencia",I2504&lt;&gt;"Pago tarjeta")),"",IF(IFERROR(INDEX(ctaMon,MATCH(G2504,ctaNom,0))&amp;"","DOP")=N2504,C2504,IF(N2504="USD",C2504*TasaUSD,C2504/TasaUSD)))</f>
        <v/>
      </c>
      <c r="V2504" s="20">
        <f>IF(I2504="","",IF(IFERROR(INDEX(ctaLiq,MATCH(E2504,ctaNom,0))="Sí",FALSE),IF(OR(I2504="Gasto",I2504="Transferencia",I2504="Pago tarjeta"),-1,1)*O2504,0)+IF(AND(U2504&lt;&gt;"",IFERROR(INDEX(ctaLiq,MATCH(G2504,ctaNom,0))="Sí",FALSE)),O2504,0))</f>
        <v/>
      </c>
      <c r="W2504" s="19">
        <f>IF(OR(F2504="",I2504=""),"",IF(COUNTIFS(F$6:F2504,F2504,I$6:I2504,"?*")=1,MAX(W$5:W2503)+1,""))</f>
        <v/>
      </c>
    </row>
    <row r="2505">
      <c r="B2505" s="15" t="n"/>
      <c r="C2505" s="16" t="n"/>
      <c r="D2505" s="17" t="n"/>
      <c r="E2505" s="17" t="n"/>
      <c r="F2505" s="17" t="n"/>
      <c r="G2505" s="17" t="n"/>
      <c r="H2505" s="18">
        <f>IF(AND(B2505="",C2505="",D2505="",E2505=""),"",IF(B2505="","⚠ Falta fecha",IF(C2505="","⚠ Falta monto",IF(D2505="","⚠ Falta categoría",IF(ISNA(MATCH(D2505,catNom,0)),"⚠ Categoría no existe",IF(E2505="","⚠ Falta cuenta",IF(ISNA(MATCH(E2505,ctaNom,0)),"⚠ Cuenta no existe",IF(AND(OR(I2505="Transferencia",I2505="Pago tarjeta"),G2505=""),"⚠ Indica la cuenta «Hacia»",IF(AND(G2505&lt;&gt;"",G2505=E2505),"⚠ «Hacia» igual a la cuenta",IF(AND(G2505&lt;&gt;"",ISNA(MATCH(G2505,ctaNom,0))),"⚠ «Hacia» no existe",IF(AND(I2505="Pago tarjeta",IFERROR(INDEX(ctaTipo,MATCH(G2505,ctaNom,0)),"")&lt;&gt;"Tarjeta de crédito"),"⚠ «Hacia» debe ser la tarjeta",IF(AND(I2505="Trading",IFERROR(INDEX(ctaTipo,MATCH(E2505,ctaNom,0)),"")&lt;&gt;"Cuenta de trading"),"⚠ Usa la cuenta de trading","✓"))))))))))))</f>
        <v/>
      </c>
      <c r="I2505" s="19">
        <f>IF(OR(B2505="",C2505="",D2505=""),"",IFERROR(INDEX(catTipo,MATCH(D2505,catNom,0))&amp;"",""))</f>
        <v/>
      </c>
      <c r="J2505" s="19">
        <f>IF(I2505="","",IFERROR(INDEX(catGrupo,MATCH(D2505,catNom,0))&amp;"",""))</f>
        <v/>
      </c>
      <c r="K2505" s="19">
        <f>IF(I2505="Gasto",IF(IFERROR(INDEX(catClas,MATCH(D2505,catNom,0))&amp;"","")="","Variable",IFERROR(INDEX(catClas,MATCH(D2505,catNom,0))&amp;"","")),"")</f>
        <v/>
      </c>
      <c r="L2505" s="19">
        <f>IF(I2505="","",IFERROR(INDEX(catAlim,MATCH(D2505,catNom,0))&amp;"",""))</f>
        <v/>
      </c>
      <c r="M2505" s="19">
        <f>IF(I2505="","",IFERROR(INDEX(catComida,MATCH(D2505,catNom,0))&amp;"",""))</f>
        <v/>
      </c>
      <c r="N2505" s="19">
        <f>IF(I2505="","",IFERROR(INDEX(ctaMon,MATCH(E2505,ctaNom,0))&amp;"","DOP"))</f>
        <v/>
      </c>
      <c r="O2505" s="20">
        <f>IF(I2505="","",C2505*IF(N2505="USD",TasaUSD,1))</f>
        <v/>
      </c>
      <c r="P2505" s="20">
        <f>IF(I2505="","",IF(I2505="Gasto",O2505,0))</f>
        <v/>
      </c>
      <c r="Q2505" s="20">
        <f>IF(I2505="","",IF(I2505="Ingreso",O2505,0))</f>
        <v/>
      </c>
      <c r="R2505" s="20">
        <f>IF(I2505="","",IF(I2505="Trading",O2505,0))</f>
        <v/>
      </c>
      <c r="S2505" s="19">
        <f>IF(I2505="","",IF(AND(I2505="Gasto",K2505="Variable",J2505&lt;&gt;"Trading",O2505&gt;0,O2505&lt;=Umbral),1,0))</f>
        <v/>
      </c>
      <c r="T2505" s="20">
        <f>IF(OR(I2505="",E2505=""),"",IF(OR(I2505="Gasto",I2505="Transferencia",I2505="Pago tarjeta"),-1,1)*C2505)</f>
        <v/>
      </c>
      <c r="U2505" s="20">
        <f>IF(OR(G2505="",AND(I2505&lt;&gt;"Transferencia",I2505&lt;&gt;"Pago tarjeta")),"",IF(IFERROR(INDEX(ctaMon,MATCH(G2505,ctaNom,0))&amp;"","DOP")=N2505,C2505,IF(N2505="USD",C2505*TasaUSD,C2505/TasaUSD)))</f>
        <v/>
      </c>
      <c r="V2505" s="20">
        <f>IF(I2505="","",IF(IFERROR(INDEX(ctaLiq,MATCH(E2505,ctaNom,0))="Sí",FALSE),IF(OR(I2505="Gasto",I2505="Transferencia",I2505="Pago tarjeta"),-1,1)*O2505,0)+IF(AND(U2505&lt;&gt;"",IFERROR(INDEX(ctaLiq,MATCH(G2505,ctaNom,0))="Sí",FALSE)),O2505,0))</f>
        <v/>
      </c>
      <c r="W2505" s="19">
        <f>IF(OR(F2505="",I2505=""),"",IF(COUNTIFS(F$6:F2505,F2505,I$6:I2505,"?*")=1,MAX(W$5:W2504)+1,""))</f>
        <v/>
      </c>
    </row>
    <row r="2506">
      <c r="B2506" s="15" t="n"/>
      <c r="C2506" s="16" t="n"/>
      <c r="D2506" s="17" t="n"/>
      <c r="E2506" s="17" t="n"/>
      <c r="F2506" s="17" t="n"/>
      <c r="G2506" s="17" t="n"/>
      <c r="H2506" s="18">
        <f>IF(AND(B2506="",C2506="",D2506="",E2506=""),"",IF(B2506="","⚠ Falta fecha",IF(C2506="","⚠ Falta monto",IF(D2506="","⚠ Falta categoría",IF(ISNA(MATCH(D2506,catNom,0)),"⚠ Categoría no existe",IF(E2506="","⚠ Falta cuenta",IF(ISNA(MATCH(E2506,ctaNom,0)),"⚠ Cuenta no existe",IF(AND(OR(I2506="Transferencia",I2506="Pago tarjeta"),G2506=""),"⚠ Indica la cuenta «Hacia»",IF(AND(G2506&lt;&gt;"",G2506=E2506),"⚠ «Hacia» igual a la cuenta",IF(AND(G2506&lt;&gt;"",ISNA(MATCH(G2506,ctaNom,0))),"⚠ «Hacia» no existe",IF(AND(I2506="Pago tarjeta",IFERROR(INDEX(ctaTipo,MATCH(G2506,ctaNom,0)),"")&lt;&gt;"Tarjeta de crédito"),"⚠ «Hacia» debe ser la tarjeta",IF(AND(I2506="Trading",IFERROR(INDEX(ctaTipo,MATCH(E2506,ctaNom,0)),"")&lt;&gt;"Cuenta de trading"),"⚠ Usa la cuenta de trading","✓"))))))))))))</f>
        <v/>
      </c>
      <c r="I2506" s="19">
        <f>IF(OR(B2506="",C2506="",D2506=""),"",IFERROR(INDEX(catTipo,MATCH(D2506,catNom,0))&amp;"",""))</f>
        <v/>
      </c>
      <c r="J2506" s="19">
        <f>IF(I2506="","",IFERROR(INDEX(catGrupo,MATCH(D2506,catNom,0))&amp;"",""))</f>
        <v/>
      </c>
      <c r="K2506" s="19">
        <f>IF(I2506="Gasto",IF(IFERROR(INDEX(catClas,MATCH(D2506,catNom,0))&amp;"","")="","Variable",IFERROR(INDEX(catClas,MATCH(D2506,catNom,0))&amp;"","")),"")</f>
        <v/>
      </c>
      <c r="L2506" s="19">
        <f>IF(I2506="","",IFERROR(INDEX(catAlim,MATCH(D2506,catNom,0))&amp;"",""))</f>
        <v/>
      </c>
      <c r="M2506" s="19">
        <f>IF(I2506="","",IFERROR(INDEX(catComida,MATCH(D2506,catNom,0))&amp;"",""))</f>
        <v/>
      </c>
      <c r="N2506" s="19">
        <f>IF(I2506="","",IFERROR(INDEX(ctaMon,MATCH(E2506,ctaNom,0))&amp;"","DOP"))</f>
        <v/>
      </c>
      <c r="O2506" s="20">
        <f>IF(I2506="","",C2506*IF(N2506="USD",TasaUSD,1))</f>
        <v/>
      </c>
      <c r="P2506" s="20">
        <f>IF(I2506="","",IF(I2506="Gasto",O2506,0))</f>
        <v/>
      </c>
      <c r="Q2506" s="20">
        <f>IF(I2506="","",IF(I2506="Ingreso",O2506,0))</f>
        <v/>
      </c>
      <c r="R2506" s="20">
        <f>IF(I2506="","",IF(I2506="Trading",O2506,0))</f>
        <v/>
      </c>
      <c r="S2506" s="19">
        <f>IF(I2506="","",IF(AND(I2506="Gasto",K2506="Variable",J2506&lt;&gt;"Trading",O2506&gt;0,O2506&lt;=Umbral),1,0))</f>
        <v/>
      </c>
      <c r="T2506" s="20">
        <f>IF(OR(I2506="",E2506=""),"",IF(OR(I2506="Gasto",I2506="Transferencia",I2506="Pago tarjeta"),-1,1)*C2506)</f>
        <v/>
      </c>
      <c r="U2506" s="20">
        <f>IF(OR(G2506="",AND(I2506&lt;&gt;"Transferencia",I2506&lt;&gt;"Pago tarjeta")),"",IF(IFERROR(INDEX(ctaMon,MATCH(G2506,ctaNom,0))&amp;"","DOP")=N2506,C2506,IF(N2506="USD",C2506*TasaUSD,C2506/TasaUSD)))</f>
        <v/>
      </c>
      <c r="V2506" s="20">
        <f>IF(I2506="","",IF(IFERROR(INDEX(ctaLiq,MATCH(E2506,ctaNom,0))="Sí",FALSE),IF(OR(I2506="Gasto",I2506="Transferencia",I2506="Pago tarjeta"),-1,1)*O2506,0)+IF(AND(U2506&lt;&gt;"",IFERROR(INDEX(ctaLiq,MATCH(G2506,ctaNom,0))="Sí",FALSE)),O2506,0))</f>
        <v/>
      </c>
      <c r="W2506" s="19">
        <f>IF(OR(F2506="",I2506=""),"",IF(COUNTIFS(F$6:F2506,F2506,I$6:I2506,"?*")=1,MAX(W$5:W2505)+1,""))</f>
        <v/>
      </c>
    </row>
    <row r="2507">
      <c r="B2507" s="15" t="n"/>
      <c r="C2507" s="16" t="n"/>
      <c r="D2507" s="17" t="n"/>
      <c r="E2507" s="17" t="n"/>
      <c r="F2507" s="17" t="n"/>
      <c r="G2507" s="17" t="n"/>
      <c r="H2507" s="18">
        <f>IF(AND(B2507="",C2507="",D2507="",E2507=""),"",IF(B2507="","⚠ Falta fecha",IF(C2507="","⚠ Falta monto",IF(D2507="","⚠ Falta categoría",IF(ISNA(MATCH(D2507,catNom,0)),"⚠ Categoría no existe",IF(E2507="","⚠ Falta cuenta",IF(ISNA(MATCH(E2507,ctaNom,0)),"⚠ Cuenta no existe",IF(AND(OR(I2507="Transferencia",I2507="Pago tarjeta"),G2507=""),"⚠ Indica la cuenta «Hacia»",IF(AND(G2507&lt;&gt;"",G2507=E2507),"⚠ «Hacia» igual a la cuenta",IF(AND(G2507&lt;&gt;"",ISNA(MATCH(G2507,ctaNom,0))),"⚠ «Hacia» no existe",IF(AND(I2507="Pago tarjeta",IFERROR(INDEX(ctaTipo,MATCH(G2507,ctaNom,0)),"")&lt;&gt;"Tarjeta de crédito"),"⚠ «Hacia» debe ser la tarjeta",IF(AND(I2507="Trading",IFERROR(INDEX(ctaTipo,MATCH(E2507,ctaNom,0)),"")&lt;&gt;"Cuenta de trading"),"⚠ Usa la cuenta de trading","✓"))))))))))))</f>
        <v/>
      </c>
      <c r="I2507" s="19">
        <f>IF(OR(B2507="",C2507="",D2507=""),"",IFERROR(INDEX(catTipo,MATCH(D2507,catNom,0))&amp;"",""))</f>
        <v/>
      </c>
      <c r="J2507" s="19">
        <f>IF(I2507="","",IFERROR(INDEX(catGrupo,MATCH(D2507,catNom,0))&amp;"",""))</f>
        <v/>
      </c>
      <c r="K2507" s="19">
        <f>IF(I2507="Gasto",IF(IFERROR(INDEX(catClas,MATCH(D2507,catNom,0))&amp;"","")="","Variable",IFERROR(INDEX(catClas,MATCH(D2507,catNom,0))&amp;"","")),"")</f>
        <v/>
      </c>
      <c r="L2507" s="19">
        <f>IF(I2507="","",IFERROR(INDEX(catAlim,MATCH(D2507,catNom,0))&amp;"",""))</f>
        <v/>
      </c>
      <c r="M2507" s="19">
        <f>IF(I2507="","",IFERROR(INDEX(catComida,MATCH(D2507,catNom,0))&amp;"",""))</f>
        <v/>
      </c>
      <c r="N2507" s="19">
        <f>IF(I2507="","",IFERROR(INDEX(ctaMon,MATCH(E2507,ctaNom,0))&amp;"","DOP"))</f>
        <v/>
      </c>
      <c r="O2507" s="20">
        <f>IF(I2507="","",C2507*IF(N2507="USD",TasaUSD,1))</f>
        <v/>
      </c>
      <c r="P2507" s="20">
        <f>IF(I2507="","",IF(I2507="Gasto",O2507,0))</f>
        <v/>
      </c>
      <c r="Q2507" s="20">
        <f>IF(I2507="","",IF(I2507="Ingreso",O2507,0))</f>
        <v/>
      </c>
      <c r="R2507" s="20">
        <f>IF(I2507="","",IF(I2507="Trading",O2507,0))</f>
        <v/>
      </c>
      <c r="S2507" s="19">
        <f>IF(I2507="","",IF(AND(I2507="Gasto",K2507="Variable",J2507&lt;&gt;"Trading",O2507&gt;0,O2507&lt;=Umbral),1,0))</f>
        <v/>
      </c>
      <c r="T2507" s="20">
        <f>IF(OR(I2507="",E2507=""),"",IF(OR(I2507="Gasto",I2507="Transferencia",I2507="Pago tarjeta"),-1,1)*C2507)</f>
        <v/>
      </c>
      <c r="U2507" s="20">
        <f>IF(OR(G2507="",AND(I2507&lt;&gt;"Transferencia",I2507&lt;&gt;"Pago tarjeta")),"",IF(IFERROR(INDEX(ctaMon,MATCH(G2507,ctaNom,0))&amp;"","DOP")=N2507,C2507,IF(N2507="USD",C2507*TasaUSD,C2507/TasaUSD)))</f>
        <v/>
      </c>
      <c r="V2507" s="20">
        <f>IF(I2507="","",IF(IFERROR(INDEX(ctaLiq,MATCH(E2507,ctaNom,0))="Sí",FALSE),IF(OR(I2507="Gasto",I2507="Transferencia",I2507="Pago tarjeta"),-1,1)*O2507,0)+IF(AND(U2507&lt;&gt;"",IFERROR(INDEX(ctaLiq,MATCH(G2507,ctaNom,0))="Sí",FALSE)),O2507,0))</f>
        <v/>
      </c>
      <c r="W2507" s="19">
        <f>IF(OR(F2507="",I2507=""),"",IF(COUNTIFS(F$6:F2507,F2507,I$6:I2507,"?*")=1,MAX(W$5:W2506)+1,""))</f>
        <v/>
      </c>
    </row>
    <row r="2508">
      <c r="B2508" s="15" t="n"/>
      <c r="C2508" s="16" t="n"/>
      <c r="D2508" s="17" t="n"/>
      <c r="E2508" s="17" t="n"/>
      <c r="F2508" s="17" t="n"/>
      <c r="G2508" s="17" t="n"/>
      <c r="H2508" s="18">
        <f>IF(AND(B2508="",C2508="",D2508="",E2508=""),"",IF(B2508="","⚠ Falta fecha",IF(C2508="","⚠ Falta monto",IF(D2508="","⚠ Falta categoría",IF(ISNA(MATCH(D2508,catNom,0)),"⚠ Categoría no existe",IF(E2508="","⚠ Falta cuenta",IF(ISNA(MATCH(E2508,ctaNom,0)),"⚠ Cuenta no existe",IF(AND(OR(I2508="Transferencia",I2508="Pago tarjeta"),G2508=""),"⚠ Indica la cuenta «Hacia»",IF(AND(G2508&lt;&gt;"",G2508=E2508),"⚠ «Hacia» igual a la cuenta",IF(AND(G2508&lt;&gt;"",ISNA(MATCH(G2508,ctaNom,0))),"⚠ «Hacia» no existe",IF(AND(I2508="Pago tarjeta",IFERROR(INDEX(ctaTipo,MATCH(G2508,ctaNom,0)),"")&lt;&gt;"Tarjeta de crédito"),"⚠ «Hacia» debe ser la tarjeta",IF(AND(I2508="Trading",IFERROR(INDEX(ctaTipo,MATCH(E2508,ctaNom,0)),"")&lt;&gt;"Cuenta de trading"),"⚠ Usa la cuenta de trading","✓"))))))))))))</f>
        <v/>
      </c>
      <c r="I2508" s="19">
        <f>IF(OR(B2508="",C2508="",D2508=""),"",IFERROR(INDEX(catTipo,MATCH(D2508,catNom,0))&amp;"",""))</f>
        <v/>
      </c>
      <c r="J2508" s="19">
        <f>IF(I2508="","",IFERROR(INDEX(catGrupo,MATCH(D2508,catNom,0))&amp;"",""))</f>
        <v/>
      </c>
      <c r="K2508" s="19">
        <f>IF(I2508="Gasto",IF(IFERROR(INDEX(catClas,MATCH(D2508,catNom,0))&amp;"","")="","Variable",IFERROR(INDEX(catClas,MATCH(D2508,catNom,0))&amp;"","")),"")</f>
        <v/>
      </c>
      <c r="L2508" s="19">
        <f>IF(I2508="","",IFERROR(INDEX(catAlim,MATCH(D2508,catNom,0))&amp;"",""))</f>
        <v/>
      </c>
      <c r="M2508" s="19">
        <f>IF(I2508="","",IFERROR(INDEX(catComida,MATCH(D2508,catNom,0))&amp;"",""))</f>
        <v/>
      </c>
      <c r="N2508" s="19">
        <f>IF(I2508="","",IFERROR(INDEX(ctaMon,MATCH(E2508,ctaNom,0))&amp;"","DOP"))</f>
        <v/>
      </c>
      <c r="O2508" s="20">
        <f>IF(I2508="","",C2508*IF(N2508="USD",TasaUSD,1))</f>
        <v/>
      </c>
      <c r="P2508" s="20">
        <f>IF(I2508="","",IF(I2508="Gasto",O2508,0))</f>
        <v/>
      </c>
      <c r="Q2508" s="20">
        <f>IF(I2508="","",IF(I2508="Ingreso",O2508,0))</f>
        <v/>
      </c>
      <c r="R2508" s="20">
        <f>IF(I2508="","",IF(I2508="Trading",O2508,0))</f>
        <v/>
      </c>
      <c r="S2508" s="19">
        <f>IF(I2508="","",IF(AND(I2508="Gasto",K2508="Variable",J2508&lt;&gt;"Trading",O2508&gt;0,O2508&lt;=Umbral),1,0))</f>
        <v/>
      </c>
      <c r="T2508" s="20">
        <f>IF(OR(I2508="",E2508=""),"",IF(OR(I2508="Gasto",I2508="Transferencia",I2508="Pago tarjeta"),-1,1)*C2508)</f>
        <v/>
      </c>
      <c r="U2508" s="20">
        <f>IF(OR(G2508="",AND(I2508&lt;&gt;"Transferencia",I2508&lt;&gt;"Pago tarjeta")),"",IF(IFERROR(INDEX(ctaMon,MATCH(G2508,ctaNom,0))&amp;"","DOP")=N2508,C2508,IF(N2508="USD",C2508*TasaUSD,C2508/TasaUSD)))</f>
        <v/>
      </c>
      <c r="V2508" s="20">
        <f>IF(I2508="","",IF(IFERROR(INDEX(ctaLiq,MATCH(E2508,ctaNom,0))="Sí",FALSE),IF(OR(I2508="Gasto",I2508="Transferencia",I2508="Pago tarjeta"),-1,1)*O2508,0)+IF(AND(U2508&lt;&gt;"",IFERROR(INDEX(ctaLiq,MATCH(G2508,ctaNom,0))="Sí",FALSE)),O2508,0))</f>
        <v/>
      </c>
      <c r="W2508" s="19">
        <f>IF(OR(F2508="",I2508=""),"",IF(COUNTIFS(F$6:F2508,F2508,I$6:I2508,"?*")=1,MAX(W$5:W2507)+1,""))</f>
        <v/>
      </c>
    </row>
    <row r="2509">
      <c r="B2509" s="15" t="n"/>
      <c r="C2509" s="16" t="n"/>
      <c r="D2509" s="17" t="n"/>
      <c r="E2509" s="17" t="n"/>
      <c r="F2509" s="17" t="n"/>
      <c r="G2509" s="17" t="n"/>
      <c r="H2509" s="18">
        <f>IF(AND(B2509="",C2509="",D2509="",E2509=""),"",IF(B2509="","⚠ Falta fecha",IF(C2509="","⚠ Falta monto",IF(D2509="","⚠ Falta categoría",IF(ISNA(MATCH(D2509,catNom,0)),"⚠ Categoría no existe",IF(E2509="","⚠ Falta cuenta",IF(ISNA(MATCH(E2509,ctaNom,0)),"⚠ Cuenta no existe",IF(AND(OR(I2509="Transferencia",I2509="Pago tarjeta"),G2509=""),"⚠ Indica la cuenta «Hacia»",IF(AND(G2509&lt;&gt;"",G2509=E2509),"⚠ «Hacia» igual a la cuenta",IF(AND(G2509&lt;&gt;"",ISNA(MATCH(G2509,ctaNom,0))),"⚠ «Hacia» no existe",IF(AND(I2509="Pago tarjeta",IFERROR(INDEX(ctaTipo,MATCH(G2509,ctaNom,0)),"")&lt;&gt;"Tarjeta de crédito"),"⚠ «Hacia» debe ser la tarjeta",IF(AND(I2509="Trading",IFERROR(INDEX(ctaTipo,MATCH(E2509,ctaNom,0)),"")&lt;&gt;"Cuenta de trading"),"⚠ Usa la cuenta de trading","✓"))))))))))))</f>
        <v/>
      </c>
      <c r="I2509" s="19">
        <f>IF(OR(B2509="",C2509="",D2509=""),"",IFERROR(INDEX(catTipo,MATCH(D2509,catNom,0))&amp;"",""))</f>
        <v/>
      </c>
      <c r="J2509" s="19">
        <f>IF(I2509="","",IFERROR(INDEX(catGrupo,MATCH(D2509,catNom,0))&amp;"",""))</f>
        <v/>
      </c>
      <c r="K2509" s="19">
        <f>IF(I2509="Gasto",IF(IFERROR(INDEX(catClas,MATCH(D2509,catNom,0))&amp;"","")="","Variable",IFERROR(INDEX(catClas,MATCH(D2509,catNom,0))&amp;"","")),"")</f>
        <v/>
      </c>
      <c r="L2509" s="19">
        <f>IF(I2509="","",IFERROR(INDEX(catAlim,MATCH(D2509,catNom,0))&amp;"",""))</f>
        <v/>
      </c>
      <c r="M2509" s="19">
        <f>IF(I2509="","",IFERROR(INDEX(catComida,MATCH(D2509,catNom,0))&amp;"",""))</f>
        <v/>
      </c>
      <c r="N2509" s="19">
        <f>IF(I2509="","",IFERROR(INDEX(ctaMon,MATCH(E2509,ctaNom,0))&amp;"","DOP"))</f>
        <v/>
      </c>
      <c r="O2509" s="20">
        <f>IF(I2509="","",C2509*IF(N2509="USD",TasaUSD,1))</f>
        <v/>
      </c>
      <c r="P2509" s="20">
        <f>IF(I2509="","",IF(I2509="Gasto",O2509,0))</f>
        <v/>
      </c>
      <c r="Q2509" s="20">
        <f>IF(I2509="","",IF(I2509="Ingreso",O2509,0))</f>
        <v/>
      </c>
      <c r="R2509" s="20">
        <f>IF(I2509="","",IF(I2509="Trading",O2509,0))</f>
        <v/>
      </c>
      <c r="S2509" s="19">
        <f>IF(I2509="","",IF(AND(I2509="Gasto",K2509="Variable",J2509&lt;&gt;"Trading",O2509&gt;0,O2509&lt;=Umbral),1,0))</f>
        <v/>
      </c>
      <c r="T2509" s="20">
        <f>IF(OR(I2509="",E2509=""),"",IF(OR(I2509="Gasto",I2509="Transferencia",I2509="Pago tarjeta"),-1,1)*C2509)</f>
        <v/>
      </c>
      <c r="U2509" s="20">
        <f>IF(OR(G2509="",AND(I2509&lt;&gt;"Transferencia",I2509&lt;&gt;"Pago tarjeta")),"",IF(IFERROR(INDEX(ctaMon,MATCH(G2509,ctaNom,0))&amp;"","DOP")=N2509,C2509,IF(N2509="USD",C2509*TasaUSD,C2509/TasaUSD)))</f>
        <v/>
      </c>
      <c r="V2509" s="20">
        <f>IF(I2509="","",IF(IFERROR(INDEX(ctaLiq,MATCH(E2509,ctaNom,0))="Sí",FALSE),IF(OR(I2509="Gasto",I2509="Transferencia",I2509="Pago tarjeta"),-1,1)*O2509,0)+IF(AND(U2509&lt;&gt;"",IFERROR(INDEX(ctaLiq,MATCH(G2509,ctaNom,0))="Sí",FALSE)),O2509,0))</f>
        <v/>
      </c>
      <c r="W2509" s="19">
        <f>IF(OR(F2509="",I2509=""),"",IF(COUNTIFS(F$6:F2509,F2509,I$6:I2509,"?*")=1,MAX(W$5:W2508)+1,""))</f>
        <v/>
      </c>
    </row>
    <row r="2510">
      <c r="B2510" s="15" t="n"/>
      <c r="C2510" s="16" t="n"/>
      <c r="D2510" s="17" t="n"/>
      <c r="E2510" s="17" t="n"/>
      <c r="F2510" s="17" t="n"/>
      <c r="G2510" s="17" t="n"/>
      <c r="H2510" s="18">
        <f>IF(AND(B2510="",C2510="",D2510="",E2510=""),"",IF(B2510="","⚠ Falta fecha",IF(C2510="","⚠ Falta monto",IF(D2510="","⚠ Falta categoría",IF(ISNA(MATCH(D2510,catNom,0)),"⚠ Categoría no existe",IF(E2510="","⚠ Falta cuenta",IF(ISNA(MATCH(E2510,ctaNom,0)),"⚠ Cuenta no existe",IF(AND(OR(I2510="Transferencia",I2510="Pago tarjeta"),G2510=""),"⚠ Indica la cuenta «Hacia»",IF(AND(G2510&lt;&gt;"",G2510=E2510),"⚠ «Hacia» igual a la cuenta",IF(AND(G2510&lt;&gt;"",ISNA(MATCH(G2510,ctaNom,0))),"⚠ «Hacia» no existe",IF(AND(I2510="Pago tarjeta",IFERROR(INDEX(ctaTipo,MATCH(G2510,ctaNom,0)),"")&lt;&gt;"Tarjeta de crédito"),"⚠ «Hacia» debe ser la tarjeta",IF(AND(I2510="Trading",IFERROR(INDEX(ctaTipo,MATCH(E2510,ctaNom,0)),"")&lt;&gt;"Cuenta de trading"),"⚠ Usa la cuenta de trading","✓"))))))))))))</f>
        <v/>
      </c>
      <c r="I2510" s="19">
        <f>IF(OR(B2510="",C2510="",D2510=""),"",IFERROR(INDEX(catTipo,MATCH(D2510,catNom,0))&amp;"",""))</f>
        <v/>
      </c>
      <c r="J2510" s="19">
        <f>IF(I2510="","",IFERROR(INDEX(catGrupo,MATCH(D2510,catNom,0))&amp;"",""))</f>
        <v/>
      </c>
      <c r="K2510" s="19">
        <f>IF(I2510="Gasto",IF(IFERROR(INDEX(catClas,MATCH(D2510,catNom,0))&amp;"","")="","Variable",IFERROR(INDEX(catClas,MATCH(D2510,catNom,0))&amp;"","")),"")</f>
        <v/>
      </c>
      <c r="L2510" s="19">
        <f>IF(I2510="","",IFERROR(INDEX(catAlim,MATCH(D2510,catNom,0))&amp;"",""))</f>
        <v/>
      </c>
      <c r="M2510" s="19">
        <f>IF(I2510="","",IFERROR(INDEX(catComida,MATCH(D2510,catNom,0))&amp;"",""))</f>
        <v/>
      </c>
      <c r="N2510" s="19">
        <f>IF(I2510="","",IFERROR(INDEX(ctaMon,MATCH(E2510,ctaNom,0))&amp;"","DOP"))</f>
        <v/>
      </c>
      <c r="O2510" s="20">
        <f>IF(I2510="","",C2510*IF(N2510="USD",TasaUSD,1))</f>
        <v/>
      </c>
      <c r="P2510" s="20">
        <f>IF(I2510="","",IF(I2510="Gasto",O2510,0))</f>
        <v/>
      </c>
      <c r="Q2510" s="20">
        <f>IF(I2510="","",IF(I2510="Ingreso",O2510,0))</f>
        <v/>
      </c>
      <c r="R2510" s="20">
        <f>IF(I2510="","",IF(I2510="Trading",O2510,0))</f>
        <v/>
      </c>
      <c r="S2510" s="19">
        <f>IF(I2510="","",IF(AND(I2510="Gasto",K2510="Variable",J2510&lt;&gt;"Trading",O2510&gt;0,O2510&lt;=Umbral),1,0))</f>
        <v/>
      </c>
      <c r="T2510" s="20">
        <f>IF(OR(I2510="",E2510=""),"",IF(OR(I2510="Gasto",I2510="Transferencia",I2510="Pago tarjeta"),-1,1)*C2510)</f>
        <v/>
      </c>
      <c r="U2510" s="20">
        <f>IF(OR(G2510="",AND(I2510&lt;&gt;"Transferencia",I2510&lt;&gt;"Pago tarjeta")),"",IF(IFERROR(INDEX(ctaMon,MATCH(G2510,ctaNom,0))&amp;"","DOP")=N2510,C2510,IF(N2510="USD",C2510*TasaUSD,C2510/TasaUSD)))</f>
        <v/>
      </c>
      <c r="V2510" s="20">
        <f>IF(I2510="","",IF(IFERROR(INDEX(ctaLiq,MATCH(E2510,ctaNom,0))="Sí",FALSE),IF(OR(I2510="Gasto",I2510="Transferencia",I2510="Pago tarjeta"),-1,1)*O2510,0)+IF(AND(U2510&lt;&gt;"",IFERROR(INDEX(ctaLiq,MATCH(G2510,ctaNom,0))="Sí",FALSE)),O2510,0))</f>
        <v/>
      </c>
      <c r="W2510" s="19">
        <f>IF(OR(F2510="",I2510=""),"",IF(COUNTIFS(F$6:F2510,F2510,I$6:I2510,"?*")=1,MAX(W$5:W2509)+1,""))</f>
        <v/>
      </c>
    </row>
    <row r="2511">
      <c r="B2511" s="15" t="n"/>
      <c r="C2511" s="16" t="n"/>
      <c r="D2511" s="17" t="n"/>
      <c r="E2511" s="17" t="n"/>
      <c r="F2511" s="17" t="n"/>
      <c r="G2511" s="17" t="n"/>
      <c r="H2511" s="18">
        <f>IF(AND(B2511="",C2511="",D2511="",E2511=""),"",IF(B2511="","⚠ Falta fecha",IF(C2511="","⚠ Falta monto",IF(D2511="","⚠ Falta categoría",IF(ISNA(MATCH(D2511,catNom,0)),"⚠ Categoría no existe",IF(E2511="","⚠ Falta cuenta",IF(ISNA(MATCH(E2511,ctaNom,0)),"⚠ Cuenta no existe",IF(AND(OR(I2511="Transferencia",I2511="Pago tarjeta"),G2511=""),"⚠ Indica la cuenta «Hacia»",IF(AND(G2511&lt;&gt;"",G2511=E2511),"⚠ «Hacia» igual a la cuenta",IF(AND(G2511&lt;&gt;"",ISNA(MATCH(G2511,ctaNom,0))),"⚠ «Hacia» no existe",IF(AND(I2511="Pago tarjeta",IFERROR(INDEX(ctaTipo,MATCH(G2511,ctaNom,0)),"")&lt;&gt;"Tarjeta de crédito"),"⚠ «Hacia» debe ser la tarjeta",IF(AND(I2511="Trading",IFERROR(INDEX(ctaTipo,MATCH(E2511,ctaNom,0)),"")&lt;&gt;"Cuenta de trading"),"⚠ Usa la cuenta de trading","✓"))))))))))))</f>
        <v/>
      </c>
      <c r="I2511" s="19">
        <f>IF(OR(B2511="",C2511="",D2511=""),"",IFERROR(INDEX(catTipo,MATCH(D2511,catNom,0))&amp;"",""))</f>
        <v/>
      </c>
      <c r="J2511" s="19">
        <f>IF(I2511="","",IFERROR(INDEX(catGrupo,MATCH(D2511,catNom,0))&amp;"",""))</f>
        <v/>
      </c>
      <c r="K2511" s="19">
        <f>IF(I2511="Gasto",IF(IFERROR(INDEX(catClas,MATCH(D2511,catNom,0))&amp;"","")="","Variable",IFERROR(INDEX(catClas,MATCH(D2511,catNom,0))&amp;"","")),"")</f>
        <v/>
      </c>
      <c r="L2511" s="19">
        <f>IF(I2511="","",IFERROR(INDEX(catAlim,MATCH(D2511,catNom,0))&amp;"",""))</f>
        <v/>
      </c>
      <c r="M2511" s="19">
        <f>IF(I2511="","",IFERROR(INDEX(catComida,MATCH(D2511,catNom,0))&amp;"",""))</f>
        <v/>
      </c>
      <c r="N2511" s="19">
        <f>IF(I2511="","",IFERROR(INDEX(ctaMon,MATCH(E2511,ctaNom,0))&amp;"","DOP"))</f>
        <v/>
      </c>
      <c r="O2511" s="20">
        <f>IF(I2511="","",C2511*IF(N2511="USD",TasaUSD,1))</f>
        <v/>
      </c>
      <c r="P2511" s="20">
        <f>IF(I2511="","",IF(I2511="Gasto",O2511,0))</f>
        <v/>
      </c>
      <c r="Q2511" s="20">
        <f>IF(I2511="","",IF(I2511="Ingreso",O2511,0))</f>
        <v/>
      </c>
      <c r="R2511" s="20">
        <f>IF(I2511="","",IF(I2511="Trading",O2511,0))</f>
        <v/>
      </c>
      <c r="S2511" s="19">
        <f>IF(I2511="","",IF(AND(I2511="Gasto",K2511="Variable",J2511&lt;&gt;"Trading",O2511&gt;0,O2511&lt;=Umbral),1,0))</f>
        <v/>
      </c>
      <c r="T2511" s="20">
        <f>IF(OR(I2511="",E2511=""),"",IF(OR(I2511="Gasto",I2511="Transferencia",I2511="Pago tarjeta"),-1,1)*C2511)</f>
        <v/>
      </c>
      <c r="U2511" s="20">
        <f>IF(OR(G2511="",AND(I2511&lt;&gt;"Transferencia",I2511&lt;&gt;"Pago tarjeta")),"",IF(IFERROR(INDEX(ctaMon,MATCH(G2511,ctaNom,0))&amp;"","DOP")=N2511,C2511,IF(N2511="USD",C2511*TasaUSD,C2511/TasaUSD)))</f>
        <v/>
      </c>
      <c r="V2511" s="20">
        <f>IF(I2511="","",IF(IFERROR(INDEX(ctaLiq,MATCH(E2511,ctaNom,0))="Sí",FALSE),IF(OR(I2511="Gasto",I2511="Transferencia",I2511="Pago tarjeta"),-1,1)*O2511,0)+IF(AND(U2511&lt;&gt;"",IFERROR(INDEX(ctaLiq,MATCH(G2511,ctaNom,0))="Sí",FALSE)),O2511,0))</f>
        <v/>
      </c>
      <c r="W2511" s="19">
        <f>IF(OR(F2511="",I2511=""),"",IF(COUNTIFS(F$6:F2511,F2511,I$6:I2511,"?*")=1,MAX(W$5:W2510)+1,""))</f>
        <v/>
      </c>
    </row>
    <row r="2512">
      <c r="B2512" s="15" t="n"/>
      <c r="C2512" s="16" t="n"/>
      <c r="D2512" s="17" t="n"/>
      <c r="E2512" s="17" t="n"/>
      <c r="F2512" s="17" t="n"/>
      <c r="G2512" s="17" t="n"/>
      <c r="H2512" s="18">
        <f>IF(AND(B2512="",C2512="",D2512="",E2512=""),"",IF(B2512="","⚠ Falta fecha",IF(C2512="","⚠ Falta monto",IF(D2512="","⚠ Falta categoría",IF(ISNA(MATCH(D2512,catNom,0)),"⚠ Categoría no existe",IF(E2512="","⚠ Falta cuenta",IF(ISNA(MATCH(E2512,ctaNom,0)),"⚠ Cuenta no existe",IF(AND(OR(I2512="Transferencia",I2512="Pago tarjeta"),G2512=""),"⚠ Indica la cuenta «Hacia»",IF(AND(G2512&lt;&gt;"",G2512=E2512),"⚠ «Hacia» igual a la cuenta",IF(AND(G2512&lt;&gt;"",ISNA(MATCH(G2512,ctaNom,0))),"⚠ «Hacia» no existe",IF(AND(I2512="Pago tarjeta",IFERROR(INDEX(ctaTipo,MATCH(G2512,ctaNom,0)),"")&lt;&gt;"Tarjeta de crédito"),"⚠ «Hacia» debe ser la tarjeta",IF(AND(I2512="Trading",IFERROR(INDEX(ctaTipo,MATCH(E2512,ctaNom,0)),"")&lt;&gt;"Cuenta de trading"),"⚠ Usa la cuenta de trading","✓"))))))))))))</f>
        <v/>
      </c>
      <c r="I2512" s="19">
        <f>IF(OR(B2512="",C2512="",D2512=""),"",IFERROR(INDEX(catTipo,MATCH(D2512,catNom,0))&amp;"",""))</f>
        <v/>
      </c>
      <c r="J2512" s="19">
        <f>IF(I2512="","",IFERROR(INDEX(catGrupo,MATCH(D2512,catNom,0))&amp;"",""))</f>
        <v/>
      </c>
      <c r="K2512" s="19">
        <f>IF(I2512="Gasto",IF(IFERROR(INDEX(catClas,MATCH(D2512,catNom,0))&amp;"","")="","Variable",IFERROR(INDEX(catClas,MATCH(D2512,catNom,0))&amp;"","")),"")</f>
        <v/>
      </c>
      <c r="L2512" s="19">
        <f>IF(I2512="","",IFERROR(INDEX(catAlim,MATCH(D2512,catNom,0))&amp;"",""))</f>
        <v/>
      </c>
      <c r="M2512" s="19">
        <f>IF(I2512="","",IFERROR(INDEX(catComida,MATCH(D2512,catNom,0))&amp;"",""))</f>
        <v/>
      </c>
      <c r="N2512" s="19">
        <f>IF(I2512="","",IFERROR(INDEX(ctaMon,MATCH(E2512,ctaNom,0))&amp;"","DOP"))</f>
        <v/>
      </c>
      <c r="O2512" s="20">
        <f>IF(I2512="","",C2512*IF(N2512="USD",TasaUSD,1))</f>
        <v/>
      </c>
      <c r="P2512" s="20">
        <f>IF(I2512="","",IF(I2512="Gasto",O2512,0))</f>
        <v/>
      </c>
      <c r="Q2512" s="20">
        <f>IF(I2512="","",IF(I2512="Ingreso",O2512,0))</f>
        <v/>
      </c>
      <c r="R2512" s="20">
        <f>IF(I2512="","",IF(I2512="Trading",O2512,0))</f>
        <v/>
      </c>
      <c r="S2512" s="19">
        <f>IF(I2512="","",IF(AND(I2512="Gasto",K2512="Variable",J2512&lt;&gt;"Trading",O2512&gt;0,O2512&lt;=Umbral),1,0))</f>
        <v/>
      </c>
      <c r="T2512" s="20">
        <f>IF(OR(I2512="",E2512=""),"",IF(OR(I2512="Gasto",I2512="Transferencia",I2512="Pago tarjeta"),-1,1)*C2512)</f>
        <v/>
      </c>
      <c r="U2512" s="20">
        <f>IF(OR(G2512="",AND(I2512&lt;&gt;"Transferencia",I2512&lt;&gt;"Pago tarjeta")),"",IF(IFERROR(INDEX(ctaMon,MATCH(G2512,ctaNom,0))&amp;"","DOP")=N2512,C2512,IF(N2512="USD",C2512*TasaUSD,C2512/TasaUSD)))</f>
        <v/>
      </c>
      <c r="V2512" s="20">
        <f>IF(I2512="","",IF(IFERROR(INDEX(ctaLiq,MATCH(E2512,ctaNom,0))="Sí",FALSE),IF(OR(I2512="Gasto",I2512="Transferencia",I2512="Pago tarjeta"),-1,1)*O2512,0)+IF(AND(U2512&lt;&gt;"",IFERROR(INDEX(ctaLiq,MATCH(G2512,ctaNom,0))="Sí",FALSE)),O2512,0))</f>
        <v/>
      </c>
      <c r="W2512" s="19">
        <f>IF(OR(F2512="",I2512=""),"",IF(COUNTIFS(F$6:F2512,F2512,I$6:I2512,"?*")=1,MAX(W$5:W2511)+1,""))</f>
        <v/>
      </c>
    </row>
    <row r="2513">
      <c r="B2513" s="15" t="n"/>
      <c r="C2513" s="16" t="n"/>
      <c r="D2513" s="17" t="n"/>
      <c r="E2513" s="17" t="n"/>
      <c r="F2513" s="17" t="n"/>
      <c r="G2513" s="17" t="n"/>
      <c r="H2513" s="18">
        <f>IF(AND(B2513="",C2513="",D2513="",E2513=""),"",IF(B2513="","⚠ Falta fecha",IF(C2513="","⚠ Falta monto",IF(D2513="","⚠ Falta categoría",IF(ISNA(MATCH(D2513,catNom,0)),"⚠ Categoría no existe",IF(E2513="","⚠ Falta cuenta",IF(ISNA(MATCH(E2513,ctaNom,0)),"⚠ Cuenta no existe",IF(AND(OR(I2513="Transferencia",I2513="Pago tarjeta"),G2513=""),"⚠ Indica la cuenta «Hacia»",IF(AND(G2513&lt;&gt;"",G2513=E2513),"⚠ «Hacia» igual a la cuenta",IF(AND(G2513&lt;&gt;"",ISNA(MATCH(G2513,ctaNom,0))),"⚠ «Hacia» no existe",IF(AND(I2513="Pago tarjeta",IFERROR(INDEX(ctaTipo,MATCH(G2513,ctaNom,0)),"")&lt;&gt;"Tarjeta de crédito"),"⚠ «Hacia» debe ser la tarjeta",IF(AND(I2513="Trading",IFERROR(INDEX(ctaTipo,MATCH(E2513,ctaNom,0)),"")&lt;&gt;"Cuenta de trading"),"⚠ Usa la cuenta de trading","✓"))))))))))))</f>
        <v/>
      </c>
      <c r="I2513" s="19">
        <f>IF(OR(B2513="",C2513="",D2513=""),"",IFERROR(INDEX(catTipo,MATCH(D2513,catNom,0))&amp;"",""))</f>
        <v/>
      </c>
      <c r="J2513" s="19">
        <f>IF(I2513="","",IFERROR(INDEX(catGrupo,MATCH(D2513,catNom,0))&amp;"",""))</f>
        <v/>
      </c>
      <c r="K2513" s="19">
        <f>IF(I2513="Gasto",IF(IFERROR(INDEX(catClas,MATCH(D2513,catNom,0))&amp;"","")="","Variable",IFERROR(INDEX(catClas,MATCH(D2513,catNom,0))&amp;"","")),"")</f>
        <v/>
      </c>
      <c r="L2513" s="19">
        <f>IF(I2513="","",IFERROR(INDEX(catAlim,MATCH(D2513,catNom,0))&amp;"",""))</f>
        <v/>
      </c>
      <c r="M2513" s="19">
        <f>IF(I2513="","",IFERROR(INDEX(catComida,MATCH(D2513,catNom,0))&amp;"",""))</f>
        <v/>
      </c>
      <c r="N2513" s="19">
        <f>IF(I2513="","",IFERROR(INDEX(ctaMon,MATCH(E2513,ctaNom,0))&amp;"","DOP"))</f>
        <v/>
      </c>
      <c r="O2513" s="20">
        <f>IF(I2513="","",C2513*IF(N2513="USD",TasaUSD,1))</f>
        <v/>
      </c>
      <c r="P2513" s="20">
        <f>IF(I2513="","",IF(I2513="Gasto",O2513,0))</f>
        <v/>
      </c>
      <c r="Q2513" s="20">
        <f>IF(I2513="","",IF(I2513="Ingreso",O2513,0))</f>
        <v/>
      </c>
      <c r="R2513" s="20">
        <f>IF(I2513="","",IF(I2513="Trading",O2513,0))</f>
        <v/>
      </c>
      <c r="S2513" s="19">
        <f>IF(I2513="","",IF(AND(I2513="Gasto",K2513="Variable",J2513&lt;&gt;"Trading",O2513&gt;0,O2513&lt;=Umbral),1,0))</f>
        <v/>
      </c>
      <c r="T2513" s="20">
        <f>IF(OR(I2513="",E2513=""),"",IF(OR(I2513="Gasto",I2513="Transferencia",I2513="Pago tarjeta"),-1,1)*C2513)</f>
        <v/>
      </c>
      <c r="U2513" s="20">
        <f>IF(OR(G2513="",AND(I2513&lt;&gt;"Transferencia",I2513&lt;&gt;"Pago tarjeta")),"",IF(IFERROR(INDEX(ctaMon,MATCH(G2513,ctaNom,0))&amp;"","DOP")=N2513,C2513,IF(N2513="USD",C2513*TasaUSD,C2513/TasaUSD)))</f>
        <v/>
      </c>
      <c r="V2513" s="20">
        <f>IF(I2513="","",IF(IFERROR(INDEX(ctaLiq,MATCH(E2513,ctaNom,0))="Sí",FALSE),IF(OR(I2513="Gasto",I2513="Transferencia",I2513="Pago tarjeta"),-1,1)*O2513,0)+IF(AND(U2513&lt;&gt;"",IFERROR(INDEX(ctaLiq,MATCH(G2513,ctaNom,0))="Sí",FALSE)),O2513,0))</f>
        <v/>
      </c>
      <c r="W2513" s="19">
        <f>IF(OR(F2513="",I2513=""),"",IF(COUNTIFS(F$6:F2513,F2513,I$6:I2513,"?*")=1,MAX(W$5:W2512)+1,""))</f>
        <v/>
      </c>
    </row>
    <row r="2514">
      <c r="B2514" s="15" t="n"/>
      <c r="C2514" s="16" t="n"/>
      <c r="D2514" s="17" t="n"/>
      <c r="E2514" s="17" t="n"/>
      <c r="F2514" s="17" t="n"/>
      <c r="G2514" s="17" t="n"/>
      <c r="H2514" s="18">
        <f>IF(AND(B2514="",C2514="",D2514="",E2514=""),"",IF(B2514="","⚠ Falta fecha",IF(C2514="","⚠ Falta monto",IF(D2514="","⚠ Falta categoría",IF(ISNA(MATCH(D2514,catNom,0)),"⚠ Categoría no existe",IF(E2514="","⚠ Falta cuenta",IF(ISNA(MATCH(E2514,ctaNom,0)),"⚠ Cuenta no existe",IF(AND(OR(I2514="Transferencia",I2514="Pago tarjeta"),G2514=""),"⚠ Indica la cuenta «Hacia»",IF(AND(G2514&lt;&gt;"",G2514=E2514),"⚠ «Hacia» igual a la cuenta",IF(AND(G2514&lt;&gt;"",ISNA(MATCH(G2514,ctaNom,0))),"⚠ «Hacia» no existe",IF(AND(I2514="Pago tarjeta",IFERROR(INDEX(ctaTipo,MATCH(G2514,ctaNom,0)),"")&lt;&gt;"Tarjeta de crédito"),"⚠ «Hacia» debe ser la tarjeta",IF(AND(I2514="Trading",IFERROR(INDEX(ctaTipo,MATCH(E2514,ctaNom,0)),"")&lt;&gt;"Cuenta de trading"),"⚠ Usa la cuenta de trading","✓"))))))))))))</f>
        <v/>
      </c>
      <c r="I2514" s="19">
        <f>IF(OR(B2514="",C2514="",D2514=""),"",IFERROR(INDEX(catTipo,MATCH(D2514,catNom,0))&amp;"",""))</f>
        <v/>
      </c>
      <c r="J2514" s="19">
        <f>IF(I2514="","",IFERROR(INDEX(catGrupo,MATCH(D2514,catNom,0))&amp;"",""))</f>
        <v/>
      </c>
      <c r="K2514" s="19">
        <f>IF(I2514="Gasto",IF(IFERROR(INDEX(catClas,MATCH(D2514,catNom,0))&amp;"","")="","Variable",IFERROR(INDEX(catClas,MATCH(D2514,catNom,0))&amp;"","")),"")</f>
        <v/>
      </c>
      <c r="L2514" s="19">
        <f>IF(I2514="","",IFERROR(INDEX(catAlim,MATCH(D2514,catNom,0))&amp;"",""))</f>
        <v/>
      </c>
      <c r="M2514" s="19">
        <f>IF(I2514="","",IFERROR(INDEX(catComida,MATCH(D2514,catNom,0))&amp;"",""))</f>
        <v/>
      </c>
      <c r="N2514" s="19">
        <f>IF(I2514="","",IFERROR(INDEX(ctaMon,MATCH(E2514,ctaNom,0))&amp;"","DOP"))</f>
        <v/>
      </c>
      <c r="O2514" s="20">
        <f>IF(I2514="","",C2514*IF(N2514="USD",TasaUSD,1))</f>
        <v/>
      </c>
      <c r="P2514" s="20">
        <f>IF(I2514="","",IF(I2514="Gasto",O2514,0))</f>
        <v/>
      </c>
      <c r="Q2514" s="20">
        <f>IF(I2514="","",IF(I2514="Ingreso",O2514,0))</f>
        <v/>
      </c>
      <c r="R2514" s="20">
        <f>IF(I2514="","",IF(I2514="Trading",O2514,0))</f>
        <v/>
      </c>
      <c r="S2514" s="19">
        <f>IF(I2514="","",IF(AND(I2514="Gasto",K2514="Variable",J2514&lt;&gt;"Trading",O2514&gt;0,O2514&lt;=Umbral),1,0))</f>
        <v/>
      </c>
      <c r="T2514" s="20">
        <f>IF(OR(I2514="",E2514=""),"",IF(OR(I2514="Gasto",I2514="Transferencia",I2514="Pago tarjeta"),-1,1)*C2514)</f>
        <v/>
      </c>
      <c r="U2514" s="20">
        <f>IF(OR(G2514="",AND(I2514&lt;&gt;"Transferencia",I2514&lt;&gt;"Pago tarjeta")),"",IF(IFERROR(INDEX(ctaMon,MATCH(G2514,ctaNom,0))&amp;"","DOP")=N2514,C2514,IF(N2514="USD",C2514*TasaUSD,C2514/TasaUSD)))</f>
        <v/>
      </c>
      <c r="V2514" s="20">
        <f>IF(I2514="","",IF(IFERROR(INDEX(ctaLiq,MATCH(E2514,ctaNom,0))="Sí",FALSE),IF(OR(I2514="Gasto",I2514="Transferencia",I2514="Pago tarjeta"),-1,1)*O2514,0)+IF(AND(U2514&lt;&gt;"",IFERROR(INDEX(ctaLiq,MATCH(G2514,ctaNom,0))="Sí",FALSE)),O2514,0))</f>
        <v/>
      </c>
      <c r="W2514" s="19">
        <f>IF(OR(F2514="",I2514=""),"",IF(COUNTIFS(F$6:F2514,F2514,I$6:I2514,"?*")=1,MAX(W$5:W2513)+1,""))</f>
        <v/>
      </c>
    </row>
    <row r="2515">
      <c r="B2515" s="15" t="n"/>
      <c r="C2515" s="16" t="n"/>
      <c r="D2515" s="17" t="n"/>
      <c r="E2515" s="17" t="n"/>
      <c r="F2515" s="17" t="n"/>
      <c r="G2515" s="17" t="n"/>
      <c r="H2515" s="18">
        <f>IF(AND(B2515="",C2515="",D2515="",E2515=""),"",IF(B2515="","⚠ Falta fecha",IF(C2515="","⚠ Falta monto",IF(D2515="","⚠ Falta categoría",IF(ISNA(MATCH(D2515,catNom,0)),"⚠ Categoría no existe",IF(E2515="","⚠ Falta cuenta",IF(ISNA(MATCH(E2515,ctaNom,0)),"⚠ Cuenta no existe",IF(AND(OR(I2515="Transferencia",I2515="Pago tarjeta"),G2515=""),"⚠ Indica la cuenta «Hacia»",IF(AND(G2515&lt;&gt;"",G2515=E2515),"⚠ «Hacia» igual a la cuenta",IF(AND(G2515&lt;&gt;"",ISNA(MATCH(G2515,ctaNom,0))),"⚠ «Hacia» no existe",IF(AND(I2515="Pago tarjeta",IFERROR(INDEX(ctaTipo,MATCH(G2515,ctaNom,0)),"")&lt;&gt;"Tarjeta de crédito"),"⚠ «Hacia» debe ser la tarjeta",IF(AND(I2515="Trading",IFERROR(INDEX(ctaTipo,MATCH(E2515,ctaNom,0)),"")&lt;&gt;"Cuenta de trading"),"⚠ Usa la cuenta de trading","✓"))))))))))))</f>
        <v/>
      </c>
      <c r="I2515" s="19">
        <f>IF(OR(B2515="",C2515="",D2515=""),"",IFERROR(INDEX(catTipo,MATCH(D2515,catNom,0))&amp;"",""))</f>
        <v/>
      </c>
      <c r="J2515" s="19">
        <f>IF(I2515="","",IFERROR(INDEX(catGrupo,MATCH(D2515,catNom,0))&amp;"",""))</f>
        <v/>
      </c>
      <c r="K2515" s="19">
        <f>IF(I2515="Gasto",IF(IFERROR(INDEX(catClas,MATCH(D2515,catNom,0))&amp;"","")="","Variable",IFERROR(INDEX(catClas,MATCH(D2515,catNom,0))&amp;"","")),"")</f>
        <v/>
      </c>
      <c r="L2515" s="19">
        <f>IF(I2515="","",IFERROR(INDEX(catAlim,MATCH(D2515,catNom,0))&amp;"",""))</f>
        <v/>
      </c>
      <c r="M2515" s="19">
        <f>IF(I2515="","",IFERROR(INDEX(catComida,MATCH(D2515,catNom,0))&amp;"",""))</f>
        <v/>
      </c>
      <c r="N2515" s="19">
        <f>IF(I2515="","",IFERROR(INDEX(ctaMon,MATCH(E2515,ctaNom,0))&amp;"","DOP"))</f>
        <v/>
      </c>
      <c r="O2515" s="20">
        <f>IF(I2515="","",C2515*IF(N2515="USD",TasaUSD,1))</f>
        <v/>
      </c>
      <c r="P2515" s="20">
        <f>IF(I2515="","",IF(I2515="Gasto",O2515,0))</f>
        <v/>
      </c>
      <c r="Q2515" s="20">
        <f>IF(I2515="","",IF(I2515="Ingreso",O2515,0))</f>
        <v/>
      </c>
      <c r="R2515" s="20">
        <f>IF(I2515="","",IF(I2515="Trading",O2515,0))</f>
        <v/>
      </c>
      <c r="S2515" s="19">
        <f>IF(I2515="","",IF(AND(I2515="Gasto",K2515="Variable",J2515&lt;&gt;"Trading",O2515&gt;0,O2515&lt;=Umbral),1,0))</f>
        <v/>
      </c>
      <c r="T2515" s="20">
        <f>IF(OR(I2515="",E2515=""),"",IF(OR(I2515="Gasto",I2515="Transferencia",I2515="Pago tarjeta"),-1,1)*C2515)</f>
        <v/>
      </c>
      <c r="U2515" s="20">
        <f>IF(OR(G2515="",AND(I2515&lt;&gt;"Transferencia",I2515&lt;&gt;"Pago tarjeta")),"",IF(IFERROR(INDEX(ctaMon,MATCH(G2515,ctaNom,0))&amp;"","DOP")=N2515,C2515,IF(N2515="USD",C2515*TasaUSD,C2515/TasaUSD)))</f>
        <v/>
      </c>
      <c r="V2515" s="20">
        <f>IF(I2515="","",IF(IFERROR(INDEX(ctaLiq,MATCH(E2515,ctaNom,0))="Sí",FALSE),IF(OR(I2515="Gasto",I2515="Transferencia",I2515="Pago tarjeta"),-1,1)*O2515,0)+IF(AND(U2515&lt;&gt;"",IFERROR(INDEX(ctaLiq,MATCH(G2515,ctaNom,0))="Sí",FALSE)),O2515,0))</f>
        <v/>
      </c>
      <c r="W2515" s="19">
        <f>IF(OR(F2515="",I2515=""),"",IF(COUNTIFS(F$6:F2515,F2515,I$6:I2515,"?*")=1,MAX(W$5:W2514)+1,""))</f>
        <v/>
      </c>
    </row>
    <row r="2516">
      <c r="B2516" s="15" t="n"/>
      <c r="C2516" s="16" t="n"/>
      <c r="D2516" s="17" t="n"/>
      <c r="E2516" s="17" t="n"/>
      <c r="F2516" s="17" t="n"/>
      <c r="G2516" s="17" t="n"/>
      <c r="H2516" s="18">
        <f>IF(AND(B2516="",C2516="",D2516="",E2516=""),"",IF(B2516="","⚠ Falta fecha",IF(C2516="","⚠ Falta monto",IF(D2516="","⚠ Falta categoría",IF(ISNA(MATCH(D2516,catNom,0)),"⚠ Categoría no existe",IF(E2516="","⚠ Falta cuenta",IF(ISNA(MATCH(E2516,ctaNom,0)),"⚠ Cuenta no existe",IF(AND(OR(I2516="Transferencia",I2516="Pago tarjeta"),G2516=""),"⚠ Indica la cuenta «Hacia»",IF(AND(G2516&lt;&gt;"",G2516=E2516),"⚠ «Hacia» igual a la cuenta",IF(AND(G2516&lt;&gt;"",ISNA(MATCH(G2516,ctaNom,0))),"⚠ «Hacia» no existe",IF(AND(I2516="Pago tarjeta",IFERROR(INDEX(ctaTipo,MATCH(G2516,ctaNom,0)),"")&lt;&gt;"Tarjeta de crédito"),"⚠ «Hacia» debe ser la tarjeta",IF(AND(I2516="Trading",IFERROR(INDEX(ctaTipo,MATCH(E2516,ctaNom,0)),"")&lt;&gt;"Cuenta de trading"),"⚠ Usa la cuenta de trading","✓"))))))))))))</f>
        <v/>
      </c>
      <c r="I2516" s="19">
        <f>IF(OR(B2516="",C2516="",D2516=""),"",IFERROR(INDEX(catTipo,MATCH(D2516,catNom,0))&amp;"",""))</f>
        <v/>
      </c>
      <c r="J2516" s="19">
        <f>IF(I2516="","",IFERROR(INDEX(catGrupo,MATCH(D2516,catNom,0))&amp;"",""))</f>
        <v/>
      </c>
      <c r="K2516" s="19">
        <f>IF(I2516="Gasto",IF(IFERROR(INDEX(catClas,MATCH(D2516,catNom,0))&amp;"","")="","Variable",IFERROR(INDEX(catClas,MATCH(D2516,catNom,0))&amp;"","")),"")</f>
        <v/>
      </c>
      <c r="L2516" s="19">
        <f>IF(I2516="","",IFERROR(INDEX(catAlim,MATCH(D2516,catNom,0))&amp;"",""))</f>
        <v/>
      </c>
      <c r="M2516" s="19">
        <f>IF(I2516="","",IFERROR(INDEX(catComida,MATCH(D2516,catNom,0))&amp;"",""))</f>
        <v/>
      </c>
      <c r="N2516" s="19">
        <f>IF(I2516="","",IFERROR(INDEX(ctaMon,MATCH(E2516,ctaNom,0))&amp;"","DOP"))</f>
        <v/>
      </c>
      <c r="O2516" s="20">
        <f>IF(I2516="","",C2516*IF(N2516="USD",TasaUSD,1))</f>
        <v/>
      </c>
      <c r="P2516" s="20">
        <f>IF(I2516="","",IF(I2516="Gasto",O2516,0))</f>
        <v/>
      </c>
      <c r="Q2516" s="20">
        <f>IF(I2516="","",IF(I2516="Ingreso",O2516,0))</f>
        <v/>
      </c>
      <c r="R2516" s="20">
        <f>IF(I2516="","",IF(I2516="Trading",O2516,0))</f>
        <v/>
      </c>
      <c r="S2516" s="19">
        <f>IF(I2516="","",IF(AND(I2516="Gasto",K2516="Variable",J2516&lt;&gt;"Trading",O2516&gt;0,O2516&lt;=Umbral),1,0))</f>
        <v/>
      </c>
      <c r="T2516" s="20">
        <f>IF(OR(I2516="",E2516=""),"",IF(OR(I2516="Gasto",I2516="Transferencia",I2516="Pago tarjeta"),-1,1)*C2516)</f>
        <v/>
      </c>
      <c r="U2516" s="20">
        <f>IF(OR(G2516="",AND(I2516&lt;&gt;"Transferencia",I2516&lt;&gt;"Pago tarjeta")),"",IF(IFERROR(INDEX(ctaMon,MATCH(G2516,ctaNom,0))&amp;"","DOP")=N2516,C2516,IF(N2516="USD",C2516*TasaUSD,C2516/TasaUSD)))</f>
        <v/>
      </c>
      <c r="V2516" s="20">
        <f>IF(I2516="","",IF(IFERROR(INDEX(ctaLiq,MATCH(E2516,ctaNom,0))="Sí",FALSE),IF(OR(I2516="Gasto",I2516="Transferencia",I2516="Pago tarjeta"),-1,1)*O2516,0)+IF(AND(U2516&lt;&gt;"",IFERROR(INDEX(ctaLiq,MATCH(G2516,ctaNom,0))="Sí",FALSE)),O2516,0))</f>
        <v/>
      </c>
      <c r="W2516" s="19">
        <f>IF(OR(F2516="",I2516=""),"",IF(COUNTIFS(F$6:F2516,F2516,I$6:I2516,"?*")=1,MAX(W$5:W2515)+1,""))</f>
        <v/>
      </c>
    </row>
    <row r="2517">
      <c r="B2517" s="15" t="n"/>
      <c r="C2517" s="16" t="n"/>
      <c r="D2517" s="17" t="n"/>
      <c r="E2517" s="17" t="n"/>
      <c r="F2517" s="17" t="n"/>
      <c r="G2517" s="17" t="n"/>
      <c r="H2517" s="18">
        <f>IF(AND(B2517="",C2517="",D2517="",E2517=""),"",IF(B2517="","⚠ Falta fecha",IF(C2517="","⚠ Falta monto",IF(D2517="","⚠ Falta categoría",IF(ISNA(MATCH(D2517,catNom,0)),"⚠ Categoría no existe",IF(E2517="","⚠ Falta cuenta",IF(ISNA(MATCH(E2517,ctaNom,0)),"⚠ Cuenta no existe",IF(AND(OR(I2517="Transferencia",I2517="Pago tarjeta"),G2517=""),"⚠ Indica la cuenta «Hacia»",IF(AND(G2517&lt;&gt;"",G2517=E2517),"⚠ «Hacia» igual a la cuenta",IF(AND(G2517&lt;&gt;"",ISNA(MATCH(G2517,ctaNom,0))),"⚠ «Hacia» no existe",IF(AND(I2517="Pago tarjeta",IFERROR(INDEX(ctaTipo,MATCH(G2517,ctaNom,0)),"")&lt;&gt;"Tarjeta de crédito"),"⚠ «Hacia» debe ser la tarjeta",IF(AND(I2517="Trading",IFERROR(INDEX(ctaTipo,MATCH(E2517,ctaNom,0)),"")&lt;&gt;"Cuenta de trading"),"⚠ Usa la cuenta de trading","✓"))))))))))))</f>
        <v/>
      </c>
      <c r="I2517" s="19">
        <f>IF(OR(B2517="",C2517="",D2517=""),"",IFERROR(INDEX(catTipo,MATCH(D2517,catNom,0))&amp;"",""))</f>
        <v/>
      </c>
      <c r="J2517" s="19">
        <f>IF(I2517="","",IFERROR(INDEX(catGrupo,MATCH(D2517,catNom,0))&amp;"",""))</f>
        <v/>
      </c>
      <c r="K2517" s="19">
        <f>IF(I2517="Gasto",IF(IFERROR(INDEX(catClas,MATCH(D2517,catNom,0))&amp;"","")="","Variable",IFERROR(INDEX(catClas,MATCH(D2517,catNom,0))&amp;"","")),"")</f>
        <v/>
      </c>
      <c r="L2517" s="19">
        <f>IF(I2517="","",IFERROR(INDEX(catAlim,MATCH(D2517,catNom,0))&amp;"",""))</f>
        <v/>
      </c>
      <c r="M2517" s="19">
        <f>IF(I2517="","",IFERROR(INDEX(catComida,MATCH(D2517,catNom,0))&amp;"",""))</f>
        <v/>
      </c>
      <c r="N2517" s="19">
        <f>IF(I2517="","",IFERROR(INDEX(ctaMon,MATCH(E2517,ctaNom,0))&amp;"","DOP"))</f>
        <v/>
      </c>
      <c r="O2517" s="20">
        <f>IF(I2517="","",C2517*IF(N2517="USD",TasaUSD,1))</f>
        <v/>
      </c>
      <c r="P2517" s="20">
        <f>IF(I2517="","",IF(I2517="Gasto",O2517,0))</f>
        <v/>
      </c>
      <c r="Q2517" s="20">
        <f>IF(I2517="","",IF(I2517="Ingreso",O2517,0))</f>
        <v/>
      </c>
      <c r="R2517" s="20">
        <f>IF(I2517="","",IF(I2517="Trading",O2517,0))</f>
        <v/>
      </c>
      <c r="S2517" s="19">
        <f>IF(I2517="","",IF(AND(I2517="Gasto",K2517="Variable",J2517&lt;&gt;"Trading",O2517&gt;0,O2517&lt;=Umbral),1,0))</f>
        <v/>
      </c>
      <c r="T2517" s="20">
        <f>IF(OR(I2517="",E2517=""),"",IF(OR(I2517="Gasto",I2517="Transferencia",I2517="Pago tarjeta"),-1,1)*C2517)</f>
        <v/>
      </c>
      <c r="U2517" s="20">
        <f>IF(OR(G2517="",AND(I2517&lt;&gt;"Transferencia",I2517&lt;&gt;"Pago tarjeta")),"",IF(IFERROR(INDEX(ctaMon,MATCH(G2517,ctaNom,0))&amp;"","DOP")=N2517,C2517,IF(N2517="USD",C2517*TasaUSD,C2517/TasaUSD)))</f>
        <v/>
      </c>
      <c r="V2517" s="20">
        <f>IF(I2517="","",IF(IFERROR(INDEX(ctaLiq,MATCH(E2517,ctaNom,0))="Sí",FALSE),IF(OR(I2517="Gasto",I2517="Transferencia",I2517="Pago tarjeta"),-1,1)*O2517,0)+IF(AND(U2517&lt;&gt;"",IFERROR(INDEX(ctaLiq,MATCH(G2517,ctaNom,0))="Sí",FALSE)),O2517,0))</f>
        <v/>
      </c>
      <c r="W2517" s="19">
        <f>IF(OR(F2517="",I2517=""),"",IF(COUNTIFS(F$6:F2517,F2517,I$6:I2517,"?*")=1,MAX(W$5:W2516)+1,""))</f>
        <v/>
      </c>
    </row>
    <row r="2518">
      <c r="B2518" s="15" t="n"/>
      <c r="C2518" s="16" t="n"/>
      <c r="D2518" s="17" t="n"/>
      <c r="E2518" s="17" t="n"/>
      <c r="F2518" s="17" t="n"/>
      <c r="G2518" s="17" t="n"/>
      <c r="H2518" s="18">
        <f>IF(AND(B2518="",C2518="",D2518="",E2518=""),"",IF(B2518="","⚠ Falta fecha",IF(C2518="","⚠ Falta monto",IF(D2518="","⚠ Falta categoría",IF(ISNA(MATCH(D2518,catNom,0)),"⚠ Categoría no existe",IF(E2518="","⚠ Falta cuenta",IF(ISNA(MATCH(E2518,ctaNom,0)),"⚠ Cuenta no existe",IF(AND(OR(I2518="Transferencia",I2518="Pago tarjeta"),G2518=""),"⚠ Indica la cuenta «Hacia»",IF(AND(G2518&lt;&gt;"",G2518=E2518),"⚠ «Hacia» igual a la cuenta",IF(AND(G2518&lt;&gt;"",ISNA(MATCH(G2518,ctaNom,0))),"⚠ «Hacia» no existe",IF(AND(I2518="Pago tarjeta",IFERROR(INDEX(ctaTipo,MATCH(G2518,ctaNom,0)),"")&lt;&gt;"Tarjeta de crédito"),"⚠ «Hacia» debe ser la tarjeta",IF(AND(I2518="Trading",IFERROR(INDEX(ctaTipo,MATCH(E2518,ctaNom,0)),"")&lt;&gt;"Cuenta de trading"),"⚠ Usa la cuenta de trading","✓"))))))))))))</f>
        <v/>
      </c>
      <c r="I2518" s="19">
        <f>IF(OR(B2518="",C2518="",D2518=""),"",IFERROR(INDEX(catTipo,MATCH(D2518,catNom,0))&amp;"",""))</f>
        <v/>
      </c>
      <c r="J2518" s="19">
        <f>IF(I2518="","",IFERROR(INDEX(catGrupo,MATCH(D2518,catNom,0))&amp;"",""))</f>
        <v/>
      </c>
      <c r="K2518" s="19">
        <f>IF(I2518="Gasto",IF(IFERROR(INDEX(catClas,MATCH(D2518,catNom,0))&amp;"","")="","Variable",IFERROR(INDEX(catClas,MATCH(D2518,catNom,0))&amp;"","")),"")</f>
        <v/>
      </c>
      <c r="L2518" s="19">
        <f>IF(I2518="","",IFERROR(INDEX(catAlim,MATCH(D2518,catNom,0))&amp;"",""))</f>
        <v/>
      </c>
      <c r="M2518" s="19">
        <f>IF(I2518="","",IFERROR(INDEX(catComida,MATCH(D2518,catNom,0))&amp;"",""))</f>
        <v/>
      </c>
      <c r="N2518" s="19">
        <f>IF(I2518="","",IFERROR(INDEX(ctaMon,MATCH(E2518,ctaNom,0))&amp;"","DOP"))</f>
        <v/>
      </c>
      <c r="O2518" s="20">
        <f>IF(I2518="","",C2518*IF(N2518="USD",TasaUSD,1))</f>
        <v/>
      </c>
      <c r="P2518" s="20">
        <f>IF(I2518="","",IF(I2518="Gasto",O2518,0))</f>
        <v/>
      </c>
      <c r="Q2518" s="20">
        <f>IF(I2518="","",IF(I2518="Ingreso",O2518,0))</f>
        <v/>
      </c>
      <c r="R2518" s="20">
        <f>IF(I2518="","",IF(I2518="Trading",O2518,0))</f>
        <v/>
      </c>
      <c r="S2518" s="19">
        <f>IF(I2518="","",IF(AND(I2518="Gasto",K2518="Variable",J2518&lt;&gt;"Trading",O2518&gt;0,O2518&lt;=Umbral),1,0))</f>
        <v/>
      </c>
      <c r="T2518" s="20">
        <f>IF(OR(I2518="",E2518=""),"",IF(OR(I2518="Gasto",I2518="Transferencia",I2518="Pago tarjeta"),-1,1)*C2518)</f>
        <v/>
      </c>
      <c r="U2518" s="20">
        <f>IF(OR(G2518="",AND(I2518&lt;&gt;"Transferencia",I2518&lt;&gt;"Pago tarjeta")),"",IF(IFERROR(INDEX(ctaMon,MATCH(G2518,ctaNom,0))&amp;"","DOP")=N2518,C2518,IF(N2518="USD",C2518*TasaUSD,C2518/TasaUSD)))</f>
        <v/>
      </c>
      <c r="V2518" s="20">
        <f>IF(I2518="","",IF(IFERROR(INDEX(ctaLiq,MATCH(E2518,ctaNom,0))="Sí",FALSE),IF(OR(I2518="Gasto",I2518="Transferencia",I2518="Pago tarjeta"),-1,1)*O2518,0)+IF(AND(U2518&lt;&gt;"",IFERROR(INDEX(ctaLiq,MATCH(G2518,ctaNom,0))="Sí",FALSE)),O2518,0))</f>
        <v/>
      </c>
      <c r="W2518" s="19">
        <f>IF(OR(F2518="",I2518=""),"",IF(COUNTIFS(F$6:F2518,F2518,I$6:I2518,"?*")=1,MAX(W$5:W2517)+1,""))</f>
        <v/>
      </c>
    </row>
    <row r="2519">
      <c r="B2519" s="15" t="n"/>
      <c r="C2519" s="16" t="n"/>
      <c r="D2519" s="17" t="n"/>
      <c r="E2519" s="17" t="n"/>
      <c r="F2519" s="17" t="n"/>
      <c r="G2519" s="17" t="n"/>
      <c r="H2519" s="18">
        <f>IF(AND(B2519="",C2519="",D2519="",E2519=""),"",IF(B2519="","⚠ Falta fecha",IF(C2519="","⚠ Falta monto",IF(D2519="","⚠ Falta categoría",IF(ISNA(MATCH(D2519,catNom,0)),"⚠ Categoría no existe",IF(E2519="","⚠ Falta cuenta",IF(ISNA(MATCH(E2519,ctaNom,0)),"⚠ Cuenta no existe",IF(AND(OR(I2519="Transferencia",I2519="Pago tarjeta"),G2519=""),"⚠ Indica la cuenta «Hacia»",IF(AND(G2519&lt;&gt;"",G2519=E2519),"⚠ «Hacia» igual a la cuenta",IF(AND(G2519&lt;&gt;"",ISNA(MATCH(G2519,ctaNom,0))),"⚠ «Hacia» no existe",IF(AND(I2519="Pago tarjeta",IFERROR(INDEX(ctaTipo,MATCH(G2519,ctaNom,0)),"")&lt;&gt;"Tarjeta de crédito"),"⚠ «Hacia» debe ser la tarjeta",IF(AND(I2519="Trading",IFERROR(INDEX(ctaTipo,MATCH(E2519,ctaNom,0)),"")&lt;&gt;"Cuenta de trading"),"⚠ Usa la cuenta de trading","✓"))))))))))))</f>
        <v/>
      </c>
      <c r="I2519" s="19">
        <f>IF(OR(B2519="",C2519="",D2519=""),"",IFERROR(INDEX(catTipo,MATCH(D2519,catNom,0))&amp;"",""))</f>
        <v/>
      </c>
      <c r="J2519" s="19">
        <f>IF(I2519="","",IFERROR(INDEX(catGrupo,MATCH(D2519,catNom,0))&amp;"",""))</f>
        <v/>
      </c>
      <c r="K2519" s="19">
        <f>IF(I2519="Gasto",IF(IFERROR(INDEX(catClas,MATCH(D2519,catNom,0))&amp;"","")="","Variable",IFERROR(INDEX(catClas,MATCH(D2519,catNom,0))&amp;"","")),"")</f>
        <v/>
      </c>
      <c r="L2519" s="19">
        <f>IF(I2519="","",IFERROR(INDEX(catAlim,MATCH(D2519,catNom,0))&amp;"",""))</f>
        <v/>
      </c>
      <c r="M2519" s="19">
        <f>IF(I2519="","",IFERROR(INDEX(catComida,MATCH(D2519,catNom,0))&amp;"",""))</f>
        <v/>
      </c>
      <c r="N2519" s="19">
        <f>IF(I2519="","",IFERROR(INDEX(ctaMon,MATCH(E2519,ctaNom,0))&amp;"","DOP"))</f>
        <v/>
      </c>
      <c r="O2519" s="20">
        <f>IF(I2519="","",C2519*IF(N2519="USD",TasaUSD,1))</f>
        <v/>
      </c>
      <c r="P2519" s="20">
        <f>IF(I2519="","",IF(I2519="Gasto",O2519,0))</f>
        <v/>
      </c>
      <c r="Q2519" s="20">
        <f>IF(I2519="","",IF(I2519="Ingreso",O2519,0))</f>
        <v/>
      </c>
      <c r="R2519" s="20">
        <f>IF(I2519="","",IF(I2519="Trading",O2519,0))</f>
        <v/>
      </c>
      <c r="S2519" s="19">
        <f>IF(I2519="","",IF(AND(I2519="Gasto",K2519="Variable",J2519&lt;&gt;"Trading",O2519&gt;0,O2519&lt;=Umbral),1,0))</f>
        <v/>
      </c>
      <c r="T2519" s="20">
        <f>IF(OR(I2519="",E2519=""),"",IF(OR(I2519="Gasto",I2519="Transferencia",I2519="Pago tarjeta"),-1,1)*C2519)</f>
        <v/>
      </c>
      <c r="U2519" s="20">
        <f>IF(OR(G2519="",AND(I2519&lt;&gt;"Transferencia",I2519&lt;&gt;"Pago tarjeta")),"",IF(IFERROR(INDEX(ctaMon,MATCH(G2519,ctaNom,0))&amp;"","DOP")=N2519,C2519,IF(N2519="USD",C2519*TasaUSD,C2519/TasaUSD)))</f>
        <v/>
      </c>
      <c r="V2519" s="20">
        <f>IF(I2519="","",IF(IFERROR(INDEX(ctaLiq,MATCH(E2519,ctaNom,0))="Sí",FALSE),IF(OR(I2519="Gasto",I2519="Transferencia",I2519="Pago tarjeta"),-1,1)*O2519,0)+IF(AND(U2519&lt;&gt;"",IFERROR(INDEX(ctaLiq,MATCH(G2519,ctaNom,0))="Sí",FALSE)),O2519,0))</f>
        <v/>
      </c>
      <c r="W2519" s="19">
        <f>IF(OR(F2519="",I2519=""),"",IF(COUNTIFS(F$6:F2519,F2519,I$6:I2519,"?*")=1,MAX(W$5:W2518)+1,""))</f>
        <v/>
      </c>
    </row>
    <row r="2520">
      <c r="B2520" s="15" t="n"/>
      <c r="C2520" s="16" t="n"/>
      <c r="D2520" s="17" t="n"/>
      <c r="E2520" s="17" t="n"/>
      <c r="F2520" s="17" t="n"/>
      <c r="G2520" s="17" t="n"/>
      <c r="H2520" s="18">
        <f>IF(AND(B2520="",C2520="",D2520="",E2520=""),"",IF(B2520="","⚠ Falta fecha",IF(C2520="","⚠ Falta monto",IF(D2520="","⚠ Falta categoría",IF(ISNA(MATCH(D2520,catNom,0)),"⚠ Categoría no existe",IF(E2520="","⚠ Falta cuenta",IF(ISNA(MATCH(E2520,ctaNom,0)),"⚠ Cuenta no existe",IF(AND(OR(I2520="Transferencia",I2520="Pago tarjeta"),G2520=""),"⚠ Indica la cuenta «Hacia»",IF(AND(G2520&lt;&gt;"",G2520=E2520),"⚠ «Hacia» igual a la cuenta",IF(AND(G2520&lt;&gt;"",ISNA(MATCH(G2520,ctaNom,0))),"⚠ «Hacia» no existe",IF(AND(I2520="Pago tarjeta",IFERROR(INDEX(ctaTipo,MATCH(G2520,ctaNom,0)),"")&lt;&gt;"Tarjeta de crédito"),"⚠ «Hacia» debe ser la tarjeta",IF(AND(I2520="Trading",IFERROR(INDEX(ctaTipo,MATCH(E2520,ctaNom,0)),"")&lt;&gt;"Cuenta de trading"),"⚠ Usa la cuenta de trading","✓"))))))))))))</f>
        <v/>
      </c>
      <c r="I2520" s="19">
        <f>IF(OR(B2520="",C2520="",D2520=""),"",IFERROR(INDEX(catTipo,MATCH(D2520,catNom,0))&amp;"",""))</f>
        <v/>
      </c>
      <c r="J2520" s="19">
        <f>IF(I2520="","",IFERROR(INDEX(catGrupo,MATCH(D2520,catNom,0))&amp;"",""))</f>
        <v/>
      </c>
      <c r="K2520" s="19">
        <f>IF(I2520="Gasto",IF(IFERROR(INDEX(catClas,MATCH(D2520,catNom,0))&amp;"","")="","Variable",IFERROR(INDEX(catClas,MATCH(D2520,catNom,0))&amp;"","")),"")</f>
        <v/>
      </c>
      <c r="L2520" s="19">
        <f>IF(I2520="","",IFERROR(INDEX(catAlim,MATCH(D2520,catNom,0))&amp;"",""))</f>
        <v/>
      </c>
      <c r="M2520" s="19">
        <f>IF(I2520="","",IFERROR(INDEX(catComida,MATCH(D2520,catNom,0))&amp;"",""))</f>
        <v/>
      </c>
      <c r="N2520" s="19">
        <f>IF(I2520="","",IFERROR(INDEX(ctaMon,MATCH(E2520,ctaNom,0))&amp;"","DOP"))</f>
        <v/>
      </c>
      <c r="O2520" s="20">
        <f>IF(I2520="","",C2520*IF(N2520="USD",TasaUSD,1))</f>
        <v/>
      </c>
      <c r="P2520" s="20">
        <f>IF(I2520="","",IF(I2520="Gasto",O2520,0))</f>
        <v/>
      </c>
      <c r="Q2520" s="20">
        <f>IF(I2520="","",IF(I2520="Ingreso",O2520,0))</f>
        <v/>
      </c>
      <c r="R2520" s="20">
        <f>IF(I2520="","",IF(I2520="Trading",O2520,0))</f>
        <v/>
      </c>
      <c r="S2520" s="19">
        <f>IF(I2520="","",IF(AND(I2520="Gasto",K2520="Variable",J2520&lt;&gt;"Trading",O2520&gt;0,O2520&lt;=Umbral),1,0))</f>
        <v/>
      </c>
      <c r="T2520" s="20">
        <f>IF(OR(I2520="",E2520=""),"",IF(OR(I2520="Gasto",I2520="Transferencia",I2520="Pago tarjeta"),-1,1)*C2520)</f>
        <v/>
      </c>
      <c r="U2520" s="20">
        <f>IF(OR(G2520="",AND(I2520&lt;&gt;"Transferencia",I2520&lt;&gt;"Pago tarjeta")),"",IF(IFERROR(INDEX(ctaMon,MATCH(G2520,ctaNom,0))&amp;"","DOP")=N2520,C2520,IF(N2520="USD",C2520*TasaUSD,C2520/TasaUSD)))</f>
        <v/>
      </c>
      <c r="V2520" s="20">
        <f>IF(I2520="","",IF(IFERROR(INDEX(ctaLiq,MATCH(E2520,ctaNom,0))="Sí",FALSE),IF(OR(I2520="Gasto",I2520="Transferencia",I2520="Pago tarjeta"),-1,1)*O2520,0)+IF(AND(U2520&lt;&gt;"",IFERROR(INDEX(ctaLiq,MATCH(G2520,ctaNom,0))="Sí",FALSE)),O2520,0))</f>
        <v/>
      </c>
      <c r="W2520" s="19">
        <f>IF(OR(F2520="",I2520=""),"",IF(COUNTIFS(F$6:F2520,F2520,I$6:I2520,"?*")=1,MAX(W$5:W2519)+1,""))</f>
        <v/>
      </c>
    </row>
    <row r="2521">
      <c r="B2521" s="15" t="n"/>
      <c r="C2521" s="16" t="n"/>
      <c r="D2521" s="17" t="n"/>
      <c r="E2521" s="17" t="n"/>
      <c r="F2521" s="17" t="n"/>
      <c r="G2521" s="17" t="n"/>
      <c r="H2521" s="18">
        <f>IF(AND(B2521="",C2521="",D2521="",E2521=""),"",IF(B2521="","⚠ Falta fecha",IF(C2521="","⚠ Falta monto",IF(D2521="","⚠ Falta categoría",IF(ISNA(MATCH(D2521,catNom,0)),"⚠ Categoría no existe",IF(E2521="","⚠ Falta cuenta",IF(ISNA(MATCH(E2521,ctaNom,0)),"⚠ Cuenta no existe",IF(AND(OR(I2521="Transferencia",I2521="Pago tarjeta"),G2521=""),"⚠ Indica la cuenta «Hacia»",IF(AND(G2521&lt;&gt;"",G2521=E2521),"⚠ «Hacia» igual a la cuenta",IF(AND(G2521&lt;&gt;"",ISNA(MATCH(G2521,ctaNom,0))),"⚠ «Hacia» no existe",IF(AND(I2521="Pago tarjeta",IFERROR(INDEX(ctaTipo,MATCH(G2521,ctaNom,0)),"")&lt;&gt;"Tarjeta de crédito"),"⚠ «Hacia» debe ser la tarjeta",IF(AND(I2521="Trading",IFERROR(INDEX(ctaTipo,MATCH(E2521,ctaNom,0)),"")&lt;&gt;"Cuenta de trading"),"⚠ Usa la cuenta de trading","✓"))))))))))))</f>
        <v/>
      </c>
      <c r="I2521" s="19">
        <f>IF(OR(B2521="",C2521="",D2521=""),"",IFERROR(INDEX(catTipo,MATCH(D2521,catNom,0))&amp;"",""))</f>
        <v/>
      </c>
      <c r="J2521" s="19">
        <f>IF(I2521="","",IFERROR(INDEX(catGrupo,MATCH(D2521,catNom,0))&amp;"",""))</f>
        <v/>
      </c>
      <c r="K2521" s="19">
        <f>IF(I2521="Gasto",IF(IFERROR(INDEX(catClas,MATCH(D2521,catNom,0))&amp;"","")="","Variable",IFERROR(INDEX(catClas,MATCH(D2521,catNom,0))&amp;"","")),"")</f>
        <v/>
      </c>
      <c r="L2521" s="19">
        <f>IF(I2521="","",IFERROR(INDEX(catAlim,MATCH(D2521,catNom,0))&amp;"",""))</f>
        <v/>
      </c>
      <c r="M2521" s="19">
        <f>IF(I2521="","",IFERROR(INDEX(catComida,MATCH(D2521,catNom,0))&amp;"",""))</f>
        <v/>
      </c>
      <c r="N2521" s="19">
        <f>IF(I2521="","",IFERROR(INDEX(ctaMon,MATCH(E2521,ctaNom,0))&amp;"","DOP"))</f>
        <v/>
      </c>
      <c r="O2521" s="20">
        <f>IF(I2521="","",C2521*IF(N2521="USD",TasaUSD,1))</f>
        <v/>
      </c>
      <c r="P2521" s="20">
        <f>IF(I2521="","",IF(I2521="Gasto",O2521,0))</f>
        <v/>
      </c>
      <c r="Q2521" s="20">
        <f>IF(I2521="","",IF(I2521="Ingreso",O2521,0))</f>
        <v/>
      </c>
      <c r="R2521" s="20">
        <f>IF(I2521="","",IF(I2521="Trading",O2521,0))</f>
        <v/>
      </c>
      <c r="S2521" s="19">
        <f>IF(I2521="","",IF(AND(I2521="Gasto",K2521="Variable",J2521&lt;&gt;"Trading",O2521&gt;0,O2521&lt;=Umbral),1,0))</f>
        <v/>
      </c>
      <c r="T2521" s="20">
        <f>IF(OR(I2521="",E2521=""),"",IF(OR(I2521="Gasto",I2521="Transferencia",I2521="Pago tarjeta"),-1,1)*C2521)</f>
        <v/>
      </c>
      <c r="U2521" s="20">
        <f>IF(OR(G2521="",AND(I2521&lt;&gt;"Transferencia",I2521&lt;&gt;"Pago tarjeta")),"",IF(IFERROR(INDEX(ctaMon,MATCH(G2521,ctaNom,0))&amp;"","DOP")=N2521,C2521,IF(N2521="USD",C2521*TasaUSD,C2521/TasaUSD)))</f>
        <v/>
      </c>
      <c r="V2521" s="20">
        <f>IF(I2521="","",IF(IFERROR(INDEX(ctaLiq,MATCH(E2521,ctaNom,0))="Sí",FALSE),IF(OR(I2521="Gasto",I2521="Transferencia",I2521="Pago tarjeta"),-1,1)*O2521,0)+IF(AND(U2521&lt;&gt;"",IFERROR(INDEX(ctaLiq,MATCH(G2521,ctaNom,0))="Sí",FALSE)),O2521,0))</f>
        <v/>
      </c>
      <c r="W2521" s="19">
        <f>IF(OR(F2521="",I2521=""),"",IF(COUNTIFS(F$6:F2521,F2521,I$6:I2521,"?*")=1,MAX(W$5:W2520)+1,""))</f>
        <v/>
      </c>
    </row>
    <row r="2522">
      <c r="B2522" s="15" t="n"/>
      <c r="C2522" s="16" t="n"/>
      <c r="D2522" s="17" t="n"/>
      <c r="E2522" s="17" t="n"/>
      <c r="F2522" s="17" t="n"/>
      <c r="G2522" s="17" t="n"/>
      <c r="H2522" s="18">
        <f>IF(AND(B2522="",C2522="",D2522="",E2522=""),"",IF(B2522="","⚠ Falta fecha",IF(C2522="","⚠ Falta monto",IF(D2522="","⚠ Falta categoría",IF(ISNA(MATCH(D2522,catNom,0)),"⚠ Categoría no existe",IF(E2522="","⚠ Falta cuenta",IF(ISNA(MATCH(E2522,ctaNom,0)),"⚠ Cuenta no existe",IF(AND(OR(I2522="Transferencia",I2522="Pago tarjeta"),G2522=""),"⚠ Indica la cuenta «Hacia»",IF(AND(G2522&lt;&gt;"",G2522=E2522),"⚠ «Hacia» igual a la cuenta",IF(AND(G2522&lt;&gt;"",ISNA(MATCH(G2522,ctaNom,0))),"⚠ «Hacia» no existe",IF(AND(I2522="Pago tarjeta",IFERROR(INDEX(ctaTipo,MATCH(G2522,ctaNom,0)),"")&lt;&gt;"Tarjeta de crédito"),"⚠ «Hacia» debe ser la tarjeta",IF(AND(I2522="Trading",IFERROR(INDEX(ctaTipo,MATCH(E2522,ctaNom,0)),"")&lt;&gt;"Cuenta de trading"),"⚠ Usa la cuenta de trading","✓"))))))))))))</f>
        <v/>
      </c>
      <c r="I2522" s="19">
        <f>IF(OR(B2522="",C2522="",D2522=""),"",IFERROR(INDEX(catTipo,MATCH(D2522,catNom,0))&amp;"",""))</f>
        <v/>
      </c>
      <c r="J2522" s="19">
        <f>IF(I2522="","",IFERROR(INDEX(catGrupo,MATCH(D2522,catNom,0))&amp;"",""))</f>
        <v/>
      </c>
      <c r="K2522" s="19">
        <f>IF(I2522="Gasto",IF(IFERROR(INDEX(catClas,MATCH(D2522,catNom,0))&amp;"","")="","Variable",IFERROR(INDEX(catClas,MATCH(D2522,catNom,0))&amp;"","")),"")</f>
        <v/>
      </c>
      <c r="L2522" s="19">
        <f>IF(I2522="","",IFERROR(INDEX(catAlim,MATCH(D2522,catNom,0))&amp;"",""))</f>
        <v/>
      </c>
      <c r="M2522" s="19">
        <f>IF(I2522="","",IFERROR(INDEX(catComida,MATCH(D2522,catNom,0))&amp;"",""))</f>
        <v/>
      </c>
      <c r="N2522" s="19">
        <f>IF(I2522="","",IFERROR(INDEX(ctaMon,MATCH(E2522,ctaNom,0))&amp;"","DOP"))</f>
        <v/>
      </c>
      <c r="O2522" s="20">
        <f>IF(I2522="","",C2522*IF(N2522="USD",TasaUSD,1))</f>
        <v/>
      </c>
      <c r="P2522" s="20">
        <f>IF(I2522="","",IF(I2522="Gasto",O2522,0))</f>
        <v/>
      </c>
      <c r="Q2522" s="20">
        <f>IF(I2522="","",IF(I2522="Ingreso",O2522,0))</f>
        <v/>
      </c>
      <c r="R2522" s="20">
        <f>IF(I2522="","",IF(I2522="Trading",O2522,0))</f>
        <v/>
      </c>
      <c r="S2522" s="19">
        <f>IF(I2522="","",IF(AND(I2522="Gasto",K2522="Variable",J2522&lt;&gt;"Trading",O2522&gt;0,O2522&lt;=Umbral),1,0))</f>
        <v/>
      </c>
      <c r="T2522" s="20">
        <f>IF(OR(I2522="",E2522=""),"",IF(OR(I2522="Gasto",I2522="Transferencia",I2522="Pago tarjeta"),-1,1)*C2522)</f>
        <v/>
      </c>
      <c r="U2522" s="20">
        <f>IF(OR(G2522="",AND(I2522&lt;&gt;"Transferencia",I2522&lt;&gt;"Pago tarjeta")),"",IF(IFERROR(INDEX(ctaMon,MATCH(G2522,ctaNom,0))&amp;"","DOP")=N2522,C2522,IF(N2522="USD",C2522*TasaUSD,C2522/TasaUSD)))</f>
        <v/>
      </c>
      <c r="V2522" s="20">
        <f>IF(I2522="","",IF(IFERROR(INDEX(ctaLiq,MATCH(E2522,ctaNom,0))="Sí",FALSE),IF(OR(I2522="Gasto",I2522="Transferencia",I2522="Pago tarjeta"),-1,1)*O2522,0)+IF(AND(U2522&lt;&gt;"",IFERROR(INDEX(ctaLiq,MATCH(G2522,ctaNom,0))="Sí",FALSE)),O2522,0))</f>
        <v/>
      </c>
      <c r="W2522" s="19">
        <f>IF(OR(F2522="",I2522=""),"",IF(COUNTIFS(F$6:F2522,F2522,I$6:I2522,"?*")=1,MAX(W$5:W2521)+1,""))</f>
        <v/>
      </c>
    </row>
    <row r="2523">
      <c r="B2523" s="15" t="n"/>
      <c r="C2523" s="16" t="n"/>
      <c r="D2523" s="17" t="n"/>
      <c r="E2523" s="17" t="n"/>
      <c r="F2523" s="17" t="n"/>
      <c r="G2523" s="17" t="n"/>
      <c r="H2523" s="18">
        <f>IF(AND(B2523="",C2523="",D2523="",E2523=""),"",IF(B2523="","⚠ Falta fecha",IF(C2523="","⚠ Falta monto",IF(D2523="","⚠ Falta categoría",IF(ISNA(MATCH(D2523,catNom,0)),"⚠ Categoría no existe",IF(E2523="","⚠ Falta cuenta",IF(ISNA(MATCH(E2523,ctaNom,0)),"⚠ Cuenta no existe",IF(AND(OR(I2523="Transferencia",I2523="Pago tarjeta"),G2523=""),"⚠ Indica la cuenta «Hacia»",IF(AND(G2523&lt;&gt;"",G2523=E2523),"⚠ «Hacia» igual a la cuenta",IF(AND(G2523&lt;&gt;"",ISNA(MATCH(G2523,ctaNom,0))),"⚠ «Hacia» no existe",IF(AND(I2523="Pago tarjeta",IFERROR(INDEX(ctaTipo,MATCH(G2523,ctaNom,0)),"")&lt;&gt;"Tarjeta de crédito"),"⚠ «Hacia» debe ser la tarjeta",IF(AND(I2523="Trading",IFERROR(INDEX(ctaTipo,MATCH(E2523,ctaNom,0)),"")&lt;&gt;"Cuenta de trading"),"⚠ Usa la cuenta de trading","✓"))))))))))))</f>
        <v/>
      </c>
      <c r="I2523" s="19">
        <f>IF(OR(B2523="",C2523="",D2523=""),"",IFERROR(INDEX(catTipo,MATCH(D2523,catNom,0))&amp;"",""))</f>
        <v/>
      </c>
      <c r="J2523" s="19">
        <f>IF(I2523="","",IFERROR(INDEX(catGrupo,MATCH(D2523,catNom,0))&amp;"",""))</f>
        <v/>
      </c>
      <c r="K2523" s="19">
        <f>IF(I2523="Gasto",IF(IFERROR(INDEX(catClas,MATCH(D2523,catNom,0))&amp;"","")="","Variable",IFERROR(INDEX(catClas,MATCH(D2523,catNom,0))&amp;"","")),"")</f>
        <v/>
      </c>
      <c r="L2523" s="19">
        <f>IF(I2523="","",IFERROR(INDEX(catAlim,MATCH(D2523,catNom,0))&amp;"",""))</f>
        <v/>
      </c>
      <c r="M2523" s="19">
        <f>IF(I2523="","",IFERROR(INDEX(catComida,MATCH(D2523,catNom,0))&amp;"",""))</f>
        <v/>
      </c>
      <c r="N2523" s="19">
        <f>IF(I2523="","",IFERROR(INDEX(ctaMon,MATCH(E2523,ctaNom,0))&amp;"","DOP"))</f>
        <v/>
      </c>
      <c r="O2523" s="20">
        <f>IF(I2523="","",C2523*IF(N2523="USD",TasaUSD,1))</f>
        <v/>
      </c>
      <c r="P2523" s="20">
        <f>IF(I2523="","",IF(I2523="Gasto",O2523,0))</f>
        <v/>
      </c>
      <c r="Q2523" s="20">
        <f>IF(I2523="","",IF(I2523="Ingreso",O2523,0))</f>
        <v/>
      </c>
      <c r="R2523" s="20">
        <f>IF(I2523="","",IF(I2523="Trading",O2523,0))</f>
        <v/>
      </c>
      <c r="S2523" s="19">
        <f>IF(I2523="","",IF(AND(I2523="Gasto",K2523="Variable",J2523&lt;&gt;"Trading",O2523&gt;0,O2523&lt;=Umbral),1,0))</f>
        <v/>
      </c>
      <c r="T2523" s="20">
        <f>IF(OR(I2523="",E2523=""),"",IF(OR(I2523="Gasto",I2523="Transferencia",I2523="Pago tarjeta"),-1,1)*C2523)</f>
        <v/>
      </c>
      <c r="U2523" s="20">
        <f>IF(OR(G2523="",AND(I2523&lt;&gt;"Transferencia",I2523&lt;&gt;"Pago tarjeta")),"",IF(IFERROR(INDEX(ctaMon,MATCH(G2523,ctaNom,0))&amp;"","DOP")=N2523,C2523,IF(N2523="USD",C2523*TasaUSD,C2523/TasaUSD)))</f>
        <v/>
      </c>
      <c r="V2523" s="20">
        <f>IF(I2523="","",IF(IFERROR(INDEX(ctaLiq,MATCH(E2523,ctaNom,0))="Sí",FALSE),IF(OR(I2523="Gasto",I2523="Transferencia",I2523="Pago tarjeta"),-1,1)*O2523,0)+IF(AND(U2523&lt;&gt;"",IFERROR(INDEX(ctaLiq,MATCH(G2523,ctaNom,0))="Sí",FALSE)),O2523,0))</f>
        <v/>
      </c>
      <c r="W2523" s="19">
        <f>IF(OR(F2523="",I2523=""),"",IF(COUNTIFS(F$6:F2523,F2523,I$6:I2523,"?*")=1,MAX(W$5:W2522)+1,""))</f>
        <v/>
      </c>
    </row>
    <row r="2524">
      <c r="B2524" s="15" t="n"/>
      <c r="C2524" s="16" t="n"/>
      <c r="D2524" s="17" t="n"/>
      <c r="E2524" s="17" t="n"/>
      <c r="F2524" s="17" t="n"/>
      <c r="G2524" s="17" t="n"/>
      <c r="H2524" s="18">
        <f>IF(AND(B2524="",C2524="",D2524="",E2524=""),"",IF(B2524="","⚠ Falta fecha",IF(C2524="","⚠ Falta monto",IF(D2524="","⚠ Falta categoría",IF(ISNA(MATCH(D2524,catNom,0)),"⚠ Categoría no existe",IF(E2524="","⚠ Falta cuenta",IF(ISNA(MATCH(E2524,ctaNom,0)),"⚠ Cuenta no existe",IF(AND(OR(I2524="Transferencia",I2524="Pago tarjeta"),G2524=""),"⚠ Indica la cuenta «Hacia»",IF(AND(G2524&lt;&gt;"",G2524=E2524),"⚠ «Hacia» igual a la cuenta",IF(AND(G2524&lt;&gt;"",ISNA(MATCH(G2524,ctaNom,0))),"⚠ «Hacia» no existe",IF(AND(I2524="Pago tarjeta",IFERROR(INDEX(ctaTipo,MATCH(G2524,ctaNom,0)),"")&lt;&gt;"Tarjeta de crédito"),"⚠ «Hacia» debe ser la tarjeta",IF(AND(I2524="Trading",IFERROR(INDEX(ctaTipo,MATCH(E2524,ctaNom,0)),"")&lt;&gt;"Cuenta de trading"),"⚠ Usa la cuenta de trading","✓"))))))))))))</f>
        <v/>
      </c>
      <c r="I2524" s="19">
        <f>IF(OR(B2524="",C2524="",D2524=""),"",IFERROR(INDEX(catTipo,MATCH(D2524,catNom,0))&amp;"",""))</f>
        <v/>
      </c>
      <c r="J2524" s="19">
        <f>IF(I2524="","",IFERROR(INDEX(catGrupo,MATCH(D2524,catNom,0))&amp;"",""))</f>
        <v/>
      </c>
      <c r="K2524" s="19">
        <f>IF(I2524="Gasto",IF(IFERROR(INDEX(catClas,MATCH(D2524,catNom,0))&amp;"","")="","Variable",IFERROR(INDEX(catClas,MATCH(D2524,catNom,0))&amp;"","")),"")</f>
        <v/>
      </c>
      <c r="L2524" s="19">
        <f>IF(I2524="","",IFERROR(INDEX(catAlim,MATCH(D2524,catNom,0))&amp;"",""))</f>
        <v/>
      </c>
      <c r="M2524" s="19">
        <f>IF(I2524="","",IFERROR(INDEX(catComida,MATCH(D2524,catNom,0))&amp;"",""))</f>
        <v/>
      </c>
      <c r="N2524" s="19">
        <f>IF(I2524="","",IFERROR(INDEX(ctaMon,MATCH(E2524,ctaNom,0))&amp;"","DOP"))</f>
        <v/>
      </c>
      <c r="O2524" s="20">
        <f>IF(I2524="","",C2524*IF(N2524="USD",TasaUSD,1))</f>
        <v/>
      </c>
      <c r="P2524" s="20">
        <f>IF(I2524="","",IF(I2524="Gasto",O2524,0))</f>
        <v/>
      </c>
      <c r="Q2524" s="20">
        <f>IF(I2524="","",IF(I2524="Ingreso",O2524,0))</f>
        <v/>
      </c>
      <c r="R2524" s="20">
        <f>IF(I2524="","",IF(I2524="Trading",O2524,0))</f>
        <v/>
      </c>
      <c r="S2524" s="19">
        <f>IF(I2524="","",IF(AND(I2524="Gasto",K2524="Variable",J2524&lt;&gt;"Trading",O2524&gt;0,O2524&lt;=Umbral),1,0))</f>
        <v/>
      </c>
      <c r="T2524" s="20">
        <f>IF(OR(I2524="",E2524=""),"",IF(OR(I2524="Gasto",I2524="Transferencia",I2524="Pago tarjeta"),-1,1)*C2524)</f>
        <v/>
      </c>
      <c r="U2524" s="20">
        <f>IF(OR(G2524="",AND(I2524&lt;&gt;"Transferencia",I2524&lt;&gt;"Pago tarjeta")),"",IF(IFERROR(INDEX(ctaMon,MATCH(G2524,ctaNom,0))&amp;"","DOP")=N2524,C2524,IF(N2524="USD",C2524*TasaUSD,C2524/TasaUSD)))</f>
        <v/>
      </c>
      <c r="V2524" s="20">
        <f>IF(I2524="","",IF(IFERROR(INDEX(ctaLiq,MATCH(E2524,ctaNom,0))="Sí",FALSE),IF(OR(I2524="Gasto",I2524="Transferencia",I2524="Pago tarjeta"),-1,1)*O2524,0)+IF(AND(U2524&lt;&gt;"",IFERROR(INDEX(ctaLiq,MATCH(G2524,ctaNom,0))="Sí",FALSE)),O2524,0))</f>
        <v/>
      </c>
      <c r="W2524" s="19">
        <f>IF(OR(F2524="",I2524=""),"",IF(COUNTIFS(F$6:F2524,F2524,I$6:I2524,"?*")=1,MAX(W$5:W2523)+1,""))</f>
        <v/>
      </c>
    </row>
    <row r="2525">
      <c r="B2525" s="15" t="n"/>
      <c r="C2525" s="16" t="n"/>
      <c r="D2525" s="17" t="n"/>
      <c r="E2525" s="17" t="n"/>
      <c r="F2525" s="17" t="n"/>
      <c r="G2525" s="17" t="n"/>
      <c r="H2525" s="18">
        <f>IF(AND(B2525="",C2525="",D2525="",E2525=""),"",IF(B2525="","⚠ Falta fecha",IF(C2525="","⚠ Falta monto",IF(D2525="","⚠ Falta categoría",IF(ISNA(MATCH(D2525,catNom,0)),"⚠ Categoría no existe",IF(E2525="","⚠ Falta cuenta",IF(ISNA(MATCH(E2525,ctaNom,0)),"⚠ Cuenta no existe",IF(AND(OR(I2525="Transferencia",I2525="Pago tarjeta"),G2525=""),"⚠ Indica la cuenta «Hacia»",IF(AND(G2525&lt;&gt;"",G2525=E2525),"⚠ «Hacia» igual a la cuenta",IF(AND(G2525&lt;&gt;"",ISNA(MATCH(G2525,ctaNom,0))),"⚠ «Hacia» no existe",IF(AND(I2525="Pago tarjeta",IFERROR(INDEX(ctaTipo,MATCH(G2525,ctaNom,0)),"")&lt;&gt;"Tarjeta de crédito"),"⚠ «Hacia» debe ser la tarjeta",IF(AND(I2525="Trading",IFERROR(INDEX(ctaTipo,MATCH(E2525,ctaNom,0)),"")&lt;&gt;"Cuenta de trading"),"⚠ Usa la cuenta de trading","✓"))))))))))))</f>
        <v/>
      </c>
      <c r="I2525" s="19">
        <f>IF(OR(B2525="",C2525="",D2525=""),"",IFERROR(INDEX(catTipo,MATCH(D2525,catNom,0))&amp;"",""))</f>
        <v/>
      </c>
      <c r="J2525" s="19">
        <f>IF(I2525="","",IFERROR(INDEX(catGrupo,MATCH(D2525,catNom,0))&amp;"",""))</f>
        <v/>
      </c>
      <c r="K2525" s="19">
        <f>IF(I2525="Gasto",IF(IFERROR(INDEX(catClas,MATCH(D2525,catNom,0))&amp;"","")="","Variable",IFERROR(INDEX(catClas,MATCH(D2525,catNom,0))&amp;"","")),"")</f>
        <v/>
      </c>
      <c r="L2525" s="19">
        <f>IF(I2525="","",IFERROR(INDEX(catAlim,MATCH(D2525,catNom,0))&amp;"",""))</f>
        <v/>
      </c>
      <c r="M2525" s="19">
        <f>IF(I2525="","",IFERROR(INDEX(catComida,MATCH(D2525,catNom,0))&amp;"",""))</f>
        <v/>
      </c>
      <c r="N2525" s="19">
        <f>IF(I2525="","",IFERROR(INDEX(ctaMon,MATCH(E2525,ctaNom,0))&amp;"","DOP"))</f>
        <v/>
      </c>
      <c r="O2525" s="20">
        <f>IF(I2525="","",C2525*IF(N2525="USD",TasaUSD,1))</f>
        <v/>
      </c>
      <c r="P2525" s="20">
        <f>IF(I2525="","",IF(I2525="Gasto",O2525,0))</f>
        <v/>
      </c>
      <c r="Q2525" s="20">
        <f>IF(I2525="","",IF(I2525="Ingreso",O2525,0))</f>
        <v/>
      </c>
      <c r="R2525" s="20">
        <f>IF(I2525="","",IF(I2525="Trading",O2525,0))</f>
        <v/>
      </c>
      <c r="S2525" s="19">
        <f>IF(I2525="","",IF(AND(I2525="Gasto",K2525="Variable",J2525&lt;&gt;"Trading",O2525&gt;0,O2525&lt;=Umbral),1,0))</f>
        <v/>
      </c>
      <c r="T2525" s="20">
        <f>IF(OR(I2525="",E2525=""),"",IF(OR(I2525="Gasto",I2525="Transferencia",I2525="Pago tarjeta"),-1,1)*C2525)</f>
        <v/>
      </c>
      <c r="U2525" s="20">
        <f>IF(OR(G2525="",AND(I2525&lt;&gt;"Transferencia",I2525&lt;&gt;"Pago tarjeta")),"",IF(IFERROR(INDEX(ctaMon,MATCH(G2525,ctaNom,0))&amp;"","DOP")=N2525,C2525,IF(N2525="USD",C2525*TasaUSD,C2525/TasaUSD)))</f>
        <v/>
      </c>
      <c r="V2525" s="20">
        <f>IF(I2525="","",IF(IFERROR(INDEX(ctaLiq,MATCH(E2525,ctaNom,0))="Sí",FALSE),IF(OR(I2525="Gasto",I2525="Transferencia",I2525="Pago tarjeta"),-1,1)*O2525,0)+IF(AND(U2525&lt;&gt;"",IFERROR(INDEX(ctaLiq,MATCH(G2525,ctaNom,0))="Sí",FALSE)),O2525,0))</f>
        <v/>
      </c>
      <c r="W2525" s="19">
        <f>IF(OR(F2525="",I2525=""),"",IF(COUNTIFS(F$6:F2525,F2525,I$6:I2525,"?*")=1,MAX(W$5:W2524)+1,""))</f>
        <v/>
      </c>
    </row>
    <row r="2526">
      <c r="B2526" s="15" t="n"/>
      <c r="C2526" s="16" t="n"/>
      <c r="D2526" s="17" t="n"/>
      <c r="E2526" s="17" t="n"/>
      <c r="F2526" s="17" t="n"/>
      <c r="G2526" s="17" t="n"/>
      <c r="H2526" s="18">
        <f>IF(AND(B2526="",C2526="",D2526="",E2526=""),"",IF(B2526="","⚠ Falta fecha",IF(C2526="","⚠ Falta monto",IF(D2526="","⚠ Falta categoría",IF(ISNA(MATCH(D2526,catNom,0)),"⚠ Categoría no existe",IF(E2526="","⚠ Falta cuenta",IF(ISNA(MATCH(E2526,ctaNom,0)),"⚠ Cuenta no existe",IF(AND(OR(I2526="Transferencia",I2526="Pago tarjeta"),G2526=""),"⚠ Indica la cuenta «Hacia»",IF(AND(G2526&lt;&gt;"",G2526=E2526),"⚠ «Hacia» igual a la cuenta",IF(AND(G2526&lt;&gt;"",ISNA(MATCH(G2526,ctaNom,0))),"⚠ «Hacia» no existe",IF(AND(I2526="Pago tarjeta",IFERROR(INDEX(ctaTipo,MATCH(G2526,ctaNom,0)),"")&lt;&gt;"Tarjeta de crédito"),"⚠ «Hacia» debe ser la tarjeta",IF(AND(I2526="Trading",IFERROR(INDEX(ctaTipo,MATCH(E2526,ctaNom,0)),"")&lt;&gt;"Cuenta de trading"),"⚠ Usa la cuenta de trading","✓"))))))))))))</f>
        <v/>
      </c>
      <c r="I2526" s="19">
        <f>IF(OR(B2526="",C2526="",D2526=""),"",IFERROR(INDEX(catTipo,MATCH(D2526,catNom,0))&amp;"",""))</f>
        <v/>
      </c>
      <c r="J2526" s="19">
        <f>IF(I2526="","",IFERROR(INDEX(catGrupo,MATCH(D2526,catNom,0))&amp;"",""))</f>
        <v/>
      </c>
      <c r="K2526" s="19">
        <f>IF(I2526="Gasto",IF(IFERROR(INDEX(catClas,MATCH(D2526,catNom,0))&amp;"","")="","Variable",IFERROR(INDEX(catClas,MATCH(D2526,catNom,0))&amp;"","")),"")</f>
        <v/>
      </c>
      <c r="L2526" s="19">
        <f>IF(I2526="","",IFERROR(INDEX(catAlim,MATCH(D2526,catNom,0))&amp;"",""))</f>
        <v/>
      </c>
      <c r="M2526" s="19">
        <f>IF(I2526="","",IFERROR(INDEX(catComida,MATCH(D2526,catNom,0))&amp;"",""))</f>
        <v/>
      </c>
      <c r="N2526" s="19">
        <f>IF(I2526="","",IFERROR(INDEX(ctaMon,MATCH(E2526,ctaNom,0))&amp;"","DOP"))</f>
        <v/>
      </c>
      <c r="O2526" s="20">
        <f>IF(I2526="","",C2526*IF(N2526="USD",TasaUSD,1))</f>
        <v/>
      </c>
      <c r="P2526" s="20">
        <f>IF(I2526="","",IF(I2526="Gasto",O2526,0))</f>
        <v/>
      </c>
      <c r="Q2526" s="20">
        <f>IF(I2526="","",IF(I2526="Ingreso",O2526,0))</f>
        <v/>
      </c>
      <c r="R2526" s="20">
        <f>IF(I2526="","",IF(I2526="Trading",O2526,0))</f>
        <v/>
      </c>
      <c r="S2526" s="19">
        <f>IF(I2526="","",IF(AND(I2526="Gasto",K2526="Variable",J2526&lt;&gt;"Trading",O2526&gt;0,O2526&lt;=Umbral),1,0))</f>
        <v/>
      </c>
      <c r="T2526" s="20">
        <f>IF(OR(I2526="",E2526=""),"",IF(OR(I2526="Gasto",I2526="Transferencia",I2526="Pago tarjeta"),-1,1)*C2526)</f>
        <v/>
      </c>
      <c r="U2526" s="20">
        <f>IF(OR(G2526="",AND(I2526&lt;&gt;"Transferencia",I2526&lt;&gt;"Pago tarjeta")),"",IF(IFERROR(INDEX(ctaMon,MATCH(G2526,ctaNom,0))&amp;"","DOP")=N2526,C2526,IF(N2526="USD",C2526*TasaUSD,C2526/TasaUSD)))</f>
        <v/>
      </c>
      <c r="V2526" s="20">
        <f>IF(I2526="","",IF(IFERROR(INDEX(ctaLiq,MATCH(E2526,ctaNom,0))="Sí",FALSE),IF(OR(I2526="Gasto",I2526="Transferencia",I2526="Pago tarjeta"),-1,1)*O2526,0)+IF(AND(U2526&lt;&gt;"",IFERROR(INDEX(ctaLiq,MATCH(G2526,ctaNom,0))="Sí",FALSE)),O2526,0))</f>
        <v/>
      </c>
      <c r="W2526" s="19">
        <f>IF(OR(F2526="",I2526=""),"",IF(COUNTIFS(F$6:F2526,F2526,I$6:I2526,"?*")=1,MAX(W$5:W2525)+1,""))</f>
        <v/>
      </c>
    </row>
    <row r="2527">
      <c r="B2527" s="15" t="n"/>
      <c r="C2527" s="16" t="n"/>
      <c r="D2527" s="17" t="n"/>
      <c r="E2527" s="17" t="n"/>
      <c r="F2527" s="17" t="n"/>
      <c r="G2527" s="17" t="n"/>
      <c r="H2527" s="18">
        <f>IF(AND(B2527="",C2527="",D2527="",E2527=""),"",IF(B2527="","⚠ Falta fecha",IF(C2527="","⚠ Falta monto",IF(D2527="","⚠ Falta categoría",IF(ISNA(MATCH(D2527,catNom,0)),"⚠ Categoría no existe",IF(E2527="","⚠ Falta cuenta",IF(ISNA(MATCH(E2527,ctaNom,0)),"⚠ Cuenta no existe",IF(AND(OR(I2527="Transferencia",I2527="Pago tarjeta"),G2527=""),"⚠ Indica la cuenta «Hacia»",IF(AND(G2527&lt;&gt;"",G2527=E2527),"⚠ «Hacia» igual a la cuenta",IF(AND(G2527&lt;&gt;"",ISNA(MATCH(G2527,ctaNom,0))),"⚠ «Hacia» no existe",IF(AND(I2527="Pago tarjeta",IFERROR(INDEX(ctaTipo,MATCH(G2527,ctaNom,0)),"")&lt;&gt;"Tarjeta de crédito"),"⚠ «Hacia» debe ser la tarjeta",IF(AND(I2527="Trading",IFERROR(INDEX(ctaTipo,MATCH(E2527,ctaNom,0)),"")&lt;&gt;"Cuenta de trading"),"⚠ Usa la cuenta de trading","✓"))))))))))))</f>
        <v/>
      </c>
      <c r="I2527" s="19">
        <f>IF(OR(B2527="",C2527="",D2527=""),"",IFERROR(INDEX(catTipo,MATCH(D2527,catNom,0))&amp;"",""))</f>
        <v/>
      </c>
      <c r="J2527" s="19">
        <f>IF(I2527="","",IFERROR(INDEX(catGrupo,MATCH(D2527,catNom,0))&amp;"",""))</f>
        <v/>
      </c>
      <c r="K2527" s="19">
        <f>IF(I2527="Gasto",IF(IFERROR(INDEX(catClas,MATCH(D2527,catNom,0))&amp;"","")="","Variable",IFERROR(INDEX(catClas,MATCH(D2527,catNom,0))&amp;"","")),"")</f>
        <v/>
      </c>
      <c r="L2527" s="19">
        <f>IF(I2527="","",IFERROR(INDEX(catAlim,MATCH(D2527,catNom,0))&amp;"",""))</f>
        <v/>
      </c>
      <c r="M2527" s="19">
        <f>IF(I2527="","",IFERROR(INDEX(catComida,MATCH(D2527,catNom,0))&amp;"",""))</f>
        <v/>
      </c>
      <c r="N2527" s="19">
        <f>IF(I2527="","",IFERROR(INDEX(ctaMon,MATCH(E2527,ctaNom,0))&amp;"","DOP"))</f>
        <v/>
      </c>
      <c r="O2527" s="20">
        <f>IF(I2527="","",C2527*IF(N2527="USD",TasaUSD,1))</f>
        <v/>
      </c>
      <c r="P2527" s="20">
        <f>IF(I2527="","",IF(I2527="Gasto",O2527,0))</f>
        <v/>
      </c>
      <c r="Q2527" s="20">
        <f>IF(I2527="","",IF(I2527="Ingreso",O2527,0))</f>
        <v/>
      </c>
      <c r="R2527" s="20">
        <f>IF(I2527="","",IF(I2527="Trading",O2527,0))</f>
        <v/>
      </c>
      <c r="S2527" s="19">
        <f>IF(I2527="","",IF(AND(I2527="Gasto",K2527="Variable",J2527&lt;&gt;"Trading",O2527&gt;0,O2527&lt;=Umbral),1,0))</f>
        <v/>
      </c>
      <c r="T2527" s="20">
        <f>IF(OR(I2527="",E2527=""),"",IF(OR(I2527="Gasto",I2527="Transferencia",I2527="Pago tarjeta"),-1,1)*C2527)</f>
        <v/>
      </c>
      <c r="U2527" s="20">
        <f>IF(OR(G2527="",AND(I2527&lt;&gt;"Transferencia",I2527&lt;&gt;"Pago tarjeta")),"",IF(IFERROR(INDEX(ctaMon,MATCH(G2527,ctaNom,0))&amp;"","DOP")=N2527,C2527,IF(N2527="USD",C2527*TasaUSD,C2527/TasaUSD)))</f>
        <v/>
      </c>
      <c r="V2527" s="20">
        <f>IF(I2527="","",IF(IFERROR(INDEX(ctaLiq,MATCH(E2527,ctaNom,0))="Sí",FALSE),IF(OR(I2527="Gasto",I2527="Transferencia",I2527="Pago tarjeta"),-1,1)*O2527,0)+IF(AND(U2527&lt;&gt;"",IFERROR(INDEX(ctaLiq,MATCH(G2527,ctaNom,0))="Sí",FALSE)),O2527,0))</f>
        <v/>
      </c>
      <c r="W2527" s="19">
        <f>IF(OR(F2527="",I2527=""),"",IF(COUNTIFS(F$6:F2527,F2527,I$6:I2527,"?*")=1,MAX(W$5:W2526)+1,""))</f>
        <v/>
      </c>
    </row>
    <row r="2528">
      <c r="B2528" s="15" t="n"/>
      <c r="C2528" s="16" t="n"/>
      <c r="D2528" s="17" t="n"/>
      <c r="E2528" s="17" t="n"/>
      <c r="F2528" s="17" t="n"/>
      <c r="G2528" s="17" t="n"/>
      <c r="H2528" s="18">
        <f>IF(AND(B2528="",C2528="",D2528="",E2528=""),"",IF(B2528="","⚠ Falta fecha",IF(C2528="","⚠ Falta monto",IF(D2528="","⚠ Falta categoría",IF(ISNA(MATCH(D2528,catNom,0)),"⚠ Categoría no existe",IF(E2528="","⚠ Falta cuenta",IF(ISNA(MATCH(E2528,ctaNom,0)),"⚠ Cuenta no existe",IF(AND(OR(I2528="Transferencia",I2528="Pago tarjeta"),G2528=""),"⚠ Indica la cuenta «Hacia»",IF(AND(G2528&lt;&gt;"",G2528=E2528),"⚠ «Hacia» igual a la cuenta",IF(AND(G2528&lt;&gt;"",ISNA(MATCH(G2528,ctaNom,0))),"⚠ «Hacia» no existe",IF(AND(I2528="Pago tarjeta",IFERROR(INDEX(ctaTipo,MATCH(G2528,ctaNom,0)),"")&lt;&gt;"Tarjeta de crédito"),"⚠ «Hacia» debe ser la tarjeta",IF(AND(I2528="Trading",IFERROR(INDEX(ctaTipo,MATCH(E2528,ctaNom,0)),"")&lt;&gt;"Cuenta de trading"),"⚠ Usa la cuenta de trading","✓"))))))))))))</f>
        <v/>
      </c>
      <c r="I2528" s="19">
        <f>IF(OR(B2528="",C2528="",D2528=""),"",IFERROR(INDEX(catTipo,MATCH(D2528,catNom,0))&amp;"",""))</f>
        <v/>
      </c>
      <c r="J2528" s="19">
        <f>IF(I2528="","",IFERROR(INDEX(catGrupo,MATCH(D2528,catNom,0))&amp;"",""))</f>
        <v/>
      </c>
      <c r="K2528" s="19">
        <f>IF(I2528="Gasto",IF(IFERROR(INDEX(catClas,MATCH(D2528,catNom,0))&amp;"","")="","Variable",IFERROR(INDEX(catClas,MATCH(D2528,catNom,0))&amp;"","")),"")</f>
        <v/>
      </c>
      <c r="L2528" s="19">
        <f>IF(I2528="","",IFERROR(INDEX(catAlim,MATCH(D2528,catNom,0))&amp;"",""))</f>
        <v/>
      </c>
      <c r="M2528" s="19">
        <f>IF(I2528="","",IFERROR(INDEX(catComida,MATCH(D2528,catNom,0))&amp;"",""))</f>
        <v/>
      </c>
      <c r="N2528" s="19">
        <f>IF(I2528="","",IFERROR(INDEX(ctaMon,MATCH(E2528,ctaNom,0))&amp;"","DOP"))</f>
        <v/>
      </c>
      <c r="O2528" s="20">
        <f>IF(I2528="","",C2528*IF(N2528="USD",TasaUSD,1))</f>
        <v/>
      </c>
      <c r="P2528" s="20">
        <f>IF(I2528="","",IF(I2528="Gasto",O2528,0))</f>
        <v/>
      </c>
      <c r="Q2528" s="20">
        <f>IF(I2528="","",IF(I2528="Ingreso",O2528,0))</f>
        <v/>
      </c>
      <c r="R2528" s="20">
        <f>IF(I2528="","",IF(I2528="Trading",O2528,0))</f>
        <v/>
      </c>
      <c r="S2528" s="19">
        <f>IF(I2528="","",IF(AND(I2528="Gasto",K2528="Variable",J2528&lt;&gt;"Trading",O2528&gt;0,O2528&lt;=Umbral),1,0))</f>
        <v/>
      </c>
      <c r="T2528" s="20">
        <f>IF(OR(I2528="",E2528=""),"",IF(OR(I2528="Gasto",I2528="Transferencia",I2528="Pago tarjeta"),-1,1)*C2528)</f>
        <v/>
      </c>
      <c r="U2528" s="20">
        <f>IF(OR(G2528="",AND(I2528&lt;&gt;"Transferencia",I2528&lt;&gt;"Pago tarjeta")),"",IF(IFERROR(INDEX(ctaMon,MATCH(G2528,ctaNom,0))&amp;"","DOP")=N2528,C2528,IF(N2528="USD",C2528*TasaUSD,C2528/TasaUSD)))</f>
        <v/>
      </c>
      <c r="V2528" s="20">
        <f>IF(I2528="","",IF(IFERROR(INDEX(ctaLiq,MATCH(E2528,ctaNom,0))="Sí",FALSE),IF(OR(I2528="Gasto",I2528="Transferencia",I2528="Pago tarjeta"),-1,1)*O2528,0)+IF(AND(U2528&lt;&gt;"",IFERROR(INDEX(ctaLiq,MATCH(G2528,ctaNom,0))="Sí",FALSE)),O2528,0))</f>
        <v/>
      </c>
      <c r="W2528" s="19">
        <f>IF(OR(F2528="",I2528=""),"",IF(COUNTIFS(F$6:F2528,F2528,I$6:I2528,"?*")=1,MAX(W$5:W2527)+1,""))</f>
        <v/>
      </c>
    </row>
    <row r="2529">
      <c r="B2529" s="15" t="n"/>
      <c r="C2529" s="16" t="n"/>
      <c r="D2529" s="17" t="n"/>
      <c r="E2529" s="17" t="n"/>
      <c r="F2529" s="17" t="n"/>
      <c r="G2529" s="17" t="n"/>
      <c r="H2529" s="18">
        <f>IF(AND(B2529="",C2529="",D2529="",E2529=""),"",IF(B2529="","⚠ Falta fecha",IF(C2529="","⚠ Falta monto",IF(D2529="","⚠ Falta categoría",IF(ISNA(MATCH(D2529,catNom,0)),"⚠ Categoría no existe",IF(E2529="","⚠ Falta cuenta",IF(ISNA(MATCH(E2529,ctaNom,0)),"⚠ Cuenta no existe",IF(AND(OR(I2529="Transferencia",I2529="Pago tarjeta"),G2529=""),"⚠ Indica la cuenta «Hacia»",IF(AND(G2529&lt;&gt;"",G2529=E2529),"⚠ «Hacia» igual a la cuenta",IF(AND(G2529&lt;&gt;"",ISNA(MATCH(G2529,ctaNom,0))),"⚠ «Hacia» no existe",IF(AND(I2529="Pago tarjeta",IFERROR(INDEX(ctaTipo,MATCH(G2529,ctaNom,0)),"")&lt;&gt;"Tarjeta de crédito"),"⚠ «Hacia» debe ser la tarjeta",IF(AND(I2529="Trading",IFERROR(INDEX(ctaTipo,MATCH(E2529,ctaNom,0)),"")&lt;&gt;"Cuenta de trading"),"⚠ Usa la cuenta de trading","✓"))))))))))))</f>
        <v/>
      </c>
      <c r="I2529" s="19">
        <f>IF(OR(B2529="",C2529="",D2529=""),"",IFERROR(INDEX(catTipo,MATCH(D2529,catNom,0))&amp;"",""))</f>
        <v/>
      </c>
      <c r="J2529" s="19">
        <f>IF(I2529="","",IFERROR(INDEX(catGrupo,MATCH(D2529,catNom,0))&amp;"",""))</f>
        <v/>
      </c>
      <c r="K2529" s="19">
        <f>IF(I2529="Gasto",IF(IFERROR(INDEX(catClas,MATCH(D2529,catNom,0))&amp;"","")="","Variable",IFERROR(INDEX(catClas,MATCH(D2529,catNom,0))&amp;"","")),"")</f>
        <v/>
      </c>
      <c r="L2529" s="19">
        <f>IF(I2529="","",IFERROR(INDEX(catAlim,MATCH(D2529,catNom,0))&amp;"",""))</f>
        <v/>
      </c>
      <c r="M2529" s="19">
        <f>IF(I2529="","",IFERROR(INDEX(catComida,MATCH(D2529,catNom,0))&amp;"",""))</f>
        <v/>
      </c>
      <c r="N2529" s="19">
        <f>IF(I2529="","",IFERROR(INDEX(ctaMon,MATCH(E2529,ctaNom,0))&amp;"","DOP"))</f>
        <v/>
      </c>
      <c r="O2529" s="20">
        <f>IF(I2529="","",C2529*IF(N2529="USD",TasaUSD,1))</f>
        <v/>
      </c>
      <c r="P2529" s="20">
        <f>IF(I2529="","",IF(I2529="Gasto",O2529,0))</f>
        <v/>
      </c>
      <c r="Q2529" s="20">
        <f>IF(I2529="","",IF(I2529="Ingreso",O2529,0))</f>
        <v/>
      </c>
      <c r="R2529" s="20">
        <f>IF(I2529="","",IF(I2529="Trading",O2529,0))</f>
        <v/>
      </c>
      <c r="S2529" s="19">
        <f>IF(I2529="","",IF(AND(I2529="Gasto",K2529="Variable",J2529&lt;&gt;"Trading",O2529&gt;0,O2529&lt;=Umbral),1,0))</f>
        <v/>
      </c>
      <c r="T2529" s="20">
        <f>IF(OR(I2529="",E2529=""),"",IF(OR(I2529="Gasto",I2529="Transferencia",I2529="Pago tarjeta"),-1,1)*C2529)</f>
        <v/>
      </c>
      <c r="U2529" s="20">
        <f>IF(OR(G2529="",AND(I2529&lt;&gt;"Transferencia",I2529&lt;&gt;"Pago tarjeta")),"",IF(IFERROR(INDEX(ctaMon,MATCH(G2529,ctaNom,0))&amp;"","DOP")=N2529,C2529,IF(N2529="USD",C2529*TasaUSD,C2529/TasaUSD)))</f>
        <v/>
      </c>
      <c r="V2529" s="20">
        <f>IF(I2529="","",IF(IFERROR(INDEX(ctaLiq,MATCH(E2529,ctaNom,0))="Sí",FALSE),IF(OR(I2529="Gasto",I2529="Transferencia",I2529="Pago tarjeta"),-1,1)*O2529,0)+IF(AND(U2529&lt;&gt;"",IFERROR(INDEX(ctaLiq,MATCH(G2529,ctaNom,0))="Sí",FALSE)),O2529,0))</f>
        <v/>
      </c>
      <c r="W2529" s="19">
        <f>IF(OR(F2529="",I2529=""),"",IF(COUNTIFS(F$6:F2529,F2529,I$6:I2529,"?*")=1,MAX(W$5:W2528)+1,""))</f>
        <v/>
      </c>
    </row>
    <row r="2530">
      <c r="B2530" s="15" t="n"/>
      <c r="C2530" s="16" t="n"/>
      <c r="D2530" s="17" t="n"/>
      <c r="E2530" s="17" t="n"/>
      <c r="F2530" s="17" t="n"/>
      <c r="G2530" s="17" t="n"/>
      <c r="H2530" s="18">
        <f>IF(AND(B2530="",C2530="",D2530="",E2530=""),"",IF(B2530="","⚠ Falta fecha",IF(C2530="","⚠ Falta monto",IF(D2530="","⚠ Falta categoría",IF(ISNA(MATCH(D2530,catNom,0)),"⚠ Categoría no existe",IF(E2530="","⚠ Falta cuenta",IF(ISNA(MATCH(E2530,ctaNom,0)),"⚠ Cuenta no existe",IF(AND(OR(I2530="Transferencia",I2530="Pago tarjeta"),G2530=""),"⚠ Indica la cuenta «Hacia»",IF(AND(G2530&lt;&gt;"",G2530=E2530),"⚠ «Hacia» igual a la cuenta",IF(AND(G2530&lt;&gt;"",ISNA(MATCH(G2530,ctaNom,0))),"⚠ «Hacia» no existe",IF(AND(I2530="Pago tarjeta",IFERROR(INDEX(ctaTipo,MATCH(G2530,ctaNom,0)),"")&lt;&gt;"Tarjeta de crédito"),"⚠ «Hacia» debe ser la tarjeta",IF(AND(I2530="Trading",IFERROR(INDEX(ctaTipo,MATCH(E2530,ctaNom,0)),"")&lt;&gt;"Cuenta de trading"),"⚠ Usa la cuenta de trading","✓"))))))))))))</f>
        <v/>
      </c>
      <c r="I2530" s="19">
        <f>IF(OR(B2530="",C2530="",D2530=""),"",IFERROR(INDEX(catTipo,MATCH(D2530,catNom,0))&amp;"",""))</f>
        <v/>
      </c>
      <c r="J2530" s="19">
        <f>IF(I2530="","",IFERROR(INDEX(catGrupo,MATCH(D2530,catNom,0))&amp;"",""))</f>
        <v/>
      </c>
      <c r="K2530" s="19">
        <f>IF(I2530="Gasto",IF(IFERROR(INDEX(catClas,MATCH(D2530,catNom,0))&amp;"","")="","Variable",IFERROR(INDEX(catClas,MATCH(D2530,catNom,0))&amp;"","")),"")</f>
        <v/>
      </c>
      <c r="L2530" s="19">
        <f>IF(I2530="","",IFERROR(INDEX(catAlim,MATCH(D2530,catNom,0))&amp;"",""))</f>
        <v/>
      </c>
      <c r="M2530" s="19">
        <f>IF(I2530="","",IFERROR(INDEX(catComida,MATCH(D2530,catNom,0))&amp;"",""))</f>
        <v/>
      </c>
      <c r="N2530" s="19">
        <f>IF(I2530="","",IFERROR(INDEX(ctaMon,MATCH(E2530,ctaNom,0))&amp;"","DOP"))</f>
        <v/>
      </c>
      <c r="O2530" s="20">
        <f>IF(I2530="","",C2530*IF(N2530="USD",TasaUSD,1))</f>
        <v/>
      </c>
      <c r="P2530" s="20">
        <f>IF(I2530="","",IF(I2530="Gasto",O2530,0))</f>
        <v/>
      </c>
      <c r="Q2530" s="20">
        <f>IF(I2530="","",IF(I2530="Ingreso",O2530,0))</f>
        <v/>
      </c>
      <c r="R2530" s="20">
        <f>IF(I2530="","",IF(I2530="Trading",O2530,0))</f>
        <v/>
      </c>
      <c r="S2530" s="19">
        <f>IF(I2530="","",IF(AND(I2530="Gasto",K2530="Variable",J2530&lt;&gt;"Trading",O2530&gt;0,O2530&lt;=Umbral),1,0))</f>
        <v/>
      </c>
      <c r="T2530" s="20">
        <f>IF(OR(I2530="",E2530=""),"",IF(OR(I2530="Gasto",I2530="Transferencia",I2530="Pago tarjeta"),-1,1)*C2530)</f>
        <v/>
      </c>
      <c r="U2530" s="20">
        <f>IF(OR(G2530="",AND(I2530&lt;&gt;"Transferencia",I2530&lt;&gt;"Pago tarjeta")),"",IF(IFERROR(INDEX(ctaMon,MATCH(G2530,ctaNom,0))&amp;"","DOP")=N2530,C2530,IF(N2530="USD",C2530*TasaUSD,C2530/TasaUSD)))</f>
        <v/>
      </c>
      <c r="V2530" s="20">
        <f>IF(I2530="","",IF(IFERROR(INDEX(ctaLiq,MATCH(E2530,ctaNom,0))="Sí",FALSE),IF(OR(I2530="Gasto",I2530="Transferencia",I2530="Pago tarjeta"),-1,1)*O2530,0)+IF(AND(U2530&lt;&gt;"",IFERROR(INDEX(ctaLiq,MATCH(G2530,ctaNom,0))="Sí",FALSE)),O2530,0))</f>
        <v/>
      </c>
      <c r="W2530" s="19">
        <f>IF(OR(F2530="",I2530=""),"",IF(COUNTIFS(F$6:F2530,F2530,I$6:I2530,"?*")=1,MAX(W$5:W2529)+1,""))</f>
        <v/>
      </c>
    </row>
    <row r="2531">
      <c r="B2531" s="15" t="n"/>
      <c r="C2531" s="16" t="n"/>
      <c r="D2531" s="17" t="n"/>
      <c r="E2531" s="17" t="n"/>
      <c r="F2531" s="17" t="n"/>
      <c r="G2531" s="17" t="n"/>
      <c r="H2531" s="18">
        <f>IF(AND(B2531="",C2531="",D2531="",E2531=""),"",IF(B2531="","⚠ Falta fecha",IF(C2531="","⚠ Falta monto",IF(D2531="","⚠ Falta categoría",IF(ISNA(MATCH(D2531,catNom,0)),"⚠ Categoría no existe",IF(E2531="","⚠ Falta cuenta",IF(ISNA(MATCH(E2531,ctaNom,0)),"⚠ Cuenta no existe",IF(AND(OR(I2531="Transferencia",I2531="Pago tarjeta"),G2531=""),"⚠ Indica la cuenta «Hacia»",IF(AND(G2531&lt;&gt;"",G2531=E2531),"⚠ «Hacia» igual a la cuenta",IF(AND(G2531&lt;&gt;"",ISNA(MATCH(G2531,ctaNom,0))),"⚠ «Hacia» no existe",IF(AND(I2531="Pago tarjeta",IFERROR(INDEX(ctaTipo,MATCH(G2531,ctaNom,0)),"")&lt;&gt;"Tarjeta de crédito"),"⚠ «Hacia» debe ser la tarjeta",IF(AND(I2531="Trading",IFERROR(INDEX(ctaTipo,MATCH(E2531,ctaNom,0)),"")&lt;&gt;"Cuenta de trading"),"⚠ Usa la cuenta de trading","✓"))))))))))))</f>
        <v/>
      </c>
      <c r="I2531" s="19">
        <f>IF(OR(B2531="",C2531="",D2531=""),"",IFERROR(INDEX(catTipo,MATCH(D2531,catNom,0))&amp;"",""))</f>
        <v/>
      </c>
      <c r="J2531" s="19">
        <f>IF(I2531="","",IFERROR(INDEX(catGrupo,MATCH(D2531,catNom,0))&amp;"",""))</f>
        <v/>
      </c>
      <c r="K2531" s="19">
        <f>IF(I2531="Gasto",IF(IFERROR(INDEX(catClas,MATCH(D2531,catNom,0))&amp;"","")="","Variable",IFERROR(INDEX(catClas,MATCH(D2531,catNom,0))&amp;"","")),"")</f>
        <v/>
      </c>
      <c r="L2531" s="19">
        <f>IF(I2531="","",IFERROR(INDEX(catAlim,MATCH(D2531,catNom,0))&amp;"",""))</f>
        <v/>
      </c>
      <c r="M2531" s="19">
        <f>IF(I2531="","",IFERROR(INDEX(catComida,MATCH(D2531,catNom,0))&amp;"",""))</f>
        <v/>
      </c>
      <c r="N2531" s="19">
        <f>IF(I2531="","",IFERROR(INDEX(ctaMon,MATCH(E2531,ctaNom,0))&amp;"","DOP"))</f>
        <v/>
      </c>
      <c r="O2531" s="20">
        <f>IF(I2531="","",C2531*IF(N2531="USD",TasaUSD,1))</f>
        <v/>
      </c>
      <c r="P2531" s="20">
        <f>IF(I2531="","",IF(I2531="Gasto",O2531,0))</f>
        <v/>
      </c>
      <c r="Q2531" s="20">
        <f>IF(I2531="","",IF(I2531="Ingreso",O2531,0))</f>
        <v/>
      </c>
      <c r="R2531" s="20">
        <f>IF(I2531="","",IF(I2531="Trading",O2531,0))</f>
        <v/>
      </c>
      <c r="S2531" s="19">
        <f>IF(I2531="","",IF(AND(I2531="Gasto",K2531="Variable",J2531&lt;&gt;"Trading",O2531&gt;0,O2531&lt;=Umbral),1,0))</f>
        <v/>
      </c>
      <c r="T2531" s="20">
        <f>IF(OR(I2531="",E2531=""),"",IF(OR(I2531="Gasto",I2531="Transferencia",I2531="Pago tarjeta"),-1,1)*C2531)</f>
        <v/>
      </c>
      <c r="U2531" s="20">
        <f>IF(OR(G2531="",AND(I2531&lt;&gt;"Transferencia",I2531&lt;&gt;"Pago tarjeta")),"",IF(IFERROR(INDEX(ctaMon,MATCH(G2531,ctaNom,0))&amp;"","DOP")=N2531,C2531,IF(N2531="USD",C2531*TasaUSD,C2531/TasaUSD)))</f>
        <v/>
      </c>
      <c r="V2531" s="20">
        <f>IF(I2531="","",IF(IFERROR(INDEX(ctaLiq,MATCH(E2531,ctaNom,0))="Sí",FALSE),IF(OR(I2531="Gasto",I2531="Transferencia",I2531="Pago tarjeta"),-1,1)*O2531,0)+IF(AND(U2531&lt;&gt;"",IFERROR(INDEX(ctaLiq,MATCH(G2531,ctaNom,0))="Sí",FALSE)),O2531,0))</f>
        <v/>
      </c>
      <c r="W2531" s="19">
        <f>IF(OR(F2531="",I2531=""),"",IF(COUNTIFS(F$6:F2531,F2531,I$6:I2531,"?*")=1,MAX(W$5:W2530)+1,""))</f>
        <v/>
      </c>
    </row>
    <row r="2532">
      <c r="B2532" s="15" t="n"/>
      <c r="C2532" s="16" t="n"/>
      <c r="D2532" s="17" t="n"/>
      <c r="E2532" s="17" t="n"/>
      <c r="F2532" s="17" t="n"/>
      <c r="G2532" s="17" t="n"/>
      <c r="H2532" s="18">
        <f>IF(AND(B2532="",C2532="",D2532="",E2532=""),"",IF(B2532="","⚠ Falta fecha",IF(C2532="","⚠ Falta monto",IF(D2532="","⚠ Falta categoría",IF(ISNA(MATCH(D2532,catNom,0)),"⚠ Categoría no existe",IF(E2532="","⚠ Falta cuenta",IF(ISNA(MATCH(E2532,ctaNom,0)),"⚠ Cuenta no existe",IF(AND(OR(I2532="Transferencia",I2532="Pago tarjeta"),G2532=""),"⚠ Indica la cuenta «Hacia»",IF(AND(G2532&lt;&gt;"",G2532=E2532),"⚠ «Hacia» igual a la cuenta",IF(AND(G2532&lt;&gt;"",ISNA(MATCH(G2532,ctaNom,0))),"⚠ «Hacia» no existe",IF(AND(I2532="Pago tarjeta",IFERROR(INDEX(ctaTipo,MATCH(G2532,ctaNom,0)),"")&lt;&gt;"Tarjeta de crédito"),"⚠ «Hacia» debe ser la tarjeta",IF(AND(I2532="Trading",IFERROR(INDEX(ctaTipo,MATCH(E2532,ctaNom,0)),"")&lt;&gt;"Cuenta de trading"),"⚠ Usa la cuenta de trading","✓"))))))))))))</f>
        <v/>
      </c>
      <c r="I2532" s="19">
        <f>IF(OR(B2532="",C2532="",D2532=""),"",IFERROR(INDEX(catTipo,MATCH(D2532,catNom,0))&amp;"",""))</f>
        <v/>
      </c>
      <c r="J2532" s="19">
        <f>IF(I2532="","",IFERROR(INDEX(catGrupo,MATCH(D2532,catNom,0))&amp;"",""))</f>
        <v/>
      </c>
      <c r="K2532" s="19">
        <f>IF(I2532="Gasto",IF(IFERROR(INDEX(catClas,MATCH(D2532,catNom,0))&amp;"","")="","Variable",IFERROR(INDEX(catClas,MATCH(D2532,catNom,0))&amp;"","")),"")</f>
        <v/>
      </c>
      <c r="L2532" s="19">
        <f>IF(I2532="","",IFERROR(INDEX(catAlim,MATCH(D2532,catNom,0))&amp;"",""))</f>
        <v/>
      </c>
      <c r="M2532" s="19">
        <f>IF(I2532="","",IFERROR(INDEX(catComida,MATCH(D2532,catNom,0))&amp;"",""))</f>
        <v/>
      </c>
      <c r="N2532" s="19">
        <f>IF(I2532="","",IFERROR(INDEX(ctaMon,MATCH(E2532,ctaNom,0))&amp;"","DOP"))</f>
        <v/>
      </c>
      <c r="O2532" s="20">
        <f>IF(I2532="","",C2532*IF(N2532="USD",TasaUSD,1))</f>
        <v/>
      </c>
      <c r="P2532" s="20">
        <f>IF(I2532="","",IF(I2532="Gasto",O2532,0))</f>
        <v/>
      </c>
      <c r="Q2532" s="20">
        <f>IF(I2532="","",IF(I2532="Ingreso",O2532,0))</f>
        <v/>
      </c>
      <c r="R2532" s="20">
        <f>IF(I2532="","",IF(I2532="Trading",O2532,0))</f>
        <v/>
      </c>
      <c r="S2532" s="19">
        <f>IF(I2532="","",IF(AND(I2532="Gasto",K2532="Variable",J2532&lt;&gt;"Trading",O2532&gt;0,O2532&lt;=Umbral),1,0))</f>
        <v/>
      </c>
      <c r="T2532" s="20">
        <f>IF(OR(I2532="",E2532=""),"",IF(OR(I2532="Gasto",I2532="Transferencia",I2532="Pago tarjeta"),-1,1)*C2532)</f>
        <v/>
      </c>
      <c r="U2532" s="20">
        <f>IF(OR(G2532="",AND(I2532&lt;&gt;"Transferencia",I2532&lt;&gt;"Pago tarjeta")),"",IF(IFERROR(INDEX(ctaMon,MATCH(G2532,ctaNom,0))&amp;"","DOP")=N2532,C2532,IF(N2532="USD",C2532*TasaUSD,C2532/TasaUSD)))</f>
        <v/>
      </c>
      <c r="V2532" s="20">
        <f>IF(I2532="","",IF(IFERROR(INDEX(ctaLiq,MATCH(E2532,ctaNom,0))="Sí",FALSE),IF(OR(I2532="Gasto",I2532="Transferencia",I2532="Pago tarjeta"),-1,1)*O2532,0)+IF(AND(U2532&lt;&gt;"",IFERROR(INDEX(ctaLiq,MATCH(G2532,ctaNom,0))="Sí",FALSE)),O2532,0))</f>
        <v/>
      </c>
      <c r="W2532" s="19">
        <f>IF(OR(F2532="",I2532=""),"",IF(COUNTIFS(F$6:F2532,F2532,I$6:I2532,"?*")=1,MAX(W$5:W2531)+1,""))</f>
        <v/>
      </c>
    </row>
    <row r="2533">
      <c r="B2533" s="15" t="n"/>
      <c r="C2533" s="16" t="n"/>
      <c r="D2533" s="17" t="n"/>
      <c r="E2533" s="17" t="n"/>
      <c r="F2533" s="17" t="n"/>
      <c r="G2533" s="17" t="n"/>
      <c r="H2533" s="18">
        <f>IF(AND(B2533="",C2533="",D2533="",E2533=""),"",IF(B2533="","⚠ Falta fecha",IF(C2533="","⚠ Falta monto",IF(D2533="","⚠ Falta categoría",IF(ISNA(MATCH(D2533,catNom,0)),"⚠ Categoría no existe",IF(E2533="","⚠ Falta cuenta",IF(ISNA(MATCH(E2533,ctaNom,0)),"⚠ Cuenta no existe",IF(AND(OR(I2533="Transferencia",I2533="Pago tarjeta"),G2533=""),"⚠ Indica la cuenta «Hacia»",IF(AND(G2533&lt;&gt;"",G2533=E2533),"⚠ «Hacia» igual a la cuenta",IF(AND(G2533&lt;&gt;"",ISNA(MATCH(G2533,ctaNom,0))),"⚠ «Hacia» no existe",IF(AND(I2533="Pago tarjeta",IFERROR(INDEX(ctaTipo,MATCH(G2533,ctaNom,0)),"")&lt;&gt;"Tarjeta de crédito"),"⚠ «Hacia» debe ser la tarjeta",IF(AND(I2533="Trading",IFERROR(INDEX(ctaTipo,MATCH(E2533,ctaNom,0)),"")&lt;&gt;"Cuenta de trading"),"⚠ Usa la cuenta de trading","✓"))))))))))))</f>
        <v/>
      </c>
      <c r="I2533" s="19">
        <f>IF(OR(B2533="",C2533="",D2533=""),"",IFERROR(INDEX(catTipo,MATCH(D2533,catNom,0))&amp;"",""))</f>
        <v/>
      </c>
      <c r="J2533" s="19">
        <f>IF(I2533="","",IFERROR(INDEX(catGrupo,MATCH(D2533,catNom,0))&amp;"",""))</f>
        <v/>
      </c>
      <c r="K2533" s="19">
        <f>IF(I2533="Gasto",IF(IFERROR(INDEX(catClas,MATCH(D2533,catNom,0))&amp;"","")="","Variable",IFERROR(INDEX(catClas,MATCH(D2533,catNom,0))&amp;"","")),"")</f>
        <v/>
      </c>
      <c r="L2533" s="19">
        <f>IF(I2533="","",IFERROR(INDEX(catAlim,MATCH(D2533,catNom,0))&amp;"",""))</f>
        <v/>
      </c>
      <c r="M2533" s="19">
        <f>IF(I2533="","",IFERROR(INDEX(catComida,MATCH(D2533,catNom,0))&amp;"",""))</f>
        <v/>
      </c>
      <c r="N2533" s="19">
        <f>IF(I2533="","",IFERROR(INDEX(ctaMon,MATCH(E2533,ctaNom,0))&amp;"","DOP"))</f>
        <v/>
      </c>
      <c r="O2533" s="20">
        <f>IF(I2533="","",C2533*IF(N2533="USD",TasaUSD,1))</f>
        <v/>
      </c>
      <c r="P2533" s="20">
        <f>IF(I2533="","",IF(I2533="Gasto",O2533,0))</f>
        <v/>
      </c>
      <c r="Q2533" s="20">
        <f>IF(I2533="","",IF(I2533="Ingreso",O2533,0))</f>
        <v/>
      </c>
      <c r="R2533" s="20">
        <f>IF(I2533="","",IF(I2533="Trading",O2533,0))</f>
        <v/>
      </c>
      <c r="S2533" s="19">
        <f>IF(I2533="","",IF(AND(I2533="Gasto",K2533="Variable",J2533&lt;&gt;"Trading",O2533&gt;0,O2533&lt;=Umbral),1,0))</f>
        <v/>
      </c>
      <c r="T2533" s="20">
        <f>IF(OR(I2533="",E2533=""),"",IF(OR(I2533="Gasto",I2533="Transferencia",I2533="Pago tarjeta"),-1,1)*C2533)</f>
        <v/>
      </c>
      <c r="U2533" s="20">
        <f>IF(OR(G2533="",AND(I2533&lt;&gt;"Transferencia",I2533&lt;&gt;"Pago tarjeta")),"",IF(IFERROR(INDEX(ctaMon,MATCH(G2533,ctaNom,0))&amp;"","DOP")=N2533,C2533,IF(N2533="USD",C2533*TasaUSD,C2533/TasaUSD)))</f>
        <v/>
      </c>
      <c r="V2533" s="20">
        <f>IF(I2533="","",IF(IFERROR(INDEX(ctaLiq,MATCH(E2533,ctaNom,0))="Sí",FALSE),IF(OR(I2533="Gasto",I2533="Transferencia",I2533="Pago tarjeta"),-1,1)*O2533,0)+IF(AND(U2533&lt;&gt;"",IFERROR(INDEX(ctaLiq,MATCH(G2533,ctaNom,0))="Sí",FALSE)),O2533,0))</f>
        <v/>
      </c>
      <c r="W2533" s="19">
        <f>IF(OR(F2533="",I2533=""),"",IF(COUNTIFS(F$6:F2533,F2533,I$6:I2533,"?*")=1,MAX(W$5:W2532)+1,""))</f>
        <v/>
      </c>
    </row>
    <row r="2534">
      <c r="B2534" s="15" t="n"/>
      <c r="C2534" s="16" t="n"/>
      <c r="D2534" s="17" t="n"/>
      <c r="E2534" s="17" t="n"/>
      <c r="F2534" s="17" t="n"/>
      <c r="G2534" s="17" t="n"/>
      <c r="H2534" s="18">
        <f>IF(AND(B2534="",C2534="",D2534="",E2534=""),"",IF(B2534="","⚠ Falta fecha",IF(C2534="","⚠ Falta monto",IF(D2534="","⚠ Falta categoría",IF(ISNA(MATCH(D2534,catNom,0)),"⚠ Categoría no existe",IF(E2534="","⚠ Falta cuenta",IF(ISNA(MATCH(E2534,ctaNom,0)),"⚠ Cuenta no existe",IF(AND(OR(I2534="Transferencia",I2534="Pago tarjeta"),G2534=""),"⚠ Indica la cuenta «Hacia»",IF(AND(G2534&lt;&gt;"",G2534=E2534),"⚠ «Hacia» igual a la cuenta",IF(AND(G2534&lt;&gt;"",ISNA(MATCH(G2534,ctaNom,0))),"⚠ «Hacia» no existe",IF(AND(I2534="Pago tarjeta",IFERROR(INDEX(ctaTipo,MATCH(G2534,ctaNom,0)),"")&lt;&gt;"Tarjeta de crédito"),"⚠ «Hacia» debe ser la tarjeta",IF(AND(I2534="Trading",IFERROR(INDEX(ctaTipo,MATCH(E2534,ctaNom,0)),"")&lt;&gt;"Cuenta de trading"),"⚠ Usa la cuenta de trading","✓"))))))))))))</f>
        <v/>
      </c>
      <c r="I2534" s="19">
        <f>IF(OR(B2534="",C2534="",D2534=""),"",IFERROR(INDEX(catTipo,MATCH(D2534,catNom,0))&amp;"",""))</f>
        <v/>
      </c>
      <c r="J2534" s="19">
        <f>IF(I2534="","",IFERROR(INDEX(catGrupo,MATCH(D2534,catNom,0))&amp;"",""))</f>
        <v/>
      </c>
      <c r="K2534" s="19">
        <f>IF(I2534="Gasto",IF(IFERROR(INDEX(catClas,MATCH(D2534,catNom,0))&amp;"","")="","Variable",IFERROR(INDEX(catClas,MATCH(D2534,catNom,0))&amp;"","")),"")</f>
        <v/>
      </c>
      <c r="L2534" s="19">
        <f>IF(I2534="","",IFERROR(INDEX(catAlim,MATCH(D2534,catNom,0))&amp;"",""))</f>
        <v/>
      </c>
      <c r="M2534" s="19">
        <f>IF(I2534="","",IFERROR(INDEX(catComida,MATCH(D2534,catNom,0))&amp;"",""))</f>
        <v/>
      </c>
      <c r="N2534" s="19">
        <f>IF(I2534="","",IFERROR(INDEX(ctaMon,MATCH(E2534,ctaNom,0))&amp;"","DOP"))</f>
        <v/>
      </c>
      <c r="O2534" s="20">
        <f>IF(I2534="","",C2534*IF(N2534="USD",TasaUSD,1))</f>
        <v/>
      </c>
      <c r="P2534" s="20">
        <f>IF(I2534="","",IF(I2534="Gasto",O2534,0))</f>
        <v/>
      </c>
      <c r="Q2534" s="20">
        <f>IF(I2534="","",IF(I2534="Ingreso",O2534,0))</f>
        <v/>
      </c>
      <c r="R2534" s="20">
        <f>IF(I2534="","",IF(I2534="Trading",O2534,0))</f>
        <v/>
      </c>
      <c r="S2534" s="19">
        <f>IF(I2534="","",IF(AND(I2534="Gasto",K2534="Variable",J2534&lt;&gt;"Trading",O2534&gt;0,O2534&lt;=Umbral),1,0))</f>
        <v/>
      </c>
      <c r="T2534" s="20">
        <f>IF(OR(I2534="",E2534=""),"",IF(OR(I2534="Gasto",I2534="Transferencia",I2534="Pago tarjeta"),-1,1)*C2534)</f>
        <v/>
      </c>
      <c r="U2534" s="20">
        <f>IF(OR(G2534="",AND(I2534&lt;&gt;"Transferencia",I2534&lt;&gt;"Pago tarjeta")),"",IF(IFERROR(INDEX(ctaMon,MATCH(G2534,ctaNom,0))&amp;"","DOP")=N2534,C2534,IF(N2534="USD",C2534*TasaUSD,C2534/TasaUSD)))</f>
        <v/>
      </c>
      <c r="V2534" s="20">
        <f>IF(I2534="","",IF(IFERROR(INDEX(ctaLiq,MATCH(E2534,ctaNom,0))="Sí",FALSE),IF(OR(I2534="Gasto",I2534="Transferencia",I2534="Pago tarjeta"),-1,1)*O2534,0)+IF(AND(U2534&lt;&gt;"",IFERROR(INDEX(ctaLiq,MATCH(G2534,ctaNom,0))="Sí",FALSE)),O2534,0))</f>
        <v/>
      </c>
      <c r="W2534" s="19">
        <f>IF(OR(F2534="",I2534=""),"",IF(COUNTIFS(F$6:F2534,F2534,I$6:I2534,"?*")=1,MAX(W$5:W2533)+1,""))</f>
        <v/>
      </c>
    </row>
    <row r="2535">
      <c r="B2535" s="15" t="n"/>
      <c r="C2535" s="16" t="n"/>
      <c r="D2535" s="17" t="n"/>
      <c r="E2535" s="17" t="n"/>
      <c r="F2535" s="17" t="n"/>
      <c r="G2535" s="17" t="n"/>
      <c r="H2535" s="18">
        <f>IF(AND(B2535="",C2535="",D2535="",E2535=""),"",IF(B2535="","⚠ Falta fecha",IF(C2535="","⚠ Falta monto",IF(D2535="","⚠ Falta categoría",IF(ISNA(MATCH(D2535,catNom,0)),"⚠ Categoría no existe",IF(E2535="","⚠ Falta cuenta",IF(ISNA(MATCH(E2535,ctaNom,0)),"⚠ Cuenta no existe",IF(AND(OR(I2535="Transferencia",I2535="Pago tarjeta"),G2535=""),"⚠ Indica la cuenta «Hacia»",IF(AND(G2535&lt;&gt;"",G2535=E2535),"⚠ «Hacia» igual a la cuenta",IF(AND(G2535&lt;&gt;"",ISNA(MATCH(G2535,ctaNom,0))),"⚠ «Hacia» no existe",IF(AND(I2535="Pago tarjeta",IFERROR(INDEX(ctaTipo,MATCH(G2535,ctaNom,0)),"")&lt;&gt;"Tarjeta de crédito"),"⚠ «Hacia» debe ser la tarjeta",IF(AND(I2535="Trading",IFERROR(INDEX(ctaTipo,MATCH(E2535,ctaNom,0)),"")&lt;&gt;"Cuenta de trading"),"⚠ Usa la cuenta de trading","✓"))))))))))))</f>
        <v/>
      </c>
      <c r="I2535" s="19">
        <f>IF(OR(B2535="",C2535="",D2535=""),"",IFERROR(INDEX(catTipo,MATCH(D2535,catNom,0))&amp;"",""))</f>
        <v/>
      </c>
      <c r="J2535" s="19">
        <f>IF(I2535="","",IFERROR(INDEX(catGrupo,MATCH(D2535,catNom,0))&amp;"",""))</f>
        <v/>
      </c>
      <c r="K2535" s="19">
        <f>IF(I2535="Gasto",IF(IFERROR(INDEX(catClas,MATCH(D2535,catNom,0))&amp;"","")="","Variable",IFERROR(INDEX(catClas,MATCH(D2535,catNom,0))&amp;"","")),"")</f>
        <v/>
      </c>
      <c r="L2535" s="19">
        <f>IF(I2535="","",IFERROR(INDEX(catAlim,MATCH(D2535,catNom,0))&amp;"",""))</f>
        <v/>
      </c>
      <c r="M2535" s="19">
        <f>IF(I2535="","",IFERROR(INDEX(catComida,MATCH(D2535,catNom,0))&amp;"",""))</f>
        <v/>
      </c>
      <c r="N2535" s="19">
        <f>IF(I2535="","",IFERROR(INDEX(ctaMon,MATCH(E2535,ctaNom,0))&amp;"","DOP"))</f>
        <v/>
      </c>
      <c r="O2535" s="20">
        <f>IF(I2535="","",C2535*IF(N2535="USD",TasaUSD,1))</f>
        <v/>
      </c>
      <c r="P2535" s="20">
        <f>IF(I2535="","",IF(I2535="Gasto",O2535,0))</f>
        <v/>
      </c>
      <c r="Q2535" s="20">
        <f>IF(I2535="","",IF(I2535="Ingreso",O2535,0))</f>
        <v/>
      </c>
      <c r="R2535" s="20">
        <f>IF(I2535="","",IF(I2535="Trading",O2535,0))</f>
        <v/>
      </c>
      <c r="S2535" s="19">
        <f>IF(I2535="","",IF(AND(I2535="Gasto",K2535="Variable",J2535&lt;&gt;"Trading",O2535&gt;0,O2535&lt;=Umbral),1,0))</f>
        <v/>
      </c>
      <c r="T2535" s="20">
        <f>IF(OR(I2535="",E2535=""),"",IF(OR(I2535="Gasto",I2535="Transferencia",I2535="Pago tarjeta"),-1,1)*C2535)</f>
        <v/>
      </c>
      <c r="U2535" s="20">
        <f>IF(OR(G2535="",AND(I2535&lt;&gt;"Transferencia",I2535&lt;&gt;"Pago tarjeta")),"",IF(IFERROR(INDEX(ctaMon,MATCH(G2535,ctaNom,0))&amp;"","DOP")=N2535,C2535,IF(N2535="USD",C2535*TasaUSD,C2535/TasaUSD)))</f>
        <v/>
      </c>
      <c r="V2535" s="20">
        <f>IF(I2535="","",IF(IFERROR(INDEX(ctaLiq,MATCH(E2535,ctaNom,0))="Sí",FALSE),IF(OR(I2535="Gasto",I2535="Transferencia",I2535="Pago tarjeta"),-1,1)*O2535,0)+IF(AND(U2535&lt;&gt;"",IFERROR(INDEX(ctaLiq,MATCH(G2535,ctaNom,0))="Sí",FALSE)),O2535,0))</f>
        <v/>
      </c>
      <c r="W2535" s="19">
        <f>IF(OR(F2535="",I2535=""),"",IF(COUNTIFS(F$6:F2535,F2535,I$6:I2535,"?*")=1,MAX(W$5:W2534)+1,""))</f>
        <v/>
      </c>
    </row>
    <row r="2536">
      <c r="B2536" s="15" t="n"/>
      <c r="C2536" s="16" t="n"/>
      <c r="D2536" s="17" t="n"/>
      <c r="E2536" s="17" t="n"/>
      <c r="F2536" s="17" t="n"/>
      <c r="G2536" s="17" t="n"/>
      <c r="H2536" s="18">
        <f>IF(AND(B2536="",C2536="",D2536="",E2536=""),"",IF(B2536="","⚠ Falta fecha",IF(C2536="","⚠ Falta monto",IF(D2536="","⚠ Falta categoría",IF(ISNA(MATCH(D2536,catNom,0)),"⚠ Categoría no existe",IF(E2536="","⚠ Falta cuenta",IF(ISNA(MATCH(E2536,ctaNom,0)),"⚠ Cuenta no existe",IF(AND(OR(I2536="Transferencia",I2536="Pago tarjeta"),G2536=""),"⚠ Indica la cuenta «Hacia»",IF(AND(G2536&lt;&gt;"",G2536=E2536),"⚠ «Hacia» igual a la cuenta",IF(AND(G2536&lt;&gt;"",ISNA(MATCH(G2536,ctaNom,0))),"⚠ «Hacia» no existe",IF(AND(I2536="Pago tarjeta",IFERROR(INDEX(ctaTipo,MATCH(G2536,ctaNom,0)),"")&lt;&gt;"Tarjeta de crédito"),"⚠ «Hacia» debe ser la tarjeta",IF(AND(I2536="Trading",IFERROR(INDEX(ctaTipo,MATCH(E2536,ctaNom,0)),"")&lt;&gt;"Cuenta de trading"),"⚠ Usa la cuenta de trading","✓"))))))))))))</f>
        <v/>
      </c>
      <c r="I2536" s="19">
        <f>IF(OR(B2536="",C2536="",D2536=""),"",IFERROR(INDEX(catTipo,MATCH(D2536,catNom,0))&amp;"",""))</f>
        <v/>
      </c>
      <c r="J2536" s="19">
        <f>IF(I2536="","",IFERROR(INDEX(catGrupo,MATCH(D2536,catNom,0))&amp;"",""))</f>
        <v/>
      </c>
      <c r="K2536" s="19">
        <f>IF(I2536="Gasto",IF(IFERROR(INDEX(catClas,MATCH(D2536,catNom,0))&amp;"","")="","Variable",IFERROR(INDEX(catClas,MATCH(D2536,catNom,0))&amp;"","")),"")</f>
        <v/>
      </c>
      <c r="L2536" s="19">
        <f>IF(I2536="","",IFERROR(INDEX(catAlim,MATCH(D2536,catNom,0))&amp;"",""))</f>
        <v/>
      </c>
      <c r="M2536" s="19">
        <f>IF(I2536="","",IFERROR(INDEX(catComida,MATCH(D2536,catNom,0))&amp;"",""))</f>
        <v/>
      </c>
      <c r="N2536" s="19">
        <f>IF(I2536="","",IFERROR(INDEX(ctaMon,MATCH(E2536,ctaNom,0))&amp;"","DOP"))</f>
        <v/>
      </c>
      <c r="O2536" s="20">
        <f>IF(I2536="","",C2536*IF(N2536="USD",TasaUSD,1))</f>
        <v/>
      </c>
      <c r="P2536" s="20">
        <f>IF(I2536="","",IF(I2536="Gasto",O2536,0))</f>
        <v/>
      </c>
      <c r="Q2536" s="20">
        <f>IF(I2536="","",IF(I2536="Ingreso",O2536,0))</f>
        <v/>
      </c>
      <c r="R2536" s="20">
        <f>IF(I2536="","",IF(I2536="Trading",O2536,0))</f>
        <v/>
      </c>
      <c r="S2536" s="19">
        <f>IF(I2536="","",IF(AND(I2536="Gasto",K2536="Variable",J2536&lt;&gt;"Trading",O2536&gt;0,O2536&lt;=Umbral),1,0))</f>
        <v/>
      </c>
      <c r="T2536" s="20">
        <f>IF(OR(I2536="",E2536=""),"",IF(OR(I2536="Gasto",I2536="Transferencia",I2536="Pago tarjeta"),-1,1)*C2536)</f>
        <v/>
      </c>
      <c r="U2536" s="20">
        <f>IF(OR(G2536="",AND(I2536&lt;&gt;"Transferencia",I2536&lt;&gt;"Pago tarjeta")),"",IF(IFERROR(INDEX(ctaMon,MATCH(G2536,ctaNom,0))&amp;"","DOP")=N2536,C2536,IF(N2536="USD",C2536*TasaUSD,C2536/TasaUSD)))</f>
        <v/>
      </c>
      <c r="V2536" s="20">
        <f>IF(I2536="","",IF(IFERROR(INDEX(ctaLiq,MATCH(E2536,ctaNom,0))="Sí",FALSE),IF(OR(I2536="Gasto",I2536="Transferencia",I2536="Pago tarjeta"),-1,1)*O2536,0)+IF(AND(U2536&lt;&gt;"",IFERROR(INDEX(ctaLiq,MATCH(G2536,ctaNom,0))="Sí",FALSE)),O2536,0))</f>
        <v/>
      </c>
      <c r="W2536" s="19">
        <f>IF(OR(F2536="",I2536=""),"",IF(COUNTIFS(F$6:F2536,F2536,I$6:I2536,"?*")=1,MAX(W$5:W2535)+1,""))</f>
        <v/>
      </c>
    </row>
    <row r="2537">
      <c r="B2537" s="15" t="n"/>
      <c r="C2537" s="16" t="n"/>
      <c r="D2537" s="17" t="n"/>
      <c r="E2537" s="17" t="n"/>
      <c r="F2537" s="17" t="n"/>
      <c r="G2537" s="17" t="n"/>
      <c r="H2537" s="18">
        <f>IF(AND(B2537="",C2537="",D2537="",E2537=""),"",IF(B2537="","⚠ Falta fecha",IF(C2537="","⚠ Falta monto",IF(D2537="","⚠ Falta categoría",IF(ISNA(MATCH(D2537,catNom,0)),"⚠ Categoría no existe",IF(E2537="","⚠ Falta cuenta",IF(ISNA(MATCH(E2537,ctaNom,0)),"⚠ Cuenta no existe",IF(AND(OR(I2537="Transferencia",I2537="Pago tarjeta"),G2537=""),"⚠ Indica la cuenta «Hacia»",IF(AND(G2537&lt;&gt;"",G2537=E2537),"⚠ «Hacia» igual a la cuenta",IF(AND(G2537&lt;&gt;"",ISNA(MATCH(G2537,ctaNom,0))),"⚠ «Hacia» no existe",IF(AND(I2537="Pago tarjeta",IFERROR(INDEX(ctaTipo,MATCH(G2537,ctaNom,0)),"")&lt;&gt;"Tarjeta de crédito"),"⚠ «Hacia» debe ser la tarjeta",IF(AND(I2537="Trading",IFERROR(INDEX(ctaTipo,MATCH(E2537,ctaNom,0)),"")&lt;&gt;"Cuenta de trading"),"⚠ Usa la cuenta de trading","✓"))))))))))))</f>
        <v/>
      </c>
      <c r="I2537" s="19">
        <f>IF(OR(B2537="",C2537="",D2537=""),"",IFERROR(INDEX(catTipo,MATCH(D2537,catNom,0))&amp;"",""))</f>
        <v/>
      </c>
      <c r="J2537" s="19">
        <f>IF(I2537="","",IFERROR(INDEX(catGrupo,MATCH(D2537,catNom,0))&amp;"",""))</f>
        <v/>
      </c>
      <c r="K2537" s="19">
        <f>IF(I2537="Gasto",IF(IFERROR(INDEX(catClas,MATCH(D2537,catNom,0))&amp;"","")="","Variable",IFERROR(INDEX(catClas,MATCH(D2537,catNom,0))&amp;"","")),"")</f>
        <v/>
      </c>
      <c r="L2537" s="19">
        <f>IF(I2537="","",IFERROR(INDEX(catAlim,MATCH(D2537,catNom,0))&amp;"",""))</f>
        <v/>
      </c>
      <c r="M2537" s="19">
        <f>IF(I2537="","",IFERROR(INDEX(catComida,MATCH(D2537,catNom,0))&amp;"",""))</f>
        <v/>
      </c>
      <c r="N2537" s="19">
        <f>IF(I2537="","",IFERROR(INDEX(ctaMon,MATCH(E2537,ctaNom,0))&amp;"","DOP"))</f>
        <v/>
      </c>
      <c r="O2537" s="20">
        <f>IF(I2537="","",C2537*IF(N2537="USD",TasaUSD,1))</f>
        <v/>
      </c>
      <c r="P2537" s="20">
        <f>IF(I2537="","",IF(I2537="Gasto",O2537,0))</f>
        <v/>
      </c>
      <c r="Q2537" s="20">
        <f>IF(I2537="","",IF(I2537="Ingreso",O2537,0))</f>
        <v/>
      </c>
      <c r="R2537" s="20">
        <f>IF(I2537="","",IF(I2537="Trading",O2537,0))</f>
        <v/>
      </c>
      <c r="S2537" s="19">
        <f>IF(I2537="","",IF(AND(I2537="Gasto",K2537="Variable",J2537&lt;&gt;"Trading",O2537&gt;0,O2537&lt;=Umbral),1,0))</f>
        <v/>
      </c>
      <c r="T2537" s="20">
        <f>IF(OR(I2537="",E2537=""),"",IF(OR(I2537="Gasto",I2537="Transferencia",I2537="Pago tarjeta"),-1,1)*C2537)</f>
        <v/>
      </c>
      <c r="U2537" s="20">
        <f>IF(OR(G2537="",AND(I2537&lt;&gt;"Transferencia",I2537&lt;&gt;"Pago tarjeta")),"",IF(IFERROR(INDEX(ctaMon,MATCH(G2537,ctaNom,0))&amp;"","DOP")=N2537,C2537,IF(N2537="USD",C2537*TasaUSD,C2537/TasaUSD)))</f>
        <v/>
      </c>
      <c r="V2537" s="20">
        <f>IF(I2537="","",IF(IFERROR(INDEX(ctaLiq,MATCH(E2537,ctaNom,0))="Sí",FALSE),IF(OR(I2537="Gasto",I2537="Transferencia",I2537="Pago tarjeta"),-1,1)*O2537,0)+IF(AND(U2537&lt;&gt;"",IFERROR(INDEX(ctaLiq,MATCH(G2537,ctaNom,0))="Sí",FALSE)),O2537,0))</f>
        <v/>
      </c>
      <c r="W2537" s="19">
        <f>IF(OR(F2537="",I2537=""),"",IF(COUNTIFS(F$6:F2537,F2537,I$6:I2537,"?*")=1,MAX(W$5:W2536)+1,""))</f>
        <v/>
      </c>
    </row>
    <row r="2538">
      <c r="B2538" s="15" t="n"/>
      <c r="C2538" s="16" t="n"/>
      <c r="D2538" s="17" t="n"/>
      <c r="E2538" s="17" t="n"/>
      <c r="F2538" s="17" t="n"/>
      <c r="G2538" s="17" t="n"/>
      <c r="H2538" s="18">
        <f>IF(AND(B2538="",C2538="",D2538="",E2538=""),"",IF(B2538="","⚠ Falta fecha",IF(C2538="","⚠ Falta monto",IF(D2538="","⚠ Falta categoría",IF(ISNA(MATCH(D2538,catNom,0)),"⚠ Categoría no existe",IF(E2538="","⚠ Falta cuenta",IF(ISNA(MATCH(E2538,ctaNom,0)),"⚠ Cuenta no existe",IF(AND(OR(I2538="Transferencia",I2538="Pago tarjeta"),G2538=""),"⚠ Indica la cuenta «Hacia»",IF(AND(G2538&lt;&gt;"",G2538=E2538),"⚠ «Hacia» igual a la cuenta",IF(AND(G2538&lt;&gt;"",ISNA(MATCH(G2538,ctaNom,0))),"⚠ «Hacia» no existe",IF(AND(I2538="Pago tarjeta",IFERROR(INDEX(ctaTipo,MATCH(G2538,ctaNom,0)),"")&lt;&gt;"Tarjeta de crédito"),"⚠ «Hacia» debe ser la tarjeta",IF(AND(I2538="Trading",IFERROR(INDEX(ctaTipo,MATCH(E2538,ctaNom,0)),"")&lt;&gt;"Cuenta de trading"),"⚠ Usa la cuenta de trading","✓"))))))))))))</f>
        <v/>
      </c>
      <c r="I2538" s="19">
        <f>IF(OR(B2538="",C2538="",D2538=""),"",IFERROR(INDEX(catTipo,MATCH(D2538,catNom,0))&amp;"",""))</f>
        <v/>
      </c>
      <c r="J2538" s="19">
        <f>IF(I2538="","",IFERROR(INDEX(catGrupo,MATCH(D2538,catNom,0))&amp;"",""))</f>
        <v/>
      </c>
      <c r="K2538" s="19">
        <f>IF(I2538="Gasto",IF(IFERROR(INDEX(catClas,MATCH(D2538,catNom,0))&amp;"","")="","Variable",IFERROR(INDEX(catClas,MATCH(D2538,catNom,0))&amp;"","")),"")</f>
        <v/>
      </c>
      <c r="L2538" s="19">
        <f>IF(I2538="","",IFERROR(INDEX(catAlim,MATCH(D2538,catNom,0))&amp;"",""))</f>
        <v/>
      </c>
      <c r="M2538" s="19">
        <f>IF(I2538="","",IFERROR(INDEX(catComida,MATCH(D2538,catNom,0))&amp;"",""))</f>
        <v/>
      </c>
      <c r="N2538" s="19">
        <f>IF(I2538="","",IFERROR(INDEX(ctaMon,MATCH(E2538,ctaNom,0))&amp;"","DOP"))</f>
        <v/>
      </c>
      <c r="O2538" s="20">
        <f>IF(I2538="","",C2538*IF(N2538="USD",TasaUSD,1))</f>
        <v/>
      </c>
      <c r="P2538" s="20">
        <f>IF(I2538="","",IF(I2538="Gasto",O2538,0))</f>
        <v/>
      </c>
      <c r="Q2538" s="20">
        <f>IF(I2538="","",IF(I2538="Ingreso",O2538,0))</f>
        <v/>
      </c>
      <c r="R2538" s="20">
        <f>IF(I2538="","",IF(I2538="Trading",O2538,0))</f>
        <v/>
      </c>
      <c r="S2538" s="19">
        <f>IF(I2538="","",IF(AND(I2538="Gasto",K2538="Variable",J2538&lt;&gt;"Trading",O2538&gt;0,O2538&lt;=Umbral),1,0))</f>
        <v/>
      </c>
      <c r="T2538" s="20">
        <f>IF(OR(I2538="",E2538=""),"",IF(OR(I2538="Gasto",I2538="Transferencia",I2538="Pago tarjeta"),-1,1)*C2538)</f>
        <v/>
      </c>
      <c r="U2538" s="20">
        <f>IF(OR(G2538="",AND(I2538&lt;&gt;"Transferencia",I2538&lt;&gt;"Pago tarjeta")),"",IF(IFERROR(INDEX(ctaMon,MATCH(G2538,ctaNom,0))&amp;"","DOP")=N2538,C2538,IF(N2538="USD",C2538*TasaUSD,C2538/TasaUSD)))</f>
        <v/>
      </c>
      <c r="V2538" s="20">
        <f>IF(I2538="","",IF(IFERROR(INDEX(ctaLiq,MATCH(E2538,ctaNom,0))="Sí",FALSE),IF(OR(I2538="Gasto",I2538="Transferencia",I2538="Pago tarjeta"),-1,1)*O2538,0)+IF(AND(U2538&lt;&gt;"",IFERROR(INDEX(ctaLiq,MATCH(G2538,ctaNom,0))="Sí",FALSE)),O2538,0))</f>
        <v/>
      </c>
      <c r="W2538" s="19">
        <f>IF(OR(F2538="",I2538=""),"",IF(COUNTIFS(F$6:F2538,F2538,I$6:I2538,"?*")=1,MAX(W$5:W2537)+1,""))</f>
        <v/>
      </c>
    </row>
    <row r="2539">
      <c r="B2539" s="15" t="n"/>
      <c r="C2539" s="16" t="n"/>
      <c r="D2539" s="17" t="n"/>
      <c r="E2539" s="17" t="n"/>
      <c r="F2539" s="17" t="n"/>
      <c r="G2539" s="17" t="n"/>
      <c r="H2539" s="18">
        <f>IF(AND(B2539="",C2539="",D2539="",E2539=""),"",IF(B2539="","⚠ Falta fecha",IF(C2539="","⚠ Falta monto",IF(D2539="","⚠ Falta categoría",IF(ISNA(MATCH(D2539,catNom,0)),"⚠ Categoría no existe",IF(E2539="","⚠ Falta cuenta",IF(ISNA(MATCH(E2539,ctaNom,0)),"⚠ Cuenta no existe",IF(AND(OR(I2539="Transferencia",I2539="Pago tarjeta"),G2539=""),"⚠ Indica la cuenta «Hacia»",IF(AND(G2539&lt;&gt;"",G2539=E2539),"⚠ «Hacia» igual a la cuenta",IF(AND(G2539&lt;&gt;"",ISNA(MATCH(G2539,ctaNom,0))),"⚠ «Hacia» no existe",IF(AND(I2539="Pago tarjeta",IFERROR(INDEX(ctaTipo,MATCH(G2539,ctaNom,0)),"")&lt;&gt;"Tarjeta de crédito"),"⚠ «Hacia» debe ser la tarjeta",IF(AND(I2539="Trading",IFERROR(INDEX(ctaTipo,MATCH(E2539,ctaNom,0)),"")&lt;&gt;"Cuenta de trading"),"⚠ Usa la cuenta de trading","✓"))))))))))))</f>
        <v/>
      </c>
      <c r="I2539" s="19">
        <f>IF(OR(B2539="",C2539="",D2539=""),"",IFERROR(INDEX(catTipo,MATCH(D2539,catNom,0))&amp;"",""))</f>
        <v/>
      </c>
      <c r="J2539" s="19">
        <f>IF(I2539="","",IFERROR(INDEX(catGrupo,MATCH(D2539,catNom,0))&amp;"",""))</f>
        <v/>
      </c>
      <c r="K2539" s="19">
        <f>IF(I2539="Gasto",IF(IFERROR(INDEX(catClas,MATCH(D2539,catNom,0))&amp;"","")="","Variable",IFERROR(INDEX(catClas,MATCH(D2539,catNom,0))&amp;"","")),"")</f>
        <v/>
      </c>
      <c r="L2539" s="19">
        <f>IF(I2539="","",IFERROR(INDEX(catAlim,MATCH(D2539,catNom,0))&amp;"",""))</f>
        <v/>
      </c>
      <c r="M2539" s="19">
        <f>IF(I2539="","",IFERROR(INDEX(catComida,MATCH(D2539,catNom,0))&amp;"",""))</f>
        <v/>
      </c>
      <c r="N2539" s="19">
        <f>IF(I2539="","",IFERROR(INDEX(ctaMon,MATCH(E2539,ctaNom,0))&amp;"","DOP"))</f>
        <v/>
      </c>
      <c r="O2539" s="20">
        <f>IF(I2539="","",C2539*IF(N2539="USD",TasaUSD,1))</f>
        <v/>
      </c>
      <c r="P2539" s="20">
        <f>IF(I2539="","",IF(I2539="Gasto",O2539,0))</f>
        <v/>
      </c>
      <c r="Q2539" s="20">
        <f>IF(I2539="","",IF(I2539="Ingreso",O2539,0))</f>
        <v/>
      </c>
      <c r="R2539" s="20">
        <f>IF(I2539="","",IF(I2539="Trading",O2539,0))</f>
        <v/>
      </c>
      <c r="S2539" s="19">
        <f>IF(I2539="","",IF(AND(I2539="Gasto",K2539="Variable",J2539&lt;&gt;"Trading",O2539&gt;0,O2539&lt;=Umbral),1,0))</f>
        <v/>
      </c>
      <c r="T2539" s="20">
        <f>IF(OR(I2539="",E2539=""),"",IF(OR(I2539="Gasto",I2539="Transferencia",I2539="Pago tarjeta"),-1,1)*C2539)</f>
        <v/>
      </c>
      <c r="U2539" s="20">
        <f>IF(OR(G2539="",AND(I2539&lt;&gt;"Transferencia",I2539&lt;&gt;"Pago tarjeta")),"",IF(IFERROR(INDEX(ctaMon,MATCH(G2539,ctaNom,0))&amp;"","DOP")=N2539,C2539,IF(N2539="USD",C2539*TasaUSD,C2539/TasaUSD)))</f>
        <v/>
      </c>
      <c r="V2539" s="20">
        <f>IF(I2539="","",IF(IFERROR(INDEX(ctaLiq,MATCH(E2539,ctaNom,0))="Sí",FALSE),IF(OR(I2539="Gasto",I2539="Transferencia",I2539="Pago tarjeta"),-1,1)*O2539,0)+IF(AND(U2539&lt;&gt;"",IFERROR(INDEX(ctaLiq,MATCH(G2539,ctaNom,0))="Sí",FALSE)),O2539,0))</f>
        <v/>
      </c>
      <c r="W2539" s="19">
        <f>IF(OR(F2539="",I2539=""),"",IF(COUNTIFS(F$6:F2539,F2539,I$6:I2539,"?*")=1,MAX(W$5:W2538)+1,""))</f>
        <v/>
      </c>
    </row>
    <row r="2540">
      <c r="B2540" s="15" t="n"/>
      <c r="C2540" s="16" t="n"/>
      <c r="D2540" s="17" t="n"/>
      <c r="E2540" s="17" t="n"/>
      <c r="F2540" s="17" t="n"/>
      <c r="G2540" s="17" t="n"/>
      <c r="H2540" s="18">
        <f>IF(AND(B2540="",C2540="",D2540="",E2540=""),"",IF(B2540="","⚠ Falta fecha",IF(C2540="","⚠ Falta monto",IF(D2540="","⚠ Falta categoría",IF(ISNA(MATCH(D2540,catNom,0)),"⚠ Categoría no existe",IF(E2540="","⚠ Falta cuenta",IF(ISNA(MATCH(E2540,ctaNom,0)),"⚠ Cuenta no existe",IF(AND(OR(I2540="Transferencia",I2540="Pago tarjeta"),G2540=""),"⚠ Indica la cuenta «Hacia»",IF(AND(G2540&lt;&gt;"",G2540=E2540),"⚠ «Hacia» igual a la cuenta",IF(AND(G2540&lt;&gt;"",ISNA(MATCH(G2540,ctaNom,0))),"⚠ «Hacia» no existe",IF(AND(I2540="Pago tarjeta",IFERROR(INDEX(ctaTipo,MATCH(G2540,ctaNom,0)),"")&lt;&gt;"Tarjeta de crédito"),"⚠ «Hacia» debe ser la tarjeta",IF(AND(I2540="Trading",IFERROR(INDEX(ctaTipo,MATCH(E2540,ctaNom,0)),"")&lt;&gt;"Cuenta de trading"),"⚠ Usa la cuenta de trading","✓"))))))))))))</f>
        <v/>
      </c>
      <c r="I2540" s="19">
        <f>IF(OR(B2540="",C2540="",D2540=""),"",IFERROR(INDEX(catTipo,MATCH(D2540,catNom,0))&amp;"",""))</f>
        <v/>
      </c>
      <c r="J2540" s="19">
        <f>IF(I2540="","",IFERROR(INDEX(catGrupo,MATCH(D2540,catNom,0))&amp;"",""))</f>
        <v/>
      </c>
      <c r="K2540" s="19">
        <f>IF(I2540="Gasto",IF(IFERROR(INDEX(catClas,MATCH(D2540,catNom,0))&amp;"","")="","Variable",IFERROR(INDEX(catClas,MATCH(D2540,catNom,0))&amp;"","")),"")</f>
        <v/>
      </c>
      <c r="L2540" s="19">
        <f>IF(I2540="","",IFERROR(INDEX(catAlim,MATCH(D2540,catNom,0))&amp;"",""))</f>
        <v/>
      </c>
      <c r="M2540" s="19">
        <f>IF(I2540="","",IFERROR(INDEX(catComida,MATCH(D2540,catNom,0))&amp;"",""))</f>
        <v/>
      </c>
      <c r="N2540" s="19">
        <f>IF(I2540="","",IFERROR(INDEX(ctaMon,MATCH(E2540,ctaNom,0))&amp;"","DOP"))</f>
        <v/>
      </c>
      <c r="O2540" s="20">
        <f>IF(I2540="","",C2540*IF(N2540="USD",TasaUSD,1))</f>
        <v/>
      </c>
      <c r="P2540" s="20">
        <f>IF(I2540="","",IF(I2540="Gasto",O2540,0))</f>
        <v/>
      </c>
      <c r="Q2540" s="20">
        <f>IF(I2540="","",IF(I2540="Ingreso",O2540,0))</f>
        <v/>
      </c>
      <c r="R2540" s="20">
        <f>IF(I2540="","",IF(I2540="Trading",O2540,0))</f>
        <v/>
      </c>
      <c r="S2540" s="19">
        <f>IF(I2540="","",IF(AND(I2540="Gasto",K2540="Variable",J2540&lt;&gt;"Trading",O2540&gt;0,O2540&lt;=Umbral),1,0))</f>
        <v/>
      </c>
      <c r="T2540" s="20">
        <f>IF(OR(I2540="",E2540=""),"",IF(OR(I2540="Gasto",I2540="Transferencia",I2540="Pago tarjeta"),-1,1)*C2540)</f>
        <v/>
      </c>
      <c r="U2540" s="20">
        <f>IF(OR(G2540="",AND(I2540&lt;&gt;"Transferencia",I2540&lt;&gt;"Pago tarjeta")),"",IF(IFERROR(INDEX(ctaMon,MATCH(G2540,ctaNom,0))&amp;"","DOP")=N2540,C2540,IF(N2540="USD",C2540*TasaUSD,C2540/TasaUSD)))</f>
        <v/>
      </c>
      <c r="V2540" s="20">
        <f>IF(I2540="","",IF(IFERROR(INDEX(ctaLiq,MATCH(E2540,ctaNom,0))="Sí",FALSE),IF(OR(I2540="Gasto",I2540="Transferencia",I2540="Pago tarjeta"),-1,1)*O2540,0)+IF(AND(U2540&lt;&gt;"",IFERROR(INDEX(ctaLiq,MATCH(G2540,ctaNom,0))="Sí",FALSE)),O2540,0))</f>
        <v/>
      </c>
      <c r="W2540" s="19">
        <f>IF(OR(F2540="",I2540=""),"",IF(COUNTIFS(F$6:F2540,F2540,I$6:I2540,"?*")=1,MAX(W$5:W2539)+1,""))</f>
        <v/>
      </c>
    </row>
    <row r="2541">
      <c r="B2541" s="15" t="n"/>
      <c r="C2541" s="16" t="n"/>
      <c r="D2541" s="17" t="n"/>
      <c r="E2541" s="17" t="n"/>
      <c r="F2541" s="17" t="n"/>
      <c r="G2541" s="17" t="n"/>
      <c r="H2541" s="18">
        <f>IF(AND(B2541="",C2541="",D2541="",E2541=""),"",IF(B2541="","⚠ Falta fecha",IF(C2541="","⚠ Falta monto",IF(D2541="","⚠ Falta categoría",IF(ISNA(MATCH(D2541,catNom,0)),"⚠ Categoría no existe",IF(E2541="","⚠ Falta cuenta",IF(ISNA(MATCH(E2541,ctaNom,0)),"⚠ Cuenta no existe",IF(AND(OR(I2541="Transferencia",I2541="Pago tarjeta"),G2541=""),"⚠ Indica la cuenta «Hacia»",IF(AND(G2541&lt;&gt;"",G2541=E2541),"⚠ «Hacia» igual a la cuenta",IF(AND(G2541&lt;&gt;"",ISNA(MATCH(G2541,ctaNom,0))),"⚠ «Hacia» no existe",IF(AND(I2541="Pago tarjeta",IFERROR(INDEX(ctaTipo,MATCH(G2541,ctaNom,0)),"")&lt;&gt;"Tarjeta de crédito"),"⚠ «Hacia» debe ser la tarjeta",IF(AND(I2541="Trading",IFERROR(INDEX(ctaTipo,MATCH(E2541,ctaNom,0)),"")&lt;&gt;"Cuenta de trading"),"⚠ Usa la cuenta de trading","✓"))))))))))))</f>
        <v/>
      </c>
      <c r="I2541" s="19">
        <f>IF(OR(B2541="",C2541="",D2541=""),"",IFERROR(INDEX(catTipo,MATCH(D2541,catNom,0))&amp;"",""))</f>
        <v/>
      </c>
      <c r="J2541" s="19">
        <f>IF(I2541="","",IFERROR(INDEX(catGrupo,MATCH(D2541,catNom,0))&amp;"",""))</f>
        <v/>
      </c>
      <c r="K2541" s="19">
        <f>IF(I2541="Gasto",IF(IFERROR(INDEX(catClas,MATCH(D2541,catNom,0))&amp;"","")="","Variable",IFERROR(INDEX(catClas,MATCH(D2541,catNom,0))&amp;"","")),"")</f>
        <v/>
      </c>
      <c r="L2541" s="19">
        <f>IF(I2541="","",IFERROR(INDEX(catAlim,MATCH(D2541,catNom,0))&amp;"",""))</f>
        <v/>
      </c>
      <c r="M2541" s="19">
        <f>IF(I2541="","",IFERROR(INDEX(catComida,MATCH(D2541,catNom,0))&amp;"",""))</f>
        <v/>
      </c>
      <c r="N2541" s="19">
        <f>IF(I2541="","",IFERROR(INDEX(ctaMon,MATCH(E2541,ctaNom,0))&amp;"","DOP"))</f>
        <v/>
      </c>
      <c r="O2541" s="20">
        <f>IF(I2541="","",C2541*IF(N2541="USD",TasaUSD,1))</f>
        <v/>
      </c>
      <c r="P2541" s="20">
        <f>IF(I2541="","",IF(I2541="Gasto",O2541,0))</f>
        <v/>
      </c>
      <c r="Q2541" s="20">
        <f>IF(I2541="","",IF(I2541="Ingreso",O2541,0))</f>
        <v/>
      </c>
      <c r="R2541" s="20">
        <f>IF(I2541="","",IF(I2541="Trading",O2541,0))</f>
        <v/>
      </c>
      <c r="S2541" s="19">
        <f>IF(I2541="","",IF(AND(I2541="Gasto",K2541="Variable",J2541&lt;&gt;"Trading",O2541&gt;0,O2541&lt;=Umbral),1,0))</f>
        <v/>
      </c>
      <c r="T2541" s="20">
        <f>IF(OR(I2541="",E2541=""),"",IF(OR(I2541="Gasto",I2541="Transferencia",I2541="Pago tarjeta"),-1,1)*C2541)</f>
        <v/>
      </c>
      <c r="U2541" s="20">
        <f>IF(OR(G2541="",AND(I2541&lt;&gt;"Transferencia",I2541&lt;&gt;"Pago tarjeta")),"",IF(IFERROR(INDEX(ctaMon,MATCH(G2541,ctaNom,0))&amp;"","DOP")=N2541,C2541,IF(N2541="USD",C2541*TasaUSD,C2541/TasaUSD)))</f>
        <v/>
      </c>
      <c r="V2541" s="20">
        <f>IF(I2541="","",IF(IFERROR(INDEX(ctaLiq,MATCH(E2541,ctaNom,0))="Sí",FALSE),IF(OR(I2541="Gasto",I2541="Transferencia",I2541="Pago tarjeta"),-1,1)*O2541,0)+IF(AND(U2541&lt;&gt;"",IFERROR(INDEX(ctaLiq,MATCH(G2541,ctaNom,0))="Sí",FALSE)),O2541,0))</f>
        <v/>
      </c>
      <c r="W2541" s="19">
        <f>IF(OR(F2541="",I2541=""),"",IF(COUNTIFS(F$6:F2541,F2541,I$6:I2541,"?*")=1,MAX(W$5:W2540)+1,""))</f>
        <v/>
      </c>
    </row>
    <row r="2542">
      <c r="B2542" s="15" t="n"/>
      <c r="C2542" s="16" t="n"/>
      <c r="D2542" s="17" t="n"/>
      <c r="E2542" s="17" t="n"/>
      <c r="F2542" s="17" t="n"/>
      <c r="G2542" s="17" t="n"/>
      <c r="H2542" s="18">
        <f>IF(AND(B2542="",C2542="",D2542="",E2542=""),"",IF(B2542="","⚠ Falta fecha",IF(C2542="","⚠ Falta monto",IF(D2542="","⚠ Falta categoría",IF(ISNA(MATCH(D2542,catNom,0)),"⚠ Categoría no existe",IF(E2542="","⚠ Falta cuenta",IF(ISNA(MATCH(E2542,ctaNom,0)),"⚠ Cuenta no existe",IF(AND(OR(I2542="Transferencia",I2542="Pago tarjeta"),G2542=""),"⚠ Indica la cuenta «Hacia»",IF(AND(G2542&lt;&gt;"",G2542=E2542),"⚠ «Hacia» igual a la cuenta",IF(AND(G2542&lt;&gt;"",ISNA(MATCH(G2542,ctaNom,0))),"⚠ «Hacia» no existe",IF(AND(I2542="Pago tarjeta",IFERROR(INDEX(ctaTipo,MATCH(G2542,ctaNom,0)),"")&lt;&gt;"Tarjeta de crédito"),"⚠ «Hacia» debe ser la tarjeta",IF(AND(I2542="Trading",IFERROR(INDEX(ctaTipo,MATCH(E2542,ctaNom,0)),"")&lt;&gt;"Cuenta de trading"),"⚠ Usa la cuenta de trading","✓"))))))))))))</f>
        <v/>
      </c>
      <c r="I2542" s="19">
        <f>IF(OR(B2542="",C2542="",D2542=""),"",IFERROR(INDEX(catTipo,MATCH(D2542,catNom,0))&amp;"",""))</f>
        <v/>
      </c>
      <c r="J2542" s="19">
        <f>IF(I2542="","",IFERROR(INDEX(catGrupo,MATCH(D2542,catNom,0))&amp;"",""))</f>
        <v/>
      </c>
      <c r="K2542" s="19">
        <f>IF(I2542="Gasto",IF(IFERROR(INDEX(catClas,MATCH(D2542,catNom,0))&amp;"","")="","Variable",IFERROR(INDEX(catClas,MATCH(D2542,catNom,0))&amp;"","")),"")</f>
        <v/>
      </c>
      <c r="L2542" s="19">
        <f>IF(I2542="","",IFERROR(INDEX(catAlim,MATCH(D2542,catNom,0))&amp;"",""))</f>
        <v/>
      </c>
      <c r="M2542" s="19">
        <f>IF(I2542="","",IFERROR(INDEX(catComida,MATCH(D2542,catNom,0))&amp;"",""))</f>
        <v/>
      </c>
      <c r="N2542" s="19">
        <f>IF(I2542="","",IFERROR(INDEX(ctaMon,MATCH(E2542,ctaNom,0))&amp;"","DOP"))</f>
        <v/>
      </c>
      <c r="O2542" s="20">
        <f>IF(I2542="","",C2542*IF(N2542="USD",TasaUSD,1))</f>
        <v/>
      </c>
      <c r="P2542" s="20">
        <f>IF(I2542="","",IF(I2542="Gasto",O2542,0))</f>
        <v/>
      </c>
      <c r="Q2542" s="20">
        <f>IF(I2542="","",IF(I2542="Ingreso",O2542,0))</f>
        <v/>
      </c>
      <c r="R2542" s="20">
        <f>IF(I2542="","",IF(I2542="Trading",O2542,0))</f>
        <v/>
      </c>
      <c r="S2542" s="19">
        <f>IF(I2542="","",IF(AND(I2542="Gasto",K2542="Variable",J2542&lt;&gt;"Trading",O2542&gt;0,O2542&lt;=Umbral),1,0))</f>
        <v/>
      </c>
      <c r="T2542" s="20">
        <f>IF(OR(I2542="",E2542=""),"",IF(OR(I2542="Gasto",I2542="Transferencia",I2542="Pago tarjeta"),-1,1)*C2542)</f>
        <v/>
      </c>
      <c r="U2542" s="20">
        <f>IF(OR(G2542="",AND(I2542&lt;&gt;"Transferencia",I2542&lt;&gt;"Pago tarjeta")),"",IF(IFERROR(INDEX(ctaMon,MATCH(G2542,ctaNom,0))&amp;"","DOP")=N2542,C2542,IF(N2542="USD",C2542*TasaUSD,C2542/TasaUSD)))</f>
        <v/>
      </c>
      <c r="V2542" s="20">
        <f>IF(I2542="","",IF(IFERROR(INDEX(ctaLiq,MATCH(E2542,ctaNom,0))="Sí",FALSE),IF(OR(I2542="Gasto",I2542="Transferencia",I2542="Pago tarjeta"),-1,1)*O2542,0)+IF(AND(U2542&lt;&gt;"",IFERROR(INDEX(ctaLiq,MATCH(G2542,ctaNom,0))="Sí",FALSE)),O2542,0))</f>
        <v/>
      </c>
      <c r="W2542" s="19">
        <f>IF(OR(F2542="",I2542=""),"",IF(COUNTIFS(F$6:F2542,F2542,I$6:I2542,"?*")=1,MAX(W$5:W2541)+1,""))</f>
        <v/>
      </c>
    </row>
    <row r="2543">
      <c r="B2543" s="15" t="n"/>
      <c r="C2543" s="16" t="n"/>
      <c r="D2543" s="17" t="n"/>
      <c r="E2543" s="17" t="n"/>
      <c r="F2543" s="17" t="n"/>
      <c r="G2543" s="17" t="n"/>
      <c r="H2543" s="18">
        <f>IF(AND(B2543="",C2543="",D2543="",E2543=""),"",IF(B2543="","⚠ Falta fecha",IF(C2543="","⚠ Falta monto",IF(D2543="","⚠ Falta categoría",IF(ISNA(MATCH(D2543,catNom,0)),"⚠ Categoría no existe",IF(E2543="","⚠ Falta cuenta",IF(ISNA(MATCH(E2543,ctaNom,0)),"⚠ Cuenta no existe",IF(AND(OR(I2543="Transferencia",I2543="Pago tarjeta"),G2543=""),"⚠ Indica la cuenta «Hacia»",IF(AND(G2543&lt;&gt;"",G2543=E2543),"⚠ «Hacia» igual a la cuenta",IF(AND(G2543&lt;&gt;"",ISNA(MATCH(G2543,ctaNom,0))),"⚠ «Hacia» no existe",IF(AND(I2543="Pago tarjeta",IFERROR(INDEX(ctaTipo,MATCH(G2543,ctaNom,0)),"")&lt;&gt;"Tarjeta de crédito"),"⚠ «Hacia» debe ser la tarjeta",IF(AND(I2543="Trading",IFERROR(INDEX(ctaTipo,MATCH(E2543,ctaNom,0)),"")&lt;&gt;"Cuenta de trading"),"⚠ Usa la cuenta de trading","✓"))))))))))))</f>
        <v/>
      </c>
      <c r="I2543" s="19">
        <f>IF(OR(B2543="",C2543="",D2543=""),"",IFERROR(INDEX(catTipo,MATCH(D2543,catNom,0))&amp;"",""))</f>
        <v/>
      </c>
      <c r="J2543" s="19">
        <f>IF(I2543="","",IFERROR(INDEX(catGrupo,MATCH(D2543,catNom,0))&amp;"",""))</f>
        <v/>
      </c>
      <c r="K2543" s="19">
        <f>IF(I2543="Gasto",IF(IFERROR(INDEX(catClas,MATCH(D2543,catNom,0))&amp;"","")="","Variable",IFERROR(INDEX(catClas,MATCH(D2543,catNom,0))&amp;"","")),"")</f>
        <v/>
      </c>
      <c r="L2543" s="19">
        <f>IF(I2543="","",IFERROR(INDEX(catAlim,MATCH(D2543,catNom,0))&amp;"",""))</f>
        <v/>
      </c>
      <c r="M2543" s="19">
        <f>IF(I2543="","",IFERROR(INDEX(catComida,MATCH(D2543,catNom,0))&amp;"",""))</f>
        <v/>
      </c>
      <c r="N2543" s="19">
        <f>IF(I2543="","",IFERROR(INDEX(ctaMon,MATCH(E2543,ctaNom,0))&amp;"","DOP"))</f>
        <v/>
      </c>
      <c r="O2543" s="20">
        <f>IF(I2543="","",C2543*IF(N2543="USD",TasaUSD,1))</f>
        <v/>
      </c>
      <c r="P2543" s="20">
        <f>IF(I2543="","",IF(I2543="Gasto",O2543,0))</f>
        <v/>
      </c>
      <c r="Q2543" s="20">
        <f>IF(I2543="","",IF(I2543="Ingreso",O2543,0))</f>
        <v/>
      </c>
      <c r="R2543" s="20">
        <f>IF(I2543="","",IF(I2543="Trading",O2543,0))</f>
        <v/>
      </c>
      <c r="S2543" s="19">
        <f>IF(I2543="","",IF(AND(I2543="Gasto",K2543="Variable",J2543&lt;&gt;"Trading",O2543&gt;0,O2543&lt;=Umbral),1,0))</f>
        <v/>
      </c>
      <c r="T2543" s="20">
        <f>IF(OR(I2543="",E2543=""),"",IF(OR(I2543="Gasto",I2543="Transferencia",I2543="Pago tarjeta"),-1,1)*C2543)</f>
        <v/>
      </c>
      <c r="U2543" s="20">
        <f>IF(OR(G2543="",AND(I2543&lt;&gt;"Transferencia",I2543&lt;&gt;"Pago tarjeta")),"",IF(IFERROR(INDEX(ctaMon,MATCH(G2543,ctaNom,0))&amp;"","DOP")=N2543,C2543,IF(N2543="USD",C2543*TasaUSD,C2543/TasaUSD)))</f>
        <v/>
      </c>
      <c r="V2543" s="20">
        <f>IF(I2543="","",IF(IFERROR(INDEX(ctaLiq,MATCH(E2543,ctaNom,0))="Sí",FALSE),IF(OR(I2543="Gasto",I2543="Transferencia",I2543="Pago tarjeta"),-1,1)*O2543,0)+IF(AND(U2543&lt;&gt;"",IFERROR(INDEX(ctaLiq,MATCH(G2543,ctaNom,0))="Sí",FALSE)),O2543,0))</f>
        <v/>
      </c>
      <c r="W2543" s="19">
        <f>IF(OR(F2543="",I2543=""),"",IF(COUNTIFS(F$6:F2543,F2543,I$6:I2543,"?*")=1,MAX(W$5:W2542)+1,""))</f>
        <v/>
      </c>
    </row>
    <row r="2544">
      <c r="B2544" s="15" t="n"/>
      <c r="C2544" s="16" t="n"/>
      <c r="D2544" s="17" t="n"/>
      <c r="E2544" s="17" t="n"/>
      <c r="F2544" s="17" t="n"/>
      <c r="G2544" s="17" t="n"/>
      <c r="H2544" s="18">
        <f>IF(AND(B2544="",C2544="",D2544="",E2544=""),"",IF(B2544="","⚠ Falta fecha",IF(C2544="","⚠ Falta monto",IF(D2544="","⚠ Falta categoría",IF(ISNA(MATCH(D2544,catNom,0)),"⚠ Categoría no existe",IF(E2544="","⚠ Falta cuenta",IF(ISNA(MATCH(E2544,ctaNom,0)),"⚠ Cuenta no existe",IF(AND(OR(I2544="Transferencia",I2544="Pago tarjeta"),G2544=""),"⚠ Indica la cuenta «Hacia»",IF(AND(G2544&lt;&gt;"",G2544=E2544),"⚠ «Hacia» igual a la cuenta",IF(AND(G2544&lt;&gt;"",ISNA(MATCH(G2544,ctaNom,0))),"⚠ «Hacia» no existe",IF(AND(I2544="Pago tarjeta",IFERROR(INDEX(ctaTipo,MATCH(G2544,ctaNom,0)),"")&lt;&gt;"Tarjeta de crédito"),"⚠ «Hacia» debe ser la tarjeta",IF(AND(I2544="Trading",IFERROR(INDEX(ctaTipo,MATCH(E2544,ctaNom,0)),"")&lt;&gt;"Cuenta de trading"),"⚠ Usa la cuenta de trading","✓"))))))))))))</f>
        <v/>
      </c>
      <c r="I2544" s="19">
        <f>IF(OR(B2544="",C2544="",D2544=""),"",IFERROR(INDEX(catTipo,MATCH(D2544,catNom,0))&amp;"",""))</f>
        <v/>
      </c>
      <c r="J2544" s="19">
        <f>IF(I2544="","",IFERROR(INDEX(catGrupo,MATCH(D2544,catNom,0))&amp;"",""))</f>
        <v/>
      </c>
      <c r="K2544" s="19">
        <f>IF(I2544="Gasto",IF(IFERROR(INDEX(catClas,MATCH(D2544,catNom,0))&amp;"","")="","Variable",IFERROR(INDEX(catClas,MATCH(D2544,catNom,0))&amp;"","")),"")</f>
        <v/>
      </c>
      <c r="L2544" s="19">
        <f>IF(I2544="","",IFERROR(INDEX(catAlim,MATCH(D2544,catNom,0))&amp;"",""))</f>
        <v/>
      </c>
      <c r="M2544" s="19">
        <f>IF(I2544="","",IFERROR(INDEX(catComida,MATCH(D2544,catNom,0))&amp;"",""))</f>
        <v/>
      </c>
      <c r="N2544" s="19">
        <f>IF(I2544="","",IFERROR(INDEX(ctaMon,MATCH(E2544,ctaNom,0))&amp;"","DOP"))</f>
        <v/>
      </c>
      <c r="O2544" s="20">
        <f>IF(I2544="","",C2544*IF(N2544="USD",TasaUSD,1))</f>
        <v/>
      </c>
      <c r="P2544" s="20">
        <f>IF(I2544="","",IF(I2544="Gasto",O2544,0))</f>
        <v/>
      </c>
      <c r="Q2544" s="20">
        <f>IF(I2544="","",IF(I2544="Ingreso",O2544,0))</f>
        <v/>
      </c>
      <c r="R2544" s="20">
        <f>IF(I2544="","",IF(I2544="Trading",O2544,0))</f>
        <v/>
      </c>
      <c r="S2544" s="19">
        <f>IF(I2544="","",IF(AND(I2544="Gasto",K2544="Variable",J2544&lt;&gt;"Trading",O2544&gt;0,O2544&lt;=Umbral),1,0))</f>
        <v/>
      </c>
      <c r="T2544" s="20">
        <f>IF(OR(I2544="",E2544=""),"",IF(OR(I2544="Gasto",I2544="Transferencia",I2544="Pago tarjeta"),-1,1)*C2544)</f>
        <v/>
      </c>
      <c r="U2544" s="20">
        <f>IF(OR(G2544="",AND(I2544&lt;&gt;"Transferencia",I2544&lt;&gt;"Pago tarjeta")),"",IF(IFERROR(INDEX(ctaMon,MATCH(G2544,ctaNom,0))&amp;"","DOP")=N2544,C2544,IF(N2544="USD",C2544*TasaUSD,C2544/TasaUSD)))</f>
        <v/>
      </c>
      <c r="V2544" s="20">
        <f>IF(I2544="","",IF(IFERROR(INDEX(ctaLiq,MATCH(E2544,ctaNom,0))="Sí",FALSE),IF(OR(I2544="Gasto",I2544="Transferencia",I2544="Pago tarjeta"),-1,1)*O2544,0)+IF(AND(U2544&lt;&gt;"",IFERROR(INDEX(ctaLiq,MATCH(G2544,ctaNom,0))="Sí",FALSE)),O2544,0))</f>
        <v/>
      </c>
      <c r="W2544" s="19">
        <f>IF(OR(F2544="",I2544=""),"",IF(COUNTIFS(F$6:F2544,F2544,I$6:I2544,"?*")=1,MAX(W$5:W2543)+1,""))</f>
        <v/>
      </c>
    </row>
    <row r="2545">
      <c r="B2545" s="15" t="n"/>
      <c r="C2545" s="16" t="n"/>
      <c r="D2545" s="17" t="n"/>
      <c r="E2545" s="17" t="n"/>
      <c r="F2545" s="17" t="n"/>
      <c r="G2545" s="17" t="n"/>
      <c r="H2545" s="18">
        <f>IF(AND(B2545="",C2545="",D2545="",E2545=""),"",IF(B2545="","⚠ Falta fecha",IF(C2545="","⚠ Falta monto",IF(D2545="","⚠ Falta categoría",IF(ISNA(MATCH(D2545,catNom,0)),"⚠ Categoría no existe",IF(E2545="","⚠ Falta cuenta",IF(ISNA(MATCH(E2545,ctaNom,0)),"⚠ Cuenta no existe",IF(AND(OR(I2545="Transferencia",I2545="Pago tarjeta"),G2545=""),"⚠ Indica la cuenta «Hacia»",IF(AND(G2545&lt;&gt;"",G2545=E2545),"⚠ «Hacia» igual a la cuenta",IF(AND(G2545&lt;&gt;"",ISNA(MATCH(G2545,ctaNom,0))),"⚠ «Hacia» no existe",IF(AND(I2545="Pago tarjeta",IFERROR(INDEX(ctaTipo,MATCH(G2545,ctaNom,0)),"")&lt;&gt;"Tarjeta de crédito"),"⚠ «Hacia» debe ser la tarjeta",IF(AND(I2545="Trading",IFERROR(INDEX(ctaTipo,MATCH(E2545,ctaNom,0)),"")&lt;&gt;"Cuenta de trading"),"⚠ Usa la cuenta de trading","✓"))))))))))))</f>
        <v/>
      </c>
      <c r="I2545" s="19">
        <f>IF(OR(B2545="",C2545="",D2545=""),"",IFERROR(INDEX(catTipo,MATCH(D2545,catNom,0))&amp;"",""))</f>
        <v/>
      </c>
      <c r="J2545" s="19">
        <f>IF(I2545="","",IFERROR(INDEX(catGrupo,MATCH(D2545,catNom,0))&amp;"",""))</f>
        <v/>
      </c>
      <c r="K2545" s="19">
        <f>IF(I2545="Gasto",IF(IFERROR(INDEX(catClas,MATCH(D2545,catNom,0))&amp;"","")="","Variable",IFERROR(INDEX(catClas,MATCH(D2545,catNom,0))&amp;"","")),"")</f>
        <v/>
      </c>
      <c r="L2545" s="19">
        <f>IF(I2545="","",IFERROR(INDEX(catAlim,MATCH(D2545,catNom,0))&amp;"",""))</f>
        <v/>
      </c>
      <c r="M2545" s="19">
        <f>IF(I2545="","",IFERROR(INDEX(catComida,MATCH(D2545,catNom,0))&amp;"",""))</f>
        <v/>
      </c>
      <c r="N2545" s="19">
        <f>IF(I2545="","",IFERROR(INDEX(ctaMon,MATCH(E2545,ctaNom,0))&amp;"","DOP"))</f>
        <v/>
      </c>
      <c r="O2545" s="20">
        <f>IF(I2545="","",C2545*IF(N2545="USD",TasaUSD,1))</f>
        <v/>
      </c>
      <c r="P2545" s="20">
        <f>IF(I2545="","",IF(I2545="Gasto",O2545,0))</f>
        <v/>
      </c>
      <c r="Q2545" s="20">
        <f>IF(I2545="","",IF(I2545="Ingreso",O2545,0))</f>
        <v/>
      </c>
      <c r="R2545" s="20">
        <f>IF(I2545="","",IF(I2545="Trading",O2545,0))</f>
        <v/>
      </c>
      <c r="S2545" s="19">
        <f>IF(I2545="","",IF(AND(I2545="Gasto",K2545="Variable",J2545&lt;&gt;"Trading",O2545&gt;0,O2545&lt;=Umbral),1,0))</f>
        <v/>
      </c>
      <c r="T2545" s="20">
        <f>IF(OR(I2545="",E2545=""),"",IF(OR(I2545="Gasto",I2545="Transferencia",I2545="Pago tarjeta"),-1,1)*C2545)</f>
        <v/>
      </c>
      <c r="U2545" s="20">
        <f>IF(OR(G2545="",AND(I2545&lt;&gt;"Transferencia",I2545&lt;&gt;"Pago tarjeta")),"",IF(IFERROR(INDEX(ctaMon,MATCH(G2545,ctaNom,0))&amp;"","DOP")=N2545,C2545,IF(N2545="USD",C2545*TasaUSD,C2545/TasaUSD)))</f>
        <v/>
      </c>
      <c r="V2545" s="20">
        <f>IF(I2545="","",IF(IFERROR(INDEX(ctaLiq,MATCH(E2545,ctaNom,0))="Sí",FALSE),IF(OR(I2545="Gasto",I2545="Transferencia",I2545="Pago tarjeta"),-1,1)*O2545,0)+IF(AND(U2545&lt;&gt;"",IFERROR(INDEX(ctaLiq,MATCH(G2545,ctaNom,0))="Sí",FALSE)),O2545,0))</f>
        <v/>
      </c>
      <c r="W2545" s="19">
        <f>IF(OR(F2545="",I2545=""),"",IF(COUNTIFS(F$6:F2545,F2545,I$6:I2545,"?*")=1,MAX(W$5:W2544)+1,""))</f>
        <v/>
      </c>
    </row>
    <row r="2546">
      <c r="B2546" s="15" t="n"/>
      <c r="C2546" s="16" t="n"/>
      <c r="D2546" s="17" t="n"/>
      <c r="E2546" s="17" t="n"/>
      <c r="F2546" s="17" t="n"/>
      <c r="G2546" s="17" t="n"/>
      <c r="H2546" s="18">
        <f>IF(AND(B2546="",C2546="",D2546="",E2546=""),"",IF(B2546="","⚠ Falta fecha",IF(C2546="","⚠ Falta monto",IF(D2546="","⚠ Falta categoría",IF(ISNA(MATCH(D2546,catNom,0)),"⚠ Categoría no existe",IF(E2546="","⚠ Falta cuenta",IF(ISNA(MATCH(E2546,ctaNom,0)),"⚠ Cuenta no existe",IF(AND(OR(I2546="Transferencia",I2546="Pago tarjeta"),G2546=""),"⚠ Indica la cuenta «Hacia»",IF(AND(G2546&lt;&gt;"",G2546=E2546),"⚠ «Hacia» igual a la cuenta",IF(AND(G2546&lt;&gt;"",ISNA(MATCH(G2546,ctaNom,0))),"⚠ «Hacia» no existe",IF(AND(I2546="Pago tarjeta",IFERROR(INDEX(ctaTipo,MATCH(G2546,ctaNom,0)),"")&lt;&gt;"Tarjeta de crédito"),"⚠ «Hacia» debe ser la tarjeta",IF(AND(I2546="Trading",IFERROR(INDEX(ctaTipo,MATCH(E2546,ctaNom,0)),"")&lt;&gt;"Cuenta de trading"),"⚠ Usa la cuenta de trading","✓"))))))))))))</f>
        <v/>
      </c>
      <c r="I2546" s="19">
        <f>IF(OR(B2546="",C2546="",D2546=""),"",IFERROR(INDEX(catTipo,MATCH(D2546,catNom,0))&amp;"",""))</f>
        <v/>
      </c>
      <c r="J2546" s="19">
        <f>IF(I2546="","",IFERROR(INDEX(catGrupo,MATCH(D2546,catNom,0))&amp;"",""))</f>
        <v/>
      </c>
      <c r="K2546" s="19">
        <f>IF(I2546="Gasto",IF(IFERROR(INDEX(catClas,MATCH(D2546,catNom,0))&amp;"","")="","Variable",IFERROR(INDEX(catClas,MATCH(D2546,catNom,0))&amp;"","")),"")</f>
        <v/>
      </c>
      <c r="L2546" s="19">
        <f>IF(I2546="","",IFERROR(INDEX(catAlim,MATCH(D2546,catNom,0))&amp;"",""))</f>
        <v/>
      </c>
      <c r="M2546" s="19">
        <f>IF(I2546="","",IFERROR(INDEX(catComida,MATCH(D2546,catNom,0))&amp;"",""))</f>
        <v/>
      </c>
      <c r="N2546" s="19">
        <f>IF(I2546="","",IFERROR(INDEX(ctaMon,MATCH(E2546,ctaNom,0))&amp;"","DOP"))</f>
        <v/>
      </c>
      <c r="O2546" s="20">
        <f>IF(I2546="","",C2546*IF(N2546="USD",TasaUSD,1))</f>
        <v/>
      </c>
      <c r="P2546" s="20">
        <f>IF(I2546="","",IF(I2546="Gasto",O2546,0))</f>
        <v/>
      </c>
      <c r="Q2546" s="20">
        <f>IF(I2546="","",IF(I2546="Ingreso",O2546,0))</f>
        <v/>
      </c>
      <c r="R2546" s="20">
        <f>IF(I2546="","",IF(I2546="Trading",O2546,0))</f>
        <v/>
      </c>
      <c r="S2546" s="19">
        <f>IF(I2546="","",IF(AND(I2546="Gasto",K2546="Variable",J2546&lt;&gt;"Trading",O2546&gt;0,O2546&lt;=Umbral),1,0))</f>
        <v/>
      </c>
      <c r="T2546" s="20">
        <f>IF(OR(I2546="",E2546=""),"",IF(OR(I2546="Gasto",I2546="Transferencia",I2546="Pago tarjeta"),-1,1)*C2546)</f>
        <v/>
      </c>
      <c r="U2546" s="20">
        <f>IF(OR(G2546="",AND(I2546&lt;&gt;"Transferencia",I2546&lt;&gt;"Pago tarjeta")),"",IF(IFERROR(INDEX(ctaMon,MATCH(G2546,ctaNom,0))&amp;"","DOP")=N2546,C2546,IF(N2546="USD",C2546*TasaUSD,C2546/TasaUSD)))</f>
        <v/>
      </c>
      <c r="V2546" s="20">
        <f>IF(I2546="","",IF(IFERROR(INDEX(ctaLiq,MATCH(E2546,ctaNom,0))="Sí",FALSE),IF(OR(I2546="Gasto",I2546="Transferencia",I2546="Pago tarjeta"),-1,1)*O2546,0)+IF(AND(U2546&lt;&gt;"",IFERROR(INDEX(ctaLiq,MATCH(G2546,ctaNom,0))="Sí",FALSE)),O2546,0))</f>
        <v/>
      </c>
      <c r="W2546" s="19">
        <f>IF(OR(F2546="",I2546=""),"",IF(COUNTIFS(F$6:F2546,F2546,I$6:I2546,"?*")=1,MAX(W$5:W2545)+1,""))</f>
        <v/>
      </c>
    </row>
    <row r="2547">
      <c r="B2547" s="15" t="n"/>
      <c r="C2547" s="16" t="n"/>
      <c r="D2547" s="17" t="n"/>
      <c r="E2547" s="17" t="n"/>
      <c r="F2547" s="17" t="n"/>
      <c r="G2547" s="17" t="n"/>
      <c r="H2547" s="18">
        <f>IF(AND(B2547="",C2547="",D2547="",E2547=""),"",IF(B2547="","⚠ Falta fecha",IF(C2547="","⚠ Falta monto",IF(D2547="","⚠ Falta categoría",IF(ISNA(MATCH(D2547,catNom,0)),"⚠ Categoría no existe",IF(E2547="","⚠ Falta cuenta",IF(ISNA(MATCH(E2547,ctaNom,0)),"⚠ Cuenta no existe",IF(AND(OR(I2547="Transferencia",I2547="Pago tarjeta"),G2547=""),"⚠ Indica la cuenta «Hacia»",IF(AND(G2547&lt;&gt;"",G2547=E2547),"⚠ «Hacia» igual a la cuenta",IF(AND(G2547&lt;&gt;"",ISNA(MATCH(G2547,ctaNom,0))),"⚠ «Hacia» no existe",IF(AND(I2547="Pago tarjeta",IFERROR(INDEX(ctaTipo,MATCH(G2547,ctaNom,0)),"")&lt;&gt;"Tarjeta de crédito"),"⚠ «Hacia» debe ser la tarjeta",IF(AND(I2547="Trading",IFERROR(INDEX(ctaTipo,MATCH(E2547,ctaNom,0)),"")&lt;&gt;"Cuenta de trading"),"⚠ Usa la cuenta de trading","✓"))))))))))))</f>
        <v/>
      </c>
      <c r="I2547" s="19">
        <f>IF(OR(B2547="",C2547="",D2547=""),"",IFERROR(INDEX(catTipo,MATCH(D2547,catNom,0))&amp;"",""))</f>
        <v/>
      </c>
      <c r="J2547" s="19">
        <f>IF(I2547="","",IFERROR(INDEX(catGrupo,MATCH(D2547,catNom,0))&amp;"",""))</f>
        <v/>
      </c>
      <c r="K2547" s="19">
        <f>IF(I2547="Gasto",IF(IFERROR(INDEX(catClas,MATCH(D2547,catNom,0))&amp;"","")="","Variable",IFERROR(INDEX(catClas,MATCH(D2547,catNom,0))&amp;"","")),"")</f>
        <v/>
      </c>
      <c r="L2547" s="19">
        <f>IF(I2547="","",IFERROR(INDEX(catAlim,MATCH(D2547,catNom,0))&amp;"",""))</f>
        <v/>
      </c>
      <c r="M2547" s="19">
        <f>IF(I2547="","",IFERROR(INDEX(catComida,MATCH(D2547,catNom,0))&amp;"",""))</f>
        <v/>
      </c>
      <c r="N2547" s="19">
        <f>IF(I2547="","",IFERROR(INDEX(ctaMon,MATCH(E2547,ctaNom,0))&amp;"","DOP"))</f>
        <v/>
      </c>
      <c r="O2547" s="20">
        <f>IF(I2547="","",C2547*IF(N2547="USD",TasaUSD,1))</f>
        <v/>
      </c>
      <c r="P2547" s="20">
        <f>IF(I2547="","",IF(I2547="Gasto",O2547,0))</f>
        <v/>
      </c>
      <c r="Q2547" s="20">
        <f>IF(I2547="","",IF(I2547="Ingreso",O2547,0))</f>
        <v/>
      </c>
      <c r="R2547" s="20">
        <f>IF(I2547="","",IF(I2547="Trading",O2547,0))</f>
        <v/>
      </c>
      <c r="S2547" s="19">
        <f>IF(I2547="","",IF(AND(I2547="Gasto",K2547="Variable",J2547&lt;&gt;"Trading",O2547&gt;0,O2547&lt;=Umbral),1,0))</f>
        <v/>
      </c>
      <c r="T2547" s="20">
        <f>IF(OR(I2547="",E2547=""),"",IF(OR(I2547="Gasto",I2547="Transferencia",I2547="Pago tarjeta"),-1,1)*C2547)</f>
        <v/>
      </c>
      <c r="U2547" s="20">
        <f>IF(OR(G2547="",AND(I2547&lt;&gt;"Transferencia",I2547&lt;&gt;"Pago tarjeta")),"",IF(IFERROR(INDEX(ctaMon,MATCH(G2547,ctaNom,0))&amp;"","DOP")=N2547,C2547,IF(N2547="USD",C2547*TasaUSD,C2547/TasaUSD)))</f>
        <v/>
      </c>
      <c r="V2547" s="20">
        <f>IF(I2547="","",IF(IFERROR(INDEX(ctaLiq,MATCH(E2547,ctaNom,0))="Sí",FALSE),IF(OR(I2547="Gasto",I2547="Transferencia",I2547="Pago tarjeta"),-1,1)*O2547,0)+IF(AND(U2547&lt;&gt;"",IFERROR(INDEX(ctaLiq,MATCH(G2547,ctaNom,0))="Sí",FALSE)),O2547,0))</f>
        <v/>
      </c>
      <c r="W2547" s="19">
        <f>IF(OR(F2547="",I2547=""),"",IF(COUNTIFS(F$6:F2547,F2547,I$6:I2547,"?*")=1,MAX(W$5:W2546)+1,""))</f>
        <v/>
      </c>
    </row>
    <row r="2548">
      <c r="B2548" s="15" t="n"/>
      <c r="C2548" s="16" t="n"/>
      <c r="D2548" s="17" t="n"/>
      <c r="E2548" s="17" t="n"/>
      <c r="F2548" s="17" t="n"/>
      <c r="G2548" s="17" t="n"/>
      <c r="H2548" s="18">
        <f>IF(AND(B2548="",C2548="",D2548="",E2548=""),"",IF(B2548="","⚠ Falta fecha",IF(C2548="","⚠ Falta monto",IF(D2548="","⚠ Falta categoría",IF(ISNA(MATCH(D2548,catNom,0)),"⚠ Categoría no existe",IF(E2548="","⚠ Falta cuenta",IF(ISNA(MATCH(E2548,ctaNom,0)),"⚠ Cuenta no existe",IF(AND(OR(I2548="Transferencia",I2548="Pago tarjeta"),G2548=""),"⚠ Indica la cuenta «Hacia»",IF(AND(G2548&lt;&gt;"",G2548=E2548),"⚠ «Hacia» igual a la cuenta",IF(AND(G2548&lt;&gt;"",ISNA(MATCH(G2548,ctaNom,0))),"⚠ «Hacia» no existe",IF(AND(I2548="Pago tarjeta",IFERROR(INDEX(ctaTipo,MATCH(G2548,ctaNom,0)),"")&lt;&gt;"Tarjeta de crédito"),"⚠ «Hacia» debe ser la tarjeta",IF(AND(I2548="Trading",IFERROR(INDEX(ctaTipo,MATCH(E2548,ctaNom,0)),"")&lt;&gt;"Cuenta de trading"),"⚠ Usa la cuenta de trading","✓"))))))))))))</f>
        <v/>
      </c>
      <c r="I2548" s="19">
        <f>IF(OR(B2548="",C2548="",D2548=""),"",IFERROR(INDEX(catTipo,MATCH(D2548,catNom,0))&amp;"",""))</f>
        <v/>
      </c>
      <c r="J2548" s="19">
        <f>IF(I2548="","",IFERROR(INDEX(catGrupo,MATCH(D2548,catNom,0))&amp;"",""))</f>
        <v/>
      </c>
      <c r="K2548" s="19">
        <f>IF(I2548="Gasto",IF(IFERROR(INDEX(catClas,MATCH(D2548,catNom,0))&amp;"","")="","Variable",IFERROR(INDEX(catClas,MATCH(D2548,catNom,0))&amp;"","")),"")</f>
        <v/>
      </c>
      <c r="L2548" s="19">
        <f>IF(I2548="","",IFERROR(INDEX(catAlim,MATCH(D2548,catNom,0))&amp;"",""))</f>
        <v/>
      </c>
      <c r="M2548" s="19">
        <f>IF(I2548="","",IFERROR(INDEX(catComida,MATCH(D2548,catNom,0))&amp;"",""))</f>
        <v/>
      </c>
      <c r="N2548" s="19">
        <f>IF(I2548="","",IFERROR(INDEX(ctaMon,MATCH(E2548,ctaNom,0))&amp;"","DOP"))</f>
        <v/>
      </c>
      <c r="O2548" s="20">
        <f>IF(I2548="","",C2548*IF(N2548="USD",TasaUSD,1))</f>
        <v/>
      </c>
      <c r="P2548" s="20">
        <f>IF(I2548="","",IF(I2548="Gasto",O2548,0))</f>
        <v/>
      </c>
      <c r="Q2548" s="20">
        <f>IF(I2548="","",IF(I2548="Ingreso",O2548,0))</f>
        <v/>
      </c>
      <c r="R2548" s="20">
        <f>IF(I2548="","",IF(I2548="Trading",O2548,0))</f>
        <v/>
      </c>
      <c r="S2548" s="19">
        <f>IF(I2548="","",IF(AND(I2548="Gasto",K2548="Variable",J2548&lt;&gt;"Trading",O2548&gt;0,O2548&lt;=Umbral),1,0))</f>
        <v/>
      </c>
      <c r="T2548" s="20">
        <f>IF(OR(I2548="",E2548=""),"",IF(OR(I2548="Gasto",I2548="Transferencia",I2548="Pago tarjeta"),-1,1)*C2548)</f>
        <v/>
      </c>
      <c r="U2548" s="20">
        <f>IF(OR(G2548="",AND(I2548&lt;&gt;"Transferencia",I2548&lt;&gt;"Pago tarjeta")),"",IF(IFERROR(INDEX(ctaMon,MATCH(G2548,ctaNom,0))&amp;"","DOP")=N2548,C2548,IF(N2548="USD",C2548*TasaUSD,C2548/TasaUSD)))</f>
        <v/>
      </c>
      <c r="V2548" s="20">
        <f>IF(I2548="","",IF(IFERROR(INDEX(ctaLiq,MATCH(E2548,ctaNom,0))="Sí",FALSE),IF(OR(I2548="Gasto",I2548="Transferencia",I2548="Pago tarjeta"),-1,1)*O2548,0)+IF(AND(U2548&lt;&gt;"",IFERROR(INDEX(ctaLiq,MATCH(G2548,ctaNom,0))="Sí",FALSE)),O2548,0))</f>
        <v/>
      </c>
      <c r="W2548" s="19">
        <f>IF(OR(F2548="",I2548=""),"",IF(COUNTIFS(F$6:F2548,F2548,I$6:I2548,"?*")=1,MAX(W$5:W2547)+1,""))</f>
        <v/>
      </c>
    </row>
    <row r="2549">
      <c r="B2549" s="15" t="n"/>
      <c r="C2549" s="16" t="n"/>
      <c r="D2549" s="17" t="n"/>
      <c r="E2549" s="17" t="n"/>
      <c r="F2549" s="17" t="n"/>
      <c r="G2549" s="17" t="n"/>
      <c r="H2549" s="18">
        <f>IF(AND(B2549="",C2549="",D2549="",E2549=""),"",IF(B2549="","⚠ Falta fecha",IF(C2549="","⚠ Falta monto",IF(D2549="","⚠ Falta categoría",IF(ISNA(MATCH(D2549,catNom,0)),"⚠ Categoría no existe",IF(E2549="","⚠ Falta cuenta",IF(ISNA(MATCH(E2549,ctaNom,0)),"⚠ Cuenta no existe",IF(AND(OR(I2549="Transferencia",I2549="Pago tarjeta"),G2549=""),"⚠ Indica la cuenta «Hacia»",IF(AND(G2549&lt;&gt;"",G2549=E2549),"⚠ «Hacia» igual a la cuenta",IF(AND(G2549&lt;&gt;"",ISNA(MATCH(G2549,ctaNom,0))),"⚠ «Hacia» no existe",IF(AND(I2549="Pago tarjeta",IFERROR(INDEX(ctaTipo,MATCH(G2549,ctaNom,0)),"")&lt;&gt;"Tarjeta de crédito"),"⚠ «Hacia» debe ser la tarjeta",IF(AND(I2549="Trading",IFERROR(INDEX(ctaTipo,MATCH(E2549,ctaNom,0)),"")&lt;&gt;"Cuenta de trading"),"⚠ Usa la cuenta de trading","✓"))))))))))))</f>
        <v/>
      </c>
      <c r="I2549" s="19">
        <f>IF(OR(B2549="",C2549="",D2549=""),"",IFERROR(INDEX(catTipo,MATCH(D2549,catNom,0))&amp;"",""))</f>
        <v/>
      </c>
      <c r="J2549" s="19">
        <f>IF(I2549="","",IFERROR(INDEX(catGrupo,MATCH(D2549,catNom,0))&amp;"",""))</f>
        <v/>
      </c>
      <c r="K2549" s="19">
        <f>IF(I2549="Gasto",IF(IFERROR(INDEX(catClas,MATCH(D2549,catNom,0))&amp;"","")="","Variable",IFERROR(INDEX(catClas,MATCH(D2549,catNom,0))&amp;"","")),"")</f>
        <v/>
      </c>
      <c r="L2549" s="19">
        <f>IF(I2549="","",IFERROR(INDEX(catAlim,MATCH(D2549,catNom,0))&amp;"",""))</f>
        <v/>
      </c>
      <c r="M2549" s="19">
        <f>IF(I2549="","",IFERROR(INDEX(catComida,MATCH(D2549,catNom,0))&amp;"",""))</f>
        <v/>
      </c>
      <c r="N2549" s="19">
        <f>IF(I2549="","",IFERROR(INDEX(ctaMon,MATCH(E2549,ctaNom,0))&amp;"","DOP"))</f>
        <v/>
      </c>
      <c r="O2549" s="20">
        <f>IF(I2549="","",C2549*IF(N2549="USD",TasaUSD,1))</f>
        <v/>
      </c>
      <c r="P2549" s="20">
        <f>IF(I2549="","",IF(I2549="Gasto",O2549,0))</f>
        <v/>
      </c>
      <c r="Q2549" s="20">
        <f>IF(I2549="","",IF(I2549="Ingreso",O2549,0))</f>
        <v/>
      </c>
      <c r="R2549" s="20">
        <f>IF(I2549="","",IF(I2549="Trading",O2549,0))</f>
        <v/>
      </c>
      <c r="S2549" s="19">
        <f>IF(I2549="","",IF(AND(I2549="Gasto",K2549="Variable",J2549&lt;&gt;"Trading",O2549&gt;0,O2549&lt;=Umbral),1,0))</f>
        <v/>
      </c>
      <c r="T2549" s="20">
        <f>IF(OR(I2549="",E2549=""),"",IF(OR(I2549="Gasto",I2549="Transferencia",I2549="Pago tarjeta"),-1,1)*C2549)</f>
        <v/>
      </c>
      <c r="U2549" s="20">
        <f>IF(OR(G2549="",AND(I2549&lt;&gt;"Transferencia",I2549&lt;&gt;"Pago tarjeta")),"",IF(IFERROR(INDEX(ctaMon,MATCH(G2549,ctaNom,0))&amp;"","DOP")=N2549,C2549,IF(N2549="USD",C2549*TasaUSD,C2549/TasaUSD)))</f>
        <v/>
      </c>
      <c r="V2549" s="20">
        <f>IF(I2549="","",IF(IFERROR(INDEX(ctaLiq,MATCH(E2549,ctaNom,0))="Sí",FALSE),IF(OR(I2549="Gasto",I2549="Transferencia",I2549="Pago tarjeta"),-1,1)*O2549,0)+IF(AND(U2549&lt;&gt;"",IFERROR(INDEX(ctaLiq,MATCH(G2549,ctaNom,0))="Sí",FALSE)),O2549,0))</f>
        <v/>
      </c>
      <c r="W2549" s="19">
        <f>IF(OR(F2549="",I2549=""),"",IF(COUNTIFS(F$6:F2549,F2549,I$6:I2549,"?*")=1,MAX(W$5:W2548)+1,""))</f>
        <v/>
      </c>
    </row>
    <row r="2550">
      <c r="B2550" s="15" t="n"/>
      <c r="C2550" s="16" t="n"/>
      <c r="D2550" s="17" t="n"/>
      <c r="E2550" s="17" t="n"/>
      <c r="F2550" s="17" t="n"/>
      <c r="G2550" s="17" t="n"/>
      <c r="H2550" s="18">
        <f>IF(AND(B2550="",C2550="",D2550="",E2550=""),"",IF(B2550="","⚠ Falta fecha",IF(C2550="","⚠ Falta monto",IF(D2550="","⚠ Falta categoría",IF(ISNA(MATCH(D2550,catNom,0)),"⚠ Categoría no existe",IF(E2550="","⚠ Falta cuenta",IF(ISNA(MATCH(E2550,ctaNom,0)),"⚠ Cuenta no existe",IF(AND(OR(I2550="Transferencia",I2550="Pago tarjeta"),G2550=""),"⚠ Indica la cuenta «Hacia»",IF(AND(G2550&lt;&gt;"",G2550=E2550),"⚠ «Hacia» igual a la cuenta",IF(AND(G2550&lt;&gt;"",ISNA(MATCH(G2550,ctaNom,0))),"⚠ «Hacia» no existe",IF(AND(I2550="Pago tarjeta",IFERROR(INDEX(ctaTipo,MATCH(G2550,ctaNom,0)),"")&lt;&gt;"Tarjeta de crédito"),"⚠ «Hacia» debe ser la tarjeta",IF(AND(I2550="Trading",IFERROR(INDEX(ctaTipo,MATCH(E2550,ctaNom,0)),"")&lt;&gt;"Cuenta de trading"),"⚠ Usa la cuenta de trading","✓"))))))))))))</f>
        <v/>
      </c>
      <c r="I2550" s="19">
        <f>IF(OR(B2550="",C2550="",D2550=""),"",IFERROR(INDEX(catTipo,MATCH(D2550,catNom,0))&amp;"",""))</f>
        <v/>
      </c>
      <c r="J2550" s="19">
        <f>IF(I2550="","",IFERROR(INDEX(catGrupo,MATCH(D2550,catNom,0))&amp;"",""))</f>
        <v/>
      </c>
      <c r="K2550" s="19">
        <f>IF(I2550="Gasto",IF(IFERROR(INDEX(catClas,MATCH(D2550,catNom,0))&amp;"","")="","Variable",IFERROR(INDEX(catClas,MATCH(D2550,catNom,0))&amp;"","")),"")</f>
        <v/>
      </c>
      <c r="L2550" s="19">
        <f>IF(I2550="","",IFERROR(INDEX(catAlim,MATCH(D2550,catNom,0))&amp;"",""))</f>
        <v/>
      </c>
      <c r="M2550" s="19">
        <f>IF(I2550="","",IFERROR(INDEX(catComida,MATCH(D2550,catNom,0))&amp;"",""))</f>
        <v/>
      </c>
      <c r="N2550" s="19">
        <f>IF(I2550="","",IFERROR(INDEX(ctaMon,MATCH(E2550,ctaNom,0))&amp;"","DOP"))</f>
        <v/>
      </c>
      <c r="O2550" s="20">
        <f>IF(I2550="","",C2550*IF(N2550="USD",TasaUSD,1))</f>
        <v/>
      </c>
      <c r="P2550" s="20">
        <f>IF(I2550="","",IF(I2550="Gasto",O2550,0))</f>
        <v/>
      </c>
      <c r="Q2550" s="20">
        <f>IF(I2550="","",IF(I2550="Ingreso",O2550,0))</f>
        <v/>
      </c>
      <c r="R2550" s="20">
        <f>IF(I2550="","",IF(I2550="Trading",O2550,0))</f>
        <v/>
      </c>
      <c r="S2550" s="19">
        <f>IF(I2550="","",IF(AND(I2550="Gasto",K2550="Variable",J2550&lt;&gt;"Trading",O2550&gt;0,O2550&lt;=Umbral),1,0))</f>
        <v/>
      </c>
      <c r="T2550" s="20">
        <f>IF(OR(I2550="",E2550=""),"",IF(OR(I2550="Gasto",I2550="Transferencia",I2550="Pago tarjeta"),-1,1)*C2550)</f>
        <v/>
      </c>
      <c r="U2550" s="20">
        <f>IF(OR(G2550="",AND(I2550&lt;&gt;"Transferencia",I2550&lt;&gt;"Pago tarjeta")),"",IF(IFERROR(INDEX(ctaMon,MATCH(G2550,ctaNom,0))&amp;"","DOP")=N2550,C2550,IF(N2550="USD",C2550*TasaUSD,C2550/TasaUSD)))</f>
        <v/>
      </c>
      <c r="V2550" s="20">
        <f>IF(I2550="","",IF(IFERROR(INDEX(ctaLiq,MATCH(E2550,ctaNom,0))="Sí",FALSE),IF(OR(I2550="Gasto",I2550="Transferencia",I2550="Pago tarjeta"),-1,1)*O2550,0)+IF(AND(U2550&lt;&gt;"",IFERROR(INDEX(ctaLiq,MATCH(G2550,ctaNom,0))="Sí",FALSE)),O2550,0))</f>
        <v/>
      </c>
      <c r="W2550" s="19">
        <f>IF(OR(F2550="",I2550=""),"",IF(COUNTIFS(F$6:F2550,F2550,I$6:I2550,"?*")=1,MAX(W$5:W2549)+1,""))</f>
        <v/>
      </c>
    </row>
    <row r="2551">
      <c r="B2551" s="15" t="n"/>
      <c r="C2551" s="16" t="n"/>
      <c r="D2551" s="17" t="n"/>
      <c r="E2551" s="17" t="n"/>
      <c r="F2551" s="17" t="n"/>
      <c r="G2551" s="17" t="n"/>
      <c r="H2551" s="18">
        <f>IF(AND(B2551="",C2551="",D2551="",E2551=""),"",IF(B2551="","⚠ Falta fecha",IF(C2551="","⚠ Falta monto",IF(D2551="","⚠ Falta categoría",IF(ISNA(MATCH(D2551,catNom,0)),"⚠ Categoría no existe",IF(E2551="","⚠ Falta cuenta",IF(ISNA(MATCH(E2551,ctaNom,0)),"⚠ Cuenta no existe",IF(AND(OR(I2551="Transferencia",I2551="Pago tarjeta"),G2551=""),"⚠ Indica la cuenta «Hacia»",IF(AND(G2551&lt;&gt;"",G2551=E2551),"⚠ «Hacia» igual a la cuenta",IF(AND(G2551&lt;&gt;"",ISNA(MATCH(G2551,ctaNom,0))),"⚠ «Hacia» no existe",IF(AND(I2551="Pago tarjeta",IFERROR(INDEX(ctaTipo,MATCH(G2551,ctaNom,0)),"")&lt;&gt;"Tarjeta de crédito"),"⚠ «Hacia» debe ser la tarjeta",IF(AND(I2551="Trading",IFERROR(INDEX(ctaTipo,MATCH(E2551,ctaNom,0)),"")&lt;&gt;"Cuenta de trading"),"⚠ Usa la cuenta de trading","✓"))))))))))))</f>
        <v/>
      </c>
      <c r="I2551" s="19">
        <f>IF(OR(B2551="",C2551="",D2551=""),"",IFERROR(INDEX(catTipo,MATCH(D2551,catNom,0))&amp;"",""))</f>
        <v/>
      </c>
      <c r="J2551" s="19">
        <f>IF(I2551="","",IFERROR(INDEX(catGrupo,MATCH(D2551,catNom,0))&amp;"",""))</f>
        <v/>
      </c>
      <c r="K2551" s="19">
        <f>IF(I2551="Gasto",IF(IFERROR(INDEX(catClas,MATCH(D2551,catNom,0))&amp;"","")="","Variable",IFERROR(INDEX(catClas,MATCH(D2551,catNom,0))&amp;"","")),"")</f>
        <v/>
      </c>
      <c r="L2551" s="19">
        <f>IF(I2551="","",IFERROR(INDEX(catAlim,MATCH(D2551,catNom,0))&amp;"",""))</f>
        <v/>
      </c>
      <c r="M2551" s="19">
        <f>IF(I2551="","",IFERROR(INDEX(catComida,MATCH(D2551,catNom,0))&amp;"",""))</f>
        <v/>
      </c>
      <c r="N2551" s="19">
        <f>IF(I2551="","",IFERROR(INDEX(ctaMon,MATCH(E2551,ctaNom,0))&amp;"","DOP"))</f>
        <v/>
      </c>
      <c r="O2551" s="20">
        <f>IF(I2551="","",C2551*IF(N2551="USD",TasaUSD,1))</f>
        <v/>
      </c>
      <c r="P2551" s="20">
        <f>IF(I2551="","",IF(I2551="Gasto",O2551,0))</f>
        <v/>
      </c>
      <c r="Q2551" s="20">
        <f>IF(I2551="","",IF(I2551="Ingreso",O2551,0))</f>
        <v/>
      </c>
      <c r="R2551" s="20">
        <f>IF(I2551="","",IF(I2551="Trading",O2551,0))</f>
        <v/>
      </c>
      <c r="S2551" s="19">
        <f>IF(I2551="","",IF(AND(I2551="Gasto",K2551="Variable",J2551&lt;&gt;"Trading",O2551&gt;0,O2551&lt;=Umbral),1,0))</f>
        <v/>
      </c>
      <c r="T2551" s="20">
        <f>IF(OR(I2551="",E2551=""),"",IF(OR(I2551="Gasto",I2551="Transferencia",I2551="Pago tarjeta"),-1,1)*C2551)</f>
        <v/>
      </c>
      <c r="U2551" s="20">
        <f>IF(OR(G2551="",AND(I2551&lt;&gt;"Transferencia",I2551&lt;&gt;"Pago tarjeta")),"",IF(IFERROR(INDEX(ctaMon,MATCH(G2551,ctaNom,0))&amp;"","DOP")=N2551,C2551,IF(N2551="USD",C2551*TasaUSD,C2551/TasaUSD)))</f>
        <v/>
      </c>
      <c r="V2551" s="20">
        <f>IF(I2551="","",IF(IFERROR(INDEX(ctaLiq,MATCH(E2551,ctaNom,0))="Sí",FALSE),IF(OR(I2551="Gasto",I2551="Transferencia",I2551="Pago tarjeta"),-1,1)*O2551,0)+IF(AND(U2551&lt;&gt;"",IFERROR(INDEX(ctaLiq,MATCH(G2551,ctaNom,0))="Sí",FALSE)),O2551,0))</f>
        <v/>
      </c>
      <c r="W2551" s="19">
        <f>IF(OR(F2551="",I2551=""),"",IF(COUNTIFS(F$6:F2551,F2551,I$6:I2551,"?*")=1,MAX(W$5:W2550)+1,""))</f>
        <v/>
      </c>
    </row>
    <row r="2552">
      <c r="B2552" s="15" t="n"/>
      <c r="C2552" s="16" t="n"/>
      <c r="D2552" s="17" t="n"/>
      <c r="E2552" s="17" t="n"/>
      <c r="F2552" s="17" t="n"/>
      <c r="G2552" s="17" t="n"/>
      <c r="H2552" s="18">
        <f>IF(AND(B2552="",C2552="",D2552="",E2552=""),"",IF(B2552="","⚠ Falta fecha",IF(C2552="","⚠ Falta monto",IF(D2552="","⚠ Falta categoría",IF(ISNA(MATCH(D2552,catNom,0)),"⚠ Categoría no existe",IF(E2552="","⚠ Falta cuenta",IF(ISNA(MATCH(E2552,ctaNom,0)),"⚠ Cuenta no existe",IF(AND(OR(I2552="Transferencia",I2552="Pago tarjeta"),G2552=""),"⚠ Indica la cuenta «Hacia»",IF(AND(G2552&lt;&gt;"",G2552=E2552),"⚠ «Hacia» igual a la cuenta",IF(AND(G2552&lt;&gt;"",ISNA(MATCH(G2552,ctaNom,0))),"⚠ «Hacia» no existe",IF(AND(I2552="Pago tarjeta",IFERROR(INDEX(ctaTipo,MATCH(G2552,ctaNom,0)),"")&lt;&gt;"Tarjeta de crédito"),"⚠ «Hacia» debe ser la tarjeta",IF(AND(I2552="Trading",IFERROR(INDEX(ctaTipo,MATCH(E2552,ctaNom,0)),"")&lt;&gt;"Cuenta de trading"),"⚠ Usa la cuenta de trading","✓"))))))))))))</f>
        <v/>
      </c>
      <c r="I2552" s="19">
        <f>IF(OR(B2552="",C2552="",D2552=""),"",IFERROR(INDEX(catTipo,MATCH(D2552,catNom,0))&amp;"",""))</f>
        <v/>
      </c>
      <c r="J2552" s="19">
        <f>IF(I2552="","",IFERROR(INDEX(catGrupo,MATCH(D2552,catNom,0))&amp;"",""))</f>
        <v/>
      </c>
      <c r="K2552" s="19">
        <f>IF(I2552="Gasto",IF(IFERROR(INDEX(catClas,MATCH(D2552,catNom,0))&amp;"","")="","Variable",IFERROR(INDEX(catClas,MATCH(D2552,catNom,0))&amp;"","")),"")</f>
        <v/>
      </c>
      <c r="L2552" s="19">
        <f>IF(I2552="","",IFERROR(INDEX(catAlim,MATCH(D2552,catNom,0))&amp;"",""))</f>
        <v/>
      </c>
      <c r="M2552" s="19">
        <f>IF(I2552="","",IFERROR(INDEX(catComida,MATCH(D2552,catNom,0))&amp;"",""))</f>
        <v/>
      </c>
      <c r="N2552" s="19">
        <f>IF(I2552="","",IFERROR(INDEX(ctaMon,MATCH(E2552,ctaNom,0))&amp;"","DOP"))</f>
        <v/>
      </c>
      <c r="O2552" s="20">
        <f>IF(I2552="","",C2552*IF(N2552="USD",TasaUSD,1))</f>
        <v/>
      </c>
      <c r="P2552" s="20">
        <f>IF(I2552="","",IF(I2552="Gasto",O2552,0))</f>
        <v/>
      </c>
      <c r="Q2552" s="20">
        <f>IF(I2552="","",IF(I2552="Ingreso",O2552,0))</f>
        <v/>
      </c>
      <c r="R2552" s="20">
        <f>IF(I2552="","",IF(I2552="Trading",O2552,0))</f>
        <v/>
      </c>
      <c r="S2552" s="19">
        <f>IF(I2552="","",IF(AND(I2552="Gasto",K2552="Variable",J2552&lt;&gt;"Trading",O2552&gt;0,O2552&lt;=Umbral),1,0))</f>
        <v/>
      </c>
      <c r="T2552" s="20">
        <f>IF(OR(I2552="",E2552=""),"",IF(OR(I2552="Gasto",I2552="Transferencia",I2552="Pago tarjeta"),-1,1)*C2552)</f>
        <v/>
      </c>
      <c r="U2552" s="20">
        <f>IF(OR(G2552="",AND(I2552&lt;&gt;"Transferencia",I2552&lt;&gt;"Pago tarjeta")),"",IF(IFERROR(INDEX(ctaMon,MATCH(G2552,ctaNom,0))&amp;"","DOP")=N2552,C2552,IF(N2552="USD",C2552*TasaUSD,C2552/TasaUSD)))</f>
        <v/>
      </c>
      <c r="V2552" s="20">
        <f>IF(I2552="","",IF(IFERROR(INDEX(ctaLiq,MATCH(E2552,ctaNom,0))="Sí",FALSE),IF(OR(I2552="Gasto",I2552="Transferencia",I2552="Pago tarjeta"),-1,1)*O2552,0)+IF(AND(U2552&lt;&gt;"",IFERROR(INDEX(ctaLiq,MATCH(G2552,ctaNom,0))="Sí",FALSE)),O2552,0))</f>
        <v/>
      </c>
      <c r="W2552" s="19">
        <f>IF(OR(F2552="",I2552=""),"",IF(COUNTIFS(F$6:F2552,F2552,I$6:I2552,"?*")=1,MAX(W$5:W2551)+1,""))</f>
        <v/>
      </c>
    </row>
    <row r="2553">
      <c r="B2553" s="15" t="n"/>
      <c r="C2553" s="16" t="n"/>
      <c r="D2553" s="17" t="n"/>
      <c r="E2553" s="17" t="n"/>
      <c r="F2553" s="17" t="n"/>
      <c r="G2553" s="17" t="n"/>
      <c r="H2553" s="18">
        <f>IF(AND(B2553="",C2553="",D2553="",E2553=""),"",IF(B2553="","⚠ Falta fecha",IF(C2553="","⚠ Falta monto",IF(D2553="","⚠ Falta categoría",IF(ISNA(MATCH(D2553,catNom,0)),"⚠ Categoría no existe",IF(E2553="","⚠ Falta cuenta",IF(ISNA(MATCH(E2553,ctaNom,0)),"⚠ Cuenta no existe",IF(AND(OR(I2553="Transferencia",I2553="Pago tarjeta"),G2553=""),"⚠ Indica la cuenta «Hacia»",IF(AND(G2553&lt;&gt;"",G2553=E2553),"⚠ «Hacia» igual a la cuenta",IF(AND(G2553&lt;&gt;"",ISNA(MATCH(G2553,ctaNom,0))),"⚠ «Hacia» no existe",IF(AND(I2553="Pago tarjeta",IFERROR(INDEX(ctaTipo,MATCH(G2553,ctaNom,0)),"")&lt;&gt;"Tarjeta de crédito"),"⚠ «Hacia» debe ser la tarjeta",IF(AND(I2553="Trading",IFERROR(INDEX(ctaTipo,MATCH(E2553,ctaNom,0)),"")&lt;&gt;"Cuenta de trading"),"⚠ Usa la cuenta de trading","✓"))))))))))))</f>
        <v/>
      </c>
      <c r="I2553" s="19">
        <f>IF(OR(B2553="",C2553="",D2553=""),"",IFERROR(INDEX(catTipo,MATCH(D2553,catNom,0))&amp;"",""))</f>
        <v/>
      </c>
      <c r="J2553" s="19">
        <f>IF(I2553="","",IFERROR(INDEX(catGrupo,MATCH(D2553,catNom,0))&amp;"",""))</f>
        <v/>
      </c>
      <c r="K2553" s="19">
        <f>IF(I2553="Gasto",IF(IFERROR(INDEX(catClas,MATCH(D2553,catNom,0))&amp;"","")="","Variable",IFERROR(INDEX(catClas,MATCH(D2553,catNom,0))&amp;"","")),"")</f>
        <v/>
      </c>
      <c r="L2553" s="19">
        <f>IF(I2553="","",IFERROR(INDEX(catAlim,MATCH(D2553,catNom,0))&amp;"",""))</f>
        <v/>
      </c>
      <c r="M2553" s="19">
        <f>IF(I2553="","",IFERROR(INDEX(catComida,MATCH(D2553,catNom,0))&amp;"",""))</f>
        <v/>
      </c>
      <c r="N2553" s="19">
        <f>IF(I2553="","",IFERROR(INDEX(ctaMon,MATCH(E2553,ctaNom,0))&amp;"","DOP"))</f>
        <v/>
      </c>
      <c r="O2553" s="20">
        <f>IF(I2553="","",C2553*IF(N2553="USD",TasaUSD,1))</f>
        <v/>
      </c>
      <c r="P2553" s="20">
        <f>IF(I2553="","",IF(I2553="Gasto",O2553,0))</f>
        <v/>
      </c>
      <c r="Q2553" s="20">
        <f>IF(I2553="","",IF(I2553="Ingreso",O2553,0))</f>
        <v/>
      </c>
      <c r="R2553" s="20">
        <f>IF(I2553="","",IF(I2553="Trading",O2553,0))</f>
        <v/>
      </c>
      <c r="S2553" s="19">
        <f>IF(I2553="","",IF(AND(I2553="Gasto",K2553="Variable",J2553&lt;&gt;"Trading",O2553&gt;0,O2553&lt;=Umbral),1,0))</f>
        <v/>
      </c>
      <c r="T2553" s="20">
        <f>IF(OR(I2553="",E2553=""),"",IF(OR(I2553="Gasto",I2553="Transferencia",I2553="Pago tarjeta"),-1,1)*C2553)</f>
        <v/>
      </c>
      <c r="U2553" s="20">
        <f>IF(OR(G2553="",AND(I2553&lt;&gt;"Transferencia",I2553&lt;&gt;"Pago tarjeta")),"",IF(IFERROR(INDEX(ctaMon,MATCH(G2553,ctaNom,0))&amp;"","DOP")=N2553,C2553,IF(N2553="USD",C2553*TasaUSD,C2553/TasaUSD)))</f>
        <v/>
      </c>
      <c r="V2553" s="20">
        <f>IF(I2553="","",IF(IFERROR(INDEX(ctaLiq,MATCH(E2553,ctaNom,0))="Sí",FALSE),IF(OR(I2553="Gasto",I2553="Transferencia",I2553="Pago tarjeta"),-1,1)*O2553,0)+IF(AND(U2553&lt;&gt;"",IFERROR(INDEX(ctaLiq,MATCH(G2553,ctaNom,0))="Sí",FALSE)),O2553,0))</f>
        <v/>
      </c>
      <c r="W2553" s="19">
        <f>IF(OR(F2553="",I2553=""),"",IF(COUNTIFS(F$6:F2553,F2553,I$6:I2553,"?*")=1,MAX(W$5:W2552)+1,""))</f>
        <v/>
      </c>
    </row>
    <row r="2554">
      <c r="B2554" s="15" t="n"/>
      <c r="C2554" s="16" t="n"/>
      <c r="D2554" s="17" t="n"/>
      <c r="E2554" s="17" t="n"/>
      <c r="F2554" s="17" t="n"/>
      <c r="G2554" s="17" t="n"/>
      <c r="H2554" s="18">
        <f>IF(AND(B2554="",C2554="",D2554="",E2554=""),"",IF(B2554="","⚠ Falta fecha",IF(C2554="","⚠ Falta monto",IF(D2554="","⚠ Falta categoría",IF(ISNA(MATCH(D2554,catNom,0)),"⚠ Categoría no existe",IF(E2554="","⚠ Falta cuenta",IF(ISNA(MATCH(E2554,ctaNom,0)),"⚠ Cuenta no existe",IF(AND(OR(I2554="Transferencia",I2554="Pago tarjeta"),G2554=""),"⚠ Indica la cuenta «Hacia»",IF(AND(G2554&lt;&gt;"",G2554=E2554),"⚠ «Hacia» igual a la cuenta",IF(AND(G2554&lt;&gt;"",ISNA(MATCH(G2554,ctaNom,0))),"⚠ «Hacia» no existe",IF(AND(I2554="Pago tarjeta",IFERROR(INDEX(ctaTipo,MATCH(G2554,ctaNom,0)),"")&lt;&gt;"Tarjeta de crédito"),"⚠ «Hacia» debe ser la tarjeta",IF(AND(I2554="Trading",IFERROR(INDEX(ctaTipo,MATCH(E2554,ctaNom,0)),"")&lt;&gt;"Cuenta de trading"),"⚠ Usa la cuenta de trading","✓"))))))))))))</f>
        <v/>
      </c>
      <c r="I2554" s="19">
        <f>IF(OR(B2554="",C2554="",D2554=""),"",IFERROR(INDEX(catTipo,MATCH(D2554,catNom,0))&amp;"",""))</f>
        <v/>
      </c>
      <c r="J2554" s="19">
        <f>IF(I2554="","",IFERROR(INDEX(catGrupo,MATCH(D2554,catNom,0))&amp;"",""))</f>
        <v/>
      </c>
      <c r="K2554" s="19">
        <f>IF(I2554="Gasto",IF(IFERROR(INDEX(catClas,MATCH(D2554,catNom,0))&amp;"","")="","Variable",IFERROR(INDEX(catClas,MATCH(D2554,catNom,0))&amp;"","")),"")</f>
        <v/>
      </c>
      <c r="L2554" s="19">
        <f>IF(I2554="","",IFERROR(INDEX(catAlim,MATCH(D2554,catNom,0))&amp;"",""))</f>
        <v/>
      </c>
      <c r="M2554" s="19">
        <f>IF(I2554="","",IFERROR(INDEX(catComida,MATCH(D2554,catNom,0))&amp;"",""))</f>
        <v/>
      </c>
      <c r="N2554" s="19">
        <f>IF(I2554="","",IFERROR(INDEX(ctaMon,MATCH(E2554,ctaNom,0))&amp;"","DOP"))</f>
        <v/>
      </c>
      <c r="O2554" s="20">
        <f>IF(I2554="","",C2554*IF(N2554="USD",TasaUSD,1))</f>
        <v/>
      </c>
      <c r="P2554" s="20">
        <f>IF(I2554="","",IF(I2554="Gasto",O2554,0))</f>
        <v/>
      </c>
      <c r="Q2554" s="20">
        <f>IF(I2554="","",IF(I2554="Ingreso",O2554,0))</f>
        <v/>
      </c>
      <c r="R2554" s="20">
        <f>IF(I2554="","",IF(I2554="Trading",O2554,0))</f>
        <v/>
      </c>
      <c r="S2554" s="19">
        <f>IF(I2554="","",IF(AND(I2554="Gasto",K2554="Variable",J2554&lt;&gt;"Trading",O2554&gt;0,O2554&lt;=Umbral),1,0))</f>
        <v/>
      </c>
      <c r="T2554" s="20">
        <f>IF(OR(I2554="",E2554=""),"",IF(OR(I2554="Gasto",I2554="Transferencia",I2554="Pago tarjeta"),-1,1)*C2554)</f>
        <v/>
      </c>
      <c r="U2554" s="20">
        <f>IF(OR(G2554="",AND(I2554&lt;&gt;"Transferencia",I2554&lt;&gt;"Pago tarjeta")),"",IF(IFERROR(INDEX(ctaMon,MATCH(G2554,ctaNom,0))&amp;"","DOP")=N2554,C2554,IF(N2554="USD",C2554*TasaUSD,C2554/TasaUSD)))</f>
        <v/>
      </c>
      <c r="V2554" s="20">
        <f>IF(I2554="","",IF(IFERROR(INDEX(ctaLiq,MATCH(E2554,ctaNom,0))="Sí",FALSE),IF(OR(I2554="Gasto",I2554="Transferencia",I2554="Pago tarjeta"),-1,1)*O2554,0)+IF(AND(U2554&lt;&gt;"",IFERROR(INDEX(ctaLiq,MATCH(G2554,ctaNom,0))="Sí",FALSE)),O2554,0))</f>
        <v/>
      </c>
      <c r="W2554" s="19">
        <f>IF(OR(F2554="",I2554=""),"",IF(COUNTIFS(F$6:F2554,F2554,I$6:I2554,"?*")=1,MAX(W$5:W2553)+1,""))</f>
        <v/>
      </c>
    </row>
    <row r="2555">
      <c r="B2555" s="15" t="n"/>
      <c r="C2555" s="16" t="n"/>
      <c r="D2555" s="17" t="n"/>
      <c r="E2555" s="17" t="n"/>
      <c r="F2555" s="17" t="n"/>
      <c r="G2555" s="17" t="n"/>
      <c r="H2555" s="18">
        <f>IF(AND(B2555="",C2555="",D2555="",E2555=""),"",IF(B2555="","⚠ Falta fecha",IF(C2555="","⚠ Falta monto",IF(D2555="","⚠ Falta categoría",IF(ISNA(MATCH(D2555,catNom,0)),"⚠ Categoría no existe",IF(E2555="","⚠ Falta cuenta",IF(ISNA(MATCH(E2555,ctaNom,0)),"⚠ Cuenta no existe",IF(AND(OR(I2555="Transferencia",I2555="Pago tarjeta"),G2555=""),"⚠ Indica la cuenta «Hacia»",IF(AND(G2555&lt;&gt;"",G2555=E2555),"⚠ «Hacia» igual a la cuenta",IF(AND(G2555&lt;&gt;"",ISNA(MATCH(G2555,ctaNom,0))),"⚠ «Hacia» no existe",IF(AND(I2555="Pago tarjeta",IFERROR(INDEX(ctaTipo,MATCH(G2555,ctaNom,0)),"")&lt;&gt;"Tarjeta de crédito"),"⚠ «Hacia» debe ser la tarjeta",IF(AND(I2555="Trading",IFERROR(INDEX(ctaTipo,MATCH(E2555,ctaNom,0)),"")&lt;&gt;"Cuenta de trading"),"⚠ Usa la cuenta de trading","✓"))))))))))))</f>
        <v/>
      </c>
      <c r="I2555" s="19">
        <f>IF(OR(B2555="",C2555="",D2555=""),"",IFERROR(INDEX(catTipo,MATCH(D2555,catNom,0))&amp;"",""))</f>
        <v/>
      </c>
      <c r="J2555" s="19">
        <f>IF(I2555="","",IFERROR(INDEX(catGrupo,MATCH(D2555,catNom,0))&amp;"",""))</f>
        <v/>
      </c>
      <c r="K2555" s="19">
        <f>IF(I2555="Gasto",IF(IFERROR(INDEX(catClas,MATCH(D2555,catNom,0))&amp;"","")="","Variable",IFERROR(INDEX(catClas,MATCH(D2555,catNom,0))&amp;"","")),"")</f>
        <v/>
      </c>
      <c r="L2555" s="19">
        <f>IF(I2555="","",IFERROR(INDEX(catAlim,MATCH(D2555,catNom,0))&amp;"",""))</f>
        <v/>
      </c>
      <c r="M2555" s="19">
        <f>IF(I2555="","",IFERROR(INDEX(catComida,MATCH(D2555,catNom,0))&amp;"",""))</f>
        <v/>
      </c>
      <c r="N2555" s="19">
        <f>IF(I2555="","",IFERROR(INDEX(ctaMon,MATCH(E2555,ctaNom,0))&amp;"","DOP"))</f>
        <v/>
      </c>
      <c r="O2555" s="20">
        <f>IF(I2555="","",C2555*IF(N2555="USD",TasaUSD,1))</f>
        <v/>
      </c>
      <c r="P2555" s="20">
        <f>IF(I2555="","",IF(I2555="Gasto",O2555,0))</f>
        <v/>
      </c>
      <c r="Q2555" s="20">
        <f>IF(I2555="","",IF(I2555="Ingreso",O2555,0))</f>
        <v/>
      </c>
      <c r="R2555" s="20">
        <f>IF(I2555="","",IF(I2555="Trading",O2555,0))</f>
        <v/>
      </c>
      <c r="S2555" s="19">
        <f>IF(I2555="","",IF(AND(I2555="Gasto",K2555="Variable",J2555&lt;&gt;"Trading",O2555&gt;0,O2555&lt;=Umbral),1,0))</f>
        <v/>
      </c>
      <c r="T2555" s="20">
        <f>IF(OR(I2555="",E2555=""),"",IF(OR(I2555="Gasto",I2555="Transferencia",I2555="Pago tarjeta"),-1,1)*C2555)</f>
        <v/>
      </c>
      <c r="U2555" s="20">
        <f>IF(OR(G2555="",AND(I2555&lt;&gt;"Transferencia",I2555&lt;&gt;"Pago tarjeta")),"",IF(IFERROR(INDEX(ctaMon,MATCH(G2555,ctaNom,0))&amp;"","DOP")=N2555,C2555,IF(N2555="USD",C2555*TasaUSD,C2555/TasaUSD)))</f>
        <v/>
      </c>
      <c r="V2555" s="20">
        <f>IF(I2555="","",IF(IFERROR(INDEX(ctaLiq,MATCH(E2555,ctaNom,0))="Sí",FALSE),IF(OR(I2555="Gasto",I2555="Transferencia",I2555="Pago tarjeta"),-1,1)*O2555,0)+IF(AND(U2555&lt;&gt;"",IFERROR(INDEX(ctaLiq,MATCH(G2555,ctaNom,0))="Sí",FALSE)),O2555,0))</f>
        <v/>
      </c>
      <c r="W2555" s="19">
        <f>IF(OR(F2555="",I2555=""),"",IF(COUNTIFS(F$6:F2555,F2555,I$6:I2555,"?*")=1,MAX(W$5:W2554)+1,""))</f>
        <v/>
      </c>
    </row>
    <row r="2556">
      <c r="B2556" s="15" t="n"/>
      <c r="C2556" s="16" t="n"/>
      <c r="D2556" s="17" t="n"/>
      <c r="E2556" s="17" t="n"/>
      <c r="F2556" s="17" t="n"/>
      <c r="G2556" s="17" t="n"/>
      <c r="H2556" s="18">
        <f>IF(AND(B2556="",C2556="",D2556="",E2556=""),"",IF(B2556="","⚠ Falta fecha",IF(C2556="","⚠ Falta monto",IF(D2556="","⚠ Falta categoría",IF(ISNA(MATCH(D2556,catNom,0)),"⚠ Categoría no existe",IF(E2556="","⚠ Falta cuenta",IF(ISNA(MATCH(E2556,ctaNom,0)),"⚠ Cuenta no existe",IF(AND(OR(I2556="Transferencia",I2556="Pago tarjeta"),G2556=""),"⚠ Indica la cuenta «Hacia»",IF(AND(G2556&lt;&gt;"",G2556=E2556),"⚠ «Hacia» igual a la cuenta",IF(AND(G2556&lt;&gt;"",ISNA(MATCH(G2556,ctaNom,0))),"⚠ «Hacia» no existe",IF(AND(I2556="Pago tarjeta",IFERROR(INDEX(ctaTipo,MATCH(G2556,ctaNom,0)),"")&lt;&gt;"Tarjeta de crédito"),"⚠ «Hacia» debe ser la tarjeta",IF(AND(I2556="Trading",IFERROR(INDEX(ctaTipo,MATCH(E2556,ctaNom,0)),"")&lt;&gt;"Cuenta de trading"),"⚠ Usa la cuenta de trading","✓"))))))))))))</f>
        <v/>
      </c>
      <c r="I2556" s="19">
        <f>IF(OR(B2556="",C2556="",D2556=""),"",IFERROR(INDEX(catTipo,MATCH(D2556,catNom,0))&amp;"",""))</f>
        <v/>
      </c>
      <c r="J2556" s="19">
        <f>IF(I2556="","",IFERROR(INDEX(catGrupo,MATCH(D2556,catNom,0))&amp;"",""))</f>
        <v/>
      </c>
      <c r="K2556" s="19">
        <f>IF(I2556="Gasto",IF(IFERROR(INDEX(catClas,MATCH(D2556,catNom,0))&amp;"","")="","Variable",IFERROR(INDEX(catClas,MATCH(D2556,catNom,0))&amp;"","")),"")</f>
        <v/>
      </c>
      <c r="L2556" s="19">
        <f>IF(I2556="","",IFERROR(INDEX(catAlim,MATCH(D2556,catNom,0))&amp;"",""))</f>
        <v/>
      </c>
      <c r="M2556" s="19">
        <f>IF(I2556="","",IFERROR(INDEX(catComida,MATCH(D2556,catNom,0))&amp;"",""))</f>
        <v/>
      </c>
      <c r="N2556" s="19">
        <f>IF(I2556="","",IFERROR(INDEX(ctaMon,MATCH(E2556,ctaNom,0))&amp;"","DOP"))</f>
        <v/>
      </c>
      <c r="O2556" s="20">
        <f>IF(I2556="","",C2556*IF(N2556="USD",TasaUSD,1))</f>
        <v/>
      </c>
      <c r="P2556" s="20">
        <f>IF(I2556="","",IF(I2556="Gasto",O2556,0))</f>
        <v/>
      </c>
      <c r="Q2556" s="20">
        <f>IF(I2556="","",IF(I2556="Ingreso",O2556,0))</f>
        <v/>
      </c>
      <c r="R2556" s="20">
        <f>IF(I2556="","",IF(I2556="Trading",O2556,0))</f>
        <v/>
      </c>
      <c r="S2556" s="19">
        <f>IF(I2556="","",IF(AND(I2556="Gasto",K2556="Variable",J2556&lt;&gt;"Trading",O2556&gt;0,O2556&lt;=Umbral),1,0))</f>
        <v/>
      </c>
      <c r="T2556" s="20">
        <f>IF(OR(I2556="",E2556=""),"",IF(OR(I2556="Gasto",I2556="Transferencia",I2556="Pago tarjeta"),-1,1)*C2556)</f>
        <v/>
      </c>
      <c r="U2556" s="20">
        <f>IF(OR(G2556="",AND(I2556&lt;&gt;"Transferencia",I2556&lt;&gt;"Pago tarjeta")),"",IF(IFERROR(INDEX(ctaMon,MATCH(G2556,ctaNom,0))&amp;"","DOP")=N2556,C2556,IF(N2556="USD",C2556*TasaUSD,C2556/TasaUSD)))</f>
        <v/>
      </c>
      <c r="V2556" s="20">
        <f>IF(I2556="","",IF(IFERROR(INDEX(ctaLiq,MATCH(E2556,ctaNom,0))="Sí",FALSE),IF(OR(I2556="Gasto",I2556="Transferencia",I2556="Pago tarjeta"),-1,1)*O2556,0)+IF(AND(U2556&lt;&gt;"",IFERROR(INDEX(ctaLiq,MATCH(G2556,ctaNom,0))="Sí",FALSE)),O2556,0))</f>
        <v/>
      </c>
      <c r="W2556" s="19">
        <f>IF(OR(F2556="",I2556=""),"",IF(COUNTIFS(F$6:F2556,F2556,I$6:I2556,"?*")=1,MAX(W$5:W2555)+1,""))</f>
        <v/>
      </c>
    </row>
    <row r="2557">
      <c r="B2557" s="15" t="n"/>
      <c r="C2557" s="16" t="n"/>
      <c r="D2557" s="17" t="n"/>
      <c r="E2557" s="17" t="n"/>
      <c r="F2557" s="17" t="n"/>
      <c r="G2557" s="17" t="n"/>
      <c r="H2557" s="18">
        <f>IF(AND(B2557="",C2557="",D2557="",E2557=""),"",IF(B2557="","⚠ Falta fecha",IF(C2557="","⚠ Falta monto",IF(D2557="","⚠ Falta categoría",IF(ISNA(MATCH(D2557,catNom,0)),"⚠ Categoría no existe",IF(E2557="","⚠ Falta cuenta",IF(ISNA(MATCH(E2557,ctaNom,0)),"⚠ Cuenta no existe",IF(AND(OR(I2557="Transferencia",I2557="Pago tarjeta"),G2557=""),"⚠ Indica la cuenta «Hacia»",IF(AND(G2557&lt;&gt;"",G2557=E2557),"⚠ «Hacia» igual a la cuenta",IF(AND(G2557&lt;&gt;"",ISNA(MATCH(G2557,ctaNom,0))),"⚠ «Hacia» no existe",IF(AND(I2557="Pago tarjeta",IFERROR(INDEX(ctaTipo,MATCH(G2557,ctaNom,0)),"")&lt;&gt;"Tarjeta de crédito"),"⚠ «Hacia» debe ser la tarjeta",IF(AND(I2557="Trading",IFERROR(INDEX(ctaTipo,MATCH(E2557,ctaNom,0)),"")&lt;&gt;"Cuenta de trading"),"⚠ Usa la cuenta de trading","✓"))))))))))))</f>
        <v/>
      </c>
      <c r="I2557" s="19">
        <f>IF(OR(B2557="",C2557="",D2557=""),"",IFERROR(INDEX(catTipo,MATCH(D2557,catNom,0))&amp;"",""))</f>
        <v/>
      </c>
      <c r="J2557" s="19">
        <f>IF(I2557="","",IFERROR(INDEX(catGrupo,MATCH(D2557,catNom,0))&amp;"",""))</f>
        <v/>
      </c>
      <c r="K2557" s="19">
        <f>IF(I2557="Gasto",IF(IFERROR(INDEX(catClas,MATCH(D2557,catNom,0))&amp;"","")="","Variable",IFERROR(INDEX(catClas,MATCH(D2557,catNom,0))&amp;"","")),"")</f>
        <v/>
      </c>
      <c r="L2557" s="19">
        <f>IF(I2557="","",IFERROR(INDEX(catAlim,MATCH(D2557,catNom,0))&amp;"",""))</f>
        <v/>
      </c>
      <c r="M2557" s="19">
        <f>IF(I2557="","",IFERROR(INDEX(catComida,MATCH(D2557,catNom,0))&amp;"",""))</f>
        <v/>
      </c>
      <c r="N2557" s="19">
        <f>IF(I2557="","",IFERROR(INDEX(ctaMon,MATCH(E2557,ctaNom,0))&amp;"","DOP"))</f>
        <v/>
      </c>
      <c r="O2557" s="20">
        <f>IF(I2557="","",C2557*IF(N2557="USD",TasaUSD,1))</f>
        <v/>
      </c>
      <c r="P2557" s="20">
        <f>IF(I2557="","",IF(I2557="Gasto",O2557,0))</f>
        <v/>
      </c>
      <c r="Q2557" s="20">
        <f>IF(I2557="","",IF(I2557="Ingreso",O2557,0))</f>
        <v/>
      </c>
      <c r="R2557" s="20">
        <f>IF(I2557="","",IF(I2557="Trading",O2557,0))</f>
        <v/>
      </c>
      <c r="S2557" s="19">
        <f>IF(I2557="","",IF(AND(I2557="Gasto",K2557="Variable",J2557&lt;&gt;"Trading",O2557&gt;0,O2557&lt;=Umbral),1,0))</f>
        <v/>
      </c>
      <c r="T2557" s="20">
        <f>IF(OR(I2557="",E2557=""),"",IF(OR(I2557="Gasto",I2557="Transferencia",I2557="Pago tarjeta"),-1,1)*C2557)</f>
        <v/>
      </c>
      <c r="U2557" s="20">
        <f>IF(OR(G2557="",AND(I2557&lt;&gt;"Transferencia",I2557&lt;&gt;"Pago tarjeta")),"",IF(IFERROR(INDEX(ctaMon,MATCH(G2557,ctaNom,0))&amp;"","DOP")=N2557,C2557,IF(N2557="USD",C2557*TasaUSD,C2557/TasaUSD)))</f>
        <v/>
      </c>
      <c r="V2557" s="20">
        <f>IF(I2557="","",IF(IFERROR(INDEX(ctaLiq,MATCH(E2557,ctaNom,0))="Sí",FALSE),IF(OR(I2557="Gasto",I2557="Transferencia",I2557="Pago tarjeta"),-1,1)*O2557,0)+IF(AND(U2557&lt;&gt;"",IFERROR(INDEX(ctaLiq,MATCH(G2557,ctaNom,0))="Sí",FALSE)),O2557,0))</f>
        <v/>
      </c>
      <c r="W2557" s="19">
        <f>IF(OR(F2557="",I2557=""),"",IF(COUNTIFS(F$6:F2557,F2557,I$6:I2557,"?*")=1,MAX(W$5:W2556)+1,""))</f>
        <v/>
      </c>
    </row>
    <row r="2558">
      <c r="B2558" s="15" t="n"/>
      <c r="C2558" s="16" t="n"/>
      <c r="D2558" s="17" t="n"/>
      <c r="E2558" s="17" t="n"/>
      <c r="F2558" s="17" t="n"/>
      <c r="G2558" s="17" t="n"/>
      <c r="H2558" s="18">
        <f>IF(AND(B2558="",C2558="",D2558="",E2558=""),"",IF(B2558="","⚠ Falta fecha",IF(C2558="","⚠ Falta monto",IF(D2558="","⚠ Falta categoría",IF(ISNA(MATCH(D2558,catNom,0)),"⚠ Categoría no existe",IF(E2558="","⚠ Falta cuenta",IF(ISNA(MATCH(E2558,ctaNom,0)),"⚠ Cuenta no existe",IF(AND(OR(I2558="Transferencia",I2558="Pago tarjeta"),G2558=""),"⚠ Indica la cuenta «Hacia»",IF(AND(G2558&lt;&gt;"",G2558=E2558),"⚠ «Hacia» igual a la cuenta",IF(AND(G2558&lt;&gt;"",ISNA(MATCH(G2558,ctaNom,0))),"⚠ «Hacia» no existe",IF(AND(I2558="Pago tarjeta",IFERROR(INDEX(ctaTipo,MATCH(G2558,ctaNom,0)),"")&lt;&gt;"Tarjeta de crédito"),"⚠ «Hacia» debe ser la tarjeta",IF(AND(I2558="Trading",IFERROR(INDEX(ctaTipo,MATCH(E2558,ctaNom,0)),"")&lt;&gt;"Cuenta de trading"),"⚠ Usa la cuenta de trading","✓"))))))))))))</f>
        <v/>
      </c>
      <c r="I2558" s="19">
        <f>IF(OR(B2558="",C2558="",D2558=""),"",IFERROR(INDEX(catTipo,MATCH(D2558,catNom,0))&amp;"",""))</f>
        <v/>
      </c>
      <c r="J2558" s="19">
        <f>IF(I2558="","",IFERROR(INDEX(catGrupo,MATCH(D2558,catNom,0))&amp;"",""))</f>
        <v/>
      </c>
      <c r="K2558" s="19">
        <f>IF(I2558="Gasto",IF(IFERROR(INDEX(catClas,MATCH(D2558,catNom,0))&amp;"","")="","Variable",IFERROR(INDEX(catClas,MATCH(D2558,catNom,0))&amp;"","")),"")</f>
        <v/>
      </c>
      <c r="L2558" s="19">
        <f>IF(I2558="","",IFERROR(INDEX(catAlim,MATCH(D2558,catNom,0))&amp;"",""))</f>
        <v/>
      </c>
      <c r="M2558" s="19">
        <f>IF(I2558="","",IFERROR(INDEX(catComida,MATCH(D2558,catNom,0))&amp;"",""))</f>
        <v/>
      </c>
      <c r="N2558" s="19">
        <f>IF(I2558="","",IFERROR(INDEX(ctaMon,MATCH(E2558,ctaNom,0))&amp;"","DOP"))</f>
        <v/>
      </c>
      <c r="O2558" s="20">
        <f>IF(I2558="","",C2558*IF(N2558="USD",TasaUSD,1))</f>
        <v/>
      </c>
      <c r="P2558" s="20">
        <f>IF(I2558="","",IF(I2558="Gasto",O2558,0))</f>
        <v/>
      </c>
      <c r="Q2558" s="20">
        <f>IF(I2558="","",IF(I2558="Ingreso",O2558,0))</f>
        <v/>
      </c>
      <c r="R2558" s="20">
        <f>IF(I2558="","",IF(I2558="Trading",O2558,0))</f>
        <v/>
      </c>
      <c r="S2558" s="19">
        <f>IF(I2558="","",IF(AND(I2558="Gasto",K2558="Variable",J2558&lt;&gt;"Trading",O2558&gt;0,O2558&lt;=Umbral),1,0))</f>
        <v/>
      </c>
      <c r="T2558" s="20">
        <f>IF(OR(I2558="",E2558=""),"",IF(OR(I2558="Gasto",I2558="Transferencia",I2558="Pago tarjeta"),-1,1)*C2558)</f>
        <v/>
      </c>
      <c r="U2558" s="20">
        <f>IF(OR(G2558="",AND(I2558&lt;&gt;"Transferencia",I2558&lt;&gt;"Pago tarjeta")),"",IF(IFERROR(INDEX(ctaMon,MATCH(G2558,ctaNom,0))&amp;"","DOP")=N2558,C2558,IF(N2558="USD",C2558*TasaUSD,C2558/TasaUSD)))</f>
        <v/>
      </c>
      <c r="V2558" s="20">
        <f>IF(I2558="","",IF(IFERROR(INDEX(ctaLiq,MATCH(E2558,ctaNom,0))="Sí",FALSE),IF(OR(I2558="Gasto",I2558="Transferencia",I2558="Pago tarjeta"),-1,1)*O2558,0)+IF(AND(U2558&lt;&gt;"",IFERROR(INDEX(ctaLiq,MATCH(G2558,ctaNom,0))="Sí",FALSE)),O2558,0))</f>
        <v/>
      </c>
      <c r="W2558" s="19">
        <f>IF(OR(F2558="",I2558=""),"",IF(COUNTIFS(F$6:F2558,F2558,I$6:I2558,"?*")=1,MAX(W$5:W2557)+1,""))</f>
        <v/>
      </c>
    </row>
    <row r="2559">
      <c r="B2559" s="15" t="n"/>
      <c r="C2559" s="16" t="n"/>
      <c r="D2559" s="17" t="n"/>
      <c r="E2559" s="17" t="n"/>
      <c r="F2559" s="17" t="n"/>
      <c r="G2559" s="17" t="n"/>
      <c r="H2559" s="18">
        <f>IF(AND(B2559="",C2559="",D2559="",E2559=""),"",IF(B2559="","⚠ Falta fecha",IF(C2559="","⚠ Falta monto",IF(D2559="","⚠ Falta categoría",IF(ISNA(MATCH(D2559,catNom,0)),"⚠ Categoría no existe",IF(E2559="","⚠ Falta cuenta",IF(ISNA(MATCH(E2559,ctaNom,0)),"⚠ Cuenta no existe",IF(AND(OR(I2559="Transferencia",I2559="Pago tarjeta"),G2559=""),"⚠ Indica la cuenta «Hacia»",IF(AND(G2559&lt;&gt;"",G2559=E2559),"⚠ «Hacia» igual a la cuenta",IF(AND(G2559&lt;&gt;"",ISNA(MATCH(G2559,ctaNom,0))),"⚠ «Hacia» no existe",IF(AND(I2559="Pago tarjeta",IFERROR(INDEX(ctaTipo,MATCH(G2559,ctaNom,0)),"")&lt;&gt;"Tarjeta de crédito"),"⚠ «Hacia» debe ser la tarjeta",IF(AND(I2559="Trading",IFERROR(INDEX(ctaTipo,MATCH(E2559,ctaNom,0)),"")&lt;&gt;"Cuenta de trading"),"⚠ Usa la cuenta de trading","✓"))))))))))))</f>
        <v/>
      </c>
      <c r="I2559" s="19">
        <f>IF(OR(B2559="",C2559="",D2559=""),"",IFERROR(INDEX(catTipo,MATCH(D2559,catNom,0))&amp;"",""))</f>
        <v/>
      </c>
      <c r="J2559" s="19">
        <f>IF(I2559="","",IFERROR(INDEX(catGrupo,MATCH(D2559,catNom,0))&amp;"",""))</f>
        <v/>
      </c>
      <c r="K2559" s="19">
        <f>IF(I2559="Gasto",IF(IFERROR(INDEX(catClas,MATCH(D2559,catNom,0))&amp;"","")="","Variable",IFERROR(INDEX(catClas,MATCH(D2559,catNom,0))&amp;"","")),"")</f>
        <v/>
      </c>
      <c r="L2559" s="19">
        <f>IF(I2559="","",IFERROR(INDEX(catAlim,MATCH(D2559,catNom,0))&amp;"",""))</f>
        <v/>
      </c>
      <c r="M2559" s="19">
        <f>IF(I2559="","",IFERROR(INDEX(catComida,MATCH(D2559,catNom,0))&amp;"",""))</f>
        <v/>
      </c>
      <c r="N2559" s="19">
        <f>IF(I2559="","",IFERROR(INDEX(ctaMon,MATCH(E2559,ctaNom,0))&amp;"","DOP"))</f>
        <v/>
      </c>
      <c r="O2559" s="20">
        <f>IF(I2559="","",C2559*IF(N2559="USD",TasaUSD,1))</f>
        <v/>
      </c>
      <c r="P2559" s="20">
        <f>IF(I2559="","",IF(I2559="Gasto",O2559,0))</f>
        <v/>
      </c>
      <c r="Q2559" s="20">
        <f>IF(I2559="","",IF(I2559="Ingreso",O2559,0))</f>
        <v/>
      </c>
      <c r="R2559" s="20">
        <f>IF(I2559="","",IF(I2559="Trading",O2559,0))</f>
        <v/>
      </c>
      <c r="S2559" s="19">
        <f>IF(I2559="","",IF(AND(I2559="Gasto",K2559="Variable",J2559&lt;&gt;"Trading",O2559&gt;0,O2559&lt;=Umbral),1,0))</f>
        <v/>
      </c>
      <c r="T2559" s="20">
        <f>IF(OR(I2559="",E2559=""),"",IF(OR(I2559="Gasto",I2559="Transferencia",I2559="Pago tarjeta"),-1,1)*C2559)</f>
        <v/>
      </c>
      <c r="U2559" s="20">
        <f>IF(OR(G2559="",AND(I2559&lt;&gt;"Transferencia",I2559&lt;&gt;"Pago tarjeta")),"",IF(IFERROR(INDEX(ctaMon,MATCH(G2559,ctaNom,0))&amp;"","DOP")=N2559,C2559,IF(N2559="USD",C2559*TasaUSD,C2559/TasaUSD)))</f>
        <v/>
      </c>
      <c r="V2559" s="20">
        <f>IF(I2559="","",IF(IFERROR(INDEX(ctaLiq,MATCH(E2559,ctaNom,0))="Sí",FALSE),IF(OR(I2559="Gasto",I2559="Transferencia",I2559="Pago tarjeta"),-1,1)*O2559,0)+IF(AND(U2559&lt;&gt;"",IFERROR(INDEX(ctaLiq,MATCH(G2559,ctaNom,0))="Sí",FALSE)),O2559,0))</f>
        <v/>
      </c>
      <c r="W2559" s="19">
        <f>IF(OR(F2559="",I2559=""),"",IF(COUNTIFS(F$6:F2559,F2559,I$6:I2559,"?*")=1,MAX(W$5:W2558)+1,""))</f>
        <v/>
      </c>
    </row>
    <row r="2560">
      <c r="B2560" s="15" t="n"/>
      <c r="C2560" s="16" t="n"/>
      <c r="D2560" s="17" t="n"/>
      <c r="E2560" s="17" t="n"/>
      <c r="F2560" s="17" t="n"/>
      <c r="G2560" s="17" t="n"/>
      <c r="H2560" s="18">
        <f>IF(AND(B2560="",C2560="",D2560="",E2560=""),"",IF(B2560="","⚠ Falta fecha",IF(C2560="","⚠ Falta monto",IF(D2560="","⚠ Falta categoría",IF(ISNA(MATCH(D2560,catNom,0)),"⚠ Categoría no existe",IF(E2560="","⚠ Falta cuenta",IF(ISNA(MATCH(E2560,ctaNom,0)),"⚠ Cuenta no existe",IF(AND(OR(I2560="Transferencia",I2560="Pago tarjeta"),G2560=""),"⚠ Indica la cuenta «Hacia»",IF(AND(G2560&lt;&gt;"",G2560=E2560),"⚠ «Hacia» igual a la cuenta",IF(AND(G2560&lt;&gt;"",ISNA(MATCH(G2560,ctaNom,0))),"⚠ «Hacia» no existe",IF(AND(I2560="Pago tarjeta",IFERROR(INDEX(ctaTipo,MATCH(G2560,ctaNom,0)),"")&lt;&gt;"Tarjeta de crédito"),"⚠ «Hacia» debe ser la tarjeta",IF(AND(I2560="Trading",IFERROR(INDEX(ctaTipo,MATCH(E2560,ctaNom,0)),"")&lt;&gt;"Cuenta de trading"),"⚠ Usa la cuenta de trading","✓"))))))))))))</f>
        <v/>
      </c>
      <c r="I2560" s="19">
        <f>IF(OR(B2560="",C2560="",D2560=""),"",IFERROR(INDEX(catTipo,MATCH(D2560,catNom,0))&amp;"",""))</f>
        <v/>
      </c>
      <c r="J2560" s="19">
        <f>IF(I2560="","",IFERROR(INDEX(catGrupo,MATCH(D2560,catNom,0))&amp;"",""))</f>
        <v/>
      </c>
      <c r="K2560" s="19">
        <f>IF(I2560="Gasto",IF(IFERROR(INDEX(catClas,MATCH(D2560,catNom,0))&amp;"","")="","Variable",IFERROR(INDEX(catClas,MATCH(D2560,catNom,0))&amp;"","")),"")</f>
        <v/>
      </c>
      <c r="L2560" s="19">
        <f>IF(I2560="","",IFERROR(INDEX(catAlim,MATCH(D2560,catNom,0))&amp;"",""))</f>
        <v/>
      </c>
      <c r="M2560" s="19">
        <f>IF(I2560="","",IFERROR(INDEX(catComida,MATCH(D2560,catNom,0))&amp;"",""))</f>
        <v/>
      </c>
      <c r="N2560" s="19">
        <f>IF(I2560="","",IFERROR(INDEX(ctaMon,MATCH(E2560,ctaNom,0))&amp;"","DOP"))</f>
        <v/>
      </c>
      <c r="O2560" s="20">
        <f>IF(I2560="","",C2560*IF(N2560="USD",TasaUSD,1))</f>
        <v/>
      </c>
      <c r="P2560" s="20">
        <f>IF(I2560="","",IF(I2560="Gasto",O2560,0))</f>
        <v/>
      </c>
      <c r="Q2560" s="20">
        <f>IF(I2560="","",IF(I2560="Ingreso",O2560,0))</f>
        <v/>
      </c>
      <c r="R2560" s="20">
        <f>IF(I2560="","",IF(I2560="Trading",O2560,0))</f>
        <v/>
      </c>
      <c r="S2560" s="19">
        <f>IF(I2560="","",IF(AND(I2560="Gasto",K2560="Variable",J2560&lt;&gt;"Trading",O2560&gt;0,O2560&lt;=Umbral),1,0))</f>
        <v/>
      </c>
      <c r="T2560" s="20">
        <f>IF(OR(I2560="",E2560=""),"",IF(OR(I2560="Gasto",I2560="Transferencia",I2560="Pago tarjeta"),-1,1)*C2560)</f>
        <v/>
      </c>
      <c r="U2560" s="20">
        <f>IF(OR(G2560="",AND(I2560&lt;&gt;"Transferencia",I2560&lt;&gt;"Pago tarjeta")),"",IF(IFERROR(INDEX(ctaMon,MATCH(G2560,ctaNom,0))&amp;"","DOP")=N2560,C2560,IF(N2560="USD",C2560*TasaUSD,C2560/TasaUSD)))</f>
        <v/>
      </c>
      <c r="V2560" s="20">
        <f>IF(I2560="","",IF(IFERROR(INDEX(ctaLiq,MATCH(E2560,ctaNom,0))="Sí",FALSE),IF(OR(I2560="Gasto",I2560="Transferencia",I2560="Pago tarjeta"),-1,1)*O2560,0)+IF(AND(U2560&lt;&gt;"",IFERROR(INDEX(ctaLiq,MATCH(G2560,ctaNom,0))="Sí",FALSE)),O2560,0))</f>
        <v/>
      </c>
      <c r="W2560" s="19">
        <f>IF(OR(F2560="",I2560=""),"",IF(COUNTIFS(F$6:F2560,F2560,I$6:I2560,"?*")=1,MAX(W$5:W2559)+1,""))</f>
        <v/>
      </c>
    </row>
    <row r="2561">
      <c r="B2561" s="15" t="n"/>
      <c r="C2561" s="16" t="n"/>
      <c r="D2561" s="17" t="n"/>
      <c r="E2561" s="17" t="n"/>
      <c r="F2561" s="17" t="n"/>
      <c r="G2561" s="17" t="n"/>
      <c r="H2561" s="18">
        <f>IF(AND(B2561="",C2561="",D2561="",E2561=""),"",IF(B2561="","⚠ Falta fecha",IF(C2561="","⚠ Falta monto",IF(D2561="","⚠ Falta categoría",IF(ISNA(MATCH(D2561,catNom,0)),"⚠ Categoría no existe",IF(E2561="","⚠ Falta cuenta",IF(ISNA(MATCH(E2561,ctaNom,0)),"⚠ Cuenta no existe",IF(AND(OR(I2561="Transferencia",I2561="Pago tarjeta"),G2561=""),"⚠ Indica la cuenta «Hacia»",IF(AND(G2561&lt;&gt;"",G2561=E2561),"⚠ «Hacia» igual a la cuenta",IF(AND(G2561&lt;&gt;"",ISNA(MATCH(G2561,ctaNom,0))),"⚠ «Hacia» no existe",IF(AND(I2561="Pago tarjeta",IFERROR(INDEX(ctaTipo,MATCH(G2561,ctaNom,0)),"")&lt;&gt;"Tarjeta de crédito"),"⚠ «Hacia» debe ser la tarjeta",IF(AND(I2561="Trading",IFERROR(INDEX(ctaTipo,MATCH(E2561,ctaNom,0)),"")&lt;&gt;"Cuenta de trading"),"⚠ Usa la cuenta de trading","✓"))))))))))))</f>
        <v/>
      </c>
      <c r="I2561" s="19">
        <f>IF(OR(B2561="",C2561="",D2561=""),"",IFERROR(INDEX(catTipo,MATCH(D2561,catNom,0))&amp;"",""))</f>
        <v/>
      </c>
      <c r="J2561" s="19">
        <f>IF(I2561="","",IFERROR(INDEX(catGrupo,MATCH(D2561,catNom,0))&amp;"",""))</f>
        <v/>
      </c>
      <c r="K2561" s="19">
        <f>IF(I2561="Gasto",IF(IFERROR(INDEX(catClas,MATCH(D2561,catNom,0))&amp;"","")="","Variable",IFERROR(INDEX(catClas,MATCH(D2561,catNom,0))&amp;"","")),"")</f>
        <v/>
      </c>
      <c r="L2561" s="19">
        <f>IF(I2561="","",IFERROR(INDEX(catAlim,MATCH(D2561,catNom,0))&amp;"",""))</f>
        <v/>
      </c>
      <c r="M2561" s="19">
        <f>IF(I2561="","",IFERROR(INDEX(catComida,MATCH(D2561,catNom,0))&amp;"",""))</f>
        <v/>
      </c>
      <c r="N2561" s="19">
        <f>IF(I2561="","",IFERROR(INDEX(ctaMon,MATCH(E2561,ctaNom,0))&amp;"","DOP"))</f>
        <v/>
      </c>
      <c r="O2561" s="20">
        <f>IF(I2561="","",C2561*IF(N2561="USD",TasaUSD,1))</f>
        <v/>
      </c>
      <c r="P2561" s="20">
        <f>IF(I2561="","",IF(I2561="Gasto",O2561,0))</f>
        <v/>
      </c>
      <c r="Q2561" s="20">
        <f>IF(I2561="","",IF(I2561="Ingreso",O2561,0))</f>
        <v/>
      </c>
      <c r="R2561" s="20">
        <f>IF(I2561="","",IF(I2561="Trading",O2561,0))</f>
        <v/>
      </c>
      <c r="S2561" s="19">
        <f>IF(I2561="","",IF(AND(I2561="Gasto",K2561="Variable",J2561&lt;&gt;"Trading",O2561&gt;0,O2561&lt;=Umbral),1,0))</f>
        <v/>
      </c>
      <c r="T2561" s="20">
        <f>IF(OR(I2561="",E2561=""),"",IF(OR(I2561="Gasto",I2561="Transferencia",I2561="Pago tarjeta"),-1,1)*C2561)</f>
        <v/>
      </c>
      <c r="U2561" s="20">
        <f>IF(OR(G2561="",AND(I2561&lt;&gt;"Transferencia",I2561&lt;&gt;"Pago tarjeta")),"",IF(IFERROR(INDEX(ctaMon,MATCH(G2561,ctaNom,0))&amp;"","DOP")=N2561,C2561,IF(N2561="USD",C2561*TasaUSD,C2561/TasaUSD)))</f>
        <v/>
      </c>
      <c r="V2561" s="20">
        <f>IF(I2561="","",IF(IFERROR(INDEX(ctaLiq,MATCH(E2561,ctaNom,0))="Sí",FALSE),IF(OR(I2561="Gasto",I2561="Transferencia",I2561="Pago tarjeta"),-1,1)*O2561,0)+IF(AND(U2561&lt;&gt;"",IFERROR(INDEX(ctaLiq,MATCH(G2561,ctaNom,0))="Sí",FALSE)),O2561,0))</f>
        <v/>
      </c>
      <c r="W2561" s="19">
        <f>IF(OR(F2561="",I2561=""),"",IF(COUNTIFS(F$6:F2561,F2561,I$6:I2561,"?*")=1,MAX(W$5:W2560)+1,""))</f>
        <v/>
      </c>
    </row>
    <row r="2562">
      <c r="B2562" s="15" t="n"/>
      <c r="C2562" s="16" t="n"/>
      <c r="D2562" s="17" t="n"/>
      <c r="E2562" s="17" t="n"/>
      <c r="F2562" s="17" t="n"/>
      <c r="G2562" s="17" t="n"/>
      <c r="H2562" s="18">
        <f>IF(AND(B2562="",C2562="",D2562="",E2562=""),"",IF(B2562="","⚠ Falta fecha",IF(C2562="","⚠ Falta monto",IF(D2562="","⚠ Falta categoría",IF(ISNA(MATCH(D2562,catNom,0)),"⚠ Categoría no existe",IF(E2562="","⚠ Falta cuenta",IF(ISNA(MATCH(E2562,ctaNom,0)),"⚠ Cuenta no existe",IF(AND(OR(I2562="Transferencia",I2562="Pago tarjeta"),G2562=""),"⚠ Indica la cuenta «Hacia»",IF(AND(G2562&lt;&gt;"",G2562=E2562),"⚠ «Hacia» igual a la cuenta",IF(AND(G2562&lt;&gt;"",ISNA(MATCH(G2562,ctaNom,0))),"⚠ «Hacia» no existe",IF(AND(I2562="Pago tarjeta",IFERROR(INDEX(ctaTipo,MATCH(G2562,ctaNom,0)),"")&lt;&gt;"Tarjeta de crédito"),"⚠ «Hacia» debe ser la tarjeta",IF(AND(I2562="Trading",IFERROR(INDEX(ctaTipo,MATCH(E2562,ctaNom,0)),"")&lt;&gt;"Cuenta de trading"),"⚠ Usa la cuenta de trading","✓"))))))))))))</f>
        <v/>
      </c>
      <c r="I2562" s="19">
        <f>IF(OR(B2562="",C2562="",D2562=""),"",IFERROR(INDEX(catTipo,MATCH(D2562,catNom,0))&amp;"",""))</f>
        <v/>
      </c>
      <c r="J2562" s="19">
        <f>IF(I2562="","",IFERROR(INDEX(catGrupo,MATCH(D2562,catNom,0))&amp;"",""))</f>
        <v/>
      </c>
      <c r="K2562" s="19">
        <f>IF(I2562="Gasto",IF(IFERROR(INDEX(catClas,MATCH(D2562,catNom,0))&amp;"","")="","Variable",IFERROR(INDEX(catClas,MATCH(D2562,catNom,0))&amp;"","")),"")</f>
        <v/>
      </c>
      <c r="L2562" s="19">
        <f>IF(I2562="","",IFERROR(INDEX(catAlim,MATCH(D2562,catNom,0))&amp;"",""))</f>
        <v/>
      </c>
      <c r="M2562" s="19">
        <f>IF(I2562="","",IFERROR(INDEX(catComida,MATCH(D2562,catNom,0))&amp;"",""))</f>
        <v/>
      </c>
      <c r="N2562" s="19">
        <f>IF(I2562="","",IFERROR(INDEX(ctaMon,MATCH(E2562,ctaNom,0))&amp;"","DOP"))</f>
        <v/>
      </c>
      <c r="O2562" s="20">
        <f>IF(I2562="","",C2562*IF(N2562="USD",TasaUSD,1))</f>
        <v/>
      </c>
      <c r="P2562" s="20">
        <f>IF(I2562="","",IF(I2562="Gasto",O2562,0))</f>
        <v/>
      </c>
      <c r="Q2562" s="20">
        <f>IF(I2562="","",IF(I2562="Ingreso",O2562,0))</f>
        <v/>
      </c>
      <c r="R2562" s="20">
        <f>IF(I2562="","",IF(I2562="Trading",O2562,0))</f>
        <v/>
      </c>
      <c r="S2562" s="19">
        <f>IF(I2562="","",IF(AND(I2562="Gasto",K2562="Variable",J2562&lt;&gt;"Trading",O2562&gt;0,O2562&lt;=Umbral),1,0))</f>
        <v/>
      </c>
      <c r="T2562" s="20">
        <f>IF(OR(I2562="",E2562=""),"",IF(OR(I2562="Gasto",I2562="Transferencia",I2562="Pago tarjeta"),-1,1)*C2562)</f>
        <v/>
      </c>
      <c r="U2562" s="20">
        <f>IF(OR(G2562="",AND(I2562&lt;&gt;"Transferencia",I2562&lt;&gt;"Pago tarjeta")),"",IF(IFERROR(INDEX(ctaMon,MATCH(G2562,ctaNom,0))&amp;"","DOP")=N2562,C2562,IF(N2562="USD",C2562*TasaUSD,C2562/TasaUSD)))</f>
        <v/>
      </c>
      <c r="V2562" s="20">
        <f>IF(I2562="","",IF(IFERROR(INDEX(ctaLiq,MATCH(E2562,ctaNom,0))="Sí",FALSE),IF(OR(I2562="Gasto",I2562="Transferencia",I2562="Pago tarjeta"),-1,1)*O2562,0)+IF(AND(U2562&lt;&gt;"",IFERROR(INDEX(ctaLiq,MATCH(G2562,ctaNom,0))="Sí",FALSE)),O2562,0))</f>
        <v/>
      </c>
      <c r="W2562" s="19">
        <f>IF(OR(F2562="",I2562=""),"",IF(COUNTIFS(F$6:F2562,F2562,I$6:I2562,"?*")=1,MAX(W$5:W2561)+1,""))</f>
        <v/>
      </c>
    </row>
    <row r="2563">
      <c r="B2563" s="15" t="n"/>
      <c r="C2563" s="16" t="n"/>
      <c r="D2563" s="17" t="n"/>
      <c r="E2563" s="17" t="n"/>
      <c r="F2563" s="17" t="n"/>
      <c r="G2563" s="17" t="n"/>
      <c r="H2563" s="18">
        <f>IF(AND(B2563="",C2563="",D2563="",E2563=""),"",IF(B2563="","⚠ Falta fecha",IF(C2563="","⚠ Falta monto",IF(D2563="","⚠ Falta categoría",IF(ISNA(MATCH(D2563,catNom,0)),"⚠ Categoría no existe",IF(E2563="","⚠ Falta cuenta",IF(ISNA(MATCH(E2563,ctaNom,0)),"⚠ Cuenta no existe",IF(AND(OR(I2563="Transferencia",I2563="Pago tarjeta"),G2563=""),"⚠ Indica la cuenta «Hacia»",IF(AND(G2563&lt;&gt;"",G2563=E2563),"⚠ «Hacia» igual a la cuenta",IF(AND(G2563&lt;&gt;"",ISNA(MATCH(G2563,ctaNom,0))),"⚠ «Hacia» no existe",IF(AND(I2563="Pago tarjeta",IFERROR(INDEX(ctaTipo,MATCH(G2563,ctaNom,0)),"")&lt;&gt;"Tarjeta de crédito"),"⚠ «Hacia» debe ser la tarjeta",IF(AND(I2563="Trading",IFERROR(INDEX(ctaTipo,MATCH(E2563,ctaNom,0)),"")&lt;&gt;"Cuenta de trading"),"⚠ Usa la cuenta de trading","✓"))))))))))))</f>
        <v/>
      </c>
      <c r="I2563" s="19">
        <f>IF(OR(B2563="",C2563="",D2563=""),"",IFERROR(INDEX(catTipo,MATCH(D2563,catNom,0))&amp;"",""))</f>
        <v/>
      </c>
      <c r="J2563" s="19">
        <f>IF(I2563="","",IFERROR(INDEX(catGrupo,MATCH(D2563,catNom,0))&amp;"",""))</f>
        <v/>
      </c>
      <c r="K2563" s="19">
        <f>IF(I2563="Gasto",IF(IFERROR(INDEX(catClas,MATCH(D2563,catNom,0))&amp;"","")="","Variable",IFERROR(INDEX(catClas,MATCH(D2563,catNom,0))&amp;"","")),"")</f>
        <v/>
      </c>
      <c r="L2563" s="19">
        <f>IF(I2563="","",IFERROR(INDEX(catAlim,MATCH(D2563,catNom,0))&amp;"",""))</f>
        <v/>
      </c>
      <c r="M2563" s="19">
        <f>IF(I2563="","",IFERROR(INDEX(catComida,MATCH(D2563,catNom,0))&amp;"",""))</f>
        <v/>
      </c>
      <c r="N2563" s="19">
        <f>IF(I2563="","",IFERROR(INDEX(ctaMon,MATCH(E2563,ctaNom,0))&amp;"","DOP"))</f>
        <v/>
      </c>
      <c r="O2563" s="20">
        <f>IF(I2563="","",C2563*IF(N2563="USD",TasaUSD,1))</f>
        <v/>
      </c>
      <c r="P2563" s="20">
        <f>IF(I2563="","",IF(I2563="Gasto",O2563,0))</f>
        <v/>
      </c>
      <c r="Q2563" s="20">
        <f>IF(I2563="","",IF(I2563="Ingreso",O2563,0))</f>
        <v/>
      </c>
      <c r="R2563" s="20">
        <f>IF(I2563="","",IF(I2563="Trading",O2563,0))</f>
        <v/>
      </c>
      <c r="S2563" s="19">
        <f>IF(I2563="","",IF(AND(I2563="Gasto",K2563="Variable",J2563&lt;&gt;"Trading",O2563&gt;0,O2563&lt;=Umbral),1,0))</f>
        <v/>
      </c>
      <c r="T2563" s="20">
        <f>IF(OR(I2563="",E2563=""),"",IF(OR(I2563="Gasto",I2563="Transferencia",I2563="Pago tarjeta"),-1,1)*C2563)</f>
        <v/>
      </c>
      <c r="U2563" s="20">
        <f>IF(OR(G2563="",AND(I2563&lt;&gt;"Transferencia",I2563&lt;&gt;"Pago tarjeta")),"",IF(IFERROR(INDEX(ctaMon,MATCH(G2563,ctaNom,0))&amp;"","DOP")=N2563,C2563,IF(N2563="USD",C2563*TasaUSD,C2563/TasaUSD)))</f>
        <v/>
      </c>
      <c r="V2563" s="20">
        <f>IF(I2563="","",IF(IFERROR(INDEX(ctaLiq,MATCH(E2563,ctaNom,0))="Sí",FALSE),IF(OR(I2563="Gasto",I2563="Transferencia",I2563="Pago tarjeta"),-1,1)*O2563,0)+IF(AND(U2563&lt;&gt;"",IFERROR(INDEX(ctaLiq,MATCH(G2563,ctaNom,0))="Sí",FALSE)),O2563,0))</f>
        <v/>
      </c>
      <c r="W2563" s="19">
        <f>IF(OR(F2563="",I2563=""),"",IF(COUNTIFS(F$6:F2563,F2563,I$6:I2563,"?*")=1,MAX(W$5:W2562)+1,""))</f>
        <v/>
      </c>
    </row>
    <row r="2564">
      <c r="B2564" s="15" t="n"/>
      <c r="C2564" s="16" t="n"/>
      <c r="D2564" s="17" t="n"/>
      <c r="E2564" s="17" t="n"/>
      <c r="F2564" s="17" t="n"/>
      <c r="G2564" s="17" t="n"/>
      <c r="H2564" s="18">
        <f>IF(AND(B2564="",C2564="",D2564="",E2564=""),"",IF(B2564="","⚠ Falta fecha",IF(C2564="","⚠ Falta monto",IF(D2564="","⚠ Falta categoría",IF(ISNA(MATCH(D2564,catNom,0)),"⚠ Categoría no existe",IF(E2564="","⚠ Falta cuenta",IF(ISNA(MATCH(E2564,ctaNom,0)),"⚠ Cuenta no existe",IF(AND(OR(I2564="Transferencia",I2564="Pago tarjeta"),G2564=""),"⚠ Indica la cuenta «Hacia»",IF(AND(G2564&lt;&gt;"",G2564=E2564),"⚠ «Hacia» igual a la cuenta",IF(AND(G2564&lt;&gt;"",ISNA(MATCH(G2564,ctaNom,0))),"⚠ «Hacia» no existe",IF(AND(I2564="Pago tarjeta",IFERROR(INDEX(ctaTipo,MATCH(G2564,ctaNom,0)),"")&lt;&gt;"Tarjeta de crédito"),"⚠ «Hacia» debe ser la tarjeta",IF(AND(I2564="Trading",IFERROR(INDEX(ctaTipo,MATCH(E2564,ctaNom,0)),"")&lt;&gt;"Cuenta de trading"),"⚠ Usa la cuenta de trading","✓"))))))))))))</f>
        <v/>
      </c>
      <c r="I2564" s="19">
        <f>IF(OR(B2564="",C2564="",D2564=""),"",IFERROR(INDEX(catTipo,MATCH(D2564,catNom,0))&amp;"",""))</f>
        <v/>
      </c>
      <c r="J2564" s="19">
        <f>IF(I2564="","",IFERROR(INDEX(catGrupo,MATCH(D2564,catNom,0))&amp;"",""))</f>
        <v/>
      </c>
      <c r="K2564" s="19">
        <f>IF(I2564="Gasto",IF(IFERROR(INDEX(catClas,MATCH(D2564,catNom,0))&amp;"","")="","Variable",IFERROR(INDEX(catClas,MATCH(D2564,catNom,0))&amp;"","")),"")</f>
        <v/>
      </c>
      <c r="L2564" s="19">
        <f>IF(I2564="","",IFERROR(INDEX(catAlim,MATCH(D2564,catNom,0))&amp;"",""))</f>
        <v/>
      </c>
      <c r="M2564" s="19">
        <f>IF(I2564="","",IFERROR(INDEX(catComida,MATCH(D2564,catNom,0))&amp;"",""))</f>
        <v/>
      </c>
      <c r="N2564" s="19">
        <f>IF(I2564="","",IFERROR(INDEX(ctaMon,MATCH(E2564,ctaNom,0))&amp;"","DOP"))</f>
        <v/>
      </c>
      <c r="O2564" s="20">
        <f>IF(I2564="","",C2564*IF(N2564="USD",TasaUSD,1))</f>
        <v/>
      </c>
      <c r="P2564" s="20">
        <f>IF(I2564="","",IF(I2564="Gasto",O2564,0))</f>
        <v/>
      </c>
      <c r="Q2564" s="20">
        <f>IF(I2564="","",IF(I2564="Ingreso",O2564,0))</f>
        <v/>
      </c>
      <c r="R2564" s="20">
        <f>IF(I2564="","",IF(I2564="Trading",O2564,0))</f>
        <v/>
      </c>
      <c r="S2564" s="19">
        <f>IF(I2564="","",IF(AND(I2564="Gasto",K2564="Variable",J2564&lt;&gt;"Trading",O2564&gt;0,O2564&lt;=Umbral),1,0))</f>
        <v/>
      </c>
      <c r="T2564" s="20">
        <f>IF(OR(I2564="",E2564=""),"",IF(OR(I2564="Gasto",I2564="Transferencia",I2564="Pago tarjeta"),-1,1)*C2564)</f>
        <v/>
      </c>
      <c r="U2564" s="20">
        <f>IF(OR(G2564="",AND(I2564&lt;&gt;"Transferencia",I2564&lt;&gt;"Pago tarjeta")),"",IF(IFERROR(INDEX(ctaMon,MATCH(G2564,ctaNom,0))&amp;"","DOP")=N2564,C2564,IF(N2564="USD",C2564*TasaUSD,C2564/TasaUSD)))</f>
        <v/>
      </c>
      <c r="V2564" s="20">
        <f>IF(I2564="","",IF(IFERROR(INDEX(ctaLiq,MATCH(E2564,ctaNom,0))="Sí",FALSE),IF(OR(I2564="Gasto",I2564="Transferencia",I2564="Pago tarjeta"),-1,1)*O2564,0)+IF(AND(U2564&lt;&gt;"",IFERROR(INDEX(ctaLiq,MATCH(G2564,ctaNom,0))="Sí",FALSE)),O2564,0))</f>
        <v/>
      </c>
      <c r="W2564" s="19">
        <f>IF(OR(F2564="",I2564=""),"",IF(COUNTIFS(F$6:F2564,F2564,I$6:I2564,"?*")=1,MAX(W$5:W2563)+1,""))</f>
        <v/>
      </c>
    </row>
    <row r="2565">
      <c r="B2565" s="15" t="n"/>
      <c r="C2565" s="16" t="n"/>
      <c r="D2565" s="17" t="n"/>
      <c r="E2565" s="17" t="n"/>
      <c r="F2565" s="17" t="n"/>
      <c r="G2565" s="17" t="n"/>
      <c r="H2565" s="18">
        <f>IF(AND(B2565="",C2565="",D2565="",E2565=""),"",IF(B2565="","⚠ Falta fecha",IF(C2565="","⚠ Falta monto",IF(D2565="","⚠ Falta categoría",IF(ISNA(MATCH(D2565,catNom,0)),"⚠ Categoría no existe",IF(E2565="","⚠ Falta cuenta",IF(ISNA(MATCH(E2565,ctaNom,0)),"⚠ Cuenta no existe",IF(AND(OR(I2565="Transferencia",I2565="Pago tarjeta"),G2565=""),"⚠ Indica la cuenta «Hacia»",IF(AND(G2565&lt;&gt;"",G2565=E2565),"⚠ «Hacia» igual a la cuenta",IF(AND(G2565&lt;&gt;"",ISNA(MATCH(G2565,ctaNom,0))),"⚠ «Hacia» no existe",IF(AND(I2565="Pago tarjeta",IFERROR(INDEX(ctaTipo,MATCH(G2565,ctaNom,0)),"")&lt;&gt;"Tarjeta de crédito"),"⚠ «Hacia» debe ser la tarjeta",IF(AND(I2565="Trading",IFERROR(INDEX(ctaTipo,MATCH(E2565,ctaNom,0)),"")&lt;&gt;"Cuenta de trading"),"⚠ Usa la cuenta de trading","✓"))))))))))))</f>
        <v/>
      </c>
      <c r="I2565" s="19">
        <f>IF(OR(B2565="",C2565="",D2565=""),"",IFERROR(INDEX(catTipo,MATCH(D2565,catNom,0))&amp;"",""))</f>
        <v/>
      </c>
      <c r="J2565" s="19">
        <f>IF(I2565="","",IFERROR(INDEX(catGrupo,MATCH(D2565,catNom,0))&amp;"",""))</f>
        <v/>
      </c>
      <c r="K2565" s="19">
        <f>IF(I2565="Gasto",IF(IFERROR(INDEX(catClas,MATCH(D2565,catNom,0))&amp;"","")="","Variable",IFERROR(INDEX(catClas,MATCH(D2565,catNom,0))&amp;"","")),"")</f>
        <v/>
      </c>
      <c r="L2565" s="19">
        <f>IF(I2565="","",IFERROR(INDEX(catAlim,MATCH(D2565,catNom,0))&amp;"",""))</f>
        <v/>
      </c>
      <c r="M2565" s="19">
        <f>IF(I2565="","",IFERROR(INDEX(catComida,MATCH(D2565,catNom,0))&amp;"",""))</f>
        <v/>
      </c>
      <c r="N2565" s="19">
        <f>IF(I2565="","",IFERROR(INDEX(ctaMon,MATCH(E2565,ctaNom,0))&amp;"","DOP"))</f>
        <v/>
      </c>
      <c r="O2565" s="20">
        <f>IF(I2565="","",C2565*IF(N2565="USD",TasaUSD,1))</f>
        <v/>
      </c>
      <c r="P2565" s="20">
        <f>IF(I2565="","",IF(I2565="Gasto",O2565,0))</f>
        <v/>
      </c>
      <c r="Q2565" s="20">
        <f>IF(I2565="","",IF(I2565="Ingreso",O2565,0))</f>
        <v/>
      </c>
      <c r="R2565" s="20">
        <f>IF(I2565="","",IF(I2565="Trading",O2565,0))</f>
        <v/>
      </c>
      <c r="S2565" s="19">
        <f>IF(I2565="","",IF(AND(I2565="Gasto",K2565="Variable",J2565&lt;&gt;"Trading",O2565&gt;0,O2565&lt;=Umbral),1,0))</f>
        <v/>
      </c>
      <c r="T2565" s="20">
        <f>IF(OR(I2565="",E2565=""),"",IF(OR(I2565="Gasto",I2565="Transferencia",I2565="Pago tarjeta"),-1,1)*C2565)</f>
        <v/>
      </c>
      <c r="U2565" s="20">
        <f>IF(OR(G2565="",AND(I2565&lt;&gt;"Transferencia",I2565&lt;&gt;"Pago tarjeta")),"",IF(IFERROR(INDEX(ctaMon,MATCH(G2565,ctaNom,0))&amp;"","DOP")=N2565,C2565,IF(N2565="USD",C2565*TasaUSD,C2565/TasaUSD)))</f>
        <v/>
      </c>
      <c r="V2565" s="20">
        <f>IF(I2565="","",IF(IFERROR(INDEX(ctaLiq,MATCH(E2565,ctaNom,0))="Sí",FALSE),IF(OR(I2565="Gasto",I2565="Transferencia",I2565="Pago tarjeta"),-1,1)*O2565,0)+IF(AND(U2565&lt;&gt;"",IFERROR(INDEX(ctaLiq,MATCH(G2565,ctaNom,0))="Sí",FALSE)),O2565,0))</f>
        <v/>
      </c>
      <c r="W2565" s="19">
        <f>IF(OR(F2565="",I2565=""),"",IF(COUNTIFS(F$6:F2565,F2565,I$6:I2565,"?*")=1,MAX(W$5:W2564)+1,""))</f>
        <v/>
      </c>
    </row>
    <row r="2566">
      <c r="B2566" s="15" t="n"/>
      <c r="C2566" s="16" t="n"/>
      <c r="D2566" s="17" t="n"/>
      <c r="E2566" s="17" t="n"/>
      <c r="F2566" s="17" t="n"/>
      <c r="G2566" s="17" t="n"/>
      <c r="H2566" s="18">
        <f>IF(AND(B2566="",C2566="",D2566="",E2566=""),"",IF(B2566="","⚠ Falta fecha",IF(C2566="","⚠ Falta monto",IF(D2566="","⚠ Falta categoría",IF(ISNA(MATCH(D2566,catNom,0)),"⚠ Categoría no existe",IF(E2566="","⚠ Falta cuenta",IF(ISNA(MATCH(E2566,ctaNom,0)),"⚠ Cuenta no existe",IF(AND(OR(I2566="Transferencia",I2566="Pago tarjeta"),G2566=""),"⚠ Indica la cuenta «Hacia»",IF(AND(G2566&lt;&gt;"",G2566=E2566),"⚠ «Hacia» igual a la cuenta",IF(AND(G2566&lt;&gt;"",ISNA(MATCH(G2566,ctaNom,0))),"⚠ «Hacia» no existe",IF(AND(I2566="Pago tarjeta",IFERROR(INDEX(ctaTipo,MATCH(G2566,ctaNom,0)),"")&lt;&gt;"Tarjeta de crédito"),"⚠ «Hacia» debe ser la tarjeta",IF(AND(I2566="Trading",IFERROR(INDEX(ctaTipo,MATCH(E2566,ctaNom,0)),"")&lt;&gt;"Cuenta de trading"),"⚠ Usa la cuenta de trading","✓"))))))))))))</f>
        <v/>
      </c>
      <c r="I2566" s="19">
        <f>IF(OR(B2566="",C2566="",D2566=""),"",IFERROR(INDEX(catTipo,MATCH(D2566,catNom,0))&amp;"",""))</f>
        <v/>
      </c>
      <c r="J2566" s="19">
        <f>IF(I2566="","",IFERROR(INDEX(catGrupo,MATCH(D2566,catNom,0))&amp;"",""))</f>
        <v/>
      </c>
      <c r="K2566" s="19">
        <f>IF(I2566="Gasto",IF(IFERROR(INDEX(catClas,MATCH(D2566,catNom,0))&amp;"","")="","Variable",IFERROR(INDEX(catClas,MATCH(D2566,catNom,0))&amp;"","")),"")</f>
        <v/>
      </c>
      <c r="L2566" s="19">
        <f>IF(I2566="","",IFERROR(INDEX(catAlim,MATCH(D2566,catNom,0))&amp;"",""))</f>
        <v/>
      </c>
      <c r="M2566" s="19">
        <f>IF(I2566="","",IFERROR(INDEX(catComida,MATCH(D2566,catNom,0))&amp;"",""))</f>
        <v/>
      </c>
      <c r="N2566" s="19">
        <f>IF(I2566="","",IFERROR(INDEX(ctaMon,MATCH(E2566,ctaNom,0))&amp;"","DOP"))</f>
        <v/>
      </c>
      <c r="O2566" s="20">
        <f>IF(I2566="","",C2566*IF(N2566="USD",TasaUSD,1))</f>
        <v/>
      </c>
      <c r="P2566" s="20">
        <f>IF(I2566="","",IF(I2566="Gasto",O2566,0))</f>
        <v/>
      </c>
      <c r="Q2566" s="20">
        <f>IF(I2566="","",IF(I2566="Ingreso",O2566,0))</f>
        <v/>
      </c>
      <c r="R2566" s="20">
        <f>IF(I2566="","",IF(I2566="Trading",O2566,0))</f>
        <v/>
      </c>
      <c r="S2566" s="19">
        <f>IF(I2566="","",IF(AND(I2566="Gasto",K2566="Variable",J2566&lt;&gt;"Trading",O2566&gt;0,O2566&lt;=Umbral),1,0))</f>
        <v/>
      </c>
      <c r="T2566" s="20">
        <f>IF(OR(I2566="",E2566=""),"",IF(OR(I2566="Gasto",I2566="Transferencia",I2566="Pago tarjeta"),-1,1)*C2566)</f>
        <v/>
      </c>
      <c r="U2566" s="20">
        <f>IF(OR(G2566="",AND(I2566&lt;&gt;"Transferencia",I2566&lt;&gt;"Pago tarjeta")),"",IF(IFERROR(INDEX(ctaMon,MATCH(G2566,ctaNom,0))&amp;"","DOP")=N2566,C2566,IF(N2566="USD",C2566*TasaUSD,C2566/TasaUSD)))</f>
        <v/>
      </c>
      <c r="V2566" s="20">
        <f>IF(I2566="","",IF(IFERROR(INDEX(ctaLiq,MATCH(E2566,ctaNom,0))="Sí",FALSE),IF(OR(I2566="Gasto",I2566="Transferencia",I2566="Pago tarjeta"),-1,1)*O2566,0)+IF(AND(U2566&lt;&gt;"",IFERROR(INDEX(ctaLiq,MATCH(G2566,ctaNom,0))="Sí",FALSE)),O2566,0))</f>
        <v/>
      </c>
      <c r="W2566" s="19">
        <f>IF(OR(F2566="",I2566=""),"",IF(COUNTIFS(F$6:F2566,F2566,I$6:I2566,"?*")=1,MAX(W$5:W2565)+1,""))</f>
        <v/>
      </c>
    </row>
    <row r="2567">
      <c r="B2567" s="15" t="n"/>
      <c r="C2567" s="16" t="n"/>
      <c r="D2567" s="17" t="n"/>
      <c r="E2567" s="17" t="n"/>
      <c r="F2567" s="17" t="n"/>
      <c r="G2567" s="17" t="n"/>
      <c r="H2567" s="18">
        <f>IF(AND(B2567="",C2567="",D2567="",E2567=""),"",IF(B2567="","⚠ Falta fecha",IF(C2567="","⚠ Falta monto",IF(D2567="","⚠ Falta categoría",IF(ISNA(MATCH(D2567,catNom,0)),"⚠ Categoría no existe",IF(E2567="","⚠ Falta cuenta",IF(ISNA(MATCH(E2567,ctaNom,0)),"⚠ Cuenta no existe",IF(AND(OR(I2567="Transferencia",I2567="Pago tarjeta"),G2567=""),"⚠ Indica la cuenta «Hacia»",IF(AND(G2567&lt;&gt;"",G2567=E2567),"⚠ «Hacia» igual a la cuenta",IF(AND(G2567&lt;&gt;"",ISNA(MATCH(G2567,ctaNom,0))),"⚠ «Hacia» no existe",IF(AND(I2567="Pago tarjeta",IFERROR(INDEX(ctaTipo,MATCH(G2567,ctaNom,0)),"")&lt;&gt;"Tarjeta de crédito"),"⚠ «Hacia» debe ser la tarjeta",IF(AND(I2567="Trading",IFERROR(INDEX(ctaTipo,MATCH(E2567,ctaNom,0)),"")&lt;&gt;"Cuenta de trading"),"⚠ Usa la cuenta de trading","✓"))))))))))))</f>
        <v/>
      </c>
      <c r="I2567" s="19">
        <f>IF(OR(B2567="",C2567="",D2567=""),"",IFERROR(INDEX(catTipo,MATCH(D2567,catNom,0))&amp;"",""))</f>
        <v/>
      </c>
      <c r="J2567" s="19">
        <f>IF(I2567="","",IFERROR(INDEX(catGrupo,MATCH(D2567,catNom,0))&amp;"",""))</f>
        <v/>
      </c>
      <c r="K2567" s="19">
        <f>IF(I2567="Gasto",IF(IFERROR(INDEX(catClas,MATCH(D2567,catNom,0))&amp;"","")="","Variable",IFERROR(INDEX(catClas,MATCH(D2567,catNom,0))&amp;"","")),"")</f>
        <v/>
      </c>
      <c r="L2567" s="19">
        <f>IF(I2567="","",IFERROR(INDEX(catAlim,MATCH(D2567,catNom,0))&amp;"",""))</f>
        <v/>
      </c>
      <c r="M2567" s="19">
        <f>IF(I2567="","",IFERROR(INDEX(catComida,MATCH(D2567,catNom,0))&amp;"",""))</f>
        <v/>
      </c>
      <c r="N2567" s="19">
        <f>IF(I2567="","",IFERROR(INDEX(ctaMon,MATCH(E2567,ctaNom,0))&amp;"","DOP"))</f>
        <v/>
      </c>
      <c r="O2567" s="20">
        <f>IF(I2567="","",C2567*IF(N2567="USD",TasaUSD,1))</f>
        <v/>
      </c>
      <c r="P2567" s="20">
        <f>IF(I2567="","",IF(I2567="Gasto",O2567,0))</f>
        <v/>
      </c>
      <c r="Q2567" s="20">
        <f>IF(I2567="","",IF(I2567="Ingreso",O2567,0))</f>
        <v/>
      </c>
      <c r="R2567" s="20">
        <f>IF(I2567="","",IF(I2567="Trading",O2567,0))</f>
        <v/>
      </c>
      <c r="S2567" s="19">
        <f>IF(I2567="","",IF(AND(I2567="Gasto",K2567="Variable",J2567&lt;&gt;"Trading",O2567&gt;0,O2567&lt;=Umbral),1,0))</f>
        <v/>
      </c>
      <c r="T2567" s="20">
        <f>IF(OR(I2567="",E2567=""),"",IF(OR(I2567="Gasto",I2567="Transferencia",I2567="Pago tarjeta"),-1,1)*C2567)</f>
        <v/>
      </c>
      <c r="U2567" s="20">
        <f>IF(OR(G2567="",AND(I2567&lt;&gt;"Transferencia",I2567&lt;&gt;"Pago tarjeta")),"",IF(IFERROR(INDEX(ctaMon,MATCH(G2567,ctaNom,0))&amp;"","DOP")=N2567,C2567,IF(N2567="USD",C2567*TasaUSD,C2567/TasaUSD)))</f>
        <v/>
      </c>
      <c r="V2567" s="20">
        <f>IF(I2567="","",IF(IFERROR(INDEX(ctaLiq,MATCH(E2567,ctaNom,0))="Sí",FALSE),IF(OR(I2567="Gasto",I2567="Transferencia",I2567="Pago tarjeta"),-1,1)*O2567,0)+IF(AND(U2567&lt;&gt;"",IFERROR(INDEX(ctaLiq,MATCH(G2567,ctaNom,0))="Sí",FALSE)),O2567,0))</f>
        <v/>
      </c>
      <c r="W2567" s="19">
        <f>IF(OR(F2567="",I2567=""),"",IF(COUNTIFS(F$6:F2567,F2567,I$6:I2567,"?*")=1,MAX(W$5:W2566)+1,""))</f>
        <v/>
      </c>
    </row>
    <row r="2568">
      <c r="B2568" s="15" t="n"/>
      <c r="C2568" s="16" t="n"/>
      <c r="D2568" s="17" t="n"/>
      <c r="E2568" s="17" t="n"/>
      <c r="F2568" s="17" t="n"/>
      <c r="G2568" s="17" t="n"/>
      <c r="H2568" s="18">
        <f>IF(AND(B2568="",C2568="",D2568="",E2568=""),"",IF(B2568="","⚠ Falta fecha",IF(C2568="","⚠ Falta monto",IF(D2568="","⚠ Falta categoría",IF(ISNA(MATCH(D2568,catNom,0)),"⚠ Categoría no existe",IF(E2568="","⚠ Falta cuenta",IF(ISNA(MATCH(E2568,ctaNom,0)),"⚠ Cuenta no existe",IF(AND(OR(I2568="Transferencia",I2568="Pago tarjeta"),G2568=""),"⚠ Indica la cuenta «Hacia»",IF(AND(G2568&lt;&gt;"",G2568=E2568),"⚠ «Hacia» igual a la cuenta",IF(AND(G2568&lt;&gt;"",ISNA(MATCH(G2568,ctaNom,0))),"⚠ «Hacia» no existe",IF(AND(I2568="Pago tarjeta",IFERROR(INDEX(ctaTipo,MATCH(G2568,ctaNom,0)),"")&lt;&gt;"Tarjeta de crédito"),"⚠ «Hacia» debe ser la tarjeta",IF(AND(I2568="Trading",IFERROR(INDEX(ctaTipo,MATCH(E2568,ctaNom,0)),"")&lt;&gt;"Cuenta de trading"),"⚠ Usa la cuenta de trading","✓"))))))))))))</f>
        <v/>
      </c>
      <c r="I2568" s="19">
        <f>IF(OR(B2568="",C2568="",D2568=""),"",IFERROR(INDEX(catTipo,MATCH(D2568,catNom,0))&amp;"",""))</f>
        <v/>
      </c>
      <c r="J2568" s="19">
        <f>IF(I2568="","",IFERROR(INDEX(catGrupo,MATCH(D2568,catNom,0))&amp;"",""))</f>
        <v/>
      </c>
      <c r="K2568" s="19">
        <f>IF(I2568="Gasto",IF(IFERROR(INDEX(catClas,MATCH(D2568,catNom,0))&amp;"","")="","Variable",IFERROR(INDEX(catClas,MATCH(D2568,catNom,0))&amp;"","")),"")</f>
        <v/>
      </c>
      <c r="L2568" s="19">
        <f>IF(I2568="","",IFERROR(INDEX(catAlim,MATCH(D2568,catNom,0))&amp;"",""))</f>
        <v/>
      </c>
      <c r="M2568" s="19">
        <f>IF(I2568="","",IFERROR(INDEX(catComida,MATCH(D2568,catNom,0))&amp;"",""))</f>
        <v/>
      </c>
      <c r="N2568" s="19">
        <f>IF(I2568="","",IFERROR(INDEX(ctaMon,MATCH(E2568,ctaNom,0))&amp;"","DOP"))</f>
        <v/>
      </c>
      <c r="O2568" s="20">
        <f>IF(I2568="","",C2568*IF(N2568="USD",TasaUSD,1))</f>
        <v/>
      </c>
      <c r="P2568" s="20">
        <f>IF(I2568="","",IF(I2568="Gasto",O2568,0))</f>
        <v/>
      </c>
      <c r="Q2568" s="20">
        <f>IF(I2568="","",IF(I2568="Ingreso",O2568,0))</f>
        <v/>
      </c>
      <c r="R2568" s="20">
        <f>IF(I2568="","",IF(I2568="Trading",O2568,0))</f>
        <v/>
      </c>
      <c r="S2568" s="19">
        <f>IF(I2568="","",IF(AND(I2568="Gasto",K2568="Variable",J2568&lt;&gt;"Trading",O2568&gt;0,O2568&lt;=Umbral),1,0))</f>
        <v/>
      </c>
      <c r="T2568" s="20">
        <f>IF(OR(I2568="",E2568=""),"",IF(OR(I2568="Gasto",I2568="Transferencia",I2568="Pago tarjeta"),-1,1)*C2568)</f>
        <v/>
      </c>
      <c r="U2568" s="20">
        <f>IF(OR(G2568="",AND(I2568&lt;&gt;"Transferencia",I2568&lt;&gt;"Pago tarjeta")),"",IF(IFERROR(INDEX(ctaMon,MATCH(G2568,ctaNom,0))&amp;"","DOP")=N2568,C2568,IF(N2568="USD",C2568*TasaUSD,C2568/TasaUSD)))</f>
        <v/>
      </c>
      <c r="V2568" s="20">
        <f>IF(I2568="","",IF(IFERROR(INDEX(ctaLiq,MATCH(E2568,ctaNom,0))="Sí",FALSE),IF(OR(I2568="Gasto",I2568="Transferencia",I2568="Pago tarjeta"),-1,1)*O2568,0)+IF(AND(U2568&lt;&gt;"",IFERROR(INDEX(ctaLiq,MATCH(G2568,ctaNom,0))="Sí",FALSE)),O2568,0))</f>
        <v/>
      </c>
      <c r="W2568" s="19">
        <f>IF(OR(F2568="",I2568=""),"",IF(COUNTIFS(F$6:F2568,F2568,I$6:I2568,"?*")=1,MAX(W$5:W2567)+1,""))</f>
        <v/>
      </c>
    </row>
    <row r="2569">
      <c r="B2569" s="15" t="n"/>
      <c r="C2569" s="16" t="n"/>
      <c r="D2569" s="17" t="n"/>
      <c r="E2569" s="17" t="n"/>
      <c r="F2569" s="17" t="n"/>
      <c r="G2569" s="17" t="n"/>
      <c r="H2569" s="18">
        <f>IF(AND(B2569="",C2569="",D2569="",E2569=""),"",IF(B2569="","⚠ Falta fecha",IF(C2569="","⚠ Falta monto",IF(D2569="","⚠ Falta categoría",IF(ISNA(MATCH(D2569,catNom,0)),"⚠ Categoría no existe",IF(E2569="","⚠ Falta cuenta",IF(ISNA(MATCH(E2569,ctaNom,0)),"⚠ Cuenta no existe",IF(AND(OR(I2569="Transferencia",I2569="Pago tarjeta"),G2569=""),"⚠ Indica la cuenta «Hacia»",IF(AND(G2569&lt;&gt;"",G2569=E2569),"⚠ «Hacia» igual a la cuenta",IF(AND(G2569&lt;&gt;"",ISNA(MATCH(G2569,ctaNom,0))),"⚠ «Hacia» no existe",IF(AND(I2569="Pago tarjeta",IFERROR(INDEX(ctaTipo,MATCH(G2569,ctaNom,0)),"")&lt;&gt;"Tarjeta de crédito"),"⚠ «Hacia» debe ser la tarjeta",IF(AND(I2569="Trading",IFERROR(INDEX(ctaTipo,MATCH(E2569,ctaNom,0)),"")&lt;&gt;"Cuenta de trading"),"⚠ Usa la cuenta de trading","✓"))))))))))))</f>
        <v/>
      </c>
      <c r="I2569" s="19">
        <f>IF(OR(B2569="",C2569="",D2569=""),"",IFERROR(INDEX(catTipo,MATCH(D2569,catNom,0))&amp;"",""))</f>
        <v/>
      </c>
      <c r="J2569" s="19">
        <f>IF(I2569="","",IFERROR(INDEX(catGrupo,MATCH(D2569,catNom,0))&amp;"",""))</f>
        <v/>
      </c>
      <c r="K2569" s="19">
        <f>IF(I2569="Gasto",IF(IFERROR(INDEX(catClas,MATCH(D2569,catNom,0))&amp;"","")="","Variable",IFERROR(INDEX(catClas,MATCH(D2569,catNom,0))&amp;"","")),"")</f>
        <v/>
      </c>
      <c r="L2569" s="19">
        <f>IF(I2569="","",IFERROR(INDEX(catAlim,MATCH(D2569,catNom,0))&amp;"",""))</f>
        <v/>
      </c>
      <c r="M2569" s="19">
        <f>IF(I2569="","",IFERROR(INDEX(catComida,MATCH(D2569,catNom,0))&amp;"",""))</f>
        <v/>
      </c>
      <c r="N2569" s="19">
        <f>IF(I2569="","",IFERROR(INDEX(ctaMon,MATCH(E2569,ctaNom,0))&amp;"","DOP"))</f>
        <v/>
      </c>
      <c r="O2569" s="20">
        <f>IF(I2569="","",C2569*IF(N2569="USD",TasaUSD,1))</f>
        <v/>
      </c>
      <c r="P2569" s="20">
        <f>IF(I2569="","",IF(I2569="Gasto",O2569,0))</f>
        <v/>
      </c>
      <c r="Q2569" s="20">
        <f>IF(I2569="","",IF(I2569="Ingreso",O2569,0))</f>
        <v/>
      </c>
      <c r="R2569" s="20">
        <f>IF(I2569="","",IF(I2569="Trading",O2569,0))</f>
        <v/>
      </c>
      <c r="S2569" s="19">
        <f>IF(I2569="","",IF(AND(I2569="Gasto",K2569="Variable",J2569&lt;&gt;"Trading",O2569&gt;0,O2569&lt;=Umbral),1,0))</f>
        <v/>
      </c>
      <c r="T2569" s="20">
        <f>IF(OR(I2569="",E2569=""),"",IF(OR(I2569="Gasto",I2569="Transferencia",I2569="Pago tarjeta"),-1,1)*C2569)</f>
        <v/>
      </c>
      <c r="U2569" s="20">
        <f>IF(OR(G2569="",AND(I2569&lt;&gt;"Transferencia",I2569&lt;&gt;"Pago tarjeta")),"",IF(IFERROR(INDEX(ctaMon,MATCH(G2569,ctaNom,0))&amp;"","DOP")=N2569,C2569,IF(N2569="USD",C2569*TasaUSD,C2569/TasaUSD)))</f>
        <v/>
      </c>
      <c r="V2569" s="20">
        <f>IF(I2569="","",IF(IFERROR(INDEX(ctaLiq,MATCH(E2569,ctaNom,0))="Sí",FALSE),IF(OR(I2569="Gasto",I2569="Transferencia",I2569="Pago tarjeta"),-1,1)*O2569,0)+IF(AND(U2569&lt;&gt;"",IFERROR(INDEX(ctaLiq,MATCH(G2569,ctaNom,0))="Sí",FALSE)),O2569,0))</f>
        <v/>
      </c>
      <c r="W2569" s="19">
        <f>IF(OR(F2569="",I2569=""),"",IF(COUNTIFS(F$6:F2569,F2569,I$6:I2569,"?*")=1,MAX(W$5:W2568)+1,""))</f>
        <v/>
      </c>
    </row>
    <row r="2570">
      <c r="B2570" s="15" t="n"/>
      <c r="C2570" s="16" t="n"/>
      <c r="D2570" s="17" t="n"/>
      <c r="E2570" s="17" t="n"/>
      <c r="F2570" s="17" t="n"/>
      <c r="G2570" s="17" t="n"/>
      <c r="H2570" s="18">
        <f>IF(AND(B2570="",C2570="",D2570="",E2570=""),"",IF(B2570="","⚠ Falta fecha",IF(C2570="","⚠ Falta monto",IF(D2570="","⚠ Falta categoría",IF(ISNA(MATCH(D2570,catNom,0)),"⚠ Categoría no existe",IF(E2570="","⚠ Falta cuenta",IF(ISNA(MATCH(E2570,ctaNom,0)),"⚠ Cuenta no existe",IF(AND(OR(I2570="Transferencia",I2570="Pago tarjeta"),G2570=""),"⚠ Indica la cuenta «Hacia»",IF(AND(G2570&lt;&gt;"",G2570=E2570),"⚠ «Hacia» igual a la cuenta",IF(AND(G2570&lt;&gt;"",ISNA(MATCH(G2570,ctaNom,0))),"⚠ «Hacia» no existe",IF(AND(I2570="Pago tarjeta",IFERROR(INDEX(ctaTipo,MATCH(G2570,ctaNom,0)),"")&lt;&gt;"Tarjeta de crédito"),"⚠ «Hacia» debe ser la tarjeta",IF(AND(I2570="Trading",IFERROR(INDEX(ctaTipo,MATCH(E2570,ctaNom,0)),"")&lt;&gt;"Cuenta de trading"),"⚠ Usa la cuenta de trading","✓"))))))))))))</f>
        <v/>
      </c>
      <c r="I2570" s="19">
        <f>IF(OR(B2570="",C2570="",D2570=""),"",IFERROR(INDEX(catTipo,MATCH(D2570,catNom,0))&amp;"",""))</f>
        <v/>
      </c>
      <c r="J2570" s="19">
        <f>IF(I2570="","",IFERROR(INDEX(catGrupo,MATCH(D2570,catNom,0))&amp;"",""))</f>
        <v/>
      </c>
      <c r="K2570" s="19">
        <f>IF(I2570="Gasto",IF(IFERROR(INDEX(catClas,MATCH(D2570,catNom,0))&amp;"","")="","Variable",IFERROR(INDEX(catClas,MATCH(D2570,catNom,0))&amp;"","")),"")</f>
        <v/>
      </c>
      <c r="L2570" s="19">
        <f>IF(I2570="","",IFERROR(INDEX(catAlim,MATCH(D2570,catNom,0))&amp;"",""))</f>
        <v/>
      </c>
      <c r="M2570" s="19">
        <f>IF(I2570="","",IFERROR(INDEX(catComida,MATCH(D2570,catNom,0))&amp;"",""))</f>
        <v/>
      </c>
      <c r="N2570" s="19">
        <f>IF(I2570="","",IFERROR(INDEX(ctaMon,MATCH(E2570,ctaNom,0))&amp;"","DOP"))</f>
        <v/>
      </c>
      <c r="O2570" s="20">
        <f>IF(I2570="","",C2570*IF(N2570="USD",TasaUSD,1))</f>
        <v/>
      </c>
      <c r="P2570" s="20">
        <f>IF(I2570="","",IF(I2570="Gasto",O2570,0))</f>
        <v/>
      </c>
      <c r="Q2570" s="20">
        <f>IF(I2570="","",IF(I2570="Ingreso",O2570,0))</f>
        <v/>
      </c>
      <c r="R2570" s="20">
        <f>IF(I2570="","",IF(I2570="Trading",O2570,0))</f>
        <v/>
      </c>
      <c r="S2570" s="19">
        <f>IF(I2570="","",IF(AND(I2570="Gasto",K2570="Variable",J2570&lt;&gt;"Trading",O2570&gt;0,O2570&lt;=Umbral),1,0))</f>
        <v/>
      </c>
      <c r="T2570" s="20">
        <f>IF(OR(I2570="",E2570=""),"",IF(OR(I2570="Gasto",I2570="Transferencia",I2570="Pago tarjeta"),-1,1)*C2570)</f>
        <v/>
      </c>
      <c r="U2570" s="20">
        <f>IF(OR(G2570="",AND(I2570&lt;&gt;"Transferencia",I2570&lt;&gt;"Pago tarjeta")),"",IF(IFERROR(INDEX(ctaMon,MATCH(G2570,ctaNom,0))&amp;"","DOP")=N2570,C2570,IF(N2570="USD",C2570*TasaUSD,C2570/TasaUSD)))</f>
        <v/>
      </c>
      <c r="V2570" s="20">
        <f>IF(I2570="","",IF(IFERROR(INDEX(ctaLiq,MATCH(E2570,ctaNom,0))="Sí",FALSE),IF(OR(I2570="Gasto",I2570="Transferencia",I2570="Pago tarjeta"),-1,1)*O2570,0)+IF(AND(U2570&lt;&gt;"",IFERROR(INDEX(ctaLiq,MATCH(G2570,ctaNom,0))="Sí",FALSE)),O2570,0))</f>
        <v/>
      </c>
      <c r="W2570" s="19">
        <f>IF(OR(F2570="",I2570=""),"",IF(COUNTIFS(F$6:F2570,F2570,I$6:I2570,"?*")=1,MAX(W$5:W2569)+1,""))</f>
        <v/>
      </c>
    </row>
    <row r="2571">
      <c r="B2571" s="15" t="n"/>
      <c r="C2571" s="16" t="n"/>
      <c r="D2571" s="17" t="n"/>
      <c r="E2571" s="17" t="n"/>
      <c r="F2571" s="17" t="n"/>
      <c r="G2571" s="17" t="n"/>
      <c r="H2571" s="18">
        <f>IF(AND(B2571="",C2571="",D2571="",E2571=""),"",IF(B2571="","⚠ Falta fecha",IF(C2571="","⚠ Falta monto",IF(D2571="","⚠ Falta categoría",IF(ISNA(MATCH(D2571,catNom,0)),"⚠ Categoría no existe",IF(E2571="","⚠ Falta cuenta",IF(ISNA(MATCH(E2571,ctaNom,0)),"⚠ Cuenta no existe",IF(AND(OR(I2571="Transferencia",I2571="Pago tarjeta"),G2571=""),"⚠ Indica la cuenta «Hacia»",IF(AND(G2571&lt;&gt;"",G2571=E2571),"⚠ «Hacia» igual a la cuenta",IF(AND(G2571&lt;&gt;"",ISNA(MATCH(G2571,ctaNom,0))),"⚠ «Hacia» no existe",IF(AND(I2571="Pago tarjeta",IFERROR(INDEX(ctaTipo,MATCH(G2571,ctaNom,0)),"")&lt;&gt;"Tarjeta de crédito"),"⚠ «Hacia» debe ser la tarjeta",IF(AND(I2571="Trading",IFERROR(INDEX(ctaTipo,MATCH(E2571,ctaNom,0)),"")&lt;&gt;"Cuenta de trading"),"⚠ Usa la cuenta de trading","✓"))))))))))))</f>
        <v/>
      </c>
      <c r="I2571" s="19">
        <f>IF(OR(B2571="",C2571="",D2571=""),"",IFERROR(INDEX(catTipo,MATCH(D2571,catNom,0))&amp;"",""))</f>
        <v/>
      </c>
      <c r="J2571" s="19">
        <f>IF(I2571="","",IFERROR(INDEX(catGrupo,MATCH(D2571,catNom,0))&amp;"",""))</f>
        <v/>
      </c>
      <c r="K2571" s="19">
        <f>IF(I2571="Gasto",IF(IFERROR(INDEX(catClas,MATCH(D2571,catNom,0))&amp;"","")="","Variable",IFERROR(INDEX(catClas,MATCH(D2571,catNom,0))&amp;"","")),"")</f>
        <v/>
      </c>
      <c r="L2571" s="19">
        <f>IF(I2571="","",IFERROR(INDEX(catAlim,MATCH(D2571,catNom,0))&amp;"",""))</f>
        <v/>
      </c>
      <c r="M2571" s="19">
        <f>IF(I2571="","",IFERROR(INDEX(catComida,MATCH(D2571,catNom,0))&amp;"",""))</f>
        <v/>
      </c>
      <c r="N2571" s="19">
        <f>IF(I2571="","",IFERROR(INDEX(ctaMon,MATCH(E2571,ctaNom,0))&amp;"","DOP"))</f>
        <v/>
      </c>
      <c r="O2571" s="20">
        <f>IF(I2571="","",C2571*IF(N2571="USD",TasaUSD,1))</f>
        <v/>
      </c>
      <c r="P2571" s="20">
        <f>IF(I2571="","",IF(I2571="Gasto",O2571,0))</f>
        <v/>
      </c>
      <c r="Q2571" s="20">
        <f>IF(I2571="","",IF(I2571="Ingreso",O2571,0))</f>
        <v/>
      </c>
      <c r="R2571" s="20">
        <f>IF(I2571="","",IF(I2571="Trading",O2571,0))</f>
        <v/>
      </c>
      <c r="S2571" s="19">
        <f>IF(I2571="","",IF(AND(I2571="Gasto",K2571="Variable",J2571&lt;&gt;"Trading",O2571&gt;0,O2571&lt;=Umbral),1,0))</f>
        <v/>
      </c>
      <c r="T2571" s="20">
        <f>IF(OR(I2571="",E2571=""),"",IF(OR(I2571="Gasto",I2571="Transferencia",I2571="Pago tarjeta"),-1,1)*C2571)</f>
        <v/>
      </c>
      <c r="U2571" s="20">
        <f>IF(OR(G2571="",AND(I2571&lt;&gt;"Transferencia",I2571&lt;&gt;"Pago tarjeta")),"",IF(IFERROR(INDEX(ctaMon,MATCH(G2571,ctaNom,0))&amp;"","DOP")=N2571,C2571,IF(N2571="USD",C2571*TasaUSD,C2571/TasaUSD)))</f>
        <v/>
      </c>
      <c r="V2571" s="20">
        <f>IF(I2571="","",IF(IFERROR(INDEX(ctaLiq,MATCH(E2571,ctaNom,0))="Sí",FALSE),IF(OR(I2571="Gasto",I2571="Transferencia",I2571="Pago tarjeta"),-1,1)*O2571,0)+IF(AND(U2571&lt;&gt;"",IFERROR(INDEX(ctaLiq,MATCH(G2571,ctaNom,0))="Sí",FALSE)),O2571,0))</f>
        <v/>
      </c>
      <c r="W2571" s="19">
        <f>IF(OR(F2571="",I2571=""),"",IF(COUNTIFS(F$6:F2571,F2571,I$6:I2571,"?*")=1,MAX(W$5:W2570)+1,""))</f>
        <v/>
      </c>
    </row>
    <row r="2572">
      <c r="B2572" s="15" t="n"/>
      <c r="C2572" s="16" t="n"/>
      <c r="D2572" s="17" t="n"/>
      <c r="E2572" s="17" t="n"/>
      <c r="F2572" s="17" t="n"/>
      <c r="G2572" s="17" t="n"/>
      <c r="H2572" s="18">
        <f>IF(AND(B2572="",C2572="",D2572="",E2572=""),"",IF(B2572="","⚠ Falta fecha",IF(C2572="","⚠ Falta monto",IF(D2572="","⚠ Falta categoría",IF(ISNA(MATCH(D2572,catNom,0)),"⚠ Categoría no existe",IF(E2572="","⚠ Falta cuenta",IF(ISNA(MATCH(E2572,ctaNom,0)),"⚠ Cuenta no existe",IF(AND(OR(I2572="Transferencia",I2572="Pago tarjeta"),G2572=""),"⚠ Indica la cuenta «Hacia»",IF(AND(G2572&lt;&gt;"",G2572=E2572),"⚠ «Hacia» igual a la cuenta",IF(AND(G2572&lt;&gt;"",ISNA(MATCH(G2572,ctaNom,0))),"⚠ «Hacia» no existe",IF(AND(I2572="Pago tarjeta",IFERROR(INDEX(ctaTipo,MATCH(G2572,ctaNom,0)),"")&lt;&gt;"Tarjeta de crédito"),"⚠ «Hacia» debe ser la tarjeta",IF(AND(I2572="Trading",IFERROR(INDEX(ctaTipo,MATCH(E2572,ctaNom,0)),"")&lt;&gt;"Cuenta de trading"),"⚠ Usa la cuenta de trading","✓"))))))))))))</f>
        <v/>
      </c>
      <c r="I2572" s="19">
        <f>IF(OR(B2572="",C2572="",D2572=""),"",IFERROR(INDEX(catTipo,MATCH(D2572,catNom,0))&amp;"",""))</f>
        <v/>
      </c>
      <c r="J2572" s="19">
        <f>IF(I2572="","",IFERROR(INDEX(catGrupo,MATCH(D2572,catNom,0))&amp;"",""))</f>
        <v/>
      </c>
      <c r="K2572" s="19">
        <f>IF(I2572="Gasto",IF(IFERROR(INDEX(catClas,MATCH(D2572,catNom,0))&amp;"","")="","Variable",IFERROR(INDEX(catClas,MATCH(D2572,catNom,0))&amp;"","")),"")</f>
        <v/>
      </c>
      <c r="L2572" s="19">
        <f>IF(I2572="","",IFERROR(INDEX(catAlim,MATCH(D2572,catNom,0))&amp;"",""))</f>
        <v/>
      </c>
      <c r="M2572" s="19">
        <f>IF(I2572="","",IFERROR(INDEX(catComida,MATCH(D2572,catNom,0))&amp;"",""))</f>
        <v/>
      </c>
      <c r="N2572" s="19">
        <f>IF(I2572="","",IFERROR(INDEX(ctaMon,MATCH(E2572,ctaNom,0))&amp;"","DOP"))</f>
        <v/>
      </c>
      <c r="O2572" s="20">
        <f>IF(I2572="","",C2572*IF(N2572="USD",TasaUSD,1))</f>
        <v/>
      </c>
      <c r="P2572" s="20">
        <f>IF(I2572="","",IF(I2572="Gasto",O2572,0))</f>
        <v/>
      </c>
      <c r="Q2572" s="20">
        <f>IF(I2572="","",IF(I2572="Ingreso",O2572,0))</f>
        <v/>
      </c>
      <c r="R2572" s="20">
        <f>IF(I2572="","",IF(I2572="Trading",O2572,0))</f>
        <v/>
      </c>
      <c r="S2572" s="19">
        <f>IF(I2572="","",IF(AND(I2572="Gasto",K2572="Variable",J2572&lt;&gt;"Trading",O2572&gt;0,O2572&lt;=Umbral),1,0))</f>
        <v/>
      </c>
      <c r="T2572" s="20">
        <f>IF(OR(I2572="",E2572=""),"",IF(OR(I2572="Gasto",I2572="Transferencia",I2572="Pago tarjeta"),-1,1)*C2572)</f>
        <v/>
      </c>
      <c r="U2572" s="20">
        <f>IF(OR(G2572="",AND(I2572&lt;&gt;"Transferencia",I2572&lt;&gt;"Pago tarjeta")),"",IF(IFERROR(INDEX(ctaMon,MATCH(G2572,ctaNom,0))&amp;"","DOP")=N2572,C2572,IF(N2572="USD",C2572*TasaUSD,C2572/TasaUSD)))</f>
        <v/>
      </c>
      <c r="V2572" s="20">
        <f>IF(I2572="","",IF(IFERROR(INDEX(ctaLiq,MATCH(E2572,ctaNom,0))="Sí",FALSE),IF(OR(I2572="Gasto",I2572="Transferencia",I2572="Pago tarjeta"),-1,1)*O2572,0)+IF(AND(U2572&lt;&gt;"",IFERROR(INDEX(ctaLiq,MATCH(G2572,ctaNom,0))="Sí",FALSE)),O2572,0))</f>
        <v/>
      </c>
      <c r="W2572" s="19">
        <f>IF(OR(F2572="",I2572=""),"",IF(COUNTIFS(F$6:F2572,F2572,I$6:I2572,"?*")=1,MAX(W$5:W2571)+1,""))</f>
        <v/>
      </c>
    </row>
    <row r="2573">
      <c r="B2573" s="15" t="n"/>
      <c r="C2573" s="16" t="n"/>
      <c r="D2573" s="17" t="n"/>
      <c r="E2573" s="17" t="n"/>
      <c r="F2573" s="17" t="n"/>
      <c r="G2573" s="17" t="n"/>
      <c r="H2573" s="18">
        <f>IF(AND(B2573="",C2573="",D2573="",E2573=""),"",IF(B2573="","⚠ Falta fecha",IF(C2573="","⚠ Falta monto",IF(D2573="","⚠ Falta categoría",IF(ISNA(MATCH(D2573,catNom,0)),"⚠ Categoría no existe",IF(E2573="","⚠ Falta cuenta",IF(ISNA(MATCH(E2573,ctaNom,0)),"⚠ Cuenta no existe",IF(AND(OR(I2573="Transferencia",I2573="Pago tarjeta"),G2573=""),"⚠ Indica la cuenta «Hacia»",IF(AND(G2573&lt;&gt;"",G2573=E2573),"⚠ «Hacia» igual a la cuenta",IF(AND(G2573&lt;&gt;"",ISNA(MATCH(G2573,ctaNom,0))),"⚠ «Hacia» no existe",IF(AND(I2573="Pago tarjeta",IFERROR(INDEX(ctaTipo,MATCH(G2573,ctaNom,0)),"")&lt;&gt;"Tarjeta de crédito"),"⚠ «Hacia» debe ser la tarjeta",IF(AND(I2573="Trading",IFERROR(INDEX(ctaTipo,MATCH(E2573,ctaNom,0)),"")&lt;&gt;"Cuenta de trading"),"⚠ Usa la cuenta de trading","✓"))))))))))))</f>
        <v/>
      </c>
      <c r="I2573" s="19">
        <f>IF(OR(B2573="",C2573="",D2573=""),"",IFERROR(INDEX(catTipo,MATCH(D2573,catNom,0))&amp;"",""))</f>
        <v/>
      </c>
      <c r="J2573" s="19">
        <f>IF(I2573="","",IFERROR(INDEX(catGrupo,MATCH(D2573,catNom,0))&amp;"",""))</f>
        <v/>
      </c>
      <c r="K2573" s="19">
        <f>IF(I2573="Gasto",IF(IFERROR(INDEX(catClas,MATCH(D2573,catNom,0))&amp;"","")="","Variable",IFERROR(INDEX(catClas,MATCH(D2573,catNom,0))&amp;"","")),"")</f>
        <v/>
      </c>
      <c r="L2573" s="19">
        <f>IF(I2573="","",IFERROR(INDEX(catAlim,MATCH(D2573,catNom,0))&amp;"",""))</f>
        <v/>
      </c>
      <c r="M2573" s="19">
        <f>IF(I2573="","",IFERROR(INDEX(catComida,MATCH(D2573,catNom,0))&amp;"",""))</f>
        <v/>
      </c>
      <c r="N2573" s="19">
        <f>IF(I2573="","",IFERROR(INDEX(ctaMon,MATCH(E2573,ctaNom,0))&amp;"","DOP"))</f>
        <v/>
      </c>
      <c r="O2573" s="20">
        <f>IF(I2573="","",C2573*IF(N2573="USD",TasaUSD,1))</f>
        <v/>
      </c>
      <c r="P2573" s="20">
        <f>IF(I2573="","",IF(I2573="Gasto",O2573,0))</f>
        <v/>
      </c>
      <c r="Q2573" s="20">
        <f>IF(I2573="","",IF(I2573="Ingreso",O2573,0))</f>
        <v/>
      </c>
      <c r="R2573" s="20">
        <f>IF(I2573="","",IF(I2573="Trading",O2573,0))</f>
        <v/>
      </c>
      <c r="S2573" s="19">
        <f>IF(I2573="","",IF(AND(I2573="Gasto",K2573="Variable",J2573&lt;&gt;"Trading",O2573&gt;0,O2573&lt;=Umbral),1,0))</f>
        <v/>
      </c>
      <c r="T2573" s="20">
        <f>IF(OR(I2573="",E2573=""),"",IF(OR(I2573="Gasto",I2573="Transferencia",I2573="Pago tarjeta"),-1,1)*C2573)</f>
        <v/>
      </c>
      <c r="U2573" s="20">
        <f>IF(OR(G2573="",AND(I2573&lt;&gt;"Transferencia",I2573&lt;&gt;"Pago tarjeta")),"",IF(IFERROR(INDEX(ctaMon,MATCH(G2573,ctaNom,0))&amp;"","DOP")=N2573,C2573,IF(N2573="USD",C2573*TasaUSD,C2573/TasaUSD)))</f>
        <v/>
      </c>
      <c r="V2573" s="20">
        <f>IF(I2573="","",IF(IFERROR(INDEX(ctaLiq,MATCH(E2573,ctaNom,0))="Sí",FALSE),IF(OR(I2573="Gasto",I2573="Transferencia",I2573="Pago tarjeta"),-1,1)*O2573,0)+IF(AND(U2573&lt;&gt;"",IFERROR(INDEX(ctaLiq,MATCH(G2573,ctaNom,0))="Sí",FALSE)),O2573,0))</f>
        <v/>
      </c>
      <c r="W2573" s="19">
        <f>IF(OR(F2573="",I2573=""),"",IF(COUNTIFS(F$6:F2573,F2573,I$6:I2573,"?*")=1,MAX(W$5:W2572)+1,""))</f>
        <v/>
      </c>
    </row>
    <row r="2574">
      <c r="B2574" s="15" t="n"/>
      <c r="C2574" s="16" t="n"/>
      <c r="D2574" s="17" t="n"/>
      <c r="E2574" s="17" t="n"/>
      <c r="F2574" s="17" t="n"/>
      <c r="G2574" s="17" t="n"/>
      <c r="H2574" s="18">
        <f>IF(AND(B2574="",C2574="",D2574="",E2574=""),"",IF(B2574="","⚠ Falta fecha",IF(C2574="","⚠ Falta monto",IF(D2574="","⚠ Falta categoría",IF(ISNA(MATCH(D2574,catNom,0)),"⚠ Categoría no existe",IF(E2574="","⚠ Falta cuenta",IF(ISNA(MATCH(E2574,ctaNom,0)),"⚠ Cuenta no existe",IF(AND(OR(I2574="Transferencia",I2574="Pago tarjeta"),G2574=""),"⚠ Indica la cuenta «Hacia»",IF(AND(G2574&lt;&gt;"",G2574=E2574),"⚠ «Hacia» igual a la cuenta",IF(AND(G2574&lt;&gt;"",ISNA(MATCH(G2574,ctaNom,0))),"⚠ «Hacia» no existe",IF(AND(I2574="Pago tarjeta",IFERROR(INDEX(ctaTipo,MATCH(G2574,ctaNom,0)),"")&lt;&gt;"Tarjeta de crédito"),"⚠ «Hacia» debe ser la tarjeta",IF(AND(I2574="Trading",IFERROR(INDEX(ctaTipo,MATCH(E2574,ctaNom,0)),"")&lt;&gt;"Cuenta de trading"),"⚠ Usa la cuenta de trading","✓"))))))))))))</f>
        <v/>
      </c>
      <c r="I2574" s="19">
        <f>IF(OR(B2574="",C2574="",D2574=""),"",IFERROR(INDEX(catTipo,MATCH(D2574,catNom,0))&amp;"",""))</f>
        <v/>
      </c>
      <c r="J2574" s="19">
        <f>IF(I2574="","",IFERROR(INDEX(catGrupo,MATCH(D2574,catNom,0))&amp;"",""))</f>
        <v/>
      </c>
      <c r="K2574" s="19">
        <f>IF(I2574="Gasto",IF(IFERROR(INDEX(catClas,MATCH(D2574,catNom,0))&amp;"","")="","Variable",IFERROR(INDEX(catClas,MATCH(D2574,catNom,0))&amp;"","")),"")</f>
        <v/>
      </c>
      <c r="L2574" s="19">
        <f>IF(I2574="","",IFERROR(INDEX(catAlim,MATCH(D2574,catNom,0))&amp;"",""))</f>
        <v/>
      </c>
      <c r="M2574" s="19">
        <f>IF(I2574="","",IFERROR(INDEX(catComida,MATCH(D2574,catNom,0))&amp;"",""))</f>
        <v/>
      </c>
      <c r="N2574" s="19">
        <f>IF(I2574="","",IFERROR(INDEX(ctaMon,MATCH(E2574,ctaNom,0))&amp;"","DOP"))</f>
        <v/>
      </c>
      <c r="O2574" s="20">
        <f>IF(I2574="","",C2574*IF(N2574="USD",TasaUSD,1))</f>
        <v/>
      </c>
      <c r="P2574" s="20">
        <f>IF(I2574="","",IF(I2574="Gasto",O2574,0))</f>
        <v/>
      </c>
      <c r="Q2574" s="20">
        <f>IF(I2574="","",IF(I2574="Ingreso",O2574,0))</f>
        <v/>
      </c>
      <c r="R2574" s="20">
        <f>IF(I2574="","",IF(I2574="Trading",O2574,0))</f>
        <v/>
      </c>
      <c r="S2574" s="19">
        <f>IF(I2574="","",IF(AND(I2574="Gasto",K2574="Variable",J2574&lt;&gt;"Trading",O2574&gt;0,O2574&lt;=Umbral),1,0))</f>
        <v/>
      </c>
      <c r="T2574" s="20">
        <f>IF(OR(I2574="",E2574=""),"",IF(OR(I2574="Gasto",I2574="Transferencia",I2574="Pago tarjeta"),-1,1)*C2574)</f>
        <v/>
      </c>
      <c r="U2574" s="20">
        <f>IF(OR(G2574="",AND(I2574&lt;&gt;"Transferencia",I2574&lt;&gt;"Pago tarjeta")),"",IF(IFERROR(INDEX(ctaMon,MATCH(G2574,ctaNom,0))&amp;"","DOP")=N2574,C2574,IF(N2574="USD",C2574*TasaUSD,C2574/TasaUSD)))</f>
        <v/>
      </c>
      <c r="V2574" s="20">
        <f>IF(I2574="","",IF(IFERROR(INDEX(ctaLiq,MATCH(E2574,ctaNom,0))="Sí",FALSE),IF(OR(I2574="Gasto",I2574="Transferencia",I2574="Pago tarjeta"),-1,1)*O2574,0)+IF(AND(U2574&lt;&gt;"",IFERROR(INDEX(ctaLiq,MATCH(G2574,ctaNom,0))="Sí",FALSE)),O2574,0))</f>
        <v/>
      </c>
      <c r="W2574" s="19">
        <f>IF(OR(F2574="",I2574=""),"",IF(COUNTIFS(F$6:F2574,F2574,I$6:I2574,"?*")=1,MAX(W$5:W2573)+1,""))</f>
        <v/>
      </c>
    </row>
    <row r="2575">
      <c r="B2575" s="15" t="n"/>
      <c r="C2575" s="16" t="n"/>
      <c r="D2575" s="17" t="n"/>
      <c r="E2575" s="17" t="n"/>
      <c r="F2575" s="17" t="n"/>
      <c r="G2575" s="17" t="n"/>
      <c r="H2575" s="18">
        <f>IF(AND(B2575="",C2575="",D2575="",E2575=""),"",IF(B2575="","⚠ Falta fecha",IF(C2575="","⚠ Falta monto",IF(D2575="","⚠ Falta categoría",IF(ISNA(MATCH(D2575,catNom,0)),"⚠ Categoría no existe",IF(E2575="","⚠ Falta cuenta",IF(ISNA(MATCH(E2575,ctaNom,0)),"⚠ Cuenta no existe",IF(AND(OR(I2575="Transferencia",I2575="Pago tarjeta"),G2575=""),"⚠ Indica la cuenta «Hacia»",IF(AND(G2575&lt;&gt;"",G2575=E2575),"⚠ «Hacia» igual a la cuenta",IF(AND(G2575&lt;&gt;"",ISNA(MATCH(G2575,ctaNom,0))),"⚠ «Hacia» no existe",IF(AND(I2575="Pago tarjeta",IFERROR(INDEX(ctaTipo,MATCH(G2575,ctaNom,0)),"")&lt;&gt;"Tarjeta de crédito"),"⚠ «Hacia» debe ser la tarjeta",IF(AND(I2575="Trading",IFERROR(INDEX(ctaTipo,MATCH(E2575,ctaNom,0)),"")&lt;&gt;"Cuenta de trading"),"⚠ Usa la cuenta de trading","✓"))))))))))))</f>
        <v/>
      </c>
      <c r="I2575" s="19">
        <f>IF(OR(B2575="",C2575="",D2575=""),"",IFERROR(INDEX(catTipo,MATCH(D2575,catNom,0))&amp;"",""))</f>
        <v/>
      </c>
      <c r="J2575" s="19">
        <f>IF(I2575="","",IFERROR(INDEX(catGrupo,MATCH(D2575,catNom,0))&amp;"",""))</f>
        <v/>
      </c>
      <c r="K2575" s="19">
        <f>IF(I2575="Gasto",IF(IFERROR(INDEX(catClas,MATCH(D2575,catNom,0))&amp;"","")="","Variable",IFERROR(INDEX(catClas,MATCH(D2575,catNom,0))&amp;"","")),"")</f>
        <v/>
      </c>
      <c r="L2575" s="19">
        <f>IF(I2575="","",IFERROR(INDEX(catAlim,MATCH(D2575,catNom,0))&amp;"",""))</f>
        <v/>
      </c>
      <c r="M2575" s="19">
        <f>IF(I2575="","",IFERROR(INDEX(catComida,MATCH(D2575,catNom,0))&amp;"",""))</f>
        <v/>
      </c>
      <c r="N2575" s="19">
        <f>IF(I2575="","",IFERROR(INDEX(ctaMon,MATCH(E2575,ctaNom,0))&amp;"","DOP"))</f>
        <v/>
      </c>
      <c r="O2575" s="20">
        <f>IF(I2575="","",C2575*IF(N2575="USD",TasaUSD,1))</f>
        <v/>
      </c>
      <c r="P2575" s="20">
        <f>IF(I2575="","",IF(I2575="Gasto",O2575,0))</f>
        <v/>
      </c>
      <c r="Q2575" s="20">
        <f>IF(I2575="","",IF(I2575="Ingreso",O2575,0))</f>
        <v/>
      </c>
      <c r="R2575" s="20">
        <f>IF(I2575="","",IF(I2575="Trading",O2575,0))</f>
        <v/>
      </c>
      <c r="S2575" s="19">
        <f>IF(I2575="","",IF(AND(I2575="Gasto",K2575="Variable",J2575&lt;&gt;"Trading",O2575&gt;0,O2575&lt;=Umbral),1,0))</f>
        <v/>
      </c>
      <c r="T2575" s="20">
        <f>IF(OR(I2575="",E2575=""),"",IF(OR(I2575="Gasto",I2575="Transferencia",I2575="Pago tarjeta"),-1,1)*C2575)</f>
        <v/>
      </c>
      <c r="U2575" s="20">
        <f>IF(OR(G2575="",AND(I2575&lt;&gt;"Transferencia",I2575&lt;&gt;"Pago tarjeta")),"",IF(IFERROR(INDEX(ctaMon,MATCH(G2575,ctaNom,0))&amp;"","DOP")=N2575,C2575,IF(N2575="USD",C2575*TasaUSD,C2575/TasaUSD)))</f>
        <v/>
      </c>
      <c r="V2575" s="20">
        <f>IF(I2575="","",IF(IFERROR(INDEX(ctaLiq,MATCH(E2575,ctaNom,0))="Sí",FALSE),IF(OR(I2575="Gasto",I2575="Transferencia",I2575="Pago tarjeta"),-1,1)*O2575,0)+IF(AND(U2575&lt;&gt;"",IFERROR(INDEX(ctaLiq,MATCH(G2575,ctaNom,0))="Sí",FALSE)),O2575,0))</f>
        <v/>
      </c>
      <c r="W2575" s="19">
        <f>IF(OR(F2575="",I2575=""),"",IF(COUNTIFS(F$6:F2575,F2575,I$6:I2575,"?*")=1,MAX(W$5:W2574)+1,""))</f>
        <v/>
      </c>
    </row>
    <row r="2576">
      <c r="B2576" s="15" t="n"/>
      <c r="C2576" s="16" t="n"/>
      <c r="D2576" s="17" t="n"/>
      <c r="E2576" s="17" t="n"/>
      <c r="F2576" s="17" t="n"/>
      <c r="G2576" s="17" t="n"/>
      <c r="H2576" s="18">
        <f>IF(AND(B2576="",C2576="",D2576="",E2576=""),"",IF(B2576="","⚠ Falta fecha",IF(C2576="","⚠ Falta monto",IF(D2576="","⚠ Falta categoría",IF(ISNA(MATCH(D2576,catNom,0)),"⚠ Categoría no existe",IF(E2576="","⚠ Falta cuenta",IF(ISNA(MATCH(E2576,ctaNom,0)),"⚠ Cuenta no existe",IF(AND(OR(I2576="Transferencia",I2576="Pago tarjeta"),G2576=""),"⚠ Indica la cuenta «Hacia»",IF(AND(G2576&lt;&gt;"",G2576=E2576),"⚠ «Hacia» igual a la cuenta",IF(AND(G2576&lt;&gt;"",ISNA(MATCH(G2576,ctaNom,0))),"⚠ «Hacia» no existe",IF(AND(I2576="Pago tarjeta",IFERROR(INDEX(ctaTipo,MATCH(G2576,ctaNom,0)),"")&lt;&gt;"Tarjeta de crédito"),"⚠ «Hacia» debe ser la tarjeta",IF(AND(I2576="Trading",IFERROR(INDEX(ctaTipo,MATCH(E2576,ctaNom,0)),"")&lt;&gt;"Cuenta de trading"),"⚠ Usa la cuenta de trading","✓"))))))))))))</f>
        <v/>
      </c>
      <c r="I2576" s="19">
        <f>IF(OR(B2576="",C2576="",D2576=""),"",IFERROR(INDEX(catTipo,MATCH(D2576,catNom,0))&amp;"",""))</f>
        <v/>
      </c>
      <c r="J2576" s="19">
        <f>IF(I2576="","",IFERROR(INDEX(catGrupo,MATCH(D2576,catNom,0))&amp;"",""))</f>
        <v/>
      </c>
      <c r="K2576" s="19">
        <f>IF(I2576="Gasto",IF(IFERROR(INDEX(catClas,MATCH(D2576,catNom,0))&amp;"","")="","Variable",IFERROR(INDEX(catClas,MATCH(D2576,catNom,0))&amp;"","")),"")</f>
        <v/>
      </c>
      <c r="L2576" s="19">
        <f>IF(I2576="","",IFERROR(INDEX(catAlim,MATCH(D2576,catNom,0))&amp;"",""))</f>
        <v/>
      </c>
      <c r="M2576" s="19">
        <f>IF(I2576="","",IFERROR(INDEX(catComida,MATCH(D2576,catNom,0))&amp;"",""))</f>
        <v/>
      </c>
      <c r="N2576" s="19">
        <f>IF(I2576="","",IFERROR(INDEX(ctaMon,MATCH(E2576,ctaNom,0))&amp;"","DOP"))</f>
        <v/>
      </c>
      <c r="O2576" s="20">
        <f>IF(I2576="","",C2576*IF(N2576="USD",TasaUSD,1))</f>
        <v/>
      </c>
      <c r="P2576" s="20">
        <f>IF(I2576="","",IF(I2576="Gasto",O2576,0))</f>
        <v/>
      </c>
      <c r="Q2576" s="20">
        <f>IF(I2576="","",IF(I2576="Ingreso",O2576,0))</f>
        <v/>
      </c>
      <c r="R2576" s="20">
        <f>IF(I2576="","",IF(I2576="Trading",O2576,0))</f>
        <v/>
      </c>
      <c r="S2576" s="19">
        <f>IF(I2576="","",IF(AND(I2576="Gasto",K2576="Variable",J2576&lt;&gt;"Trading",O2576&gt;0,O2576&lt;=Umbral),1,0))</f>
        <v/>
      </c>
      <c r="T2576" s="20">
        <f>IF(OR(I2576="",E2576=""),"",IF(OR(I2576="Gasto",I2576="Transferencia",I2576="Pago tarjeta"),-1,1)*C2576)</f>
        <v/>
      </c>
      <c r="U2576" s="20">
        <f>IF(OR(G2576="",AND(I2576&lt;&gt;"Transferencia",I2576&lt;&gt;"Pago tarjeta")),"",IF(IFERROR(INDEX(ctaMon,MATCH(G2576,ctaNom,0))&amp;"","DOP")=N2576,C2576,IF(N2576="USD",C2576*TasaUSD,C2576/TasaUSD)))</f>
        <v/>
      </c>
      <c r="V2576" s="20">
        <f>IF(I2576="","",IF(IFERROR(INDEX(ctaLiq,MATCH(E2576,ctaNom,0))="Sí",FALSE),IF(OR(I2576="Gasto",I2576="Transferencia",I2576="Pago tarjeta"),-1,1)*O2576,0)+IF(AND(U2576&lt;&gt;"",IFERROR(INDEX(ctaLiq,MATCH(G2576,ctaNom,0))="Sí",FALSE)),O2576,0))</f>
        <v/>
      </c>
      <c r="W2576" s="19">
        <f>IF(OR(F2576="",I2576=""),"",IF(COUNTIFS(F$6:F2576,F2576,I$6:I2576,"?*")=1,MAX(W$5:W2575)+1,""))</f>
        <v/>
      </c>
    </row>
    <row r="2577">
      <c r="B2577" s="15" t="n"/>
      <c r="C2577" s="16" t="n"/>
      <c r="D2577" s="17" t="n"/>
      <c r="E2577" s="17" t="n"/>
      <c r="F2577" s="17" t="n"/>
      <c r="G2577" s="17" t="n"/>
      <c r="H2577" s="18">
        <f>IF(AND(B2577="",C2577="",D2577="",E2577=""),"",IF(B2577="","⚠ Falta fecha",IF(C2577="","⚠ Falta monto",IF(D2577="","⚠ Falta categoría",IF(ISNA(MATCH(D2577,catNom,0)),"⚠ Categoría no existe",IF(E2577="","⚠ Falta cuenta",IF(ISNA(MATCH(E2577,ctaNom,0)),"⚠ Cuenta no existe",IF(AND(OR(I2577="Transferencia",I2577="Pago tarjeta"),G2577=""),"⚠ Indica la cuenta «Hacia»",IF(AND(G2577&lt;&gt;"",G2577=E2577),"⚠ «Hacia» igual a la cuenta",IF(AND(G2577&lt;&gt;"",ISNA(MATCH(G2577,ctaNom,0))),"⚠ «Hacia» no existe",IF(AND(I2577="Pago tarjeta",IFERROR(INDEX(ctaTipo,MATCH(G2577,ctaNom,0)),"")&lt;&gt;"Tarjeta de crédito"),"⚠ «Hacia» debe ser la tarjeta",IF(AND(I2577="Trading",IFERROR(INDEX(ctaTipo,MATCH(E2577,ctaNom,0)),"")&lt;&gt;"Cuenta de trading"),"⚠ Usa la cuenta de trading","✓"))))))))))))</f>
        <v/>
      </c>
      <c r="I2577" s="19">
        <f>IF(OR(B2577="",C2577="",D2577=""),"",IFERROR(INDEX(catTipo,MATCH(D2577,catNom,0))&amp;"",""))</f>
        <v/>
      </c>
      <c r="J2577" s="19">
        <f>IF(I2577="","",IFERROR(INDEX(catGrupo,MATCH(D2577,catNom,0))&amp;"",""))</f>
        <v/>
      </c>
      <c r="K2577" s="19">
        <f>IF(I2577="Gasto",IF(IFERROR(INDEX(catClas,MATCH(D2577,catNom,0))&amp;"","")="","Variable",IFERROR(INDEX(catClas,MATCH(D2577,catNom,0))&amp;"","")),"")</f>
        <v/>
      </c>
      <c r="L2577" s="19">
        <f>IF(I2577="","",IFERROR(INDEX(catAlim,MATCH(D2577,catNom,0))&amp;"",""))</f>
        <v/>
      </c>
      <c r="M2577" s="19">
        <f>IF(I2577="","",IFERROR(INDEX(catComida,MATCH(D2577,catNom,0))&amp;"",""))</f>
        <v/>
      </c>
      <c r="N2577" s="19">
        <f>IF(I2577="","",IFERROR(INDEX(ctaMon,MATCH(E2577,ctaNom,0))&amp;"","DOP"))</f>
        <v/>
      </c>
      <c r="O2577" s="20">
        <f>IF(I2577="","",C2577*IF(N2577="USD",TasaUSD,1))</f>
        <v/>
      </c>
      <c r="P2577" s="20">
        <f>IF(I2577="","",IF(I2577="Gasto",O2577,0))</f>
        <v/>
      </c>
      <c r="Q2577" s="20">
        <f>IF(I2577="","",IF(I2577="Ingreso",O2577,0))</f>
        <v/>
      </c>
      <c r="R2577" s="20">
        <f>IF(I2577="","",IF(I2577="Trading",O2577,0))</f>
        <v/>
      </c>
      <c r="S2577" s="19">
        <f>IF(I2577="","",IF(AND(I2577="Gasto",K2577="Variable",J2577&lt;&gt;"Trading",O2577&gt;0,O2577&lt;=Umbral),1,0))</f>
        <v/>
      </c>
      <c r="T2577" s="20">
        <f>IF(OR(I2577="",E2577=""),"",IF(OR(I2577="Gasto",I2577="Transferencia",I2577="Pago tarjeta"),-1,1)*C2577)</f>
        <v/>
      </c>
      <c r="U2577" s="20">
        <f>IF(OR(G2577="",AND(I2577&lt;&gt;"Transferencia",I2577&lt;&gt;"Pago tarjeta")),"",IF(IFERROR(INDEX(ctaMon,MATCH(G2577,ctaNom,0))&amp;"","DOP")=N2577,C2577,IF(N2577="USD",C2577*TasaUSD,C2577/TasaUSD)))</f>
        <v/>
      </c>
      <c r="V2577" s="20">
        <f>IF(I2577="","",IF(IFERROR(INDEX(ctaLiq,MATCH(E2577,ctaNom,0))="Sí",FALSE),IF(OR(I2577="Gasto",I2577="Transferencia",I2577="Pago tarjeta"),-1,1)*O2577,0)+IF(AND(U2577&lt;&gt;"",IFERROR(INDEX(ctaLiq,MATCH(G2577,ctaNom,0))="Sí",FALSE)),O2577,0))</f>
        <v/>
      </c>
      <c r="W2577" s="19">
        <f>IF(OR(F2577="",I2577=""),"",IF(COUNTIFS(F$6:F2577,F2577,I$6:I2577,"?*")=1,MAX(W$5:W2576)+1,""))</f>
        <v/>
      </c>
    </row>
    <row r="2578">
      <c r="B2578" s="15" t="n"/>
      <c r="C2578" s="16" t="n"/>
      <c r="D2578" s="17" t="n"/>
      <c r="E2578" s="17" t="n"/>
      <c r="F2578" s="17" t="n"/>
      <c r="G2578" s="17" t="n"/>
      <c r="H2578" s="18">
        <f>IF(AND(B2578="",C2578="",D2578="",E2578=""),"",IF(B2578="","⚠ Falta fecha",IF(C2578="","⚠ Falta monto",IF(D2578="","⚠ Falta categoría",IF(ISNA(MATCH(D2578,catNom,0)),"⚠ Categoría no existe",IF(E2578="","⚠ Falta cuenta",IF(ISNA(MATCH(E2578,ctaNom,0)),"⚠ Cuenta no existe",IF(AND(OR(I2578="Transferencia",I2578="Pago tarjeta"),G2578=""),"⚠ Indica la cuenta «Hacia»",IF(AND(G2578&lt;&gt;"",G2578=E2578),"⚠ «Hacia» igual a la cuenta",IF(AND(G2578&lt;&gt;"",ISNA(MATCH(G2578,ctaNom,0))),"⚠ «Hacia» no existe",IF(AND(I2578="Pago tarjeta",IFERROR(INDEX(ctaTipo,MATCH(G2578,ctaNom,0)),"")&lt;&gt;"Tarjeta de crédito"),"⚠ «Hacia» debe ser la tarjeta",IF(AND(I2578="Trading",IFERROR(INDEX(ctaTipo,MATCH(E2578,ctaNom,0)),"")&lt;&gt;"Cuenta de trading"),"⚠ Usa la cuenta de trading","✓"))))))))))))</f>
        <v/>
      </c>
      <c r="I2578" s="19">
        <f>IF(OR(B2578="",C2578="",D2578=""),"",IFERROR(INDEX(catTipo,MATCH(D2578,catNom,0))&amp;"",""))</f>
        <v/>
      </c>
      <c r="J2578" s="19">
        <f>IF(I2578="","",IFERROR(INDEX(catGrupo,MATCH(D2578,catNom,0))&amp;"",""))</f>
        <v/>
      </c>
      <c r="K2578" s="19">
        <f>IF(I2578="Gasto",IF(IFERROR(INDEX(catClas,MATCH(D2578,catNom,0))&amp;"","")="","Variable",IFERROR(INDEX(catClas,MATCH(D2578,catNom,0))&amp;"","")),"")</f>
        <v/>
      </c>
      <c r="L2578" s="19">
        <f>IF(I2578="","",IFERROR(INDEX(catAlim,MATCH(D2578,catNom,0))&amp;"",""))</f>
        <v/>
      </c>
      <c r="M2578" s="19">
        <f>IF(I2578="","",IFERROR(INDEX(catComida,MATCH(D2578,catNom,0))&amp;"",""))</f>
        <v/>
      </c>
      <c r="N2578" s="19">
        <f>IF(I2578="","",IFERROR(INDEX(ctaMon,MATCH(E2578,ctaNom,0))&amp;"","DOP"))</f>
        <v/>
      </c>
      <c r="O2578" s="20">
        <f>IF(I2578="","",C2578*IF(N2578="USD",TasaUSD,1))</f>
        <v/>
      </c>
      <c r="P2578" s="20">
        <f>IF(I2578="","",IF(I2578="Gasto",O2578,0))</f>
        <v/>
      </c>
      <c r="Q2578" s="20">
        <f>IF(I2578="","",IF(I2578="Ingreso",O2578,0))</f>
        <v/>
      </c>
      <c r="R2578" s="20">
        <f>IF(I2578="","",IF(I2578="Trading",O2578,0))</f>
        <v/>
      </c>
      <c r="S2578" s="19">
        <f>IF(I2578="","",IF(AND(I2578="Gasto",K2578="Variable",J2578&lt;&gt;"Trading",O2578&gt;0,O2578&lt;=Umbral),1,0))</f>
        <v/>
      </c>
      <c r="T2578" s="20">
        <f>IF(OR(I2578="",E2578=""),"",IF(OR(I2578="Gasto",I2578="Transferencia",I2578="Pago tarjeta"),-1,1)*C2578)</f>
        <v/>
      </c>
      <c r="U2578" s="20">
        <f>IF(OR(G2578="",AND(I2578&lt;&gt;"Transferencia",I2578&lt;&gt;"Pago tarjeta")),"",IF(IFERROR(INDEX(ctaMon,MATCH(G2578,ctaNom,0))&amp;"","DOP")=N2578,C2578,IF(N2578="USD",C2578*TasaUSD,C2578/TasaUSD)))</f>
        <v/>
      </c>
      <c r="V2578" s="20">
        <f>IF(I2578="","",IF(IFERROR(INDEX(ctaLiq,MATCH(E2578,ctaNom,0))="Sí",FALSE),IF(OR(I2578="Gasto",I2578="Transferencia",I2578="Pago tarjeta"),-1,1)*O2578,0)+IF(AND(U2578&lt;&gt;"",IFERROR(INDEX(ctaLiq,MATCH(G2578,ctaNom,0))="Sí",FALSE)),O2578,0))</f>
        <v/>
      </c>
      <c r="W2578" s="19">
        <f>IF(OR(F2578="",I2578=""),"",IF(COUNTIFS(F$6:F2578,F2578,I$6:I2578,"?*")=1,MAX(W$5:W2577)+1,""))</f>
        <v/>
      </c>
    </row>
    <row r="2579">
      <c r="B2579" s="15" t="n"/>
      <c r="C2579" s="16" t="n"/>
      <c r="D2579" s="17" t="n"/>
      <c r="E2579" s="17" t="n"/>
      <c r="F2579" s="17" t="n"/>
      <c r="G2579" s="17" t="n"/>
      <c r="H2579" s="18">
        <f>IF(AND(B2579="",C2579="",D2579="",E2579=""),"",IF(B2579="","⚠ Falta fecha",IF(C2579="","⚠ Falta monto",IF(D2579="","⚠ Falta categoría",IF(ISNA(MATCH(D2579,catNom,0)),"⚠ Categoría no existe",IF(E2579="","⚠ Falta cuenta",IF(ISNA(MATCH(E2579,ctaNom,0)),"⚠ Cuenta no existe",IF(AND(OR(I2579="Transferencia",I2579="Pago tarjeta"),G2579=""),"⚠ Indica la cuenta «Hacia»",IF(AND(G2579&lt;&gt;"",G2579=E2579),"⚠ «Hacia» igual a la cuenta",IF(AND(G2579&lt;&gt;"",ISNA(MATCH(G2579,ctaNom,0))),"⚠ «Hacia» no existe",IF(AND(I2579="Pago tarjeta",IFERROR(INDEX(ctaTipo,MATCH(G2579,ctaNom,0)),"")&lt;&gt;"Tarjeta de crédito"),"⚠ «Hacia» debe ser la tarjeta",IF(AND(I2579="Trading",IFERROR(INDEX(ctaTipo,MATCH(E2579,ctaNom,0)),"")&lt;&gt;"Cuenta de trading"),"⚠ Usa la cuenta de trading","✓"))))))))))))</f>
        <v/>
      </c>
      <c r="I2579" s="19">
        <f>IF(OR(B2579="",C2579="",D2579=""),"",IFERROR(INDEX(catTipo,MATCH(D2579,catNom,0))&amp;"",""))</f>
        <v/>
      </c>
      <c r="J2579" s="19">
        <f>IF(I2579="","",IFERROR(INDEX(catGrupo,MATCH(D2579,catNom,0))&amp;"",""))</f>
        <v/>
      </c>
      <c r="K2579" s="19">
        <f>IF(I2579="Gasto",IF(IFERROR(INDEX(catClas,MATCH(D2579,catNom,0))&amp;"","")="","Variable",IFERROR(INDEX(catClas,MATCH(D2579,catNom,0))&amp;"","")),"")</f>
        <v/>
      </c>
      <c r="L2579" s="19">
        <f>IF(I2579="","",IFERROR(INDEX(catAlim,MATCH(D2579,catNom,0))&amp;"",""))</f>
        <v/>
      </c>
      <c r="M2579" s="19">
        <f>IF(I2579="","",IFERROR(INDEX(catComida,MATCH(D2579,catNom,0))&amp;"",""))</f>
        <v/>
      </c>
      <c r="N2579" s="19">
        <f>IF(I2579="","",IFERROR(INDEX(ctaMon,MATCH(E2579,ctaNom,0))&amp;"","DOP"))</f>
        <v/>
      </c>
      <c r="O2579" s="20">
        <f>IF(I2579="","",C2579*IF(N2579="USD",TasaUSD,1))</f>
        <v/>
      </c>
      <c r="P2579" s="20">
        <f>IF(I2579="","",IF(I2579="Gasto",O2579,0))</f>
        <v/>
      </c>
      <c r="Q2579" s="20">
        <f>IF(I2579="","",IF(I2579="Ingreso",O2579,0))</f>
        <v/>
      </c>
      <c r="R2579" s="20">
        <f>IF(I2579="","",IF(I2579="Trading",O2579,0))</f>
        <v/>
      </c>
      <c r="S2579" s="19">
        <f>IF(I2579="","",IF(AND(I2579="Gasto",K2579="Variable",J2579&lt;&gt;"Trading",O2579&gt;0,O2579&lt;=Umbral),1,0))</f>
        <v/>
      </c>
      <c r="T2579" s="20">
        <f>IF(OR(I2579="",E2579=""),"",IF(OR(I2579="Gasto",I2579="Transferencia",I2579="Pago tarjeta"),-1,1)*C2579)</f>
        <v/>
      </c>
      <c r="U2579" s="20">
        <f>IF(OR(G2579="",AND(I2579&lt;&gt;"Transferencia",I2579&lt;&gt;"Pago tarjeta")),"",IF(IFERROR(INDEX(ctaMon,MATCH(G2579,ctaNom,0))&amp;"","DOP")=N2579,C2579,IF(N2579="USD",C2579*TasaUSD,C2579/TasaUSD)))</f>
        <v/>
      </c>
      <c r="V2579" s="20">
        <f>IF(I2579="","",IF(IFERROR(INDEX(ctaLiq,MATCH(E2579,ctaNom,0))="Sí",FALSE),IF(OR(I2579="Gasto",I2579="Transferencia",I2579="Pago tarjeta"),-1,1)*O2579,0)+IF(AND(U2579&lt;&gt;"",IFERROR(INDEX(ctaLiq,MATCH(G2579,ctaNom,0))="Sí",FALSE)),O2579,0))</f>
        <v/>
      </c>
      <c r="W2579" s="19">
        <f>IF(OR(F2579="",I2579=""),"",IF(COUNTIFS(F$6:F2579,F2579,I$6:I2579,"?*")=1,MAX(W$5:W2578)+1,""))</f>
        <v/>
      </c>
    </row>
    <row r="2580">
      <c r="B2580" s="15" t="n"/>
      <c r="C2580" s="16" t="n"/>
      <c r="D2580" s="17" t="n"/>
      <c r="E2580" s="17" t="n"/>
      <c r="F2580" s="17" t="n"/>
      <c r="G2580" s="17" t="n"/>
      <c r="H2580" s="18">
        <f>IF(AND(B2580="",C2580="",D2580="",E2580=""),"",IF(B2580="","⚠ Falta fecha",IF(C2580="","⚠ Falta monto",IF(D2580="","⚠ Falta categoría",IF(ISNA(MATCH(D2580,catNom,0)),"⚠ Categoría no existe",IF(E2580="","⚠ Falta cuenta",IF(ISNA(MATCH(E2580,ctaNom,0)),"⚠ Cuenta no existe",IF(AND(OR(I2580="Transferencia",I2580="Pago tarjeta"),G2580=""),"⚠ Indica la cuenta «Hacia»",IF(AND(G2580&lt;&gt;"",G2580=E2580),"⚠ «Hacia» igual a la cuenta",IF(AND(G2580&lt;&gt;"",ISNA(MATCH(G2580,ctaNom,0))),"⚠ «Hacia» no existe",IF(AND(I2580="Pago tarjeta",IFERROR(INDEX(ctaTipo,MATCH(G2580,ctaNom,0)),"")&lt;&gt;"Tarjeta de crédito"),"⚠ «Hacia» debe ser la tarjeta",IF(AND(I2580="Trading",IFERROR(INDEX(ctaTipo,MATCH(E2580,ctaNom,0)),"")&lt;&gt;"Cuenta de trading"),"⚠ Usa la cuenta de trading","✓"))))))))))))</f>
        <v/>
      </c>
      <c r="I2580" s="19">
        <f>IF(OR(B2580="",C2580="",D2580=""),"",IFERROR(INDEX(catTipo,MATCH(D2580,catNom,0))&amp;"",""))</f>
        <v/>
      </c>
      <c r="J2580" s="19">
        <f>IF(I2580="","",IFERROR(INDEX(catGrupo,MATCH(D2580,catNom,0))&amp;"",""))</f>
        <v/>
      </c>
      <c r="K2580" s="19">
        <f>IF(I2580="Gasto",IF(IFERROR(INDEX(catClas,MATCH(D2580,catNom,0))&amp;"","")="","Variable",IFERROR(INDEX(catClas,MATCH(D2580,catNom,0))&amp;"","")),"")</f>
        <v/>
      </c>
      <c r="L2580" s="19">
        <f>IF(I2580="","",IFERROR(INDEX(catAlim,MATCH(D2580,catNom,0))&amp;"",""))</f>
        <v/>
      </c>
      <c r="M2580" s="19">
        <f>IF(I2580="","",IFERROR(INDEX(catComida,MATCH(D2580,catNom,0))&amp;"",""))</f>
        <v/>
      </c>
      <c r="N2580" s="19">
        <f>IF(I2580="","",IFERROR(INDEX(ctaMon,MATCH(E2580,ctaNom,0))&amp;"","DOP"))</f>
        <v/>
      </c>
      <c r="O2580" s="20">
        <f>IF(I2580="","",C2580*IF(N2580="USD",TasaUSD,1))</f>
        <v/>
      </c>
      <c r="P2580" s="20">
        <f>IF(I2580="","",IF(I2580="Gasto",O2580,0))</f>
        <v/>
      </c>
      <c r="Q2580" s="20">
        <f>IF(I2580="","",IF(I2580="Ingreso",O2580,0))</f>
        <v/>
      </c>
      <c r="R2580" s="20">
        <f>IF(I2580="","",IF(I2580="Trading",O2580,0))</f>
        <v/>
      </c>
      <c r="S2580" s="19">
        <f>IF(I2580="","",IF(AND(I2580="Gasto",K2580="Variable",J2580&lt;&gt;"Trading",O2580&gt;0,O2580&lt;=Umbral),1,0))</f>
        <v/>
      </c>
      <c r="T2580" s="20">
        <f>IF(OR(I2580="",E2580=""),"",IF(OR(I2580="Gasto",I2580="Transferencia",I2580="Pago tarjeta"),-1,1)*C2580)</f>
        <v/>
      </c>
      <c r="U2580" s="20">
        <f>IF(OR(G2580="",AND(I2580&lt;&gt;"Transferencia",I2580&lt;&gt;"Pago tarjeta")),"",IF(IFERROR(INDEX(ctaMon,MATCH(G2580,ctaNom,0))&amp;"","DOP")=N2580,C2580,IF(N2580="USD",C2580*TasaUSD,C2580/TasaUSD)))</f>
        <v/>
      </c>
      <c r="V2580" s="20">
        <f>IF(I2580="","",IF(IFERROR(INDEX(ctaLiq,MATCH(E2580,ctaNom,0))="Sí",FALSE),IF(OR(I2580="Gasto",I2580="Transferencia",I2580="Pago tarjeta"),-1,1)*O2580,0)+IF(AND(U2580&lt;&gt;"",IFERROR(INDEX(ctaLiq,MATCH(G2580,ctaNom,0))="Sí",FALSE)),O2580,0))</f>
        <v/>
      </c>
      <c r="W2580" s="19">
        <f>IF(OR(F2580="",I2580=""),"",IF(COUNTIFS(F$6:F2580,F2580,I$6:I2580,"?*")=1,MAX(W$5:W2579)+1,""))</f>
        <v/>
      </c>
    </row>
    <row r="2581">
      <c r="B2581" s="15" t="n"/>
      <c r="C2581" s="16" t="n"/>
      <c r="D2581" s="17" t="n"/>
      <c r="E2581" s="17" t="n"/>
      <c r="F2581" s="17" t="n"/>
      <c r="G2581" s="17" t="n"/>
      <c r="H2581" s="18">
        <f>IF(AND(B2581="",C2581="",D2581="",E2581=""),"",IF(B2581="","⚠ Falta fecha",IF(C2581="","⚠ Falta monto",IF(D2581="","⚠ Falta categoría",IF(ISNA(MATCH(D2581,catNom,0)),"⚠ Categoría no existe",IF(E2581="","⚠ Falta cuenta",IF(ISNA(MATCH(E2581,ctaNom,0)),"⚠ Cuenta no existe",IF(AND(OR(I2581="Transferencia",I2581="Pago tarjeta"),G2581=""),"⚠ Indica la cuenta «Hacia»",IF(AND(G2581&lt;&gt;"",G2581=E2581),"⚠ «Hacia» igual a la cuenta",IF(AND(G2581&lt;&gt;"",ISNA(MATCH(G2581,ctaNom,0))),"⚠ «Hacia» no existe",IF(AND(I2581="Pago tarjeta",IFERROR(INDEX(ctaTipo,MATCH(G2581,ctaNom,0)),"")&lt;&gt;"Tarjeta de crédito"),"⚠ «Hacia» debe ser la tarjeta",IF(AND(I2581="Trading",IFERROR(INDEX(ctaTipo,MATCH(E2581,ctaNom,0)),"")&lt;&gt;"Cuenta de trading"),"⚠ Usa la cuenta de trading","✓"))))))))))))</f>
        <v/>
      </c>
      <c r="I2581" s="19">
        <f>IF(OR(B2581="",C2581="",D2581=""),"",IFERROR(INDEX(catTipo,MATCH(D2581,catNom,0))&amp;"",""))</f>
        <v/>
      </c>
      <c r="J2581" s="19">
        <f>IF(I2581="","",IFERROR(INDEX(catGrupo,MATCH(D2581,catNom,0))&amp;"",""))</f>
        <v/>
      </c>
      <c r="K2581" s="19">
        <f>IF(I2581="Gasto",IF(IFERROR(INDEX(catClas,MATCH(D2581,catNom,0))&amp;"","")="","Variable",IFERROR(INDEX(catClas,MATCH(D2581,catNom,0))&amp;"","")),"")</f>
        <v/>
      </c>
      <c r="L2581" s="19">
        <f>IF(I2581="","",IFERROR(INDEX(catAlim,MATCH(D2581,catNom,0))&amp;"",""))</f>
        <v/>
      </c>
      <c r="M2581" s="19">
        <f>IF(I2581="","",IFERROR(INDEX(catComida,MATCH(D2581,catNom,0))&amp;"",""))</f>
        <v/>
      </c>
      <c r="N2581" s="19">
        <f>IF(I2581="","",IFERROR(INDEX(ctaMon,MATCH(E2581,ctaNom,0))&amp;"","DOP"))</f>
        <v/>
      </c>
      <c r="O2581" s="20">
        <f>IF(I2581="","",C2581*IF(N2581="USD",TasaUSD,1))</f>
        <v/>
      </c>
      <c r="P2581" s="20">
        <f>IF(I2581="","",IF(I2581="Gasto",O2581,0))</f>
        <v/>
      </c>
      <c r="Q2581" s="20">
        <f>IF(I2581="","",IF(I2581="Ingreso",O2581,0))</f>
        <v/>
      </c>
      <c r="R2581" s="20">
        <f>IF(I2581="","",IF(I2581="Trading",O2581,0))</f>
        <v/>
      </c>
      <c r="S2581" s="19">
        <f>IF(I2581="","",IF(AND(I2581="Gasto",K2581="Variable",J2581&lt;&gt;"Trading",O2581&gt;0,O2581&lt;=Umbral),1,0))</f>
        <v/>
      </c>
      <c r="T2581" s="20">
        <f>IF(OR(I2581="",E2581=""),"",IF(OR(I2581="Gasto",I2581="Transferencia",I2581="Pago tarjeta"),-1,1)*C2581)</f>
        <v/>
      </c>
      <c r="U2581" s="20">
        <f>IF(OR(G2581="",AND(I2581&lt;&gt;"Transferencia",I2581&lt;&gt;"Pago tarjeta")),"",IF(IFERROR(INDEX(ctaMon,MATCH(G2581,ctaNom,0))&amp;"","DOP")=N2581,C2581,IF(N2581="USD",C2581*TasaUSD,C2581/TasaUSD)))</f>
        <v/>
      </c>
      <c r="V2581" s="20">
        <f>IF(I2581="","",IF(IFERROR(INDEX(ctaLiq,MATCH(E2581,ctaNom,0))="Sí",FALSE),IF(OR(I2581="Gasto",I2581="Transferencia",I2581="Pago tarjeta"),-1,1)*O2581,0)+IF(AND(U2581&lt;&gt;"",IFERROR(INDEX(ctaLiq,MATCH(G2581,ctaNom,0))="Sí",FALSE)),O2581,0))</f>
        <v/>
      </c>
      <c r="W2581" s="19">
        <f>IF(OR(F2581="",I2581=""),"",IF(COUNTIFS(F$6:F2581,F2581,I$6:I2581,"?*")=1,MAX(W$5:W2580)+1,""))</f>
        <v/>
      </c>
    </row>
    <row r="2582">
      <c r="B2582" s="15" t="n"/>
      <c r="C2582" s="16" t="n"/>
      <c r="D2582" s="17" t="n"/>
      <c r="E2582" s="17" t="n"/>
      <c r="F2582" s="17" t="n"/>
      <c r="G2582" s="17" t="n"/>
      <c r="H2582" s="18">
        <f>IF(AND(B2582="",C2582="",D2582="",E2582=""),"",IF(B2582="","⚠ Falta fecha",IF(C2582="","⚠ Falta monto",IF(D2582="","⚠ Falta categoría",IF(ISNA(MATCH(D2582,catNom,0)),"⚠ Categoría no existe",IF(E2582="","⚠ Falta cuenta",IF(ISNA(MATCH(E2582,ctaNom,0)),"⚠ Cuenta no existe",IF(AND(OR(I2582="Transferencia",I2582="Pago tarjeta"),G2582=""),"⚠ Indica la cuenta «Hacia»",IF(AND(G2582&lt;&gt;"",G2582=E2582),"⚠ «Hacia» igual a la cuenta",IF(AND(G2582&lt;&gt;"",ISNA(MATCH(G2582,ctaNom,0))),"⚠ «Hacia» no existe",IF(AND(I2582="Pago tarjeta",IFERROR(INDEX(ctaTipo,MATCH(G2582,ctaNom,0)),"")&lt;&gt;"Tarjeta de crédito"),"⚠ «Hacia» debe ser la tarjeta",IF(AND(I2582="Trading",IFERROR(INDEX(ctaTipo,MATCH(E2582,ctaNom,0)),"")&lt;&gt;"Cuenta de trading"),"⚠ Usa la cuenta de trading","✓"))))))))))))</f>
        <v/>
      </c>
      <c r="I2582" s="19">
        <f>IF(OR(B2582="",C2582="",D2582=""),"",IFERROR(INDEX(catTipo,MATCH(D2582,catNom,0))&amp;"",""))</f>
        <v/>
      </c>
      <c r="J2582" s="19">
        <f>IF(I2582="","",IFERROR(INDEX(catGrupo,MATCH(D2582,catNom,0))&amp;"",""))</f>
        <v/>
      </c>
      <c r="K2582" s="19">
        <f>IF(I2582="Gasto",IF(IFERROR(INDEX(catClas,MATCH(D2582,catNom,0))&amp;"","")="","Variable",IFERROR(INDEX(catClas,MATCH(D2582,catNom,0))&amp;"","")),"")</f>
        <v/>
      </c>
      <c r="L2582" s="19">
        <f>IF(I2582="","",IFERROR(INDEX(catAlim,MATCH(D2582,catNom,0))&amp;"",""))</f>
        <v/>
      </c>
      <c r="M2582" s="19">
        <f>IF(I2582="","",IFERROR(INDEX(catComida,MATCH(D2582,catNom,0))&amp;"",""))</f>
        <v/>
      </c>
      <c r="N2582" s="19">
        <f>IF(I2582="","",IFERROR(INDEX(ctaMon,MATCH(E2582,ctaNom,0))&amp;"","DOP"))</f>
        <v/>
      </c>
      <c r="O2582" s="20">
        <f>IF(I2582="","",C2582*IF(N2582="USD",TasaUSD,1))</f>
        <v/>
      </c>
      <c r="P2582" s="20">
        <f>IF(I2582="","",IF(I2582="Gasto",O2582,0))</f>
        <v/>
      </c>
      <c r="Q2582" s="20">
        <f>IF(I2582="","",IF(I2582="Ingreso",O2582,0))</f>
        <v/>
      </c>
      <c r="R2582" s="20">
        <f>IF(I2582="","",IF(I2582="Trading",O2582,0))</f>
        <v/>
      </c>
      <c r="S2582" s="19">
        <f>IF(I2582="","",IF(AND(I2582="Gasto",K2582="Variable",J2582&lt;&gt;"Trading",O2582&gt;0,O2582&lt;=Umbral),1,0))</f>
        <v/>
      </c>
      <c r="T2582" s="20">
        <f>IF(OR(I2582="",E2582=""),"",IF(OR(I2582="Gasto",I2582="Transferencia",I2582="Pago tarjeta"),-1,1)*C2582)</f>
        <v/>
      </c>
      <c r="U2582" s="20">
        <f>IF(OR(G2582="",AND(I2582&lt;&gt;"Transferencia",I2582&lt;&gt;"Pago tarjeta")),"",IF(IFERROR(INDEX(ctaMon,MATCH(G2582,ctaNom,0))&amp;"","DOP")=N2582,C2582,IF(N2582="USD",C2582*TasaUSD,C2582/TasaUSD)))</f>
        <v/>
      </c>
      <c r="V2582" s="20">
        <f>IF(I2582="","",IF(IFERROR(INDEX(ctaLiq,MATCH(E2582,ctaNom,0))="Sí",FALSE),IF(OR(I2582="Gasto",I2582="Transferencia",I2582="Pago tarjeta"),-1,1)*O2582,0)+IF(AND(U2582&lt;&gt;"",IFERROR(INDEX(ctaLiq,MATCH(G2582,ctaNom,0))="Sí",FALSE)),O2582,0))</f>
        <v/>
      </c>
      <c r="W2582" s="19">
        <f>IF(OR(F2582="",I2582=""),"",IF(COUNTIFS(F$6:F2582,F2582,I$6:I2582,"?*")=1,MAX(W$5:W2581)+1,""))</f>
        <v/>
      </c>
    </row>
    <row r="2583">
      <c r="B2583" s="15" t="n"/>
      <c r="C2583" s="16" t="n"/>
      <c r="D2583" s="17" t="n"/>
      <c r="E2583" s="17" t="n"/>
      <c r="F2583" s="17" t="n"/>
      <c r="G2583" s="17" t="n"/>
      <c r="H2583" s="18">
        <f>IF(AND(B2583="",C2583="",D2583="",E2583=""),"",IF(B2583="","⚠ Falta fecha",IF(C2583="","⚠ Falta monto",IF(D2583="","⚠ Falta categoría",IF(ISNA(MATCH(D2583,catNom,0)),"⚠ Categoría no existe",IF(E2583="","⚠ Falta cuenta",IF(ISNA(MATCH(E2583,ctaNom,0)),"⚠ Cuenta no existe",IF(AND(OR(I2583="Transferencia",I2583="Pago tarjeta"),G2583=""),"⚠ Indica la cuenta «Hacia»",IF(AND(G2583&lt;&gt;"",G2583=E2583),"⚠ «Hacia» igual a la cuenta",IF(AND(G2583&lt;&gt;"",ISNA(MATCH(G2583,ctaNom,0))),"⚠ «Hacia» no existe",IF(AND(I2583="Pago tarjeta",IFERROR(INDEX(ctaTipo,MATCH(G2583,ctaNom,0)),"")&lt;&gt;"Tarjeta de crédito"),"⚠ «Hacia» debe ser la tarjeta",IF(AND(I2583="Trading",IFERROR(INDEX(ctaTipo,MATCH(E2583,ctaNom,0)),"")&lt;&gt;"Cuenta de trading"),"⚠ Usa la cuenta de trading","✓"))))))))))))</f>
        <v/>
      </c>
      <c r="I2583" s="19">
        <f>IF(OR(B2583="",C2583="",D2583=""),"",IFERROR(INDEX(catTipo,MATCH(D2583,catNom,0))&amp;"",""))</f>
        <v/>
      </c>
      <c r="J2583" s="19">
        <f>IF(I2583="","",IFERROR(INDEX(catGrupo,MATCH(D2583,catNom,0))&amp;"",""))</f>
        <v/>
      </c>
      <c r="K2583" s="19">
        <f>IF(I2583="Gasto",IF(IFERROR(INDEX(catClas,MATCH(D2583,catNom,0))&amp;"","")="","Variable",IFERROR(INDEX(catClas,MATCH(D2583,catNom,0))&amp;"","")),"")</f>
        <v/>
      </c>
      <c r="L2583" s="19">
        <f>IF(I2583="","",IFERROR(INDEX(catAlim,MATCH(D2583,catNom,0))&amp;"",""))</f>
        <v/>
      </c>
      <c r="M2583" s="19">
        <f>IF(I2583="","",IFERROR(INDEX(catComida,MATCH(D2583,catNom,0))&amp;"",""))</f>
        <v/>
      </c>
      <c r="N2583" s="19">
        <f>IF(I2583="","",IFERROR(INDEX(ctaMon,MATCH(E2583,ctaNom,0))&amp;"","DOP"))</f>
        <v/>
      </c>
      <c r="O2583" s="20">
        <f>IF(I2583="","",C2583*IF(N2583="USD",TasaUSD,1))</f>
        <v/>
      </c>
      <c r="P2583" s="20">
        <f>IF(I2583="","",IF(I2583="Gasto",O2583,0))</f>
        <v/>
      </c>
      <c r="Q2583" s="20">
        <f>IF(I2583="","",IF(I2583="Ingreso",O2583,0))</f>
        <v/>
      </c>
      <c r="R2583" s="20">
        <f>IF(I2583="","",IF(I2583="Trading",O2583,0))</f>
        <v/>
      </c>
      <c r="S2583" s="19">
        <f>IF(I2583="","",IF(AND(I2583="Gasto",K2583="Variable",J2583&lt;&gt;"Trading",O2583&gt;0,O2583&lt;=Umbral),1,0))</f>
        <v/>
      </c>
      <c r="T2583" s="20">
        <f>IF(OR(I2583="",E2583=""),"",IF(OR(I2583="Gasto",I2583="Transferencia",I2583="Pago tarjeta"),-1,1)*C2583)</f>
        <v/>
      </c>
      <c r="U2583" s="20">
        <f>IF(OR(G2583="",AND(I2583&lt;&gt;"Transferencia",I2583&lt;&gt;"Pago tarjeta")),"",IF(IFERROR(INDEX(ctaMon,MATCH(G2583,ctaNom,0))&amp;"","DOP")=N2583,C2583,IF(N2583="USD",C2583*TasaUSD,C2583/TasaUSD)))</f>
        <v/>
      </c>
      <c r="V2583" s="20">
        <f>IF(I2583="","",IF(IFERROR(INDEX(ctaLiq,MATCH(E2583,ctaNom,0))="Sí",FALSE),IF(OR(I2583="Gasto",I2583="Transferencia",I2583="Pago tarjeta"),-1,1)*O2583,0)+IF(AND(U2583&lt;&gt;"",IFERROR(INDEX(ctaLiq,MATCH(G2583,ctaNom,0))="Sí",FALSE)),O2583,0))</f>
        <v/>
      </c>
      <c r="W2583" s="19">
        <f>IF(OR(F2583="",I2583=""),"",IF(COUNTIFS(F$6:F2583,F2583,I$6:I2583,"?*")=1,MAX(W$5:W2582)+1,""))</f>
        <v/>
      </c>
    </row>
    <row r="2584">
      <c r="B2584" s="15" t="n"/>
      <c r="C2584" s="16" t="n"/>
      <c r="D2584" s="17" t="n"/>
      <c r="E2584" s="17" t="n"/>
      <c r="F2584" s="17" t="n"/>
      <c r="G2584" s="17" t="n"/>
      <c r="H2584" s="18">
        <f>IF(AND(B2584="",C2584="",D2584="",E2584=""),"",IF(B2584="","⚠ Falta fecha",IF(C2584="","⚠ Falta monto",IF(D2584="","⚠ Falta categoría",IF(ISNA(MATCH(D2584,catNom,0)),"⚠ Categoría no existe",IF(E2584="","⚠ Falta cuenta",IF(ISNA(MATCH(E2584,ctaNom,0)),"⚠ Cuenta no existe",IF(AND(OR(I2584="Transferencia",I2584="Pago tarjeta"),G2584=""),"⚠ Indica la cuenta «Hacia»",IF(AND(G2584&lt;&gt;"",G2584=E2584),"⚠ «Hacia» igual a la cuenta",IF(AND(G2584&lt;&gt;"",ISNA(MATCH(G2584,ctaNom,0))),"⚠ «Hacia» no existe",IF(AND(I2584="Pago tarjeta",IFERROR(INDEX(ctaTipo,MATCH(G2584,ctaNom,0)),"")&lt;&gt;"Tarjeta de crédito"),"⚠ «Hacia» debe ser la tarjeta",IF(AND(I2584="Trading",IFERROR(INDEX(ctaTipo,MATCH(E2584,ctaNom,0)),"")&lt;&gt;"Cuenta de trading"),"⚠ Usa la cuenta de trading","✓"))))))))))))</f>
        <v/>
      </c>
      <c r="I2584" s="19">
        <f>IF(OR(B2584="",C2584="",D2584=""),"",IFERROR(INDEX(catTipo,MATCH(D2584,catNom,0))&amp;"",""))</f>
        <v/>
      </c>
      <c r="J2584" s="19">
        <f>IF(I2584="","",IFERROR(INDEX(catGrupo,MATCH(D2584,catNom,0))&amp;"",""))</f>
        <v/>
      </c>
      <c r="K2584" s="19">
        <f>IF(I2584="Gasto",IF(IFERROR(INDEX(catClas,MATCH(D2584,catNom,0))&amp;"","")="","Variable",IFERROR(INDEX(catClas,MATCH(D2584,catNom,0))&amp;"","")),"")</f>
        <v/>
      </c>
      <c r="L2584" s="19">
        <f>IF(I2584="","",IFERROR(INDEX(catAlim,MATCH(D2584,catNom,0))&amp;"",""))</f>
        <v/>
      </c>
      <c r="M2584" s="19">
        <f>IF(I2584="","",IFERROR(INDEX(catComida,MATCH(D2584,catNom,0))&amp;"",""))</f>
        <v/>
      </c>
      <c r="N2584" s="19">
        <f>IF(I2584="","",IFERROR(INDEX(ctaMon,MATCH(E2584,ctaNom,0))&amp;"","DOP"))</f>
        <v/>
      </c>
      <c r="O2584" s="20">
        <f>IF(I2584="","",C2584*IF(N2584="USD",TasaUSD,1))</f>
        <v/>
      </c>
      <c r="P2584" s="20">
        <f>IF(I2584="","",IF(I2584="Gasto",O2584,0))</f>
        <v/>
      </c>
      <c r="Q2584" s="20">
        <f>IF(I2584="","",IF(I2584="Ingreso",O2584,0))</f>
        <v/>
      </c>
      <c r="R2584" s="20">
        <f>IF(I2584="","",IF(I2584="Trading",O2584,0))</f>
        <v/>
      </c>
      <c r="S2584" s="19">
        <f>IF(I2584="","",IF(AND(I2584="Gasto",K2584="Variable",J2584&lt;&gt;"Trading",O2584&gt;0,O2584&lt;=Umbral),1,0))</f>
        <v/>
      </c>
      <c r="T2584" s="20">
        <f>IF(OR(I2584="",E2584=""),"",IF(OR(I2584="Gasto",I2584="Transferencia",I2584="Pago tarjeta"),-1,1)*C2584)</f>
        <v/>
      </c>
      <c r="U2584" s="20">
        <f>IF(OR(G2584="",AND(I2584&lt;&gt;"Transferencia",I2584&lt;&gt;"Pago tarjeta")),"",IF(IFERROR(INDEX(ctaMon,MATCH(G2584,ctaNom,0))&amp;"","DOP")=N2584,C2584,IF(N2584="USD",C2584*TasaUSD,C2584/TasaUSD)))</f>
        <v/>
      </c>
      <c r="V2584" s="20">
        <f>IF(I2584="","",IF(IFERROR(INDEX(ctaLiq,MATCH(E2584,ctaNom,0))="Sí",FALSE),IF(OR(I2584="Gasto",I2584="Transferencia",I2584="Pago tarjeta"),-1,1)*O2584,0)+IF(AND(U2584&lt;&gt;"",IFERROR(INDEX(ctaLiq,MATCH(G2584,ctaNom,0))="Sí",FALSE)),O2584,0))</f>
        <v/>
      </c>
      <c r="W2584" s="19">
        <f>IF(OR(F2584="",I2584=""),"",IF(COUNTIFS(F$6:F2584,F2584,I$6:I2584,"?*")=1,MAX(W$5:W2583)+1,""))</f>
        <v/>
      </c>
    </row>
    <row r="2585">
      <c r="B2585" s="15" t="n"/>
      <c r="C2585" s="16" t="n"/>
      <c r="D2585" s="17" t="n"/>
      <c r="E2585" s="17" t="n"/>
      <c r="F2585" s="17" t="n"/>
      <c r="G2585" s="17" t="n"/>
      <c r="H2585" s="18">
        <f>IF(AND(B2585="",C2585="",D2585="",E2585=""),"",IF(B2585="","⚠ Falta fecha",IF(C2585="","⚠ Falta monto",IF(D2585="","⚠ Falta categoría",IF(ISNA(MATCH(D2585,catNom,0)),"⚠ Categoría no existe",IF(E2585="","⚠ Falta cuenta",IF(ISNA(MATCH(E2585,ctaNom,0)),"⚠ Cuenta no existe",IF(AND(OR(I2585="Transferencia",I2585="Pago tarjeta"),G2585=""),"⚠ Indica la cuenta «Hacia»",IF(AND(G2585&lt;&gt;"",G2585=E2585),"⚠ «Hacia» igual a la cuenta",IF(AND(G2585&lt;&gt;"",ISNA(MATCH(G2585,ctaNom,0))),"⚠ «Hacia» no existe",IF(AND(I2585="Pago tarjeta",IFERROR(INDEX(ctaTipo,MATCH(G2585,ctaNom,0)),"")&lt;&gt;"Tarjeta de crédito"),"⚠ «Hacia» debe ser la tarjeta",IF(AND(I2585="Trading",IFERROR(INDEX(ctaTipo,MATCH(E2585,ctaNom,0)),"")&lt;&gt;"Cuenta de trading"),"⚠ Usa la cuenta de trading","✓"))))))))))))</f>
        <v/>
      </c>
      <c r="I2585" s="19">
        <f>IF(OR(B2585="",C2585="",D2585=""),"",IFERROR(INDEX(catTipo,MATCH(D2585,catNom,0))&amp;"",""))</f>
        <v/>
      </c>
      <c r="J2585" s="19">
        <f>IF(I2585="","",IFERROR(INDEX(catGrupo,MATCH(D2585,catNom,0))&amp;"",""))</f>
        <v/>
      </c>
      <c r="K2585" s="19">
        <f>IF(I2585="Gasto",IF(IFERROR(INDEX(catClas,MATCH(D2585,catNom,0))&amp;"","")="","Variable",IFERROR(INDEX(catClas,MATCH(D2585,catNom,0))&amp;"","")),"")</f>
        <v/>
      </c>
      <c r="L2585" s="19">
        <f>IF(I2585="","",IFERROR(INDEX(catAlim,MATCH(D2585,catNom,0))&amp;"",""))</f>
        <v/>
      </c>
      <c r="M2585" s="19">
        <f>IF(I2585="","",IFERROR(INDEX(catComida,MATCH(D2585,catNom,0))&amp;"",""))</f>
        <v/>
      </c>
      <c r="N2585" s="19">
        <f>IF(I2585="","",IFERROR(INDEX(ctaMon,MATCH(E2585,ctaNom,0))&amp;"","DOP"))</f>
        <v/>
      </c>
      <c r="O2585" s="20">
        <f>IF(I2585="","",C2585*IF(N2585="USD",TasaUSD,1))</f>
        <v/>
      </c>
      <c r="P2585" s="20">
        <f>IF(I2585="","",IF(I2585="Gasto",O2585,0))</f>
        <v/>
      </c>
      <c r="Q2585" s="20">
        <f>IF(I2585="","",IF(I2585="Ingreso",O2585,0))</f>
        <v/>
      </c>
      <c r="R2585" s="20">
        <f>IF(I2585="","",IF(I2585="Trading",O2585,0))</f>
        <v/>
      </c>
      <c r="S2585" s="19">
        <f>IF(I2585="","",IF(AND(I2585="Gasto",K2585="Variable",J2585&lt;&gt;"Trading",O2585&gt;0,O2585&lt;=Umbral),1,0))</f>
        <v/>
      </c>
      <c r="T2585" s="20">
        <f>IF(OR(I2585="",E2585=""),"",IF(OR(I2585="Gasto",I2585="Transferencia",I2585="Pago tarjeta"),-1,1)*C2585)</f>
        <v/>
      </c>
      <c r="U2585" s="20">
        <f>IF(OR(G2585="",AND(I2585&lt;&gt;"Transferencia",I2585&lt;&gt;"Pago tarjeta")),"",IF(IFERROR(INDEX(ctaMon,MATCH(G2585,ctaNom,0))&amp;"","DOP")=N2585,C2585,IF(N2585="USD",C2585*TasaUSD,C2585/TasaUSD)))</f>
        <v/>
      </c>
      <c r="V2585" s="20">
        <f>IF(I2585="","",IF(IFERROR(INDEX(ctaLiq,MATCH(E2585,ctaNom,0))="Sí",FALSE),IF(OR(I2585="Gasto",I2585="Transferencia",I2585="Pago tarjeta"),-1,1)*O2585,0)+IF(AND(U2585&lt;&gt;"",IFERROR(INDEX(ctaLiq,MATCH(G2585,ctaNom,0))="Sí",FALSE)),O2585,0))</f>
        <v/>
      </c>
      <c r="W2585" s="19">
        <f>IF(OR(F2585="",I2585=""),"",IF(COUNTIFS(F$6:F2585,F2585,I$6:I2585,"?*")=1,MAX(W$5:W2584)+1,""))</f>
        <v/>
      </c>
    </row>
    <row r="2586">
      <c r="B2586" s="15" t="n"/>
      <c r="C2586" s="16" t="n"/>
      <c r="D2586" s="17" t="n"/>
      <c r="E2586" s="17" t="n"/>
      <c r="F2586" s="17" t="n"/>
      <c r="G2586" s="17" t="n"/>
      <c r="H2586" s="18">
        <f>IF(AND(B2586="",C2586="",D2586="",E2586=""),"",IF(B2586="","⚠ Falta fecha",IF(C2586="","⚠ Falta monto",IF(D2586="","⚠ Falta categoría",IF(ISNA(MATCH(D2586,catNom,0)),"⚠ Categoría no existe",IF(E2586="","⚠ Falta cuenta",IF(ISNA(MATCH(E2586,ctaNom,0)),"⚠ Cuenta no existe",IF(AND(OR(I2586="Transferencia",I2586="Pago tarjeta"),G2586=""),"⚠ Indica la cuenta «Hacia»",IF(AND(G2586&lt;&gt;"",G2586=E2586),"⚠ «Hacia» igual a la cuenta",IF(AND(G2586&lt;&gt;"",ISNA(MATCH(G2586,ctaNom,0))),"⚠ «Hacia» no existe",IF(AND(I2586="Pago tarjeta",IFERROR(INDEX(ctaTipo,MATCH(G2586,ctaNom,0)),"")&lt;&gt;"Tarjeta de crédito"),"⚠ «Hacia» debe ser la tarjeta",IF(AND(I2586="Trading",IFERROR(INDEX(ctaTipo,MATCH(E2586,ctaNom,0)),"")&lt;&gt;"Cuenta de trading"),"⚠ Usa la cuenta de trading","✓"))))))))))))</f>
        <v/>
      </c>
      <c r="I2586" s="19">
        <f>IF(OR(B2586="",C2586="",D2586=""),"",IFERROR(INDEX(catTipo,MATCH(D2586,catNom,0))&amp;"",""))</f>
        <v/>
      </c>
      <c r="J2586" s="19">
        <f>IF(I2586="","",IFERROR(INDEX(catGrupo,MATCH(D2586,catNom,0))&amp;"",""))</f>
        <v/>
      </c>
      <c r="K2586" s="19">
        <f>IF(I2586="Gasto",IF(IFERROR(INDEX(catClas,MATCH(D2586,catNom,0))&amp;"","")="","Variable",IFERROR(INDEX(catClas,MATCH(D2586,catNom,0))&amp;"","")),"")</f>
        <v/>
      </c>
      <c r="L2586" s="19">
        <f>IF(I2586="","",IFERROR(INDEX(catAlim,MATCH(D2586,catNom,0))&amp;"",""))</f>
        <v/>
      </c>
      <c r="M2586" s="19">
        <f>IF(I2586="","",IFERROR(INDEX(catComida,MATCH(D2586,catNom,0))&amp;"",""))</f>
        <v/>
      </c>
      <c r="N2586" s="19">
        <f>IF(I2586="","",IFERROR(INDEX(ctaMon,MATCH(E2586,ctaNom,0))&amp;"","DOP"))</f>
        <v/>
      </c>
      <c r="O2586" s="20">
        <f>IF(I2586="","",C2586*IF(N2586="USD",TasaUSD,1))</f>
        <v/>
      </c>
      <c r="P2586" s="20">
        <f>IF(I2586="","",IF(I2586="Gasto",O2586,0))</f>
        <v/>
      </c>
      <c r="Q2586" s="20">
        <f>IF(I2586="","",IF(I2586="Ingreso",O2586,0))</f>
        <v/>
      </c>
      <c r="R2586" s="20">
        <f>IF(I2586="","",IF(I2586="Trading",O2586,0))</f>
        <v/>
      </c>
      <c r="S2586" s="19">
        <f>IF(I2586="","",IF(AND(I2586="Gasto",K2586="Variable",J2586&lt;&gt;"Trading",O2586&gt;0,O2586&lt;=Umbral),1,0))</f>
        <v/>
      </c>
      <c r="T2586" s="20">
        <f>IF(OR(I2586="",E2586=""),"",IF(OR(I2586="Gasto",I2586="Transferencia",I2586="Pago tarjeta"),-1,1)*C2586)</f>
        <v/>
      </c>
      <c r="U2586" s="20">
        <f>IF(OR(G2586="",AND(I2586&lt;&gt;"Transferencia",I2586&lt;&gt;"Pago tarjeta")),"",IF(IFERROR(INDEX(ctaMon,MATCH(G2586,ctaNom,0))&amp;"","DOP")=N2586,C2586,IF(N2586="USD",C2586*TasaUSD,C2586/TasaUSD)))</f>
        <v/>
      </c>
      <c r="V2586" s="20">
        <f>IF(I2586="","",IF(IFERROR(INDEX(ctaLiq,MATCH(E2586,ctaNom,0))="Sí",FALSE),IF(OR(I2586="Gasto",I2586="Transferencia",I2586="Pago tarjeta"),-1,1)*O2586,0)+IF(AND(U2586&lt;&gt;"",IFERROR(INDEX(ctaLiq,MATCH(G2586,ctaNom,0))="Sí",FALSE)),O2586,0))</f>
        <v/>
      </c>
      <c r="W2586" s="19">
        <f>IF(OR(F2586="",I2586=""),"",IF(COUNTIFS(F$6:F2586,F2586,I$6:I2586,"?*")=1,MAX(W$5:W2585)+1,""))</f>
        <v/>
      </c>
    </row>
    <row r="2587">
      <c r="B2587" s="15" t="n"/>
      <c r="C2587" s="16" t="n"/>
      <c r="D2587" s="17" t="n"/>
      <c r="E2587" s="17" t="n"/>
      <c r="F2587" s="17" t="n"/>
      <c r="G2587" s="17" t="n"/>
      <c r="H2587" s="18">
        <f>IF(AND(B2587="",C2587="",D2587="",E2587=""),"",IF(B2587="","⚠ Falta fecha",IF(C2587="","⚠ Falta monto",IF(D2587="","⚠ Falta categoría",IF(ISNA(MATCH(D2587,catNom,0)),"⚠ Categoría no existe",IF(E2587="","⚠ Falta cuenta",IF(ISNA(MATCH(E2587,ctaNom,0)),"⚠ Cuenta no existe",IF(AND(OR(I2587="Transferencia",I2587="Pago tarjeta"),G2587=""),"⚠ Indica la cuenta «Hacia»",IF(AND(G2587&lt;&gt;"",G2587=E2587),"⚠ «Hacia» igual a la cuenta",IF(AND(G2587&lt;&gt;"",ISNA(MATCH(G2587,ctaNom,0))),"⚠ «Hacia» no existe",IF(AND(I2587="Pago tarjeta",IFERROR(INDEX(ctaTipo,MATCH(G2587,ctaNom,0)),"")&lt;&gt;"Tarjeta de crédito"),"⚠ «Hacia» debe ser la tarjeta",IF(AND(I2587="Trading",IFERROR(INDEX(ctaTipo,MATCH(E2587,ctaNom,0)),"")&lt;&gt;"Cuenta de trading"),"⚠ Usa la cuenta de trading","✓"))))))))))))</f>
        <v/>
      </c>
      <c r="I2587" s="19">
        <f>IF(OR(B2587="",C2587="",D2587=""),"",IFERROR(INDEX(catTipo,MATCH(D2587,catNom,0))&amp;"",""))</f>
        <v/>
      </c>
      <c r="J2587" s="19">
        <f>IF(I2587="","",IFERROR(INDEX(catGrupo,MATCH(D2587,catNom,0))&amp;"",""))</f>
        <v/>
      </c>
      <c r="K2587" s="19">
        <f>IF(I2587="Gasto",IF(IFERROR(INDEX(catClas,MATCH(D2587,catNom,0))&amp;"","")="","Variable",IFERROR(INDEX(catClas,MATCH(D2587,catNom,0))&amp;"","")),"")</f>
        <v/>
      </c>
      <c r="L2587" s="19">
        <f>IF(I2587="","",IFERROR(INDEX(catAlim,MATCH(D2587,catNom,0))&amp;"",""))</f>
        <v/>
      </c>
      <c r="M2587" s="19">
        <f>IF(I2587="","",IFERROR(INDEX(catComida,MATCH(D2587,catNom,0))&amp;"",""))</f>
        <v/>
      </c>
      <c r="N2587" s="19">
        <f>IF(I2587="","",IFERROR(INDEX(ctaMon,MATCH(E2587,ctaNom,0))&amp;"","DOP"))</f>
        <v/>
      </c>
      <c r="O2587" s="20">
        <f>IF(I2587="","",C2587*IF(N2587="USD",TasaUSD,1))</f>
        <v/>
      </c>
      <c r="P2587" s="20">
        <f>IF(I2587="","",IF(I2587="Gasto",O2587,0))</f>
        <v/>
      </c>
      <c r="Q2587" s="20">
        <f>IF(I2587="","",IF(I2587="Ingreso",O2587,0))</f>
        <v/>
      </c>
      <c r="R2587" s="20">
        <f>IF(I2587="","",IF(I2587="Trading",O2587,0))</f>
        <v/>
      </c>
      <c r="S2587" s="19">
        <f>IF(I2587="","",IF(AND(I2587="Gasto",K2587="Variable",J2587&lt;&gt;"Trading",O2587&gt;0,O2587&lt;=Umbral),1,0))</f>
        <v/>
      </c>
      <c r="T2587" s="20">
        <f>IF(OR(I2587="",E2587=""),"",IF(OR(I2587="Gasto",I2587="Transferencia",I2587="Pago tarjeta"),-1,1)*C2587)</f>
        <v/>
      </c>
      <c r="U2587" s="20">
        <f>IF(OR(G2587="",AND(I2587&lt;&gt;"Transferencia",I2587&lt;&gt;"Pago tarjeta")),"",IF(IFERROR(INDEX(ctaMon,MATCH(G2587,ctaNom,0))&amp;"","DOP")=N2587,C2587,IF(N2587="USD",C2587*TasaUSD,C2587/TasaUSD)))</f>
        <v/>
      </c>
      <c r="V2587" s="20">
        <f>IF(I2587="","",IF(IFERROR(INDEX(ctaLiq,MATCH(E2587,ctaNom,0))="Sí",FALSE),IF(OR(I2587="Gasto",I2587="Transferencia",I2587="Pago tarjeta"),-1,1)*O2587,0)+IF(AND(U2587&lt;&gt;"",IFERROR(INDEX(ctaLiq,MATCH(G2587,ctaNom,0))="Sí",FALSE)),O2587,0))</f>
        <v/>
      </c>
      <c r="W2587" s="19">
        <f>IF(OR(F2587="",I2587=""),"",IF(COUNTIFS(F$6:F2587,F2587,I$6:I2587,"?*")=1,MAX(W$5:W2586)+1,""))</f>
        <v/>
      </c>
    </row>
    <row r="2588">
      <c r="B2588" s="15" t="n"/>
      <c r="C2588" s="16" t="n"/>
      <c r="D2588" s="17" t="n"/>
      <c r="E2588" s="17" t="n"/>
      <c r="F2588" s="17" t="n"/>
      <c r="G2588" s="17" t="n"/>
      <c r="H2588" s="18">
        <f>IF(AND(B2588="",C2588="",D2588="",E2588=""),"",IF(B2588="","⚠ Falta fecha",IF(C2588="","⚠ Falta monto",IF(D2588="","⚠ Falta categoría",IF(ISNA(MATCH(D2588,catNom,0)),"⚠ Categoría no existe",IF(E2588="","⚠ Falta cuenta",IF(ISNA(MATCH(E2588,ctaNom,0)),"⚠ Cuenta no existe",IF(AND(OR(I2588="Transferencia",I2588="Pago tarjeta"),G2588=""),"⚠ Indica la cuenta «Hacia»",IF(AND(G2588&lt;&gt;"",G2588=E2588),"⚠ «Hacia» igual a la cuenta",IF(AND(G2588&lt;&gt;"",ISNA(MATCH(G2588,ctaNom,0))),"⚠ «Hacia» no existe",IF(AND(I2588="Pago tarjeta",IFERROR(INDEX(ctaTipo,MATCH(G2588,ctaNom,0)),"")&lt;&gt;"Tarjeta de crédito"),"⚠ «Hacia» debe ser la tarjeta",IF(AND(I2588="Trading",IFERROR(INDEX(ctaTipo,MATCH(E2588,ctaNom,0)),"")&lt;&gt;"Cuenta de trading"),"⚠ Usa la cuenta de trading","✓"))))))))))))</f>
        <v/>
      </c>
      <c r="I2588" s="19">
        <f>IF(OR(B2588="",C2588="",D2588=""),"",IFERROR(INDEX(catTipo,MATCH(D2588,catNom,0))&amp;"",""))</f>
        <v/>
      </c>
      <c r="J2588" s="19">
        <f>IF(I2588="","",IFERROR(INDEX(catGrupo,MATCH(D2588,catNom,0))&amp;"",""))</f>
        <v/>
      </c>
      <c r="K2588" s="19">
        <f>IF(I2588="Gasto",IF(IFERROR(INDEX(catClas,MATCH(D2588,catNom,0))&amp;"","")="","Variable",IFERROR(INDEX(catClas,MATCH(D2588,catNom,0))&amp;"","")),"")</f>
        <v/>
      </c>
      <c r="L2588" s="19">
        <f>IF(I2588="","",IFERROR(INDEX(catAlim,MATCH(D2588,catNom,0))&amp;"",""))</f>
        <v/>
      </c>
      <c r="M2588" s="19">
        <f>IF(I2588="","",IFERROR(INDEX(catComida,MATCH(D2588,catNom,0))&amp;"",""))</f>
        <v/>
      </c>
      <c r="N2588" s="19">
        <f>IF(I2588="","",IFERROR(INDEX(ctaMon,MATCH(E2588,ctaNom,0))&amp;"","DOP"))</f>
        <v/>
      </c>
      <c r="O2588" s="20">
        <f>IF(I2588="","",C2588*IF(N2588="USD",TasaUSD,1))</f>
        <v/>
      </c>
      <c r="P2588" s="20">
        <f>IF(I2588="","",IF(I2588="Gasto",O2588,0))</f>
        <v/>
      </c>
      <c r="Q2588" s="20">
        <f>IF(I2588="","",IF(I2588="Ingreso",O2588,0))</f>
        <v/>
      </c>
      <c r="R2588" s="20">
        <f>IF(I2588="","",IF(I2588="Trading",O2588,0))</f>
        <v/>
      </c>
      <c r="S2588" s="19">
        <f>IF(I2588="","",IF(AND(I2588="Gasto",K2588="Variable",J2588&lt;&gt;"Trading",O2588&gt;0,O2588&lt;=Umbral),1,0))</f>
        <v/>
      </c>
      <c r="T2588" s="20">
        <f>IF(OR(I2588="",E2588=""),"",IF(OR(I2588="Gasto",I2588="Transferencia",I2588="Pago tarjeta"),-1,1)*C2588)</f>
        <v/>
      </c>
      <c r="U2588" s="20">
        <f>IF(OR(G2588="",AND(I2588&lt;&gt;"Transferencia",I2588&lt;&gt;"Pago tarjeta")),"",IF(IFERROR(INDEX(ctaMon,MATCH(G2588,ctaNom,0))&amp;"","DOP")=N2588,C2588,IF(N2588="USD",C2588*TasaUSD,C2588/TasaUSD)))</f>
        <v/>
      </c>
      <c r="V2588" s="20">
        <f>IF(I2588="","",IF(IFERROR(INDEX(ctaLiq,MATCH(E2588,ctaNom,0))="Sí",FALSE),IF(OR(I2588="Gasto",I2588="Transferencia",I2588="Pago tarjeta"),-1,1)*O2588,0)+IF(AND(U2588&lt;&gt;"",IFERROR(INDEX(ctaLiq,MATCH(G2588,ctaNom,0))="Sí",FALSE)),O2588,0))</f>
        <v/>
      </c>
      <c r="W2588" s="19">
        <f>IF(OR(F2588="",I2588=""),"",IF(COUNTIFS(F$6:F2588,F2588,I$6:I2588,"?*")=1,MAX(W$5:W2587)+1,""))</f>
        <v/>
      </c>
    </row>
    <row r="2589">
      <c r="B2589" s="15" t="n"/>
      <c r="C2589" s="16" t="n"/>
      <c r="D2589" s="17" t="n"/>
      <c r="E2589" s="17" t="n"/>
      <c r="F2589" s="17" t="n"/>
      <c r="G2589" s="17" t="n"/>
      <c r="H2589" s="18">
        <f>IF(AND(B2589="",C2589="",D2589="",E2589=""),"",IF(B2589="","⚠ Falta fecha",IF(C2589="","⚠ Falta monto",IF(D2589="","⚠ Falta categoría",IF(ISNA(MATCH(D2589,catNom,0)),"⚠ Categoría no existe",IF(E2589="","⚠ Falta cuenta",IF(ISNA(MATCH(E2589,ctaNom,0)),"⚠ Cuenta no existe",IF(AND(OR(I2589="Transferencia",I2589="Pago tarjeta"),G2589=""),"⚠ Indica la cuenta «Hacia»",IF(AND(G2589&lt;&gt;"",G2589=E2589),"⚠ «Hacia» igual a la cuenta",IF(AND(G2589&lt;&gt;"",ISNA(MATCH(G2589,ctaNom,0))),"⚠ «Hacia» no existe",IF(AND(I2589="Pago tarjeta",IFERROR(INDEX(ctaTipo,MATCH(G2589,ctaNom,0)),"")&lt;&gt;"Tarjeta de crédito"),"⚠ «Hacia» debe ser la tarjeta",IF(AND(I2589="Trading",IFERROR(INDEX(ctaTipo,MATCH(E2589,ctaNom,0)),"")&lt;&gt;"Cuenta de trading"),"⚠ Usa la cuenta de trading","✓"))))))))))))</f>
        <v/>
      </c>
      <c r="I2589" s="19">
        <f>IF(OR(B2589="",C2589="",D2589=""),"",IFERROR(INDEX(catTipo,MATCH(D2589,catNom,0))&amp;"",""))</f>
        <v/>
      </c>
      <c r="J2589" s="19">
        <f>IF(I2589="","",IFERROR(INDEX(catGrupo,MATCH(D2589,catNom,0))&amp;"",""))</f>
        <v/>
      </c>
      <c r="K2589" s="19">
        <f>IF(I2589="Gasto",IF(IFERROR(INDEX(catClas,MATCH(D2589,catNom,0))&amp;"","")="","Variable",IFERROR(INDEX(catClas,MATCH(D2589,catNom,0))&amp;"","")),"")</f>
        <v/>
      </c>
      <c r="L2589" s="19">
        <f>IF(I2589="","",IFERROR(INDEX(catAlim,MATCH(D2589,catNom,0))&amp;"",""))</f>
        <v/>
      </c>
      <c r="M2589" s="19">
        <f>IF(I2589="","",IFERROR(INDEX(catComida,MATCH(D2589,catNom,0))&amp;"",""))</f>
        <v/>
      </c>
      <c r="N2589" s="19">
        <f>IF(I2589="","",IFERROR(INDEX(ctaMon,MATCH(E2589,ctaNom,0))&amp;"","DOP"))</f>
        <v/>
      </c>
      <c r="O2589" s="20">
        <f>IF(I2589="","",C2589*IF(N2589="USD",TasaUSD,1))</f>
        <v/>
      </c>
      <c r="P2589" s="20">
        <f>IF(I2589="","",IF(I2589="Gasto",O2589,0))</f>
        <v/>
      </c>
      <c r="Q2589" s="20">
        <f>IF(I2589="","",IF(I2589="Ingreso",O2589,0))</f>
        <v/>
      </c>
      <c r="R2589" s="20">
        <f>IF(I2589="","",IF(I2589="Trading",O2589,0))</f>
        <v/>
      </c>
      <c r="S2589" s="19">
        <f>IF(I2589="","",IF(AND(I2589="Gasto",K2589="Variable",J2589&lt;&gt;"Trading",O2589&gt;0,O2589&lt;=Umbral),1,0))</f>
        <v/>
      </c>
      <c r="T2589" s="20">
        <f>IF(OR(I2589="",E2589=""),"",IF(OR(I2589="Gasto",I2589="Transferencia",I2589="Pago tarjeta"),-1,1)*C2589)</f>
        <v/>
      </c>
      <c r="U2589" s="20">
        <f>IF(OR(G2589="",AND(I2589&lt;&gt;"Transferencia",I2589&lt;&gt;"Pago tarjeta")),"",IF(IFERROR(INDEX(ctaMon,MATCH(G2589,ctaNom,0))&amp;"","DOP")=N2589,C2589,IF(N2589="USD",C2589*TasaUSD,C2589/TasaUSD)))</f>
        <v/>
      </c>
      <c r="V2589" s="20">
        <f>IF(I2589="","",IF(IFERROR(INDEX(ctaLiq,MATCH(E2589,ctaNom,0))="Sí",FALSE),IF(OR(I2589="Gasto",I2589="Transferencia",I2589="Pago tarjeta"),-1,1)*O2589,0)+IF(AND(U2589&lt;&gt;"",IFERROR(INDEX(ctaLiq,MATCH(G2589,ctaNom,0))="Sí",FALSE)),O2589,0))</f>
        <v/>
      </c>
      <c r="W2589" s="19">
        <f>IF(OR(F2589="",I2589=""),"",IF(COUNTIFS(F$6:F2589,F2589,I$6:I2589,"?*")=1,MAX(W$5:W2588)+1,""))</f>
        <v/>
      </c>
    </row>
    <row r="2590">
      <c r="B2590" s="15" t="n"/>
      <c r="C2590" s="16" t="n"/>
      <c r="D2590" s="17" t="n"/>
      <c r="E2590" s="17" t="n"/>
      <c r="F2590" s="17" t="n"/>
      <c r="G2590" s="17" t="n"/>
      <c r="H2590" s="18">
        <f>IF(AND(B2590="",C2590="",D2590="",E2590=""),"",IF(B2590="","⚠ Falta fecha",IF(C2590="","⚠ Falta monto",IF(D2590="","⚠ Falta categoría",IF(ISNA(MATCH(D2590,catNom,0)),"⚠ Categoría no existe",IF(E2590="","⚠ Falta cuenta",IF(ISNA(MATCH(E2590,ctaNom,0)),"⚠ Cuenta no existe",IF(AND(OR(I2590="Transferencia",I2590="Pago tarjeta"),G2590=""),"⚠ Indica la cuenta «Hacia»",IF(AND(G2590&lt;&gt;"",G2590=E2590),"⚠ «Hacia» igual a la cuenta",IF(AND(G2590&lt;&gt;"",ISNA(MATCH(G2590,ctaNom,0))),"⚠ «Hacia» no existe",IF(AND(I2590="Pago tarjeta",IFERROR(INDEX(ctaTipo,MATCH(G2590,ctaNom,0)),"")&lt;&gt;"Tarjeta de crédito"),"⚠ «Hacia» debe ser la tarjeta",IF(AND(I2590="Trading",IFERROR(INDEX(ctaTipo,MATCH(E2590,ctaNom,0)),"")&lt;&gt;"Cuenta de trading"),"⚠ Usa la cuenta de trading","✓"))))))))))))</f>
        <v/>
      </c>
      <c r="I2590" s="19">
        <f>IF(OR(B2590="",C2590="",D2590=""),"",IFERROR(INDEX(catTipo,MATCH(D2590,catNom,0))&amp;"",""))</f>
        <v/>
      </c>
      <c r="J2590" s="19">
        <f>IF(I2590="","",IFERROR(INDEX(catGrupo,MATCH(D2590,catNom,0))&amp;"",""))</f>
        <v/>
      </c>
      <c r="K2590" s="19">
        <f>IF(I2590="Gasto",IF(IFERROR(INDEX(catClas,MATCH(D2590,catNom,0))&amp;"","")="","Variable",IFERROR(INDEX(catClas,MATCH(D2590,catNom,0))&amp;"","")),"")</f>
        <v/>
      </c>
      <c r="L2590" s="19">
        <f>IF(I2590="","",IFERROR(INDEX(catAlim,MATCH(D2590,catNom,0))&amp;"",""))</f>
        <v/>
      </c>
      <c r="M2590" s="19">
        <f>IF(I2590="","",IFERROR(INDEX(catComida,MATCH(D2590,catNom,0))&amp;"",""))</f>
        <v/>
      </c>
      <c r="N2590" s="19">
        <f>IF(I2590="","",IFERROR(INDEX(ctaMon,MATCH(E2590,ctaNom,0))&amp;"","DOP"))</f>
        <v/>
      </c>
      <c r="O2590" s="20">
        <f>IF(I2590="","",C2590*IF(N2590="USD",TasaUSD,1))</f>
        <v/>
      </c>
      <c r="P2590" s="20">
        <f>IF(I2590="","",IF(I2590="Gasto",O2590,0))</f>
        <v/>
      </c>
      <c r="Q2590" s="20">
        <f>IF(I2590="","",IF(I2590="Ingreso",O2590,0))</f>
        <v/>
      </c>
      <c r="R2590" s="20">
        <f>IF(I2590="","",IF(I2590="Trading",O2590,0))</f>
        <v/>
      </c>
      <c r="S2590" s="19">
        <f>IF(I2590="","",IF(AND(I2590="Gasto",K2590="Variable",J2590&lt;&gt;"Trading",O2590&gt;0,O2590&lt;=Umbral),1,0))</f>
        <v/>
      </c>
      <c r="T2590" s="20">
        <f>IF(OR(I2590="",E2590=""),"",IF(OR(I2590="Gasto",I2590="Transferencia",I2590="Pago tarjeta"),-1,1)*C2590)</f>
        <v/>
      </c>
      <c r="U2590" s="20">
        <f>IF(OR(G2590="",AND(I2590&lt;&gt;"Transferencia",I2590&lt;&gt;"Pago tarjeta")),"",IF(IFERROR(INDEX(ctaMon,MATCH(G2590,ctaNom,0))&amp;"","DOP")=N2590,C2590,IF(N2590="USD",C2590*TasaUSD,C2590/TasaUSD)))</f>
        <v/>
      </c>
      <c r="V2590" s="20">
        <f>IF(I2590="","",IF(IFERROR(INDEX(ctaLiq,MATCH(E2590,ctaNom,0))="Sí",FALSE),IF(OR(I2590="Gasto",I2590="Transferencia",I2590="Pago tarjeta"),-1,1)*O2590,0)+IF(AND(U2590&lt;&gt;"",IFERROR(INDEX(ctaLiq,MATCH(G2590,ctaNom,0))="Sí",FALSE)),O2590,0))</f>
        <v/>
      </c>
      <c r="W2590" s="19">
        <f>IF(OR(F2590="",I2590=""),"",IF(COUNTIFS(F$6:F2590,F2590,I$6:I2590,"?*")=1,MAX(W$5:W2589)+1,""))</f>
        <v/>
      </c>
    </row>
    <row r="2591">
      <c r="B2591" s="15" t="n"/>
      <c r="C2591" s="16" t="n"/>
      <c r="D2591" s="17" t="n"/>
      <c r="E2591" s="17" t="n"/>
      <c r="F2591" s="17" t="n"/>
      <c r="G2591" s="17" t="n"/>
      <c r="H2591" s="18">
        <f>IF(AND(B2591="",C2591="",D2591="",E2591=""),"",IF(B2591="","⚠ Falta fecha",IF(C2591="","⚠ Falta monto",IF(D2591="","⚠ Falta categoría",IF(ISNA(MATCH(D2591,catNom,0)),"⚠ Categoría no existe",IF(E2591="","⚠ Falta cuenta",IF(ISNA(MATCH(E2591,ctaNom,0)),"⚠ Cuenta no existe",IF(AND(OR(I2591="Transferencia",I2591="Pago tarjeta"),G2591=""),"⚠ Indica la cuenta «Hacia»",IF(AND(G2591&lt;&gt;"",G2591=E2591),"⚠ «Hacia» igual a la cuenta",IF(AND(G2591&lt;&gt;"",ISNA(MATCH(G2591,ctaNom,0))),"⚠ «Hacia» no existe",IF(AND(I2591="Pago tarjeta",IFERROR(INDEX(ctaTipo,MATCH(G2591,ctaNom,0)),"")&lt;&gt;"Tarjeta de crédito"),"⚠ «Hacia» debe ser la tarjeta",IF(AND(I2591="Trading",IFERROR(INDEX(ctaTipo,MATCH(E2591,ctaNom,0)),"")&lt;&gt;"Cuenta de trading"),"⚠ Usa la cuenta de trading","✓"))))))))))))</f>
        <v/>
      </c>
      <c r="I2591" s="19">
        <f>IF(OR(B2591="",C2591="",D2591=""),"",IFERROR(INDEX(catTipo,MATCH(D2591,catNom,0))&amp;"",""))</f>
        <v/>
      </c>
      <c r="J2591" s="19">
        <f>IF(I2591="","",IFERROR(INDEX(catGrupo,MATCH(D2591,catNom,0))&amp;"",""))</f>
        <v/>
      </c>
      <c r="K2591" s="19">
        <f>IF(I2591="Gasto",IF(IFERROR(INDEX(catClas,MATCH(D2591,catNom,0))&amp;"","")="","Variable",IFERROR(INDEX(catClas,MATCH(D2591,catNom,0))&amp;"","")),"")</f>
        <v/>
      </c>
      <c r="L2591" s="19">
        <f>IF(I2591="","",IFERROR(INDEX(catAlim,MATCH(D2591,catNom,0))&amp;"",""))</f>
        <v/>
      </c>
      <c r="M2591" s="19">
        <f>IF(I2591="","",IFERROR(INDEX(catComida,MATCH(D2591,catNom,0))&amp;"",""))</f>
        <v/>
      </c>
      <c r="N2591" s="19">
        <f>IF(I2591="","",IFERROR(INDEX(ctaMon,MATCH(E2591,ctaNom,0))&amp;"","DOP"))</f>
        <v/>
      </c>
      <c r="O2591" s="20">
        <f>IF(I2591="","",C2591*IF(N2591="USD",TasaUSD,1))</f>
        <v/>
      </c>
      <c r="P2591" s="20">
        <f>IF(I2591="","",IF(I2591="Gasto",O2591,0))</f>
        <v/>
      </c>
      <c r="Q2591" s="20">
        <f>IF(I2591="","",IF(I2591="Ingreso",O2591,0))</f>
        <v/>
      </c>
      <c r="R2591" s="20">
        <f>IF(I2591="","",IF(I2591="Trading",O2591,0))</f>
        <v/>
      </c>
      <c r="S2591" s="19">
        <f>IF(I2591="","",IF(AND(I2591="Gasto",K2591="Variable",J2591&lt;&gt;"Trading",O2591&gt;0,O2591&lt;=Umbral),1,0))</f>
        <v/>
      </c>
      <c r="T2591" s="20">
        <f>IF(OR(I2591="",E2591=""),"",IF(OR(I2591="Gasto",I2591="Transferencia",I2591="Pago tarjeta"),-1,1)*C2591)</f>
        <v/>
      </c>
      <c r="U2591" s="20">
        <f>IF(OR(G2591="",AND(I2591&lt;&gt;"Transferencia",I2591&lt;&gt;"Pago tarjeta")),"",IF(IFERROR(INDEX(ctaMon,MATCH(G2591,ctaNom,0))&amp;"","DOP")=N2591,C2591,IF(N2591="USD",C2591*TasaUSD,C2591/TasaUSD)))</f>
        <v/>
      </c>
      <c r="V2591" s="20">
        <f>IF(I2591="","",IF(IFERROR(INDEX(ctaLiq,MATCH(E2591,ctaNom,0))="Sí",FALSE),IF(OR(I2591="Gasto",I2591="Transferencia",I2591="Pago tarjeta"),-1,1)*O2591,0)+IF(AND(U2591&lt;&gt;"",IFERROR(INDEX(ctaLiq,MATCH(G2591,ctaNom,0))="Sí",FALSE)),O2591,0))</f>
        <v/>
      </c>
      <c r="W2591" s="19">
        <f>IF(OR(F2591="",I2591=""),"",IF(COUNTIFS(F$6:F2591,F2591,I$6:I2591,"?*")=1,MAX(W$5:W2590)+1,""))</f>
        <v/>
      </c>
    </row>
    <row r="2592">
      <c r="B2592" s="15" t="n"/>
      <c r="C2592" s="16" t="n"/>
      <c r="D2592" s="17" t="n"/>
      <c r="E2592" s="17" t="n"/>
      <c r="F2592" s="17" t="n"/>
      <c r="G2592" s="17" t="n"/>
      <c r="H2592" s="18">
        <f>IF(AND(B2592="",C2592="",D2592="",E2592=""),"",IF(B2592="","⚠ Falta fecha",IF(C2592="","⚠ Falta monto",IF(D2592="","⚠ Falta categoría",IF(ISNA(MATCH(D2592,catNom,0)),"⚠ Categoría no existe",IF(E2592="","⚠ Falta cuenta",IF(ISNA(MATCH(E2592,ctaNom,0)),"⚠ Cuenta no existe",IF(AND(OR(I2592="Transferencia",I2592="Pago tarjeta"),G2592=""),"⚠ Indica la cuenta «Hacia»",IF(AND(G2592&lt;&gt;"",G2592=E2592),"⚠ «Hacia» igual a la cuenta",IF(AND(G2592&lt;&gt;"",ISNA(MATCH(G2592,ctaNom,0))),"⚠ «Hacia» no existe",IF(AND(I2592="Pago tarjeta",IFERROR(INDEX(ctaTipo,MATCH(G2592,ctaNom,0)),"")&lt;&gt;"Tarjeta de crédito"),"⚠ «Hacia» debe ser la tarjeta",IF(AND(I2592="Trading",IFERROR(INDEX(ctaTipo,MATCH(E2592,ctaNom,0)),"")&lt;&gt;"Cuenta de trading"),"⚠ Usa la cuenta de trading","✓"))))))))))))</f>
        <v/>
      </c>
      <c r="I2592" s="19">
        <f>IF(OR(B2592="",C2592="",D2592=""),"",IFERROR(INDEX(catTipo,MATCH(D2592,catNom,0))&amp;"",""))</f>
        <v/>
      </c>
      <c r="J2592" s="19">
        <f>IF(I2592="","",IFERROR(INDEX(catGrupo,MATCH(D2592,catNom,0))&amp;"",""))</f>
        <v/>
      </c>
      <c r="K2592" s="19">
        <f>IF(I2592="Gasto",IF(IFERROR(INDEX(catClas,MATCH(D2592,catNom,0))&amp;"","")="","Variable",IFERROR(INDEX(catClas,MATCH(D2592,catNom,0))&amp;"","")),"")</f>
        <v/>
      </c>
      <c r="L2592" s="19">
        <f>IF(I2592="","",IFERROR(INDEX(catAlim,MATCH(D2592,catNom,0))&amp;"",""))</f>
        <v/>
      </c>
      <c r="M2592" s="19">
        <f>IF(I2592="","",IFERROR(INDEX(catComida,MATCH(D2592,catNom,0))&amp;"",""))</f>
        <v/>
      </c>
      <c r="N2592" s="19">
        <f>IF(I2592="","",IFERROR(INDEX(ctaMon,MATCH(E2592,ctaNom,0))&amp;"","DOP"))</f>
        <v/>
      </c>
      <c r="O2592" s="20">
        <f>IF(I2592="","",C2592*IF(N2592="USD",TasaUSD,1))</f>
        <v/>
      </c>
      <c r="P2592" s="20">
        <f>IF(I2592="","",IF(I2592="Gasto",O2592,0))</f>
        <v/>
      </c>
      <c r="Q2592" s="20">
        <f>IF(I2592="","",IF(I2592="Ingreso",O2592,0))</f>
        <v/>
      </c>
      <c r="R2592" s="20">
        <f>IF(I2592="","",IF(I2592="Trading",O2592,0))</f>
        <v/>
      </c>
      <c r="S2592" s="19">
        <f>IF(I2592="","",IF(AND(I2592="Gasto",K2592="Variable",J2592&lt;&gt;"Trading",O2592&gt;0,O2592&lt;=Umbral),1,0))</f>
        <v/>
      </c>
      <c r="T2592" s="20">
        <f>IF(OR(I2592="",E2592=""),"",IF(OR(I2592="Gasto",I2592="Transferencia",I2592="Pago tarjeta"),-1,1)*C2592)</f>
        <v/>
      </c>
      <c r="U2592" s="20">
        <f>IF(OR(G2592="",AND(I2592&lt;&gt;"Transferencia",I2592&lt;&gt;"Pago tarjeta")),"",IF(IFERROR(INDEX(ctaMon,MATCH(G2592,ctaNom,0))&amp;"","DOP")=N2592,C2592,IF(N2592="USD",C2592*TasaUSD,C2592/TasaUSD)))</f>
        <v/>
      </c>
      <c r="V2592" s="20">
        <f>IF(I2592="","",IF(IFERROR(INDEX(ctaLiq,MATCH(E2592,ctaNom,0))="Sí",FALSE),IF(OR(I2592="Gasto",I2592="Transferencia",I2592="Pago tarjeta"),-1,1)*O2592,0)+IF(AND(U2592&lt;&gt;"",IFERROR(INDEX(ctaLiq,MATCH(G2592,ctaNom,0))="Sí",FALSE)),O2592,0))</f>
        <v/>
      </c>
      <c r="W2592" s="19">
        <f>IF(OR(F2592="",I2592=""),"",IF(COUNTIFS(F$6:F2592,F2592,I$6:I2592,"?*")=1,MAX(W$5:W2591)+1,""))</f>
        <v/>
      </c>
    </row>
    <row r="2593">
      <c r="B2593" s="15" t="n"/>
      <c r="C2593" s="16" t="n"/>
      <c r="D2593" s="17" t="n"/>
      <c r="E2593" s="17" t="n"/>
      <c r="F2593" s="17" t="n"/>
      <c r="G2593" s="17" t="n"/>
      <c r="H2593" s="18">
        <f>IF(AND(B2593="",C2593="",D2593="",E2593=""),"",IF(B2593="","⚠ Falta fecha",IF(C2593="","⚠ Falta monto",IF(D2593="","⚠ Falta categoría",IF(ISNA(MATCH(D2593,catNom,0)),"⚠ Categoría no existe",IF(E2593="","⚠ Falta cuenta",IF(ISNA(MATCH(E2593,ctaNom,0)),"⚠ Cuenta no existe",IF(AND(OR(I2593="Transferencia",I2593="Pago tarjeta"),G2593=""),"⚠ Indica la cuenta «Hacia»",IF(AND(G2593&lt;&gt;"",G2593=E2593),"⚠ «Hacia» igual a la cuenta",IF(AND(G2593&lt;&gt;"",ISNA(MATCH(G2593,ctaNom,0))),"⚠ «Hacia» no existe",IF(AND(I2593="Pago tarjeta",IFERROR(INDEX(ctaTipo,MATCH(G2593,ctaNom,0)),"")&lt;&gt;"Tarjeta de crédito"),"⚠ «Hacia» debe ser la tarjeta",IF(AND(I2593="Trading",IFERROR(INDEX(ctaTipo,MATCH(E2593,ctaNom,0)),"")&lt;&gt;"Cuenta de trading"),"⚠ Usa la cuenta de trading","✓"))))))))))))</f>
        <v/>
      </c>
      <c r="I2593" s="19">
        <f>IF(OR(B2593="",C2593="",D2593=""),"",IFERROR(INDEX(catTipo,MATCH(D2593,catNom,0))&amp;"",""))</f>
        <v/>
      </c>
      <c r="J2593" s="19">
        <f>IF(I2593="","",IFERROR(INDEX(catGrupo,MATCH(D2593,catNom,0))&amp;"",""))</f>
        <v/>
      </c>
      <c r="K2593" s="19">
        <f>IF(I2593="Gasto",IF(IFERROR(INDEX(catClas,MATCH(D2593,catNom,0))&amp;"","")="","Variable",IFERROR(INDEX(catClas,MATCH(D2593,catNom,0))&amp;"","")),"")</f>
        <v/>
      </c>
      <c r="L2593" s="19">
        <f>IF(I2593="","",IFERROR(INDEX(catAlim,MATCH(D2593,catNom,0))&amp;"",""))</f>
        <v/>
      </c>
      <c r="M2593" s="19">
        <f>IF(I2593="","",IFERROR(INDEX(catComida,MATCH(D2593,catNom,0))&amp;"",""))</f>
        <v/>
      </c>
      <c r="N2593" s="19">
        <f>IF(I2593="","",IFERROR(INDEX(ctaMon,MATCH(E2593,ctaNom,0))&amp;"","DOP"))</f>
        <v/>
      </c>
      <c r="O2593" s="20">
        <f>IF(I2593="","",C2593*IF(N2593="USD",TasaUSD,1))</f>
        <v/>
      </c>
      <c r="P2593" s="20">
        <f>IF(I2593="","",IF(I2593="Gasto",O2593,0))</f>
        <v/>
      </c>
      <c r="Q2593" s="20">
        <f>IF(I2593="","",IF(I2593="Ingreso",O2593,0))</f>
        <v/>
      </c>
      <c r="R2593" s="20">
        <f>IF(I2593="","",IF(I2593="Trading",O2593,0))</f>
        <v/>
      </c>
      <c r="S2593" s="19">
        <f>IF(I2593="","",IF(AND(I2593="Gasto",K2593="Variable",J2593&lt;&gt;"Trading",O2593&gt;0,O2593&lt;=Umbral),1,0))</f>
        <v/>
      </c>
      <c r="T2593" s="20">
        <f>IF(OR(I2593="",E2593=""),"",IF(OR(I2593="Gasto",I2593="Transferencia",I2593="Pago tarjeta"),-1,1)*C2593)</f>
        <v/>
      </c>
      <c r="U2593" s="20">
        <f>IF(OR(G2593="",AND(I2593&lt;&gt;"Transferencia",I2593&lt;&gt;"Pago tarjeta")),"",IF(IFERROR(INDEX(ctaMon,MATCH(G2593,ctaNom,0))&amp;"","DOP")=N2593,C2593,IF(N2593="USD",C2593*TasaUSD,C2593/TasaUSD)))</f>
        <v/>
      </c>
      <c r="V2593" s="20">
        <f>IF(I2593="","",IF(IFERROR(INDEX(ctaLiq,MATCH(E2593,ctaNom,0))="Sí",FALSE),IF(OR(I2593="Gasto",I2593="Transferencia",I2593="Pago tarjeta"),-1,1)*O2593,0)+IF(AND(U2593&lt;&gt;"",IFERROR(INDEX(ctaLiq,MATCH(G2593,ctaNom,0))="Sí",FALSE)),O2593,0))</f>
        <v/>
      </c>
      <c r="W2593" s="19">
        <f>IF(OR(F2593="",I2593=""),"",IF(COUNTIFS(F$6:F2593,F2593,I$6:I2593,"?*")=1,MAX(W$5:W2592)+1,""))</f>
        <v/>
      </c>
    </row>
    <row r="2594">
      <c r="B2594" s="15" t="n"/>
      <c r="C2594" s="16" t="n"/>
      <c r="D2594" s="17" t="n"/>
      <c r="E2594" s="17" t="n"/>
      <c r="F2594" s="17" t="n"/>
      <c r="G2594" s="17" t="n"/>
      <c r="H2594" s="18">
        <f>IF(AND(B2594="",C2594="",D2594="",E2594=""),"",IF(B2594="","⚠ Falta fecha",IF(C2594="","⚠ Falta monto",IF(D2594="","⚠ Falta categoría",IF(ISNA(MATCH(D2594,catNom,0)),"⚠ Categoría no existe",IF(E2594="","⚠ Falta cuenta",IF(ISNA(MATCH(E2594,ctaNom,0)),"⚠ Cuenta no existe",IF(AND(OR(I2594="Transferencia",I2594="Pago tarjeta"),G2594=""),"⚠ Indica la cuenta «Hacia»",IF(AND(G2594&lt;&gt;"",G2594=E2594),"⚠ «Hacia» igual a la cuenta",IF(AND(G2594&lt;&gt;"",ISNA(MATCH(G2594,ctaNom,0))),"⚠ «Hacia» no existe",IF(AND(I2594="Pago tarjeta",IFERROR(INDEX(ctaTipo,MATCH(G2594,ctaNom,0)),"")&lt;&gt;"Tarjeta de crédito"),"⚠ «Hacia» debe ser la tarjeta",IF(AND(I2594="Trading",IFERROR(INDEX(ctaTipo,MATCH(E2594,ctaNom,0)),"")&lt;&gt;"Cuenta de trading"),"⚠ Usa la cuenta de trading","✓"))))))))))))</f>
        <v/>
      </c>
      <c r="I2594" s="19">
        <f>IF(OR(B2594="",C2594="",D2594=""),"",IFERROR(INDEX(catTipo,MATCH(D2594,catNom,0))&amp;"",""))</f>
        <v/>
      </c>
      <c r="J2594" s="19">
        <f>IF(I2594="","",IFERROR(INDEX(catGrupo,MATCH(D2594,catNom,0))&amp;"",""))</f>
        <v/>
      </c>
      <c r="K2594" s="19">
        <f>IF(I2594="Gasto",IF(IFERROR(INDEX(catClas,MATCH(D2594,catNom,0))&amp;"","")="","Variable",IFERROR(INDEX(catClas,MATCH(D2594,catNom,0))&amp;"","")),"")</f>
        <v/>
      </c>
      <c r="L2594" s="19">
        <f>IF(I2594="","",IFERROR(INDEX(catAlim,MATCH(D2594,catNom,0))&amp;"",""))</f>
        <v/>
      </c>
      <c r="M2594" s="19">
        <f>IF(I2594="","",IFERROR(INDEX(catComida,MATCH(D2594,catNom,0))&amp;"",""))</f>
        <v/>
      </c>
      <c r="N2594" s="19">
        <f>IF(I2594="","",IFERROR(INDEX(ctaMon,MATCH(E2594,ctaNom,0))&amp;"","DOP"))</f>
        <v/>
      </c>
      <c r="O2594" s="20">
        <f>IF(I2594="","",C2594*IF(N2594="USD",TasaUSD,1))</f>
        <v/>
      </c>
      <c r="P2594" s="20">
        <f>IF(I2594="","",IF(I2594="Gasto",O2594,0))</f>
        <v/>
      </c>
      <c r="Q2594" s="20">
        <f>IF(I2594="","",IF(I2594="Ingreso",O2594,0))</f>
        <v/>
      </c>
      <c r="R2594" s="20">
        <f>IF(I2594="","",IF(I2594="Trading",O2594,0))</f>
        <v/>
      </c>
      <c r="S2594" s="19">
        <f>IF(I2594="","",IF(AND(I2594="Gasto",K2594="Variable",J2594&lt;&gt;"Trading",O2594&gt;0,O2594&lt;=Umbral),1,0))</f>
        <v/>
      </c>
      <c r="T2594" s="20">
        <f>IF(OR(I2594="",E2594=""),"",IF(OR(I2594="Gasto",I2594="Transferencia",I2594="Pago tarjeta"),-1,1)*C2594)</f>
        <v/>
      </c>
      <c r="U2594" s="20">
        <f>IF(OR(G2594="",AND(I2594&lt;&gt;"Transferencia",I2594&lt;&gt;"Pago tarjeta")),"",IF(IFERROR(INDEX(ctaMon,MATCH(G2594,ctaNom,0))&amp;"","DOP")=N2594,C2594,IF(N2594="USD",C2594*TasaUSD,C2594/TasaUSD)))</f>
        <v/>
      </c>
      <c r="V2594" s="20">
        <f>IF(I2594="","",IF(IFERROR(INDEX(ctaLiq,MATCH(E2594,ctaNom,0))="Sí",FALSE),IF(OR(I2594="Gasto",I2594="Transferencia",I2594="Pago tarjeta"),-1,1)*O2594,0)+IF(AND(U2594&lt;&gt;"",IFERROR(INDEX(ctaLiq,MATCH(G2594,ctaNom,0))="Sí",FALSE)),O2594,0))</f>
        <v/>
      </c>
      <c r="W2594" s="19">
        <f>IF(OR(F2594="",I2594=""),"",IF(COUNTIFS(F$6:F2594,F2594,I$6:I2594,"?*")=1,MAX(W$5:W2593)+1,""))</f>
        <v/>
      </c>
    </row>
    <row r="2595">
      <c r="B2595" s="15" t="n"/>
      <c r="C2595" s="16" t="n"/>
      <c r="D2595" s="17" t="n"/>
      <c r="E2595" s="17" t="n"/>
      <c r="F2595" s="17" t="n"/>
      <c r="G2595" s="17" t="n"/>
      <c r="H2595" s="18">
        <f>IF(AND(B2595="",C2595="",D2595="",E2595=""),"",IF(B2595="","⚠ Falta fecha",IF(C2595="","⚠ Falta monto",IF(D2595="","⚠ Falta categoría",IF(ISNA(MATCH(D2595,catNom,0)),"⚠ Categoría no existe",IF(E2595="","⚠ Falta cuenta",IF(ISNA(MATCH(E2595,ctaNom,0)),"⚠ Cuenta no existe",IF(AND(OR(I2595="Transferencia",I2595="Pago tarjeta"),G2595=""),"⚠ Indica la cuenta «Hacia»",IF(AND(G2595&lt;&gt;"",G2595=E2595),"⚠ «Hacia» igual a la cuenta",IF(AND(G2595&lt;&gt;"",ISNA(MATCH(G2595,ctaNom,0))),"⚠ «Hacia» no existe",IF(AND(I2595="Pago tarjeta",IFERROR(INDEX(ctaTipo,MATCH(G2595,ctaNom,0)),"")&lt;&gt;"Tarjeta de crédito"),"⚠ «Hacia» debe ser la tarjeta",IF(AND(I2595="Trading",IFERROR(INDEX(ctaTipo,MATCH(E2595,ctaNom,0)),"")&lt;&gt;"Cuenta de trading"),"⚠ Usa la cuenta de trading","✓"))))))))))))</f>
        <v/>
      </c>
      <c r="I2595" s="19">
        <f>IF(OR(B2595="",C2595="",D2595=""),"",IFERROR(INDEX(catTipo,MATCH(D2595,catNom,0))&amp;"",""))</f>
        <v/>
      </c>
      <c r="J2595" s="19">
        <f>IF(I2595="","",IFERROR(INDEX(catGrupo,MATCH(D2595,catNom,0))&amp;"",""))</f>
        <v/>
      </c>
      <c r="K2595" s="19">
        <f>IF(I2595="Gasto",IF(IFERROR(INDEX(catClas,MATCH(D2595,catNom,0))&amp;"","")="","Variable",IFERROR(INDEX(catClas,MATCH(D2595,catNom,0))&amp;"","")),"")</f>
        <v/>
      </c>
      <c r="L2595" s="19">
        <f>IF(I2595="","",IFERROR(INDEX(catAlim,MATCH(D2595,catNom,0))&amp;"",""))</f>
        <v/>
      </c>
      <c r="M2595" s="19">
        <f>IF(I2595="","",IFERROR(INDEX(catComida,MATCH(D2595,catNom,0))&amp;"",""))</f>
        <v/>
      </c>
      <c r="N2595" s="19">
        <f>IF(I2595="","",IFERROR(INDEX(ctaMon,MATCH(E2595,ctaNom,0))&amp;"","DOP"))</f>
        <v/>
      </c>
      <c r="O2595" s="20">
        <f>IF(I2595="","",C2595*IF(N2595="USD",TasaUSD,1))</f>
        <v/>
      </c>
      <c r="P2595" s="20">
        <f>IF(I2595="","",IF(I2595="Gasto",O2595,0))</f>
        <v/>
      </c>
      <c r="Q2595" s="20">
        <f>IF(I2595="","",IF(I2595="Ingreso",O2595,0))</f>
        <v/>
      </c>
      <c r="R2595" s="20">
        <f>IF(I2595="","",IF(I2595="Trading",O2595,0))</f>
        <v/>
      </c>
      <c r="S2595" s="19">
        <f>IF(I2595="","",IF(AND(I2595="Gasto",K2595="Variable",J2595&lt;&gt;"Trading",O2595&gt;0,O2595&lt;=Umbral),1,0))</f>
        <v/>
      </c>
      <c r="T2595" s="20">
        <f>IF(OR(I2595="",E2595=""),"",IF(OR(I2595="Gasto",I2595="Transferencia",I2595="Pago tarjeta"),-1,1)*C2595)</f>
        <v/>
      </c>
      <c r="U2595" s="20">
        <f>IF(OR(G2595="",AND(I2595&lt;&gt;"Transferencia",I2595&lt;&gt;"Pago tarjeta")),"",IF(IFERROR(INDEX(ctaMon,MATCH(G2595,ctaNom,0))&amp;"","DOP")=N2595,C2595,IF(N2595="USD",C2595*TasaUSD,C2595/TasaUSD)))</f>
        <v/>
      </c>
      <c r="V2595" s="20">
        <f>IF(I2595="","",IF(IFERROR(INDEX(ctaLiq,MATCH(E2595,ctaNom,0))="Sí",FALSE),IF(OR(I2595="Gasto",I2595="Transferencia",I2595="Pago tarjeta"),-1,1)*O2595,0)+IF(AND(U2595&lt;&gt;"",IFERROR(INDEX(ctaLiq,MATCH(G2595,ctaNom,0))="Sí",FALSE)),O2595,0))</f>
        <v/>
      </c>
      <c r="W2595" s="19">
        <f>IF(OR(F2595="",I2595=""),"",IF(COUNTIFS(F$6:F2595,F2595,I$6:I2595,"?*")=1,MAX(W$5:W2594)+1,""))</f>
        <v/>
      </c>
    </row>
    <row r="2596">
      <c r="B2596" s="15" t="n"/>
      <c r="C2596" s="16" t="n"/>
      <c r="D2596" s="17" t="n"/>
      <c r="E2596" s="17" t="n"/>
      <c r="F2596" s="17" t="n"/>
      <c r="G2596" s="17" t="n"/>
      <c r="H2596" s="18">
        <f>IF(AND(B2596="",C2596="",D2596="",E2596=""),"",IF(B2596="","⚠ Falta fecha",IF(C2596="","⚠ Falta monto",IF(D2596="","⚠ Falta categoría",IF(ISNA(MATCH(D2596,catNom,0)),"⚠ Categoría no existe",IF(E2596="","⚠ Falta cuenta",IF(ISNA(MATCH(E2596,ctaNom,0)),"⚠ Cuenta no existe",IF(AND(OR(I2596="Transferencia",I2596="Pago tarjeta"),G2596=""),"⚠ Indica la cuenta «Hacia»",IF(AND(G2596&lt;&gt;"",G2596=E2596),"⚠ «Hacia» igual a la cuenta",IF(AND(G2596&lt;&gt;"",ISNA(MATCH(G2596,ctaNom,0))),"⚠ «Hacia» no existe",IF(AND(I2596="Pago tarjeta",IFERROR(INDEX(ctaTipo,MATCH(G2596,ctaNom,0)),"")&lt;&gt;"Tarjeta de crédito"),"⚠ «Hacia» debe ser la tarjeta",IF(AND(I2596="Trading",IFERROR(INDEX(ctaTipo,MATCH(E2596,ctaNom,0)),"")&lt;&gt;"Cuenta de trading"),"⚠ Usa la cuenta de trading","✓"))))))))))))</f>
        <v/>
      </c>
      <c r="I2596" s="19">
        <f>IF(OR(B2596="",C2596="",D2596=""),"",IFERROR(INDEX(catTipo,MATCH(D2596,catNom,0))&amp;"",""))</f>
        <v/>
      </c>
      <c r="J2596" s="19">
        <f>IF(I2596="","",IFERROR(INDEX(catGrupo,MATCH(D2596,catNom,0))&amp;"",""))</f>
        <v/>
      </c>
      <c r="K2596" s="19">
        <f>IF(I2596="Gasto",IF(IFERROR(INDEX(catClas,MATCH(D2596,catNom,0))&amp;"","")="","Variable",IFERROR(INDEX(catClas,MATCH(D2596,catNom,0))&amp;"","")),"")</f>
        <v/>
      </c>
      <c r="L2596" s="19">
        <f>IF(I2596="","",IFERROR(INDEX(catAlim,MATCH(D2596,catNom,0))&amp;"",""))</f>
        <v/>
      </c>
      <c r="M2596" s="19">
        <f>IF(I2596="","",IFERROR(INDEX(catComida,MATCH(D2596,catNom,0))&amp;"",""))</f>
        <v/>
      </c>
      <c r="N2596" s="19">
        <f>IF(I2596="","",IFERROR(INDEX(ctaMon,MATCH(E2596,ctaNom,0))&amp;"","DOP"))</f>
        <v/>
      </c>
      <c r="O2596" s="20">
        <f>IF(I2596="","",C2596*IF(N2596="USD",TasaUSD,1))</f>
        <v/>
      </c>
      <c r="P2596" s="20">
        <f>IF(I2596="","",IF(I2596="Gasto",O2596,0))</f>
        <v/>
      </c>
      <c r="Q2596" s="20">
        <f>IF(I2596="","",IF(I2596="Ingreso",O2596,0))</f>
        <v/>
      </c>
      <c r="R2596" s="20">
        <f>IF(I2596="","",IF(I2596="Trading",O2596,0))</f>
        <v/>
      </c>
      <c r="S2596" s="19">
        <f>IF(I2596="","",IF(AND(I2596="Gasto",K2596="Variable",J2596&lt;&gt;"Trading",O2596&gt;0,O2596&lt;=Umbral),1,0))</f>
        <v/>
      </c>
      <c r="T2596" s="20">
        <f>IF(OR(I2596="",E2596=""),"",IF(OR(I2596="Gasto",I2596="Transferencia",I2596="Pago tarjeta"),-1,1)*C2596)</f>
        <v/>
      </c>
      <c r="U2596" s="20">
        <f>IF(OR(G2596="",AND(I2596&lt;&gt;"Transferencia",I2596&lt;&gt;"Pago tarjeta")),"",IF(IFERROR(INDEX(ctaMon,MATCH(G2596,ctaNom,0))&amp;"","DOP")=N2596,C2596,IF(N2596="USD",C2596*TasaUSD,C2596/TasaUSD)))</f>
        <v/>
      </c>
      <c r="V2596" s="20">
        <f>IF(I2596="","",IF(IFERROR(INDEX(ctaLiq,MATCH(E2596,ctaNom,0))="Sí",FALSE),IF(OR(I2596="Gasto",I2596="Transferencia",I2596="Pago tarjeta"),-1,1)*O2596,0)+IF(AND(U2596&lt;&gt;"",IFERROR(INDEX(ctaLiq,MATCH(G2596,ctaNom,0))="Sí",FALSE)),O2596,0))</f>
        <v/>
      </c>
      <c r="W2596" s="19">
        <f>IF(OR(F2596="",I2596=""),"",IF(COUNTIFS(F$6:F2596,F2596,I$6:I2596,"?*")=1,MAX(W$5:W2595)+1,""))</f>
        <v/>
      </c>
    </row>
    <row r="2597">
      <c r="B2597" s="15" t="n"/>
      <c r="C2597" s="16" t="n"/>
      <c r="D2597" s="17" t="n"/>
      <c r="E2597" s="17" t="n"/>
      <c r="F2597" s="17" t="n"/>
      <c r="G2597" s="17" t="n"/>
      <c r="H2597" s="18">
        <f>IF(AND(B2597="",C2597="",D2597="",E2597=""),"",IF(B2597="","⚠ Falta fecha",IF(C2597="","⚠ Falta monto",IF(D2597="","⚠ Falta categoría",IF(ISNA(MATCH(D2597,catNom,0)),"⚠ Categoría no existe",IF(E2597="","⚠ Falta cuenta",IF(ISNA(MATCH(E2597,ctaNom,0)),"⚠ Cuenta no existe",IF(AND(OR(I2597="Transferencia",I2597="Pago tarjeta"),G2597=""),"⚠ Indica la cuenta «Hacia»",IF(AND(G2597&lt;&gt;"",G2597=E2597),"⚠ «Hacia» igual a la cuenta",IF(AND(G2597&lt;&gt;"",ISNA(MATCH(G2597,ctaNom,0))),"⚠ «Hacia» no existe",IF(AND(I2597="Pago tarjeta",IFERROR(INDEX(ctaTipo,MATCH(G2597,ctaNom,0)),"")&lt;&gt;"Tarjeta de crédito"),"⚠ «Hacia» debe ser la tarjeta",IF(AND(I2597="Trading",IFERROR(INDEX(ctaTipo,MATCH(E2597,ctaNom,0)),"")&lt;&gt;"Cuenta de trading"),"⚠ Usa la cuenta de trading","✓"))))))))))))</f>
        <v/>
      </c>
      <c r="I2597" s="19">
        <f>IF(OR(B2597="",C2597="",D2597=""),"",IFERROR(INDEX(catTipo,MATCH(D2597,catNom,0))&amp;"",""))</f>
        <v/>
      </c>
      <c r="J2597" s="19">
        <f>IF(I2597="","",IFERROR(INDEX(catGrupo,MATCH(D2597,catNom,0))&amp;"",""))</f>
        <v/>
      </c>
      <c r="K2597" s="19">
        <f>IF(I2597="Gasto",IF(IFERROR(INDEX(catClas,MATCH(D2597,catNom,0))&amp;"","")="","Variable",IFERROR(INDEX(catClas,MATCH(D2597,catNom,0))&amp;"","")),"")</f>
        <v/>
      </c>
      <c r="L2597" s="19">
        <f>IF(I2597="","",IFERROR(INDEX(catAlim,MATCH(D2597,catNom,0))&amp;"",""))</f>
        <v/>
      </c>
      <c r="M2597" s="19">
        <f>IF(I2597="","",IFERROR(INDEX(catComida,MATCH(D2597,catNom,0))&amp;"",""))</f>
        <v/>
      </c>
      <c r="N2597" s="19">
        <f>IF(I2597="","",IFERROR(INDEX(ctaMon,MATCH(E2597,ctaNom,0))&amp;"","DOP"))</f>
        <v/>
      </c>
      <c r="O2597" s="20">
        <f>IF(I2597="","",C2597*IF(N2597="USD",TasaUSD,1))</f>
        <v/>
      </c>
      <c r="P2597" s="20">
        <f>IF(I2597="","",IF(I2597="Gasto",O2597,0))</f>
        <v/>
      </c>
      <c r="Q2597" s="20">
        <f>IF(I2597="","",IF(I2597="Ingreso",O2597,0))</f>
        <v/>
      </c>
      <c r="R2597" s="20">
        <f>IF(I2597="","",IF(I2597="Trading",O2597,0))</f>
        <v/>
      </c>
      <c r="S2597" s="19">
        <f>IF(I2597="","",IF(AND(I2597="Gasto",K2597="Variable",J2597&lt;&gt;"Trading",O2597&gt;0,O2597&lt;=Umbral),1,0))</f>
        <v/>
      </c>
      <c r="T2597" s="20">
        <f>IF(OR(I2597="",E2597=""),"",IF(OR(I2597="Gasto",I2597="Transferencia",I2597="Pago tarjeta"),-1,1)*C2597)</f>
        <v/>
      </c>
      <c r="U2597" s="20">
        <f>IF(OR(G2597="",AND(I2597&lt;&gt;"Transferencia",I2597&lt;&gt;"Pago tarjeta")),"",IF(IFERROR(INDEX(ctaMon,MATCH(G2597,ctaNom,0))&amp;"","DOP")=N2597,C2597,IF(N2597="USD",C2597*TasaUSD,C2597/TasaUSD)))</f>
        <v/>
      </c>
      <c r="V2597" s="20">
        <f>IF(I2597="","",IF(IFERROR(INDEX(ctaLiq,MATCH(E2597,ctaNom,0))="Sí",FALSE),IF(OR(I2597="Gasto",I2597="Transferencia",I2597="Pago tarjeta"),-1,1)*O2597,0)+IF(AND(U2597&lt;&gt;"",IFERROR(INDEX(ctaLiq,MATCH(G2597,ctaNom,0))="Sí",FALSE)),O2597,0))</f>
        <v/>
      </c>
      <c r="W2597" s="19">
        <f>IF(OR(F2597="",I2597=""),"",IF(COUNTIFS(F$6:F2597,F2597,I$6:I2597,"?*")=1,MAX(W$5:W2596)+1,""))</f>
        <v/>
      </c>
    </row>
    <row r="2598">
      <c r="B2598" s="15" t="n"/>
      <c r="C2598" s="16" t="n"/>
      <c r="D2598" s="17" t="n"/>
      <c r="E2598" s="17" t="n"/>
      <c r="F2598" s="17" t="n"/>
      <c r="G2598" s="17" t="n"/>
      <c r="H2598" s="18">
        <f>IF(AND(B2598="",C2598="",D2598="",E2598=""),"",IF(B2598="","⚠ Falta fecha",IF(C2598="","⚠ Falta monto",IF(D2598="","⚠ Falta categoría",IF(ISNA(MATCH(D2598,catNom,0)),"⚠ Categoría no existe",IF(E2598="","⚠ Falta cuenta",IF(ISNA(MATCH(E2598,ctaNom,0)),"⚠ Cuenta no existe",IF(AND(OR(I2598="Transferencia",I2598="Pago tarjeta"),G2598=""),"⚠ Indica la cuenta «Hacia»",IF(AND(G2598&lt;&gt;"",G2598=E2598),"⚠ «Hacia» igual a la cuenta",IF(AND(G2598&lt;&gt;"",ISNA(MATCH(G2598,ctaNom,0))),"⚠ «Hacia» no existe",IF(AND(I2598="Pago tarjeta",IFERROR(INDEX(ctaTipo,MATCH(G2598,ctaNom,0)),"")&lt;&gt;"Tarjeta de crédito"),"⚠ «Hacia» debe ser la tarjeta",IF(AND(I2598="Trading",IFERROR(INDEX(ctaTipo,MATCH(E2598,ctaNom,0)),"")&lt;&gt;"Cuenta de trading"),"⚠ Usa la cuenta de trading","✓"))))))))))))</f>
        <v/>
      </c>
      <c r="I2598" s="19">
        <f>IF(OR(B2598="",C2598="",D2598=""),"",IFERROR(INDEX(catTipo,MATCH(D2598,catNom,0))&amp;"",""))</f>
        <v/>
      </c>
      <c r="J2598" s="19">
        <f>IF(I2598="","",IFERROR(INDEX(catGrupo,MATCH(D2598,catNom,0))&amp;"",""))</f>
        <v/>
      </c>
      <c r="K2598" s="19">
        <f>IF(I2598="Gasto",IF(IFERROR(INDEX(catClas,MATCH(D2598,catNom,0))&amp;"","")="","Variable",IFERROR(INDEX(catClas,MATCH(D2598,catNom,0))&amp;"","")),"")</f>
        <v/>
      </c>
      <c r="L2598" s="19">
        <f>IF(I2598="","",IFERROR(INDEX(catAlim,MATCH(D2598,catNom,0))&amp;"",""))</f>
        <v/>
      </c>
      <c r="M2598" s="19">
        <f>IF(I2598="","",IFERROR(INDEX(catComida,MATCH(D2598,catNom,0))&amp;"",""))</f>
        <v/>
      </c>
      <c r="N2598" s="19">
        <f>IF(I2598="","",IFERROR(INDEX(ctaMon,MATCH(E2598,ctaNom,0))&amp;"","DOP"))</f>
        <v/>
      </c>
      <c r="O2598" s="20">
        <f>IF(I2598="","",C2598*IF(N2598="USD",TasaUSD,1))</f>
        <v/>
      </c>
      <c r="P2598" s="20">
        <f>IF(I2598="","",IF(I2598="Gasto",O2598,0))</f>
        <v/>
      </c>
      <c r="Q2598" s="20">
        <f>IF(I2598="","",IF(I2598="Ingreso",O2598,0))</f>
        <v/>
      </c>
      <c r="R2598" s="20">
        <f>IF(I2598="","",IF(I2598="Trading",O2598,0))</f>
        <v/>
      </c>
      <c r="S2598" s="19">
        <f>IF(I2598="","",IF(AND(I2598="Gasto",K2598="Variable",J2598&lt;&gt;"Trading",O2598&gt;0,O2598&lt;=Umbral),1,0))</f>
        <v/>
      </c>
      <c r="T2598" s="20">
        <f>IF(OR(I2598="",E2598=""),"",IF(OR(I2598="Gasto",I2598="Transferencia",I2598="Pago tarjeta"),-1,1)*C2598)</f>
        <v/>
      </c>
      <c r="U2598" s="20">
        <f>IF(OR(G2598="",AND(I2598&lt;&gt;"Transferencia",I2598&lt;&gt;"Pago tarjeta")),"",IF(IFERROR(INDEX(ctaMon,MATCH(G2598,ctaNom,0))&amp;"","DOP")=N2598,C2598,IF(N2598="USD",C2598*TasaUSD,C2598/TasaUSD)))</f>
        <v/>
      </c>
      <c r="V2598" s="20">
        <f>IF(I2598="","",IF(IFERROR(INDEX(ctaLiq,MATCH(E2598,ctaNom,0))="Sí",FALSE),IF(OR(I2598="Gasto",I2598="Transferencia",I2598="Pago tarjeta"),-1,1)*O2598,0)+IF(AND(U2598&lt;&gt;"",IFERROR(INDEX(ctaLiq,MATCH(G2598,ctaNom,0))="Sí",FALSE)),O2598,0))</f>
        <v/>
      </c>
      <c r="W2598" s="19">
        <f>IF(OR(F2598="",I2598=""),"",IF(COUNTIFS(F$6:F2598,F2598,I$6:I2598,"?*")=1,MAX(W$5:W2597)+1,""))</f>
        <v/>
      </c>
    </row>
    <row r="2599">
      <c r="B2599" s="15" t="n"/>
      <c r="C2599" s="16" t="n"/>
      <c r="D2599" s="17" t="n"/>
      <c r="E2599" s="17" t="n"/>
      <c r="F2599" s="17" t="n"/>
      <c r="G2599" s="17" t="n"/>
      <c r="H2599" s="18">
        <f>IF(AND(B2599="",C2599="",D2599="",E2599=""),"",IF(B2599="","⚠ Falta fecha",IF(C2599="","⚠ Falta monto",IF(D2599="","⚠ Falta categoría",IF(ISNA(MATCH(D2599,catNom,0)),"⚠ Categoría no existe",IF(E2599="","⚠ Falta cuenta",IF(ISNA(MATCH(E2599,ctaNom,0)),"⚠ Cuenta no existe",IF(AND(OR(I2599="Transferencia",I2599="Pago tarjeta"),G2599=""),"⚠ Indica la cuenta «Hacia»",IF(AND(G2599&lt;&gt;"",G2599=E2599),"⚠ «Hacia» igual a la cuenta",IF(AND(G2599&lt;&gt;"",ISNA(MATCH(G2599,ctaNom,0))),"⚠ «Hacia» no existe",IF(AND(I2599="Pago tarjeta",IFERROR(INDEX(ctaTipo,MATCH(G2599,ctaNom,0)),"")&lt;&gt;"Tarjeta de crédito"),"⚠ «Hacia» debe ser la tarjeta",IF(AND(I2599="Trading",IFERROR(INDEX(ctaTipo,MATCH(E2599,ctaNom,0)),"")&lt;&gt;"Cuenta de trading"),"⚠ Usa la cuenta de trading","✓"))))))))))))</f>
        <v/>
      </c>
      <c r="I2599" s="19">
        <f>IF(OR(B2599="",C2599="",D2599=""),"",IFERROR(INDEX(catTipo,MATCH(D2599,catNom,0))&amp;"",""))</f>
        <v/>
      </c>
      <c r="J2599" s="19">
        <f>IF(I2599="","",IFERROR(INDEX(catGrupo,MATCH(D2599,catNom,0))&amp;"",""))</f>
        <v/>
      </c>
      <c r="K2599" s="19">
        <f>IF(I2599="Gasto",IF(IFERROR(INDEX(catClas,MATCH(D2599,catNom,0))&amp;"","")="","Variable",IFERROR(INDEX(catClas,MATCH(D2599,catNom,0))&amp;"","")),"")</f>
        <v/>
      </c>
      <c r="L2599" s="19">
        <f>IF(I2599="","",IFERROR(INDEX(catAlim,MATCH(D2599,catNom,0))&amp;"",""))</f>
        <v/>
      </c>
      <c r="M2599" s="19">
        <f>IF(I2599="","",IFERROR(INDEX(catComida,MATCH(D2599,catNom,0))&amp;"",""))</f>
        <v/>
      </c>
      <c r="N2599" s="19">
        <f>IF(I2599="","",IFERROR(INDEX(ctaMon,MATCH(E2599,ctaNom,0))&amp;"","DOP"))</f>
        <v/>
      </c>
      <c r="O2599" s="20">
        <f>IF(I2599="","",C2599*IF(N2599="USD",TasaUSD,1))</f>
        <v/>
      </c>
      <c r="P2599" s="20">
        <f>IF(I2599="","",IF(I2599="Gasto",O2599,0))</f>
        <v/>
      </c>
      <c r="Q2599" s="20">
        <f>IF(I2599="","",IF(I2599="Ingreso",O2599,0))</f>
        <v/>
      </c>
      <c r="R2599" s="20">
        <f>IF(I2599="","",IF(I2599="Trading",O2599,0))</f>
        <v/>
      </c>
      <c r="S2599" s="19">
        <f>IF(I2599="","",IF(AND(I2599="Gasto",K2599="Variable",J2599&lt;&gt;"Trading",O2599&gt;0,O2599&lt;=Umbral),1,0))</f>
        <v/>
      </c>
      <c r="T2599" s="20">
        <f>IF(OR(I2599="",E2599=""),"",IF(OR(I2599="Gasto",I2599="Transferencia",I2599="Pago tarjeta"),-1,1)*C2599)</f>
        <v/>
      </c>
      <c r="U2599" s="20">
        <f>IF(OR(G2599="",AND(I2599&lt;&gt;"Transferencia",I2599&lt;&gt;"Pago tarjeta")),"",IF(IFERROR(INDEX(ctaMon,MATCH(G2599,ctaNom,0))&amp;"","DOP")=N2599,C2599,IF(N2599="USD",C2599*TasaUSD,C2599/TasaUSD)))</f>
        <v/>
      </c>
      <c r="V2599" s="20">
        <f>IF(I2599="","",IF(IFERROR(INDEX(ctaLiq,MATCH(E2599,ctaNom,0))="Sí",FALSE),IF(OR(I2599="Gasto",I2599="Transferencia",I2599="Pago tarjeta"),-1,1)*O2599,0)+IF(AND(U2599&lt;&gt;"",IFERROR(INDEX(ctaLiq,MATCH(G2599,ctaNom,0))="Sí",FALSE)),O2599,0))</f>
        <v/>
      </c>
      <c r="W2599" s="19">
        <f>IF(OR(F2599="",I2599=""),"",IF(COUNTIFS(F$6:F2599,F2599,I$6:I2599,"?*")=1,MAX(W$5:W2598)+1,""))</f>
        <v/>
      </c>
    </row>
    <row r="2600">
      <c r="B2600" s="15" t="n"/>
      <c r="C2600" s="16" t="n"/>
      <c r="D2600" s="17" t="n"/>
      <c r="E2600" s="17" t="n"/>
      <c r="F2600" s="17" t="n"/>
      <c r="G2600" s="17" t="n"/>
      <c r="H2600" s="18">
        <f>IF(AND(B2600="",C2600="",D2600="",E2600=""),"",IF(B2600="","⚠ Falta fecha",IF(C2600="","⚠ Falta monto",IF(D2600="","⚠ Falta categoría",IF(ISNA(MATCH(D2600,catNom,0)),"⚠ Categoría no existe",IF(E2600="","⚠ Falta cuenta",IF(ISNA(MATCH(E2600,ctaNom,0)),"⚠ Cuenta no existe",IF(AND(OR(I2600="Transferencia",I2600="Pago tarjeta"),G2600=""),"⚠ Indica la cuenta «Hacia»",IF(AND(G2600&lt;&gt;"",G2600=E2600),"⚠ «Hacia» igual a la cuenta",IF(AND(G2600&lt;&gt;"",ISNA(MATCH(G2600,ctaNom,0))),"⚠ «Hacia» no existe",IF(AND(I2600="Pago tarjeta",IFERROR(INDEX(ctaTipo,MATCH(G2600,ctaNom,0)),"")&lt;&gt;"Tarjeta de crédito"),"⚠ «Hacia» debe ser la tarjeta",IF(AND(I2600="Trading",IFERROR(INDEX(ctaTipo,MATCH(E2600,ctaNom,0)),"")&lt;&gt;"Cuenta de trading"),"⚠ Usa la cuenta de trading","✓"))))))))))))</f>
        <v/>
      </c>
      <c r="I2600" s="19">
        <f>IF(OR(B2600="",C2600="",D2600=""),"",IFERROR(INDEX(catTipo,MATCH(D2600,catNom,0))&amp;"",""))</f>
        <v/>
      </c>
      <c r="J2600" s="19">
        <f>IF(I2600="","",IFERROR(INDEX(catGrupo,MATCH(D2600,catNom,0))&amp;"",""))</f>
        <v/>
      </c>
      <c r="K2600" s="19">
        <f>IF(I2600="Gasto",IF(IFERROR(INDEX(catClas,MATCH(D2600,catNom,0))&amp;"","")="","Variable",IFERROR(INDEX(catClas,MATCH(D2600,catNom,0))&amp;"","")),"")</f>
        <v/>
      </c>
      <c r="L2600" s="19">
        <f>IF(I2600="","",IFERROR(INDEX(catAlim,MATCH(D2600,catNom,0))&amp;"",""))</f>
        <v/>
      </c>
      <c r="M2600" s="19">
        <f>IF(I2600="","",IFERROR(INDEX(catComida,MATCH(D2600,catNom,0))&amp;"",""))</f>
        <v/>
      </c>
      <c r="N2600" s="19">
        <f>IF(I2600="","",IFERROR(INDEX(ctaMon,MATCH(E2600,ctaNom,0))&amp;"","DOP"))</f>
        <v/>
      </c>
      <c r="O2600" s="20">
        <f>IF(I2600="","",C2600*IF(N2600="USD",TasaUSD,1))</f>
        <v/>
      </c>
      <c r="P2600" s="20">
        <f>IF(I2600="","",IF(I2600="Gasto",O2600,0))</f>
        <v/>
      </c>
      <c r="Q2600" s="20">
        <f>IF(I2600="","",IF(I2600="Ingreso",O2600,0))</f>
        <v/>
      </c>
      <c r="R2600" s="20">
        <f>IF(I2600="","",IF(I2600="Trading",O2600,0))</f>
        <v/>
      </c>
      <c r="S2600" s="19">
        <f>IF(I2600="","",IF(AND(I2600="Gasto",K2600="Variable",J2600&lt;&gt;"Trading",O2600&gt;0,O2600&lt;=Umbral),1,0))</f>
        <v/>
      </c>
      <c r="T2600" s="20">
        <f>IF(OR(I2600="",E2600=""),"",IF(OR(I2600="Gasto",I2600="Transferencia",I2600="Pago tarjeta"),-1,1)*C2600)</f>
        <v/>
      </c>
      <c r="U2600" s="20">
        <f>IF(OR(G2600="",AND(I2600&lt;&gt;"Transferencia",I2600&lt;&gt;"Pago tarjeta")),"",IF(IFERROR(INDEX(ctaMon,MATCH(G2600,ctaNom,0))&amp;"","DOP")=N2600,C2600,IF(N2600="USD",C2600*TasaUSD,C2600/TasaUSD)))</f>
        <v/>
      </c>
      <c r="V2600" s="20">
        <f>IF(I2600="","",IF(IFERROR(INDEX(ctaLiq,MATCH(E2600,ctaNom,0))="Sí",FALSE),IF(OR(I2600="Gasto",I2600="Transferencia",I2600="Pago tarjeta"),-1,1)*O2600,0)+IF(AND(U2600&lt;&gt;"",IFERROR(INDEX(ctaLiq,MATCH(G2600,ctaNom,0))="Sí",FALSE)),O2600,0))</f>
        <v/>
      </c>
      <c r="W2600" s="19">
        <f>IF(OR(F2600="",I2600=""),"",IF(COUNTIFS(F$6:F2600,F2600,I$6:I2600,"?*")=1,MAX(W$5:W2599)+1,""))</f>
        <v/>
      </c>
    </row>
    <row r="2601">
      <c r="B2601" s="15" t="n"/>
      <c r="C2601" s="16" t="n"/>
      <c r="D2601" s="17" t="n"/>
      <c r="E2601" s="17" t="n"/>
      <c r="F2601" s="17" t="n"/>
      <c r="G2601" s="17" t="n"/>
      <c r="H2601" s="18">
        <f>IF(AND(B2601="",C2601="",D2601="",E2601=""),"",IF(B2601="","⚠ Falta fecha",IF(C2601="","⚠ Falta monto",IF(D2601="","⚠ Falta categoría",IF(ISNA(MATCH(D2601,catNom,0)),"⚠ Categoría no existe",IF(E2601="","⚠ Falta cuenta",IF(ISNA(MATCH(E2601,ctaNom,0)),"⚠ Cuenta no existe",IF(AND(OR(I2601="Transferencia",I2601="Pago tarjeta"),G2601=""),"⚠ Indica la cuenta «Hacia»",IF(AND(G2601&lt;&gt;"",G2601=E2601),"⚠ «Hacia» igual a la cuenta",IF(AND(G2601&lt;&gt;"",ISNA(MATCH(G2601,ctaNom,0))),"⚠ «Hacia» no existe",IF(AND(I2601="Pago tarjeta",IFERROR(INDEX(ctaTipo,MATCH(G2601,ctaNom,0)),"")&lt;&gt;"Tarjeta de crédito"),"⚠ «Hacia» debe ser la tarjeta",IF(AND(I2601="Trading",IFERROR(INDEX(ctaTipo,MATCH(E2601,ctaNom,0)),"")&lt;&gt;"Cuenta de trading"),"⚠ Usa la cuenta de trading","✓"))))))))))))</f>
        <v/>
      </c>
      <c r="I2601" s="19">
        <f>IF(OR(B2601="",C2601="",D2601=""),"",IFERROR(INDEX(catTipo,MATCH(D2601,catNom,0))&amp;"",""))</f>
        <v/>
      </c>
      <c r="J2601" s="19">
        <f>IF(I2601="","",IFERROR(INDEX(catGrupo,MATCH(D2601,catNom,0))&amp;"",""))</f>
        <v/>
      </c>
      <c r="K2601" s="19">
        <f>IF(I2601="Gasto",IF(IFERROR(INDEX(catClas,MATCH(D2601,catNom,0))&amp;"","")="","Variable",IFERROR(INDEX(catClas,MATCH(D2601,catNom,0))&amp;"","")),"")</f>
        <v/>
      </c>
      <c r="L2601" s="19">
        <f>IF(I2601="","",IFERROR(INDEX(catAlim,MATCH(D2601,catNom,0))&amp;"",""))</f>
        <v/>
      </c>
      <c r="M2601" s="19">
        <f>IF(I2601="","",IFERROR(INDEX(catComida,MATCH(D2601,catNom,0))&amp;"",""))</f>
        <v/>
      </c>
      <c r="N2601" s="19">
        <f>IF(I2601="","",IFERROR(INDEX(ctaMon,MATCH(E2601,ctaNom,0))&amp;"","DOP"))</f>
        <v/>
      </c>
      <c r="O2601" s="20">
        <f>IF(I2601="","",C2601*IF(N2601="USD",TasaUSD,1))</f>
        <v/>
      </c>
      <c r="P2601" s="20">
        <f>IF(I2601="","",IF(I2601="Gasto",O2601,0))</f>
        <v/>
      </c>
      <c r="Q2601" s="20">
        <f>IF(I2601="","",IF(I2601="Ingreso",O2601,0))</f>
        <v/>
      </c>
      <c r="R2601" s="20">
        <f>IF(I2601="","",IF(I2601="Trading",O2601,0))</f>
        <v/>
      </c>
      <c r="S2601" s="19">
        <f>IF(I2601="","",IF(AND(I2601="Gasto",K2601="Variable",J2601&lt;&gt;"Trading",O2601&gt;0,O2601&lt;=Umbral),1,0))</f>
        <v/>
      </c>
      <c r="T2601" s="20">
        <f>IF(OR(I2601="",E2601=""),"",IF(OR(I2601="Gasto",I2601="Transferencia",I2601="Pago tarjeta"),-1,1)*C2601)</f>
        <v/>
      </c>
      <c r="U2601" s="20">
        <f>IF(OR(G2601="",AND(I2601&lt;&gt;"Transferencia",I2601&lt;&gt;"Pago tarjeta")),"",IF(IFERROR(INDEX(ctaMon,MATCH(G2601,ctaNom,0))&amp;"","DOP")=N2601,C2601,IF(N2601="USD",C2601*TasaUSD,C2601/TasaUSD)))</f>
        <v/>
      </c>
      <c r="V2601" s="20">
        <f>IF(I2601="","",IF(IFERROR(INDEX(ctaLiq,MATCH(E2601,ctaNom,0))="Sí",FALSE),IF(OR(I2601="Gasto",I2601="Transferencia",I2601="Pago tarjeta"),-1,1)*O2601,0)+IF(AND(U2601&lt;&gt;"",IFERROR(INDEX(ctaLiq,MATCH(G2601,ctaNom,0))="Sí",FALSE)),O2601,0))</f>
        <v/>
      </c>
      <c r="W2601" s="19">
        <f>IF(OR(F2601="",I2601=""),"",IF(COUNTIFS(F$6:F2601,F2601,I$6:I2601,"?*")=1,MAX(W$5:W2600)+1,""))</f>
        <v/>
      </c>
    </row>
    <row r="2602">
      <c r="B2602" s="15" t="n"/>
      <c r="C2602" s="16" t="n"/>
      <c r="D2602" s="17" t="n"/>
      <c r="E2602" s="17" t="n"/>
      <c r="F2602" s="17" t="n"/>
      <c r="G2602" s="17" t="n"/>
      <c r="H2602" s="18">
        <f>IF(AND(B2602="",C2602="",D2602="",E2602=""),"",IF(B2602="","⚠ Falta fecha",IF(C2602="","⚠ Falta monto",IF(D2602="","⚠ Falta categoría",IF(ISNA(MATCH(D2602,catNom,0)),"⚠ Categoría no existe",IF(E2602="","⚠ Falta cuenta",IF(ISNA(MATCH(E2602,ctaNom,0)),"⚠ Cuenta no existe",IF(AND(OR(I2602="Transferencia",I2602="Pago tarjeta"),G2602=""),"⚠ Indica la cuenta «Hacia»",IF(AND(G2602&lt;&gt;"",G2602=E2602),"⚠ «Hacia» igual a la cuenta",IF(AND(G2602&lt;&gt;"",ISNA(MATCH(G2602,ctaNom,0))),"⚠ «Hacia» no existe",IF(AND(I2602="Pago tarjeta",IFERROR(INDEX(ctaTipo,MATCH(G2602,ctaNom,0)),"")&lt;&gt;"Tarjeta de crédito"),"⚠ «Hacia» debe ser la tarjeta",IF(AND(I2602="Trading",IFERROR(INDEX(ctaTipo,MATCH(E2602,ctaNom,0)),"")&lt;&gt;"Cuenta de trading"),"⚠ Usa la cuenta de trading","✓"))))))))))))</f>
        <v/>
      </c>
      <c r="I2602" s="19">
        <f>IF(OR(B2602="",C2602="",D2602=""),"",IFERROR(INDEX(catTipo,MATCH(D2602,catNom,0))&amp;"",""))</f>
        <v/>
      </c>
      <c r="J2602" s="19">
        <f>IF(I2602="","",IFERROR(INDEX(catGrupo,MATCH(D2602,catNom,0))&amp;"",""))</f>
        <v/>
      </c>
      <c r="K2602" s="19">
        <f>IF(I2602="Gasto",IF(IFERROR(INDEX(catClas,MATCH(D2602,catNom,0))&amp;"","")="","Variable",IFERROR(INDEX(catClas,MATCH(D2602,catNom,0))&amp;"","")),"")</f>
        <v/>
      </c>
      <c r="L2602" s="19">
        <f>IF(I2602="","",IFERROR(INDEX(catAlim,MATCH(D2602,catNom,0))&amp;"",""))</f>
        <v/>
      </c>
      <c r="M2602" s="19">
        <f>IF(I2602="","",IFERROR(INDEX(catComida,MATCH(D2602,catNom,0))&amp;"",""))</f>
        <v/>
      </c>
      <c r="N2602" s="19">
        <f>IF(I2602="","",IFERROR(INDEX(ctaMon,MATCH(E2602,ctaNom,0))&amp;"","DOP"))</f>
        <v/>
      </c>
      <c r="O2602" s="20">
        <f>IF(I2602="","",C2602*IF(N2602="USD",TasaUSD,1))</f>
        <v/>
      </c>
      <c r="P2602" s="20">
        <f>IF(I2602="","",IF(I2602="Gasto",O2602,0))</f>
        <v/>
      </c>
      <c r="Q2602" s="20">
        <f>IF(I2602="","",IF(I2602="Ingreso",O2602,0))</f>
        <v/>
      </c>
      <c r="R2602" s="20">
        <f>IF(I2602="","",IF(I2602="Trading",O2602,0))</f>
        <v/>
      </c>
      <c r="S2602" s="19">
        <f>IF(I2602="","",IF(AND(I2602="Gasto",K2602="Variable",J2602&lt;&gt;"Trading",O2602&gt;0,O2602&lt;=Umbral),1,0))</f>
        <v/>
      </c>
      <c r="T2602" s="20">
        <f>IF(OR(I2602="",E2602=""),"",IF(OR(I2602="Gasto",I2602="Transferencia",I2602="Pago tarjeta"),-1,1)*C2602)</f>
        <v/>
      </c>
      <c r="U2602" s="20">
        <f>IF(OR(G2602="",AND(I2602&lt;&gt;"Transferencia",I2602&lt;&gt;"Pago tarjeta")),"",IF(IFERROR(INDEX(ctaMon,MATCH(G2602,ctaNom,0))&amp;"","DOP")=N2602,C2602,IF(N2602="USD",C2602*TasaUSD,C2602/TasaUSD)))</f>
        <v/>
      </c>
      <c r="V2602" s="20">
        <f>IF(I2602="","",IF(IFERROR(INDEX(ctaLiq,MATCH(E2602,ctaNom,0))="Sí",FALSE),IF(OR(I2602="Gasto",I2602="Transferencia",I2602="Pago tarjeta"),-1,1)*O2602,0)+IF(AND(U2602&lt;&gt;"",IFERROR(INDEX(ctaLiq,MATCH(G2602,ctaNom,0))="Sí",FALSE)),O2602,0))</f>
        <v/>
      </c>
      <c r="W2602" s="19">
        <f>IF(OR(F2602="",I2602=""),"",IF(COUNTIFS(F$6:F2602,F2602,I$6:I2602,"?*")=1,MAX(W$5:W2601)+1,""))</f>
        <v/>
      </c>
    </row>
    <row r="2603">
      <c r="B2603" s="15" t="n"/>
      <c r="C2603" s="16" t="n"/>
      <c r="D2603" s="17" t="n"/>
      <c r="E2603" s="17" t="n"/>
      <c r="F2603" s="17" t="n"/>
      <c r="G2603" s="17" t="n"/>
      <c r="H2603" s="18">
        <f>IF(AND(B2603="",C2603="",D2603="",E2603=""),"",IF(B2603="","⚠ Falta fecha",IF(C2603="","⚠ Falta monto",IF(D2603="","⚠ Falta categoría",IF(ISNA(MATCH(D2603,catNom,0)),"⚠ Categoría no existe",IF(E2603="","⚠ Falta cuenta",IF(ISNA(MATCH(E2603,ctaNom,0)),"⚠ Cuenta no existe",IF(AND(OR(I2603="Transferencia",I2603="Pago tarjeta"),G2603=""),"⚠ Indica la cuenta «Hacia»",IF(AND(G2603&lt;&gt;"",G2603=E2603),"⚠ «Hacia» igual a la cuenta",IF(AND(G2603&lt;&gt;"",ISNA(MATCH(G2603,ctaNom,0))),"⚠ «Hacia» no existe",IF(AND(I2603="Pago tarjeta",IFERROR(INDEX(ctaTipo,MATCH(G2603,ctaNom,0)),"")&lt;&gt;"Tarjeta de crédito"),"⚠ «Hacia» debe ser la tarjeta",IF(AND(I2603="Trading",IFERROR(INDEX(ctaTipo,MATCH(E2603,ctaNom,0)),"")&lt;&gt;"Cuenta de trading"),"⚠ Usa la cuenta de trading","✓"))))))))))))</f>
        <v/>
      </c>
      <c r="I2603" s="19">
        <f>IF(OR(B2603="",C2603="",D2603=""),"",IFERROR(INDEX(catTipo,MATCH(D2603,catNom,0))&amp;"",""))</f>
        <v/>
      </c>
      <c r="J2603" s="19">
        <f>IF(I2603="","",IFERROR(INDEX(catGrupo,MATCH(D2603,catNom,0))&amp;"",""))</f>
        <v/>
      </c>
      <c r="K2603" s="19">
        <f>IF(I2603="Gasto",IF(IFERROR(INDEX(catClas,MATCH(D2603,catNom,0))&amp;"","")="","Variable",IFERROR(INDEX(catClas,MATCH(D2603,catNom,0))&amp;"","")),"")</f>
        <v/>
      </c>
      <c r="L2603" s="19">
        <f>IF(I2603="","",IFERROR(INDEX(catAlim,MATCH(D2603,catNom,0))&amp;"",""))</f>
        <v/>
      </c>
      <c r="M2603" s="19">
        <f>IF(I2603="","",IFERROR(INDEX(catComida,MATCH(D2603,catNom,0))&amp;"",""))</f>
        <v/>
      </c>
      <c r="N2603" s="19">
        <f>IF(I2603="","",IFERROR(INDEX(ctaMon,MATCH(E2603,ctaNom,0))&amp;"","DOP"))</f>
        <v/>
      </c>
      <c r="O2603" s="20">
        <f>IF(I2603="","",C2603*IF(N2603="USD",TasaUSD,1))</f>
        <v/>
      </c>
      <c r="P2603" s="20">
        <f>IF(I2603="","",IF(I2603="Gasto",O2603,0))</f>
        <v/>
      </c>
      <c r="Q2603" s="20">
        <f>IF(I2603="","",IF(I2603="Ingreso",O2603,0))</f>
        <v/>
      </c>
      <c r="R2603" s="20">
        <f>IF(I2603="","",IF(I2603="Trading",O2603,0))</f>
        <v/>
      </c>
      <c r="S2603" s="19">
        <f>IF(I2603="","",IF(AND(I2603="Gasto",K2603="Variable",J2603&lt;&gt;"Trading",O2603&gt;0,O2603&lt;=Umbral),1,0))</f>
        <v/>
      </c>
      <c r="T2603" s="20">
        <f>IF(OR(I2603="",E2603=""),"",IF(OR(I2603="Gasto",I2603="Transferencia",I2603="Pago tarjeta"),-1,1)*C2603)</f>
        <v/>
      </c>
      <c r="U2603" s="20">
        <f>IF(OR(G2603="",AND(I2603&lt;&gt;"Transferencia",I2603&lt;&gt;"Pago tarjeta")),"",IF(IFERROR(INDEX(ctaMon,MATCH(G2603,ctaNom,0))&amp;"","DOP")=N2603,C2603,IF(N2603="USD",C2603*TasaUSD,C2603/TasaUSD)))</f>
        <v/>
      </c>
      <c r="V2603" s="20">
        <f>IF(I2603="","",IF(IFERROR(INDEX(ctaLiq,MATCH(E2603,ctaNom,0))="Sí",FALSE),IF(OR(I2603="Gasto",I2603="Transferencia",I2603="Pago tarjeta"),-1,1)*O2603,0)+IF(AND(U2603&lt;&gt;"",IFERROR(INDEX(ctaLiq,MATCH(G2603,ctaNom,0))="Sí",FALSE)),O2603,0))</f>
        <v/>
      </c>
      <c r="W2603" s="19">
        <f>IF(OR(F2603="",I2603=""),"",IF(COUNTIFS(F$6:F2603,F2603,I$6:I2603,"?*")=1,MAX(W$5:W2602)+1,""))</f>
        <v/>
      </c>
    </row>
    <row r="2604">
      <c r="B2604" s="15" t="n"/>
      <c r="C2604" s="16" t="n"/>
      <c r="D2604" s="17" t="n"/>
      <c r="E2604" s="17" t="n"/>
      <c r="F2604" s="17" t="n"/>
      <c r="G2604" s="17" t="n"/>
      <c r="H2604" s="18">
        <f>IF(AND(B2604="",C2604="",D2604="",E2604=""),"",IF(B2604="","⚠ Falta fecha",IF(C2604="","⚠ Falta monto",IF(D2604="","⚠ Falta categoría",IF(ISNA(MATCH(D2604,catNom,0)),"⚠ Categoría no existe",IF(E2604="","⚠ Falta cuenta",IF(ISNA(MATCH(E2604,ctaNom,0)),"⚠ Cuenta no existe",IF(AND(OR(I2604="Transferencia",I2604="Pago tarjeta"),G2604=""),"⚠ Indica la cuenta «Hacia»",IF(AND(G2604&lt;&gt;"",G2604=E2604),"⚠ «Hacia» igual a la cuenta",IF(AND(G2604&lt;&gt;"",ISNA(MATCH(G2604,ctaNom,0))),"⚠ «Hacia» no existe",IF(AND(I2604="Pago tarjeta",IFERROR(INDEX(ctaTipo,MATCH(G2604,ctaNom,0)),"")&lt;&gt;"Tarjeta de crédito"),"⚠ «Hacia» debe ser la tarjeta",IF(AND(I2604="Trading",IFERROR(INDEX(ctaTipo,MATCH(E2604,ctaNom,0)),"")&lt;&gt;"Cuenta de trading"),"⚠ Usa la cuenta de trading","✓"))))))))))))</f>
        <v/>
      </c>
      <c r="I2604" s="19">
        <f>IF(OR(B2604="",C2604="",D2604=""),"",IFERROR(INDEX(catTipo,MATCH(D2604,catNom,0))&amp;"",""))</f>
        <v/>
      </c>
      <c r="J2604" s="19">
        <f>IF(I2604="","",IFERROR(INDEX(catGrupo,MATCH(D2604,catNom,0))&amp;"",""))</f>
        <v/>
      </c>
      <c r="K2604" s="19">
        <f>IF(I2604="Gasto",IF(IFERROR(INDEX(catClas,MATCH(D2604,catNom,0))&amp;"","")="","Variable",IFERROR(INDEX(catClas,MATCH(D2604,catNom,0))&amp;"","")),"")</f>
        <v/>
      </c>
      <c r="L2604" s="19">
        <f>IF(I2604="","",IFERROR(INDEX(catAlim,MATCH(D2604,catNom,0))&amp;"",""))</f>
        <v/>
      </c>
      <c r="M2604" s="19">
        <f>IF(I2604="","",IFERROR(INDEX(catComida,MATCH(D2604,catNom,0))&amp;"",""))</f>
        <v/>
      </c>
      <c r="N2604" s="19">
        <f>IF(I2604="","",IFERROR(INDEX(ctaMon,MATCH(E2604,ctaNom,0))&amp;"","DOP"))</f>
        <v/>
      </c>
      <c r="O2604" s="20">
        <f>IF(I2604="","",C2604*IF(N2604="USD",TasaUSD,1))</f>
        <v/>
      </c>
      <c r="P2604" s="20">
        <f>IF(I2604="","",IF(I2604="Gasto",O2604,0))</f>
        <v/>
      </c>
      <c r="Q2604" s="20">
        <f>IF(I2604="","",IF(I2604="Ingreso",O2604,0))</f>
        <v/>
      </c>
      <c r="R2604" s="20">
        <f>IF(I2604="","",IF(I2604="Trading",O2604,0))</f>
        <v/>
      </c>
      <c r="S2604" s="19">
        <f>IF(I2604="","",IF(AND(I2604="Gasto",K2604="Variable",J2604&lt;&gt;"Trading",O2604&gt;0,O2604&lt;=Umbral),1,0))</f>
        <v/>
      </c>
      <c r="T2604" s="20">
        <f>IF(OR(I2604="",E2604=""),"",IF(OR(I2604="Gasto",I2604="Transferencia",I2604="Pago tarjeta"),-1,1)*C2604)</f>
        <v/>
      </c>
      <c r="U2604" s="20">
        <f>IF(OR(G2604="",AND(I2604&lt;&gt;"Transferencia",I2604&lt;&gt;"Pago tarjeta")),"",IF(IFERROR(INDEX(ctaMon,MATCH(G2604,ctaNom,0))&amp;"","DOP")=N2604,C2604,IF(N2604="USD",C2604*TasaUSD,C2604/TasaUSD)))</f>
        <v/>
      </c>
      <c r="V2604" s="20">
        <f>IF(I2604="","",IF(IFERROR(INDEX(ctaLiq,MATCH(E2604,ctaNom,0))="Sí",FALSE),IF(OR(I2604="Gasto",I2604="Transferencia",I2604="Pago tarjeta"),-1,1)*O2604,0)+IF(AND(U2604&lt;&gt;"",IFERROR(INDEX(ctaLiq,MATCH(G2604,ctaNom,0))="Sí",FALSE)),O2604,0))</f>
        <v/>
      </c>
      <c r="W2604" s="19">
        <f>IF(OR(F2604="",I2604=""),"",IF(COUNTIFS(F$6:F2604,F2604,I$6:I2604,"?*")=1,MAX(W$5:W2603)+1,""))</f>
        <v/>
      </c>
    </row>
    <row r="2605">
      <c r="B2605" s="15" t="n"/>
      <c r="C2605" s="16" t="n"/>
      <c r="D2605" s="17" t="n"/>
      <c r="E2605" s="17" t="n"/>
      <c r="F2605" s="17" t="n"/>
      <c r="G2605" s="17" t="n"/>
      <c r="H2605" s="18">
        <f>IF(AND(B2605="",C2605="",D2605="",E2605=""),"",IF(B2605="","⚠ Falta fecha",IF(C2605="","⚠ Falta monto",IF(D2605="","⚠ Falta categoría",IF(ISNA(MATCH(D2605,catNom,0)),"⚠ Categoría no existe",IF(E2605="","⚠ Falta cuenta",IF(ISNA(MATCH(E2605,ctaNom,0)),"⚠ Cuenta no existe",IF(AND(OR(I2605="Transferencia",I2605="Pago tarjeta"),G2605=""),"⚠ Indica la cuenta «Hacia»",IF(AND(G2605&lt;&gt;"",G2605=E2605),"⚠ «Hacia» igual a la cuenta",IF(AND(G2605&lt;&gt;"",ISNA(MATCH(G2605,ctaNom,0))),"⚠ «Hacia» no existe",IF(AND(I2605="Pago tarjeta",IFERROR(INDEX(ctaTipo,MATCH(G2605,ctaNom,0)),"")&lt;&gt;"Tarjeta de crédito"),"⚠ «Hacia» debe ser la tarjeta",IF(AND(I2605="Trading",IFERROR(INDEX(ctaTipo,MATCH(E2605,ctaNom,0)),"")&lt;&gt;"Cuenta de trading"),"⚠ Usa la cuenta de trading","✓"))))))))))))</f>
        <v/>
      </c>
      <c r="I2605" s="19">
        <f>IF(OR(B2605="",C2605="",D2605=""),"",IFERROR(INDEX(catTipo,MATCH(D2605,catNom,0))&amp;"",""))</f>
        <v/>
      </c>
      <c r="J2605" s="19">
        <f>IF(I2605="","",IFERROR(INDEX(catGrupo,MATCH(D2605,catNom,0))&amp;"",""))</f>
        <v/>
      </c>
      <c r="K2605" s="19">
        <f>IF(I2605="Gasto",IF(IFERROR(INDEX(catClas,MATCH(D2605,catNom,0))&amp;"","")="","Variable",IFERROR(INDEX(catClas,MATCH(D2605,catNom,0))&amp;"","")),"")</f>
        <v/>
      </c>
      <c r="L2605" s="19">
        <f>IF(I2605="","",IFERROR(INDEX(catAlim,MATCH(D2605,catNom,0))&amp;"",""))</f>
        <v/>
      </c>
      <c r="M2605" s="19">
        <f>IF(I2605="","",IFERROR(INDEX(catComida,MATCH(D2605,catNom,0))&amp;"",""))</f>
        <v/>
      </c>
      <c r="N2605" s="19">
        <f>IF(I2605="","",IFERROR(INDEX(ctaMon,MATCH(E2605,ctaNom,0))&amp;"","DOP"))</f>
        <v/>
      </c>
      <c r="O2605" s="20">
        <f>IF(I2605="","",C2605*IF(N2605="USD",TasaUSD,1))</f>
        <v/>
      </c>
      <c r="P2605" s="20">
        <f>IF(I2605="","",IF(I2605="Gasto",O2605,0))</f>
        <v/>
      </c>
      <c r="Q2605" s="20">
        <f>IF(I2605="","",IF(I2605="Ingreso",O2605,0))</f>
        <v/>
      </c>
      <c r="R2605" s="20">
        <f>IF(I2605="","",IF(I2605="Trading",O2605,0))</f>
        <v/>
      </c>
      <c r="S2605" s="19">
        <f>IF(I2605="","",IF(AND(I2605="Gasto",K2605="Variable",J2605&lt;&gt;"Trading",O2605&gt;0,O2605&lt;=Umbral),1,0))</f>
        <v/>
      </c>
      <c r="T2605" s="20">
        <f>IF(OR(I2605="",E2605=""),"",IF(OR(I2605="Gasto",I2605="Transferencia",I2605="Pago tarjeta"),-1,1)*C2605)</f>
        <v/>
      </c>
      <c r="U2605" s="20">
        <f>IF(OR(G2605="",AND(I2605&lt;&gt;"Transferencia",I2605&lt;&gt;"Pago tarjeta")),"",IF(IFERROR(INDEX(ctaMon,MATCH(G2605,ctaNom,0))&amp;"","DOP")=N2605,C2605,IF(N2605="USD",C2605*TasaUSD,C2605/TasaUSD)))</f>
        <v/>
      </c>
      <c r="V2605" s="20">
        <f>IF(I2605="","",IF(IFERROR(INDEX(ctaLiq,MATCH(E2605,ctaNom,0))="Sí",FALSE),IF(OR(I2605="Gasto",I2605="Transferencia",I2605="Pago tarjeta"),-1,1)*O2605,0)+IF(AND(U2605&lt;&gt;"",IFERROR(INDEX(ctaLiq,MATCH(G2605,ctaNom,0))="Sí",FALSE)),O2605,0))</f>
        <v/>
      </c>
      <c r="W2605" s="19">
        <f>IF(OR(F2605="",I2605=""),"",IF(COUNTIFS(F$6:F2605,F2605,I$6:I2605,"?*")=1,MAX(W$5:W2604)+1,""))</f>
        <v/>
      </c>
    </row>
    <row r="2606">
      <c r="B2606" s="15" t="n"/>
      <c r="C2606" s="16" t="n"/>
      <c r="D2606" s="17" t="n"/>
      <c r="E2606" s="17" t="n"/>
      <c r="F2606" s="17" t="n"/>
      <c r="G2606" s="17" t="n"/>
      <c r="H2606" s="18">
        <f>IF(AND(B2606="",C2606="",D2606="",E2606=""),"",IF(B2606="","⚠ Falta fecha",IF(C2606="","⚠ Falta monto",IF(D2606="","⚠ Falta categoría",IF(ISNA(MATCH(D2606,catNom,0)),"⚠ Categoría no existe",IF(E2606="","⚠ Falta cuenta",IF(ISNA(MATCH(E2606,ctaNom,0)),"⚠ Cuenta no existe",IF(AND(OR(I2606="Transferencia",I2606="Pago tarjeta"),G2606=""),"⚠ Indica la cuenta «Hacia»",IF(AND(G2606&lt;&gt;"",G2606=E2606),"⚠ «Hacia» igual a la cuenta",IF(AND(G2606&lt;&gt;"",ISNA(MATCH(G2606,ctaNom,0))),"⚠ «Hacia» no existe",IF(AND(I2606="Pago tarjeta",IFERROR(INDEX(ctaTipo,MATCH(G2606,ctaNom,0)),"")&lt;&gt;"Tarjeta de crédito"),"⚠ «Hacia» debe ser la tarjeta",IF(AND(I2606="Trading",IFERROR(INDEX(ctaTipo,MATCH(E2606,ctaNom,0)),"")&lt;&gt;"Cuenta de trading"),"⚠ Usa la cuenta de trading","✓"))))))))))))</f>
        <v/>
      </c>
      <c r="I2606" s="19">
        <f>IF(OR(B2606="",C2606="",D2606=""),"",IFERROR(INDEX(catTipo,MATCH(D2606,catNom,0))&amp;"",""))</f>
        <v/>
      </c>
      <c r="J2606" s="19">
        <f>IF(I2606="","",IFERROR(INDEX(catGrupo,MATCH(D2606,catNom,0))&amp;"",""))</f>
        <v/>
      </c>
      <c r="K2606" s="19">
        <f>IF(I2606="Gasto",IF(IFERROR(INDEX(catClas,MATCH(D2606,catNom,0))&amp;"","")="","Variable",IFERROR(INDEX(catClas,MATCH(D2606,catNom,0))&amp;"","")),"")</f>
        <v/>
      </c>
      <c r="L2606" s="19">
        <f>IF(I2606="","",IFERROR(INDEX(catAlim,MATCH(D2606,catNom,0))&amp;"",""))</f>
        <v/>
      </c>
      <c r="M2606" s="19">
        <f>IF(I2606="","",IFERROR(INDEX(catComida,MATCH(D2606,catNom,0))&amp;"",""))</f>
        <v/>
      </c>
      <c r="N2606" s="19">
        <f>IF(I2606="","",IFERROR(INDEX(ctaMon,MATCH(E2606,ctaNom,0))&amp;"","DOP"))</f>
        <v/>
      </c>
      <c r="O2606" s="20">
        <f>IF(I2606="","",C2606*IF(N2606="USD",TasaUSD,1))</f>
        <v/>
      </c>
      <c r="P2606" s="20">
        <f>IF(I2606="","",IF(I2606="Gasto",O2606,0))</f>
        <v/>
      </c>
      <c r="Q2606" s="20">
        <f>IF(I2606="","",IF(I2606="Ingreso",O2606,0))</f>
        <v/>
      </c>
      <c r="R2606" s="20">
        <f>IF(I2606="","",IF(I2606="Trading",O2606,0))</f>
        <v/>
      </c>
      <c r="S2606" s="19">
        <f>IF(I2606="","",IF(AND(I2606="Gasto",K2606="Variable",J2606&lt;&gt;"Trading",O2606&gt;0,O2606&lt;=Umbral),1,0))</f>
        <v/>
      </c>
      <c r="T2606" s="20">
        <f>IF(OR(I2606="",E2606=""),"",IF(OR(I2606="Gasto",I2606="Transferencia",I2606="Pago tarjeta"),-1,1)*C2606)</f>
        <v/>
      </c>
      <c r="U2606" s="20">
        <f>IF(OR(G2606="",AND(I2606&lt;&gt;"Transferencia",I2606&lt;&gt;"Pago tarjeta")),"",IF(IFERROR(INDEX(ctaMon,MATCH(G2606,ctaNom,0))&amp;"","DOP")=N2606,C2606,IF(N2606="USD",C2606*TasaUSD,C2606/TasaUSD)))</f>
        <v/>
      </c>
      <c r="V2606" s="20">
        <f>IF(I2606="","",IF(IFERROR(INDEX(ctaLiq,MATCH(E2606,ctaNom,0))="Sí",FALSE),IF(OR(I2606="Gasto",I2606="Transferencia",I2606="Pago tarjeta"),-1,1)*O2606,0)+IF(AND(U2606&lt;&gt;"",IFERROR(INDEX(ctaLiq,MATCH(G2606,ctaNom,0))="Sí",FALSE)),O2606,0))</f>
        <v/>
      </c>
      <c r="W2606" s="19">
        <f>IF(OR(F2606="",I2606=""),"",IF(COUNTIFS(F$6:F2606,F2606,I$6:I2606,"?*")=1,MAX(W$5:W2605)+1,""))</f>
        <v/>
      </c>
    </row>
    <row r="2607">
      <c r="B2607" s="15" t="n"/>
      <c r="C2607" s="16" t="n"/>
      <c r="D2607" s="17" t="n"/>
      <c r="E2607" s="17" t="n"/>
      <c r="F2607" s="17" t="n"/>
      <c r="G2607" s="17" t="n"/>
      <c r="H2607" s="18">
        <f>IF(AND(B2607="",C2607="",D2607="",E2607=""),"",IF(B2607="","⚠ Falta fecha",IF(C2607="","⚠ Falta monto",IF(D2607="","⚠ Falta categoría",IF(ISNA(MATCH(D2607,catNom,0)),"⚠ Categoría no existe",IF(E2607="","⚠ Falta cuenta",IF(ISNA(MATCH(E2607,ctaNom,0)),"⚠ Cuenta no existe",IF(AND(OR(I2607="Transferencia",I2607="Pago tarjeta"),G2607=""),"⚠ Indica la cuenta «Hacia»",IF(AND(G2607&lt;&gt;"",G2607=E2607),"⚠ «Hacia» igual a la cuenta",IF(AND(G2607&lt;&gt;"",ISNA(MATCH(G2607,ctaNom,0))),"⚠ «Hacia» no existe",IF(AND(I2607="Pago tarjeta",IFERROR(INDEX(ctaTipo,MATCH(G2607,ctaNom,0)),"")&lt;&gt;"Tarjeta de crédito"),"⚠ «Hacia» debe ser la tarjeta",IF(AND(I2607="Trading",IFERROR(INDEX(ctaTipo,MATCH(E2607,ctaNom,0)),"")&lt;&gt;"Cuenta de trading"),"⚠ Usa la cuenta de trading","✓"))))))))))))</f>
        <v/>
      </c>
      <c r="I2607" s="19">
        <f>IF(OR(B2607="",C2607="",D2607=""),"",IFERROR(INDEX(catTipo,MATCH(D2607,catNom,0))&amp;"",""))</f>
        <v/>
      </c>
      <c r="J2607" s="19">
        <f>IF(I2607="","",IFERROR(INDEX(catGrupo,MATCH(D2607,catNom,0))&amp;"",""))</f>
        <v/>
      </c>
      <c r="K2607" s="19">
        <f>IF(I2607="Gasto",IF(IFERROR(INDEX(catClas,MATCH(D2607,catNom,0))&amp;"","")="","Variable",IFERROR(INDEX(catClas,MATCH(D2607,catNom,0))&amp;"","")),"")</f>
        <v/>
      </c>
      <c r="L2607" s="19">
        <f>IF(I2607="","",IFERROR(INDEX(catAlim,MATCH(D2607,catNom,0))&amp;"",""))</f>
        <v/>
      </c>
      <c r="M2607" s="19">
        <f>IF(I2607="","",IFERROR(INDEX(catComida,MATCH(D2607,catNom,0))&amp;"",""))</f>
        <v/>
      </c>
      <c r="N2607" s="19">
        <f>IF(I2607="","",IFERROR(INDEX(ctaMon,MATCH(E2607,ctaNom,0))&amp;"","DOP"))</f>
        <v/>
      </c>
      <c r="O2607" s="20">
        <f>IF(I2607="","",C2607*IF(N2607="USD",TasaUSD,1))</f>
        <v/>
      </c>
      <c r="P2607" s="20">
        <f>IF(I2607="","",IF(I2607="Gasto",O2607,0))</f>
        <v/>
      </c>
      <c r="Q2607" s="20">
        <f>IF(I2607="","",IF(I2607="Ingreso",O2607,0))</f>
        <v/>
      </c>
      <c r="R2607" s="20">
        <f>IF(I2607="","",IF(I2607="Trading",O2607,0))</f>
        <v/>
      </c>
      <c r="S2607" s="19">
        <f>IF(I2607="","",IF(AND(I2607="Gasto",K2607="Variable",J2607&lt;&gt;"Trading",O2607&gt;0,O2607&lt;=Umbral),1,0))</f>
        <v/>
      </c>
      <c r="T2607" s="20">
        <f>IF(OR(I2607="",E2607=""),"",IF(OR(I2607="Gasto",I2607="Transferencia",I2607="Pago tarjeta"),-1,1)*C2607)</f>
        <v/>
      </c>
      <c r="U2607" s="20">
        <f>IF(OR(G2607="",AND(I2607&lt;&gt;"Transferencia",I2607&lt;&gt;"Pago tarjeta")),"",IF(IFERROR(INDEX(ctaMon,MATCH(G2607,ctaNom,0))&amp;"","DOP")=N2607,C2607,IF(N2607="USD",C2607*TasaUSD,C2607/TasaUSD)))</f>
        <v/>
      </c>
      <c r="V2607" s="20">
        <f>IF(I2607="","",IF(IFERROR(INDEX(ctaLiq,MATCH(E2607,ctaNom,0))="Sí",FALSE),IF(OR(I2607="Gasto",I2607="Transferencia",I2607="Pago tarjeta"),-1,1)*O2607,0)+IF(AND(U2607&lt;&gt;"",IFERROR(INDEX(ctaLiq,MATCH(G2607,ctaNom,0))="Sí",FALSE)),O2607,0))</f>
        <v/>
      </c>
      <c r="W2607" s="19">
        <f>IF(OR(F2607="",I2607=""),"",IF(COUNTIFS(F$6:F2607,F2607,I$6:I2607,"?*")=1,MAX(W$5:W2606)+1,""))</f>
        <v/>
      </c>
    </row>
    <row r="2608">
      <c r="B2608" s="15" t="n"/>
      <c r="C2608" s="16" t="n"/>
      <c r="D2608" s="17" t="n"/>
      <c r="E2608" s="17" t="n"/>
      <c r="F2608" s="17" t="n"/>
      <c r="G2608" s="17" t="n"/>
      <c r="H2608" s="18">
        <f>IF(AND(B2608="",C2608="",D2608="",E2608=""),"",IF(B2608="","⚠ Falta fecha",IF(C2608="","⚠ Falta monto",IF(D2608="","⚠ Falta categoría",IF(ISNA(MATCH(D2608,catNom,0)),"⚠ Categoría no existe",IF(E2608="","⚠ Falta cuenta",IF(ISNA(MATCH(E2608,ctaNom,0)),"⚠ Cuenta no existe",IF(AND(OR(I2608="Transferencia",I2608="Pago tarjeta"),G2608=""),"⚠ Indica la cuenta «Hacia»",IF(AND(G2608&lt;&gt;"",G2608=E2608),"⚠ «Hacia» igual a la cuenta",IF(AND(G2608&lt;&gt;"",ISNA(MATCH(G2608,ctaNom,0))),"⚠ «Hacia» no existe",IF(AND(I2608="Pago tarjeta",IFERROR(INDEX(ctaTipo,MATCH(G2608,ctaNom,0)),"")&lt;&gt;"Tarjeta de crédito"),"⚠ «Hacia» debe ser la tarjeta",IF(AND(I2608="Trading",IFERROR(INDEX(ctaTipo,MATCH(E2608,ctaNom,0)),"")&lt;&gt;"Cuenta de trading"),"⚠ Usa la cuenta de trading","✓"))))))))))))</f>
        <v/>
      </c>
      <c r="I2608" s="19">
        <f>IF(OR(B2608="",C2608="",D2608=""),"",IFERROR(INDEX(catTipo,MATCH(D2608,catNom,0))&amp;"",""))</f>
        <v/>
      </c>
      <c r="J2608" s="19">
        <f>IF(I2608="","",IFERROR(INDEX(catGrupo,MATCH(D2608,catNom,0))&amp;"",""))</f>
        <v/>
      </c>
      <c r="K2608" s="19">
        <f>IF(I2608="Gasto",IF(IFERROR(INDEX(catClas,MATCH(D2608,catNom,0))&amp;"","")="","Variable",IFERROR(INDEX(catClas,MATCH(D2608,catNom,0))&amp;"","")),"")</f>
        <v/>
      </c>
      <c r="L2608" s="19">
        <f>IF(I2608="","",IFERROR(INDEX(catAlim,MATCH(D2608,catNom,0))&amp;"",""))</f>
        <v/>
      </c>
      <c r="M2608" s="19">
        <f>IF(I2608="","",IFERROR(INDEX(catComida,MATCH(D2608,catNom,0))&amp;"",""))</f>
        <v/>
      </c>
      <c r="N2608" s="19">
        <f>IF(I2608="","",IFERROR(INDEX(ctaMon,MATCH(E2608,ctaNom,0))&amp;"","DOP"))</f>
        <v/>
      </c>
      <c r="O2608" s="20">
        <f>IF(I2608="","",C2608*IF(N2608="USD",TasaUSD,1))</f>
        <v/>
      </c>
      <c r="P2608" s="20">
        <f>IF(I2608="","",IF(I2608="Gasto",O2608,0))</f>
        <v/>
      </c>
      <c r="Q2608" s="20">
        <f>IF(I2608="","",IF(I2608="Ingreso",O2608,0))</f>
        <v/>
      </c>
      <c r="R2608" s="20">
        <f>IF(I2608="","",IF(I2608="Trading",O2608,0))</f>
        <v/>
      </c>
      <c r="S2608" s="19">
        <f>IF(I2608="","",IF(AND(I2608="Gasto",K2608="Variable",J2608&lt;&gt;"Trading",O2608&gt;0,O2608&lt;=Umbral),1,0))</f>
        <v/>
      </c>
      <c r="T2608" s="20">
        <f>IF(OR(I2608="",E2608=""),"",IF(OR(I2608="Gasto",I2608="Transferencia",I2608="Pago tarjeta"),-1,1)*C2608)</f>
        <v/>
      </c>
      <c r="U2608" s="20">
        <f>IF(OR(G2608="",AND(I2608&lt;&gt;"Transferencia",I2608&lt;&gt;"Pago tarjeta")),"",IF(IFERROR(INDEX(ctaMon,MATCH(G2608,ctaNom,0))&amp;"","DOP")=N2608,C2608,IF(N2608="USD",C2608*TasaUSD,C2608/TasaUSD)))</f>
        <v/>
      </c>
      <c r="V2608" s="20">
        <f>IF(I2608="","",IF(IFERROR(INDEX(ctaLiq,MATCH(E2608,ctaNom,0))="Sí",FALSE),IF(OR(I2608="Gasto",I2608="Transferencia",I2608="Pago tarjeta"),-1,1)*O2608,0)+IF(AND(U2608&lt;&gt;"",IFERROR(INDEX(ctaLiq,MATCH(G2608,ctaNom,0))="Sí",FALSE)),O2608,0))</f>
        <v/>
      </c>
      <c r="W2608" s="19">
        <f>IF(OR(F2608="",I2608=""),"",IF(COUNTIFS(F$6:F2608,F2608,I$6:I2608,"?*")=1,MAX(W$5:W2607)+1,""))</f>
        <v/>
      </c>
    </row>
    <row r="2609">
      <c r="B2609" s="15" t="n"/>
      <c r="C2609" s="16" t="n"/>
      <c r="D2609" s="17" t="n"/>
      <c r="E2609" s="17" t="n"/>
      <c r="F2609" s="17" t="n"/>
      <c r="G2609" s="17" t="n"/>
      <c r="H2609" s="18">
        <f>IF(AND(B2609="",C2609="",D2609="",E2609=""),"",IF(B2609="","⚠ Falta fecha",IF(C2609="","⚠ Falta monto",IF(D2609="","⚠ Falta categoría",IF(ISNA(MATCH(D2609,catNom,0)),"⚠ Categoría no existe",IF(E2609="","⚠ Falta cuenta",IF(ISNA(MATCH(E2609,ctaNom,0)),"⚠ Cuenta no existe",IF(AND(OR(I2609="Transferencia",I2609="Pago tarjeta"),G2609=""),"⚠ Indica la cuenta «Hacia»",IF(AND(G2609&lt;&gt;"",G2609=E2609),"⚠ «Hacia» igual a la cuenta",IF(AND(G2609&lt;&gt;"",ISNA(MATCH(G2609,ctaNom,0))),"⚠ «Hacia» no existe",IF(AND(I2609="Pago tarjeta",IFERROR(INDEX(ctaTipo,MATCH(G2609,ctaNom,0)),"")&lt;&gt;"Tarjeta de crédito"),"⚠ «Hacia» debe ser la tarjeta",IF(AND(I2609="Trading",IFERROR(INDEX(ctaTipo,MATCH(E2609,ctaNom,0)),"")&lt;&gt;"Cuenta de trading"),"⚠ Usa la cuenta de trading","✓"))))))))))))</f>
        <v/>
      </c>
      <c r="I2609" s="19">
        <f>IF(OR(B2609="",C2609="",D2609=""),"",IFERROR(INDEX(catTipo,MATCH(D2609,catNom,0))&amp;"",""))</f>
        <v/>
      </c>
      <c r="J2609" s="19">
        <f>IF(I2609="","",IFERROR(INDEX(catGrupo,MATCH(D2609,catNom,0))&amp;"",""))</f>
        <v/>
      </c>
      <c r="K2609" s="19">
        <f>IF(I2609="Gasto",IF(IFERROR(INDEX(catClas,MATCH(D2609,catNom,0))&amp;"","")="","Variable",IFERROR(INDEX(catClas,MATCH(D2609,catNom,0))&amp;"","")),"")</f>
        <v/>
      </c>
      <c r="L2609" s="19">
        <f>IF(I2609="","",IFERROR(INDEX(catAlim,MATCH(D2609,catNom,0))&amp;"",""))</f>
        <v/>
      </c>
      <c r="M2609" s="19">
        <f>IF(I2609="","",IFERROR(INDEX(catComida,MATCH(D2609,catNom,0))&amp;"",""))</f>
        <v/>
      </c>
      <c r="N2609" s="19">
        <f>IF(I2609="","",IFERROR(INDEX(ctaMon,MATCH(E2609,ctaNom,0))&amp;"","DOP"))</f>
        <v/>
      </c>
      <c r="O2609" s="20">
        <f>IF(I2609="","",C2609*IF(N2609="USD",TasaUSD,1))</f>
        <v/>
      </c>
      <c r="P2609" s="20">
        <f>IF(I2609="","",IF(I2609="Gasto",O2609,0))</f>
        <v/>
      </c>
      <c r="Q2609" s="20">
        <f>IF(I2609="","",IF(I2609="Ingreso",O2609,0))</f>
        <v/>
      </c>
      <c r="R2609" s="20">
        <f>IF(I2609="","",IF(I2609="Trading",O2609,0))</f>
        <v/>
      </c>
      <c r="S2609" s="19">
        <f>IF(I2609="","",IF(AND(I2609="Gasto",K2609="Variable",J2609&lt;&gt;"Trading",O2609&gt;0,O2609&lt;=Umbral),1,0))</f>
        <v/>
      </c>
      <c r="T2609" s="20">
        <f>IF(OR(I2609="",E2609=""),"",IF(OR(I2609="Gasto",I2609="Transferencia",I2609="Pago tarjeta"),-1,1)*C2609)</f>
        <v/>
      </c>
      <c r="U2609" s="20">
        <f>IF(OR(G2609="",AND(I2609&lt;&gt;"Transferencia",I2609&lt;&gt;"Pago tarjeta")),"",IF(IFERROR(INDEX(ctaMon,MATCH(G2609,ctaNom,0))&amp;"","DOP")=N2609,C2609,IF(N2609="USD",C2609*TasaUSD,C2609/TasaUSD)))</f>
        <v/>
      </c>
      <c r="V2609" s="20">
        <f>IF(I2609="","",IF(IFERROR(INDEX(ctaLiq,MATCH(E2609,ctaNom,0))="Sí",FALSE),IF(OR(I2609="Gasto",I2609="Transferencia",I2609="Pago tarjeta"),-1,1)*O2609,0)+IF(AND(U2609&lt;&gt;"",IFERROR(INDEX(ctaLiq,MATCH(G2609,ctaNom,0))="Sí",FALSE)),O2609,0))</f>
        <v/>
      </c>
      <c r="W2609" s="19">
        <f>IF(OR(F2609="",I2609=""),"",IF(COUNTIFS(F$6:F2609,F2609,I$6:I2609,"?*")=1,MAX(W$5:W2608)+1,""))</f>
        <v/>
      </c>
    </row>
    <row r="2610">
      <c r="B2610" s="15" t="n"/>
      <c r="C2610" s="16" t="n"/>
      <c r="D2610" s="17" t="n"/>
      <c r="E2610" s="17" t="n"/>
      <c r="F2610" s="17" t="n"/>
      <c r="G2610" s="17" t="n"/>
      <c r="H2610" s="18">
        <f>IF(AND(B2610="",C2610="",D2610="",E2610=""),"",IF(B2610="","⚠ Falta fecha",IF(C2610="","⚠ Falta monto",IF(D2610="","⚠ Falta categoría",IF(ISNA(MATCH(D2610,catNom,0)),"⚠ Categoría no existe",IF(E2610="","⚠ Falta cuenta",IF(ISNA(MATCH(E2610,ctaNom,0)),"⚠ Cuenta no existe",IF(AND(OR(I2610="Transferencia",I2610="Pago tarjeta"),G2610=""),"⚠ Indica la cuenta «Hacia»",IF(AND(G2610&lt;&gt;"",G2610=E2610),"⚠ «Hacia» igual a la cuenta",IF(AND(G2610&lt;&gt;"",ISNA(MATCH(G2610,ctaNom,0))),"⚠ «Hacia» no existe",IF(AND(I2610="Pago tarjeta",IFERROR(INDEX(ctaTipo,MATCH(G2610,ctaNom,0)),"")&lt;&gt;"Tarjeta de crédito"),"⚠ «Hacia» debe ser la tarjeta",IF(AND(I2610="Trading",IFERROR(INDEX(ctaTipo,MATCH(E2610,ctaNom,0)),"")&lt;&gt;"Cuenta de trading"),"⚠ Usa la cuenta de trading","✓"))))))))))))</f>
        <v/>
      </c>
      <c r="I2610" s="19">
        <f>IF(OR(B2610="",C2610="",D2610=""),"",IFERROR(INDEX(catTipo,MATCH(D2610,catNom,0))&amp;"",""))</f>
        <v/>
      </c>
      <c r="J2610" s="19">
        <f>IF(I2610="","",IFERROR(INDEX(catGrupo,MATCH(D2610,catNom,0))&amp;"",""))</f>
        <v/>
      </c>
      <c r="K2610" s="19">
        <f>IF(I2610="Gasto",IF(IFERROR(INDEX(catClas,MATCH(D2610,catNom,0))&amp;"","")="","Variable",IFERROR(INDEX(catClas,MATCH(D2610,catNom,0))&amp;"","")),"")</f>
        <v/>
      </c>
      <c r="L2610" s="19">
        <f>IF(I2610="","",IFERROR(INDEX(catAlim,MATCH(D2610,catNom,0))&amp;"",""))</f>
        <v/>
      </c>
      <c r="M2610" s="19">
        <f>IF(I2610="","",IFERROR(INDEX(catComida,MATCH(D2610,catNom,0))&amp;"",""))</f>
        <v/>
      </c>
      <c r="N2610" s="19">
        <f>IF(I2610="","",IFERROR(INDEX(ctaMon,MATCH(E2610,ctaNom,0))&amp;"","DOP"))</f>
        <v/>
      </c>
      <c r="O2610" s="20">
        <f>IF(I2610="","",C2610*IF(N2610="USD",TasaUSD,1))</f>
        <v/>
      </c>
      <c r="P2610" s="20">
        <f>IF(I2610="","",IF(I2610="Gasto",O2610,0))</f>
        <v/>
      </c>
      <c r="Q2610" s="20">
        <f>IF(I2610="","",IF(I2610="Ingreso",O2610,0))</f>
        <v/>
      </c>
      <c r="R2610" s="20">
        <f>IF(I2610="","",IF(I2610="Trading",O2610,0))</f>
        <v/>
      </c>
      <c r="S2610" s="19">
        <f>IF(I2610="","",IF(AND(I2610="Gasto",K2610="Variable",J2610&lt;&gt;"Trading",O2610&gt;0,O2610&lt;=Umbral),1,0))</f>
        <v/>
      </c>
      <c r="T2610" s="20">
        <f>IF(OR(I2610="",E2610=""),"",IF(OR(I2610="Gasto",I2610="Transferencia",I2610="Pago tarjeta"),-1,1)*C2610)</f>
        <v/>
      </c>
      <c r="U2610" s="20">
        <f>IF(OR(G2610="",AND(I2610&lt;&gt;"Transferencia",I2610&lt;&gt;"Pago tarjeta")),"",IF(IFERROR(INDEX(ctaMon,MATCH(G2610,ctaNom,0))&amp;"","DOP")=N2610,C2610,IF(N2610="USD",C2610*TasaUSD,C2610/TasaUSD)))</f>
        <v/>
      </c>
      <c r="V2610" s="20">
        <f>IF(I2610="","",IF(IFERROR(INDEX(ctaLiq,MATCH(E2610,ctaNom,0))="Sí",FALSE),IF(OR(I2610="Gasto",I2610="Transferencia",I2610="Pago tarjeta"),-1,1)*O2610,0)+IF(AND(U2610&lt;&gt;"",IFERROR(INDEX(ctaLiq,MATCH(G2610,ctaNom,0))="Sí",FALSE)),O2610,0))</f>
        <v/>
      </c>
      <c r="W2610" s="19">
        <f>IF(OR(F2610="",I2610=""),"",IF(COUNTIFS(F$6:F2610,F2610,I$6:I2610,"?*")=1,MAX(W$5:W2609)+1,""))</f>
        <v/>
      </c>
    </row>
    <row r="2611">
      <c r="B2611" s="15" t="n"/>
      <c r="C2611" s="16" t="n"/>
      <c r="D2611" s="17" t="n"/>
      <c r="E2611" s="17" t="n"/>
      <c r="F2611" s="17" t="n"/>
      <c r="G2611" s="17" t="n"/>
      <c r="H2611" s="18">
        <f>IF(AND(B2611="",C2611="",D2611="",E2611=""),"",IF(B2611="","⚠ Falta fecha",IF(C2611="","⚠ Falta monto",IF(D2611="","⚠ Falta categoría",IF(ISNA(MATCH(D2611,catNom,0)),"⚠ Categoría no existe",IF(E2611="","⚠ Falta cuenta",IF(ISNA(MATCH(E2611,ctaNom,0)),"⚠ Cuenta no existe",IF(AND(OR(I2611="Transferencia",I2611="Pago tarjeta"),G2611=""),"⚠ Indica la cuenta «Hacia»",IF(AND(G2611&lt;&gt;"",G2611=E2611),"⚠ «Hacia» igual a la cuenta",IF(AND(G2611&lt;&gt;"",ISNA(MATCH(G2611,ctaNom,0))),"⚠ «Hacia» no existe",IF(AND(I2611="Pago tarjeta",IFERROR(INDEX(ctaTipo,MATCH(G2611,ctaNom,0)),"")&lt;&gt;"Tarjeta de crédito"),"⚠ «Hacia» debe ser la tarjeta",IF(AND(I2611="Trading",IFERROR(INDEX(ctaTipo,MATCH(E2611,ctaNom,0)),"")&lt;&gt;"Cuenta de trading"),"⚠ Usa la cuenta de trading","✓"))))))))))))</f>
        <v/>
      </c>
      <c r="I2611" s="19">
        <f>IF(OR(B2611="",C2611="",D2611=""),"",IFERROR(INDEX(catTipo,MATCH(D2611,catNom,0))&amp;"",""))</f>
        <v/>
      </c>
      <c r="J2611" s="19">
        <f>IF(I2611="","",IFERROR(INDEX(catGrupo,MATCH(D2611,catNom,0))&amp;"",""))</f>
        <v/>
      </c>
      <c r="K2611" s="19">
        <f>IF(I2611="Gasto",IF(IFERROR(INDEX(catClas,MATCH(D2611,catNom,0))&amp;"","")="","Variable",IFERROR(INDEX(catClas,MATCH(D2611,catNom,0))&amp;"","")),"")</f>
        <v/>
      </c>
      <c r="L2611" s="19">
        <f>IF(I2611="","",IFERROR(INDEX(catAlim,MATCH(D2611,catNom,0))&amp;"",""))</f>
        <v/>
      </c>
      <c r="M2611" s="19">
        <f>IF(I2611="","",IFERROR(INDEX(catComida,MATCH(D2611,catNom,0))&amp;"",""))</f>
        <v/>
      </c>
      <c r="N2611" s="19">
        <f>IF(I2611="","",IFERROR(INDEX(ctaMon,MATCH(E2611,ctaNom,0))&amp;"","DOP"))</f>
        <v/>
      </c>
      <c r="O2611" s="20">
        <f>IF(I2611="","",C2611*IF(N2611="USD",TasaUSD,1))</f>
        <v/>
      </c>
      <c r="P2611" s="20">
        <f>IF(I2611="","",IF(I2611="Gasto",O2611,0))</f>
        <v/>
      </c>
      <c r="Q2611" s="20">
        <f>IF(I2611="","",IF(I2611="Ingreso",O2611,0))</f>
        <v/>
      </c>
      <c r="R2611" s="20">
        <f>IF(I2611="","",IF(I2611="Trading",O2611,0))</f>
        <v/>
      </c>
      <c r="S2611" s="19">
        <f>IF(I2611="","",IF(AND(I2611="Gasto",K2611="Variable",J2611&lt;&gt;"Trading",O2611&gt;0,O2611&lt;=Umbral),1,0))</f>
        <v/>
      </c>
      <c r="T2611" s="20">
        <f>IF(OR(I2611="",E2611=""),"",IF(OR(I2611="Gasto",I2611="Transferencia",I2611="Pago tarjeta"),-1,1)*C2611)</f>
        <v/>
      </c>
      <c r="U2611" s="20">
        <f>IF(OR(G2611="",AND(I2611&lt;&gt;"Transferencia",I2611&lt;&gt;"Pago tarjeta")),"",IF(IFERROR(INDEX(ctaMon,MATCH(G2611,ctaNom,0))&amp;"","DOP")=N2611,C2611,IF(N2611="USD",C2611*TasaUSD,C2611/TasaUSD)))</f>
        <v/>
      </c>
      <c r="V2611" s="20">
        <f>IF(I2611="","",IF(IFERROR(INDEX(ctaLiq,MATCH(E2611,ctaNom,0))="Sí",FALSE),IF(OR(I2611="Gasto",I2611="Transferencia",I2611="Pago tarjeta"),-1,1)*O2611,0)+IF(AND(U2611&lt;&gt;"",IFERROR(INDEX(ctaLiq,MATCH(G2611,ctaNom,0))="Sí",FALSE)),O2611,0))</f>
        <v/>
      </c>
      <c r="W2611" s="19">
        <f>IF(OR(F2611="",I2611=""),"",IF(COUNTIFS(F$6:F2611,F2611,I$6:I2611,"?*")=1,MAX(W$5:W2610)+1,""))</f>
        <v/>
      </c>
    </row>
    <row r="2612">
      <c r="B2612" s="15" t="n"/>
      <c r="C2612" s="16" t="n"/>
      <c r="D2612" s="17" t="n"/>
      <c r="E2612" s="17" t="n"/>
      <c r="F2612" s="17" t="n"/>
      <c r="G2612" s="17" t="n"/>
      <c r="H2612" s="18">
        <f>IF(AND(B2612="",C2612="",D2612="",E2612=""),"",IF(B2612="","⚠ Falta fecha",IF(C2612="","⚠ Falta monto",IF(D2612="","⚠ Falta categoría",IF(ISNA(MATCH(D2612,catNom,0)),"⚠ Categoría no existe",IF(E2612="","⚠ Falta cuenta",IF(ISNA(MATCH(E2612,ctaNom,0)),"⚠ Cuenta no existe",IF(AND(OR(I2612="Transferencia",I2612="Pago tarjeta"),G2612=""),"⚠ Indica la cuenta «Hacia»",IF(AND(G2612&lt;&gt;"",G2612=E2612),"⚠ «Hacia» igual a la cuenta",IF(AND(G2612&lt;&gt;"",ISNA(MATCH(G2612,ctaNom,0))),"⚠ «Hacia» no existe",IF(AND(I2612="Pago tarjeta",IFERROR(INDEX(ctaTipo,MATCH(G2612,ctaNom,0)),"")&lt;&gt;"Tarjeta de crédito"),"⚠ «Hacia» debe ser la tarjeta",IF(AND(I2612="Trading",IFERROR(INDEX(ctaTipo,MATCH(E2612,ctaNom,0)),"")&lt;&gt;"Cuenta de trading"),"⚠ Usa la cuenta de trading","✓"))))))))))))</f>
        <v/>
      </c>
      <c r="I2612" s="19">
        <f>IF(OR(B2612="",C2612="",D2612=""),"",IFERROR(INDEX(catTipo,MATCH(D2612,catNom,0))&amp;"",""))</f>
        <v/>
      </c>
      <c r="J2612" s="19">
        <f>IF(I2612="","",IFERROR(INDEX(catGrupo,MATCH(D2612,catNom,0))&amp;"",""))</f>
        <v/>
      </c>
      <c r="K2612" s="19">
        <f>IF(I2612="Gasto",IF(IFERROR(INDEX(catClas,MATCH(D2612,catNom,0))&amp;"","")="","Variable",IFERROR(INDEX(catClas,MATCH(D2612,catNom,0))&amp;"","")),"")</f>
        <v/>
      </c>
      <c r="L2612" s="19">
        <f>IF(I2612="","",IFERROR(INDEX(catAlim,MATCH(D2612,catNom,0))&amp;"",""))</f>
        <v/>
      </c>
      <c r="M2612" s="19">
        <f>IF(I2612="","",IFERROR(INDEX(catComida,MATCH(D2612,catNom,0))&amp;"",""))</f>
        <v/>
      </c>
      <c r="N2612" s="19">
        <f>IF(I2612="","",IFERROR(INDEX(ctaMon,MATCH(E2612,ctaNom,0))&amp;"","DOP"))</f>
        <v/>
      </c>
      <c r="O2612" s="20">
        <f>IF(I2612="","",C2612*IF(N2612="USD",TasaUSD,1))</f>
        <v/>
      </c>
      <c r="P2612" s="20">
        <f>IF(I2612="","",IF(I2612="Gasto",O2612,0))</f>
        <v/>
      </c>
      <c r="Q2612" s="20">
        <f>IF(I2612="","",IF(I2612="Ingreso",O2612,0))</f>
        <v/>
      </c>
      <c r="R2612" s="20">
        <f>IF(I2612="","",IF(I2612="Trading",O2612,0))</f>
        <v/>
      </c>
      <c r="S2612" s="19">
        <f>IF(I2612="","",IF(AND(I2612="Gasto",K2612="Variable",J2612&lt;&gt;"Trading",O2612&gt;0,O2612&lt;=Umbral),1,0))</f>
        <v/>
      </c>
      <c r="T2612" s="20">
        <f>IF(OR(I2612="",E2612=""),"",IF(OR(I2612="Gasto",I2612="Transferencia",I2612="Pago tarjeta"),-1,1)*C2612)</f>
        <v/>
      </c>
      <c r="U2612" s="20">
        <f>IF(OR(G2612="",AND(I2612&lt;&gt;"Transferencia",I2612&lt;&gt;"Pago tarjeta")),"",IF(IFERROR(INDEX(ctaMon,MATCH(G2612,ctaNom,0))&amp;"","DOP")=N2612,C2612,IF(N2612="USD",C2612*TasaUSD,C2612/TasaUSD)))</f>
        <v/>
      </c>
      <c r="V2612" s="20">
        <f>IF(I2612="","",IF(IFERROR(INDEX(ctaLiq,MATCH(E2612,ctaNom,0))="Sí",FALSE),IF(OR(I2612="Gasto",I2612="Transferencia",I2612="Pago tarjeta"),-1,1)*O2612,0)+IF(AND(U2612&lt;&gt;"",IFERROR(INDEX(ctaLiq,MATCH(G2612,ctaNom,0))="Sí",FALSE)),O2612,0))</f>
        <v/>
      </c>
      <c r="W2612" s="19">
        <f>IF(OR(F2612="",I2612=""),"",IF(COUNTIFS(F$6:F2612,F2612,I$6:I2612,"?*")=1,MAX(W$5:W2611)+1,""))</f>
        <v/>
      </c>
    </row>
    <row r="2613">
      <c r="B2613" s="15" t="n"/>
      <c r="C2613" s="16" t="n"/>
      <c r="D2613" s="17" t="n"/>
      <c r="E2613" s="17" t="n"/>
      <c r="F2613" s="17" t="n"/>
      <c r="G2613" s="17" t="n"/>
      <c r="H2613" s="18">
        <f>IF(AND(B2613="",C2613="",D2613="",E2613=""),"",IF(B2613="","⚠ Falta fecha",IF(C2613="","⚠ Falta monto",IF(D2613="","⚠ Falta categoría",IF(ISNA(MATCH(D2613,catNom,0)),"⚠ Categoría no existe",IF(E2613="","⚠ Falta cuenta",IF(ISNA(MATCH(E2613,ctaNom,0)),"⚠ Cuenta no existe",IF(AND(OR(I2613="Transferencia",I2613="Pago tarjeta"),G2613=""),"⚠ Indica la cuenta «Hacia»",IF(AND(G2613&lt;&gt;"",G2613=E2613),"⚠ «Hacia» igual a la cuenta",IF(AND(G2613&lt;&gt;"",ISNA(MATCH(G2613,ctaNom,0))),"⚠ «Hacia» no existe",IF(AND(I2613="Pago tarjeta",IFERROR(INDEX(ctaTipo,MATCH(G2613,ctaNom,0)),"")&lt;&gt;"Tarjeta de crédito"),"⚠ «Hacia» debe ser la tarjeta",IF(AND(I2613="Trading",IFERROR(INDEX(ctaTipo,MATCH(E2613,ctaNom,0)),"")&lt;&gt;"Cuenta de trading"),"⚠ Usa la cuenta de trading","✓"))))))))))))</f>
        <v/>
      </c>
      <c r="I2613" s="19">
        <f>IF(OR(B2613="",C2613="",D2613=""),"",IFERROR(INDEX(catTipo,MATCH(D2613,catNom,0))&amp;"",""))</f>
        <v/>
      </c>
      <c r="J2613" s="19">
        <f>IF(I2613="","",IFERROR(INDEX(catGrupo,MATCH(D2613,catNom,0))&amp;"",""))</f>
        <v/>
      </c>
      <c r="K2613" s="19">
        <f>IF(I2613="Gasto",IF(IFERROR(INDEX(catClas,MATCH(D2613,catNom,0))&amp;"","")="","Variable",IFERROR(INDEX(catClas,MATCH(D2613,catNom,0))&amp;"","")),"")</f>
        <v/>
      </c>
      <c r="L2613" s="19">
        <f>IF(I2613="","",IFERROR(INDEX(catAlim,MATCH(D2613,catNom,0))&amp;"",""))</f>
        <v/>
      </c>
      <c r="M2613" s="19">
        <f>IF(I2613="","",IFERROR(INDEX(catComida,MATCH(D2613,catNom,0))&amp;"",""))</f>
        <v/>
      </c>
      <c r="N2613" s="19">
        <f>IF(I2613="","",IFERROR(INDEX(ctaMon,MATCH(E2613,ctaNom,0))&amp;"","DOP"))</f>
        <v/>
      </c>
      <c r="O2613" s="20">
        <f>IF(I2613="","",C2613*IF(N2613="USD",TasaUSD,1))</f>
        <v/>
      </c>
      <c r="P2613" s="20">
        <f>IF(I2613="","",IF(I2613="Gasto",O2613,0))</f>
        <v/>
      </c>
      <c r="Q2613" s="20">
        <f>IF(I2613="","",IF(I2613="Ingreso",O2613,0))</f>
        <v/>
      </c>
      <c r="R2613" s="20">
        <f>IF(I2613="","",IF(I2613="Trading",O2613,0))</f>
        <v/>
      </c>
      <c r="S2613" s="19">
        <f>IF(I2613="","",IF(AND(I2613="Gasto",K2613="Variable",J2613&lt;&gt;"Trading",O2613&gt;0,O2613&lt;=Umbral),1,0))</f>
        <v/>
      </c>
      <c r="T2613" s="20">
        <f>IF(OR(I2613="",E2613=""),"",IF(OR(I2613="Gasto",I2613="Transferencia",I2613="Pago tarjeta"),-1,1)*C2613)</f>
        <v/>
      </c>
      <c r="U2613" s="20">
        <f>IF(OR(G2613="",AND(I2613&lt;&gt;"Transferencia",I2613&lt;&gt;"Pago tarjeta")),"",IF(IFERROR(INDEX(ctaMon,MATCH(G2613,ctaNom,0))&amp;"","DOP")=N2613,C2613,IF(N2613="USD",C2613*TasaUSD,C2613/TasaUSD)))</f>
        <v/>
      </c>
      <c r="V2613" s="20">
        <f>IF(I2613="","",IF(IFERROR(INDEX(ctaLiq,MATCH(E2613,ctaNom,0))="Sí",FALSE),IF(OR(I2613="Gasto",I2613="Transferencia",I2613="Pago tarjeta"),-1,1)*O2613,0)+IF(AND(U2613&lt;&gt;"",IFERROR(INDEX(ctaLiq,MATCH(G2613,ctaNom,0))="Sí",FALSE)),O2613,0))</f>
        <v/>
      </c>
      <c r="W2613" s="19">
        <f>IF(OR(F2613="",I2613=""),"",IF(COUNTIFS(F$6:F2613,F2613,I$6:I2613,"?*")=1,MAX(W$5:W2612)+1,""))</f>
        <v/>
      </c>
    </row>
    <row r="2614">
      <c r="B2614" s="15" t="n"/>
      <c r="C2614" s="16" t="n"/>
      <c r="D2614" s="17" t="n"/>
      <c r="E2614" s="17" t="n"/>
      <c r="F2614" s="17" t="n"/>
      <c r="G2614" s="17" t="n"/>
      <c r="H2614" s="18">
        <f>IF(AND(B2614="",C2614="",D2614="",E2614=""),"",IF(B2614="","⚠ Falta fecha",IF(C2614="","⚠ Falta monto",IF(D2614="","⚠ Falta categoría",IF(ISNA(MATCH(D2614,catNom,0)),"⚠ Categoría no existe",IF(E2614="","⚠ Falta cuenta",IF(ISNA(MATCH(E2614,ctaNom,0)),"⚠ Cuenta no existe",IF(AND(OR(I2614="Transferencia",I2614="Pago tarjeta"),G2614=""),"⚠ Indica la cuenta «Hacia»",IF(AND(G2614&lt;&gt;"",G2614=E2614),"⚠ «Hacia» igual a la cuenta",IF(AND(G2614&lt;&gt;"",ISNA(MATCH(G2614,ctaNom,0))),"⚠ «Hacia» no existe",IF(AND(I2614="Pago tarjeta",IFERROR(INDEX(ctaTipo,MATCH(G2614,ctaNom,0)),"")&lt;&gt;"Tarjeta de crédito"),"⚠ «Hacia» debe ser la tarjeta",IF(AND(I2614="Trading",IFERROR(INDEX(ctaTipo,MATCH(E2614,ctaNom,0)),"")&lt;&gt;"Cuenta de trading"),"⚠ Usa la cuenta de trading","✓"))))))))))))</f>
        <v/>
      </c>
      <c r="I2614" s="19">
        <f>IF(OR(B2614="",C2614="",D2614=""),"",IFERROR(INDEX(catTipo,MATCH(D2614,catNom,0))&amp;"",""))</f>
        <v/>
      </c>
      <c r="J2614" s="19">
        <f>IF(I2614="","",IFERROR(INDEX(catGrupo,MATCH(D2614,catNom,0))&amp;"",""))</f>
        <v/>
      </c>
      <c r="K2614" s="19">
        <f>IF(I2614="Gasto",IF(IFERROR(INDEX(catClas,MATCH(D2614,catNom,0))&amp;"","")="","Variable",IFERROR(INDEX(catClas,MATCH(D2614,catNom,0))&amp;"","")),"")</f>
        <v/>
      </c>
      <c r="L2614" s="19">
        <f>IF(I2614="","",IFERROR(INDEX(catAlim,MATCH(D2614,catNom,0))&amp;"",""))</f>
        <v/>
      </c>
      <c r="M2614" s="19">
        <f>IF(I2614="","",IFERROR(INDEX(catComida,MATCH(D2614,catNom,0))&amp;"",""))</f>
        <v/>
      </c>
      <c r="N2614" s="19">
        <f>IF(I2614="","",IFERROR(INDEX(ctaMon,MATCH(E2614,ctaNom,0))&amp;"","DOP"))</f>
        <v/>
      </c>
      <c r="O2614" s="20">
        <f>IF(I2614="","",C2614*IF(N2614="USD",TasaUSD,1))</f>
        <v/>
      </c>
      <c r="P2614" s="20">
        <f>IF(I2614="","",IF(I2614="Gasto",O2614,0))</f>
        <v/>
      </c>
      <c r="Q2614" s="20">
        <f>IF(I2614="","",IF(I2614="Ingreso",O2614,0))</f>
        <v/>
      </c>
      <c r="R2614" s="20">
        <f>IF(I2614="","",IF(I2614="Trading",O2614,0))</f>
        <v/>
      </c>
      <c r="S2614" s="19">
        <f>IF(I2614="","",IF(AND(I2614="Gasto",K2614="Variable",J2614&lt;&gt;"Trading",O2614&gt;0,O2614&lt;=Umbral),1,0))</f>
        <v/>
      </c>
      <c r="T2614" s="20">
        <f>IF(OR(I2614="",E2614=""),"",IF(OR(I2614="Gasto",I2614="Transferencia",I2614="Pago tarjeta"),-1,1)*C2614)</f>
        <v/>
      </c>
      <c r="U2614" s="20">
        <f>IF(OR(G2614="",AND(I2614&lt;&gt;"Transferencia",I2614&lt;&gt;"Pago tarjeta")),"",IF(IFERROR(INDEX(ctaMon,MATCH(G2614,ctaNom,0))&amp;"","DOP")=N2614,C2614,IF(N2614="USD",C2614*TasaUSD,C2614/TasaUSD)))</f>
        <v/>
      </c>
      <c r="V2614" s="20">
        <f>IF(I2614="","",IF(IFERROR(INDEX(ctaLiq,MATCH(E2614,ctaNom,0))="Sí",FALSE),IF(OR(I2614="Gasto",I2614="Transferencia",I2614="Pago tarjeta"),-1,1)*O2614,0)+IF(AND(U2614&lt;&gt;"",IFERROR(INDEX(ctaLiq,MATCH(G2614,ctaNom,0))="Sí",FALSE)),O2614,0))</f>
        <v/>
      </c>
      <c r="W2614" s="19">
        <f>IF(OR(F2614="",I2614=""),"",IF(COUNTIFS(F$6:F2614,F2614,I$6:I2614,"?*")=1,MAX(W$5:W2613)+1,""))</f>
        <v/>
      </c>
    </row>
    <row r="2615">
      <c r="B2615" s="15" t="n"/>
      <c r="C2615" s="16" t="n"/>
      <c r="D2615" s="17" t="n"/>
      <c r="E2615" s="17" t="n"/>
      <c r="F2615" s="17" t="n"/>
      <c r="G2615" s="17" t="n"/>
      <c r="H2615" s="18">
        <f>IF(AND(B2615="",C2615="",D2615="",E2615=""),"",IF(B2615="","⚠ Falta fecha",IF(C2615="","⚠ Falta monto",IF(D2615="","⚠ Falta categoría",IF(ISNA(MATCH(D2615,catNom,0)),"⚠ Categoría no existe",IF(E2615="","⚠ Falta cuenta",IF(ISNA(MATCH(E2615,ctaNom,0)),"⚠ Cuenta no existe",IF(AND(OR(I2615="Transferencia",I2615="Pago tarjeta"),G2615=""),"⚠ Indica la cuenta «Hacia»",IF(AND(G2615&lt;&gt;"",G2615=E2615),"⚠ «Hacia» igual a la cuenta",IF(AND(G2615&lt;&gt;"",ISNA(MATCH(G2615,ctaNom,0))),"⚠ «Hacia» no existe",IF(AND(I2615="Pago tarjeta",IFERROR(INDEX(ctaTipo,MATCH(G2615,ctaNom,0)),"")&lt;&gt;"Tarjeta de crédito"),"⚠ «Hacia» debe ser la tarjeta",IF(AND(I2615="Trading",IFERROR(INDEX(ctaTipo,MATCH(E2615,ctaNom,0)),"")&lt;&gt;"Cuenta de trading"),"⚠ Usa la cuenta de trading","✓"))))))))))))</f>
        <v/>
      </c>
      <c r="I2615" s="19">
        <f>IF(OR(B2615="",C2615="",D2615=""),"",IFERROR(INDEX(catTipo,MATCH(D2615,catNom,0))&amp;"",""))</f>
        <v/>
      </c>
      <c r="J2615" s="19">
        <f>IF(I2615="","",IFERROR(INDEX(catGrupo,MATCH(D2615,catNom,0))&amp;"",""))</f>
        <v/>
      </c>
      <c r="K2615" s="19">
        <f>IF(I2615="Gasto",IF(IFERROR(INDEX(catClas,MATCH(D2615,catNom,0))&amp;"","")="","Variable",IFERROR(INDEX(catClas,MATCH(D2615,catNom,0))&amp;"","")),"")</f>
        <v/>
      </c>
      <c r="L2615" s="19">
        <f>IF(I2615="","",IFERROR(INDEX(catAlim,MATCH(D2615,catNom,0))&amp;"",""))</f>
        <v/>
      </c>
      <c r="M2615" s="19">
        <f>IF(I2615="","",IFERROR(INDEX(catComida,MATCH(D2615,catNom,0))&amp;"",""))</f>
        <v/>
      </c>
      <c r="N2615" s="19">
        <f>IF(I2615="","",IFERROR(INDEX(ctaMon,MATCH(E2615,ctaNom,0))&amp;"","DOP"))</f>
        <v/>
      </c>
      <c r="O2615" s="20">
        <f>IF(I2615="","",C2615*IF(N2615="USD",TasaUSD,1))</f>
        <v/>
      </c>
      <c r="P2615" s="20">
        <f>IF(I2615="","",IF(I2615="Gasto",O2615,0))</f>
        <v/>
      </c>
      <c r="Q2615" s="20">
        <f>IF(I2615="","",IF(I2615="Ingreso",O2615,0))</f>
        <v/>
      </c>
      <c r="R2615" s="20">
        <f>IF(I2615="","",IF(I2615="Trading",O2615,0))</f>
        <v/>
      </c>
      <c r="S2615" s="19">
        <f>IF(I2615="","",IF(AND(I2615="Gasto",K2615="Variable",J2615&lt;&gt;"Trading",O2615&gt;0,O2615&lt;=Umbral),1,0))</f>
        <v/>
      </c>
      <c r="T2615" s="20">
        <f>IF(OR(I2615="",E2615=""),"",IF(OR(I2615="Gasto",I2615="Transferencia",I2615="Pago tarjeta"),-1,1)*C2615)</f>
        <v/>
      </c>
      <c r="U2615" s="20">
        <f>IF(OR(G2615="",AND(I2615&lt;&gt;"Transferencia",I2615&lt;&gt;"Pago tarjeta")),"",IF(IFERROR(INDEX(ctaMon,MATCH(G2615,ctaNom,0))&amp;"","DOP")=N2615,C2615,IF(N2615="USD",C2615*TasaUSD,C2615/TasaUSD)))</f>
        <v/>
      </c>
      <c r="V2615" s="20">
        <f>IF(I2615="","",IF(IFERROR(INDEX(ctaLiq,MATCH(E2615,ctaNom,0))="Sí",FALSE),IF(OR(I2615="Gasto",I2615="Transferencia",I2615="Pago tarjeta"),-1,1)*O2615,0)+IF(AND(U2615&lt;&gt;"",IFERROR(INDEX(ctaLiq,MATCH(G2615,ctaNom,0))="Sí",FALSE)),O2615,0))</f>
        <v/>
      </c>
      <c r="W2615" s="19">
        <f>IF(OR(F2615="",I2615=""),"",IF(COUNTIFS(F$6:F2615,F2615,I$6:I2615,"?*")=1,MAX(W$5:W2614)+1,""))</f>
        <v/>
      </c>
    </row>
    <row r="2616">
      <c r="B2616" s="15" t="n"/>
      <c r="C2616" s="16" t="n"/>
      <c r="D2616" s="17" t="n"/>
      <c r="E2616" s="17" t="n"/>
      <c r="F2616" s="17" t="n"/>
      <c r="G2616" s="17" t="n"/>
      <c r="H2616" s="18">
        <f>IF(AND(B2616="",C2616="",D2616="",E2616=""),"",IF(B2616="","⚠ Falta fecha",IF(C2616="","⚠ Falta monto",IF(D2616="","⚠ Falta categoría",IF(ISNA(MATCH(D2616,catNom,0)),"⚠ Categoría no existe",IF(E2616="","⚠ Falta cuenta",IF(ISNA(MATCH(E2616,ctaNom,0)),"⚠ Cuenta no existe",IF(AND(OR(I2616="Transferencia",I2616="Pago tarjeta"),G2616=""),"⚠ Indica la cuenta «Hacia»",IF(AND(G2616&lt;&gt;"",G2616=E2616),"⚠ «Hacia» igual a la cuenta",IF(AND(G2616&lt;&gt;"",ISNA(MATCH(G2616,ctaNom,0))),"⚠ «Hacia» no existe",IF(AND(I2616="Pago tarjeta",IFERROR(INDEX(ctaTipo,MATCH(G2616,ctaNom,0)),"")&lt;&gt;"Tarjeta de crédito"),"⚠ «Hacia» debe ser la tarjeta",IF(AND(I2616="Trading",IFERROR(INDEX(ctaTipo,MATCH(E2616,ctaNom,0)),"")&lt;&gt;"Cuenta de trading"),"⚠ Usa la cuenta de trading","✓"))))))))))))</f>
        <v/>
      </c>
      <c r="I2616" s="19">
        <f>IF(OR(B2616="",C2616="",D2616=""),"",IFERROR(INDEX(catTipo,MATCH(D2616,catNom,0))&amp;"",""))</f>
        <v/>
      </c>
      <c r="J2616" s="19">
        <f>IF(I2616="","",IFERROR(INDEX(catGrupo,MATCH(D2616,catNom,0))&amp;"",""))</f>
        <v/>
      </c>
      <c r="K2616" s="19">
        <f>IF(I2616="Gasto",IF(IFERROR(INDEX(catClas,MATCH(D2616,catNom,0))&amp;"","")="","Variable",IFERROR(INDEX(catClas,MATCH(D2616,catNom,0))&amp;"","")),"")</f>
        <v/>
      </c>
      <c r="L2616" s="19">
        <f>IF(I2616="","",IFERROR(INDEX(catAlim,MATCH(D2616,catNom,0))&amp;"",""))</f>
        <v/>
      </c>
      <c r="M2616" s="19">
        <f>IF(I2616="","",IFERROR(INDEX(catComida,MATCH(D2616,catNom,0))&amp;"",""))</f>
        <v/>
      </c>
      <c r="N2616" s="19">
        <f>IF(I2616="","",IFERROR(INDEX(ctaMon,MATCH(E2616,ctaNom,0))&amp;"","DOP"))</f>
        <v/>
      </c>
      <c r="O2616" s="20">
        <f>IF(I2616="","",C2616*IF(N2616="USD",TasaUSD,1))</f>
        <v/>
      </c>
      <c r="P2616" s="20">
        <f>IF(I2616="","",IF(I2616="Gasto",O2616,0))</f>
        <v/>
      </c>
      <c r="Q2616" s="20">
        <f>IF(I2616="","",IF(I2616="Ingreso",O2616,0))</f>
        <v/>
      </c>
      <c r="R2616" s="20">
        <f>IF(I2616="","",IF(I2616="Trading",O2616,0))</f>
        <v/>
      </c>
      <c r="S2616" s="19">
        <f>IF(I2616="","",IF(AND(I2616="Gasto",K2616="Variable",J2616&lt;&gt;"Trading",O2616&gt;0,O2616&lt;=Umbral),1,0))</f>
        <v/>
      </c>
      <c r="T2616" s="20">
        <f>IF(OR(I2616="",E2616=""),"",IF(OR(I2616="Gasto",I2616="Transferencia",I2616="Pago tarjeta"),-1,1)*C2616)</f>
        <v/>
      </c>
      <c r="U2616" s="20">
        <f>IF(OR(G2616="",AND(I2616&lt;&gt;"Transferencia",I2616&lt;&gt;"Pago tarjeta")),"",IF(IFERROR(INDEX(ctaMon,MATCH(G2616,ctaNom,0))&amp;"","DOP")=N2616,C2616,IF(N2616="USD",C2616*TasaUSD,C2616/TasaUSD)))</f>
        <v/>
      </c>
      <c r="V2616" s="20">
        <f>IF(I2616="","",IF(IFERROR(INDEX(ctaLiq,MATCH(E2616,ctaNom,0))="Sí",FALSE),IF(OR(I2616="Gasto",I2616="Transferencia",I2616="Pago tarjeta"),-1,1)*O2616,0)+IF(AND(U2616&lt;&gt;"",IFERROR(INDEX(ctaLiq,MATCH(G2616,ctaNom,0))="Sí",FALSE)),O2616,0))</f>
        <v/>
      </c>
      <c r="W2616" s="19">
        <f>IF(OR(F2616="",I2616=""),"",IF(COUNTIFS(F$6:F2616,F2616,I$6:I2616,"?*")=1,MAX(W$5:W2615)+1,""))</f>
        <v/>
      </c>
    </row>
    <row r="2617">
      <c r="B2617" s="15" t="n"/>
      <c r="C2617" s="16" t="n"/>
      <c r="D2617" s="17" t="n"/>
      <c r="E2617" s="17" t="n"/>
      <c r="F2617" s="17" t="n"/>
      <c r="G2617" s="17" t="n"/>
      <c r="H2617" s="18">
        <f>IF(AND(B2617="",C2617="",D2617="",E2617=""),"",IF(B2617="","⚠ Falta fecha",IF(C2617="","⚠ Falta monto",IF(D2617="","⚠ Falta categoría",IF(ISNA(MATCH(D2617,catNom,0)),"⚠ Categoría no existe",IF(E2617="","⚠ Falta cuenta",IF(ISNA(MATCH(E2617,ctaNom,0)),"⚠ Cuenta no existe",IF(AND(OR(I2617="Transferencia",I2617="Pago tarjeta"),G2617=""),"⚠ Indica la cuenta «Hacia»",IF(AND(G2617&lt;&gt;"",G2617=E2617),"⚠ «Hacia» igual a la cuenta",IF(AND(G2617&lt;&gt;"",ISNA(MATCH(G2617,ctaNom,0))),"⚠ «Hacia» no existe",IF(AND(I2617="Pago tarjeta",IFERROR(INDEX(ctaTipo,MATCH(G2617,ctaNom,0)),"")&lt;&gt;"Tarjeta de crédito"),"⚠ «Hacia» debe ser la tarjeta",IF(AND(I2617="Trading",IFERROR(INDEX(ctaTipo,MATCH(E2617,ctaNom,0)),"")&lt;&gt;"Cuenta de trading"),"⚠ Usa la cuenta de trading","✓"))))))))))))</f>
        <v/>
      </c>
      <c r="I2617" s="19">
        <f>IF(OR(B2617="",C2617="",D2617=""),"",IFERROR(INDEX(catTipo,MATCH(D2617,catNom,0))&amp;"",""))</f>
        <v/>
      </c>
      <c r="J2617" s="19">
        <f>IF(I2617="","",IFERROR(INDEX(catGrupo,MATCH(D2617,catNom,0))&amp;"",""))</f>
        <v/>
      </c>
      <c r="K2617" s="19">
        <f>IF(I2617="Gasto",IF(IFERROR(INDEX(catClas,MATCH(D2617,catNom,0))&amp;"","")="","Variable",IFERROR(INDEX(catClas,MATCH(D2617,catNom,0))&amp;"","")),"")</f>
        <v/>
      </c>
      <c r="L2617" s="19">
        <f>IF(I2617="","",IFERROR(INDEX(catAlim,MATCH(D2617,catNom,0))&amp;"",""))</f>
        <v/>
      </c>
      <c r="M2617" s="19">
        <f>IF(I2617="","",IFERROR(INDEX(catComida,MATCH(D2617,catNom,0))&amp;"",""))</f>
        <v/>
      </c>
      <c r="N2617" s="19">
        <f>IF(I2617="","",IFERROR(INDEX(ctaMon,MATCH(E2617,ctaNom,0))&amp;"","DOP"))</f>
        <v/>
      </c>
      <c r="O2617" s="20">
        <f>IF(I2617="","",C2617*IF(N2617="USD",TasaUSD,1))</f>
        <v/>
      </c>
      <c r="P2617" s="20">
        <f>IF(I2617="","",IF(I2617="Gasto",O2617,0))</f>
        <v/>
      </c>
      <c r="Q2617" s="20">
        <f>IF(I2617="","",IF(I2617="Ingreso",O2617,0))</f>
        <v/>
      </c>
      <c r="R2617" s="20">
        <f>IF(I2617="","",IF(I2617="Trading",O2617,0))</f>
        <v/>
      </c>
      <c r="S2617" s="19">
        <f>IF(I2617="","",IF(AND(I2617="Gasto",K2617="Variable",J2617&lt;&gt;"Trading",O2617&gt;0,O2617&lt;=Umbral),1,0))</f>
        <v/>
      </c>
      <c r="T2617" s="20">
        <f>IF(OR(I2617="",E2617=""),"",IF(OR(I2617="Gasto",I2617="Transferencia",I2617="Pago tarjeta"),-1,1)*C2617)</f>
        <v/>
      </c>
      <c r="U2617" s="20">
        <f>IF(OR(G2617="",AND(I2617&lt;&gt;"Transferencia",I2617&lt;&gt;"Pago tarjeta")),"",IF(IFERROR(INDEX(ctaMon,MATCH(G2617,ctaNom,0))&amp;"","DOP")=N2617,C2617,IF(N2617="USD",C2617*TasaUSD,C2617/TasaUSD)))</f>
        <v/>
      </c>
      <c r="V2617" s="20">
        <f>IF(I2617="","",IF(IFERROR(INDEX(ctaLiq,MATCH(E2617,ctaNom,0))="Sí",FALSE),IF(OR(I2617="Gasto",I2617="Transferencia",I2617="Pago tarjeta"),-1,1)*O2617,0)+IF(AND(U2617&lt;&gt;"",IFERROR(INDEX(ctaLiq,MATCH(G2617,ctaNom,0))="Sí",FALSE)),O2617,0))</f>
        <v/>
      </c>
      <c r="W2617" s="19">
        <f>IF(OR(F2617="",I2617=""),"",IF(COUNTIFS(F$6:F2617,F2617,I$6:I2617,"?*")=1,MAX(W$5:W2616)+1,""))</f>
        <v/>
      </c>
    </row>
    <row r="2618">
      <c r="B2618" s="15" t="n"/>
      <c r="C2618" s="16" t="n"/>
      <c r="D2618" s="17" t="n"/>
      <c r="E2618" s="17" t="n"/>
      <c r="F2618" s="17" t="n"/>
      <c r="G2618" s="17" t="n"/>
      <c r="H2618" s="18">
        <f>IF(AND(B2618="",C2618="",D2618="",E2618=""),"",IF(B2618="","⚠ Falta fecha",IF(C2618="","⚠ Falta monto",IF(D2618="","⚠ Falta categoría",IF(ISNA(MATCH(D2618,catNom,0)),"⚠ Categoría no existe",IF(E2618="","⚠ Falta cuenta",IF(ISNA(MATCH(E2618,ctaNom,0)),"⚠ Cuenta no existe",IF(AND(OR(I2618="Transferencia",I2618="Pago tarjeta"),G2618=""),"⚠ Indica la cuenta «Hacia»",IF(AND(G2618&lt;&gt;"",G2618=E2618),"⚠ «Hacia» igual a la cuenta",IF(AND(G2618&lt;&gt;"",ISNA(MATCH(G2618,ctaNom,0))),"⚠ «Hacia» no existe",IF(AND(I2618="Pago tarjeta",IFERROR(INDEX(ctaTipo,MATCH(G2618,ctaNom,0)),"")&lt;&gt;"Tarjeta de crédito"),"⚠ «Hacia» debe ser la tarjeta",IF(AND(I2618="Trading",IFERROR(INDEX(ctaTipo,MATCH(E2618,ctaNom,0)),"")&lt;&gt;"Cuenta de trading"),"⚠ Usa la cuenta de trading","✓"))))))))))))</f>
        <v/>
      </c>
      <c r="I2618" s="19">
        <f>IF(OR(B2618="",C2618="",D2618=""),"",IFERROR(INDEX(catTipo,MATCH(D2618,catNom,0))&amp;"",""))</f>
        <v/>
      </c>
      <c r="J2618" s="19">
        <f>IF(I2618="","",IFERROR(INDEX(catGrupo,MATCH(D2618,catNom,0))&amp;"",""))</f>
        <v/>
      </c>
      <c r="K2618" s="19">
        <f>IF(I2618="Gasto",IF(IFERROR(INDEX(catClas,MATCH(D2618,catNom,0))&amp;"","")="","Variable",IFERROR(INDEX(catClas,MATCH(D2618,catNom,0))&amp;"","")),"")</f>
        <v/>
      </c>
      <c r="L2618" s="19">
        <f>IF(I2618="","",IFERROR(INDEX(catAlim,MATCH(D2618,catNom,0))&amp;"",""))</f>
        <v/>
      </c>
      <c r="M2618" s="19">
        <f>IF(I2618="","",IFERROR(INDEX(catComida,MATCH(D2618,catNom,0))&amp;"",""))</f>
        <v/>
      </c>
      <c r="N2618" s="19">
        <f>IF(I2618="","",IFERROR(INDEX(ctaMon,MATCH(E2618,ctaNom,0))&amp;"","DOP"))</f>
        <v/>
      </c>
      <c r="O2618" s="20">
        <f>IF(I2618="","",C2618*IF(N2618="USD",TasaUSD,1))</f>
        <v/>
      </c>
      <c r="P2618" s="20">
        <f>IF(I2618="","",IF(I2618="Gasto",O2618,0))</f>
        <v/>
      </c>
      <c r="Q2618" s="20">
        <f>IF(I2618="","",IF(I2618="Ingreso",O2618,0))</f>
        <v/>
      </c>
      <c r="R2618" s="20">
        <f>IF(I2618="","",IF(I2618="Trading",O2618,0))</f>
        <v/>
      </c>
      <c r="S2618" s="19">
        <f>IF(I2618="","",IF(AND(I2618="Gasto",K2618="Variable",J2618&lt;&gt;"Trading",O2618&gt;0,O2618&lt;=Umbral),1,0))</f>
        <v/>
      </c>
      <c r="T2618" s="20">
        <f>IF(OR(I2618="",E2618=""),"",IF(OR(I2618="Gasto",I2618="Transferencia",I2618="Pago tarjeta"),-1,1)*C2618)</f>
        <v/>
      </c>
      <c r="U2618" s="20">
        <f>IF(OR(G2618="",AND(I2618&lt;&gt;"Transferencia",I2618&lt;&gt;"Pago tarjeta")),"",IF(IFERROR(INDEX(ctaMon,MATCH(G2618,ctaNom,0))&amp;"","DOP")=N2618,C2618,IF(N2618="USD",C2618*TasaUSD,C2618/TasaUSD)))</f>
        <v/>
      </c>
      <c r="V2618" s="20">
        <f>IF(I2618="","",IF(IFERROR(INDEX(ctaLiq,MATCH(E2618,ctaNom,0))="Sí",FALSE),IF(OR(I2618="Gasto",I2618="Transferencia",I2618="Pago tarjeta"),-1,1)*O2618,0)+IF(AND(U2618&lt;&gt;"",IFERROR(INDEX(ctaLiq,MATCH(G2618,ctaNom,0))="Sí",FALSE)),O2618,0))</f>
        <v/>
      </c>
      <c r="W2618" s="19">
        <f>IF(OR(F2618="",I2618=""),"",IF(COUNTIFS(F$6:F2618,F2618,I$6:I2618,"?*")=1,MAX(W$5:W2617)+1,""))</f>
        <v/>
      </c>
    </row>
    <row r="2619">
      <c r="B2619" s="15" t="n"/>
      <c r="C2619" s="16" t="n"/>
      <c r="D2619" s="17" t="n"/>
      <c r="E2619" s="17" t="n"/>
      <c r="F2619" s="17" t="n"/>
      <c r="G2619" s="17" t="n"/>
      <c r="H2619" s="18">
        <f>IF(AND(B2619="",C2619="",D2619="",E2619=""),"",IF(B2619="","⚠ Falta fecha",IF(C2619="","⚠ Falta monto",IF(D2619="","⚠ Falta categoría",IF(ISNA(MATCH(D2619,catNom,0)),"⚠ Categoría no existe",IF(E2619="","⚠ Falta cuenta",IF(ISNA(MATCH(E2619,ctaNom,0)),"⚠ Cuenta no existe",IF(AND(OR(I2619="Transferencia",I2619="Pago tarjeta"),G2619=""),"⚠ Indica la cuenta «Hacia»",IF(AND(G2619&lt;&gt;"",G2619=E2619),"⚠ «Hacia» igual a la cuenta",IF(AND(G2619&lt;&gt;"",ISNA(MATCH(G2619,ctaNom,0))),"⚠ «Hacia» no existe",IF(AND(I2619="Pago tarjeta",IFERROR(INDEX(ctaTipo,MATCH(G2619,ctaNom,0)),"")&lt;&gt;"Tarjeta de crédito"),"⚠ «Hacia» debe ser la tarjeta",IF(AND(I2619="Trading",IFERROR(INDEX(ctaTipo,MATCH(E2619,ctaNom,0)),"")&lt;&gt;"Cuenta de trading"),"⚠ Usa la cuenta de trading","✓"))))))))))))</f>
        <v/>
      </c>
      <c r="I2619" s="19">
        <f>IF(OR(B2619="",C2619="",D2619=""),"",IFERROR(INDEX(catTipo,MATCH(D2619,catNom,0))&amp;"",""))</f>
        <v/>
      </c>
      <c r="J2619" s="19">
        <f>IF(I2619="","",IFERROR(INDEX(catGrupo,MATCH(D2619,catNom,0))&amp;"",""))</f>
        <v/>
      </c>
      <c r="K2619" s="19">
        <f>IF(I2619="Gasto",IF(IFERROR(INDEX(catClas,MATCH(D2619,catNom,0))&amp;"","")="","Variable",IFERROR(INDEX(catClas,MATCH(D2619,catNom,0))&amp;"","")),"")</f>
        <v/>
      </c>
      <c r="L2619" s="19">
        <f>IF(I2619="","",IFERROR(INDEX(catAlim,MATCH(D2619,catNom,0))&amp;"",""))</f>
        <v/>
      </c>
      <c r="M2619" s="19">
        <f>IF(I2619="","",IFERROR(INDEX(catComida,MATCH(D2619,catNom,0))&amp;"",""))</f>
        <v/>
      </c>
      <c r="N2619" s="19">
        <f>IF(I2619="","",IFERROR(INDEX(ctaMon,MATCH(E2619,ctaNom,0))&amp;"","DOP"))</f>
        <v/>
      </c>
      <c r="O2619" s="20">
        <f>IF(I2619="","",C2619*IF(N2619="USD",TasaUSD,1))</f>
        <v/>
      </c>
      <c r="P2619" s="20">
        <f>IF(I2619="","",IF(I2619="Gasto",O2619,0))</f>
        <v/>
      </c>
      <c r="Q2619" s="20">
        <f>IF(I2619="","",IF(I2619="Ingreso",O2619,0))</f>
        <v/>
      </c>
      <c r="R2619" s="20">
        <f>IF(I2619="","",IF(I2619="Trading",O2619,0))</f>
        <v/>
      </c>
      <c r="S2619" s="19">
        <f>IF(I2619="","",IF(AND(I2619="Gasto",K2619="Variable",J2619&lt;&gt;"Trading",O2619&gt;0,O2619&lt;=Umbral),1,0))</f>
        <v/>
      </c>
      <c r="T2619" s="20">
        <f>IF(OR(I2619="",E2619=""),"",IF(OR(I2619="Gasto",I2619="Transferencia",I2619="Pago tarjeta"),-1,1)*C2619)</f>
        <v/>
      </c>
      <c r="U2619" s="20">
        <f>IF(OR(G2619="",AND(I2619&lt;&gt;"Transferencia",I2619&lt;&gt;"Pago tarjeta")),"",IF(IFERROR(INDEX(ctaMon,MATCH(G2619,ctaNom,0))&amp;"","DOP")=N2619,C2619,IF(N2619="USD",C2619*TasaUSD,C2619/TasaUSD)))</f>
        <v/>
      </c>
      <c r="V2619" s="20">
        <f>IF(I2619="","",IF(IFERROR(INDEX(ctaLiq,MATCH(E2619,ctaNom,0))="Sí",FALSE),IF(OR(I2619="Gasto",I2619="Transferencia",I2619="Pago tarjeta"),-1,1)*O2619,0)+IF(AND(U2619&lt;&gt;"",IFERROR(INDEX(ctaLiq,MATCH(G2619,ctaNom,0))="Sí",FALSE)),O2619,0))</f>
        <v/>
      </c>
      <c r="W2619" s="19">
        <f>IF(OR(F2619="",I2619=""),"",IF(COUNTIFS(F$6:F2619,F2619,I$6:I2619,"?*")=1,MAX(W$5:W2618)+1,""))</f>
        <v/>
      </c>
    </row>
    <row r="2620">
      <c r="B2620" s="15" t="n"/>
      <c r="C2620" s="16" t="n"/>
      <c r="D2620" s="17" t="n"/>
      <c r="E2620" s="17" t="n"/>
      <c r="F2620" s="17" t="n"/>
      <c r="G2620" s="17" t="n"/>
      <c r="H2620" s="18">
        <f>IF(AND(B2620="",C2620="",D2620="",E2620=""),"",IF(B2620="","⚠ Falta fecha",IF(C2620="","⚠ Falta monto",IF(D2620="","⚠ Falta categoría",IF(ISNA(MATCH(D2620,catNom,0)),"⚠ Categoría no existe",IF(E2620="","⚠ Falta cuenta",IF(ISNA(MATCH(E2620,ctaNom,0)),"⚠ Cuenta no existe",IF(AND(OR(I2620="Transferencia",I2620="Pago tarjeta"),G2620=""),"⚠ Indica la cuenta «Hacia»",IF(AND(G2620&lt;&gt;"",G2620=E2620),"⚠ «Hacia» igual a la cuenta",IF(AND(G2620&lt;&gt;"",ISNA(MATCH(G2620,ctaNom,0))),"⚠ «Hacia» no existe",IF(AND(I2620="Pago tarjeta",IFERROR(INDEX(ctaTipo,MATCH(G2620,ctaNom,0)),"")&lt;&gt;"Tarjeta de crédito"),"⚠ «Hacia» debe ser la tarjeta",IF(AND(I2620="Trading",IFERROR(INDEX(ctaTipo,MATCH(E2620,ctaNom,0)),"")&lt;&gt;"Cuenta de trading"),"⚠ Usa la cuenta de trading","✓"))))))))))))</f>
        <v/>
      </c>
      <c r="I2620" s="19">
        <f>IF(OR(B2620="",C2620="",D2620=""),"",IFERROR(INDEX(catTipo,MATCH(D2620,catNom,0))&amp;"",""))</f>
        <v/>
      </c>
      <c r="J2620" s="19">
        <f>IF(I2620="","",IFERROR(INDEX(catGrupo,MATCH(D2620,catNom,0))&amp;"",""))</f>
        <v/>
      </c>
      <c r="K2620" s="19">
        <f>IF(I2620="Gasto",IF(IFERROR(INDEX(catClas,MATCH(D2620,catNom,0))&amp;"","")="","Variable",IFERROR(INDEX(catClas,MATCH(D2620,catNom,0))&amp;"","")),"")</f>
        <v/>
      </c>
      <c r="L2620" s="19">
        <f>IF(I2620="","",IFERROR(INDEX(catAlim,MATCH(D2620,catNom,0))&amp;"",""))</f>
        <v/>
      </c>
      <c r="M2620" s="19">
        <f>IF(I2620="","",IFERROR(INDEX(catComida,MATCH(D2620,catNom,0))&amp;"",""))</f>
        <v/>
      </c>
      <c r="N2620" s="19">
        <f>IF(I2620="","",IFERROR(INDEX(ctaMon,MATCH(E2620,ctaNom,0))&amp;"","DOP"))</f>
        <v/>
      </c>
      <c r="O2620" s="20">
        <f>IF(I2620="","",C2620*IF(N2620="USD",TasaUSD,1))</f>
        <v/>
      </c>
      <c r="P2620" s="20">
        <f>IF(I2620="","",IF(I2620="Gasto",O2620,0))</f>
        <v/>
      </c>
      <c r="Q2620" s="20">
        <f>IF(I2620="","",IF(I2620="Ingreso",O2620,0))</f>
        <v/>
      </c>
      <c r="R2620" s="20">
        <f>IF(I2620="","",IF(I2620="Trading",O2620,0))</f>
        <v/>
      </c>
      <c r="S2620" s="19">
        <f>IF(I2620="","",IF(AND(I2620="Gasto",K2620="Variable",J2620&lt;&gt;"Trading",O2620&gt;0,O2620&lt;=Umbral),1,0))</f>
        <v/>
      </c>
      <c r="T2620" s="20">
        <f>IF(OR(I2620="",E2620=""),"",IF(OR(I2620="Gasto",I2620="Transferencia",I2620="Pago tarjeta"),-1,1)*C2620)</f>
        <v/>
      </c>
      <c r="U2620" s="20">
        <f>IF(OR(G2620="",AND(I2620&lt;&gt;"Transferencia",I2620&lt;&gt;"Pago tarjeta")),"",IF(IFERROR(INDEX(ctaMon,MATCH(G2620,ctaNom,0))&amp;"","DOP")=N2620,C2620,IF(N2620="USD",C2620*TasaUSD,C2620/TasaUSD)))</f>
        <v/>
      </c>
      <c r="V2620" s="20">
        <f>IF(I2620="","",IF(IFERROR(INDEX(ctaLiq,MATCH(E2620,ctaNom,0))="Sí",FALSE),IF(OR(I2620="Gasto",I2620="Transferencia",I2620="Pago tarjeta"),-1,1)*O2620,0)+IF(AND(U2620&lt;&gt;"",IFERROR(INDEX(ctaLiq,MATCH(G2620,ctaNom,0))="Sí",FALSE)),O2620,0))</f>
        <v/>
      </c>
      <c r="W2620" s="19">
        <f>IF(OR(F2620="",I2620=""),"",IF(COUNTIFS(F$6:F2620,F2620,I$6:I2620,"?*")=1,MAX(W$5:W2619)+1,""))</f>
        <v/>
      </c>
    </row>
    <row r="2621">
      <c r="B2621" s="15" t="n"/>
      <c r="C2621" s="16" t="n"/>
      <c r="D2621" s="17" t="n"/>
      <c r="E2621" s="17" t="n"/>
      <c r="F2621" s="17" t="n"/>
      <c r="G2621" s="17" t="n"/>
      <c r="H2621" s="18">
        <f>IF(AND(B2621="",C2621="",D2621="",E2621=""),"",IF(B2621="","⚠ Falta fecha",IF(C2621="","⚠ Falta monto",IF(D2621="","⚠ Falta categoría",IF(ISNA(MATCH(D2621,catNom,0)),"⚠ Categoría no existe",IF(E2621="","⚠ Falta cuenta",IF(ISNA(MATCH(E2621,ctaNom,0)),"⚠ Cuenta no existe",IF(AND(OR(I2621="Transferencia",I2621="Pago tarjeta"),G2621=""),"⚠ Indica la cuenta «Hacia»",IF(AND(G2621&lt;&gt;"",G2621=E2621),"⚠ «Hacia» igual a la cuenta",IF(AND(G2621&lt;&gt;"",ISNA(MATCH(G2621,ctaNom,0))),"⚠ «Hacia» no existe",IF(AND(I2621="Pago tarjeta",IFERROR(INDEX(ctaTipo,MATCH(G2621,ctaNom,0)),"")&lt;&gt;"Tarjeta de crédito"),"⚠ «Hacia» debe ser la tarjeta",IF(AND(I2621="Trading",IFERROR(INDEX(ctaTipo,MATCH(E2621,ctaNom,0)),"")&lt;&gt;"Cuenta de trading"),"⚠ Usa la cuenta de trading","✓"))))))))))))</f>
        <v/>
      </c>
      <c r="I2621" s="19">
        <f>IF(OR(B2621="",C2621="",D2621=""),"",IFERROR(INDEX(catTipo,MATCH(D2621,catNom,0))&amp;"",""))</f>
        <v/>
      </c>
      <c r="J2621" s="19">
        <f>IF(I2621="","",IFERROR(INDEX(catGrupo,MATCH(D2621,catNom,0))&amp;"",""))</f>
        <v/>
      </c>
      <c r="K2621" s="19">
        <f>IF(I2621="Gasto",IF(IFERROR(INDEX(catClas,MATCH(D2621,catNom,0))&amp;"","")="","Variable",IFERROR(INDEX(catClas,MATCH(D2621,catNom,0))&amp;"","")),"")</f>
        <v/>
      </c>
      <c r="L2621" s="19">
        <f>IF(I2621="","",IFERROR(INDEX(catAlim,MATCH(D2621,catNom,0))&amp;"",""))</f>
        <v/>
      </c>
      <c r="M2621" s="19">
        <f>IF(I2621="","",IFERROR(INDEX(catComida,MATCH(D2621,catNom,0))&amp;"",""))</f>
        <v/>
      </c>
      <c r="N2621" s="19">
        <f>IF(I2621="","",IFERROR(INDEX(ctaMon,MATCH(E2621,ctaNom,0))&amp;"","DOP"))</f>
        <v/>
      </c>
      <c r="O2621" s="20">
        <f>IF(I2621="","",C2621*IF(N2621="USD",TasaUSD,1))</f>
        <v/>
      </c>
      <c r="P2621" s="20">
        <f>IF(I2621="","",IF(I2621="Gasto",O2621,0))</f>
        <v/>
      </c>
      <c r="Q2621" s="20">
        <f>IF(I2621="","",IF(I2621="Ingreso",O2621,0))</f>
        <v/>
      </c>
      <c r="R2621" s="20">
        <f>IF(I2621="","",IF(I2621="Trading",O2621,0))</f>
        <v/>
      </c>
      <c r="S2621" s="19">
        <f>IF(I2621="","",IF(AND(I2621="Gasto",K2621="Variable",J2621&lt;&gt;"Trading",O2621&gt;0,O2621&lt;=Umbral),1,0))</f>
        <v/>
      </c>
      <c r="T2621" s="20">
        <f>IF(OR(I2621="",E2621=""),"",IF(OR(I2621="Gasto",I2621="Transferencia",I2621="Pago tarjeta"),-1,1)*C2621)</f>
        <v/>
      </c>
      <c r="U2621" s="20">
        <f>IF(OR(G2621="",AND(I2621&lt;&gt;"Transferencia",I2621&lt;&gt;"Pago tarjeta")),"",IF(IFERROR(INDEX(ctaMon,MATCH(G2621,ctaNom,0))&amp;"","DOP")=N2621,C2621,IF(N2621="USD",C2621*TasaUSD,C2621/TasaUSD)))</f>
        <v/>
      </c>
      <c r="V2621" s="20">
        <f>IF(I2621="","",IF(IFERROR(INDEX(ctaLiq,MATCH(E2621,ctaNom,0))="Sí",FALSE),IF(OR(I2621="Gasto",I2621="Transferencia",I2621="Pago tarjeta"),-1,1)*O2621,0)+IF(AND(U2621&lt;&gt;"",IFERROR(INDEX(ctaLiq,MATCH(G2621,ctaNom,0))="Sí",FALSE)),O2621,0))</f>
        <v/>
      </c>
      <c r="W2621" s="19">
        <f>IF(OR(F2621="",I2621=""),"",IF(COUNTIFS(F$6:F2621,F2621,I$6:I2621,"?*")=1,MAX(W$5:W2620)+1,""))</f>
        <v/>
      </c>
    </row>
    <row r="2622">
      <c r="B2622" s="15" t="n"/>
      <c r="C2622" s="16" t="n"/>
      <c r="D2622" s="17" t="n"/>
      <c r="E2622" s="17" t="n"/>
      <c r="F2622" s="17" t="n"/>
      <c r="G2622" s="17" t="n"/>
      <c r="H2622" s="18">
        <f>IF(AND(B2622="",C2622="",D2622="",E2622=""),"",IF(B2622="","⚠ Falta fecha",IF(C2622="","⚠ Falta monto",IF(D2622="","⚠ Falta categoría",IF(ISNA(MATCH(D2622,catNom,0)),"⚠ Categoría no existe",IF(E2622="","⚠ Falta cuenta",IF(ISNA(MATCH(E2622,ctaNom,0)),"⚠ Cuenta no existe",IF(AND(OR(I2622="Transferencia",I2622="Pago tarjeta"),G2622=""),"⚠ Indica la cuenta «Hacia»",IF(AND(G2622&lt;&gt;"",G2622=E2622),"⚠ «Hacia» igual a la cuenta",IF(AND(G2622&lt;&gt;"",ISNA(MATCH(G2622,ctaNom,0))),"⚠ «Hacia» no existe",IF(AND(I2622="Pago tarjeta",IFERROR(INDEX(ctaTipo,MATCH(G2622,ctaNom,0)),"")&lt;&gt;"Tarjeta de crédito"),"⚠ «Hacia» debe ser la tarjeta",IF(AND(I2622="Trading",IFERROR(INDEX(ctaTipo,MATCH(E2622,ctaNom,0)),"")&lt;&gt;"Cuenta de trading"),"⚠ Usa la cuenta de trading","✓"))))))))))))</f>
        <v/>
      </c>
      <c r="I2622" s="19">
        <f>IF(OR(B2622="",C2622="",D2622=""),"",IFERROR(INDEX(catTipo,MATCH(D2622,catNom,0))&amp;"",""))</f>
        <v/>
      </c>
      <c r="J2622" s="19">
        <f>IF(I2622="","",IFERROR(INDEX(catGrupo,MATCH(D2622,catNom,0))&amp;"",""))</f>
        <v/>
      </c>
      <c r="K2622" s="19">
        <f>IF(I2622="Gasto",IF(IFERROR(INDEX(catClas,MATCH(D2622,catNom,0))&amp;"","")="","Variable",IFERROR(INDEX(catClas,MATCH(D2622,catNom,0))&amp;"","")),"")</f>
        <v/>
      </c>
      <c r="L2622" s="19">
        <f>IF(I2622="","",IFERROR(INDEX(catAlim,MATCH(D2622,catNom,0))&amp;"",""))</f>
        <v/>
      </c>
      <c r="M2622" s="19">
        <f>IF(I2622="","",IFERROR(INDEX(catComida,MATCH(D2622,catNom,0))&amp;"",""))</f>
        <v/>
      </c>
      <c r="N2622" s="19">
        <f>IF(I2622="","",IFERROR(INDEX(ctaMon,MATCH(E2622,ctaNom,0))&amp;"","DOP"))</f>
        <v/>
      </c>
      <c r="O2622" s="20">
        <f>IF(I2622="","",C2622*IF(N2622="USD",TasaUSD,1))</f>
        <v/>
      </c>
      <c r="P2622" s="20">
        <f>IF(I2622="","",IF(I2622="Gasto",O2622,0))</f>
        <v/>
      </c>
      <c r="Q2622" s="20">
        <f>IF(I2622="","",IF(I2622="Ingreso",O2622,0))</f>
        <v/>
      </c>
      <c r="R2622" s="20">
        <f>IF(I2622="","",IF(I2622="Trading",O2622,0))</f>
        <v/>
      </c>
      <c r="S2622" s="19">
        <f>IF(I2622="","",IF(AND(I2622="Gasto",K2622="Variable",J2622&lt;&gt;"Trading",O2622&gt;0,O2622&lt;=Umbral),1,0))</f>
        <v/>
      </c>
      <c r="T2622" s="20">
        <f>IF(OR(I2622="",E2622=""),"",IF(OR(I2622="Gasto",I2622="Transferencia",I2622="Pago tarjeta"),-1,1)*C2622)</f>
        <v/>
      </c>
      <c r="U2622" s="20">
        <f>IF(OR(G2622="",AND(I2622&lt;&gt;"Transferencia",I2622&lt;&gt;"Pago tarjeta")),"",IF(IFERROR(INDEX(ctaMon,MATCH(G2622,ctaNom,0))&amp;"","DOP")=N2622,C2622,IF(N2622="USD",C2622*TasaUSD,C2622/TasaUSD)))</f>
        <v/>
      </c>
      <c r="V2622" s="20">
        <f>IF(I2622="","",IF(IFERROR(INDEX(ctaLiq,MATCH(E2622,ctaNom,0))="Sí",FALSE),IF(OR(I2622="Gasto",I2622="Transferencia",I2622="Pago tarjeta"),-1,1)*O2622,0)+IF(AND(U2622&lt;&gt;"",IFERROR(INDEX(ctaLiq,MATCH(G2622,ctaNom,0))="Sí",FALSE)),O2622,0))</f>
        <v/>
      </c>
      <c r="W2622" s="19">
        <f>IF(OR(F2622="",I2622=""),"",IF(COUNTIFS(F$6:F2622,F2622,I$6:I2622,"?*")=1,MAX(W$5:W2621)+1,""))</f>
        <v/>
      </c>
    </row>
    <row r="2623">
      <c r="B2623" s="15" t="n"/>
      <c r="C2623" s="16" t="n"/>
      <c r="D2623" s="17" t="n"/>
      <c r="E2623" s="17" t="n"/>
      <c r="F2623" s="17" t="n"/>
      <c r="G2623" s="17" t="n"/>
      <c r="H2623" s="18">
        <f>IF(AND(B2623="",C2623="",D2623="",E2623=""),"",IF(B2623="","⚠ Falta fecha",IF(C2623="","⚠ Falta monto",IF(D2623="","⚠ Falta categoría",IF(ISNA(MATCH(D2623,catNom,0)),"⚠ Categoría no existe",IF(E2623="","⚠ Falta cuenta",IF(ISNA(MATCH(E2623,ctaNom,0)),"⚠ Cuenta no existe",IF(AND(OR(I2623="Transferencia",I2623="Pago tarjeta"),G2623=""),"⚠ Indica la cuenta «Hacia»",IF(AND(G2623&lt;&gt;"",G2623=E2623),"⚠ «Hacia» igual a la cuenta",IF(AND(G2623&lt;&gt;"",ISNA(MATCH(G2623,ctaNom,0))),"⚠ «Hacia» no existe",IF(AND(I2623="Pago tarjeta",IFERROR(INDEX(ctaTipo,MATCH(G2623,ctaNom,0)),"")&lt;&gt;"Tarjeta de crédito"),"⚠ «Hacia» debe ser la tarjeta",IF(AND(I2623="Trading",IFERROR(INDEX(ctaTipo,MATCH(E2623,ctaNom,0)),"")&lt;&gt;"Cuenta de trading"),"⚠ Usa la cuenta de trading","✓"))))))))))))</f>
        <v/>
      </c>
      <c r="I2623" s="19">
        <f>IF(OR(B2623="",C2623="",D2623=""),"",IFERROR(INDEX(catTipo,MATCH(D2623,catNom,0))&amp;"",""))</f>
        <v/>
      </c>
      <c r="J2623" s="19">
        <f>IF(I2623="","",IFERROR(INDEX(catGrupo,MATCH(D2623,catNom,0))&amp;"",""))</f>
        <v/>
      </c>
      <c r="K2623" s="19">
        <f>IF(I2623="Gasto",IF(IFERROR(INDEX(catClas,MATCH(D2623,catNom,0))&amp;"","")="","Variable",IFERROR(INDEX(catClas,MATCH(D2623,catNom,0))&amp;"","")),"")</f>
        <v/>
      </c>
      <c r="L2623" s="19">
        <f>IF(I2623="","",IFERROR(INDEX(catAlim,MATCH(D2623,catNom,0))&amp;"",""))</f>
        <v/>
      </c>
      <c r="M2623" s="19">
        <f>IF(I2623="","",IFERROR(INDEX(catComida,MATCH(D2623,catNom,0))&amp;"",""))</f>
        <v/>
      </c>
      <c r="N2623" s="19">
        <f>IF(I2623="","",IFERROR(INDEX(ctaMon,MATCH(E2623,ctaNom,0))&amp;"","DOP"))</f>
        <v/>
      </c>
      <c r="O2623" s="20">
        <f>IF(I2623="","",C2623*IF(N2623="USD",TasaUSD,1))</f>
        <v/>
      </c>
      <c r="P2623" s="20">
        <f>IF(I2623="","",IF(I2623="Gasto",O2623,0))</f>
        <v/>
      </c>
      <c r="Q2623" s="20">
        <f>IF(I2623="","",IF(I2623="Ingreso",O2623,0))</f>
        <v/>
      </c>
      <c r="R2623" s="20">
        <f>IF(I2623="","",IF(I2623="Trading",O2623,0))</f>
        <v/>
      </c>
      <c r="S2623" s="19">
        <f>IF(I2623="","",IF(AND(I2623="Gasto",K2623="Variable",J2623&lt;&gt;"Trading",O2623&gt;0,O2623&lt;=Umbral),1,0))</f>
        <v/>
      </c>
      <c r="T2623" s="20">
        <f>IF(OR(I2623="",E2623=""),"",IF(OR(I2623="Gasto",I2623="Transferencia",I2623="Pago tarjeta"),-1,1)*C2623)</f>
        <v/>
      </c>
      <c r="U2623" s="20">
        <f>IF(OR(G2623="",AND(I2623&lt;&gt;"Transferencia",I2623&lt;&gt;"Pago tarjeta")),"",IF(IFERROR(INDEX(ctaMon,MATCH(G2623,ctaNom,0))&amp;"","DOP")=N2623,C2623,IF(N2623="USD",C2623*TasaUSD,C2623/TasaUSD)))</f>
        <v/>
      </c>
      <c r="V2623" s="20">
        <f>IF(I2623="","",IF(IFERROR(INDEX(ctaLiq,MATCH(E2623,ctaNom,0))="Sí",FALSE),IF(OR(I2623="Gasto",I2623="Transferencia",I2623="Pago tarjeta"),-1,1)*O2623,0)+IF(AND(U2623&lt;&gt;"",IFERROR(INDEX(ctaLiq,MATCH(G2623,ctaNom,0))="Sí",FALSE)),O2623,0))</f>
        <v/>
      </c>
      <c r="W2623" s="19">
        <f>IF(OR(F2623="",I2623=""),"",IF(COUNTIFS(F$6:F2623,F2623,I$6:I2623,"?*")=1,MAX(W$5:W2622)+1,""))</f>
        <v/>
      </c>
    </row>
    <row r="2624">
      <c r="B2624" s="15" t="n"/>
      <c r="C2624" s="16" t="n"/>
      <c r="D2624" s="17" t="n"/>
      <c r="E2624" s="17" t="n"/>
      <c r="F2624" s="17" t="n"/>
      <c r="G2624" s="17" t="n"/>
      <c r="H2624" s="18">
        <f>IF(AND(B2624="",C2624="",D2624="",E2624=""),"",IF(B2624="","⚠ Falta fecha",IF(C2624="","⚠ Falta monto",IF(D2624="","⚠ Falta categoría",IF(ISNA(MATCH(D2624,catNom,0)),"⚠ Categoría no existe",IF(E2624="","⚠ Falta cuenta",IF(ISNA(MATCH(E2624,ctaNom,0)),"⚠ Cuenta no existe",IF(AND(OR(I2624="Transferencia",I2624="Pago tarjeta"),G2624=""),"⚠ Indica la cuenta «Hacia»",IF(AND(G2624&lt;&gt;"",G2624=E2624),"⚠ «Hacia» igual a la cuenta",IF(AND(G2624&lt;&gt;"",ISNA(MATCH(G2624,ctaNom,0))),"⚠ «Hacia» no existe",IF(AND(I2624="Pago tarjeta",IFERROR(INDEX(ctaTipo,MATCH(G2624,ctaNom,0)),"")&lt;&gt;"Tarjeta de crédito"),"⚠ «Hacia» debe ser la tarjeta",IF(AND(I2624="Trading",IFERROR(INDEX(ctaTipo,MATCH(E2624,ctaNom,0)),"")&lt;&gt;"Cuenta de trading"),"⚠ Usa la cuenta de trading","✓"))))))))))))</f>
        <v/>
      </c>
      <c r="I2624" s="19">
        <f>IF(OR(B2624="",C2624="",D2624=""),"",IFERROR(INDEX(catTipo,MATCH(D2624,catNom,0))&amp;"",""))</f>
        <v/>
      </c>
      <c r="J2624" s="19">
        <f>IF(I2624="","",IFERROR(INDEX(catGrupo,MATCH(D2624,catNom,0))&amp;"",""))</f>
        <v/>
      </c>
      <c r="K2624" s="19">
        <f>IF(I2624="Gasto",IF(IFERROR(INDEX(catClas,MATCH(D2624,catNom,0))&amp;"","")="","Variable",IFERROR(INDEX(catClas,MATCH(D2624,catNom,0))&amp;"","")),"")</f>
        <v/>
      </c>
      <c r="L2624" s="19">
        <f>IF(I2624="","",IFERROR(INDEX(catAlim,MATCH(D2624,catNom,0))&amp;"",""))</f>
        <v/>
      </c>
      <c r="M2624" s="19">
        <f>IF(I2624="","",IFERROR(INDEX(catComida,MATCH(D2624,catNom,0))&amp;"",""))</f>
        <v/>
      </c>
      <c r="N2624" s="19">
        <f>IF(I2624="","",IFERROR(INDEX(ctaMon,MATCH(E2624,ctaNom,0))&amp;"","DOP"))</f>
        <v/>
      </c>
      <c r="O2624" s="20">
        <f>IF(I2624="","",C2624*IF(N2624="USD",TasaUSD,1))</f>
        <v/>
      </c>
      <c r="P2624" s="20">
        <f>IF(I2624="","",IF(I2624="Gasto",O2624,0))</f>
        <v/>
      </c>
      <c r="Q2624" s="20">
        <f>IF(I2624="","",IF(I2624="Ingreso",O2624,0))</f>
        <v/>
      </c>
      <c r="R2624" s="20">
        <f>IF(I2624="","",IF(I2624="Trading",O2624,0))</f>
        <v/>
      </c>
      <c r="S2624" s="19">
        <f>IF(I2624="","",IF(AND(I2624="Gasto",K2624="Variable",J2624&lt;&gt;"Trading",O2624&gt;0,O2624&lt;=Umbral),1,0))</f>
        <v/>
      </c>
      <c r="T2624" s="20">
        <f>IF(OR(I2624="",E2624=""),"",IF(OR(I2624="Gasto",I2624="Transferencia",I2624="Pago tarjeta"),-1,1)*C2624)</f>
        <v/>
      </c>
      <c r="U2624" s="20">
        <f>IF(OR(G2624="",AND(I2624&lt;&gt;"Transferencia",I2624&lt;&gt;"Pago tarjeta")),"",IF(IFERROR(INDEX(ctaMon,MATCH(G2624,ctaNom,0))&amp;"","DOP")=N2624,C2624,IF(N2624="USD",C2624*TasaUSD,C2624/TasaUSD)))</f>
        <v/>
      </c>
      <c r="V2624" s="20">
        <f>IF(I2624="","",IF(IFERROR(INDEX(ctaLiq,MATCH(E2624,ctaNom,0))="Sí",FALSE),IF(OR(I2624="Gasto",I2624="Transferencia",I2624="Pago tarjeta"),-1,1)*O2624,0)+IF(AND(U2624&lt;&gt;"",IFERROR(INDEX(ctaLiq,MATCH(G2624,ctaNom,0))="Sí",FALSE)),O2624,0))</f>
        <v/>
      </c>
      <c r="W2624" s="19">
        <f>IF(OR(F2624="",I2624=""),"",IF(COUNTIFS(F$6:F2624,F2624,I$6:I2624,"?*")=1,MAX(W$5:W2623)+1,""))</f>
        <v/>
      </c>
    </row>
    <row r="2625">
      <c r="B2625" s="15" t="n"/>
      <c r="C2625" s="16" t="n"/>
      <c r="D2625" s="17" t="n"/>
      <c r="E2625" s="17" t="n"/>
      <c r="F2625" s="17" t="n"/>
      <c r="G2625" s="17" t="n"/>
      <c r="H2625" s="18">
        <f>IF(AND(B2625="",C2625="",D2625="",E2625=""),"",IF(B2625="","⚠ Falta fecha",IF(C2625="","⚠ Falta monto",IF(D2625="","⚠ Falta categoría",IF(ISNA(MATCH(D2625,catNom,0)),"⚠ Categoría no existe",IF(E2625="","⚠ Falta cuenta",IF(ISNA(MATCH(E2625,ctaNom,0)),"⚠ Cuenta no existe",IF(AND(OR(I2625="Transferencia",I2625="Pago tarjeta"),G2625=""),"⚠ Indica la cuenta «Hacia»",IF(AND(G2625&lt;&gt;"",G2625=E2625),"⚠ «Hacia» igual a la cuenta",IF(AND(G2625&lt;&gt;"",ISNA(MATCH(G2625,ctaNom,0))),"⚠ «Hacia» no existe",IF(AND(I2625="Pago tarjeta",IFERROR(INDEX(ctaTipo,MATCH(G2625,ctaNom,0)),"")&lt;&gt;"Tarjeta de crédito"),"⚠ «Hacia» debe ser la tarjeta",IF(AND(I2625="Trading",IFERROR(INDEX(ctaTipo,MATCH(E2625,ctaNom,0)),"")&lt;&gt;"Cuenta de trading"),"⚠ Usa la cuenta de trading","✓"))))))))))))</f>
        <v/>
      </c>
      <c r="I2625" s="19">
        <f>IF(OR(B2625="",C2625="",D2625=""),"",IFERROR(INDEX(catTipo,MATCH(D2625,catNom,0))&amp;"",""))</f>
        <v/>
      </c>
      <c r="J2625" s="19">
        <f>IF(I2625="","",IFERROR(INDEX(catGrupo,MATCH(D2625,catNom,0))&amp;"",""))</f>
        <v/>
      </c>
      <c r="K2625" s="19">
        <f>IF(I2625="Gasto",IF(IFERROR(INDEX(catClas,MATCH(D2625,catNom,0))&amp;"","")="","Variable",IFERROR(INDEX(catClas,MATCH(D2625,catNom,0))&amp;"","")),"")</f>
        <v/>
      </c>
      <c r="L2625" s="19">
        <f>IF(I2625="","",IFERROR(INDEX(catAlim,MATCH(D2625,catNom,0))&amp;"",""))</f>
        <v/>
      </c>
      <c r="M2625" s="19">
        <f>IF(I2625="","",IFERROR(INDEX(catComida,MATCH(D2625,catNom,0))&amp;"",""))</f>
        <v/>
      </c>
      <c r="N2625" s="19">
        <f>IF(I2625="","",IFERROR(INDEX(ctaMon,MATCH(E2625,ctaNom,0))&amp;"","DOP"))</f>
        <v/>
      </c>
      <c r="O2625" s="20">
        <f>IF(I2625="","",C2625*IF(N2625="USD",TasaUSD,1))</f>
        <v/>
      </c>
      <c r="P2625" s="20">
        <f>IF(I2625="","",IF(I2625="Gasto",O2625,0))</f>
        <v/>
      </c>
      <c r="Q2625" s="20">
        <f>IF(I2625="","",IF(I2625="Ingreso",O2625,0))</f>
        <v/>
      </c>
      <c r="R2625" s="20">
        <f>IF(I2625="","",IF(I2625="Trading",O2625,0))</f>
        <v/>
      </c>
      <c r="S2625" s="19">
        <f>IF(I2625="","",IF(AND(I2625="Gasto",K2625="Variable",J2625&lt;&gt;"Trading",O2625&gt;0,O2625&lt;=Umbral),1,0))</f>
        <v/>
      </c>
      <c r="T2625" s="20">
        <f>IF(OR(I2625="",E2625=""),"",IF(OR(I2625="Gasto",I2625="Transferencia",I2625="Pago tarjeta"),-1,1)*C2625)</f>
        <v/>
      </c>
      <c r="U2625" s="20">
        <f>IF(OR(G2625="",AND(I2625&lt;&gt;"Transferencia",I2625&lt;&gt;"Pago tarjeta")),"",IF(IFERROR(INDEX(ctaMon,MATCH(G2625,ctaNom,0))&amp;"","DOP")=N2625,C2625,IF(N2625="USD",C2625*TasaUSD,C2625/TasaUSD)))</f>
        <v/>
      </c>
      <c r="V2625" s="20">
        <f>IF(I2625="","",IF(IFERROR(INDEX(ctaLiq,MATCH(E2625,ctaNom,0))="Sí",FALSE),IF(OR(I2625="Gasto",I2625="Transferencia",I2625="Pago tarjeta"),-1,1)*O2625,0)+IF(AND(U2625&lt;&gt;"",IFERROR(INDEX(ctaLiq,MATCH(G2625,ctaNom,0))="Sí",FALSE)),O2625,0))</f>
        <v/>
      </c>
      <c r="W2625" s="19">
        <f>IF(OR(F2625="",I2625=""),"",IF(COUNTIFS(F$6:F2625,F2625,I$6:I2625,"?*")=1,MAX(W$5:W2624)+1,""))</f>
        <v/>
      </c>
    </row>
    <row r="2626">
      <c r="B2626" s="15" t="n"/>
      <c r="C2626" s="16" t="n"/>
      <c r="D2626" s="17" t="n"/>
      <c r="E2626" s="17" t="n"/>
      <c r="F2626" s="17" t="n"/>
      <c r="G2626" s="17" t="n"/>
      <c r="H2626" s="18">
        <f>IF(AND(B2626="",C2626="",D2626="",E2626=""),"",IF(B2626="","⚠ Falta fecha",IF(C2626="","⚠ Falta monto",IF(D2626="","⚠ Falta categoría",IF(ISNA(MATCH(D2626,catNom,0)),"⚠ Categoría no existe",IF(E2626="","⚠ Falta cuenta",IF(ISNA(MATCH(E2626,ctaNom,0)),"⚠ Cuenta no existe",IF(AND(OR(I2626="Transferencia",I2626="Pago tarjeta"),G2626=""),"⚠ Indica la cuenta «Hacia»",IF(AND(G2626&lt;&gt;"",G2626=E2626),"⚠ «Hacia» igual a la cuenta",IF(AND(G2626&lt;&gt;"",ISNA(MATCH(G2626,ctaNom,0))),"⚠ «Hacia» no existe",IF(AND(I2626="Pago tarjeta",IFERROR(INDEX(ctaTipo,MATCH(G2626,ctaNom,0)),"")&lt;&gt;"Tarjeta de crédito"),"⚠ «Hacia» debe ser la tarjeta",IF(AND(I2626="Trading",IFERROR(INDEX(ctaTipo,MATCH(E2626,ctaNom,0)),"")&lt;&gt;"Cuenta de trading"),"⚠ Usa la cuenta de trading","✓"))))))))))))</f>
        <v/>
      </c>
      <c r="I2626" s="19">
        <f>IF(OR(B2626="",C2626="",D2626=""),"",IFERROR(INDEX(catTipo,MATCH(D2626,catNom,0))&amp;"",""))</f>
        <v/>
      </c>
      <c r="J2626" s="19">
        <f>IF(I2626="","",IFERROR(INDEX(catGrupo,MATCH(D2626,catNom,0))&amp;"",""))</f>
        <v/>
      </c>
      <c r="K2626" s="19">
        <f>IF(I2626="Gasto",IF(IFERROR(INDEX(catClas,MATCH(D2626,catNom,0))&amp;"","")="","Variable",IFERROR(INDEX(catClas,MATCH(D2626,catNom,0))&amp;"","")),"")</f>
        <v/>
      </c>
      <c r="L2626" s="19">
        <f>IF(I2626="","",IFERROR(INDEX(catAlim,MATCH(D2626,catNom,0))&amp;"",""))</f>
        <v/>
      </c>
      <c r="M2626" s="19">
        <f>IF(I2626="","",IFERROR(INDEX(catComida,MATCH(D2626,catNom,0))&amp;"",""))</f>
        <v/>
      </c>
      <c r="N2626" s="19">
        <f>IF(I2626="","",IFERROR(INDEX(ctaMon,MATCH(E2626,ctaNom,0))&amp;"","DOP"))</f>
        <v/>
      </c>
      <c r="O2626" s="20">
        <f>IF(I2626="","",C2626*IF(N2626="USD",TasaUSD,1))</f>
        <v/>
      </c>
      <c r="P2626" s="20">
        <f>IF(I2626="","",IF(I2626="Gasto",O2626,0))</f>
        <v/>
      </c>
      <c r="Q2626" s="20">
        <f>IF(I2626="","",IF(I2626="Ingreso",O2626,0))</f>
        <v/>
      </c>
      <c r="R2626" s="20">
        <f>IF(I2626="","",IF(I2626="Trading",O2626,0))</f>
        <v/>
      </c>
      <c r="S2626" s="19">
        <f>IF(I2626="","",IF(AND(I2626="Gasto",K2626="Variable",J2626&lt;&gt;"Trading",O2626&gt;0,O2626&lt;=Umbral),1,0))</f>
        <v/>
      </c>
      <c r="T2626" s="20">
        <f>IF(OR(I2626="",E2626=""),"",IF(OR(I2626="Gasto",I2626="Transferencia",I2626="Pago tarjeta"),-1,1)*C2626)</f>
        <v/>
      </c>
      <c r="U2626" s="20">
        <f>IF(OR(G2626="",AND(I2626&lt;&gt;"Transferencia",I2626&lt;&gt;"Pago tarjeta")),"",IF(IFERROR(INDEX(ctaMon,MATCH(G2626,ctaNom,0))&amp;"","DOP")=N2626,C2626,IF(N2626="USD",C2626*TasaUSD,C2626/TasaUSD)))</f>
        <v/>
      </c>
      <c r="V2626" s="20">
        <f>IF(I2626="","",IF(IFERROR(INDEX(ctaLiq,MATCH(E2626,ctaNom,0))="Sí",FALSE),IF(OR(I2626="Gasto",I2626="Transferencia",I2626="Pago tarjeta"),-1,1)*O2626,0)+IF(AND(U2626&lt;&gt;"",IFERROR(INDEX(ctaLiq,MATCH(G2626,ctaNom,0))="Sí",FALSE)),O2626,0))</f>
        <v/>
      </c>
      <c r="W2626" s="19">
        <f>IF(OR(F2626="",I2626=""),"",IF(COUNTIFS(F$6:F2626,F2626,I$6:I2626,"?*")=1,MAX(W$5:W2625)+1,""))</f>
        <v/>
      </c>
    </row>
    <row r="2627">
      <c r="B2627" s="15" t="n"/>
      <c r="C2627" s="16" t="n"/>
      <c r="D2627" s="17" t="n"/>
      <c r="E2627" s="17" t="n"/>
      <c r="F2627" s="17" t="n"/>
      <c r="G2627" s="17" t="n"/>
      <c r="H2627" s="18">
        <f>IF(AND(B2627="",C2627="",D2627="",E2627=""),"",IF(B2627="","⚠ Falta fecha",IF(C2627="","⚠ Falta monto",IF(D2627="","⚠ Falta categoría",IF(ISNA(MATCH(D2627,catNom,0)),"⚠ Categoría no existe",IF(E2627="","⚠ Falta cuenta",IF(ISNA(MATCH(E2627,ctaNom,0)),"⚠ Cuenta no existe",IF(AND(OR(I2627="Transferencia",I2627="Pago tarjeta"),G2627=""),"⚠ Indica la cuenta «Hacia»",IF(AND(G2627&lt;&gt;"",G2627=E2627),"⚠ «Hacia» igual a la cuenta",IF(AND(G2627&lt;&gt;"",ISNA(MATCH(G2627,ctaNom,0))),"⚠ «Hacia» no existe",IF(AND(I2627="Pago tarjeta",IFERROR(INDEX(ctaTipo,MATCH(G2627,ctaNom,0)),"")&lt;&gt;"Tarjeta de crédito"),"⚠ «Hacia» debe ser la tarjeta",IF(AND(I2627="Trading",IFERROR(INDEX(ctaTipo,MATCH(E2627,ctaNom,0)),"")&lt;&gt;"Cuenta de trading"),"⚠ Usa la cuenta de trading","✓"))))))))))))</f>
        <v/>
      </c>
      <c r="I2627" s="19">
        <f>IF(OR(B2627="",C2627="",D2627=""),"",IFERROR(INDEX(catTipo,MATCH(D2627,catNom,0))&amp;"",""))</f>
        <v/>
      </c>
      <c r="J2627" s="19">
        <f>IF(I2627="","",IFERROR(INDEX(catGrupo,MATCH(D2627,catNom,0))&amp;"",""))</f>
        <v/>
      </c>
      <c r="K2627" s="19">
        <f>IF(I2627="Gasto",IF(IFERROR(INDEX(catClas,MATCH(D2627,catNom,0))&amp;"","")="","Variable",IFERROR(INDEX(catClas,MATCH(D2627,catNom,0))&amp;"","")),"")</f>
        <v/>
      </c>
      <c r="L2627" s="19">
        <f>IF(I2627="","",IFERROR(INDEX(catAlim,MATCH(D2627,catNom,0))&amp;"",""))</f>
        <v/>
      </c>
      <c r="M2627" s="19">
        <f>IF(I2627="","",IFERROR(INDEX(catComida,MATCH(D2627,catNom,0))&amp;"",""))</f>
        <v/>
      </c>
      <c r="N2627" s="19">
        <f>IF(I2627="","",IFERROR(INDEX(ctaMon,MATCH(E2627,ctaNom,0))&amp;"","DOP"))</f>
        <v/>
      </c>
      <c r="O2627" s="20">
        <f>IF(I2627="","",C2627*IF(N2627="USD",TasaUSD,1))</f>
        <v/>
      </c>
      <c r="P2627" s="20">
        <f>IF(I2627="","",IF(I2627="Gasto",O2627,0))</f>
        <v/>
      </c>
      <c r="Q2627" s="20">
        <f>IF(I2627="","",IF(I2627="Ingreso",O2627,0))</f>
        <v/>
      </c>
      <c r="R2627" s="20">
        <f>IF(I2627="","",IF(I2627="Trading",O2627,0))</f>
        <v/>
      </c>
      <c r="S2627" s="19">
        <f>IF(I2627="","",IF(AND(I2627="Gasto",K2627="Variable",J2627&lt;&gt;"Trading",O2627&gt;0,O2627&lt;=Umbral),1,0))</f>
        <v/>
      </c>
      <c r="T2627" s="20">
        <f>IF(OR(I2627="",E2627=""),"",IF(OR(I2627="Gasto",I2627="Transferencia",I2627="Pago tarjeta"),-1,1)*C2627)</f>
        <v/>
      </c>
      <c r="U2627" s="20">
        <f>IF(OR(G2627="",AND(I2627&lt;&gt;"Transferencia",I2627&lt;&gt;"Pago tarjeta")),"",IF(IFERROR(INDEX(ctaMon,MATCH(G2627,ctaNom,0))&amp;"","DOP")=N2627,C2627,IF(N2627="USD",C2627*TasaUSD,C2627/TasaUSD)))</f>
        <v/>
      </c>
      <c r="V2627" s="20">
        <f>IF(I2627="","",IF(IFERROR(INDEX(ctaLiq,MATCH(E2627,ctaNom,0))="Sí",FALSE),IF(OR(I2627="Gasto",I2627="Transferencia",I2627="Pago tarjeta"),-1,1)*O2627,0)+IF(AND(U2627&lt;&gt;"",IFERROR(INDEX(ctaLiq,MATCH(G2627,ctaNom,0))="Sí",FALSE)),O2627,0))</f>
        <v/>
      </c>
      <c r="W2627" s="19">
        <f>IF(OR(F2627="",I2627=""),"",IF(COUNTIFS(F$6:F2627,F2627,I$6:I2627,"?*")=1,MAX(W$5:W2626)+1,""))</f>
        <v/>
      </c>
    </row>
    <row r="2628">
      <c r="B2628" s="15" t="n"/>
      <c r="C2628" s="16" t="n"/>
      <c r="D2628" s="17" t="n"/>
      <c r="E2628" s="17" t="n"/>
      <c r="F2628" s="17" t="n"/>
      <c r="G2628" s="17" t="n"/>
      <c r="H2628" s="18">
        <f>IF(AND(B2628="",C2628="",D2628="",E2628=""),"",IF(B2628="","⚠ Falta fecha",IF(C2628="","⚠ Falta monto",IF(D2628="","⚠ Falta categoría",IF(ISNA(MATCH(D2628,catNom,0)),"⚠ Categoría no existe",IF(E2628="","⚠ Falta cuenta",IF(ISNA(MATCH(E2628,ctaNom,0)),"⚠ Cuenta no existe",IF(AND(OR(I2628="Transferencia",I2628="Pago tarjeta"),G2628=""),"⚠ Indica la cuenta «Hacia»",IF(AND(G2628&lt;&gt;"",G2628=E2628),"⚠ «Hacia» igual a la cuenta",IF(AND(G2628&lt;&gt;"",ISNA(MATCH(G2628,ctaNom,0))),"⚠ «Hacia» no existe",IF(AND(I2628="Pago tarjeta",IFERROR(INDEX(ctaTipo,MATCH(G2628,ctaNom,0)),"")&lt;&gt;"Tarjeta de crédito"),"⚠ «Hacia» debe ser la tarjeta",IF(AND(I2628="Trading",IFERROR(INDEX(ctaTipo,MATCH(E2628,ctaNom,0)),"")&lt;&gt;"Cuenta de trading"),"⚠ Usa la cuenta de trading","✓"))))))))))))</f>
        <v/>
      </c>
      <c r="I2628" s="19">
        <f>IF(OR(B2628="",C2628="",D2628=""),"",IFERROR(INDEX(catTipo,MATCH(D2628,catNom,0))&amp;"",""))</f>
        <v/>
      </c>
      <c r="J2628" s="19">
        <f>IF(I2628="","",IFERROR(INDEX(catGrupo,MATCH(D2628,catNom,0))&amp;"",""))</f>
        <v/>
      </c>
      <c r="K2628" s="19">
        <f>IF(I2628="Gasto",IF(IFERROR(INDEX(catClas,MATCH(D2628,catNom,0))&amp;"","")="","Variable",IFERROR(INDEX(catClas,MATCH(D2628,catNom,0))&amp;"","")),"")</f>
        <v/>
      </c>
      <c r="L2628" s="19">
        <f>IF(I2628="","",IFERROR(INDEX(catAlim,MATCH(D2628,catNom,0))&amp;"",""))</f>
        <v/>
      </c>
      <c r="M2628" s="19">
        <f>IF(I2628="","",IFERROR(INDEX(catComida,MATCH(D2628,catNom,0))&amp;"",""))</f>
        <v/>
      </c>
      <c r="N2628" s="19">
        <f>IF(I2628="","",IFERROR(INDEX(ctaMon,MATCH(E2628,ctaNom,0))&amp;"","DOP"))</f>
        <v/>
      </c>
      <c r="O2628" s="20">
        <f>IF(I2628="","",C2628*IF(N2628="USD",TasaUSD,1))</f>
        <v/>
      </c>
      <c r="P2628" s="20">
        <f>IF(I2628="","",IF(I2628="Gasto",O2628,0))</f>
        <v/>
      </c>
      <c r="Q2628" s="20">
        <f>IF(I2628="","",IF(I2628="Ingreso",O2628,0))</f>
        <v/>
      </c>
      <c r="R2628" s="20">
        <f>IF(I2628="","",IF(I2628="Trading",O2628,0))</f>
        <v/>
      </c>
      <c r="S2628" s="19">
        <f>IF(I2628="","",IF(AND(I2628="Gasto",K2628="Variable",J2628&lt;&gt;"Trading",O2628&gt;0,O2628&lt;=Umbral),1,0))</f>
        <v/>
      </c>
      <c r="T2628" s="20">
        <f>IF(OR(I2628="",E2628=""),"",IF(OR(I2628="Gasto",I2628="Transferencia",I2628="Pago tarjeta"),-1,1)*C2628)</f>
        <v/>
      </c>
      <c r="U2628" s="20">
        <f>IF(OR(G2628="",AND(I2628&lt;&gt;"Transferencia",I2628&lt;&gt;"Pago tarjeta")),"",IF(IFERROR(INDEX(ctaMon,MATCH(G2628,ctaNom,0))&amp;"","DOP")=N2628,C2628,IF(N2628="USD",C2628*TasaUSD,C2628/TasaUSD)))</f>
        <v/>
      </c>
      <c r="V2628" s="20">
        <f>IF(I2628="","",IF(IFERROR(INDEX(ctaLiq,MATCH(E2628,ctaNom,0))="Sí",FALSE),IF(OR(I2628="Gasto",I2628="Transferencia",I2628="Pago tarjeta"),-1,1)*O2628,0)+IF(AND(U2628&lt;&gt;"",IFERROR(INDEX(ctaLiq,MATCH(G2628,ctaNom,0))="Sí",FALSE)),O2628,0))</f>
        <v/>
      </c>
      <c r="W2628" s="19">
        <f>IF(OR(F2628="",I2628=""),"",IF(COUNTIFS(F$6:F2628,F2628,I$6:I2628,"?*")=1,MAX(W$5:W2627)+1,""))</f>
        <v/>
      </c>
    </row>
    <row r="2629">
      <c r="B2629" s="15" t="n"/>
      <c r="C2629" s="16" t="n"/>
      <c r="D2629" s="17" t="n"/>
      <c r="E2629" s="17" t="n"/>
      <c r="F2629" s="17" t="n"/>
      <c r="G2629" s="17" t="n"/>
      <c r="H2629" s="18">
        <f>IF(AND(B2629="",C2629="",D2629="",E2629=""),"",IF(B2629="","⚠ Falta fecha",IF(C2629="","⚠ Falta monto",IF(D2629="","⚠ Falta categoría",IF(ISNA(MATCH(D2629,catNom,0)),"⚠ Categoría no existe",IF(E2629="","⚠ Falta cuenta",IF(ISNA(MATCH(E2629,ctaNom,0)),"⚠ Cuenta no existe",IF(AND(OR(I2629="Transferencia",I2629="Pago tarjeta"),G2629=""),"⚠ Indica la cuenta «Hacia»",IF(AND(G2629&lt;&gt;"",G2629=E2629),"⚠ «Hacia» igual a la cuenta",IF(AND(G2629&lt;&gt;"",ISNA(MATCH(G2629,ctaNom,0))),"⚠ «Hacia» no existe",IF(AND(I2629="Pago tarjeta",IFERROR(INDEX(ctaTipo,MATCH(G2629,ctaNom,0)),"")&lt;&gt;"Tarjeta de crédito"),"⚠ «Hacia» debe ser la tarjeta",IF(AND(I2629="Trading",IFERROR(INDEX(ctaTipo,MATCH(E2629,ctaNom,0)),"")&lt;&gt;"Cuenta de trading"),"⚠ Usa la cuenta de trading","✓"))))))))))))</f>
        <v/>
      </c>
      <c r="I2629" s="19">
        <f>IF(OR(B2629="",C2629="",D2629=""),"",IFERROR(INDEX(catTipo,MATCH(D2629,catNom,0))&amp;"",""))</f>
        <v/>
      </c>
      <c r="J2629" s="19">
        <f>IF(I2629="","",IFERROR(INDEX(catGrupo,MATCH(D2629,catNom,0))&amp;"",""))</f>
        <v/>
      </c>
      <c r="K2629" s="19">
        <f>IF(I2629="Gasto",IF(IFERROR(INDEX(catClas,MATCH(D2629,catNom,0))&amp;"","")="","Variable",IFERROR(INDEX(catClas,MATCH(D2629,catNom,0))&amp;"","")),"")</f>
        <v/>
      </c>
      <c r="L2629" s="19">
        <f>IF(I2629="","",IFERROR(INDEX(catAlim,MATCH(D2629,catNom,0))&amp;"",""))</f>
        <v/>
      </c>
      <c r="M2629" s="19">
        <f>IF(I2629="","",IFERROR(INDEX(catComida,MATCH(D2629,catNom,0))&amp;"",""))</f>
        <v/>
      </c>
      <c r="N2629" s="19">
        <f>IF(I2629="","",IFERROR(INDEX(ctaMon,MATCH(E2629,ctaNom,0))&amp;"","DOP"))</f>
        <v/>
      </c>
      <c r="O2629" s="20">
        <f>IF(I2629="","",C2629*IF(N2629="USD",TasaUSD,1))</f>
        <v/>
      </c>
      <c r="P2629" s="20">
        <f>IF(I2629="","",IF(I2629="Gasto",O2629,0))</f>
        <v/>
      </c>
      <c r="Q2629" s="20">
        <f>IF(I2629="","",IF(I2629="Ingreso",O2629,0))</f>
        <v/>
      </c>
      <c r="R2629" s="20">
        <f>IF(I2629="","",IF(I2629="Trading",O2629,0))</f>
        <v/>
      </c>
      <c r="S2629" s="19">
        <f>IF(I2629="","",IF(AND(I2629="Gasto",K2629="Variable",J2629&lt;&gt;"Trading",O2629&gt;0,O2629&lt;=Umbral),1,0))</f>
        <v/>
      </c>
      <c r="T2629" s="20">
        <f>IF(OR(I2629="",E2629=""),"",IF(OR(I2629="Gasto",I2629="Transferencia",I2629="Pago tarjeta"),-1,1)*C2629)</f>
        <v/>
      </c>
      <c r="U2629" s="20">
        <f>IF(OR(G2629="",AND(I2629&lt;&gt;"Transferencia",I2629&lt;&gt;"Pago tarjeta")),"",IF(IFERROR(INDEX(ctaMon,MATCH(G2629,ctaNom,0))&amp;"","DOP")=N2629,C2629,IF(N2629="USD",C2629*TasaUSD,C2629/TasaUSD)))</f>
        <v/>
      </c>
      <c r="V2629" s="20">
        <f>IF(I2629="","",IF(IFERROR(INDEX(ctaLiq,MATCH(E2629,ctaNom,0))="Sí",FALSE),IF(OR(I2629="Gasto",I2629="Transferencia",I2629="Pago tarjeta"),-1,1)*O2629,0)+IF(AND(U2629&lt;&gt;"",IFERROR(INDEX(ctaLiq,MATCH(G2629,ctaNom,0))="Sí",FALSE)),O2629,0))</f>
        <v/>
      </c>
      <c r="W2629" s="19">
        <f>IF(OR(F2629="",I2629=""),"",IF(COUNTIFS(F$6:F2629,F2629,I$6:I2629,"?*")=1,MAX(W$5:W2628)+1,""))</f>
        <v/>
      </c>
    </row>
    <row r="2630">
      <c r="B2630" s="15" t="n"/>
      <c r="C2630" s="16" t="n"/>
      <c r="D2630" s="17" t="n"/>
      <c r="E2630" s="17" t="n"/>
      <c r="F2630" s="17" t="n"/>
      <c r="G2630" s="17" t="n"/>
      <c r="H2630" s="18">
        <f>IF(AND(B2630="",C2630="",D2630="",E2630=""),"",IF(B2630="","⚠ Falta fecha",IF(C2630="","⚠ Falta monto",IF(D2630="","⚠ Falta categoría",IF(ISNA(MATCH(D2630,catNom,0)),"⚠ Categoría no existe",IF(E2630="","⚠ Falta cuenta",IF(ISNA(MATCH(E2630,ctaNom,0)),"⚠ Cuenta no existe",IF(AND(OR(I2630="Transferencia",I2630="Pago tarjeta"),G2630=""),"⚠ Indica la cuenta «Hacia»",IF(AND(G2630&lt;&gt;"",G2630=E2630),"⚠ «Hacia» igual a la cuenta",IF(AND(G2630&lt;&gt;"",ISNA(MATCH(G2630,ctaNom,0))),"⚠ «Hacia» no existe",IF(AND(I2630="Pago tarjeta",IFERROR(INDEX(ctaTipo,MATCH(G2630,ctaNom,0)),"")&lt;&gt;"Tarjeta de crédito"),"⚠ «Hacia» debe ser la tarjeta",IF(AND(I2630="Trading",IFERROR(INDEX(ctaTipo,MATCH(E2630,ctaNom,0)),"")&lt;&gt;"Cuenta de trading"),"⚠ Usa la cuenta de trading","✓"))))))))))))</f>
        <v/>
      </c>
      <c r="I2630" s="19">
        <f>IF(OR(B2630="",C2630="",D2630=""),"",IFERROR(INDEX(catTipo,MATCH(D2630,catNom,0))&amp;"",""))</f>
        <v/>
      </c>
      <c r="J2630" s="19">
        <f>IF(I2630="","",IFERROR(INDEX(catGrupo,MATCH(D2630,catNom,0))&amp;"",""))</f>
        <v/>
      </c>
      <c r="K2630" s="19">
        <f>IF(I2630="Gasto",IF(IFERROR(INDEX(catClas,MATCH(D2630,catNom,0))&amp;"","")="","Variable",IFERROR(INDEX(catClas,MATCH(D2630,catNom,0))&amp;"","")),"")</f>
        <v/>
      </c>
      <c r="L2630" s="19">
        <f>IF(I2630="","",IFERROR(INDEX(catAlim,MATCH(D2630,catNom,0))&amp;"",""))</f>
        <v/>
      </c>
      <c r="M2630" s="19">
        <f>IF(I2630="","",IFERROR(INDEX(catComida,MATCH(D2630,catNom,0))&amp;"",""))</f>
        <v/>
      </c>
      <c r="N2630" s="19">
        <f>IF(I2630="","",IFERROR(INDEX(ctaMon,MATCH(E2630,ctaNom,0))&amp;"","DOP"))</f>
        <v/>
      </c>
      <c r="O2630" s="20">
        <f>IF(I2630="","",C2630*IF(N2630="USD",TasaUSD,1))</f>
        <v/>
      </c>
      <c r="P2630" s="20">
        <f>IF(I2630="","",IF(I2630="Gasto",O2630,0))</f>
        <v/>
      </c>
      <c r="Q2630" s="20">
        <f>IF(I2630="","",IF(I2630="Ingreso",O2630,0))</f>
        <v/>
      </c>
      <c r="R2630" s="20">
        <f>IF(I2630="","",IF(I2630="Trading",O2630,0))</f>
        <v/>
      </c>
      <c r="S2630" s="19">
        <f>IF(I2630="","",IF(AND(I2630="Gasto",K2630="Variable",J2630&lt;&gt;"Trading",O2630&gt;0,O2630&lt;=Umbral),1,0))</f>
        <v/>
      </c>
      <c r="T2630" s="20">
        <f>IF(OR(I2630="",E2630=""),"",IF(OR(I2630="Gasto",I2630="Transferencia",I2630="Pago tarjeta"),-1,1)*C2630)</f>
        <v/>
      </c>
      <c r="U2630" s="20">
        <f>IF(OR(G2630="",AND(I2630&lt;&gt;"Transferencia",I2630&lt;&gt;"Pago tarjeta")),"",IF(IFERROR(INDEX(ctaMon,MATCH(G2630,ctaNom,0))&amp;"","DOP")=N2630,C2630,IF(N2630="USD",C2630*TasaUSD,C2630/TasaUSD)))</f>
        <v/>
      </c>
      <c r="V2630" s="20">
        <f>IF(I2630="","",IF(IFERROR(INDEX(ctaLiq,MATCH(E2630,ctaNom,0))="Sí",FALSE),IF(OR(I2630="Gasto",I2630="Transferencia",I2630="Pago tarjeta"),-1,1)*O2630,0)+IF(AND(U2630&lt;&gt;"",IFERROR(INDEX(ctaLiq,MATCH(G2630,ctaNom,0))="Sí",FALSE)),O2630,0))</f>
        <v/>
      </c>
      <c r="W2630" s="19">
        <f>IF(OR(F2630="",I2630=""),"",IF(COUNTIFS(F$6:F2630,F2630,I$6:I2630,"?*")=1,MAX(W$5:W2629)+1,""))</f>
        <v/>
      </c>
    </row>
    <row r="2631">
      <c r="B2631" s="15" t="n"/>
      <c r="C2631" s="16" t="n"/>
      <c r="D2631" s="17" t="n"/>
      <c r="E2631" s="17" t="n"/>
      <c r="F2631" s="17" t="n"/>
      <c r="G2631" s="17" t="n"/>
      <c r="H2631" s="18">
        <f>IF(AND(B2631="",C2631="",D2631="",E2631=""),"",IF(B2631="","⚠ Falta fecha",IF(C2631="","⚠ Falta monto",IF(D2631="","⚠ Falta categoría",IF(ISNA(MATCH(D2631,catNom,0)),"⚠ Categoría no existe",IF(E2631="","⚠ Falta cuenta",IF(ISNA(MATCH(E2631,ctaNom,0)),"⚠ Cuenta no existe",IF(AND(OR(I2631="Transferencia",I2631="Pago tarjeta"),G2631=""),"⚠ Indica la cuenta «Hacia»",IF(AND(G2631&lt;&gt;"",G2631=E2631),"⚠ «Hacia» igual a la cuenta",IF(AND(G2631&lt;&gt;"",ISNA(MATCH(G2631,ctaNom,0))),"⚠ «Hacia» no existe",IF(AND(I2631="Pago tarjeta",IFERROR(INDEX(ctaTipo,MATCH(G2631,ctaNom,0)),"")&lt;&gt;"Tarjeta de crédito"),"⚠ «Hacia» debe ser la tarjeta",IF(AND(I2631="Trading",IFERROR(INDEX(ctaTipo,MATCH(E2631,ctaNom,0)),"")&lt;&gt;"Cuenta de trading"),"⚠ Usa la cuenta de trading","✓"))))))))))))</f>
        <v/>
      </c>
      <c r="I2631" s="19">
        <f>IF(OR(B2631="",C2631="",D2631=""),"",IFERROR(INDEX(catTipo,MATCH(D2631,catNom,0))&amp;"",""))</f>
        <v/>
      </c>
      <c r="J2631" s="19">
        <f>IF(I2631="","",IFERROR(INDEX(catGrupo,MATCH(D2631,catNom,0))&amp;"",""))</f>
        <v/>
      </c>
      <c r="K2631" s="19">
        <f>IF(I2631="Gasto",IF(IFERROR(INDEX(catClas,MATCH(D2631,catNom,0))&amp;"","")="","Variable",IFERROR(INDEX(catClas,MATCH(D2631,catNom,0))&amp;"","")),"")</f>
        <v/>
      </c>
      <c r="L2631" s="19">
        <f>IF(I2631="","",IFERROR(INDEX(catAlim,MATCH(D2631,catNom,0))&amp;"",""))</f>
        <v/>
      </c>
      <c r="M2631" s="19">
        <f>IF(I2631="","",IFERROR(INDEX(catComida,MATCH(D2631,catNom,0))&amp;"",""))</f>
        <v/>
      </c>
      <c r="N2631" s="19">
        <f>IF(I2631="","",IFERROR(INDEX(ctaMon,MATCH(E2631,ctaNom,0))&amp;"","DOP"))</f>
        <v/>
      </c>
      <c r="O2631" s="20">
        <f>IF(I2631="","",C2631*IF(N2631="USD",TasaUSD,1))</f>
        <v/>
      </c>
      <c r="P2631" s="20">
        <f>IF(I2631="","",IF(I2631="Gasto",O2631,0))</f>
        <v/>
      </c>
      <c r="Q2631" s="20">
        <f>IF(I2631="","",IF(I2631="Ingreso",O2631,0))</f>
        <v/>
      </c>
      <c r="R2631" s="20">
        <f>IF(I2631="","",IF(I2631="Trading",O2631,0))</f>
        <v/>
      </c>
      <c r="S2631" s="19">
        <f>IF(I2631="","",IF(AND(I2631="Gasto",K2631="Variable",J2631&lt;&gt;"Trading",O2631&gt;0,O2631&lt;=Umbral),1,0))</f>
        <v/>
      </c>
      <c r="T2631" s="20">
        <f>IF(OR(I2631="",E2631=""),"",IF(OR(I2631="Gasto",I2631="Transferencia",I2631="Pago tarjeta"),-1,1)*C2631)</f>
        <v/>
      </c>
      <c r="U2631" s="20">
        <f>IF(OR(G2631="",AND(I2631&lt;&gt;"Transferencia",I2631&lt;&gt;"Pago tarjeta")),"",IF(IFERROR(INDEX(ctaMon,MATCH(G2631,ctaNom,0))&amp;"","DOP")=N2631,C2631,IF(N2631="USD",C2631*TasaUSD,C2631/TasaUSD)))</f>
        <v/>
      </c>
      <c r="V2631" s="20">
        <f>IF(I2631="","",IF(IFERROR(INDEX(ctaLiq,MATCH(E2631,ctaNom,0))="Sí",FALSE),IF(OR(I2631="Gasto",I2631="Transferencia",I2631="Pago tarjeta"),-1,1)*O2631,0)+IF(AND(U2631&lt;&gt;"",IFERROR(INDEX(ctaLiq,MATCH(G2631,ctaNom,0))="Sí",FALSE)),O2631,0))</f>
        <v/>
      </c>
      <c r="W2631" s="19">
        <f>IF(OR(F2631="",I2631=""),"",IF(COUNTIFS(F$6:F2631,F2631,I$6:I2631,"?*")=1,MAX(W$5:W2630)+1,""))</f>
        <v/>
      </c>
    </row>
    <row r="2632">
      <c r="B2632" s="15" t="n"/>
      <c r="C2632" s="16" t="n"/>
      <c r="D2632" s="17" t="n"/>
      <c r="E2632" s="17" t="n"/>
      <c r="F2632" s="17" t="n"/>
      <c r="G2632" s="17" t="n"/>
      <c r="H2632" s="18">
        <f>IF(AND(B2632="",C2632="",D2632="",E2632=""),"",IF(B2632="","⚠ Falta fecha",IF(C2632="","⚠ Falta monto",IF(D2632="","⚠ Falta categoría",IF(ISNA(MATCH(D2632,catNom,0)),"⚠ Categoría no existe",IF(E2632="","⚠ Falta cuenta",IF(ISNA(MATCH(E2632,ctaNom,0)),"⚠ Cuenta no existe",IF(AND(OR(I2632="Transferencia",I2632="Pago tarjeta"),G2632=""),"⚠ Indica la cuenta «Hacia»",IF(AND(G2632&lt;&gt;"",G2632=E2632),"⚠ «Hacia» igual a la cuenta",IF(AND(G2632&lt;&gt;"",ISNA(MATCH(G2632,ctaNom,0))),"⚠ «Hacia» no existe",IF(AND(I2632="Pago tarjeta",IFERROR(INDEX(ctaTipo,MATCH(G2632,ctaNom,0)),"")&lt;&gt;"Tarjeta de crédito"),"⚠ «Hacia» debe ser la tarjeta",IF(AND(I2632="Trading",IFERROR(INDEX(ctaTipo,MATCH(E2632,ctaNom,0)),"")&lt;&gt;"Cuenta de trading"),"⚠ Usa la cuenta de trading","✓"))))))))))))</f>
        <v/>
      </c>
      <c r="I2632" s="19">
        <f>IF(OR(B2632="",C2632="",D2632=""),"",IFERROR(INDEX(catTipo,MATCH(D2632,catNom,0))&amp;"",""))</f>
        <v/>
      </c>
      <c r="J2632" s="19">
        <f>IF(I2632="","",IFERROR(INDEX(catGrupo,MATCH(D2632,catNom,0))&amp;"",""))</f>
        <v/>
      </c>
      <c r="K2632" s="19">
        <f>IF(I2632="Gasto",IF(IFERROR(INDEX(catClas,MATCH(D2632,catNom,0))&amp;"","")="","Variable",IFERROR(INDEX(catClas,MATCH(D2632,catNom,0))&amp;"","")),"")</f>
        <v/>
      </c>
      <c r="L2632" s="19">
        <f>IF(I2632="","",IFERROR(INDEX(catAlim,MATCH(D2632,catNom,0))&amp;"",""))</f>
        <v/>
      </c>
      <c r="M2632" s="19">
        <f>IF(I2632="","",IFERROR(INDEX(catComida,MATCH(D2632,catNom,0))&amp;"",""))</f>
        <v/>
      </c>
      <c r="N2632" s="19">
        <f>IF(I2632="","",IFERROR(INDEX(ctaMon,MATCH(E2632,ctaNom,0))&amp;"","DOP"))</f>
        <v/>
      </c>
      <c r="O2632" s="20">
        <f>IF(I2632="","",C2632*IF(N2632="USD",TasaUSD,1))</f>
        <v/>
      </c>
      <c r="P2632" s="20">
        <f>IF(I2632="","",IF(I2632="Gasto",O2632,0))</f>
        <v/>
      </c>
      <c r="Q2632" s="20">
        <f>IF(I2632="","",IF(I2632="Ingreso",O2632,0))</f>
        <v/>
      </c>
      <c r="R2632" s="20">
        <f>IF(I2632="","",IF(I2632="Trading",O2632,0))</f>
        <v/>
      </c>
      <c r="S2632" s="19">
        <f>IF(I2632="","",IF(AND(I2632="Gasto",K2632="Variable",J2632&lt;&gt;"Trading",O2632&gt;0,O2632&lt;=Umbral),1,0))</f>
        <v/>
      </c>
      <c r="T2632" s="20">
        <f>IF(OR(I2632="",E2632=""),"",IF(OR(I2632="Gasto",I2632="Transferencia",I2632="Pago tarjeta"),-1,1)*C2632)</f>
        <v/>
      </c>
      <c r="U2632" s="20">
        <f>IF(OR(G2632="",AND(I2632&lt;&gt;"Transferencia",I2632&lt;&gt;"Pago tarjeta")),"",IF(IFERROR(INDEX(ctaMon,MATCH(G2632,ctaNom,0))&amp;"","DOP")=N2632,C2632,IF(N2632="USD",C2632*TasaUSD,C2632/TasaUSD)))</f>
        <v/>
      </c>
      <c r="V2632" s="20">
        <f>IF(I2632="","",IF(IFERROR(INDEX(ctaLiq,MATCH(E2632,ctaNom,0))="Sí",FALSE),IF(OR(I2632="Gasto",I2632="Transferencia",I2632="Pago tarjeta"),-1,1)*O2632,0)+IF(AND(U2632&lt;&gt;"",IFERROR(INDEX(ctaLiq,MATCH(G2632,ctaNom,0))="Sí",FALSE)),O2632,0))</f>
        <v/>
      </c>
      <c r="W2632" s="19">
        <f>IF(OR(F2632="",I2632=""),"",IF(COUNTIFS(F$6:F2632,F2632,I$6:I2632,"?*")=1,MAX(W$5:W2631)+1,""))</f>
        <v/>
      </c>
    </row>
    <row r="2633">
      <c r="B2633" s="15" t="n"/>
      <c r="C2633" s="16" t="n"/>
      <c r="D2633" s="17" t="n"/>
      <c r="E2633" s="17" t="n"/>
      <c r="F2633" s="17" t="n"/>
      <c r="G2633" s="17" t="n"/>
      <c r="H2633" s="18">
        <f>IF(AND(B2633="",C2633="",D2633="",E2633=""),"",IF(B2633="","⚠ Falta fecha",IF(C2633="","⚠ Falta monto",IF(D2633="","⚠ Falta categoría",IF(ISNA(MATCH(D2633,catNom,0)),"⚠ Categoría no existe",IF(E2633="","⚠ Falta cuenta",IF(ISNA(MATCH(E2633,ctaNom,0)),"⚠ Cuenta no existe",IF(AND(OR(I2633="Transferencia",I2633="Pago tarjeta"),G2633=""),"⚠ Indica la cuenta «Hacia»",IF(AND(G2633&lt;&gt;"",G2633=E2633),"⚠ «Hacia» igual a la cuenta",IF(AND(G2633&lt;&gt;"",ISNA(MATCH(G2633,ctaNom,0))),"⚠ «Hacia» no existe",IF(AND(I2633="Pago tarjeta",IFERROR(INDEX(ctaTipo,MATCH(G2633,ctaNom,0)),"")&lt;&gt;"Tarjeta de crédito"),"⚠ «Hacia» debe ser la tarjeta",IF(AND(I2633="Trading",IFERROR(INDEX(ctaTipo,MATCH(E2633,ctaNom,0)),"")&lt;&gt;"Cuenta de trading"),"⚠ Usa la cuenta de trading","✓"))))))))))))</f>
        <v/>
      </c>
      <c r="I2633" s="19">
        <f>IF(OR(B2633="",C2633="",D2633=""),"",IFERROR(INDEX(catTipo,MATCH(D2633,catNom,0))&amp;"",""))</f>
        <v/>
      </c>
      <c r="J2633" s="19">
        <f>IF(I2633="","",IFERROR(INDEX(catGrupo,MATCH(D2633,catNom,0))&amp;"",""))</f>
        <v/>
      </c>
      <c r="K2633" s="19">
        <f>IF(I2633="Gasto",IF(IFERROR(INDEX(catClas,MATCH(D2633,catNom,0))&amp;"","")="","Variable",IFERROR(INDEX(catClas,MATCH(D2633,catNom,0))&amp;"","")),"")</f>
        <v/>
      </c>
      <c r="L2633" s="19">
        <f>IF(I2633="","",IFERROR(INDEX(catAlim,MATCH(D2633,catNom,0))&amp;"",""))</f>
        <v/>
      </c>
      <c r="M2633" s="19">
        <f>IF(I2633="","",IFERROR(INDEX(catComida,MATCH(D2633,catNom,0))&amp;"",""))</f>
        <v/>
      </c>
      <c r="N2633" s="19">
        <f>IF(I2633="","",IFERROR(INDEX(ctaMon,MATCH(E2633,ctaNom,0))&amp;"","DOP"))</f>
        <v/>
      </c>
      <c r="O2633" s="20">
        <f>IF(I2633="","",C2633*IF(N2633="USD",TasaUSD,1))</f>
        <v/>
      </c>
      <c r="P2633" s="20">
        <f>IF(I2633="","",IF(I2633="Gasto",O2633,0))</f>
        <v/>
      </c>
      <c r="Q2633" s="20">
        <f>IF(I2633="","",IF(I2633="Ingreso",O2633,0))</f>
        <v/>
      </c>
      <c r="R2633" s="20">
        <f>IF(I2633="","",IF(I2633="Trading",O2633,0))</f>
        <v/>
      </c>
      <c r="S2633" s="19">
        <f>IF(I2633="","",IF(AND(I2633="Gasto",K2633="Variable",J2633&lt;&gt;"Trading",O2633&gt;0,O2633&lt;=Umbral),1,0))</f>
        <v/>
      </c>
      <c r="T2633" s="20">
        <f>IF(OR(I2633="",E2633=""),"",IF(OR(I2633="Gasto",I2633="Transferencia",I2633="Pago tarjeta"),-1,1)*C2633)</f>
        <v/>
      </c>
      <c r="U2633" s="20">
        <f>IF(OR(G2633="",AND(I2633&lt;&gt;"Transferencia",I2633&lt;&gt;"Pago tarjeta")),"",IF(IFERROR(INDEX(ctaMon,MATCH(G2633,ctaNom,0))&amp;"","DOP")=N2633,C2633,IF(N2633="USD",C2633*TasaUSD,C2633/TasaUSD)))</f>
        <v/>
      </c>
      <c r="V2633" s="20">
        <f>IF(I2633="","",IF(IFERROR(INDEX(ctaLiq,MATCH(E2633,ctaNom,0))="Sí",FALSE),IF(OR(I2633="Gasto",I2633="Transferencia",I2633="Pago tarjeta"),-1,1)*O2633,0)+IF(AND(U2633&lt;&gt;"",IFERROR(INDEX(ctaLiq,MATCH(G2633,ctaNom,0))="Sí",FALSE)),O2633,0))</f>
        <v/>
      </c>
      <c r="W2633" s="19">
        <f>IF(OR(F2633="",I2633=""),"",IF(COUNTIFS(F$6:F2633,F2633,I$6:I2633,"?*")=1,MAX(W$5:W2632)+1,""))</f>
        <v/>
      </c>
    </row>
    <row r="2634">
      <c r="B2634" s="15" t="n"/>
      <c r="C2634" s="16" t="n"/>
      <c r="D2634" s="17" t="n"/>
      <c r="E2634" s="17" t="n"/>
      <c r="F2634" s="17" t="n"/>
      <c r="G2634" s="17" t="n"/>
      <c r="H2634" s="18">
        <f>IF(AND(B2634="",C2634="",D2634="",E2634=""),"",IF(B2634="","⚠ Falta fecha",IF(C2634="","⚠ Falta monto",IF(D2634="","⚠ Falta categoría",IF(ISNA(MATCH(D2634,catNom,0)),"⚠ Categoría no existe",IF(E2634="","⚠ Falta cuenta",IF(ISNA(MATCH(E2634,ctaNom,0)),"⚠ Cuenta no existe",IF(AND(OR(I2634="Transferencia",I2634="Pago tarjeta"),G2634=""),"⚠ Indica la cuenta «Hacia»",IF(AND(G2634&lt;&gt;"",G2634=E2634),"⚠ «Hacia» igual a la cuenta",IF(AND(G2634&lt;&gt;"",ISNA(MATCH(G2634,ctaNom,0))),"⚠ «Hacia» no existe",IF(AND(I2634="Pago tarjeta",IFERROR(INDEX(ctaTipo,MATCH(G2634,ctaNom,0)),"")&lt;&gt;"Tarjeta de crédito"),"⚠ «Hacia» debe ser la tarjeta",IF(AND(I2634="Trading",IFERROR(INDEX(ctaTipo,MATCH(E2634,ctaNom,0)),"")&lt;&gt;"Cuenta de trading"),"⚠ Usa la cuenta de trading","✓"))))))))))))</f>
        <v/>
      </c>
      <c r="I2634" s="19">
        <f>IF(OR(B2634="",C2634="",D2634=""),"",IFERROR(INDEX(catTipo,MATCH(D2634,catNom,0))&amp;"",""))</f>
        <v/>
      </c>
      <c r="J2634" s="19">
        <f>IF(I2634="","",IFERROR(INDEX(catGrupo,MATCH(D2634,catNom,0))&amp;"",""))</f>
        <v/>
      </c>
      <c r="K2634" s="19">
        <f>IF(I2634="Gasto",IF(IFERROR(INDEX(catClas,MATCH(D2634,catNom,0))&amp;"","")="","Variable",IFERROR(INDEX(catClas,MATCH(D2634,catNom,0))&amp;"","")),"")</f>
        <v/>
      </c>
      <c r="L2634" s="19">
        <f>IF(I2634="","",IFERROR(INDEX(catAlim,MATCH(D2634,catNom,0))&amp;"",""))</f>
        <v/>
      </c>
      <c r="M2634" s="19">
        <f>IF(I2634="","",IFERROR(INDEX(catComida,MATCH(D2634,catNom,0))&amp;"",""))</f>
        <v/>
      </c>
      <c r="N2634" s="19">
        <f>IF(I2634="","",IFERROR(INDEX(ctaMon,MATCH(E2634,ctaNom,0))&amp;"","DOP"))</f>
        <v/>
      </c>
      <c r="O2634" s="20">
        <f>IF(I2634="","",C2634*IF(N2634="USD",TasaUSD,1))</f>
        <v/>
      </c>
      <c r="P2634" s="20">
        <f>IF(I2634="","",IF(I2634="Gasto",O2634,0))</f>
        <v/>
      </c>
      <c r="Q2634" s="20">
        <f>IF(I2634="","",IF(I2634="Ingreso",O2634,0))</f>
        <v/>
      </c>
      <c r="R2634" s="20">
        <f>IF(I2634="","",IF(I2634="Trading",O2634,0))</f>
        <v/>
      </c>
      <c r="S2634" s="19">
        <f>IF(I2634="","",IF(AND(I2634="Gasto",K2634="Variable",J2634&lt;&gt;"Trading",O2634&gt;0,O2634&lt;=Umbral),1,0))</f>
        <v/>
      </c>
      <c r="T2634" s="20">
        <f>IF(OR(I2634="",E2634=""),"",IF(OR(I2634="Gasto",I2634="Transferencia",I2634="Pago tarjeta"),-1,1)*C2634)</f>
        <v/>
      </c>
      <c r="U2634" s="20">
        <f>IF(OR(G2634="",AND(I2634&lt;&gt;"Transferencia",I2634&lt;&gt;"Pago tarjeta")),"",IF(IFERROR(INDEX(ctaMon,MATCH(G2634,ctaNom,0))&amp;"","DOP")=N2634,C2634,IF(N2634="USD",C2634*TasaUSD,C2634/TasaUSD)))</f>
        <v/>
      </c>
      <c r="V2634" s="20">
        <f>IF(I2634="","",IF(IFERROR(INDEX(ctaLiq,MATCH(E2634,ctaNom,0))="Sí",FALSE),IF(OR(I2634="Gasto",I2634="Transferencia",I2634="Pago tarjeta"),-1,1)*O2634,0)+IF(AND(U2634&lt;&gt;"",IFERROR(INDEX(ctaLiq,MATCH(G2634,ctaNom,0))="Sí",FALSE)),O2634,0))</f>
        <v/>
      </c>
      <c r="W2634" s="19">
        <f>IF(OR(F2634="",I2634=""),"",IF(COUNTIFS(F$6:F2634,F2634,I$6:I2634,"?*")=1,MAX(W$5:W2633)+1,""))</f>
        <v/>
      </c>
    </row>
    <row r="2635">
      <c r="B2635" s="15" t="n"/>
      <c r="C2635" s="16" t="n"/>
      <c r="D2635" s="17" t="n"/>
      <c r="E2635" s="17" t="n"/>
      <c r="F2635" s="17" t="n"/>
      <c r="G2635" s="17" t="n"/>
      <c r="H2635" s="18">
        <f>IF(AND(B2635="",C2635="",D2635="",E2635=""),"",IF(B2635="","⚠ Falta fecha",IF(C2635="","⚠ Falta monto",IF(D2635="","⚠ Falta categoría",IF(ISNA(MATCH(D2635,catNom,0)),"⚠ Categoría no existe",IF(E2635="","⚠ Falta cuenta",IF(ISNA(MATCH(E2635,ctaNom,0)),"⚠ Cuenta no existe",IF(AND(OR(I2635="Transferencia",I2635="Pago tarjeta"),G2635=""),"⚠ Indica la cuenta «Hacia»",IF(AND(G2635&lt;&gt;"",G2635=E2635),"⚠ «Hacia» igual a la cuenta",IF(AND(G2635&lt;&gt;"",ISNA(MATCH(G2635,ctaNom,0))),"⚠ «Hacia» no existe",IF(AND(I2635="Pago tarjeta",IFERROR(INDEX(ctaTipo,MATCH(G2635,ctaNom,0)),"")&lt;&gt;"Tarjeta de crédito"),"⚠ «Hacia» debe ser la tarjeta",IF(AND(I2635="Trading",IFERROR(INDEX(ctaTipo,MATCH(E2635,ctaNom,0)),"")&lt;&gt;"Cuenta de trading"),"⚠ Usa la cuenta de trading","✓"))))))))))))</f>
        <v/>
      </c>
      <c r="I2635" s="19">
        <f>IF(OR(B2635="",C2635="",D2635=""),"",IFERROR(INDEX(catTipo,MATCH(D2635,catNom,0))&amp;"",""))</f>
        <v/>
      </c>
      <c r="J2635" s="19">
        <f>IF(I2635="","",IFERROR(INDEX(catGrupo,MATCH(D2635,catNom,0))&amp;"",""))</f>
        <v/>
      </c>
      <c r="K2635" s="19">
        <f>IF(I2635="Gasto",IF(IFERROR(INDEX(catClas,MATCH(D2635,catNom,0))&amp;"","")="","Variable",IFERROR(INDEX(catClas,MATCH(D2635,catNom,0))&amp;"","")),"")</f>
        <v/>
      </c>
      <c r="L2635" s="19">
        <f>IF(I2635="","",IFERROR(INDEX(catAlim,MATCH(D2635,catNom,0))&amp;"",""))</f>
        <v/>
      </c>
      <c r="M2635" s="19">
        <f>IF(I2635="","",IFERROR(INDEX(catComida,MATCH(D2635,catNom,0))&amp;"",""))</f>
        <v/>
      </c>
      <c r="N2635" s="19">
        <f>IF(I2635="","",IFERROR(INDEX(ctaMon,MATCH(E2635,ctaNom,0))&amp;"","DOP"))</f>
        <v/>
      </c>
      <c r="O2635" s="20">
        <f>IF(I2635="","",C2635*IF(N2635="USD",TasaUSD,1))</f>
        <v/>
      </c>
      <c r="P2635" s="20">
        <f>IF(I2635="","",IF(I2635="Gasto",O2635,0))</f>
        <v/>
      </c>
      <c r="Q2635" s="20">
        <f>IF(I2635="","",IF(I2635="Ingreso",O2635,0))</f>
        <v/>
      </c>
      <c r="R2635" s="20">
        <f>IF(I2635="","",IF(I2635="Trading",O2635,0))</f>
        <v/>
      </c>
      <c r="S2635" s="19">
        <f>IF(I2635="","",IF(AND(I2635="Gasto",K2635="Variable",J2635&lt;&gt;"Trading",O2635&gt;0,O2635&lt;=Umbral),1,0))</f>
        <v/>
      </c>
      <c r="T2635" s="20">
        <f>IF(OR(I2635="",E2635=""),"",IF(OR(I2635="Gasto",I2635="Transferencia",I2635="Pago tarjeta"),-1,1)*C2635)</f>
        <v/>
      </c>
      <c r="U2635" s="20">
        <f>IF(OR(G2635="",AND(I2635&lt;&gt;"Transferencia",I2635&lt;&gt;"Pago tarjeta")),"",IF(IFERROR(INDEX(ctaMon,MATCH(G2635,ctaNom,0))&amp;"","DOP")=N2635,C2635,IF(N2635="USD",C2635*TasaUSD,C2635/TasaUSD)))</f>
        <v/>
      </c>
      <c r="V2635" s="20">
        <f>IF(I2635="","",IF(IFERROR(INDEX(ctaLiq,MATCH(E2635,ctaNom,0))="Sí",FALSE),IF(OR(I2635="Gasto",I2635="Transferencia",I2635="Pago tarjeta"),-1,1)*O2635,0)+IF(AND(U2635&lt;&gt;"",IFERROR(INDEX(ctaLiq,MATCH(G2635,ctaNom,0))="Sí",FALSE)),O2635,0))</f>
        <v/>
      </c>
      <c r="W2635" s="19">
        <f>IF(OR(F2635="",I2635=""),"",IF(COUNTIFS(F$6:F2635,F2635,I$6:I2635,"?*")=1,MAX(W$5:W2634)+1,""))</f>
        <v/>
      </c>
    </row>
    <row r="2636">
      <c r="B2636" s="15" t="n"/>
      <c r="C2636" s="16" t="n"/>
      <c r="D2636" s="17" t="n"/>
      <c r="E2636" s="17" t="n"/>
      <c r="F2636" s="17" t="n"/>
      <c r="G2636" s="17" t="n"/>
      <c r="H2636" s="18">
        <f>IF(AND(B2636="",C2636="",D2636="",E2636=""),"",IF(B2636="","⚠ Falta fecha",IF(C2636="","⚠ Falta monto",IF(D2636="","⚠ Falta categoría",IF(ISNA(MATCH(D2636,catNom,0)),"⚠ Categoría no existe",IF(E2636="","⚠ Falta cuenta",IF(ISNA(MATCH(E2636,ctaNom,0)),"⚠ Cuenta no existe",IF(AND(OR(I2636="Transferencia",I2636="Pago tarjeta"),G2636=""),"⚠ Indica la cuenta «Hacia»",IF(AND(G2636&lt;&gt;"",G2636=E2636),"⚠ «Hacia» igual a la cuenta",IF(AND(G2636&lt;&gt;"",ISNA(MATCH(G2636,ctaNom,0))),"⚠ «Hacia» no existe",IF(AND(I2636="Pago tarjeta",IFERROR(INDEX(ctaTipo,MATCH(G2636,ctaNom,0)),"")&lt;&gt;"Tarjeta de crédito"),"⚠ «Hacia» debe ser la tarjeta",IF(AND(I2636="Trading",IFERROR(INDEX(ctaTipo,MATCH(E2636,ctaNom,0)),"")&lt;&gt;"Cuenta de trading"),"⚠ Usa la cuenta de trading","✓"))))))))))))</f>
        <v/>
      </c>
      <c r="I2636" s="19">
        <f>IF(OR(B2636="",C2636="",D2636=""),"",IFERROR(INDEX(catTipo,MATCH(D2636,catNom,0))&amp;"",""))</f>
        <v/>
      </c>
      <c r="J2636" s="19">
        <f>IF(I2636="","",IFERROR(INDEX(catGrupo,MATCH(D2636,catNom,0))&amp;"",""))</f>
        <v/>
      </c>
      <c r="K2636" s="19">
        <f>IF(I2636="Gasto",IF(IFERROR(INDEX(catClas,MATCH(D2636,catNom,0))&amp;"","")="","Variable",IFERROR(INDEX(catClas,MATCH(D2636,catNom,0))&amp;"","")),"")</f>
        <v/>
      </c>
      <c r="L2636" s="19">
        <f>IF(I2636="","",IFERROR(INDEX(catAlim,MATCH(D2636,catNom,0))&amp;"",""))</f>
        <v/>
      </c>
      <c r="M2636" s="19">
        <f>IF(I2636="","",IFERROR(INDEX(catComida,MATCH(D2636,catNom,0))&amp;"",""))</f>
        <v/>
      </c>
      <c r="N2636" s="19">
        <f>IF(I2636="","",IFERROR(INDEX(ctaMon,MATCH(E2636,ctaNom,0))&amp;"","DOP"))</f>
        <v/>
      </c>
      <c r="O2636" s="20">
        <f>IF(I2636="","",C2636*IF(N2636="USD",TasaUSD,1))</f>
        <v/>
      </c>
      <c r="P2636" s="20">
        <f>IF(I2636="","",IF(I2636="Gasto",O2636,0))</f>
        <v/>
      </c>
      <c r="Q2636" s="20">
        <f>IF(I2636="","",IF(I2636="Ingreso",O2636,0))</f>
        <v/>
      </c>
      <c r="R2636" s="20">
        <f>IF(I2636="","",IF(I2636="Trading",O2636,0))</f>
        <v/>
      </c>
      <c r="S2636" s="19">
        <f>IF(I2636="","",IF(AND(I2636="Gasto",K2636="Variable",J2636&lt;&gt;"Trading",O2636&gt;0,O2636&lt;=Umbral),1,0))</f>
        <v/>
      </c>
      <c r="T2636" s="20">
        <f>IF(OR(I2636="",E2636=""),"",IF(OR(I2636="Gasto",I2636="Transferencia",I2636="Pago tarjeta"),-1,1)*C2636)</f>
        <v/>
      </c>
      <c r="U2636" s="20">
        <f>IF(OR(G2636="",AND(I2636&lt;&gt;"Transferencia",I2636&lt;&gt;"Pago tarjeta")),"",IF(IFERROR(INDEX(ctaMon,MATCH(G2636,ctaNom,0))&amp;"","DOP")=N2636,C2636,IF(N2636="USD",C2636*TasaUSD,C2636/TasaUSD)))</f>
        <v/>
      </c>
      <c r="V2636" s="20">
        <f>IF(I2636="","",IF(IFERROR(INDEX(ctaLiq,MATCH(E2636,ctaNom,0))="Sí",FALSE),IF(OR(I2636="Gasto",I2636="Transferencia",I2636="Pago tarjeta"),-1,1)*O2636,0)+IF(AND(U2636&lt;&gt;"",IFERROR(INDEX(ctaLiq,MATCH(G2636,ctaNom,0))="Sí",FALSE)),O2636,0))</f>
        <v/>
      </c>
      <c r="W2636" s="19">
        <f>IF(OR(F2636="",I2636=""),"",IF(COUNTIFS(F$6:F2636,F2636,I$6:I2636,"?*")=1,MAX(W$5:W2635)+1,""))</f>
        <v/>
      </c>
    </row>
    <row r="2637">
      <c r="B2637" s="15" t="n"/>
      <c r="C2637" s="16" t="n"/>
      <c r="D2637" s="17" t="n"/>
      <c r="E2637" s="17" t="n"/>
      <c r="F2637" s="17" t="n"/>
      <c r="G2637" s="17" t="n"/>
      <c r="H2637" s="18">
        <f>IF(AND(B2637="",C2637="",D2637="",E2637=""),"",IF(B2637="","⚠ Falta fecha",IF(C2637="","⚠ Falta monto",IF(D2637="","⚠ Falta categoría",IF(ISNA(MATCH(D2637,catNom,0)),"⚠ Categoría no existe",IF(E2637="","⚠ Falta cuenta",IF(ISNA(MATCH(E2637,ctaNom,0)),"⚠ Cuenta no existe",IF(AND(OR(I2637="Transferencia",I2637="Pago tarjeta"),G2637=""),"⚠ Indica la cuenta «Hacia»",IF(AND(G2637&lt;&gt;"",G2637=E2637),"⚠ «Hacia» igual a la cuenta",IF(AND(G2637&lt;&gt;"",ISNA(MATCH(G2637,ctaNom,0))),"⚠ «Hacia» no existe",IF(AND(I2637="Pago tarjeta",IFERROR(INDEX(ctaTipo,MATCH(G2637,ctaNom,0)),"")&lt;&gt;"Tarjeta de crédito"),"⚠ «Hacia» debe ser la tarjeta",IF(AND(I2637="Trading",IFERROR(INDEX(ctaTipo,MATCH(E2637,ctaNom,0)),"")&lt;&gt;"Cuenta de trading"),"⚠ Usa la cuenta de trading","✓"))))))))))))</f>
        <v/>
      </c>
      <c r="I2637" s="19">
        <f>IF(OR(B2637="",C2637="",D2637=""),"",IFERROR(INDEX(catTipo,MATCH(D2637,catNom,0))&amp;"",""))</f>
        <v/>
      </c>
      <c r="J2637" s="19">
        <f>IF(I2637="","",IFERROR(INDEX(catGrupo,MATCH(D2637,catNom,0))&amp;"",""))</f>
        <v/>
      </c>
      <c r="K2637" s="19">
        <f>IF(I2637="Gasto",IF(IFERROR(INDEX(catClas,MATCH(D2637,catNom,0))&amp;"","")="","Variable",IFERROR(INDEX(catClas,MATCH(D2637,catNom,0))&amp;"","")),"")</f>
        <v/>
      </c>
      <c r="L2637" s="19">
        <f>IF(I2637="","",IFERROR(INDEX(catAlim,MATCH(D2637,catNom,0))&amp;"",""))</f>
        <v/>
      </c>
      <c r="M2637" s="19">
        <f>IF(I2637="","",IFERROR(INDEX(catComida,MATCH(D2637,catNom,0))&amp;"",""))</f>
        <v/>
      </c>
      <c r="N2637" s="19">
        <f>IF(I2637="","",IFERROR(INDEX(ctaMon,MATCH(E2637,ctaNom,0))&amp;"","DOP"))</f>
        <v/>
      </c>
      <c r="O2637" s="20">
        <f>IF(I2637="","",C2637*IF(N2637="USD",TasaUSD,1))</f>
        <v/>
      </c>
      <c r="P2637" s="20">
        <f>IF(I2637="","",IF(I2637="Gasto",O2637,0))</f>
        <v/>
      </c>
      <c r="Q2637" s="20">
        <f>IF(I2637="","",IF(I2637="Ingreso",O2637,0))</f>
        <v/>
      </c>
      <c r="R2637" s="20">
        <f>IF(I2637="","",IF(I2637="Trading",O2637,0))</f>
        <v/>
      </c>
      <c r="S2637" s="19">
        <f>IF(I2637="","",IF(AND(I2637="Gasto",K2637="Variable",J2637&lt;&gt;"Trading",O2637&gt;0,O2637&lt;=Umbral),1,0))</f>
        <v/>
      </c>
      <c r="T2637" s="20">
        <f>IF(OR(I2637="",E2637=""),"",IF(OR(I2637="Gasto",I2637="Transferencia",I2637="Pago tarjeta"),-1,1)*C2637)</f>
        <v/>
      </c>
      <c r="U2637" s="20">
        <f>IF(OR(G2637="",AND(I2637&lt;&gt;"Transferencia",I2637&lt;&gt;"Pago tarjeta")),"",IF(IFERROR(INDEX(ctaMon,MATCH(G2637,ctaNom,0))&amp;"","DOP")=N2637,C2637,IF(N2637="USD",C2637*TasaUSD,C2637/TasaUSD)))</f>
        <v/>
      </c>
      <c r="V2637" s="20">
        <f>IF(I2637="","",IF(IFERROR(INDEX(ctaLiq,MATCH(E2637,ctaNom,0))="Sí",FALSE),IF(OR(I2637="Gasto",I2637="Transferencia",I2637="Pago tarjeta"),-1,1)*O2637,0)+IF(AND(U2637&lt;&gt;"",IFERROR(INDEX(ctaLiq,MATCH(G2637,ctaNom,0))="Sí",FALSE)),O2637,0))</f>
        <v/>
      </c>
      <c r="W2637" s="19">
        <f>IF(OR(F2637="",I2637=""),"",IF(COUNTIFS(F$6:F2637,F2637,I$6:I2637,"?*")=1,MAX(W$5:W2636)+1,""))</f>
        <v/>
      </c>
    </row>
    <row r="2638">
      <c r="B2638" s="15" t="n"/>
      <c r="C2638" s="16" t="n"/>
      <c r="D2638" s="17" t="n"/>
      <c r="E2638" s="17" t="n"/>
      <c r="F2638" s="17" t="n"/>
      <c r="G2638" s="17" t="n"/>
      <c r="H2638" s="18">
        <f>IF(AND(B2638="",C2638="",D2638="",E2638=""),"",IF(B2638="","⚠ Falta fecha",IF(C2638="","⚠ Falta monto",IF(D2638="","⚠ Falta categoría",IF(ISNA(MATCH(D2638,catNom,0)),"⚠ Categoría no existe",IF(E2638="","⚠ Falta cuenta",IF(ISNA(MATCH(E2638,ctaNom,0)),"⚠ Cuenta no existe",IF(AND(OR(I2638="Transferencia",I2638="Pago tarjeta"),G2638=""),"⚠ Indica la cuenta «Hacia»",IF(AND(G2638&lt;&gt;"",G2638=E2638),"⚠ «Hacia» igual a la cuenta",IF(AND(G2638&lt;&gt;"",ISNA(MATCH(G2638,ctaNom,0))),"⚠ «Hacia» no existe",IF(AND(I2638="Pago tarjeta",IFERROR(INDEX(ctaTipo,MATCH(G2638,ctaNom,0)),"")&lt;&gt;"Tarjeta de crédito"),"⚠ «Hacia» debe ser la tarjeta",IF(AND(I2638="Trading",IFERROR(INDEX(ctaTipo,MATCH(E2638,ctaNom,0)),"")&lt;&gt;"Cuenta de trading"),"⚠ Usa la cuenta de trading","✓"))))))))))))</f>
        <v/>
      </c>
      <c r="I2638" s="19">
        <f>IF(OR(B2638="",C2638="",D2638=""),"",IFERROR(INDEX(catTipo,MATCH(D2638,catNom,0))&amp;"",""))</f>
        <v/>
      </c>
      <c r="J2638" s="19">
        <f>IF(I2638="","",IFERROR(INDEX(catGrupo,MATCH(D2638,catNom,0))&amp;"",""))</f>
        <v/>
      </c>
      <c r="K2638" s="19">
        <f>IF(I2638="Gasto",IF(IFERROR(INDEX(catClas,MATCH(D2638,catNom,0))&amp;"","")="","Variable",IFERROR(INDEX(catClas,MATCH(D2638,catNom,0))&amp;"","")),"")</f>
        <v/>
      </c>
      <c r="L2638" s="19">
        <f>IF(I2638="","",IFERROR(INDEX(catAlim,MATCH(D2638,catNom,0))&amp;"",""))</f>
        <v/>
      </c>
      <c r="M2638" s="19">
        <f>IF(I2638="","",IFERROR(INDEX(catComida,MATCH(D2638,catNom,0))&amp;"",""))</f>
        <v/>
      </c>
      <c r="N2638" s="19">
        <f>IF(I2638="","",IFERROR(INDEX(ctaMon,MATCH(E2638,ctaNom,0))&amp;"","DOP"))</f>
        <v/>
      </c>
      <c r="O2638" s="20">
        <f>IF(I2638="","",C2638*IF(N2638="USD",TasaUSD,1))</f>
        <v/>
      </c>
      <c r="P2638" s="20">
        <f>IF(I2638="","",IF(I2638="Gasto",O2638,0))</f>
        <v/>
      </c>
      <c r="Q2638" s="20">
        <f>IF(I2638="","",IF(I2638="Ingreso",O2638,0))</f>
        <v/>
      </c>
      <c r="R2638" s="20">
        <f>IF(I2638="","",IF(I2638="Trading",O2638,0))</f>
        <v/>
      </c>
      <c r="S2638" s="19">
        <f>IF(I2638="","",IF(AND(I2638="Gasto",K2638="Variable",J2638&lt;&gt;"Trading",O2638&gt;0,O2638&lt;=Umbral),1,0))</f>
        <v/>
      </c>
      <c r="T2638" s="20">
        <f>IF(OR(I2638="",E2638=""),"",IF(OR(I2638="Gasto",I2638="Transferencia",I2638="Pago tarjeta"),-1,1)*C2638)</f>
        <v/>
      </c>
      <c r="U2638" s="20">
        <f>IF(OR(G2638="",AND(I2638&lt;&gt;"Transferencia",I2638&lt;&gt;"Pago tarjeta")),"",IF(IFERROR(INDEX(ctaMon,MATCH(G2638,ctaNom,0))&amp;"","DOP")=N2638,C2638,IF(N2638="USD",C2638*TasaUSD,C2638/TasaUSD)))</f>
        <v/>
      </c>
      <c r="V2638" s="20">
        <f>IF(I2638="","",IF(IFERROR(INDEX(ctaLiq,MATCH(E2638,ctaNom,0))="Sí",FALSE),IF(OR(I2638="Gasto",I2638="Transferencia",I2638="Pago tarjeta"),-1,1)*O2638,0)+IF(AND(U2638&lt;&gt;"",IFERROR(INDEX(ctaLiq,MATCH(G2638,ctaNom,0))="Sí",FALSE)),O2638,0))</f>
        <v/>
      </c>
      <c r="W2638" s="19">
        <f>IF(OR(F2638="",I2638=""),"",IF(COUNTIFS(F$6:F2638,F2638,I$6:I2638,"?*")=1,MAX(W$5:W2637)+1,""))</f>
        <v/>
      </c>
    </row>
    <row r="2639">
      <c r="B2639" s="15" t="n"/>
      <c r="C2639" s="16" t="n"/>
      <c r="D2639" s="17" t="n"/>
      <c r="E2639" s="17" t="n"/>
      <c r="F2639" s="17" t="n"/>
      <c r="G2639" s="17" t="n"/>
      <c r="H2639" s="18">
        <f>IF(AND(B2639="",C2639="",D2639="",E2639=""),"",IF(B2639="","⚠ Falta fecha",IF(C2639="","⚠ Falta monto",IF(D2639="","⚠ Falta categoría",IF(ISNA(MATCH(D2639,catNom,0)),"⚠ Categoría no existe",IF(E2639="","⚠ Falta cuenta",IF(ISNA(MATCH(E2639,ctaNom,0)),"⚠ Cuenta no existe",IF(AND(OR(I2639="Transferencia",I2639="Pago tarjeta"),G2639=""),"⚠ Indica la cuenta «Hacia»",IF(AND(G2639&lt;&gt;"",G2639=E2639),"⚠ «Hacia» igual a la cuenta",IF(AND(G2639&lt;&gt;"",ISNA(MATCH(G2639,ctaNom,0))),"⚠ «Hacia» no existe",IF(AND(I2639="Pago tarjeta",IFERROR(INDEX(ctaTipo,MATCH(G2639,ctaNom,0)),"")&lt;&gt;"Tarjeta de crédito"),"⚠ «Hacia» debe ser la tarjeta",IF(AND(I2639="Trading",IFERROR(INDEX(ctaTipo,MATCH(E2639,ctaNom,0)),"")&lt;&gt;"Cuenta de trading"),"⚠ Usa la cuenta de trading","✓"))))))))))))</f>
        <v/>
      </c>
      <c r="I2639" s="19">
        <f>IF(OR(B2639="",C2639="",D2639=""),"",IFERROR(INDEX(catTipo,MATCH(D2639,catNom,0))&amp;"",""))</f>
        <v/>
      </c>
      <c r="J2639" s="19">
        <f>IF(I2639="","",IFERROR(INDEX(catGrupo,MATCH(D2639,catNom,0))&amp;"",""))</f>
        <v/>
      </c>
      <c r="K2639" s="19">
        <f>IF(I2639="Gasto",IF(IFERROR(INDEX(catClas,MATCH(D2639,catNom,0))&amp;"","")="","Variable",IFERROR(INDEX(catClas,MATCH(D2639,catNom,0))&amp;"","")),"")</f>
        <v/>
      </c>
      <c r="L2639" s="19">
        <f>IF(I2639="","",IFERROR(INDEX(catAlim,MATCH(D2639,catNom,0))&amp;"",""))</f>
        <v/>
      </c>
      <c r="M2639" s="19">
        <f>IF(I2639="","",IFERROR(INDEX(catComida,MATCH(D2639,catNom,0))&amp;"",""))</f>
        <v/>
      </c>
      <c r="N2639" s="19">
        <f>IF(I2639="","",IFERROR(INDEX(ctaMon,MATCH(E2639,ctaNom,0))&amp;"","DOP"))</f>
        <v/>
      </c>
      <c r="O2639" s="20">
        <f>IF(I2639="","",C2639*IF(N2639="USD",TasaUSD,1))</f>
        <v/>
      </c>
      <c r="P2639" s="20">
        <f>IF(I2639="","",IF(I2639="Gasto",O2639,0))</f>
        <v/>
      </c>
      <c r="Q2639" s="20">
        <f>IF(I2639="","",IF(I2639="Ingreso",O2639,0))</f>
        <v/>
      </c>
      <c r="R2639" s="20">
        <f>IF(I2639="","",IF(I2639="Trading",O2639,0))</f>
        <v/>
      </c>
      <c r="S2639" s="19">
        <f>IF(I2639="","",IF(AND(I2639="Gasto",K2639="Variable",J2639&lt;&gt;"Trading",O2639&gt;0,O2639&lt;=Umbral),1,0))</f>
        <v/>
      </c>
      <c r="T2639" s="20">
        <f>IF(OR(I2639="",E2639=""),"",IF(OR(I2639="Gasto",I2639="Transferencia",I2639="Pago tarjeta"),-1,1)*C2639)</f>
        <v/>
      </c>
      <c r="U2639" s="20">
        <f>IF(OR(G2639="",AND(I2639&lt;&gt;"Transferencia",I2639&lt;&gt;"Pago tarjeta")),"",IF(IFERROR(INDEX(ctaMon,MATCH(G2639,ctaNom,0))&amp;"","DOP")=N2639,C2639,IF(N2639="USD",C2639*TasaUSD,C2639/TasaUSD)))</f>
        <v/>
      </c>
      <c r="V2639" s="20">
        <f>IF(I2639="","",IF(IFERROR(INDEX(ctaLiq,MATCH(E2639,ctaNom,0))="Sí",FALSE),IF(OR(I2639="Gasto",I2639="Transferencia",I2639="Pago tarjeta"),-1,1)*O2639,0)+IF(AND(U2639&lt;&gt;"",IFERROR(INDEX(ctaLiq,MATCH(G2639,ctaNom,0))="Sí",FALSE)),O2639,0))</f>
        <v/>
      </c>
      <c r="W2639" s="19">
        <f>IF(OR(F2639="",I2639=""),"",IF(COUNTIFS(F$6:F2639,F2639,I$6:I2639,"?*")=1,MAX(W$5:W2638)+1,""))</f>
        <v/>
      </c>
    </row>
    <row r="2640">
      <c r="B2640" s="15" t="n"/>
      <c r="C2640" s="16" t="n"/>
      <c r="D2640" s="17" t="n"/>
      <c r="E2640" s="17" t="n"/>
      <c r="F2640" s="17" t="n"/>
      <c r="G2640" s="17" t="n"/>
      <c r="H2640" s="18">
        <f>IF(AND(B2640="",C2640="",D2640="",E2640=""),"",IF(B2640="","⚠ Falta fecha",IF(C2640="","⚠ Falta monto",IF(D2640="","⚠ Falta categoría",IF(ISNA(MATCH(D2640,catNom,0)),"⚠ Categoría no existe",IF(E2640="","⚠ Falta cuenta",IF(ISNA(MATCH(E2640,ctaNom,0)),"⚠ Cuenta no existe",IF(AND(OR(I2640="Transferencia",I2640="Pago tarjeta"),G2640=""),"⚠ Indica la cuenta «Hacia»",IF(AND(G2640&lt;&gt;"",G2640=E2640),"⚠ «Hacia» igual a la cuenta",IF(AND(G2640&lt;&gt;"",ISNA(MATCH(G2640,ctaNom,0))),"⚠ «Hacia» no existe",IF(AND(I2640="Pago tarjeta",IFERROR(INDEX(ctaTipo,MATCH(G2640,ctaNom,0)),"")&lt;&gt;"Tarjeta de crédito"),"⚠ «Hacia» debe ser la tarjeta",IF(AND(I2640="Trading",IFERROR(INDEX(ctaTipo,MATCH(E2640,ctaNom,0)),"")&lt;&gt;"Cuenta de trading"),"⚠ Usa la cuenta de trading","✓"))))))))))))</f>
        <v/>
      </c>
      <c r="I2640" s="19">
        <f>IF(OR(B2640="",C2640="",D2640=""),"",IFERROR(INDEX(catTipo,MATCH(D2640,catNom,0))&amp;"",""))</f>
        <v/>
      </c>
      <c r="J2640" s="19">
        <f>IF(I2640="","",IFERROR(INDEX(catGrupo,MATCH(D2640,catNom,0))&amp;"",""))</f>
        <v/>
      </c>
      <c r="K2640" s="19">
        <f>IF(I2640="Gasto",IF(IFERROR(INDEX(catClas,MATCH(D2640,catNom,0))&amp;"","")="","Variable",IFERROR(INDEX(catClas,MATCH(D2640,catNom,0))&amp;"","")),"")</f>
        <v/>
      </c>
      <c r="L2640" s="19">
        <f>IF(I2640="","",IFERROR(INDEX(catAlim,MATCH(D2640,catNom,0))&amp;"",""))</f>
        <v/>
      </c>
      <c r="M2640" s="19">
        <f>IF(I2640="","",IFERROR(INDEX(catComida,MATCH(D2640,catNom,0))&amp;"",""))</f>
        <v/>
      </c>
      <c r="N2640" s="19">
        <f>IF(I2640="","",IFERROR(INDEX(ctaMon,MATCH(E2640,ctaNom,0))&amp;"","DOP"))</f>
        <v/>
      </c>
      <c r="O2640" s="20">
        <f>IF(I2640="","",C2640*IF(N2640="USD",TasaUSD,1))</f>
        <v/>
      </c>
      <c r="P2640" s="20">
        <f>IF(I2640="","",IF(I2640="Gasto",O2640,0))</f>
        <v/>
      </c>
      <c r="Q2640" s="20">
        <f>IF(I2640="","",IF(I2640="Ingreso",O2640,0))</f>
        <v/>
      </c>
      <c r="R2640" s="20">
        <f>IF(I2640="","",IF(I2640="Trading",O2640,0))</f>
        <v/>
      </c>
      <c r="S2640" s="19">
        <f>IF(I2640="","",IF(AND(I2640="Gasto",K2640="Variable",J2640&lt;&gt;"Trading",O2640&gt;0,O2640&lt;=Umbral),1,0))</f>
        <v/>
      </c>
      <c r="T2640" s="20">
        <f>IF(OR(I2640="",E2640=""),"",IF(OR(I2640="Gasto",I2640="Transferencia",I2640="Pago tarjeta"),-1,1)*C2640)</f>
        <v/>
      </c>
      <c r="U2640" s="20">
        <f>IF(OR(G2640="",AND(I2640&lt;&gt;"Transferencia",I2640&lt;&gt;"Pago tarjeta")),"",IF(IFERROR(INDEX(ctaMon,MATCH(G2640,ctaNom,0))&amp;"","DOP")=N2640,C2640,IF(N2640="USD",C2640*TasaUSD,C2640/TasaUSD)))</f>
        <v/>
      </c>
      <c r="V2640" s="20">
        <f>IF(I2640="","",IF(IFERROR(INDEX(ctaLiq,MATCH(E2640,ctaNom,0))="Sí",FALSE),IF(OR(I2640="Gasto",I2640="Transferencia",I2640="Pago tarjeta"),-1,1)*O2640,0)+IF(AND(U2640&lt;&gt;"",IFERROR(INDEX(ctaLiq,MATCH(G2640,ctaNom,0))="Sí",FALSE)),O2640,0))</f>
        <v/>
      </c>
      <c r="W2640" s="19">
        <f>IF(OR(F2640="",I2640=""),"",IF(COUNTIFS(F$6:F2640,F2640,I$6:I2640,"?*")=1,MAX(W$5:W2639)+1,""))</f>
        <v/>
      </c>
    </row>
    <row r="2641">
      <c r="B2641" s="15" t="n"/>
      <c r="C2641" s="16" t="n"/>
      <c r="D2641" s="17" t="n"/>
      <c r="E2641" s="17" t="n"/>
      <c r="F2641" s="17" t="n"/>
      <c r="G2641" s="17" t="n"/>
      <c r="H2641" s="18">
        <f>IF(AND(B2641="",C2641="",D2641="",E2641=""),"",IF(B2641="","⚠ Falta fecha",IF(C2641="","⚠ Falta monto",IF(D2641="","⚠ Falta categoría",IF(ISNA(MATCH(D2641,catNom,0)),"⚠ Categoría no existe",IF(E2641="","⚠ Falta cuenta",IF(ISNA(MATCH(E2641,ctaNom,0)),"⚠ Cuenta no existe",IF(AND(OR(I2641="Transferencia",I2641="Pago tarjeta"),G2641=""),"⚠ Indica la cuenta «Hacia»",IF(AND(G2641&lt;&gt;"",G2641=E2641),"⚠ «Hacia» igual a la cuenta",IF(AND(G2641&lt;&gt;"",ISNA(MATCH(G2641,ctaNom,0))),"⚠ «Hacia» no existe",IF(AND(I2641="Pago tarjeta",IFERROR(INDEX(ctaTipo,MATCH(G2641,ctaNom,0)),"")&lt;&gt;"Tarjeta de crédito"),"⚠ «Hacia» debe ser la tarjeta",IF(AND(I2641="Trading",IFERROR(INDEX(ctaTipo,MATCH(E2641,ctaNom,0)),"")&lt;&gt;"Cuenta de trading"),"⚠ Usa la cuenta de trading","✓"))))))))))))</f>
        <v/>
      </c>
      <c r="I2641" s="19">
        <f>IF(OR(B2641="",C2641="",D2641=""),"",IFERROR(INDEX(catTipo,MATCH(D2641,catNom,0))&amp;"",""))</f>
        <v/>
      </c>
      <c r="J2641" s="19">
        <f>IF(I2641="","",IFERROR(INDEX(catGrupo,MATCH(D2641,catNom,0))&amp;"",""))</f>
        <v/>
      </c>
      <c r="K2641" s="19">
        <f>IF(I2641="Gasto",IF(IFERROR(INDEX(catClas,MATCH(D2641,catNom,0))&amp;"","")="","Variable",IFERROR(INDEX(catClas,MATCH(D2641,catNom,0))&amp;"","")),"")</f>
        <v/>
      </c>
      <c r="L2641" s="19">
        <f>IF(I2641="","",IFERROR(INDEX(catAlim,MATCH(D2641,catNom,0))&amp;"",""))</f>
        <v/>
      </c>
      <c r="M2641" s="19">
        <f>IF(I2641="","",IFERROR(INDEX(catComida,MATCH(D2641,catNom,0))&amp;"",""))</f>
        <v/>
      </c>
      <c r="N2641" s="19">
        <f>IF(I2641="","",IFERROR(INDEX(ctaMon,MATCH(E2641,ctaNom,0))&amp;"","DOP"))</f>
        <v/>
      </c>
      <c r="O2641" s="20">
        <f>IF(I2641="","",C2641*IF(N2641="USD",TasaUSD,1))</f>
        <v/>
      </c>
      <c r="P2641" s="20">
        <f>IF(I2641="","",IF(I2641="Gasto",O2641,0))</f>
        <v/>
      </c>
      <c r="Q2641" s="20">
        <f>IF(I2641="","",IF(I2641="Ingreso",O2641,0))</f>
        <v/>
      </c>
      <c r="R2641" s="20">
        <f>IF(I2641="","",IF(I2641="Trading",O2641,0))</f>
        <v/>
      </c>
      <c r="S2641" s="19">
        <f>IF(I2641="","",IF(AND(I2641="Gasto",K2641="Variable",J2641&lt;&gt;"Trading",O2641&gt;0,O2641&lt;=Umbral),1,0))</f>
        <v/>
      </c>
      <c r="T2641" s="20">
        <f>IF(OR(I2641="",E2641=""),"",IF(OR(I2641="Gasto",I2641="Transferencia",I2641="Pago tarjeta"),-1,1)*C2641)</f>
        <v/>
      </c>
      <c r="U2641" s="20">
        <f>IF(OR(G2641="",AND(I2641&lt;&gt;"Transferencia",I2641&lt;&gt;"Pago tarjeta")),"",IF(IFERROR(INDEX(ctaMon,MATCH(G2641,ctaNom,0))&amp;"","DOP")=N2641,C2641,IF(N2641="USD",C2641*TasaUSD,C2641/TasaUSD)))</f>
        <v/>
      </c>
      <c r="V2641" s="20">
        <f>IF(I2641="","",IF(IFERROR(INDEX(ctaLiq,MATCH(E2641,ctaNom,0))="Sí",FALSE),IF(OR(I2641="Gasto",I2641="Transferencia",I2641="Pago tarjeta"),-1,1)*O2641,0)+IF(AND(U2641&lt;&gt;"",IFERROR(INDEX(ctaLiq,MATCH(G2641,ctaNom,0))="Sí",FALSE)),O2641,0))</f>
        <v/>
      </c>
      <c r="W2641" s="19">
        <f>IF(OR(F2641="",I2641=""),"",IF(COUNTIFS(F$6:F2641,F2641,I$6:I2641,"?*")=1,MAX(W$5:W2640)+1,""))</f>
        <v/>
      </c>
    </row>
    <row r="2642">
      <c r="B2642" s="15" t="n"/>
      <c r="C2642" s="16" t="n"/>
      <c r="D2642" s="17" t="n"/>
      <c r="E2642" s="17" t="n"/>
      <c r="F2642" s="17" t="n"/>
      <c r="G2642" s="17" t="n"/>
      <c r="H2642" s="18">
        <f>IF(AND(B2642="",C2642="",D2642="",E2642=""),"",IF(B2642="","⚠ Falta fecha",IF(C2642="","⚠ Falta monto",IF(D2642="","⚠ Falta categoría",IF(ISNA(MATCH(D2642,catNom,0)),"⚠ Categoría no existe",IF(E2642="","⚠ Falta cuenta",IF(ISNA(MATCH(E2642,ctaNom,0)),"⚠ Cuenta no existe",IF(AND(OR(I2642="Transferencia",I2642="Pago tarjeta"),G2642=""),"⚠ Indica la cuenta «Hacia»",IF(AND(G2642&lt;&gt;"",G2642=E2642),"⚠ «Hacia» igual a la cuenta",IF(AND(G2642&lt;&gt;"",ISNA(MATCH(G2642,ctaNom,0))),"⚠ «Hacia» no existe",IF(AND(I2642="Pago tarjeta",IFERROR(INDEX(ctaTipo,MATCH(G2642,ctaNom,0)),"")&lt;&gt;"Tarjeta de crédito"),"⚠ «Hacia» debe ser la tarjeta",IF(AND(I2642="Trading",IFERROR(INDEX(ctaTipo,MATCH(E2642,ctaNom,0)),"")&lt;&gt;"Cuenta de trading"),"⚠ Usa la cuenta de trading","✓"))))))))))))</f>
        <v/>
      </c>
      <c r="I2642" s="19">
        <f>IF(OR(B2642="",C2642="",D2642=""),"",IFERROR(INDEX(catTipo,MATCH(D2642,catNom,0))&amp;"",""))</f>
        <v/>
      </c>
      <c r="J2642" s="19">
        <f>IF(I2642="","",IFERROR(INDEX(catGrupo,MATCH(D2642,catNom,0))&amp;"",""))</f>
        <v/>
      </c>
      <c r="K2642" s="19">
        <f>IF(I2642="Gasto",IF(IFERROR(INDEX(catClas,MATCH(D2642,catNom,0))&amp;"","")="","Variable",IFERROR(INDEX(catClas,MATCH(D2642,catNom,0))&amp;"","")),"")</f>
        <v/>
      </c>
      <c r="L2642" s="19">
        <f>IF(I2642="","",IFERROR(INDEX(catAlim,MATCH(D2642,catNom,0))&amp;"",""))</f>
        <v/>
      </c>
      <c r="M2642" s="19">
        <f>IF(I2642="","",IFERROR(INDEX(catComida,MATCH(D2642,catNom,0))&amp;"",""))</f>
        <v/>
      </c>
      <c r="N2642" s="19">
        <f>IF(I2642="","",IFERROR(INDEX(ctaMon,MATCH(E2642,ctaNom,0))&amp;"","DOP"))</f>
        <v/>
      </c>
      <c r="O2642" s="20">
        <f>IF(I2642="","",C2642*IF(N2642="USD",TasaUSD,1))</f>
        <v/>
      </c>
      <c r="P2642" s="20">
        <f>IF(I2642="","",IF(I2642="Gasto",O2642,0))</f>
        <v/>
      </c>
      <c r="Q2642" s="20">
        <f>IF(I2642="","",IF(I2642="Ingreso",O2642,0))</f>
        <v/>
      </c>
      <c r="R2642" s="20">
        <f>IF(I2642="","",IF(I2642="Trading",O2642,0))</f>
        <v/>
      </c>
      <c r="S2642" s="19">
        <f>IF(I2642="","",IF(AND(I2642="Gasto",K2642="Variable",J2642&lt;&gt;"Trading",O2642&gt;0,O2642&lt;=Umbral),1,0))</f>
        <v/>
      </c>
      <c r="T2642" s="20">
        <f>IF(OR(I2642="",E2642=""),"",IF(OR(I2642="Gasto",I2642="Transferencia",I2642="Pago tarjeta"),-1,1)*C2642)</f>
        <v/>
      </c>
      <c r="U2642" s="20">
        <f>IF(OR(G2642="",AND(I2642&lt;&gt;"Transferencia",I2642&lt;&gt;"Pago tarjeta")),"",IF(IFERROR(INDEX(ctaMon,MATCH(G2642,ctaNom,0))&amp;"","DOP")=N2642,C2642,IF(N2642="USD",C2642*TasaUSD,C2642/TasaUSD)))</f>
        <v/>
      </c>
      <c r="V2642" s="20">
        <f>IF(I2642="","",IF(IFERROR(INDEX(ctaLiq,MATCH(E2642,ctaNom,0))="Sí",FALSE),IF(OR(I2642="Gasto",I2642="Transferencia",I2642="Pago tarjeta"),-1,1)*O2642,0)+IF(AND(U2642&lt;&gt;"",IFERROR(INDEX(ctaLiq,MATCH(G2642,ctaNom,0))="Sí",FALSE)),O2642,0))</f>
        <v/>
      </c>
      <c r="W2642" s="19">
        <f>IF(OR(F2642="",I2642=""),"",IF(COUNTIFS(F$6:F2642,F2642,I$6:I2642,"?*")=1,MAX(W$5:W2641)+1,""))</f>
        <v/>
      </c>
    </row>
    <row r="2643">
      <c r="B2643" s="15" t="n"/>
      <c r="C2643" s="16" t="n"/>
      <c r="D2643" s="17" t="n"/>
      <c r="E2643" s="17" t="n"/>
      <c r="F2643" s="17" t="n"/>
      <c r="G2643" s="17" t="n"/>
      <c r="H2643" s="18">
        <f>IF(AND(B2643="",C2643="",D2643="",E2643=""),"",IF(B2643="","⚠ Falta fecha",IF(C2643="","⚠ Falta monto",IF(D2643="","⚠ Falta categoría",IF(ISNA(MATCH(D2643,catNom,0)),"⚠ Categoría no existe",IF(E2643="","⚠ Falta cuenta",IF(ISNA(MATCH(E2643,ctaNom,0)),"⚠ Cuenta no existe",IF(AND(OR(I2643="Transferencia",I2643="Pago tarjeta"),G2643=""),"⚠ Indica la cuenta «Hacia»",IF(AND(G2643&lt;&gt;"",G2643=E2643),"⚠ «Hacia» igual a la cuenta",IF(AND(G2643&lt;&gt;"",ISNA(MATCH(G2643,ctaNom,0))),"⚠ «Hacia» no existe",IF(AND(I2643="Pago tarjeta",IFERROR(INDEX(ctaTipo,MATCH(G2643,ctaNom,0)),"")&lt;&gt;"Tarjeta de crédito"),"⚠ «Hacia» debe ser la tarjeta",IF(AND(I2643="Trading",IFERROR(INDEX(ctaTipo,MATCH(E2643,ctaNom,0)),"")&lt;&gt;"Cuenta de trading"),"⚠ Usa la cuenta de trading","✓"))))))))))))</f>
        <v/>
      </c>
      <c r="I2643" s="19">
        <f>IF(OR(B2643="",C2643="",D2643=""),"",IFERROR(INDEX(catTipo,MATCH(D2643,catNom,0))&amp;"",""))</f>
        <v/>
      </c>
      <c r="J2643" s="19">
        <f>IF(I2643="","",IFERROR(INDEX(catGrupo,MATCH(D2643,catNom,0))&amp;"",""))</f>
        <v/>
      </c>
      <c r="K2643" s="19">
        <f>IF(I2643="Gasto",IF(IFERROR(INDEX(catClas,MATCH(D2643,catNom,0))&amp;"","")="","Variable",IFERROR(INDEX(catClas,MATCH(D2643,catNom,0))&amp;"","")),"")</f>
        <v/>
      </c>
      <c r="L2643" s="19">
        <f>IF(I2643="","",IFERROR(INDEX(catAlim,MATCH(D2643,catNom,0))&amp;"",""))</f>
        <v/>
      </c>
      <c r="M2643" s="19">
        <f>IF(I2643="","",IFERROR(INDEX(catComida,MATCH(D2643,catNom,0))&amp;"",""))</f>
        <v/>
      </c>
      <c r="N2643" s="19">
        <f>IF(I2643="","",IFERROR(INDEX(ctaMon,MATCH(E2643,ctaNom,0))&amp;"","DOP"))</f>
        <v/>
      </c>
      <c r="O2643" s="20">
        <f>IF(I2643="","",C2643*IF(N2643="USD",TasaUSD,1))</f>
        <v/>
      </c>
      <c r="P2643" s="20">
        <f>IF(I2643="","",IF(I2643="Gasto",O2643,0))</f>
        <v/>
      </c>
      <c r="Q2643" s="20">
        <f>IF(I2643="","",IF(I2643="Ingreso",O2643,0))</f>
        <v/>
      </c>
      <c r="R2643" s="20">
        <f>IF(I2643="","",IF(I2643="Trading",O2643,0))</f>
        <v/>
      </c>
      <c r="S2643" s="19">
        <f>IF(I2643="","",IF(AND(I2643="Gasto",K2643="Variable",J2643&lt;&gt;"Trading",O2643&gt;0,O2643&lt;=Umbral),1,0))</f>
        <v/>
      </c>
      <c r="T2643" s="20">
        <f>IF(OR(I2643="",E2643=""),"",IF(OR(I2643="Gasto",I2643="Transferencia",I2643="Pago tarjeta"),-1,1)*C2643)</f>
        <v/>
      </c>
      <c r="U2643" s="20">
        <f>IF(OR(G2643="",AND(I2643&lt;&gt;"Transferencia",I2643&lt;&gt;"Pago tarjeta")),"",IF(IFERROR(INDEX(ctaMon,MATCH(G2643,ctaNom,0))&amp;"","DOP")=N2643,C2643,IF(N2643="USD",C2643*TasaUSD,C2643/TasaUSD)))</f>
        <v/>
      </c>
      <c r="V2643" s="20">
        <f>IF(I2643="","",IF(IFERROR(INDEX(ctaLiq,MATCH(E2643,ctaNom,0))="Sí",FALSE),IF(OR(I2643="Gasto",I2643="Transferencia",I2643="Pago tarjeta"),-1,1)*O2643,0)+IF(AND(U2643&lt;&gt;"",IFERROR(INDEX(ctaLiq,MATCH(G2643,ctaNom,0))="Sí",FALSE)),O2643,0))</f>
        <v/>
      </c>
      <c r="W2643" s="19">
        <f>IF(OR(F2643="",I2643=""),"",IF(COUNTIFS(F$6:F2643,F2643,I$6:I2643,"?*")=1,MAX(W$5:W2642)+1,""))</f>
        <v/>
      </c>
    </row>
    <row r="2644">
      <c r="B2644" s="15" t="n"/>
      <c r="C2644" s="16" t="n"/>
      <c r="D2644" s="17" t="n"/>
      <c r="E2644" s="17" t="n"/>
      <c r="F2644" s="17" t="n"/>
      <c r="G2644" s="17" t="n"/>
      <c r="H2644" s="18">
        <f>IF(AND(B2644="",C2644="",D2644="",E2644=""),"",IF(B2644="","⚠ Falta fecha",IF(C2644="","⚠ Falta monto",IF(D2644="","⚠ Falta categoría",IF(ISNA(MATCH(D2644,catNom,0)),"⚠ Categoría no existe",IF(E2644="","⚠ Falta cuenta",IF(ISNA(MATCH(E2644,ctaNom,0)),"⚠ Cuenta no existe",IF(AND(OR(I2644="Transferencia",I2644="Pago tarjeta"),G2644=""),"⚠ Indica la cuenta «Hacia»",IF(AND(G2644&lt;&gt;"",G2644=E2644),"⚠ «Hacia» igual a la cuenta",IF(AND(G2644&lt;&gt;"",ISNA(MATCH(G2644,ctaNom,0))),"⚠ «Hacia» no existe",IF(AND(I2644="Pago tarjeta",IFERROR(INDEX(ctaTipo,MATCH(G2644,ctaNom,0)),"")&lt;&gt;"Tarjeta de crédito"),"⚠ «Hacia» debe ser la tarjeta",IF(AND(I2644="Trading",IFERROR(INDEX(ctaTipo,MATCH(E2644,ctaNom,0)),"")&lt;&gt;"Cuenta de trading"),"⚠ Usa la cuenta de trading","✓"))))))))))))</f>
        <v/>
      </c>
      <c r="I2644" s="19">
        <f>IF(OR(B2644="",C2644="",D2644=""),"",IFERROR(INDEX(catTipo,MATCH(D2644,catNom,0))&amp;"",""))</f>
        <v/>
      </c>
      <c r="J2644" s="19">
        <f>IF(I2644="","",IFERROR(INDEX(catGrupo,MATCH(D2644,catNom,0))&amp;"",""))</f>
        <v/>
      </c>
      <c r="K2644" s="19">
        <f>IF(I2644="Gasto",IF(IFERROR(INDEX(catClas,MATCH(D2644,catNom,0))&amp;"","")="","Variable",IFERROR(INDEX(catClas,MATCH(D2644,catNom,0))&amp;"","")),"")</f>
        <v/>
      </c>
      <c r="L2644" s="19">
        <f>IF(I2644="","",IFERROR(INDEX(catAlim,MATCH(D2644,catNom,0))&amp;"",""))</f>
        <v/>
      </c>
      <c r="M2644" s="19">
        <f>IF(I2644="","",IFERROR(INDEX(catComida,MATCH(D2644,catNom,0))&amp;"",""))</f>
        <v/>
      </c>
      <c r="N2644" s="19">
        <f>IF(I2644="","",IFERROR(INDEX(ctaMon,MATCH(E2644,ctaNom,0))&amp;"","DOP"))</f>
        <v/>
      </c>
      <c r="O2644" s="20">
        <f>IF(I2644="","",C2644*IF(N2644="USD",TasaUSD,1))</f>
        <v/>
      </c>
      <c r="P2644" s="20">
        <f>IF(I2644="","",IF(I2644="Gasto",O2644,0))</f>
        <v/>
      </c>
      <c r="Q2644" s="20">
        <f>IF(I2644="","",IF(I2644="Ingreso",O2644,0))</f>
        <v/>
      </c>
      <c r="R2644" s="20">
        <f>IF(I2644="","",IF(I2644="Trading",O2644,0))</f>
        <v/>
      </c>
      <c r="S2644" s="19">
        <f>IF(I2644="","",IF(AND(I2644="Gasto",K2644="Variable",J2644&lt;&gt;"Trading",O2644&gt;0,O2644&lt;=Umbral),1,0))</f>
        <v/>
      </c>
      <c r="T2644" s="20">
        <f>IF(OR(I2644="",E2644=""),"",IF(OR(I2644="Gasto",I2644="Transferencia",I2644="Pago tarjeta"),-1,1)*C2644)</f>
        <v/>
      </c>
      <c r="U2644" s="20">
        <f>IF(OR(G2644="",AND(I2644&lt;&gt;"Transferencia",I2644&lt;&gt;"Pago tarjeta")),"",IF(IFERROR(INDEX(ctaMon,MATCH(G2644,ctaNom,0))&amp;"","DOP")=N2644,C2644,IF(N2644="USD",C2644*TasaUSD,C2644/TasaUSD)))</f>
        <v/>
      </c>
      <c r="V2644" s="20">
        <f>IF(I2644="","",IF(IFERROR(INDEX(ctaLiq,MATCH(E2644,ctaNom,0))="Sí",FALSE),IF(OR(I2644="Gasto",I2644="Transferencia",I2644="Pago tarjeta"),-1,1)*O2644,0)+IF(AND(U2644&lt;&gt;"",IFERROR(INDEX(ctaLiq,MATCH(G2644,ctaNom,0))="Sí",FALSE)),O2644,0))</f>
        <v/>
      </c>
      <c r="W2644" s="19">
        <f>IF(OR(F2644="",I2644=""),"",IF(COUNTIFS(F$6:F2644,F2644,I$6:I2644,"?*")=1,MAX(W$5:W2643)+1,""))</f>
        <v/>
      </c>
    </row>
    <row r="2645">
      <c r="B2645" s="15" t="n"/>
      <c r="C2645" s="16" t="n"/>
      <c r="D2645" s="17" t="n"/>
      <c r="E2645" s="17" t="n"/>
      <c r="F2645" s="17" t="n"/>
      <c r="G2645" s="17" t="n"/>
      <c r="H2645" s="18">
        <f>IF(AND(B2645="",C2645="",D2645="",E2645=""),"",IF(B2645="","⚠ Falta fecha",IF(C2645="","⚠ Falta monto",IF(D2645="","⚠ Falta categoría",IF(ISNA(MATCH(D2645,catNom,0)),"⚠ Categoría no existe",IF(E2645="","⚠ Falta cuenta",IF(ISNA(MATCH(E2645,ctaNom,0)),"⚠ Cuenta no existe",IF(AND(OR(I2645="Transferencia",I2645="Pago tarjeta"),G2645=""),"⚠ Indica la cuenta «Hacia»",IF(AND(G2645&lt;&gt;"",G2645=E2645),"⚠ «Hacia» igual a la cuenta",IF(AND(G2645&lt;&gt;"",ISNA(MATCH(G2645,ctaNom,0))),"⚠ «Hacia» no existe",IF(AND(I2645="Pago tarjeta",IFERROR(INDEX(ctaTipo,MATCH(G2645,ctaNom,0)),"")&lt;&gt;"Tarjeta de crédito"),"⚠ «Hacia» debe ser la tarjeta",IF(AND(I2645="Trading",IFERROR(INDEX(ctaTipo,MATCH(E2645,ctaNom,0)),"")&lt;&gt;"Cuenta de trading"),"⚠ Usa la cuenta de trading","✓"))))))))))))</f>
        <v/>
      </c>
      <c r="I2645" s="19">
        <f>IF(OR(B2645="",C2645="",D2645=""),"",IFERROR(INDEX(catTipo,MATCH(D2645,catNom,0))&amp;"",""))</f>
        <v/>
      </c>
      <c r="J2645" s="19">
        <f>IF(I2645="","",IFERROR(INDEX(catGrupo,MATCH(D2645,catNom,0))&amp;"",""))</f>
        <v/>
      </c>
      <c r="K2645" s="19">
        <f>IF(I2645="Gasto",IF(IFERROR(INDEX(catClas,MATCH(D2645,catNom,0))&amp;"","")="","Variable",IFERROR(INDEX(catClas,MATCH(D2645,catNom,0))&amp;"","")),"")</f>
        <v/>
      </c>
      <c r="L2645" s="19">
        <f>IF(I2645="","",IFERROR(INDEX(catAlim,MATCH(D2645,catNom,0))&amp;"",""))</f>
        <v/>
      </c>
      <c r="M2645" s="19">
        <f>IF(I2645="","",IFERROR(INDEX(catComida,MATCH(D2645,catNom,0))&amp;"",""))</f>
        <v/>
      </c>
      <c r="N2645" s="19">
        <f>IF(I2645="","",IFERROR(INDEX(ctaMon,MATCH(E2645,ctaNom,0))&amp;"","DOP"))</f>
        <v/>
      </c>
      <c r="O2645" s="20">
        <f>IF(I2645="","",C2645*IF(N2645="USD",TasaUSD,1))</f>
        <v/>
      </c>
      <c r="P2645" s="20">
        <f>IF(I2645="","",IF(I2645="Gasto",O2645,0))</f>
        <v/>
      </c>
      <c r="Q2645" s="20">
        <f>IF(I2645="","",IF(I2645="Ingreso",O2645,0))</f>
        <v/>
      </c>
      <c r="R2645" s="20">
        <f>IF(I2645="","",IF(I2645="Trading",O2645,0))</f>
        <v/>
      </c>
      <c r="S2645" s="19">
        <f>IF(I2645="","",IF(AND(I2645="Gasto",K2645="Variable",J2645&lt;&gt;"Trading",O2645&gt;0,O2645&lt;=Umbral),1,0))</f>
        <v/>
      </c>
      <c r="T2645" s="20">
        <f>IF(OR(I2645="",E2645=""),"",IF(OR(I2645="Gasto",I2645="Transferencia",I2645="Pago tarjeta"),-1,1)*C2645)</f>
        <v/>
      </c>
      <c r="U2645" s="20">
        <f>IF(OR(G2645="",AND(I2645&lt;&gt;"Transferencia",I2645&lt;&gt;"Pago tarjeta")),"",IF(IFERROR(INDEX(ctaMon,MATCH(G2645,ctaNom,0))&amp;"","DOP")=N2645,C2645,IF(N2645="USD",C2645*TasaUSD,C2645/TasaUSD)))</f>
        <v/>
      </c>
      <c r="V2645" s="20">
        <f>IF(I2645="","",IF(IFERROR(INDEX(ctaLiq,MATCH(E2645,ctaNom,0))="Sí",FALSE),IF(OR(I2645="Gasto",I2645="Transferencia",I2645="Pago tarjeta"),-1,1)*O2645,0)+IF(AND(U2645&lt;&gt;"",IFERROR(INDEX(ctaLiq,MATCH(G2645,ctaNom,0))="Sí",FALSE)),O2645,0))</f>
        <v/>
      </c>
      <c r="W2645" s="19">
        <f>IF(OR(F2645="",I2645=""),"",IF(COUNTIFS(F$6:F2645,F2645,I$6:I2645,"?*")=1,MAX(W$5:W2644)+1,""))</f>
        <v/>
      </c>
    </row>
    <row r="2646">
      <c r="B2646" s="15" t="n"/>
      <c r="C2646" s="16" t="n"/>
      <c r="D2646" s="17" t="n"/>
      <c r="E2646" s="17" t="n"/>
      <c r="F2646" s="17" t="n"/>
      <c r="G2646" s="17" t="n"/>
      <c r="H2646" s="18">
        <f>IF(AND(B2646="",C2646="",D2646="",E2646=""),"",IF(B2646="","⚠ Falta fecha",IF(C2646="","⚠ Falta monto",IF(D2646="","⚠ Falta categoría",IF(ISNA(MATCH(D2646,catNom,0)),"⚠ Categoría no existe",IF(E2646="","⚠ Falta cuenta",IF(ISNA(MATCH(E2646,ctaNom,0)),"⚠ Cuenta no existe",IF(AND(OR(I2646="Transferencia",I2646="Pago tarjeta"),G2646=""),"⚠ Indica la cuenta «Hacia»",IF(AND(G2646&lt;&gt;"",G2646=E2646),"⚠ «Hacia» igual a la cuenta",IF(AND(G2646&lt;&gt;"",ISNA(MATCH(G2646,ctaNom,0))),"⚠ «Hacia» no existe",IF(AND(I2646="Pago tarjeta",IFERROR(INDEX(ctaTipo,MATCH(G2646,ctaNom,0)),"")&lt;&gt;"Tarjeta de crédito"),"⚠ «Hacia» debe ser la tarjeta",IF(AND(I2646="Trading",IFERROR(INDEX(ctaTipo,MATCH(E2646,ctaNom,0)),"")&lt;&gt;"Cuenta de trading"),"⚠ Usa la cuenta de trading","✓"))))))))))))</f>
        <v/>
      </c>
      <c r="I2646" s="19">
        <f>IF(OR(B2646="",C2646="",D2646=""),"",IFERROR(INDEX(catTipo,MATCH(D2646,catNom,0))&amp;"",""))</f>
        <v/>
      </c>
      <c r="J2646" s="19">
        <f>IF(I2646="","",IFERROR(INDEX(catGrupo,MATCH(D2646,catNom,0))&amp;"",""))</f>
        <v/>
      </c>
      <c r="K2646" s="19">
        <f>IF(I2646="Gasto",IF(IFERROR(INDEX(catClas,MATCH(D2646,catNom,0))&amp;"","")="","Variable",IFERROR(INDEX(catClas,MATCH(D2646,catNom,0))&amp;"","")),"")</f>
        <v/>
      </c>
      <c r="L2646" s="19">
        <f>IF(I2646="","",IFERROR(INDEX(catAlim,MATCH(D2646,catNom,0))&amp;"",""))</f>
        <v/>
      </c>
      <c r="M2646" s="19">
        <f>IF(I2646="","",IFERROR(INDEX(catComida,MATCH(D2646,catNom,0))&amp;"",""))</f>
        <v/>
      </c>
      <c r="N2646" s="19">
        <f>IF(I2646="","",IFERROR(INDEX(ctaMon,MATCH(E2646,ctaNom,0))&amp;"","DOP"))</f>
        <v/>
      </c>
      <c r="O2646" s="20">
        <f>IF(I2646="","",C2646*IF(N2646="USD",TasaUSD,1))</f>
        <v/>
      </c>
      <c r="P2646" s="20">
        <f>IF(I2646="","",IF(I2646="Gasto",O2646,0))</f>
        <v/>
      </c>
      <c r="Q2646" s="20">
        <f>IF(I2646="","",IF(I2646="Ingreso",O2646,0))</f>
        <v/>
      </c>
      <c r="R2646" s="20">
        <f>IF(I2646="","",IF(I2646="Trading",O2646,0))</f>
        <v/>
      </c>
      <c r="S2646" s="19">
        <f>IF(I2646="","",IF(AND(I2646="Gasto",K2646="Variable",J2646&lt;&gt;"Trading",O2646&gt;0,O2646&lt;=Umbral),1,0))</f>
        <v/>
      </c>
      <c r="T2646" s="20">
        <f>IF(OR(I2646="",E2646=""),"",IF(OR(I2646="Gasto",I2646="Transferencia",I2646="Pago tarjeta"),-1,1)*C2646)</f>
        <v/>
      </c>
      <c r="U2646" s="20">
        <f>IF(OR(G2646="",AND(I2646&lt;&gt;"Transferencia",I2646&lt;&gt;"Pago tarjeta")),"",IF(IFERROR(INDEX(ctaMon,MATCH(G2646,ctaNom,0))&amp;"","DOP")=N2646,C2646,IF(N2646="USD",C2646*TasaUSD,C2646/TasaUSD)))</f>
        <v/>
      </c>
      <c r="V2646" s="20">
        <f>IF(I2646="","",IF(IFERROR(INDEX(ctaLiq,MATCH(E2646,ctaNom,0))="Sí",FALSE),IF(OR(I2646="Gasto",I2646="Transferencia",I2646="Pago tarjeta"),-1,1)*O2646,0)+IF(AND(U2646&lt;&gt;"",IFERROR(INDEX(ctaLiq,MATCH(G2646,ctaNom,0))="Sí",FALSE)),O2646,0))</f>
        <v/>
      </c>
      <c r="W2646" s="19">
        <f>IF(OR(F2646="",I2646=""),"",IF(COUNTIFS(F$6:F2646,F2646,I$6:I2646,"?*")=1,MAX(W$5:W2645)+1,""))</f>
        <v/>
      </c>
    </row>
    <row r="2647">
      <c r="B2647" s="15" t="n"/>
      <c r="C2647" s="16" t="n"/>
      <c r="D2647" s="17" t="n"/>
      <c r="E2647" s="17" t="n"/>
      <c r="F2647" s="17" t="n"/>
      <c r="G2647" s="17" t="n"/>
      <c r="H2647" s="18">
        <f>IF(AND(B2647="",C2647="",D2647="",E2647=""),"",IF(B2647="","⚠ Falta fecha",IF(C2647="","⚠ Falta monto",IF(D2647="","⚠ Falta categoría",IF(ISNA(MATCH(D2647,catNom,0)),"⚠ Categoría no existe",IF(E2647="","⚠ Falta cuenta",IF(ISNA(MATCH(E2647,ctaNom,0)),"⚠ Cuenta no existe",IF(AND(OR(I2647="Transferencia",I2647="Pago tarjeta"),G2647=""),"⚠ Indica la cuenta «Hacia»",IF(AND(G2647&lt;&gt;"",G2647=E2647),"⚠ «Hacia» igual a la cuenta",IF(AND(G2647&lt;&gt;"",ISNA(MATCH(G2647,ctaNom,0))),"⚠ «Hacia» no existe",IF(AND(I2647="Pago tarjeta",IFERROR(INDEX(ctaTipo,MATCH(G2647,ctaNom,0)),"")&lt;&gt;"Tarjeta de crédito"),"⚠ «Hacia» debe ser la tarjeta",IF(AND(I2647="Trading",IFERROR(INDEX(ctaTipo,MATCH(E2647,ctaNom,0)),"")&lt;&gt;"Cuenta de trading"),"⚠ Usa la cuenta de trading","✓"))))))))))))</f>
        <v/>
      </c>
      <c r="I2647" s="19">
        <f>IF(OR(B2647="",C2647="",D2647=""),"",IFERROR(INDEX(catTipo,MATCH(D2647,catNom,0))&amp;"",""))</f>
        <v/>
      </c>
      <c r="J2647" s="19">
        <f>IF(I2647="","",IFERROR(INDEX(catGrupo,MATCH(D2647,catNom,0))&amp;"",""))</f>
        <v/>
      </c>
      <c r="K2647" s="19">
        <f>IF(I2647="Gasto",IF(IFERROR(INDEX(catClas,MATCH(D2647,catNom,0))&amp;"","")="","Variable",IFERROR(INDEX(catClas,MATCH(D2647,catNom,0))&amp;"","")),"")</f>
        <v/>
      </c>
      <c r="L2647" s="19">
        <f>IF(I2647="","",IFERROR(INDEX(catAlim,MATCH(D2647,catNom,0))&amp;"",""))</f>
        <v/>
      </c>
      <c r="M2647" s="19">
        <f>IF(I2647="","",IFERROR(INDEX(catComida,MATCH(D2647,catNom,0))&amp;"",""))</f>
        <v/>
      </c>
      <c r="N2647" s="19">
        <f>IF(I2647="","",IFERROR(INDEX(ctaMon,MATCH(E2647,ctaNom,0))&amp;"","DOP"))</f>
        <v/>
      </c>
      <c r="O2647" s="20">
        <f>IF(I2647="","",C2647*IF(N2647="USD",TasaUSD,1))</f>
        <v/>
      </c>
      <c r="P2647" s="20">
        <f>IF(I2647="","",IF(I2647="Gasto",O2647,0))</f>
        <v/>
      </c>
      <c r="Q2647" s="20">
        <f>IF(I2647="","",IF(I2647="Ingreso",O2647,0))</f>
        <v/>
      </c>
      <c r="R2647" s="20">
        <f>IF(I2647="","",IF(I2647="Trading",O2647,0))</f>
        <v/>
      </c>
      <c r="S2647" s="19">
        <f>IF(I2647="","",IF(AND(I2647="Gasto",K2647="Variable",J2647&lt;&gt;"Trading",O2647&gt;0,O2647&lt;=Umbral),1,0))</f>
        <v/>
      </c>
      <c r="T2647" s="20">
        <f>IF(OR(I2647="",E2647=""),"",IF(OR(I2647="Gasto",I2647="Transferencia",I2647="Pago tarjeta"),-1,1)*C2647)</f>
        <v/>
      </c>
      <c r="U2647" s="20">
        <f>IF(OR(G2647="",AND(I2647&lt;&gt;"Transferencia",I2647&lt;&gt;"Pago tarjeta")),"",IF(IFERROR(INDEX(ctaMon,MATCH(G2647,ctaNom,0))&amp;"","DOP")=N2647,C2647,IF(N2647="USD",C2647*TasaUSD,C2647/TasaUSD)))</f>
        <v/>
      </c>
      <c r="V2647" s="20">
        <f>IF(I2647="","",IF(IFERROR(INDEX(ctaLiq,MATCH(E2647,ctaNom,0))="Sí",FALSE),IF(OR(I2647="Gasto",I2647="Transferencia",I2647="Pago tarjeta"),-1,1)*O2647,0)+IF(AND(U2647&lt;&gt;"",IFERROR(INDEX(ctaLiq,MATCH(G2647,ctaNom,0))="Sí",FALSE)),O2647,0))</f>
        <v/>
      </c>
      <c r="W2647" s="19">
        <f>IF(OR(F2647="",I2647=""),"",IF(COUNTIFS(F$6:F2647,F2647,I$6:I2647,"?*")=1,MAX(W$5:W2646)+1,""))</f>
        <v/>
      </c>
    </row>
    <row r="2648">
      <c r="B2648" s="15" t="n"/>
      <c r="C2648" s="16" t="n"/>
      <c r="D2648" s="17" t="n"/>
      <c r="E2648" s="17" t="n"/>
      <c r="F2648" s="17" t="n"/>
      <c r="G2648" s="17" t="n"/>
      <c r="H2648" s="18">
        <f>IF(AND(B2648="",C2648="",D2648="",E2648=""),"",IF(B2648="","⚠ Falta fecha",IF(C2648="","⚠ Falta monto",IF(D2648="","⚠ Falta categoría",IF(ISNA(MATCH(D2648,catNom,0)),"⚠ Categoría no existe",IF(E2648="","⚠ Falta cuenta",IF(ISNA(MATCH(E2648,ctaNom,0)),"⚠ Cuenta no existe",IF(AND(OR(I2648="Transferencia",I2648="Pago tarjeta"),G2648=""),"⚠ Indica la cuenta «Hacia»",IF(AND(G2648&lt;&gt;"",G2648=E2648),"⚠ «Hacia» igual a la cuenta",IF(AND(G2648&lt;&gt;"",ISNA(MATCH(G2648,ctaNom,0))),"⚠ «Hacia» no existe",IF(AND(I2648="Pago tarjeta",IFERROR(INDEX(ctaTipo,MATCH(G2648,ctaNom,0)),"")&lt;&gt;"Tarjeta de crédito"),"⚠ «Hacia» debe ser la tarjeta",IF(AND(I2648="Trading",IFERROR(INDEX(ctaTipo,MATCH(E2648,ctaNom,0)),"")&lt;&gt;"Cuenta de trading"),"⚠ Usa la cuenta de trading","✓"))))))))))))</f>
        <v/>
      </c>
      <c r="I2648" s="19">
        <f>IF(OR(B2648="",C2648="",D2648=""),"",IFERROR(INDEX(catTipo,MATCH(D2648,catNom,0))&amp;"",""))</f>
        <v/>
      </c>
      <c r="J2648" s="19">
        <f>IF(I2648="","",IFERROR(INDEX(catGrupo,MATCH(D2648,catNom,0))&amp;"",""))</f>
        <v/>
      </c>
      <c r="K2648" s="19">
        <f>IF(I2648="Gasto",IF(IFERROR(INDEX(catClas,MATCH(D2648,catNom,0))&amp;"","")="","Variable",IFERROR(INDEX(catClas,MATCH(D2648,catNom,0))&amp;"","")),"")</f>
        <v/>
      </c>
      <c r="L2648" s="19">
        <f>IF(I2648="","",IFERROR(INDEX(catAlim,MATCH(D2648,catNom,0))&amp;"",""))</f>
        <v/>
      </c>
      <c r="M2648" s="19">
        <f>IF(I2648="","",IFERROR(INDEX(catComida,MATCH(D2648,catNom,0))&amp;"",""))</f>
        <v/>
      </c>
      <c r="N2648" s="19">
        <f>IF(I2648="","",IFERROR(INDEX(ctaMon,MATCH(E2648,ctaNom,0))&amp;"","DOP"))</f>
        <v/>
      </c>
      <c r="O2648" s="20">
        <f>IF(I2648="","",C2648*IF(N2648="USD",TasaUSD,1))</f>
        <v/>
      </c>
      <c r="P2648" s="20">
        <f>IF(I2648="","",IF(I2648="Gasto",O2648,0))</f>
        <v/>
      </c>
      <c r="Q2648" s="20">
        <f>IF(I2648="","",IF(I2648="Ingreso",O2648,0))</f>
        <v/>
      </c>
      <c r="R2648" s="20">
        <f>IF(I2648="","",IF(I2648="Trading",O2648,0))</f>
        <v/>
      </c>
      <c r="S2648" s="19">
        <f>IF(I2648="","",IF(AND(I2648="Gasto",K2648="Variable",J2648&lt;&gt;"Trading",O2648&gt;0,O2648&lt;=Umbral),1,0))</f>
        <v/>
      </c>
      <c r="T2648" s="20">
        <f>IF(OR(I2648="",E2648=""),"",IF(OR(I2648="Gasto",I2648="Transferencia",I2648="Pago tarjeta"),-1,1)*C2648)</f>
        <v/>
      </c>
      <c r="U2648" s="20">
        <f>IF(OR(G2648="",AND(I2648&lt;&gt;"Transferencia",I2648&lt;&gt;"Pago tarjeta")),"",IF(IFERROR(INDEX(ctaMon,MATCH(G2648,ctaNom,0))&amp;"","DOP")=N2648,C2648,IF(N2648="USD",C2648*TasaUSD,C2648/TasaUSD)))</f>
        <v/>
      </c>
      <c r="V2648" s="20">
        <f>IF(I2648="","",IF(IFERROR(INDEX(ctaLiq,MATCH(E2648,ctaNom,0))="Sí",FALSE),IF(OR(I2648="Gasto",I2648="Transferencia",I2648="Pago tarjeta"),-1,1)*O2648,0)+IF(AND(U2648&lt;&gt;"",IFERROR(INDEX(ctaLiq,MATCH(G2648,ctaNom,0))="Sí",FALSE)),O2648,0))</f>
        <v/>
      </c>
      <c r="W2648" s="19">
        <f>IF(OR(F2648="",I2648=""),"",IF(COUNTIFS(F$6:F2648,F2648,I$6:I2648,"?*")=1,MAX(W$5:W2647)+1,""))</f>
        <v/>
      </c>
    </row>
    <row r="2649">
      <c r="B2649" s="15" t="n"/>
      <c r="C2649" s="16" t="n"/>
      <c r="D2649" s="17" t="n"/>
      <c r="E2649" s="17" t="n"/>
      <c r="F2649" s="17" t="n"/>
      <c r="G2649" s="17" t="n"/>
      <c r="H2649" s="18">
        <f>IF(AND(B2649="",C2649="",D2649="",E2649=""),"",IF(B2649="","⚠ Falta fecha",IF(C2649="","⚠ Falta monto",IF(D2649="","⚠ Falta categoría",IF(ISNA(MATCH(D2649,catNom,0)),"⚠ Categoría no existe",IF(E2649="","⚠ Falta cuenta",IF(ISNA(MATCH(E2649,ctaNom,0)),"⚠ Cuenta no existe",IF(AND(OR(I2649="Transferencia",I2649="Pago tarjeta"),G2649=""),"⚠ Indica la cuenta «Hacia»",IF(AND(G2649&lt;&gt;"",G2649=E2649),"⚠ «Hacia» igual a la cuenta",IF(AND(G2649&lt;&gt;"",ISNA(MATCH(G2649,ctaNom,0))),"⚠ «Hacia» no existe",IF(AND(I2649="Pago tarjeta",IFERROR(INDEX(ctaTipo,MATCH(G2649,ctaNom,0)),"")&lt;&gt;"Tarjeta de crédito"),"⚠ «Hacia» debe ser la tarjeta",IF(AND(I2649="Trading",IFERROR(INDEX(ctaTipo,MATCH(E2649,ctaNom,0)),"")&lt;&gt;"Cuenta de trading"),"⚠ Usa la cuenta de trading","✓"))))))))))))</f>
        <v/>
      </c>
      <c r="I2649" s="19">
        <f>IF(OR(B2649="",C2649="",D2649=""),"",IFERROR(INDEX(catTipo,MATCH(D2649,catNom,0))&amp;"",""))</f>
        <v/>
      </c>
      <c r="J2649" s="19">
        <f>IF(I2649="","",IFERROR(INDEX(catGrupo,MATCH(D2649,catNom,0))&amp;"",""))</f>
        <v/>
      </c>
      <c r="K2649" s="19">
        <f>IF(I2649="Gasto",IF(IFERROR(INDEX(catClas,MATCH(D2649,catNom,0))&amp;"","")="","Variable",IFERROR(INDEX(catClas,MATCH(D2649,catNom,0))&amp;"","")),"")</f>
        <v/>
      </c>
      <c r="L2649" s="19">
        <f>IF(I2649="","",IFERROR(INDEX(catAlim,MATCH(D2649,catNom,0))&amp;"",""))</f>
        <v/>
      </c>
      <c r="M2649" s="19">
        <f>IF(I2649="","",IFERROR(INDEX(catComida,MATCH(D2649,catNom,0))&amp;"",""))</f>
        <v/>
      </c>
      <c r="N2649" s="19">
        <f>IF(I2649="","",IFERROR(INDEX(ctaMon,MATCH(E2649,ctaNom,0))&amp;"","DOP"))</f>
        <v/>
      </c>
      <c r="O2649" s="20">
        <f>IF(I2649="","",C2649*IF(N2649="USD",TasaUSD,1))</f>
        <v/>
      </c>
      <c r="P2649" s="20">
        <f>IF(I2649="","",IF(I2649="Gasto",O2649,0))</f>
        <v/>
      </c>
      <c r="Q2649" s="20">
        <f>IF(I2649="","",IF(I2649="Ingreso",O2649,0))</f>
        <v/>
      </c>
      <c r="R2649" s="20">
        <f>IF(I2649="","",IF(I2649="Trading",O2649,0))</f>
        <v/>
      </c>
      <c r="S2649" s="19">
        <f>IF(I2649="","",IF(AND(I2649="Gasto",K2649="Variable",J2649&lt;&gt;"Trading",O2649&gt;0,O2649&lt;=Umbral),1,0))</f>
        <v/>
      </c>
      <c r="T2649" s="20">
        <f>IF(OR(I2649="",E2649=""),"",IF(OR(I2649="Gasto",I2649="Transferencia",I2649="Pago tarjeta"),-1,1)*C2649)</f>
        <v/>
      </c>
      <c r="U2649" s="20">
        <f>IF(OR(G2649="",AND(I2649&lt;&gt;"Transferencia",I2649&lt;&gt;"Pago tarjeta")),"",IF(IFERROR(INDEX(ctaMon,MATCH(G2649,ctaNom,0))&amp;"","DOP")=N2649,C2649,IF(N2649="USD",C2649*TasaUSD,C2649/TasaUSD)))</f>
        <v/>
      </c>
      <c r="V2649" s="20">
        <f>IF(I2649="","",IF(IFERROR(INDEX(ctaLiq,MATCH(E2649,ctaNom,0))="Sí",FALSE),IF(OR(I2649="Gasto",I2649="Transferencia",I2649="Pago tarjeta"),-1,1)*O2649,0)+IF(AND(U2649&lt;&gt;"",IFERROR(INDEX(ctaLiq,MATCH(G2649,ctaNom,0))="Sí",FALSE)),O2649,0))</f>
        <v/>
      </c>
      <c r="W2649" s="19">
        <f>IF(OR(F2649="",I2649=""),"",IF(COUNTIFS(F$6:F2649,F2649,I$6:I2649,"?*")=1,MAX(W$5:W2648)+1,""))</f>
        <v/>
      </c>
    </row>
    <row r="2650">
      <c r="B2650" s="15" t="n"/>
      <c r="C2650" s="16" t="n"/>
      <c r="D2650" s="17" t="n"/>
      <c r="E2650" s="17" t="n"/>
      <c r="F2650" s="17" t="n"/>
      <c r="G2650" s="17" t="n"/>
      <c r="H2650" s="18">
        <f>IF(AND(B2650="",C2650="",D2650="",E2650=""),"",IF(B2650="","⚠ Falta fecha",IF(C2650="","⚠ Falta monto",IF(D2650="","⚠ Falta categoría",IF(ISNA(MATCH(D2650,catNom,0)),"⚠ Categoría no existe",IF(E2650="","⚠ Falta cuenta",IF(ISNA(MATCH(E2650,ctaNom,0)),"⚠ Cuenta no existe",IF(AND(OR(I2650="Transferencia",I2650="Pago tarjeta"),G2650=""),"⚠ Indica la cuenta «Hacia»",IF(AND(G2650&lt;&gt;"",G2650=E2650),"⚠ «Hacia» igual a la cuenta",IF(AND(G2650&lt;&gt;"",ISNA(MATCH(G2650,ctaNom,0))),"⚠ «Hacia» no existe",IF(AND(I2650="Pago tarjeta",IFERROR(INDEX(ctaTipo,MATCH(G2650,ctaNom,0)),"")&lt;&gt;"Tarjeta de crédito"),"⚠ «Hacia» debe ser la tarjeta",IF(AND(I2650="Trading",IFERROR(INDEX(ctaTipo,MATCH(E2650,ctaNom,0)),"")&lt;&gt;"Cuenta de trading"),"⚠ Usa la cuenta de trading","✓"))))))))))))</f>
        <v/>
      </c>
      <c r="I2650" s="19">
        <f>IF(OR(B2650="",C2650="",D2650=""),"",IFERROR(INDEX(catTipo,MATCH(D2650,catNom,0))&amp;"",""))</f>
        <v/>
      </c>
      <c r="J2650" s="19">
        <f>IF(I2650="","",IFERROR(INDEX(catGrupo,MATCH(D2650,catNom,0))&amp;"",""))</f>
        <v/>
      </c>
      <c r="K2650" s="19">
        <f>IF(I2650="Gasto",IF(IFERROR(INDEX(catClas,MATCH(D2650,catNom,0))&amp;"","")="","Variable",IFERROR(INDEX(catClas,MATCH(D2650,catNom,0))&amp;"","")),"")</f>
        <v/>
      </c>
      <c r="L2650" s="19">
        <f>IF(I2650="","",IFERROR(INDEX(catAlim,MATCH(D2650,catNom,0))&amp;"",""))</f>
        <v/>
      </c>
      <c r="M2650" s="19">
        <f>IF(I2650="","",IFERROR(INDEX(catComida,MATCH(D2650,catNom,0))&amp;"",""))</f>
        <v/>
      </c>
      <c r="N2650" s="19">
        <f>IF(I2650="","",IFERROR(INDEX(ctaMon,MATCH(E2650,ctaNom,0))&amp;"","DOP"))</f>
        <v/>
      </c>
      <c r="O2650" s="20">
        <f>IF(I2650="","",C2650*IF(N2650="USD",TasaUSD,1))</f>
        <v/>
      </c>
      <c r="P2650" s="20">
        <f>IF(I2650="","",IF(I2650="Gasto",O2650,0))</f>
        <v/>
      </c>
      <c r="Q2650" s="20">
        <f>IF(I2650="","",IF(I2650="Ingreso",O2650,0))</f>
        <v/>
      </c>
      <c r="R2650" s="20">
        <f>IF(I2650="","",IF(I2650="Trading",O2650,0))</f>
        <v/>
      </c>
      <c r="S2650" s="19">
        <f>IF(I2650="","",IF(AND(I2650="Gasto",K2650="Variable",J2650&lt;&gt;"Trading",O2650&gt;0,O2650&lt;=Umbral),1,0))</f>
        <v/>
      </c>
      <c r="T2650" s="20">
        <f>IF(OR(I2650="",E2650=""),"",IF(OR(I2650="Gasto",I2650="Transferencia",I2650="Pago tarjeta"),-1,1)*C2650)</f>
        <v/>
      </c>
      <c r="U2650" s="20">
        <f>IF(OR(G2650="",AND(I2650&lt;&gt;"Transferencia",I2650&lt;&gt;"Pago tarjeta")),"",IF(IFERROR(INDEX(ctaMon,MATCH(G2650,ctaNom,0))&amp;"","DOP")=N2650,C2650,IF(N2650="USD",C2650*TasaUSD,C2650/TasaUSD)))</f>
        <v/>
      </c>
      <c r="V2650" s="20">
        <f>IF(I2650="","",IF(IFERROR(INDEX(ctaLiq,MATCH(E2650,ctaNom,0))="Sí",FALSE),IF(OR(I2650="Gasto",I2650="Transferencia",I2650="Pago tarjeta"),-1,1)*O2650,0)+IF(AND(U2650&lt;&gt;"",IFERROR(INDEX(ctaLiq,MATCH(G2650,ctaNom,0))="Sí",FALSE)),O2650,0))</f>
        <v/>
      </c>
      <c r="W2650" s="19">
        <f>IF(OR(F2650="",I2650=""),"",IF(COUNTIFS(F$6:F2650,F2650,I$6:I2650,"?*")=1,MAX(W$5:W2649)+1,""))</f>
        <v/>
      </c>
    </row>
    <row r="2651">
      <c r="B2651" s="15" t="n"/>
      <c r="C2651" s="16" t="n"/>
      <c r="D2651" s="17" t="n"/>
      <c r="E2651" s="17" t="n"/>
      <c r="F2651" s="17" t="n"/>
      <c r="G2651" s="17" t="n"/>
      <c r="H2651" s="18">
        <f>IF(AND(B2651="",C2651="",D2651="",E2651=""),"",IF(B2651="","⚠ Falta fecha",IF(C2651="","⚠ Falta monto",IF(D2651="","⚠ Falta categoría",IF(ISNA(MATCH(D2651,catNom,0)),"⚠ Categoría no existe",IF(E2651="","⚠ Falta cuenta",IF(ISNA(MATCH(E2651,ctaNom,0)),"⚠ Cuenta no existe",IF(AND(OR(I2651="Transferencia",I2651="Pago tarjeta"),G2651=""),"⚠ Indica la cuenta «Hacia»",IF(AND(G2651&lt;&gt;"",G2651=E2651),"⚠ «Hacia» igual a la cuenta",IF(AND(G2651&lt;&gt;"",ISNA(MATCH(G2651,ctaNom,0))),"⚠ «Hacia» no existe",IF(AND(I2651="Pago tarjeta",IFERROR(INDEX(ctaTipo,MATCH(G2651,ctaNom,0)),"")&lt;&gt;"Tarjeta de crédito"),"⚠ «Hacia» debe ser la tarjeta",IF(AND(I2651="Trading",IFERROR(INDEX(ctaTipo,MATCH(E2651,ctaNom,0)),"")&lt;&gt;"Cuenta de trading"),"⚠ Usa la cuenta de trading","✓"))))))))))))</f>
        <v/>
      </c>
      <c r="I2651" s="19">
        <f>IF(OR(B2651="",C2651="",D2651=""),"",IFERROR(INDEX(catTipo,MATCH(D2651,catNom,0))&amp;"",""))</f>
        <v/>
      </c>
      <c r="J2651" s="19">
        <f>IF(I2651="","",IFERROR(INDEX(catGrupo,MATCH(D2651,catNom,0))&amp;"",""))</f>
        <v/>
      </c>
      <c r="K2651" s="19">
        <f>IF(I2651="Gasto",IF(IFERROR(INDEX(catClas,MATCH(D2651,catNom,0))&amp;"","")="","Variable",IFERROR(INDEX(catClas,MATCH(D2651,catNom,0))&amp;"","")),"")</f>
        <v/>
      </c>
      <c r="L2651" s="19">
        <f>IF(I2651="","",IFERROR(INDEX(catAlim,MATCH(D2651,catNom,0))&amp;"",""))</f>
        <v/>
      </c>
      <c r="M2651" s="19">
        <f>IF(I2651="","",IFERROR(INDEX(catComida,MATCH(D2651,catNom,0))&amp;"",""))</f>
        <v/>
      </c>
      <c r="N2651" s="19">
        <f>IF(I2651="","",IFERROR(INDEX(ctaMon,MATCH(E2651,ctaNom,0))&amp;"","DOP"))</f>
        <v/>
      </c>
      <c r="O2651" s="20">
        <f>IF(I2651="","",C2651*IF(N2651="USD",TasaUSD,1))</f>
        <v/>
      </c>
      <c r="P2651" s="20">
        <f>IF(I2651="","",IF(I2651="Gasto",O2651,0))</f>
        <v/>
      </c>
      <c r="Q2651" s="20">
        <f>IF(I2651="","",IF(I2651="Ingreso",O2651,0))</f>
        <v/>
      </c>
      <c r="R2651" s="20">
        <f>IF(I2651="","",IF(I2651="Trading",O2651,0))</f>
        <v/>
      </c>
      <c r="S2651" s="19">
        <f>IF(I2651="","",IF(AND(I2651="Gasto",K2651="Variable",J2651&lt;&gt;"Trading",O2651&gt;0,O2651&lt;=Umbral),1,0))</f>
        <v/>
      </c>
      <c r="T2651" s="20">
        <f>IF(OR(I2651="",E2651=""),"",IF(OR(I2651="Gasto",I2651="Transferencia",I2651="Pago tarjeta"),-1,1)*C2651)</f>
        <v/>
      </c>
      <c r="U2651" s="20">
        <f>IF(OR(G2651="",AND(I2651&lt;&gt;"Transferencia",I2651&lt;&gt;"Pago tarjeta")),"",IF(IFERROR(INDEX(ctaMon,MATCH(G2651,ctaNom,0))&amp;"","DOP")=N2651,C2651,IF(N2651="USD",C2651*TasaUSD,C2651/TasaUSD)))</f>
        <v/>
      </c>
      <c r="V2651" s="20">
        <f>IF(I2651="","",IF(IFERROR(INDEX(ctaLiq,MATCH(E2651,ctaNom,0))="Sí",FALSE),IF(OR(I2651="Gasto",I2651="Transferencia",I2651="Pago tarjeta"),-1,1)*O2651,0)+IF(AND(U2651&lt;&gt;"",IFERROR(INDEX(ctaLiq,MATCH(G2651,ctaNom,0))="Sí",FALSE)),O2651,0))</f>
        <v/>
      </c>
      <c r="W2651" s="19">
        <f>IF(OR(F2651="",I2651=""),"",IF(COUNTIFS(F$6:F2651,F2651,I$6:I2651,"?*")=1,MAX(W$5:W2650)+1,""))</f>
        <v/>
      </c>
    </row>
    <row r="2652">
      <c r="B2652" s="15" t="n"/>
      <c r="C2652" s="16" t="n"/>
      <c r="D2652" s="17" t="n"/>
      <c r="E2652" s="17" t="n"/>
      <c r="F2652" s="17" t="n"/>
      <c r="G2652" s="17" t="n"/>
      <c r="H2652" s="18">
        <f>IF(AND(B2652="",C2652="",D2652="",E2652=""),"",IF(B2652="","⚠ Falta fecha",IF(C2652="","⚠ Falta monto",IF(D2652="","⚠ Falta categoría",IF(ISNA(MATCH(D2652,catNom,0)),"⚠ Categoría no existe",IF(E2652="","⚠ Falta cuenta",IF(ISNA(MATCH(E2652,ctaNom,0)),"⚠ Cuenta no existe",IF(AND(OR(I2652="Transferencia",I2652="Pago tarjeta"),G2652=""),"⚠ Indica la cuenta «Hacia»",IF(AND(G2652&lt;&gt;"",G2652=E2652),"⚠ «Hacia» igual a la cuenta",IF(AND(G2652&lt;&gt;"",ISNA(MATCH(G2652,ctaNom,0))),"⚠ «Hacia» no existe",IF(AND(I2652="Pago tarjeta",IFERROR(INDEX(ctaTipo,MATCH(G2652,ctaNom,0)),"")&lt;&gt;"Tarjeta de crédito"),"⚠ «Hacia» debe ser la tarjeta",IF(AND(I2652="Trading",IFERROR(INDEX(ctaTipo,MATCH(E2652,ctaNom,0)),"")&lt;&gt;"Cuenta de trading"),"⚠ Usa la cuenta de trading","✓"))))))))))))</f>
        <v/>
      </c>
      <c r="I2652" s="19">
        <f>IF(OR(B2652="",C2652="",D2652=""),"",IFERROR(INDEX(catTipo,MATCH(D2652,catNom,0))&amp;"",""))</f>
        <v/>
      </c>
      <c r="J2652" s="19">
        <f>IF(I2652="","",IFERROR(INDEX(catGrupo,MATCH(D2652,catNom,0))&amp;"",""))</f>
        <v/>
      </c>
      <c r="K2652" s="19">
        <f>IF(I2652="Gasto",IF(IFERROR(INDEX(catClas,MATCH(D2652,catNom,0))&amp;"","")="","Variable",IFERROR(INDEX(catClas,MATCH(D2652,catNom,0))&amp;"","")),"")</f>
        <v/>
      </c>
      <c r="L2652" s="19">
        <f>IF(I2652="","",IFERROR(INDEX(catAlim,MATCH(D2652,catNom,0))&amp;"",""))</f>
        <v/>
      </c>
      <c r="M2652" s="19">
        <f>IF(I2652="","",IFERROR(INDEX(catComida,MATCH(D2652,catNom,0))&amp;"",""))</f>
        <v/>
      </c>
      <c r="N2652" s="19">
        <f>IF(I2652="","",IFERROR(INDEX(ctaMon,MATCH(E2652,ctaNom,0))&amp;"","DOP"))</f>
        <v/>
      </c>
      <c r="O2652" s="20">
        <f>IF(I2652="","",C2652*IF(N2652="USD",TasaUSD,1))</f>
        <v/>
      </c>
      <c r="P2652" s="20">
        <f>IF(I2652="","",IF(I2652="Gasto",O2652,0))</f>
        <v/>
      </c>
      <c r="Q2652" s="20">
        <f>IF(I2652="","",IF(I2652="Ingreso",O2652,0))</f>
        <v/>
      </c>
      <c r="R2652" s="20">
        <f>IF(I2652="","",IF(I2652="Trading",O2652,0))</f>
        <v/>
      </c>
      <c r="S2652" s="19">
        <f>IF(I2652="","",IF(AND(I2652="Gasto",K2652="Variable",J2652&lt;&gt;"Trading",O2652&gt;0,O2652&lt;=Umbral),1,0))</f>
        <v/>
      </c>
      <c r="T2652" s="20">
        <f>IF(OR(I2652="",E2652=""),"",IF(OR(I2652="Gasto",I2652="Transferencia",I2652="Pago tarjeta"),-1,1)*C2652)</f>
        <v/>
      </c>
      <c r="U2652" s="20">
        <f>IF(OR(G2652="",AND(I2652&lt;&gt;"Transferencia",I2652&lt;&gt;"Pago tarjeta")),"",IF(IFERROR(INDEX(ctaMon,MATCH(G2652,ctaNom,0))&amp;"","DOP")=N2652,C2652,IF(N2652="USD",C2652*TasaUSD,C2652/TasaUSD)))</f>
        <v/>
      </c>
      <c r="V2652" s="20">
        <f>IF(I2652="","",IF(IFERROR(INDEX(ctaLiq,MATCH(E2652,ctaNom,0))="Sí",FALSE),IF(OR(I2652="Gasto",I2652="Transferencia",I2652="Pago tarjeta"),-1,1)*O2652,0)+IF(AND(U2652&lt;&gt;"",IFERROR(INDEX(ctaLiq,MATCH(G2652,ctaNom,0))="Sí",FALSE)),O2652,0))</f>
        <v/>
      </c>
      <c r="W2652" s="19">
        <f>IF(OR(F2652="",I2652=""),"",IF(COUNTIFS(F$6:F2652,F2652,I$6:I2652,"?*")=1,MAX(W$5:W2651)+1,""))</f>
        <v/>
      </c>
    </row>
    <row r="2653">
      <c r="B2653" s="15" t="n"/>
      <c r="C2653" s="16" t="n"/>
      <c r="D2653" s="17" t="n"/>
      <c r="E2653" s="17" t="n"/>
      <c r="F2653" s="17" t="n"/>
      <c r="G2653" s="17" t="n"/>
      <c r="H2653" s="18">
        <f>IF(AND(B2653="",C2653="",D2653="",E2653=""),"",IF(B2653="","⚠ Falta fecha",IF(C2653="","⚠ Falta monto",IF(D2653="","⚠ Falta categoría",IF(ISNA(MATCH(D2653,catNom,0)),"⚠ Categoría no existe",IF(E2653="","⚠ Falta cuenta",IF(ISNA(MATCH(E2653,ctaNom,0)),"⚠ Cuenta no existe",IF(AND(OR(I2653="Transferencia",I2653="Pago tarjeta"),G2653=""),"⚠ Indica la cuenta «Hacia»",IF(AND(G2653&lt;&gt;"",G2653=E2653),"⚠ «Hacia» igual a la cuenta",IF(AND(G2653&lt;&gt;"",ISNA(MATCH(G2653,ctaNom,0))),"⚠ «Hacia» no existe",IF(AND(I2653="Pago tarjeta",IFERROR(INDEX(ctaTipo,MATCH(G2653,ctaNom,0)),"")&lt;&gt;"Tarjeta de crédito"),"⚠ «Hacia» debe ser la tarjeta",IF(AND(I2653="Trading",IFERROR(INDEX(ctaTipo,MATCH(E2653,ctaNom,0)),"")&lt;&gt;"Cuenta de trading"),"⚠ Usa la cuenta de trading","✓"))))))))))))</f>
        <v/>
      </c>
      <c r="I2653" s="19">
        <f>IF(OR(B2653="",C2653="",D2653=""),"",IFERROR(INDEX(catTipo,MATCH(D2653,catNom,0))&amp;"",""))</f>
        <v/>
      </c>
      <c r="J2653" s="19">
        <f>IF(I2653="","",IFERROR(INDEX(catGrupo,MATCH(D2653,catNom,0))&amp;"",""))</f>
        <v/>
      </c>
      <c r="K2653" s="19">
        <f>IF(I2653="Gasto",IF(IFERROR(INDEX(catClas,MATCH(D2653,catNom,0))&amp;"","")="","Variable",IFERROR(INDEX(catClas,MATCH(D2653,catNom,0))&amp;"","")),"")</f>
        <v/>
      </c>
      <c r="L2653" s="19">
        <f>IF(I2653="","",IFERROR(INDEX(catAlim,MATCH(D2653,catNom,0))&amp;"",""))</f>
        <v/>
      </c>
      <c r="M2653" s="19">
        <f>IF(I2653="","",IFERROR(INDEX(catComida,MATCH(D2653,catNom,0))&amp;"",""))</f>
        <v/>
      </c>
      <c r="N2653" s="19">
        <f>IF(I2653="","",IFERROR(INDEX(ctaMon,MATCH(E2653,ctaNom,0))&amp;"","DOP"))</f>
        <v/>
      </c>
      <c r="O2653" s="20">
        <f>IF(I2653="","",C2653*IF(N2653="USD",TasaUSD,1))</f>
        <v/>
      </c>
      <c r="P2653" s="20">
        <f>IF(I2653="","",IF(I2653="Gasto",O2653,0))</f>
        <v/>
      </c>
      <c r="Q2653" s="20">
        <f>IF(I2653="","",IF(I2653="Ingreso",O2653,0))</f>
        <v/>
      </c>
      <c r="R2653" s="20">
        <f>IF(I2653="","",IF(I2653="Trading",O2653,0))</f>
        <v/>
      </c>
      <c r="S2653" s="19">
        <f>IF(I2653="","",IF(AND(I2653="Gasto",K2653="Variable",J2653&lt;&gt;"Trading",O2653&gt;0,O2653&lt;=Umbral),1,0))</f>
        <v/>
      </c>
      <c r="T2653" s="20">
        <f>IF(OR(I2653="",E2653=""),"",IF(OR(I2653="Gasto",I2653="Transferencia",I2653="Pago tarjeta"),-1,1)*C2653)</f>
        <v/>
      </c>
      <c r="U2653" s="20">
        <f>IF(OR(G2653="",AND(I2653&lt;&gt;"Transferencia",I2653&lt;&gt;"Pago tarjeta")),"",IF(IFERROR(INDEX(ctaMon,MATCH(G2653,ctaNom,0))&amp;"","DOP")=N2653,C2653,IF(N2653="USD",C2653*TasaUSD,C2653/TasaUSD)))</f>
        <v/>
      </c>
      <c r="V2653" s="20">
        <f>IF(I2653="","",IF(IFERROR(INDEX(ctaLiq,MATCH(E2653,ctaNom,0))="Sí",FALSE),IF(OR(I2653="Gasto",I2653="Transferencia",I2653="Pago tarjeta"),-1,1)*O2653,0)+IF(AND(U2653&lt;&gt;"",IFERROR(INDEX(ctaLiq,MATCH(G2653,ctaNom,0))="Sí",FALSE)),O2653,0))</f>
        <v/>
      </c>
      <c r="W2653" s="19">
        <f>IF(OR(F2653="",I2653=""),"",IF(COUNTIFS(F$6:F2653,F2653,I$6:I2653,"?*")=1,MAX(W$5:W2652)+1,""))</f>
        <v/>
      </c>
    </row>
    <row r="2654">
      <c r="B2654" s="15" t="n"/>
      <c r="C2654" s="16" t="n"/>
      <c r="D2654" s="17" t="n"/>
      <c r="E2654" s="17" t="n"/>
      <c r="F2654" s="17" t="n"/>
      <c r="G2654" s="17" t="n"/>
      <c r="H2654" s="18">
        <f>IF(AND(B2654="",C2654="",D2654="",E2654=""),"",IF(B2654="","⚠ Falta fecha",IF(C2654="","⚠ Falta monto",IF(D2654="","⚠ Falta categoría",IF(ISNA(MATCH(D2654,catNom,0)),"⚠ Categoría no existe",IF(E2654="","⚠ Falta cuenta",IF(ISNA(MATCH(E2654,ctaNom,0)),"⚠ Cuenta no existe",IF(AND(OR(I2654="Transferencia",I2654="Pago tarjeta"),G2654=""),"⚠ Indica la cuenta «Hacia»",IF(AND(G2654&lt;&gt;"",G2654=E2654),"⚠ «Hacia» igual a la cuenta",IF(AND(G2654&lt;&gt;"",ISNA(MATCH(G2654,ctaNom,0))),"⚠ «Hacia» no existe",IF(AND(I2654="Pago tarjeta",IFERROR(INDEX(ctaTipo,MATCH(G2654,ctaNom,0)),"")&lt;&gt;"Tarjeta de crédito"),"⚠ «Hacia» debe ser la tarjeta",IF(AND(I2654="Trading",IFERROR(INDEX(ctaTipo,MATCH(E2654,ctaNom,0)),"")&lt;&gt;"Cuenta de trading"),"⚠ Usa la cuenta de trading","✓"))))))))))))</f>
        <v/>
      </c>
      <c r="I2654" s="19">
        <f>IF(OR(B2654="",C2654="",D2654=""),"",IFERROR(INDEX(catTipo,MATCH(D2654,catNom,0))&amp;"",""))</f>
        <v/>
      </c>
      <c r="J2654" s="19">
        <f>IF(I2654="","",IFERROR(INDEX(catGrupo,MATCH(D2654,catNom,0))&amp;"",""))</f>
        <v/>
      </c>
      <c r="K2654" s="19">
        <f>IF(I2654="Gasto",IF(IFERROR(INDEX(catClas,MATCH(D2654,catNom,0))&amp;"","")="","Variable",IFERROR(INDEX(catClas,MATCH(D2654,catNom,0))&amp;"","")),"")</f>
        <v/>
      </c>
      <c r="L2654" s="19">
        <f>IF(I2654="","",IFERROR(INDEX(catAlim,MATCH(D2654,catNom,0))&amp;"",""))</f>
        <v/>
      </c>
      <c r="M2654" s="19">
        <f>IF(I2654="","",IFERROR(INDEX(catComida,MATCH(D2654,catNom,0))&amp;"",""))</f>
        <v/>
      </c>
      <c r="N2654" s="19">
        <f>IF(I2654="","",IFERROR(INDEX(ctaMon,MATCH(E2654,ctaNom,0))&amp;"","DOP"))</f>
        <v/>
      </c>
      <c r="O2654" s="20">
        <f>IF(I2654="","",C2654*IF(N2654="USD",TasaUSD,1))</f>
        <v/>
      </c>
      <c r="P2654" s="20">
        <f>IF(I2654="","",IF(I2654="Gasto",O2654,0))</f>
        <v/>
      </c>
      <c r="Q2654" s="20">
        <f>IF(I2654="","",IF(I2654="Ingreso",O2654,0))</f>
        <v/>
      </c>
      <c r="R2654" s="20">
        <f>IF(I2654="","",IF(I2654="Trading",O2654,0))</f>
        <v/>
      </c>
      <c r="S2654" s="19">
        <f>IF(I2654="","",IF(AND(I2654="Gasto",K2654="Variable",J2654&lt;&gt;"Trading",O2654&gt;0,O2654&lt;=Umbral),1,0))</f>
        <v/>
      </c>
      <c r="T2654" s="20">
        <f>IF(OR(I2654="",E2654=""),"",IF(OR(I2654="Gasto",I2654="Transferencia",I2654="Pago tarjeta"),-1,1)*C2654)</f>
        <v/>
      </c>
      <c r="U2654" s="20">
        <f>IF(OR(G2654="",AND(I2654&lt;&gt;"Transferencia",I2654&lt;&gt;"Pago tarjeta")),"",IF(IFERROR(INDEX(ctaMon,MATCH(G2654,ctaNom,0))&amp;"","DOP")=N2654,C2654,IF(N2654="USD",C2654*TasaUSD,C2654/TasaUSD)))</f>
        <v/>
      </c>
      <c r="V2654" s="20">
        <f>IF(I2654="","",IF(IFERROR(INDEX(ctaLiq,MATCH(E2654,ctaNom,0))="Sí",FALSE),IF(OR(I2654="Gasto",I2654="Transferencia",I2654="Pago tarjeta"),-1,1)*O2654,0)+IF(AND(U2654&lt;&gt;"",IFERROR(INDEX(ctaLiq,MATCH(G2654,ctaNom,0))="Sí",FALSE)),O2654,0))</f>
        <v/>
      </c>
      <c r="W2654" s="19">
        <f>IF(OR(F2654="",I2654=""),"",IF(COUNTIFS(F$6:F2654,F2654,I$6:I2654,"?*")=1,MAX(W$5:W2653)+1,""))</f>
        <v/>
      </c>
    </row>
    <row r="2655">
      <c r="B2655" s="15" t="n"/>
      <c r="C2655" s="16" t="n"/>
      <c r="D2655" s="17" t="n"/>
      <c r="E2655" s="17" t="n"/>
      <c r="F2655" s="17" t="n"/>
      <c r="G2655" s="17" t="n"/>
      <c r="H2655" s="18">
        <f>IF(AND(B2655="",C2655="",D2655="",E2655=""),"",IF(B2655="","⚠ Falta fecha",IF(C2655="","⚠ Falta monto",IF(D2655="","⚠ Falta categoría",IF(ISNA(MATCH(D2655,catNom,0)),"⚠ Categoría no existe",IF(E2655="","⚠ Falta cuenta",IF(ISNA(MATCH(E2655,ctaNom,0)),"⚠ Cuenta no existe",IF(AND(OR(I2655="Transferencia",I2655="Pago tarjeta"),G2655=""),"⚠ Indica la cuenta «Hacia»",IF(AND(G2655&lt;&gt;"",G2655=E2655),"⚠ «Hacia» igual a la cuenta",IF(AND(G2655&lt;&gt;"",ISNA(MATCH(G2655,ctaNom,0))),"⚠ «Hacia» no existe",IF(AND(I2655="Pago tarjeta",IFERROR(INDEX(ctaTipo,MATCH(G2655,ctaNom,0)),"")&lt;&gt;"Tarjeta de crédito"),"⚠ «Hacia» debe ser la tarjeta",IF(AND(I2655="Trading",IFERROR(INDEX(ctaTipo,MATCH(E2655,ctaNom,0)),"")&lt;&gt;"Cuenta de trading"),"⚠ Usa la cuenta de trading","✓"))))))))))))</f>
        <v/>
      </c>
      <c r="I2655" s="19">
        <f>IF(OR(B2655="",C2655="",D2655=""),"",IFERROR(INDEX(catTipo,MATCH(D2655,catNom,0))&amp;"",""))</f>
        <v/>
      </c>
      <c r="J2655" s="19">
        <f>IF(I2655="","",IFERROR(INDEX(catGrupo,MATCH(D2655,catNom,0))&amp;"",""))</f>
        <v/>
      </c>
      <c r="K2655" s="19">
        <f>IF(I2655="Gasto",IF(IFERROR(INDEX(catClas,MATCH(D2655,catNom,0))&amp;"","")="","Variable",IFERROR(INDEX(catClas,MATCH(D2655,catNom,0))&amp;"","")),"")</f>
        <v/>
      </c>
      <c r="L2655" s="19">
        <f>IF(I2655="","",IFERROR(INDEX(catAlim,MATCH(D2655,catNom,0))&amp;"",""))</f>
        <v/>
      </c>
      <c r="M2655" s="19">
        <f>IF(I2655="","",IFERROR(INDEX(catComida,MATCH(D2655,catNom,0))&amp;"",""))</f>
        <v/>
      </c>
      <c r="N2655" s="19">
        <f>IF(I2655="","",IFERROR(INDEX(ctaMon,MATCH(E2655,ctaNom,0))&amp;"","DOP"))</f>
        <v/>
      </c>
      <c r="O2655" s="20">
        <f>IF(I2655="","",C2655*IF(N2655="USD",TasaUSD,1))</f>
        <v/>
      </c>
      <c r="P2655" s="20">
        <f>IF(I2655="","",IF(I2655="Gasto",O2655,0))</f>
        <v/>
      </c>
      <c r="Q2655" s="20">
        <f>IF(I2655="","",IF(I2655="Ingreso",O2655,0))</f>
        <v/>
      </c>
      <c r="R2655" s="20">
        <f>IF(I2655="","",IF(I2655="Trading",O2655,0))</f>
        <v/>
      </c>
      <c r="S2655" s="19">
        <f>IF(I2655="","",IF(AND(I2655="Gasto",K2655="Variable",J2655&lt;&gt;"Trading",O2655&gt;0,O2655&lt;=Umbral),1,0))</f>
        <v/>
      </c>
      <c r="T2655" s="20">
        <f>IF(OR(I2655="",E2655=""),"",IF(OR(I2655="Gasto",I2655="Transferencia",I2655="Pago tarjeta"),-1,1)*C2655)</f>
        <v/>
      </c>
      <c r="U2655" s="20">
        <f>IF(OR(G2655="",AND(I2655&lt;&gt;"Transferencia",I2655&lt;&gt;"Pago tarjeta")),"",IF(IFERROR(INDEX(ctaMon,MATCH(G2655,ctaNom,0))&amp;"","DOP")=N2655,C2655,IF(N2655="USD",C2655*TasaUSD,C2655/TasaUSD)))</f>
        <v/>
      </c>
      <c r="V2655" s="20">
        <f>IF(I2655="","",IF(IFERROR(INDEX(ctaLiq,MATCH(E2655,ctaNom,0))="Sí",FALSE),IF(OR(I2655="Gasto",I2655="Transferencia",I2655="Pago tarjeta"),-1,1)*O2655,0)+IF(AND(U2655&lt;&gt;"",IFERROR(INDEX(ctaLiq,MATCH(G2655,ctaNom,0))="Sí",FALSE)),O2655,0))</f>
        <v/>
      </c>
      <c r="W2655" s="19">
        <f>IF(OR(F2655="",I2655=""),"",IF(COUNTIFS(F$6:F2655,F2655,I$6:I2655,"?*")=1,MAX(W$5:W2654)+1,""))</f>
        <v/>
      </c>
    </row>
    <row r="2656">
      <c r="B2656" s="15" t="n"/>
      <c r="C2656" s="16" t="n"/>
      <c r="D2656" s="17" t="n"/>
      <c r="E2656" s="17" t="n"/>
      <c r="F2656" s="17" t="n"/>
      <c r="G2656" s="17" t="n"/>
      <c r="H2656" s="18">
        <f>IF(AND(B2656="",C2656="",D2656="",E2656=""),"",IF(B2656="","⚠ Falta fecha",IF(C2656="","⚠ Falta monto",IF(D2656="","⚠ Falta categoría",IF(ISNA(MATCH(D2656,catNom,0)),"⚠ Categoría no existe",IF(E2656="","⚠ Falta cuenta",IF(ISNA(MATCH(E2656,ctaNom,0)),"⚠ Cuenta no existe",IF(AND(OR(I2656="Transferencia",I2656="Pago tarjeta"),G2656=""),"⚠ Indica la cuenta «Hacia»",IF(AND(G2656&lt;&gt;"",G2656=E2656),"⚠ «Hacia» igual a la cuenta",IF(AND(G2656&lt;&gt;"",ISNA(MATCH(G2656,ctaNom,0))),"⚠ «Hacia» no existe",IF(AND(I2656="Pago tarjeta",IFERROR(INDEX(ctaTipo,MATCH(G2656,ctaNom,0)),"")&lt;&gt;"Tarjeta de crédito"),"⚠ «Hacia» debe ser la tarjeta",IF(AND(I2656="Trading",IFERROR(INDEX(ctaTipo,MATCH(E2656,ctaNom,0)),"")&lt;&gt;"Cuenta de trading"),"⚠ Usa la cuenta de trading","✓"))))))))))))</f>
        <v/>
      </c>
      <c r="I2656" s="19">
        <f>IF(OR(B2656="",C2656="",D2656=""),"",IFERROR(INDEX(catTipo,MATCH(D2656,catNom,0))&amp;"",""))</f>
        <v/>
      </c>
      <c r="J2656" s="19">
        <f>IF(I2656="","",IFERROR(INDEX(catGrupo,MATCH(D2656,catNom,0))&amp;"",""))</f>
        <v/>
      </c>
      <c r="K2656" s="19">
        <f>IF(I2656="Gasto",IF(IFERROR(INDEX(catClas,MATCH(D2656,catNom,0))&amp;"","")="","Variable",IFERROR(INDEX(catClas,MATCH(D2656,catNom,0))&amp;"","")),"")</f>
        <v/>
      </c>
      <c r="L2656" s="19">
        <f>IF(I2656="","",IFERROR(INDEX(catAlim,MATCH(D2656,catNom,0))&amp;"",""))</f>
        <v/>
      </c>
      <c r="M2656" s="19">
        <f>IF(I2656="","",IFERROR(INDEX(catComida,MATCH(D2656,catNom,0))&amp;"",""))</f>
        <v/>
      </c>
      <c r="N2656" s="19">
        <f>IF(I2656="","",IFERROR(INDEX(ctaMon,MATCH(E2656,ctaNom,0))&amp;"","DOP"))</f>
        <v/>
      </c>
      <c r="O2656" s="20">
        <f>IF(I2656="","",C2656*IF(N2656="USD",TasaUSD,1))</f>
        <v/>
      </c>
      <c r="P2656" s="20">
        <f>IF(I2656="","",IF(I2656="Gasto",O2656,0))</f>
        <v/>
      </c>
      <c r="Q2656" s="20">
        <f>IF(I2656="","",IF(I2656="Ingreso",O2656,0))</f>
        <v/>
      </c>
      <c r="R2656" s="20">
        <f>IF(I2656="","",IF(I2656="Trading",O2656,0))</f>
        <v/>
      </c>
      <c r="S2656" s="19">
        <f>IF(I2656="","",IF(AND(I2656="Gasto",K2656="Variable",J2656&lt;&gt;"Trading",O2656&gt;0,O2656&lt;=Umbral),1,0))</f>
        <v/>
      </c>
      <c r="T2656" s="20">
        <f>IF(OR(I2656="",E2656=""),"",IF(OR(I2656="Gasto",I2656="Transferencia",I2656="Pago tarjeta"),-1,1)*C2656)</f>
        <v/>
      </c>
      <c r="U2656" s="20">
        <f>IF(OR(G2656="",AND(I2656&lt;&gt;"Transferencia",I2656&lt;&gt;"Pago tarjeta")),"",IF(IFERROR(INDEX(ctaMon,MATCH(G2656,ctaNom,0))&amp;"","DOP")=N2656,C2656,IF(N2656="USD",C2656*TasaUSD,C2656/TasaUSD)))</f>
        <v/>
      </c>
      <c r="V2656" s="20">
        <f>IF(I2656="","",IF(IFERROR(INDEX(ctaLiq,MATCH(E2656,ctaNom,0))="Sí",FALSE),IF(OR(I2656="Gasto",I2656="Transferencia",I2656="Pago tarjeta"),-1,1)*O2656,0)+IF(AND(U2656&lt;&gt;"",IFERROR(INDEX(ctaLiq,MATCH(G2656,ctaNom,0))="Sí",FALSE)),O2656,0))</f>
        <v/>
      </c>
      <c r="W2656" s="19">
        <f>IF(OR(F2656="",I2656=""),"",IF(COUNTIFS(F$6:F2656,F2656,I$6:I2656,"?*")=1,MAX(W$5:W2655)+1,""))</f>
        <v/>
      </c>
    </row>
    <row r="2657">
      <c r="B2657" s="15" t="n"/>
      <c r="C2657" s="16" t="n"/>
      <c r="D2657" s="17" t="n"/>
      <c r="E2657" s="17" t="n"/>
      <c r="F2657" s="17" t="n"/>
      <c r="G2657" s="17" t="n"/>
      <c r="H2657" s="18">
        <f>IF(AND(B2657="",C2657="",D2657="",E2657=""),"",IF(B2657="","⚠ Falta fecha",IF(C2657="","⚠ Falta monto",IF(D2657="","⚠ Falta categoría",IF(ISNA(MATCH(D2657,catNom,0)),"⚠ Categoría no existe",IF(E2657="","⚠ Falta cuenta",IF(ISNA(MATCH(E2657,ctaNom,0)),"⚠ Cuenta no existe",IF(AND(OR(I2657="Transferencia",I2657="Pago tarjeta"),G2657=""),"⚠ Indica la cuenta «Hacia»",IF(AND(G2657&lt;&gt;"",G2657=E2657),"⚠ «Hacia» igual a la cuenta",IF(AND(G2657&lt;&gt;"",ISNA(MATCH(G2657,ctaNom,0))),"⚠ «Hacia» no existe",IF(AND(I2657="Pago tarjeta",IFERROR(INDEX(ctaTipo,MATCH(G2657,ctaNom,0)),"")&lt;&gt;"Tarjeta de crédito"),"⚠ «Hacia» debe ser la tarjeta",IF(AND(I2657="Trading",IFERROR(INDEX(ctaTipo,MATCH(E2657,ctaNom,0)),"")&lt;&gt;"Cuenta de trading"),"⚠ Usa la cuenta de trading","✓"))))))))))))</f>
        <v/>
      </c>
      <c r="I2657" s="19">
        <f>IF(OR(B2657="",C2657="",D2657=""),"",IFERROR(INDEX(catTipo,MATCH(D2657,catNom,0))&amp;"",""))</f>
        <v/>
      </c>
      <c r="J2657" s="19">
        <f>IF(I2657="","",IFERROR(INDEX(catGrupo,MATCH(D2657,catNom,0))&amp;"",""))</f>
        <v/>
      </c>
      <c r="K2657" s="19">
        <f>IF(I2657="Gasto",IF(IFERROR(INDEX(catClas,MATCH(D2657,catNom,0))&amp;"","")="","Variable",IFERROR(INDEX(catClas,MATCH(D2657,catNom,0))&amp;"","")),"")</f>
        <v/>
      </c>
      <c r="L2657" s="19">
        <f>IF(I2657="","",IFERROR(INDEX(catAlim,MATCH(D2657,catNom,0))&amp;"",""))</f>
        <v/>
      </c>
      <c r="M2657" s="19">
        <f>IF(I2657="","",IFERROR(INDEX(catComida,MATCH(D2657,catNom,0))&amp;"",""))</f>
        <v/>
      </c>
      <c r="N2657" s="19">
        <f>IF(I2657="","",IFERROR(INDEX(ctaMon,MATCH(E2657,ctaNom,0))&amp;"","DOP"))</f>
        <v/>
      </c>
      <c r="O2657" s="20">
        <f>IF(I2657="","",C2657*IF(N2657="USD",TasaUSD,1))</f>
        <v/>
      </c>
      <c r="P2657" s="20">
        <f>IF(I2657="","",IF(I2657="Gasto",O2657,0))</f>
        <v/>
      </c>
      <c r="Q2657" s="20">
        <f>IF(I2657="","",IF(I2657="Ingreso",O2657,0))</f>
        <v/>
      </c>
      <c r="R2657" s="20">
        <f>IF(I2657="","",IF(I2657="Trading",O2657,0))</f>
        <v/>
      </c>
      <c r="S2657" s="19">
        <f>IF(I2657="","",IF(AND(I2657="Gasto",K2657="Variable",J2657&lt;&gt;"Trading",O2657&gt;0,O2657&lt;=Umbral),1,0))</f>
        <v/>
      </c>
      <c r="T2657" s="20">
        <f>IF(OR(I2657="",E2657=""),"",IF(OR(I2657="Gasto",I2657="Transferencia",I2657="Pago tarjeta"),-1,1)*C2657)</f>
        <v/>
      </c>
      <c r="U2657" s="20">
        <f>IF(OR(G2657="",AND(I2657&lt;&gt;"Transferencia",I2657&lt;&gt;"Pago tarjeta")),"",IF(IFERROR(INDEX(ctaMon,MATCH(G2657,ctaNom,0))&amp;"","DOP")=N2657,C2657,IF(N2657="USD",C2657*TasaUSD,C2657/TasaUSD)))</f>
        <v/>
      </c>
      <c r="V2657" s="20">
        <f>IF(I2657="","",IF(IFERROR(INDEX(ctaLiq,MATCH(E2657,ctaNom,0))="Sí",FALSE),IF(OR(I2657="Gasto",I2657="Transferencia",I2657="Pago tarjeta"),-1,1)*O2657,0)+IF(AND(U2657&lt;&gt;"",IFERROR(INDEX(ctaLiq,MATCH(G2657,ctaNom,0))="Sí",FALSE)),O2657,0))</f>
        <v/>
      </c>
      <c r="W2657" s="19">
        <f>IF(OR(F2657="",I2657=""),"",IF(COUNTIFS(F$6:F2657,F2657,I$6:I2657,"?*")=1,MAX(W$5:W2656)+1,""))</f>
        <v/>
      </c>
    </row>
    <row r="2658">
      <c r="B2658" s="15" t="n"/>
      <c r="C2658" s="16" t="n"/>
      <c r="D2658" s="17" t="n"/>
      <c r="E2658" s="17" t="n"/>
      <c r="F2658" s="17" t="n"/>
      <c r="G2658" s="17" t="n"/>
      <c r="H2658" s="18">
        <f>IF(AND(B2658="",C2658="",D2658="",E2658=""),"",IF(B2658="","⚠ Falta fecha",IF(C2658="","⚠ Falta monto",IF(D2658="","⚠ Falta categoría",IF(ISNA(MATCH(D2658,catNom,0)),"⚠ Categoría no existe",IF(E2658="","⚠ Falta cuenta",IF(ISNA(MATCH(E2658,ctaNom,0)),"⚠ Cuenta no existe",IF(AND(OR(I2658="Transferencia",I2658="Pago tarjeta"),G2658=""),"⚠ Indica la cuenta «Hacia»",IF(AND(G2658&lt;&gt;"",G2658=E2658),"⚠ «Hacia» igual a la cuenta",IF(AND(G2658&lt;&gt;"",ISNA(MATCH(G2658,ctaNom,0))),"⚠ «Hacia» no existe",IF(AND(I2658="Pago tarjeta",IFERROR(INDEX(ctaTipo,MATCH(G2658,ctaNom,0)),"")&lt;&gt;"Tarjeta de crédito"),"⚠ «Hacia» debe ser la tarjeta",IF(AND(I2658="Trading",IFERROR(INDEX(ctaTipo,MATCH(E2658,ctaNom,0)),"")&lt;&gt;"Cuenta de trading"),"⚠ Usa la cuenta de trading","✓"))))))))))))</f>
        <v/>
      </c>
      <c r="I2658" s="19">
        <f>IF(OR(B2658="",C2658="",D2658=""),"",IFERROR(INDEX(catTipo,MATCH(D2658,catNom,0))&amp;"",""))</f>
        <v/>
      </c>
      <c r="J2658" s="19">
        <f>IF(I2658="","",IFERROR(INDEX(catGrupo,MATCH(D2658,catNom,0))&amp;"",""))</f>
        <v/>
      </c>
      <c r="K2658" s="19">
        <f>IF(I2658="Gasto",IF(IFERROR(INDEX(catClas,MATCH(D2658,catNom,0))&amp;"","")="","Variable",IFERROR(INDEX(catClas,MATCH(D2658,catNom,0))&amp;"","")),"")</f>
        <v/>
      </c>
      <c r="L2658" s="19">
        <f>IF(I2658="","",IFERROR(INDEX(catAlim,MATCH(D2658,catNom,0))&amp;"",""))</f>
        <v/>
      </c>
      <c r="M2658" s="19">
        <f>IF(I2658="","",IFERROR(INDEX(catComida,MATCH(D2658,catNom,0))&amp;"",""))</f>
        <v/>
      </c>
      <c r="N2658" s="19">
        <f>IF(I2658="","",IFERROR(INDEX(ctaMon,MATCH(E2658,ctaNom,0))&amp;"","DOP"))</f>
        <v/>
      </c>
      <c r="O2658" s="20">
        <f>IF(I2658="","",C2658*IF(N2658="USD",TasaUSD,1))</f>
        <v/>
      </c>
      <c r="P2658" s="20">
        <f>IF(I2658="","",IF(I2658="Gasto",O2658,0))</f>
        <v/>
      </c>
      <c r="Q2658" s="20">
        <f>IF(I2658="","",IF(I2658="Ingreso",O2658,0))</f>
        <v/>
      </c>
      <c r="R2658" s="20">
        <f>IF(I2658="","",IF(I2658="Trading",O2658,0))</f>
        <v/>
      </c>
      <c r="S2658" s="19">
        <f>IF(I2658="","",IF(AND(I2658="Gasto",K2658="Variable",J2658&lt;&gt;"Trading",O2658&gt;0,O2658&lt;=Umbral),1,0))</f>
        <v/>
      </c>
      <c r="T2658" s="20">
        <f>IF(OR(I2658="",E2658=""),"",IF(OR(I2658="Gasto",I2658="Transferencia",I2658="Pago tarjeta"),-1,1)*C2658)</f>
        <v/>
      </c>
      <c r="U2658" s="20">
        <f>IF(OR(G2658="",AND(I2658&lt;&gt;"Transferencia",I2658&lt;&gt;"Pago tarjeta")),"",IF(IFERROR(INDEX(ctaMon,MATCH(G2658,ctaNom,0))&amp;"","DOP")=N2658,C2658,IF(N2658="USD",C2658*TasaUSD,C2658/TasaUSD)))</f>
        <v/>
      </c>
      <c r="V2658" s="20">
        <f>IF(I2658="","",IF(IFERROR(INDEX(ctaLiq,MATCH(E2658,ctaNom,0))="Sí",FALSE),IF(OR(I2658="Gasto",I2658="Transferencia",I2658="Pago tarjeta"),-1,1)*O2658,0)+IF(AND(U2658&lt;&gt;"",IFERROR(INDEX(ctaLiq,MATCH(G2658,ctaNom,0))="Sí",FALSE)),O2658,0))</f>
        <v/>
      </c>
      <c r="W2658" s="19">
        <f>IF(OR(F2658="",I2658=""),"",IF(COUNTIFS(F$6:F2658,F2658,I$6:I2658,"?*")=1,MAX(W$5:W2657)+1,""))</f>
        <v/>
      </c>
    </row>
    <row r="2659">
      <c r="B2659" s="15" t="n"/>
      <c r="C2659" s="16" t="n"/>
      <c r="D2659" s="17" t="n"/>
      <c r="E2659" s="17" t="n"/>
      <c r="F2659" s="17" t="n"/>
      <c r="G2659" s="17" t="n"/>
      <c r="H2659" s="18">
        <f>IF(AND(B2659="",C2659="",D2659="",E2659=""),"",IF(B2659="","⚠ Falta fecha",IF(C2659="","⚠ Falta monto",IF(D2659="","⚠ Falta categoría",IF(ISNA(MATCH(D2659,catNom,0)),"⚠ Categoría no existe",IF(E2659="","⚠ Falta cuenta",IF(ISNA(MATCH(E2659,ctaNom,0)),"⚠ Cuenta no existe",IF(AND(OR(I2659="Transferencia",I2659="Pago tarjeta"),G2659=""),"⚠ Indica la cuenta «Hacia»",IF(AND(G2659&lt;&gt;"",G2659=E2659),"⚠ «Hacia» igual a la cuenta",IF(AND(G2659&lt;&gt;"",ISNA(MATCH(G2659,ctaNom,0))),"⚠ «Hacia» no existe",IF(AND(I2659="Pago tarjeta",IFERROR(INDEX(ctaTipo,MATCH(G2659,ctaNom,0)),"")&lt;&gt;"Tarjeta de crédito"),"⚠ «Hacia» debe ser la tarjeta",IF(AND(I2659="Trading",IFERROR(INDEX(ctaTipo,MATCH(E2659,ctaNom,0)),"")&lt;&gt;"Cuenta de trading"),"⚠ Usa la cuenta de trading","✓"))))))))))))</f>
        <v/>
      </c>
      <c r="I2659" s="19">
        <f>IF(OR(B2659="",C2659="",D2659=""),"",IFERROR(INDEX(catTipo,MATCH(D2659,catNom,0))&amp;"",""))</f>
        <v/>
      </c>
      <c r="J2659" s="19">
        <f>IF(I2659="","",IFERROR(INDEX(catGrupo,MATCH(D2659,catNom,0))&amp;"",""))</f>
        <v/>
      </c>
      <c r="K2659" s="19">
        <f>IF(I2659="Gasto",IF(IFERROR(INDEX(catClas,MATCH(D2659,catNom,0))&amp;"","")="","Variable",IFERROR(INDEX(catClas,MATCH(D2659,catNom,0))&amp;"","")),"")</f>
        <v/>
      </c>
      <c r="L2659" s="19">
        <f>IF(I2659="","",IFERROR(INDEX(catAlim,MATCH(D2659,catNom,0))&amp;"",""))</f>
        <v/>
      </c>
      <c r="M2659" s="19">
        <f>IF(I2659="","",IFERROR(INDEX(catComida,MATCH(D2659,catNom,0))&amp;"",""))</f>
        <v/>
      </c>
      <c r="N2659" s="19">
        <f>IF(I2659="","",IFERROR(INDEX(ctaMon,MATCH(E2659,ctaNom,0))&amp;"","DOP"))</f>
        <v/>
      </c>
      <c r="O2659" s="20">
        <f>IF(I2659="","",C2659*IF(N2659="USD",TasaUSD,1))</f>
        <v/>
      </c>
      <c r="P2659" s="20">
        <f>IF(I2659="","",IF(I2659="Gasto",O2659,0))</f>
        <v/>
      </c>
      <c r="Q2659" s="20">
        <f>IF(I2659="","",IF(I2659="Ingreso",O2659,0))</f>
        <v/>
      </c>
      <c r="R2659" s="20">
        <f>IF(I2659="","",IF(I2659="Trading",O2659,0))</f>
        <v/>
      </c>
      <c r="S2659" s="19">
        <f>IF(I2659="","",IF(AND(I2659="Gasto",K2659="Variable",J2659&lt;&gt;"Trading",O2659&gt;0,O2659&lt;=Umbral),1,0))</f>
        <v/>
      </c>
      <c r="T2659" s="20">
        <f>IF(OR(I2659="",E2659=""),"",IF(OR(I2659="Gasto",I2659="Transferencia",I2659="Pago tarjeta"),-1,1)*C2659)</f>
        <v/>
      </c>
      <c r="U2659" s="20">
        <f>IF(OR(G2659="",AND(I2659&lt;&gt;"Transferencia",I2659&lt;&gt;"Pago tarjeta")),"",IF(IFERROR(INDEX(ctaMon,MATCH(G2659,ctaNom,0))&amp;"","DOP")=N2659,C2659,IF(N2659="USD",C2659*TasaUSD,C2659/TasaUSD)))</f>
        <v/>
      </c>
      <c r="V2659" s="20">
        <f>IF(I2659="","",IF(IFERROR(INDEX(ctaLiq,MATCH(E2659,ctaNom,0))="Sí",FALSE),IF(OR(I2659="Gasto",I2659="Transferencia",I2659="Pago tarjeta"),-1,1)*O2659,0)+IF(AND(U2659&lt;&gt;"",IFERROR(INDEX(ctaLiq,MATCH(G2659,ctaNom,0))="Sí",FALSE)),O2659,0))</f>
        <v/>
      </c>
      <c r="W2659" s="19">
        <f>IF(OR(F2659="",I2659=""),"",IF(COUNTIFS(F$6:F2659,F2659,I$6:I2659,"?*")=1,MAX(W$5:W2658)+1,""))</f>
        <v/>
      </c>
    </row>
    <row r="2660">
      <c r="B2660" s="15" t="n"/>
      <c r="C2660" s="16" t="n"/>
      <c r="D2660" s="17" t="n"/>
      <c r="E2660" s="17" t="n"/>
      <c r="F2660" s="17" t="n"/>
      <c r="G2660" s="17" t="n"/>
      <c r="H2660" s="18">
        <f>IF(AND(B2660="",C2660="",D2660="",E2660=""),"",IF(B2660="","⚠ Falta fecha",IF(C2660="","⚠ Falta monto",IF(D2660="","⚠ Falta categoría",IF(ISNA(MATCH(D2660,catNom,0)),"⚠ Categoría no existe",IF(E2660="","⚠ Falta cuenta",IF(ISNA(MATCH(E2660,ctaNom,0)),"⚠ Cuenta no existe",IF(AND(OR(I2660="Transferencia",I2660="Pago tarjeta"),G2660=""),"⚠ Indica la cuenta «Hacia»",IF(AND(G2660&lt;&gt;"",G2660=E2660),"⚠ «Hacia» igual a la cuenta",IF(AND(G2660&lt;&gt;"",ISNA(MATCH(G2660,ctaNom,0))),"⚠ «Hacia» no existe",IF(AND(I2660="Pago tarjeta",IFERROR(INDEX(ctaTipo,MATCH(G2660,ctaNom,0)),"")&lt;&gt;"Tarjeta de crédito"),"⚠ «Hacia» debe ser la tarjeta",IF(AND(I2660="Trading",IFERROR(INDEX(ctaTipo,MATCH(E2660,ctaNom,0)),"")&lt;&gt;"Cuenta de trading"),"⚠ Usa la cuenta de trading","✓"))))))))))))</f>
        <v/>
      </c>
      <c r="I2660" s="19">
        <f>IF(OR(B2660="",C2660="",D2660=""),"",IFERROR(INDEX(catTipo,MATCH(D2660,catNom,0))&amp;"",""))</f>
        <v/>
      </c>
      <c r="J2660" s="19">
        <f>IF(I2660="","",IFERROR(INDEX(catGrupo,MATCH(D2660,catNom,0))&amp;"",""))</f>
        <v/>
      </c>
      <c r="K2660" s="19">
        <f>IF(I2660="Gasto",IF(IFERROR(INDEX(catClas,MATCH(D2660,catNom,0))&amp;"","")="","Variable",IFERROR(INDEX(catClas,MATCH(D2660,catNom,0))&amp;"","")),"")</f>
        <v/>
      </c>
      <c r="L2660" s="19">
        <f>IF(I2660="","",IFERROR(INDEX(catAlim,MATCH(D2660,catNom,0))&amp;"",""))</f>
        <v/>
      </c>
      <c r="M2660" s="19">
        <f>IF(I2660="","",IFERROR(INDEX(catComida,MATCH(D2660,catNom,0))&amp;"",""))</f>
        <v/>
      </c>
      <c r="N2660" s="19">
        <f>IF(I2660="","",IFERROR(INDEX(ctaMon,MATCH(E2660,ctaNom,0))&amp;"","DOP"))</f>
        <v/>
      </c>
      <c r="O2660" s="20">
        <f>IF(I2660="","",C2660*IF(N2660="USD",TasaUSD,1))</f>
        <v/>
      </c>
      <c r="P2660" s="20">
        <f>IF(I2660="","",IF(I2660="Gasto",O2660,0))</f>
        <v/>
      </c>
      <c r="Q2660" s="20">
        <f>IF(I2660="","",IF(I2660="Ingreso",O2660,0))</f>
        <v/>
      </c>
      <c r="R2660" s="20">
        <f>IF(I2660="","",IF(I2660="Trading",O2660,0))</f>
        <v/>
      </c>
      <c r="S2660" s="19">
        <f>IF(I2660="","",IF(AND(I2660="Gasto",K2660="Variable",J2660&lt;&gt;"Trading",O2660&gt;0,O2660&lt;=Umbral),1,0))</f>
        <v/>
      </c>
      <c r="T2660" s="20">
        <f>IF(OR(I2660="",E2660=""),"",IF(OR(I2660="Gasto",I2660="Transferencia",I2660="Pago tarjeta"),-1,1)*C2660)</f>
        <v/>
      </c>
      <c r="U2660" s="20">
        <f>IF(OR(G2660="",AND(I2660&lt;&gt;"Transferencia",I2660&lt;&gt;"Pago tarjeta")),"",IF(IFERROR(INDEX(ctaMon,MATCH(G2660,ctaNom,0))&amp;"","DOP")=N2660,C2660,IF(N2660="USD",C2660*TasaUSD,C2660/TasaUSD)))</f>
        <v/>
      </c>
      <c r="V2660" s="20">
        <f>IF(I2660="","",IF(IFERROR(INDEX(ctaLiq,MATCH(E2660,ctaNom,0))="Sí",FALSE),IF(OR(I2660="Gasto",I2660="Transferencia",I2660="Pago tarjeta"),-1,1)*O2660,0)+IF(AND(U2660&lt;&gt;"",IFERROR(INDEX(ctaLiq,MATCH(G2660,ctaNom,0))="Sí",FALSE)),O2660,0))</f>
        <v/>
      </c>
      <c r="W2660" s="19">
        <f>IF(OR(F2660="",I2660=""),"",IF(COUNTIFS(F$6:F2660,F2660,I$6:I2660,"?*")=1,MAX(W$5:W2659)+1,""))</f>
        <v/>
      </c>
    </row>
    <row r="2661">
      <c r="B2661" s="15" t="n"/>
      <c r="C2661" s="16" t="n"/>
      <c r="D2661" s="17" t="n"/>
      <c r="E2661" s="17" t="n"/>
      <c r="F2661" s="17" t="n"/>
      <c r="G2661" s="17" t="n"/>
      <c r="H2661" s="18">
        <f>IF(AND(B2661="",C2661="",D2661="",E2661=""),"",IF(B2661="","⚠ Falta fecha",IF(C2661="","⚠ Falta monto",IF(D2661="","⚠ Falta categoría",IF(ISNA(MATCH(D2661,catNom,0)),"⚠ Categoría no existe",IF(E2661="","⚠ Falta cuenta",IF(ISNA(MATCH(E2661,ctaNom,0)),"⚠ Cuenta no existe",IF(AND(OR(I2661="Transferencia",I2661="Pago tarjeta"),G2661=""),"⚠ Indica la cuenta «Hacia»",IF(AND(G2661&lt;&gt;"",G2661=E2661),"⚠ «Hacia» igual a la cuenta",IF(AND(G2661&lt;&gt;"",ISNA(MATCH(G2661,ctaNom,0))),"⚠ «Hacia» no existe",IF(AND(I2661="Pago tarjeta",IFERROR(INDEX(ctaTipo,MATCH(G2661,ctaNom,0)),"")&lt;&gt;"Tarjeta de crédito"),"⚠ «Hacia» debe ser la tarjeta",IF(AND(I2661="Trading",IFERROR(INDEX(ctaTipo,MATCH(E2661,ctaNom,0)),"")&lt;&gt;"Cuenta de trading"),"⚠ Usa la cuenta de trading","✓"))))))))))))</f>
        <v/>
      </c>
      <c r="I2661" s="19">
        <f>IF(OR(B2661="",C2661="",D2661=""),"",IFERROR(INDEX(catTipo,MATCH(D2661,catNom,0))&amp;"",""))</f>
        <v/>
      </c>
      <c r="J2661" s="19">
        <f>IF(I2661="","",IFERROR(INDEX(catGrupo,MATCH(D2661,catNom,0))&amp;"",""))</f>
        <v/>
      </c>
      <c r="K2661" s="19">
        <f>IF(I2661="Gasto",IF(IFERROR(INDEX(catClas,MATCH(D2661,catNom,0))&amp;"","")="","Variable",IFERROR(INDEX(catClas,MATCH(D2661,catNom,0))&amp;"","")),"")</f>
        <v/>
      </c>
      <c r="L2661" s="19">
        <f>IF(I2661="","",IFERROR(INDEX(catAlim,MATCH(D2661,catNom,0))&amp;"",""))</f>
        <v/>
      </c>
      <c r="M2661" s="19">
        <f>IF(I2661="","",IFERROR(INDEX(catComida,MATCH(D2661,catNom,0))&amp;"",""))</f>
        <v/>
      </c>
      <c r="N2661" s="19">
        <f>IF(I2661="","",IFERROR(INDEX(ctaMon,MATCH(E2661,ctaNom,0))&amp;"","DOP"))</f>
        <v/>
      </c>
      <c r="O2661" s="20">
        <f>IF(I2661="","",C2661*IF(N2661="USD",TasaUSD,1))</f>
        <v/>
      </c>
      <c r="P2661" s="20">
        <f>IF(I2661="","",IF(I2661="Gasto",O2661,0))</f>
        <v/>
      </c>
      <c r="Q2661" s="20">
        <f>IF(I2661="","",IF(I2661="Ingreso",O2661,0))</f>
        <v/>
      </c>
      <c r="R2661" s="20">
        <f>IF(I2661="","",IF(I2661="Trading",O2661,0))</f>
        <v/>
      </c>
      <c r="S2661" s="19">
        <f>IF(I2661="","",IF(AND(I2661="Gasto",K2661="Variable",J2661&lt;&gt;"Trading",O2661&gt;0,O2661&lt;=Umbral),1,0))</f>
        <v/>
      </c>
      <c r="T2661" s="20">
        <f>IF(OR(I2661="",E2661=""),"",IF(OR(I2661="Gasto",I2661="Transferencia",I2661="Pago tarjeta"),-1,1)*C2661)</f>
        <v/>
      </c>
      <c r="U2661" s="20">
        <f>IF(OR(G2661="",AND(I2661&lt;&gt;"Transferencia",I2661&lt;&gt;"Pago tarjeta")),"",IF(IFERROR(INDEX(ctaMon,MATCH(G2661,ctaNom,0))&amp;"","DOP")=N2661,C2661,IF(N2661="USD",C2661*TasaUSD,C2661/TasaUSD)))</f>
        <v/>
      </c>
      <c r="V2661" s="20">
        <f>IF(I2661="","",IF(IFERROR(INDEX(ctaLiq,MATCH(E2661,ctaNom,0))="Sí",FALSE),IF(OR(I2661="Gasto",I2661="Transferencia",I2661="Pago tarjeta"),-1,1)*O2661,0)+IF(AND(U2661&lt;&gt;"",IFERROR(INDEX(ctaLiq,MATCH(G2661,ctaNom,0))="Sí",FALSE)),O2661,0))</f>
        <v/>
      </c>
      <c r="W2661" s="19">
        <f>IF(OR(F2661="",I2661=""),"",IF(COUNTIFS(F$6:F2661,F2661,I$6:I2661,"?*")=1,MAX(W$5:W2660)+1,""))</f>
        <v/>
      </c>
    </row>
    <row r="2662">
      <c r="B2662" s="15" t="n"/>
      <c r="C2662" s="16" t="n"/>
      <c r="D2662" s="17" t="n"/>
      <c r="E2662" s="17" t="n"/>
      <c r="F2662" s="17" t="n"/>
      <c r="G2662" s="17" t="n"/>
      <c r="H2662" s="18">
        <f>IF(AND(B2662="",C2662="",D2662="",E2662=""),"",IF(B2662="","⚠ Falta fecha",IF(C2662="","⚠ Falta monto",IF(D2662="","⚠ Falta categoría",IF(ISNA(MATCH(D2662,catNom,0)),"⚠ Categoría no existe",IF(E2662="","⚠ Falta cuenta",IF(ISNA(MATCH(E2662,ctaNom,0)),"⚠ Cuenta no existe",IF(AND(OR(I2662="Transferencia",I2662="Pago tarjeta"),G2662=""),"⚠ Indica la cuenta «Hacia»",IF(AND(G2662&lt;&gt;"",G2662=E2662),"⚠ «Hacia» igual a la cuenta",IF(AND(G2662&lt;&gt;"",ISNA(MATCH(G2662,ctaNom,0))),"⚠ «Hacia» no existe",IF(AND(I2662="Pago tarjeta",IFERROR(INDEX(ctaTipo,MATCH(G2662,ctaNom,0)),"")&lt;&gt;"Tarjeta de crédito"),"⚠ «Hacia» debe ser la tarjeta",IF(AND(I2662="Trading",IFERROR(INDEX(ctaTipo,MATCH(E2662,ctaNom,0)),"")&lt;&gt;"Cuenta de trading"),"⚠ Usa la cuenta de trading","✓"))))))))))))</f>
        <v/>
      </c>
      <c r="I2662" s="19">
        <f>IF(OR(B2662="",C2662="",D2662=""),"",IFERROR(INDEX(catTipo,MATCH(D2662,catNom,0))&amp;"",""))</f>
        <v/>
      </c>
      <c r="J2662" s="19">
        <f>IF(I2662="","",IFERROR(INDEX(catGrupo,MATCH(D2662,catNom,0))&amp;"",""))</f>
        <v/>
      </c>
      <c r="K2662" s="19">
        <f>IF(I2662="Gasto",IF(IFERROR(INDEX(catClas,MATCH(D2662,catNom,0))&amp;"","")="","Variable",IFERROR(INDEX(catClas,MATCH(D2662,catNom,0))&amp;"","")),"")</f>
        <v/>
      </c>
      <c r="L2662" s="19">
        <f>IF(I2662="","",IFERROR(INDEX(catAlim,MATCH(D2662,catNom,0))&amp;"",""))</f>
        <v/>
      </c>
      <c r="M2662" s="19">
        <f>IF(I2662="","",IFERROR(INDEX(catComida,MATCH(D2662,catNom,0))&amp;"",""))</f>
        <v/>
      </c>
      <c r="N2662" s="19">
        <f>IF(I2662="","",IFERROR(INDEX(ctaMon,MATCH(E2662,ctaNom,0))&amp;"","DOP"))</f>
        <v/>
      </c>
      <c r="O2662" s="20">
        <f>IF(I2662="","",C2662*IF(N2662="USD",TasaUSD,1))</f>
        <v/>
      </c>
      <c r="P2662" s="20">
        <f>IF(I2662="","",IF(I2662="Gasto",O2662,0))</f>
        <v/>
      </c>
      <c r="Q2662" s="20">
        <f>IF(I2662="","",IF(I2662="Ingreso",O2662,0))</f>
        <v/>
      </c>
      <c r="R2662" s="20">
        <f>IF(I2662="","",IF(I2662="Trading",O2662,0))</f>
        <v/>
      </c>
      <c r="S2662" s="19">
        <f>IF(I2662="","",IF(AND(I2662="Gasto",K2662="Variable",J2662&lt;&gt;"Trading",O2662&gt;0,O2662&lt;=Umbral),1,0))</f>
        <v/>
      </c>
      <c r="T2662" s="20">
        <f>IF(OR(I2662="",E2662=""),"",IF(OR(I2662="Gasto",I2662="Transferencia",I2662="Pago tarjeta"),-1,1)*C2662)</f>
        <v/>
      </c>
      <c r="U2662" s="20">
        <f>IF(OR(G2662="",AND(I2662&lt;&gt;"Transferencia",I2662&lt;&gt;"Pago tarjeta")),"",IF(IFERROR(INDEX(ctaMon,MATCH(G2662,ctaNom,0))&amp;"","DOP")=N2662,C2662,IF(N2662="USD",C2662*TasaUSD,C2662/TasaUSD)))</f>
        <v/>
      </c>
      <c r="V2662" s="20">
        <f>IF(I2662="","",IF(IFERROR(INDEX(ctaLiq,MATCH(E2662,ctaNom,0))="Sí",FALSE),IF(OR(I2662="Gasto",I2662="Transferencia",I2662="Pago tarjeta"),-1,1)*O2662,0)+IF(AND(U2662&lt;&gt;"",IFERROR(INDEX(ctaLiq,MATCH(G2662,ctaNom,0))="Sí",FALSE)),O2662,0))</f>
        <v/>
      </c>
      <c r="W2662" s="19">
        <f>IF(OR(F2662="",I2662=""),"",IF(COUNTIFS(F$6:F2662,F2662,I$6:I2662,"?*")=1,MAX(W$5:W2661)+1,""))</f>
        <v/>
      </c>
    </row>
    <row r="2663">
      <c r="B2663" s="15" t="n"/>
      <c r="C2663" s="16" t="n"/>
      <c r="D2663" s="17" t="n"/>
      <c r="E2663" s="17" t="n"/>
      <c r="F2663" s="17" t="n"/>
      <c r="G2663" s="17" t="n"/>
      <c r="H2663" s="18">
        <f>IF(AND(B2663="",C2663="",D2663="",E2663=""),"",IF(B2663="","⚠ Falta fecha",IF(C2663="","⚠ Falta monto",IF(D2663="","⚠ Falta categoría",IF(ISNA(MATCH(D2663,catNom,0)),"⚠ Categoría no existe",IF(E2663="","⚠ Falta cuenta",IF(ISNA(MATCH(E2663,ctaNom,0)),"⚠ Cuenta no existe",IF(AND(OR(I2663="Transferencia",I2663="Pago tarjeta"),G2663=""),"⚠ Indica la cuenta «Hacia»",IF(AND(G2663&lt;&gt;"",G2663=E2663),"⚠ «Hacia» igual a la cuenta",IF(AND(G2663&lt;&gt;"",ISNA(MATCH(G2663,ctaNom,0))),"⚠ «Hacia» no existe",IF(AND(I2663="Pago tarjeta",IFERROR(INDEX(ctaTipo,MATCH(G2663,ctaNom,0)),"")&lt;&gt;"Tarjeta de crédito"),"⚠ «Hacia» debe ser la tarjeta",IF(AND(I2663="Trading",IFERROR(INDEX(ctaTipo,MATCH(E2663,ctaNom,0)),"")&lt;&gt;"Cuenta de trading"),"⚠ Usa la cuenta de trading","✓"))))))))))))</f>
        <v/>
      </c>
      <c r="I2663" s="19">
        <f>IF(OR(B2663="",C2663="",D2663=""),"",IFERROR(INDEX(catTipo,MATCH(D2663,catNom,0))&amp;"",""))</f>
        <v/>
      </c>
      <c r="J2663" s="19">
        <f>IF(I2663="","",IFERROR(INDEX(catGrupo,MATCH(D2663,catNom,0))&amp;"",""))</f>
        <v/>
      </c>
      <c r="K2663" s="19">
        <f>IF(I2663="Gasto",IF(IFERROR(INDEX(catClas,MATCH(D2663,catNom,0))&amp;"","")="","Variable",IFERROR(INDEX(catClas,MATCH(D2663,catNom,0))&amp;"","")),"")</f>
        <v/>
      </c>
      <c r="L2663" s="19">
        <f>IF(I2663="","",IFERROR(INDEX(catAlim,MATCH(D2663,catNom,0))&amp;"",""))</f>
        <v/>
      </c>
      <c r="M2663" s="19">
        <f>IF(I2663="","",IFERROR(INDEX(catComida,MATCH(D2663,catNom,0))&amp;"",""))</f>
        <v/>
      </c>
      <c r="N2663" s="19">
        <f>IF(I2663="","",IFERROR(INDEX(ctaMon,MATCH(E2663,ctaNom,0))&amp;"","DOP"))</f>
        <v/>
      </c>
      <c r="O2663" s="20">
        <f>IF(I2663="","",C2663*IF(N2663="USD",TasaUSD,1))</f>
        <v/>
      </c>
      <c r="P2663" s="20">
        <f>IF(I2663="","",IF(I2663="Gasto",O2663,0))</f>
        <v/>
      </c>
      <c r="Q2663" s="20">
        <f>IF(I2663="","",IF(I2663="Ingreso",O2663,0))</f>
        <v/>
      </c>
      <c r="R2663" s="20">
        <f>IF(I2663="","",IF(I2663="Trading",O2663,0))</f>
        <v/>
      </c>
      <c r="S2663" s="19">
        <f>IF(I2663="","",IF(AND(I2663="Gasto",K2663="Variable",J2663&lt;&gt;"Trading",O2663&gt;0,O2663&lt;=Umbral),1,0))</f>
        <v/>
      </c>
      <c r="T2663" s="20">
        <f>IF(OR(I2663="",E2663=""),"",IF(OR(I2663="Gasto",I2663="Transferencia",I2663="Pago tarjeta"),-1,1)*C2663)</f>
        <v/>
      </c>
      <c r="U2663" s="20">
        <f>IF(OR(G2663="",AND(I2663&lt;&gt;"Transferencia",I2663&lt;&gt;"Pago tarjeta")),"",IF(IFERROR(INDEX(ctaMon,MATCH(G2663,ctaNom,0))&amp;"","DOP")=N2663,C2663,IF(N2663="USD",C2663*TasaUSD,C2663/TasaUSD)))</f>
        <v/>
      </c>
      <c r="V2663" s="20">
        <f>IF(I2663="","",IF(IFERROR(INDEX(ctaLiq,MATCH(E2663,ctaNom,0))="Sí",FALSE),IF(OR(I2663="Gasto",I2663="Transferencia",I2663="Pago tarjeta"),-1,1)*O2663,0)+IF(AND(U2663&lt;&gt;"",IFERROR(INDEX(ctaLiq,MATCH(G2663,ctaNom,0))="Sí",FALSE)),O2663,0))</f>
        <v/>
      </c>
      <c r="W2663" s="19">
        <f>IF(OR(F2663="",I2663=""),"",IF(COUNTIFS(F$6:F2663,F2663,I$6:I2663,"?*")=1,MAX(W$5:W2662)+1,""))</f>
        <v/>
      </c>
    </row>
    <row r="2664">
      <c r="B2664" s="15" t="n"/>
      <c r="C2664" s="16" t="n"/>
      <c r="D2664" s="17" t="n"/>
      <c r="E2664" s="17" t="n"/>
      <c r="F2664" s="17" t="n"/>
      <c r="G2664" s="17" t="n"/>
      <c r="H2664" s="18">
        <f>IF(AND(B2664="",C2664="",D2664="",E2664=""),"",IF(B2664="","⚠ Falta fecha",IF(C2664="","⚠ Falta monto",IF(D2664="","⚠ Falta categoría",IF(ISNA(MATCH(D2664,catNom,0)),"⚠ Categoría no existe",IF(E2664="","⚠ Falta cuenta",IF(ISNA(MATCH(E2664,ctaNom,0)),"⚠ Cuenta no existe",IF(AND(OR(I2664="Transferencia",I2664="Pago tarjeta"),G2664=""),"⚠ Indica la cuenta «Hacia»",IF(AND(G2664&lt;&gt;"",G2664=E2664),"⚠ «Hacia» igual a la cuenta",IF(AND(G2664&lt;&gt;"",ISNA(MATCH(G2664,ctaNom,0))),"⚠ «Hacia» no existe",IF(AND(I2664="Pago tarjeta",IFERROR(INDEX(ctaTipo,MATCH(G2664,ctaNom,0)),"")&lt;&gt;"Tarjeta de crédito"),"⚠ «Hacia» debe ser la tarjeta",IF(AND(I2664="Trading",IFERROR(INDEX(ctaTipo,MATCH(E2664,ctaNom,0)),"")&lt;&gt;"Cuenta de trading"),"⚠ Usa la cuenta de trading","✓"))))))))))))</f>
        <v/>
      </c>
      <c r="I2664" s="19">
        <f>IF(OR(B2664="",C2664="",D2664=""),"",IFERROR(INDEX(catTipo,MATCH(D2664,catNom,0))&amp;"",""))</f>
        <v/>
      </c>
      <c r="J2664" s="19">
        <f>IF(I2664="","",IFERROR(INDEX(catGrupo,MATCH(D2664,catNom,0))&amp;"",""))</f>
        <v/>
      </c>
      <c r="K2664" s="19">
        <f>IF(I2664="Gasto",IF(IFERROR(INDEX(catClas,MATCH(D2664,catNom,0))&amp;"","")="","Variable",IFERROR(INDEX(catClas,MATCH(D2664,catNom,0))&amp;"","")),"")</f>
        <v/>
      </c>
      <c r="L2664" s="19">
        <f>IF(I2664="","",IFERROR(INDEX(catAlim,MATCH(D2664,catNom,0))&amp;"",""))</f>
        <v/>
      </c>
      <c r="M2664" s="19">
        <f>IF(I2664="","",IFERROR(INDEX(catComida,MATCH(D2664,catNom,0))&amp;"",""))</f>
        <v/>
      </c>
      <c r="N2664" s="19">
        <f>IF(I2664="","",IFERROR(INDEX(ctaMon,MATCH(E2664,ctaNom,0))&amp;"","DOP"))</f>
        <v/>
      </c>
      <c r="O2664" s="20">
        <f>IF(I2664="","",C2664*IF(N2664="USD",TasaUSD,1))</f>
        <v/>
      </c>
      <c r="P2664" s="20">
        <f>IF(I2664="","",IF(I2664="Gasto",O2664,0))</f>
        <v/>
      </c>
      <c r="Q2664" s="20">
        <f>IF(I2664="","",IF(I2664="Ingreso",O2664,0))</f>
        <v/>
      </c>
      <c r="R2664" s="20">
        <f>IF(I2664="","",IF(I2664="Trading",O2664,0))</f>
        <v/>
      </c>
      <c r="S2664" s="19">
        <f>IF(I2664="","",IF(AND(I2664="Gasto",K2664="Variable",J2664&lt;&gt;"Trading",O2664&gt;0,O2664&lt;=Umbral),1,0))</f>
        <v/>
      </c>
      <c r="T2664" s="20">
        <f>IF(OR(I2664="",E2664=""),"",IF(OR(I2664="Gasto",I2664="Transferencia",I2664="Pago tarjeta"),-1,1)*C2664)</f>
        <v/>
      </c>
      <c r="U2664" s="20">
        <f>IF(OR(G2664="",AND(I2664&lt;&gt;"Transferencia",I2664&lt;&gt;"Pago tarjeta")),"",IF(IFERROR(INDEX(ctaMon,MATCH(G2664,ctaNom,0))&amp;"","DOP")=N2664,C2664,IF(N2664="USD",C2664*TasaUSD,C2664/TasaUSD)))</f>
        <v/>
      </c>
      <c r="V2664" s="20">
        <f>IF(I2664="","",IF(IFERROR(INDEX(ctaLiq,MATCH(E2664,ctaNom,0))="Sí",FALSE),IF(OR(I2664="Gasto",I2664="Transferencia",I2664="Pago tarjeta"),-1,1)*O2664,0)+IF(AND(U2664&lt;&gt;"",IFERROR(INDEX(ctaLiq,MATCH(G2664,ctaNom,0))="Sí",FALSE)),O2664,0))</f>
        <v/>
      </c>
      <c r="W2664" s="19">
        <f>IF(OR(F2664="",I2664=""),"",IF(COUNTIFS(F$6:F2664,F2664,I$6:I2664,"?*")=1,MAX(W$5:W2663)+1,""))</f>
        <v/>
      </c>
    </row>
    <row r="2665">
      <c r="B2665" s="15" t="n"/>
      <c r="C2665" s="16" t="n"/>
      <c r="D2665" s="17" t="n"/>
      <c r="E2665" s="17" t="n"/>
      <c r="F2665" s="17" t="n"/>
      <c r="G2665" s="17" t="n"/>
      <c r="H2665" s="18">
        <f>IF(AND(B2665="",C2665="",D2665="",E2665=""),"",IF(B2665="","⚠ Falta fecha",IF(C2665="","⚠ Falta monto",IF(D2665="","⚠ Falta categoría",IF(ISNA(MATCH(D2665,catNom,0)),"⚠ Categoría no existe",IF(E2665="","⚠ Falta cuenta",IF(ISNA(MATCH(E2665,ctaNom,0)),"⚠ Cuenta no existe",IF(AND(OR(I2665="Transferencia",I2665="Pago tarjeta"),G2665=""),"⚠ Indica la cuenta «Hacia»",IF(AND(G2665&lt;&gt;"",G2665=E2665),"⚠ «Hacia» igual a la cuenta",IF(AND(G2665&lt;&gt;"",ISNA(MATCH(G2665,ctaNom,0))),"⚠ «Hacia» no existe",IF(AND(I2665="Pago tarjeta",IFERROR(INDEX(ctaTipo,MATCH(G2665,ctaNom,0)),"")&lt;&gt;"Tarjeta de crédito"),"⚠ «Hacia» debe ser la tarjeta",IF(AND(I2665="Trading",IFERROR(INDEX(ctaTipo,MATCH(E2665,ctaNom,0)),"")&lt;&gt;"Cuenta de trading"),"⚠ Usa la cuenta de trading","✓"))))))))))))</f>
        <v/>
      </c>
      <c r="I2665" s="19">
        <f>IF(OR(B2665="",C2665="",D2665=""),"",IFERROR(INDEX(catTipo,MATCH(D2665,catNom,0))&amp;"",""))</f>
        <v/>
      </c>
      <c r="J2665" s="19">
        <f>IF(I2665="","",IFERROR(INDEX(catGrupo,MATCH(D2665,catNom,0))&amp;"",""))</f>
        <v/>
      </c>
      <c r="K2665" s="19">
        <f>IF(I2665="Gasto",IF(IFERROR(INDEX(catClas,MATCH(D2665,catNom,0))&amp;"","")="","Variable",IFERROR(INDEX(catClas,MATCH(D2665,catNom,0))&amp;"","")),"")</f>
        <v/>
      </c>
      <c r="L2665" s="19">
        <f>IF(I2665="","",IFERROR(INDEX(catAlim,MATCH(D2665,catNom,0))&amp;"",""))</f>
        <v/>
      </c>
      <c r="M2665" s="19">
        <f>IF(I2665="","",IFERROR(INDEX(catComida,MATCH(D2665,catNom,0))&amp;"",""))</f>
        <v/>
      </c>
      <c r="N2665" s="19">
        <f>IF(I2665="","",IFERROR(INDEX(ctaMon,MATCH(E2665,ctaNom,0))&amp;"","DOP"))</f>
        <v/>
      </c>
      <c r="O2665" s="20">
        <f>IF(I2665="","",C2665*IF(N2665="USD",TasaUSD,1))</f>
        <v/>
      </c>
      <c r="P2665" s="20">
        <f>IF(I2665="","",IF(I2665="Gasto",O2665,0))</f>
        <v/>
      </c>
      <c r="Q2665" s="20">
        <f>IF(I2665="","",IF(I2665="Ingreso",O2665,0))</f>
        <v/>
      </c>
      <c r="R2665" s="20">
        <f>IF(I2665="","",IF(I2665="Trading",O2665,0))</f>
        <v/>
      </c>
      <c r="S2665" s="19">
        <f>IF(I2665="","",IF(AND(I2665="Gasto",K2665="Variable",J2665&lt;&gt;"Trading",O2665&gt;0,O2665&lt;=Umbral),1,0))</f>
        <v/>
      </c>
      <c r="T2665" s="20">
        <f>IF(OR(I2665="",E2665=""),"",IF(OR(I2665="Gasto",I2665="Transferencia",I2665="Pago tarjeta"),-1,1)*C2665)</f>
        <v/>
      </c>
      <c r="U2665" s="20">
        <f>IF(OR(G2665="",AND(I2665&lt;&gt;"Transferencia",I2665&lt;&gt;"Pago tarjeta")),"",IF(IFERROR(INDEX(ctaMon,MATCH(G2665,ctaNom,0))&amp;"","DOP")=N2665,C2665,IF(N2665="USD",C2665*TasaUSD,C2665/TasaUSD)))</f>
        <v/>
      </c>
      <c r="V2665" s="20">
        <f>IF(I2665="","",IF(IFERROR(INDEX(ctaLiq,MATCH(E2665,ctaNom,0))="Sí",FALSE),IF(OR(I2665="Gasto",I2665="Transferencia",I2665="Pago tarjeta"),-1,1)*O2665,0)+IF(AND(U2665&lt;&gt;"",IFERROR(INDEX(ctaLiq,MATCH(G2665,ctaNom,0))="Sí",FALSE)),O2665,0))</f>
        <v/>
      </c>
      <c r="W2665" s="19">
        <f>IF(OR(F2665="",I2665=""),"",IF(COUNTIFS(F$6:F2665,F2665,I$6:I2665,"?*")=1,MAX(W$5:W2664)+1,""))</f>
        <v/>
      </c>
    </row>
    <row r="2666">
      <c r="B2666" s="15" t="n"/>
      <c r="C2666" s="16" t="n"/>
      <c r="D2666" s="17" t="n"/>
      <c r="E2666" s="17" t="n"/>
      <c r="F2666" s="17" t="n"/>
      <c r="G2666" s="17" t="n"/>
      <c r="H2666" s="18">
        <f>IF(AND(B2666="",C2666="",D2666="",E2666=""),"",IF(B2666="","⚠ Falta fecha",IF(C2666="","⚠ Falta monto",IF(D2666="","⚠ Falta categoría",IF(ISNA(MATCH(D2666,catNom,0)),"⚠ Categoría no existe",IF(E2666="","⚠ Falta cuenta",IF(ISNA(MATCH(E2666,ctaNom,0)),"⚠ Cuenta no existe",IF(AND(OR(I2666="Transferencia",I2666="Pago tarjeta"),G2666=""),"⚠ Indica la cuenta «Hacia»",IF(AND(G2666&lt;&gt;"",G2666=E2666),"⚠ «Hacia» igual a la cuenta",IF(AND(G2666&lt;&gt;"",ISNA(MATCH(G2666,ctaNom,0))),"⚠ «Hacia» no existe",IF(AND(I2666="Pago tarjeta",IFERROR(INDEX(ctaTipo,MATCH(G2666,ctaNom,0)),"")&lt;&gt;"Tarjeta de crédito"),"⚠ «Hacia» debe ser la tarjeta",IF(AND(I2666="Trading",IFERROR(INDEX(ctaTipo,MATCH(E2666,ctaNom,0)),"")&lt;&gt;"Cuenta de trading"),"⚠ Usa la cuenta de trading","✓"))))))))))))</f>
        <v/>
      </c>
      <c r="I2666" s="19">
        <f>IF(OR(B2666="",C2666="",D2666=""),"",IFERROR(INDEX(catTipo,MATCH(D2666,catNom,0))&amp;"",""))</f>
        <v/>
      </c>
      <c r="J2666" s="19">
        <f>IF(I2666="","",IFERROR(INDEX(catGrupo,MATCH(D2666,catNom,0))&amp;"",""))</f>
        <v/>
      </c>
      <c r="K2666" s="19">
        <f>IF(I2666="Gasto",IF(IFERROR(INDEX(catClas,MATCH(D2666,catNom,0))&amp;"","")="","Variable",IFERROR(INDEX(catClas,MATCH(D2666,catNom,0))&amp;"","")),"")</f>
        <v/>
      </c>
      <c r="L2666" s="19">
        <f>IF(I2666="","",IFERROR(INDEX(catAlim,MATCH(D2666,catNom,0))&amp;"",""))</f>
        <v/>
      </c>
      <c r="M2666" s="19">
        <f>IF(I2666="","",IFERROR(INDEX(catComida,MATCH(D2666,catNom,0))&amp;"",""))</f>
        <v/>
      </c>
      <c r="N2666" s="19">
        <f>IF(I2666="","",IFERROR(INDEX(ctaMon,MATCH(E2666,ctaNom,0))&amp;"","DOP"))</f>
        <v/>
      </c>
      <c r="O2666" s="20">
        <f>IF(I2666="","",C2666*IF(N2666="USD",TasaUSD,1))</f>
        <v/>
      </c>
      <c r="P2666" s="20">
        <f>IF(I2666="","",IF(I2666="Gasto",O2666,0))</f>
        <v/>
      </c>
      <c r="Q2666" s="20">
        <f>IF(I2666="","",IF(I2666="Ingreso",O2666,0))</f>
        <v/>
      </c>
      <c r="R2666" s="20">
        <f>IF(I2666="","",IF(I2666="Trading",O2666,0))</f>
        <v/>
      </c>
      <c r="S2666" s="19">
        <f>IF(I2666="","",IF(AND(I2666="Gasto",K2666="Variable",J2666&lt;&gt;"Trading",O2666&gt;0,O2666&lt;=Umbral),1,0))</f>
        <v/>
      </c>
      <c r="T2666" s="20">
        <f>IF(OR(I2666="",E2666=""),"",IF(OR(I2666="Gasto",I2666="Transferencia",I2666="Pago tarjeta"),-1,1)*C2666)</f>
        <v/>
      </c>
      <c r="U2666" s="20">
        <f>IF(OR(G2666="",AND(I2666&lt;&gt;"Transferencia",I2666&lt;&gt;"Pago tarjeta")),"",IF(IFERROR(INDEX(ctaMon,MATCH(G2666,ctaNom,0))&amp;"","DOP")=N2666,C2666,IF(N2666="USD",C2666*TasaUSD,C2666/TasaUSD)))</f>
        <v/>
      </c>
      <c r="V2666" s="20">
        <f>IF(I2666="","",IF(IFERROR(INDEX(ctaLiq,MATCH(E2666,ctaNom,0))="Sí",FALSE),IF(OR(I2666="Gasto",I2666="Transferencia",I2666="Pago tarjeta"),-1,1)*O2666,0)+IF(AND(U2666&lt;&gt;"",IFERROR(INDEX(ctaLiq,MATCH(G2666,ctaNom,0))="Sí",FALSE)),O2666,0))</f>
        <v/>
      </c>
      <c r="W2666" s="19">
        <f>IF(OR(F2666="",I2666=""),"",IF(COUNTIFS(F$6:F2666,F2666,I$6:I2666,"?*")=1,MAX(W$5:W2665)+1,""))</f>
        <v/>
      </c>
    </row>
    <row r="2667">
      <c r="B2667" s="15" t="n"/>
      <c r="C2667" s="16" t="n"/>
      <c r="D2667" s="17" t="n"/>
      <c r="E2667" s="17" t="n"/>
      <c r="F2667" s="17" t="n"/>
      <c r="G2667" s="17" t="n"/>
      <c r="H2667" s="18">
        <f>IF(AND(B2667="",C2667="",D2667="",E2667=""),"",IF(B2667="","⚠ Falta fecha",IF(C2667="","⚠ Falta monto",IF(D2667="","⚠ Falta categoría",IF(ISNA(MATCH(D2667,catNom,0)),"⚠ Categoría no existe",IF(E2667="","⚠ Falta cuenta",IF(ISNA(MATCH(E2667,ctaNom,0)),"⚠ Cuenta no existe",IF(AND(OR(I2667="Transferencia",I2667="Pago tarjeta"),G2667=""),"⚠ Indica la cuenta «Hacia»",IF(AND(G2667&lt;&gt;"",G2667=E2667),"⚠ «Hacia» igual a la cuenta",IF(AND(G2667&lt;&gt;"",ISNA(MATCH(G2667,ctaNom,0))),"⚠ «Hacia» no existe",IF(AND(I2667="Pago tarjeta",IFERROR(INDEX(ctaTipo,MATCH(G2667,ctaNom,0)),"")&lt;&gt;"Tarjeta de crédito"),"⚠ «Hacia» debe ser la tarjeta",IF(AND(I2667="Trading",IFERROR(INDEX(ctaTipo,MATCH(E2667,ctaNom,0)),"")&lt;&gt;"Cuenta de trading"),"⚠ Usa la cuenta de trading","✓"))))))))))))</f>
        <v/>
      </c>
      <c r="I2667" s="19">
        <f>IF(OR(B2667="",C2667="",D2667=""),"",IFERROR(INDEX(catTipo,MATCH(D2667,catNom,0))&amp;"",""))</f>
        <v/>
      </c>
      <c r="J2667" s="19">
        <f>IF(I2667="","",IFERROR(INDEX(catGrupo,MATCH(D2667,catNom,0))&amp;"",""))</f>
        <v/>
      </c>
      <c r="K2667" s="19">
        <f>IF(I2667="Gasto",IF(IFERROR(INDEX(catClas,MATCH(D2667,catNom,0))&amp;"","")="","Variable",IFERROR(INDEX(catClas,MATCH(D2667,catNom,0))&amp;"","")),"")</f>
        <v/>
      </c>
      <c r="L2667" s="19">
        <f>IF(I2667="","",IFERROR(INDEX(catAlim,MATCH(D2667,catNom,0))&amp;"",""))</f>
        <v/>
      </c>
      <c r="M2667" s="19">
        <f>IF(I2667="","",IFERROR(INDEX(catComida,MATCH(D2667,catNom,0))&amp;"",""))</f>
        <v/>
      </c>
      <c r="N2667" s="19">
        <f>IF(I2667="","",IFERROR(INDEX(ctaMon,MATCH(E2667,ctaNom,0))&amp;"","DOP"))</f>
        <v/>
      </c>
      <c r="O2667" s="20">
        <f>IF(I2667="","",C2667*IF(N2667="USD",TasaUSD,1))</f>
        <v/>
      </c>
      <c r="P2667" s="20">
        <f>IF(I2667="","",IF(I2667="Gasto",O2667,0))</f>
        <v/>
      </c>
      <c r="Q2667" s="20">
        <f>IF(I2667="","",IF(I2667="Ingreso",O2667,0))</f>
        <v/>
      </c>
      <c r="R2667" s="20">
        <f>IF(I2667="","",IF(I2667="Trading",O2667,0))</f>
        <v/>
      </c>
      <c r="S2667" s="19">
        <f>IF(I2667="","",IF(AND(I2667="Gasto",K2667="Variable",J2667&lt;&gt;"Trading",O2667&gt;0,O2667&lt;=Umbral),1,0))</f>
        <v/>
      </c>
      <c r="T2667" s="20">
        <f>IF(OR(I2667="",E2667=""),"",IF(OR(I2667="Gasto",I2667="Transferencia",I2667="Pago tarjeta"),-1,1)*C2667)</f>
        <v/>
      </c>
      <c r="U2667" s="20">
        <f>IF(OR(G2667="",AND(I2667&lt;&gt;"Transferencia",I2667&lt;&gt;"Pago tarjeta")),"",IF(IFERROR(INDEX(ctaMon,MATCH(G2667,ctaNom,0))&amp;"","DOP")=N2667,C2667,IF(N2667="USD",C2667*TasaUSD,C2667/TasaUSD)))</f>
        <v/>
      </c>
      <c r="V2667" s="20">
        <f>IF(I2667="","",IF(IFERROR(INDEX(ctaLiq,MATCH(E2667,ctaNom,0))="Sí",FALSE),IF(OR(I2667="Gasto",I2667="Transferencia",I2667="Pago tarjeta"),-1,1)*O2667,0)+IF(AND(U2667&lt;&gt;"",IFERROR(INDEX(ctaLiq,MATCH(G2667,ctaNom,0))="Sí",FALSE)),O2667,0))</f>
        <v/>
      </c>
      <c r="W2667" s="19">
        <f>IF(OR(F2667="",I2667=""),"",IF(COUNTIFS(F$6:F2667,F2667,I$6:I2667,"?*")=1,MAX(W$5:W2666)+1,""))</f>
        <v/>
      </c>
    </row>
    <row r="2668">
      <c r="B2668" s="15" t="n"/>
      <c r="C2668" s="16" t="n"/>
      <c r="D2668" s="17" t="n"/>
      <c r="E2668" s="17" t="n"/>
      <c r="F2668" s="17" t="n"/>
      <c r="G2668" s="17" t="n"/>
      <c r="H2668" s="18">
        <f>IF(AND(B2668="",C2668="",D2668="",E2668=""),"",IF(B2668="","⚠ Falta fecha",IF(C2668="","⚠ Falta monto",IF(D2668="","⚠ Falta categoría",IF(ISNA(MATCH(D2668,catNom,0)),"⚠ Categoría no existe",IF(E2668="","⚠ Falta cuenta",IF(ISNA(MATCH(E2668,ctaNom,0)),"⚠ Cuenta no existe",IF(AND(OR(I2668="Transferencia",I2668="Pago tarjeta"),G2668=""),"⚠ Indica la cuenta «Hacia»",IF(AND(G2668&lt;&gt;"",G2668=E2668),"⚠ «Hacia» igual a la cuenta",IF(AND(G2668&lt;&gt;"",ISNA(MATCH(G2668,ctaNom,0))),"⚠ «Hacia» no existe",IF(AND(I2668="Pago tarjeta",IFERROR(INDEX(ctaTipo,MATCH(G2668,ctaNom,0)),"")&lt;&gt;"Tarjeta de crédito"),"⚠ «Hacia» debe ser la tarjeta",IF(AND(I2668="Trading",IFERROR(INDEX(ctaTipo,MATCH(E2668,ctaNom,0)),"")&lt;&gt;"Cuenta de trading"),"⚠ Usa la cuenta de trading","✓"))))))))))))</f>
        <v/>
      </c>
      <c r="I2668" s="19">
        <f>IF(OR(B2668="",C2668="",D2668=""),"",IFERROR(INDEX(catTipo,MATCH(D2668,catNom,0))&amp;"",""))</f>
        <v/>
      </c>
      <c r="J2668" s="19">
        <f>IF(I2668="","",IFERROR(INDEX(catGrupo,MATCH(D2668,catNom,0))&amp;"",""))</f>
        <v/>
      </c>
      <c r="K2668" s="19">
        <f>IF(I2668="Gasto",IF(IFERROR(INDEX(catClas,MATCH(D2668,catNom,0))&amp;"","")="","Variable",IFERROR(INDEX(catClas,MATCH(D2668,catNom,0))&amp;"","")),"")</f>
        <v/>
      </c>
      <c r="L2668" s="19">
        <f>IF(I2668="","",IFERROR(INDEX(catAlim,MATCH(D2668,catNom,0))&amp;"",""))</f>
        <v/>
      </c>
      <c r="M2668" s="19">
        <f>IF(I2668="","",IFERROR(INDEX(catComida,MATCH(D2668,catNom,0))&amp;"",""))</f>
        <v/>
      </c>
      <c r="N2668" s="19">
        <f>IF(I2668="","",IFERROR(INDEX(ctaMon,MATCH(E2668,ctaNom,0))&amp;"","DOP"))</f>
        <v/>
      </c>
      <c r="O2668" s="20">
        <f>IF(I2668="","",C2668*IF(N2668="USD",TasaUSD,1))</f>
        <v/>
      </c>
      <c r="P2668" s="20">
        <f>IF(I2668="","",IF(I2668="Gasto",O2668,0))</f>
        <v/>
      </c>
      <c r="Q2668" s="20">
        <f>IF(I2668="","",IF(I2668="Ingreso",O2668,0))</f>
        <v/>
      </c>
      <c r="R2668" s="20">
        <f>IF(I2668="","",IF(I2668="Trading",O2668,0))</f>
        <v/>
      </c>
      <c r="S2668" s="19">
        <f>IF(I2668="","",IF(AND(I2668="Gasto",K2668="Variable",J2668&lt;&gt;"Trading",O2668&gt;0,O2668&lt;=Umbral),1,0))</f>
        <v/>
      </c>
      <c r="T2668" s="20">
        <f>IF(OR(I2668="",E2668=""),"",IF(OR(I2668="Gasto",I2668="Transferencia",I2668="Pago tarjeta"),-1,1)*C2668)</f>
        <v/>
      </c>
      <c r="U2668" s="20">
        <f>IF(OR(G2668="",AND(I2668&lt;&gt;"Transferencia",I2668&lt;&gt;"Pago tarjeta")),"",IF(IFERROR(INDEX(ctaMon,MATCH(G2668,ctaNom,0))&amp;"","DOP")=N2668,C2668,IF(N2668="USD",C2668*TasaUSD,C2668/TasaUSD)))</f>
        <v/>
      </c>
      <c r="V2668" s="20">
        <f>IF(I2668="","",IF(IFERROR(INDEX(ctaLiq,MATCH(E2668,ctaNom,0))="Sí",FALSE),IF(OR(I2668="Gasto",I2668="Transferencia",I2668="Pago tarjeta"),-1,1)*O2668,0)+IF(AND(U2668&lt;&gt;"",IFERROR(INDEX(ctaLiq,MATCH(G2668,ctaNom,0))="Sí",FALSE)),O2668,0))</f>
        <v/>
      </c>
      <c r="W2668" s="19">
        <f>IF(OR(F2668="",I2668=""),"",IF(COUNTIFS(F$6:F2668,F2668,I$6:I2668,"?*")=1,MAX(W$5:W2667)+1,""))</f>
        <v/>
      </c>
    </row>
    <row r="2669">
      <c r="B2669" s="15" t="n"/>
      <c r="C2669" s="16" t="n"/>
      <c r="D2669" s="17" t="n"/>
      <c r="E2669" s="17" t="n"/>
      <c r="F2669" s="17" t="n"/>
      <c r="G2669" s="17" t="n"/>
      <c r="H2669" s="18">
        <f>IF(AND(B2669="",C2669="",D2669="",E2669=""),"",IF(B2669="","⚠ Falta fecha",IF(C2669="","⚠ Falta monto",IF(D2669="","⚠ Falta categoría",IF(ISNA(MATCH(D2669,catNom,0)),"⚠ Categoría no existe",IF(E2669="","⚠ Falta cuenta",IF(ISNA(MATCH(E2669,ctaNom,0)),"⚠ Cuenta no existe",IF(AND(OR(I2669="Transferencia",I2669="Pago tarjeta"),G2669=""),"⚠ Indica la cuenta «Hacia»",IF(AND(G2669&lt;&gt;"",G2669=E2669),"⚠ «Hacia» igual a la cuenta",IF(AND(G2669&lt;&gt;"",ISNA(MATCH(G2669,ctaNom,0))),"⚠ «Hacia» no existe",IF(AND(I2669="Pago tarjeta",IFERROR(INDEX(ctaTipo,MATCH(G2669,ctaNom,0)),"")&lt;&gt;"Tarjeta de crédito"),"⚠ «Hacia» debe ser la tarjeta",IF(AND(I2669="Trading",IFERROR(INDEX(ctaTipo,MATCH(E2669,ctaNom,0)),"")&lt;&gt;"Cuenta de trading"),"⚠ Usa la cuenta de trading","✓"))))))))))))</f>
        <v/>
      </c>
      <c r="I2669" s="19">
        <f>IF(OR(B2669="",C2669="",D2669=""),"",IFERROR(INDEX(catTipo,MATCH(D2669,catNom,0))&amp;"",""))</f>
        <v/>
      </c>
      <c r="J2669" s="19">
        <f>IF(I2669="","",IFERROR(INDEX(catGrupo,MATCH(D2669,catNom,0))&amp;"",""))</f>
        <v/>
      </c>
      <c r="K2669" s="19">
        <f>IF(I2669="Gasto",IF(IFERROR(INDEX(catClas,MATCH(D2669,catNom,0))&amp;"","")="","Variable",IFERROR(INDEX(catClas,MATCH(D2669,catNom,0))&amp;"","")),"")</f>
        <v/>
      </c>
      <c r="L2669" s="19">
        <f>IF(I2669="","",IFERROR(INDEX(catAlim,MATCH(D2669,catNom,0))&amp;"",""))</f>
        <v/>
      </c>
      <c r="M2669" s="19">
        <f>IF(I2669="","",IFERROR(INDEX(catComida,MATCH(D2669,catNom,0))&amp;"",""))</f>
        <v/>
      </c>
      <c r="N2669" s="19">
        <f>IF(I2669="","",IFERROR(INDEX(ctaMon,MATCH(E2669,ctaNom,0))&amp;"","DOP"))</f>
        <v/>
      </c>
      <c r="O2669" s="20">
        <f>IF(I2669="","",C2669*IF(N2669="USD",TasaUSD,1))</f>
        <v/>
      </c>
      <c r="P2669" s="20">
        <f>IF(I2669="","",IF(I2669="Gasto",O2669,0))</f>
        <v/>
      </c>
      <c r="Q2669" s="20">
        <f>IF(I2669="","",IF(I2669="Ingreso",O2669,0))</f>
        <v/>
      </c>
      <c r="R2669" s="20">
        <f>IF(I2669="","",IF(I2669="Trading",O2669,0))</f>
        <v/>
      </c>
      <c r="S2669" s="19">
        <f>IF(I2669="","",IF(AND(I2669="Gasto",K2669="Variable",J2669&lt;&gt;"Trading",O2669&gt;0,O2669&lt;=Umbral),1,0))</f>
        <v/>
      </c>
      <c r="T2669" s="20">
        <f>IF(OR(I2669="",E2669=""),"",IF(OR(I2669="Gasto",I2669="Transferencia",I2669="Pago tarjeta"),-1,1)*C2669)</f>
        <v/>
      </c>
      <c r="U2669" s="20">
        <f>IF(OR(G2669="",AND(I2669&lt;&gt;"Transferencia",I2669&lt;&gt;"Pago tarjeta")),"",IF(IFERROR(INDEX(ctaMon,MATCH(G2669,ctaNom,0))&amp;"","DOP")=N2669,C2669,IF(N2669="USD",C2669*TasaUSD,C2669/TasaUSD)))</f>
        <v/>
      </c>
      <c r="V2669" s="20">
        <f>IF(I2669="","",IF(IFERROR(INDEX(ctaLiq,MATCH(E2669,ctaNom,0))="Sí",FALSE),IF(OR(I2669="Gasto",I2669="Transferencia",I2669="Pago tarjeta"),-1,1)*O2669,0)+IF(AND(U2669&lt;&gt;"",IFERROR(INDEX(ctaLiq,MATCH(G2669,ctaNom,0))="Sí",FALSE)),O2669,0))</f>
        <v/>
      </c>
      <c r="W2669" s="19">
        <f>IF(OR(F2669="",I2669=""),"",IF(COUNTIFS(F$6:F2669,F2669,I$6:I2669,"?*")=1,MAX(W$5:W2668)+1,""))</f>
        <v/>
      </c>
    </row>
    <row r="2670">
      <c r="B2670" s="15" t="n"/>
      <c r="C2670" s="16" t="n"/>
      <c r="D2670" s="17" t="n"/>
      <c r="E2670" s="17" t="n"/>
      <c r="F2670" s="17" t="n"/>
      <c r="G2670" s="17" t="n"/>
      <c r="H2670" s="18">
        <f>IF(AND(B2670="",C2670="",D2670="",E2670=""),"",IF(B2670="","⚠ Falta fecha",IF(C2670="","⚠ Falta monto",IF(D2670="","⚠ Falta categoría",IF(ISNA(MATCH(D2670,catNom,0)),"⚠ Categoría no existe",IF(E2670="","⚠ Falta cuenta",IF(ISNA(MATCH(E2670,ctaNom,0)),"⚠ Cuenta no existe",IF(AND(OR(I2670="Transferencia",I2670="Pago tarjeta"),G2670=""),"⚠ Indica la cuenta «Hacia»",IF(AND(G2670&lt;&gt;"",G2670=E2670),"⚠ «Hacia» igual a la cuenta",IF(AND(G2670&lt;&gt;"",ISNA(MATCH(G2670,ctaNom,0))),"⚠ «Hacia» no existe",IF(AND(I2670="Pago tarjeta",IFERROR(INDEX(ctaTipo,MATCH(G2670,ctaNom,0)),"")&lt;&gt;"Tarjeta de crédito"),"⚠ «Hacia» debe ser la tarjeta",IF(AND(I2670="Trading",IFERROR(INDEX(ctaTipo,MATCH(E2670,ctaNom,0)),"")&lt;&gt;"Cuenta de trading"),"⚠ Usa la cuenta de trading","✓"))))))))))))</f>
        <v/>
      </c>
      <c r="I2670" s="19">
        <f>IF(OR(B2670="",C2670="",D2670=""),"",IFERROR(INDEX(catTipo,MATCH(D2670,catNom,0))&amp;"",""))</f>
        <v/>
      </c>
      <c r="J2670" s="19">
        <f>IF(I2670="","",IFERROR(INDEX(catGrupo,MATCH(D2670,catNom,0))&amp;"",""))</f>
        <v/>
      </c>
      <c r="K2670" s="19">
        <f>IF(I2670="Gasto",IF(IFERROR(INDEX(catClas,MATCH(D2670,catNom,0))&amp;"","")="","Variable",IFERROR(INDEX(catClas,MATCH(D2670,catNom,0))&amp;"","")),"")</f>
        <v/>
      </c>
      <c r="L2670" s="19">
        <f>IF(I2670="","",IFERROR(INDEX(catAlim,MATCH(D2670,catNom,0))&amp;"",""))</f>
        <v/>
      </c>
      <c r="M2670" s="19">
        <f>IF(I2670="","",IFERROR(INDEX(catComida,MATCH(D2670,catNom,0))&amp;"",""))</f>
        <v/>
      </c>
      <c r="N2670" s="19">
        <f>IF(I2670="","",IFERROR(INDEX(ctaMon,MATCH(E2670,ctaNom,0))&amp;"","DOP"))</f>
        <v/>
      </c>
      <c r="O2670" s="20">
        <f>IF(I2670="","",C2670*IF(N2670="USD",TasaUSD,1))</f>
        <v/>
      </c>
      <c r="P2670" s="20">
        <f>IF(I2670="","",IF(I2670="Gasto",O2670,0))</f>
        <v/>
      </c>
      <c r="Q2670" s="20">
        <f>IF(I2670="","",IF(I2670="Ingreso",O2670,0))</f>
        <v/>
      </c>
      <c r="R2670" s="20">
        <f>IF(I2670="","",IF(I2670="Trading",O2670,0))</f>
        <v/>
      </c>
      <c r="S2670" s="19">
        <f>IF(I2670="","",IF(AND(I2670="Gasto",K2670="Variable",J2670&lt;&gt;"Trading",O2670&gt;0,O2670&lt;=Umbral),1,0))</f>
        <v/>
      </c>
      <c r="T2670" s="20">
        <f>IF(OR(I2670="",E2670=""),"",IF(OR(I2670="Gasto",I2670="Transferencia",I2670="Pago tarjeta"),-1,1)*C2670)</f>
        <v/>
      </c>
      <c r="U2670" s="20">
        <f>IF(OR(G2670="",AND(I2670&lt;&gt;"Transferencia",I2670&lt;&gt;"Pago tarjeta")),"",IF(IFERROR(INDEX(ctaMon,MATCH(G2670,ctaNom,0))&amp;"","DOP")=N2670,C2670,IF(N2670="USD",C2670*TasaUSD,C2670/TasaUSD)))</f>
        <v/>
      </c>
      <c r="V2670" s="20">
        <f>IF(I2670="","",IF(IFERROR(INDEX(ctaLiq,MATCH(E2670,ctaNom,0))="Sí",FALSE),IF(OR(I2670="Gasto",I2670="Transferencia",I2670="Pago tarjeta"),-1,1)*O2670,0)+IF(AND(U2670&lt;&gt;"",IFERROR(INDEX(ctaLiq,MATCH(G2670,ctaNom,0))="Sí",FALSE)),O2670,0))</f>
        <v/>
      </c>
      <c r="W2670" s="19">
        <f>IF(OR(F2670="",I2670=""),"",IF(COUNTIFS(F$6:F2670,F2670,I$6:I2670,"?*")=1,MAX(W$5:W2669)+1,""))</f>
        <v/>
      </c>
    </row>
    <row r="2671">
      <c r="B2671" s="15" t="n"/>
      <c r="C2671" s="16" t="n"/>
      <c r="D2671" s="17" t="n"/>
      <c r="E2671" s="17" t="n"/>
      <c r="F2671" s="17" t="n"/>
      <c r="G2671" s="17" t="n"/>
      <c r="H2671" s="18">
        <f>IF(AND(B2671="",C2671="",D2671="",E2671=""),"",IF(B2671="","⚠ Falta fecha",IF(C2671="","⚠ Falta monto",IF(D2671="","⚠ Falta categoría",IF(ISNA(MATCH(D2671,catNom,0)),"⚠ Categoría no existe",IF(E2671="","⚠ Falta cuenta",IF(ISNA(MATCH(E2671,ctaNom,0)),"⚠ Cuenta no existe",IF(AND(OR(I2671="Transferencia",I2671="Pago tarjeta"),G2671=""),"⚠ Indica la cuenta «Hacia»",IF(AND(G2671&lt;&gt;"",G2671=E2671),"⚠ «Hacia» igual a la cuenta",IF(AND(G2671&lt;&gt;"",ISNA(MATCH(G2671,ctaNom,0))),"⚠ «Hacia» no existe",IF(AND(I2671="Pago tarjeta",IFERROR(INDEX(ctaTipo,MATCH(G2671,ctaNom,0)),"")&lt;&gt;"Tarjeta de crédito"),"⚠ «Hacia» debe ser la tarjeta",IF(AND(I2671="Trading",IFERROR(INDEX(ctaTipo,MATCH(E2671,ctaNom,0)),"")&lt;&gt;"Cuenta de trading"),"⚠ Usa la cuenta de trading","✓"))))))))))))</f>
        <v/>
      </c>
      <c r="I2671" s="19">
        <f>IF(OR(B2671="",C2671="",D2671=""),"",IFERROR(INDEX(catTipo,MATCH(D2671,catNom,0))&amp;"",""))</f>
        <v/>
      </c>
      <c r="J2671" s="19">
        <f>IF(I2671="","",IFERROR(INDEX(catGrupo,MATCH(D2671,catNom,0))&amp;"",""))</f>
        <v/>
      </c>
      <c r="K2671" s="19">
        <f>IF(I2671="Gasto",IF(IFERROR(INDEX(catClas,MATCH(D2671,catNom,0))&amp;"","")="","Variable",IFERROR(INDEX(catClas,MATCH(D2671,catNom,0))&amp;"","")),"")</f>
        <v/>
      </c>
      <c r="L2671" s="19">
        <f>IF(I2671="","",IFERROR(INDEX(catAlim,MATCH(D2671,catNom,0))&amp;"",""))</f>
        <v/>
      </c>
      <c r="M2671" s="19">
        <f>IF(I2671="","",IFERROR(INDEX(catComida,MATCH(D2671,catNom,0))&amp;"",""))</f>
        <v/>
      </c>
      <c r="N2671" s="19">
        <f>IF(I2671="","",IFERROR(INDEX(ctaMon,MATCH(E2671,ctaNom,0))&amp;"","DOP"))</f>
        <v/>
      </c>
      <c r="O2671" s="20">
        <f>IF(I2671="","",C2671*IF(N2671="USD",TasaUSD,1))</f>
        <v/>
      </c>
      <c r="P2671" s="20">
        <f>IF(I2671="","",IF(I2671="Gasto",O2671,0))</f>
        <v/>
      </c>
      <c r="Q2671" s="20">
        <f>IF(I2671="","",IF(I2671="Ingreso",O2671,0))</f>
        <v/>
      </c>
      <c r="R2671" s="20">
        <f>IF(I2671="","",IF(I2671="Trading",O2671,0))</f>
        <v/>
      </c>
      <c r="S2671" s="19">
        <f>IF(I2671="","",IF(AND(I2671="Gasto",K2671="Variable",J2671&lt;&gt;"Trading",O2671&gt;0,O2671&lt;=Umbral),1,0))</f>
        <v/>
      </c>
      <c r="T2671" s="20">
        <f>IF(OR(I2671="",E2671=""),"",IF(OR(I2671="Gasto",I2671="Transferencia",I2671="Pago tarjeta"),-1,1)*C2671)</f>
        <v/>
      </c>
      <c r="U2671" s="20">
        <f>IF(OR(G2671="",AND(I2671&lt;&gt;"Transferencia",I2671&lt;&gt;"Pago tarjeta")),"",IF(IFERROR(INDEX(ctaMon,MATCH(G2671,ctaNom,0))&amp;"","DOP")=N2671,C2671,IF(N2671="USD",C2671*TasaUSD,C2671/TasaUSD)))</f>
        <v/>
      </c>
      <c r="V2671" s="20">
        <f>IF(I2671="","",IF(IFERROR(INDEX(ctaLiq,MATCH(E2671,ctaNom,0))="Sí",FALSE),IF(OR(I2671="Gasto",I2671="Transferencia",I2671="Pago tarjeta"),-1,1)*O2671,0)+IF(AND(U2671&lt;&gt;"",IFERROR(INDEX(ctaLiq,MATCH(G2671,ctaNom,0))="Sí",FALSE)),O2671,0))</f>
        <v/>
      </c>
      <c r="W2671" s="19">
        <f>IF(OR(F2671="",I2671=""),"",IF(COUNTIFS(F$6:F2671,F2671,I$6:I2671,"?*")=1,MAX(W$5:W2670)+1,""))</f>
        <v/>
      </c>
    </row>
    <row r="2672">
      <c r="B2672" s="15" t="n"/>
      <c r="C2672" s="16" t="n"/>
      <c r="D2672" s="17" t="n"/>
      <c r="E2672" s="17" t="n"/>
      <c r="F2672" s="17" t="n"/>
      <c r="G2672" s="17" t="n"/>
      <c r="H2672" s="18">
        <f>IF(AND(B2672="",C2672="",D2672="",E2672=""),"",IF(B2672="","⚠ Falta fecha",IF(C2672="","⚠ Falta monto",IF(D2672="","⚠ Falta categoría",IF(ISNA(MATCH(D2672,catNom,0)),"⚠ Categoría no existe",IF(E2672="","⚠ Falta cuenta",IF(ISNA(MATCH(E2672,ctaNom,0)),"⚠ Cuenta no existe",IF(AND(OR(I2672="Transferencia",I2672="Pago tarjeta"),G2672=""),"⚠ Indica la cuenta «Hacia»",IF(AND(G2672&lt;&gt;"",G2672=E2672),"⚠ «Hacia» igual a la cuenta",IF(AND(G2672&lt;&gt;"",ISNA(MATCH(G2672,ctaNom,0))),"⚠ «Hacia» no existe",IF(AND(I2672="Pago tarjeta",IFERROR(INDEX(ctaTipo,MATCH(G2672,ctaNom,0)),"")&lt;&gt;"Tarjeta de crédito"),"⚠ «Hacia» debe ser la tarjeta",IF(AND(I2672="Trading",IFERROR(INDEX(ctaTipo,MATCH(E2672,ctaNom,0)),"")&lt;&gt;"Cuenta de trading"),"⚠ Usa la cuenta de trading","✓"))))))))))))</f>
        <v/>
      </c>
      <c r="I2672" s="19">
        <f>IF(OR(B2672="",C2672="",D2672=""),"",IFERROR(INDEX(catTipo,MATCH(D2672,catNom,0))&amp;"",""))</f>
        <v/>
      </c>
      <c r="J2672" s="19">
        <f>IF(I2672="","",IFERROR(INDEX(catGrupo,MATCH(D2672,catNom,0))&amp;"",""))</f>
        <v/>
      </c>
      <c r="K2672" s="19">
        <f>IF(I2672="Gasto",IF(IFERROR(INDEX(catClas,MATCH(D2672,catNom,0))&amp;"","")="","Variable",IFERROR(INDEX(catClas,MATCH(D2672,catNom,0))&amp;"","")),"")</f>
        <v/>
      </c>
      <c r="L2672" s="19">
        <f>IF(I2672="","",IFERROR(INDEX(catAlim,MATCH(D2672,catNom,0))&amp;"",""))</f>
        <v/>
      </c>
      <c r="M2672" s="19">
        <f>IF(I2672="","",IFERROR(INDEX(catComida,MATCH(D2672,catNom,0))&amp;"",""))</f>
        <v/>
      </c>
      <c r="N2672" s="19">
        <f>IF(I2672="","",IFERROR(INDEX(ctaMon,MATCH(E2672,ctaNom,0))&amp;"","DOP"))</f>
        <v/>
      </c>
      <c r="O2672" s="20">
        <f>IF(I2672="","",C2672*IF(N2672="USD",TasaUSD,1))</f>
        <v/>
      </c>
      <c r="P2672" s="20">
        <f>IF(I2672="","",IF(I2672="Gasto",O2672,0))</f>
        <v/>
      </c>
      <c r="Q2672" s="20">
        <f>IF(I2672="","",IF(I2672="Ingreso",O2672,0))</f>
        <v/>
      </c>
      <c r="R2672" s="20">
        <f>IF(I2672="","",IF(I2672="Trading",O2672,0))</f>
        <v/>
      </c>
      <c r="S2672" s="19">
        <f>IF(I2672="","",IF(AND(I2672="Gasto",K2672="Variable",J2672&lt;&gt;"Trading",O2672&gt;0,O2672&lt;=Umbral),1,0))</f>
        <v/>
      </c>
      <c r="T2672" s="20">
        <f>IF(OR(I2672="",E2672=""),"",IF(OR(I2672="Gasto",I2672="Transferencia",I2672="Pago tarjeta"),-1,1)*C2672)</f>
        <v/>
      </c>
      <c r="U2672" s="20">
        <f>IF(OR(G2672="",AND(I2672&lt;&gt;"Transferencia",I2672&lt;&gt;"Pago tarjeta")),"",IF(IFERROR(INDEX(ctaMon,MATCH(G2672,ctaNom,0))&amp;"","DOP")=N2672,C2672,IF(N2672="USD",C2672*TasaUSD,C2672/TasaUSD)))</f>
        <v/>
      </c>
      <c r="V2672" s="20">
        <f>IF(I2672="","",IF(IFERROR(INDEX(ctaLiq,MATCH(E2672,ctaNom,0))="Sí",FALSE),IF(OR(I2672="Gasto",I2672="Transferencia",I2672="Pago tarjeta"),-1,1)*O2672,0)+IF(AND(U2672&lt;&gt;"",IFERROR(INDEX(ctaLiq,MATCH(G2672,ctaNom,0))="Sí",FALSE)),O2672,0))</f>
        <v/>
      </c>
      <c r="W2672" s="19">
        <f>IF(OR(F2672="",I2672=""),"",IF(COUNTIFS(F$6:F2672,F2672,I$6:I2672,"?*")=1,MAX(W$5:W2671)+1,""))</f>
        <v/>
      </c>
    </row>
    <row r="2673">
      <c r="B2673" s="15" t="n"/>
      <c r="C2673" s="16" t="n"/>
      <c r="D2673" s="17" t="n"/>
      <c r="E2673" s="17" t="n"/>
      <c r="F2673" s="17" t="n"/>
      <c r="G2673" s="17" t="n"/>
      <c r="H2673" s="18">
        <f>IF(AND(B2673="",C2673="",D2673="",E2673=""),"",IF(B2673="","⚠ Falta fecha",IF(C2673="","⚠ Falta monto",IF(D2673="","⚠ Falta categoría",IF(ISNA(MATCH(D2673,catNom,0)),"⚠ Categoría no existe",IF(E2673="","⚠ Falta cuenta",IF(ISNA(MATCH(E2673,ctaNom,0)),"⚠ Cuenta no existe",IF(AND(OR(I2673="Transferencia",I2673="Pago tarjeta"),G2673=""),"⚠ Indica la cuenta «Hacia»",IF(AND(G2673&lt;&gt;"",G2673=E2673),"⚠ «Hacia» igual a la cuenta",IF(AND(G2673&lt;&gt;"",ISNA(MATCH(G2673,ctaNom,0))),"⚠ «Hacia» no existe",IF(AND(I2673="Pago tarjeta",IFERROR(INDEX(ctaTipo,MATCH(G2673,ctaNom,0)),"")&lt;&gt;"Tarjeta de crédito"),"⚠ «Hacia» debe ser la tarjeta",IF(AND(I2673="Trading",IFERROR(INDEX(ctaTipo,MATCH(E2673,ctaNom,0)),"")&lt;&gt;"Cuenta de trading"),"⚠ Usa la cuenta de trading","✓"))))))))))))</f>
        <v/>
      </c>
      <c r="I2673" s="19">
        <f>IF(OR(B2673="",C2673="",D2673=""),"",IFERROR(INDEX(catTipo,MATCH(D2673,catNom,0))&amp;"",""))</f>
        <v/>
      </c>
      <c r="J2673" s="19">
        <f>IF(I2673="","",IFERROR(INDEX(catGrupo,MATCH(D2673,catNom,0))&amp;"",""))</f>
        <v/>
      </c>
      <c r="K2673" s="19">
        <f>IF(I2673="Gasto",IF(IFERROR(INDEX(catClas,MATCH(D2673,catNom,0))&amp;"","")="","Variable",IFERROR(INDEX(catClas,MATCH(D2673,catNom,0))&amp;"","")),"")</f>
        <v/>
      </c>
      <c r="L2673" s="19">
        <f>IF(I2673="","",IFERROR(INDEX(catAlim,MATCH(D2673,catNom,0))&amp;"",""))</f>
        <v/>
      </c>
      <c r="M2673" s="19">
        <f>IF(I2673="","",IFERROR(INDEX(catComida,MATCH(D2673,catNom,0))&amp;"",""))</f>
        <v/>
      </c>
      <c r="N2673" s="19">
        <f>IF(I2673="","",IFERROR(INDEX(ctaMon,MATCH(E2673,ctaNom,0))&amp;"","DOP"))</f>
        <v/>
      </c>
      <c r="O2673" s="20">
        <f>IF(I2673="","",C2673*IF(N2673="USD",TasaUSD,1))</f>
        <v/>
      </c>
      <c r="P2673" s="20">
        <f>IF(I2673="","",IF(I2673="Gasto",O2673,0))</f>
        <v/>
      </c>
      <c r="Q2673" s="20">
        <f>IF(I2673="","",IF(I2673="Ingreso",O2673,0))</f>
        <v/>
      </c>
      <c r="R2673" s="20">
        <f>IF(I2673="","",IF(I2673="Trading",O2673,0))</f>
        <v/>
      </c>
      <c r="S2673" s="19">
        <f>IF(I2673="","",IF(AND(I2673="Gasto",K2673="Variable",J2673&lt;&gt;"Trading",O2673&gt;0,O2673&lt;=Umbral),1,0))</f>
        <v/>
      </c>
      <c r="T2673" s="20">
        <f>IF(OR(I2673="",E2673=""),"",IF(OR(I2673="Gasto",I2673="Transferencia",I2673="Pago tarjeta"),-1,1)*C2673)</f>
        <v/>
      </c>
      <c r="U2673" s="20">
        <f>IF(OR(G2673="",AND(I2673&lt;&gt;"Transferencia",I2673&lt;&gt;"Pago tarjeta")),"",IF(IFERROR(INDEX(ctaMon,MATCH(G2673,ctaNom,0))&amp;"","DOP")=N2673,C2673,IF(N2673="USD",C2673*TasaUSD,C2673/TasaUSD)))</f>
        <v/>
      </c>
      <c r="V2673" s="20">
        <f>IF(I2673="","",IF(IFERROR(INDEX(ctaLiq,MATCH(E2673,ctaNom,0))="Sí",FALSE),IF(OR(I2673="Gasto",I2673="Transferencia",I2673="Pago tarjeta"),-1,1)*O2673,0)+IF(AND(U2673&lt;&gt;"",IFERROR(INDEX(ctaLiq,MATCH(G2673,ctaNom,0))="Sí",FALSE)),O2673,0))</f>
        <v/>
      </c>
      <c r="W2673" s="19">
        <f>IF(OR(F2673="",I2673=""),"",IF(COUNTIFS(F$6:F2673,F2673,I$6:I2673,"?*")=1,MAX(W$5:W2672)+1,""))</f>
        <v/>
      </c>
    </row>
    <row r="2674">
      <c r="B2674" s="15" t="n"/>
      <c r="C2674" s="16" t="n"/>
      <c r="D2674" s="17" t="n"/>
      <c r="E2674" s="17" t="n"/>
      <c r="F2674" s="17" t="n"/>
      <c r="G2674" s="17" t="n"/>
      <c r="H2674" s="18">
        <f>IF(AND(B2674="",C2674="",D2674="",E2674=""),"",IF(B2674="","⚠ Falta fecha",IF(C2674="","⚠ Falta monto",IF(D2674="","⚠ Falta categoría",IF(ISNA(MATCH(D2674,catNom,0)),"⚠ Categoría no existe",IF(E2674="","⚠ Falta cuenta",IF(ISNA(MATCH(E2674,ctaNom,0)),"⚠ Cuenta no existe",IF(AND(OR(I2674="Transferencia",I2674="Pago tarjeta"),G2674=""),"⚠ Indica la cuenta «Hacia»",IF(AND(G2674&lt;&gt;"",G2674=E2674),"⚠ «Hacia» igual a la cuenta",IF(AND(G2674&lt;&gt;"",ISNA(MATCH(G2674,ctaNom,0))),"⚠ «Hacia» no existe",IF(AND(I2674="Pago tarjeta",IFERROR(INDEX(ctaTipo,MATCH(G2674,ctaNom,0)),"")&lt;&gt;"Tarjeta de crédito"),"⚠ «Hacia» debe ser la tarjeta",IF(AND(I2674="Trading",IFERROR(INDEX(ctaTipo,MATCH(E2674,ctaNom,0)),"")&lt;&gt;"Cuenta de trading"),"⚠ Usa la cuenta de trading","✓"))))))))))))</f>
        <v/>
      </c>
      <c r="I2674" s="19">
        <f>IF(OR(B2674="",C2674="",D2674=""),"",IFERROR(INDEX(catTipo,MATCH(D2674,catNom,0))&amp;"",""))</f>
        <v/>
      </c>
      <c r="J2674" s="19">
        <f>IF(I2674="","",IFERROR(INDEX(catGrupo,MATCH(D2674,catNom,0))&amp;"",""))</f>
        <v/>
      </c>
      <c r="K2674" s="19">
        <f>IF(I2674="Gasto",IF(IFERROR(INDEX(catClas,MATCH(D2674,catNom,0))&amp;"","")="","Variable",IFERROR(INDEX(catClas,MATCH(D2674,catNom,0))&amp;"","")),"")</f>
        <v/>
      </c>
      <c r="L2674" s="19">
        <f>IF(I2674="","",IFERROR(INDEX(catAlim,MATCH(D2674,catNom,0))&amp;"",""))</f>
        <v/>
      </c>
      <c r="M2674" s="19">
        <f>IF(I2674="","",IFERROR(INDEX(catComida,MATCH(D2674,catNom,0))&amp;"",""))</f>
        <v/>
      </c>
      <c r="N2674" s="19">
        <f>IF(I2674="","",IFERROR(INDEX(ctaMon,MATCH(E2674,ctaNom,0))&amp;"","DOP"))</f>
        <v/>
      </c>
      <c r="O2674" s="20">
        <f>IF(I2674="","",C2674*IF(N2674="USD",TasaUSD,1))</f>
        <v/>
      </c>
      <c r="P2674" s="20">
        <f>IF(I2674="","",IF(I2674="Gasto",O2674,0))</f>
        <v/>
      </c>
      <c r="Q2674" s="20">
        <f>IF(I2674="","",IF(I2674="Ingreso",O2674,0))</f>
        <v/>
      </c>
      <c r="R2674" s="20">
        <f>IF(I2674="","",IF(I2674="Trading",O2674,0))</f>
        <v/>
      </c>
      <c r="S2674" s="19">
        <f>IF(I2674="","",IF(AND(I2674="Gasto",K2674="Variable",J2674&lt;&gt;"Trading",O2674&gt;0,O2674&lt;=Umbral),1,0))</f>
        <v/>
      </c>
      <c r="T2674" s="20">
        <f>IF(OR(I2674="",E2674=""),"",IF(OR(I2674="Gasto",I2674="Transferencia",I2674="Pago tarjeta"),-1,1)*C2674)</f>
        <v/>
      </c>
      <c r="U2674" s="20">
        <f>IF(OR(G2674="",AND(I2674&lt;&gt;"Transferencia",I2674&lt;&gt;"Pago tarjeta")),"",IF(IFERROR(INDEX(ctaMon,MATCH(G2674,ctaNom,0))&amp;"","DOP")=N2674,C2674,IF(N2674="USD",C2674*TasaUSD,C2674/TasaUSD)))</f>
        <v/>
      </c>
      <c r="V2674" s="20">
        <f>IF(I2674="","",IF(IFERROR(INDEX(ctaLiq,MATCH(E2674,ctaNom,0))="Sí",FALSE),IF(OR(I2674="Gasto",I2674="Transferencia",I2674="Pago tarjeta"),-1,1)*O2674,0)+IF(AND(U2674&lt;&gt;"",IFERROR(INDEX(ctaLiq,MATCH(G2674,ctaNom,0))="Sí",FALSE)),O2674,0))</f>
        <v/>
      </c>
      <c r="W2674" s="19">
        <f>IF(OR(F2674="",I2674=""),"",IF(COUNTIFS(F$6:F2674,F2674,I$6:I2674,"?*")=1,MAX(W$5:W2673)+1,""))</f>
        <v/>
      </c>
    </row>
    <row r="2675">
      <c r="B2675" s="15" t="n"/>
      <c r="C2675" s="16" t="n"/>
      <c r="D2675" s="17" t="n"/>
      <c r="E2675" s="17" t="n"/>
      <c r="F2675" s="17" t="n"/>
      <c r="G2675" s="17" t="n"/>
      <c r="H2675" s="18">
        <f>IF(AND(B2675="",C2675="",D2675="",E2675=""),"",IF(B2675="","⚠ Falta fecha",IF(C2675="","⚠ Falta monto",IF(D2675="","⚠ Falta categoría",IF(ISNA(MATCH(D2675,catNom,0)),"⚠ Categoría no existe",IF(E2675="","⚠ Falta cuenta",IF(ISNA(MATCH(E2675,ctaNom,0)),"⚠ Cuenta no existe",IF(AND(OR(I2675="Transferencia",I2675="Pago tarjeta"),G2675=""),"⚠ Indica la cuenta «Hacia»",IF(AND(G2675&lt;&gt;"",G2675=E2675),"⚠ «Hacia» igual a la cuenta",IF(AND(G2675&lt;&gt;"",ISNA(MATCH(G2675,ctaNom,0))),"⚠ «Hacia» no existe",IF(AND(I2675="Pago tarjeta",IFERROR(INDEX(ctaTipo,MATCH(G2675,ctaNom,0)),"")&lt;&gt;"Tarjeta de crédito"),"⚠ «Hacia» debe ser la tarjeta",IF(AND(I2675="Trading",IFERROR(INDEX(ctaTipo,MATCH(E2675,ctaNom,0)),"")&lt;&gt;"Cuenta de trading"),"⚠ Usa la cuenta de trading","✓"))))))))))))</f>
        <v/>
      </c>
      <c r="I2675" s="19">
        <f>IF(OR(B2675="",C2675="",D2675=""),"",IFERROR(INDEX(catTipo,MATCH(D2675,catNom,0))&amp;"",""))</f>
        <v/>
      </c>
      <c r="J2675" s="19">
        <f>IF(I2675="","",IFERROR(INDEX(catGrupo,MATCH(D2675,catNom,0))&amp;"",""))</f>
        <v/>
      </c>
      <c r="K2675" s="19">
        <f>IF(I2675="Gasto",IF(IFERROR(INDEX(catClas,MATCH(D2675,catNom,0))&amp;"","")="","Variable",IFERROR(INDEX(catClas,MATCH(D2675,catNom,0))&amp;"","")),"")</f>
        <v/>
      </c>
      <c r="L2675" s="19">
        <f>IF(I2675="","",IFERROR(INDEX(catAlim,MATCH(D2675,catNom,0))&amp;"",""))</f>
        <v/>
      </c>
      <c r="M2675" s="19">
        <f>IF(I2675="","",IFERROR(INDEX(catComida,MATCH(D2675,catNom,0))&amp;"",""))</f>
        <v/>
      </c>
      <c r="N2675" s="19">
        <f>IF(I2675="","",IFERROR(INDEX(ctaMon,MATCH(E2675,ctaNom,0))&amp;"","DOP"))</f>
        <v/>
      </c>
      <c r="O2675" s="20">
        <f>IF(I2675="","",C2675*IF(N2675="USD",TasaUSD,1))</f>
        <v/>
      </c>
      <c r="P2675" s="20">
        <f>IF(I2675="","",IF(I2675="Gasto",O2675,0))</f>
        <v/>
      </c>
      <c r="Q2675" s="20">
        <f>IF(I2675="","",IF(I2675="Ingreso",O2675,0))</f>
        <v/>
      </c>
      <c r="R2675" s="20">
        <f>IF(I2675="","",IF(I2675="Trading",O2675,0))</f>
        <v/>
      </c>
      <c r="S2675" s="19">
        <f>IF(I2675="","",IF(AND(I2675="Gasto",K2675="Variable",J2675&lt;&gt;"Trading",O2675&gt;0,O2675&lt;=Umbral),1,0))</f>
        <v/>
      </c>
      <c r="T2675" s="20">
        <f>IF(OR(I2675="",E2675=""),"",IF(OR(I2675="Gasto",I2675="Transferencia",I2675="Pago tarjeta"),-1,1)*C2675)</f>
        <v/>
      </c>
      <c r="U2675" s="20">
        <f>IF(OR(G2675="",AND(I2675&lt;&gt;"Transferencia",I2675&lt;&gt;"Pago tarjeta")),"",IF(IFERROR(INDEX(ctaMon,MATCH(G2675,ctaNom,0))&amp;"","DOP")=N2675,C2675,IF(N2675="USD",C2675*TasaUSD,C2675/TasaUSD)))</f>
        <v/>
      </c>
      <c r="V2675" s="20">
        <f>IF(I2675="","",IF(IFERROR(INDEX(ctaLiq,MATCH(E2675,ctaNom,0))="Sí",FALSE),IF(OR(I2675="Gasto",I2675="Transferencia",I2675="Pago tarjeta"),-1,1)*O2675,0)+IF(AND(U2675&lt;&gt;"",IFERROR(INDEX(ctaLiq,MATCH(G2675,ctaNom,0))="Sí",FALSE)),O2675,0))</f>
        <v/>
      </c>
      <c r="W2675" s="19">
        <f>IF(OR(F2675="",I2675=""),"",IF(COUNTIFS(F$6:F2675,F2675,I$6:I2675,"?*")=1,MAX(W$5:W2674)+1,""))</f>
        <v/>
      </c>
    </row>
    <row r="2676">
      <c r="B2676" s="15" t="n"/>
      <c r="C2676" s="16" t="n"/>
      <c r="D2676" s="17" t="n"/>
      <c r="E2676" s="17" t="n"/>
      <c r="F2676" s="17" t="n"/>
      <c r="G2676" s="17" t="n"/>
      <c r="H2676" s="18">
        <f>IF(AND(B2676="",C2676="",D2676="",E2676=""),"",IF(B2676="","⚠ Falta fecha",IF(C2676="","⚠ Falta monto",IF(D2676="","⚠ Falta categoría",IF(ISNA(MATCH(D2676,catNom,0)),"⚠ Categoría no existe",IF(E2676="","⚠ Falta cuenta",IF(ISNA(MATCH(E2676,ctaNom,0)),"⚠ Cuenta no existe",IF(AND(OR(I2676="Transferencia",I2676="Pago tarjeta"),G2676=""),"⚠ Indica la cuenta «Hacia»",IF(AND(G2676&lt;&gt;"",G2676=E2676),"⚠ «Hacia» igual a la cuenta",IF(AND(G2676&lt;&gt;"",ISNA(MATCH(G2676,ctaNom,0))),"⚠ «Hacia» no existe",IF(AND(I2676="Pago tarjeta",IFERROR(INDEX(ctaTipo,MATCH(G2676,ctaNom,0)),"")&lt;&gt;"Tarjeta de crédito"),"⚠ «Hacia» debe ser la tarjeta",IF(AND(I2676="Trading",IFERROR(INDEX(ctaTipo,MATCH(E2676,ctaNom,0)),"")&lt;&gt;"Cuenta de trading"),"⚠ Usa la cuenta de trading","✓"))))))))))))</f>
        <v/>
      </c>
      <c r="I2676" s="19">
        <f>IF(OR(B2676="",C2676="",D2676=""),"",IFERROR(INDEX(catTipo,MATCH(D2676,catNom,0))&amp;"",""))</f>
        <v/>
      </c>
      <c r="J2676" s="19">
        <f>IF(I2676="","",IFERROR(INDEX(catGrupo,MATCH(D2676,catNom,0))&amp;"",""))</f>
        <v/>
      </c>
      <c r="K2676" s="19">
        <f>IF(I2676="Gasto",IF(IFERROR(INDEX(catClas,MATCH(D2676,catNom,0))&amp;"","")="","Variable",IFERROR(INDEX(catClas,MATCH(D2676,catNom,0))&amp;"","")),"")</f>
        <v/>
      </c>
      <c r="L2676" s="19">
        <f>IF(I2676="","",IFERROR(INDEX(catAlim,MATCH(D2676,catNom,0))&amp;"",""))</f>
        <v/>
      </c>
      <c r="M2676" s="19">
        <f>IF(I2676="","",IFERROR(INDEX(catComida,MATCH(D2676,catNom,0))&amp;"",""))</f>
        <v/>
      </c>
      <c r="N2676" s="19">
        <f>IF(I2676="","",IFERROR(INDEX(ctaMon,MATCH(E2676,ctaNom,0))&amp;"","DOP"))</f>
        <v/>
      </c>
      <c r="O2676" s="20">
        <f>IF(I2676="","",C2676*IF(N2676="USD",TasaUSD,1))</f>
        <v/>
      </c>
      <c r="P2676" s="20">
        <f>IF(I2676="","",IF(I2676="Gasto",O2676,0))</f>
        <v/>
      </c>
      <c r="Q2676" s="20">
        <f>IF(I2676="","",IF(I2676="Ingreso",O2676,0))</f>
        <v/>
      </c>
      <c r="R2676" s="20">
        <f>IF(I2676="","",IF(I2676="Trading",O2676,0))</f>
        <v/>
      </c>
      <c r="S2676" s="19">
        <f>IF(I2676="","",IF(AND(I2676="Gasto",K2676="Variable",J2676&lt;&gt;"Trading",O2676&gt;0,O2676&lt;=Umbral),1,0))</f>
        <v/>
      </c>
      <c r="T2676" s="20">
        <f>IF(OR(I2676="",E2676=""),"",IF(OR(I2676="Gasto",I2676="Transferencia",I2676="Pago tarjeta"),-1,1)*C2676)</f>
        <v/>
      </c>
      <c r="U2676" s="20">
        <f>IF(OR(G2676="",AND(I2676&lt;&gt;"Transferencia",I2676&lt;&gt;"Pago tarjeta")),"",IF(IFERROR(INDEX(ctaMon,MATCH(G2676,ctaNom,0))&amp;"","DOP")=N2676,C2676,IF(N2676="USD",C2676*TasaUSD,C2676/TasaUSD)))</f>
        <v/>
      </c>
      <c r="V2676" s="20">
        <f>IF(I2676="","",IF(IFERROR(INDEX(ctaLiq,MATCH(E2676,ctaNom,0))="Sí",FALSE),IF(OR(I2676="Gasto",I2676="Transferencia",I2676="Pago tarjeta"),-1,1)*O2676,0)+IF(AND(U2676&lt;&gt;"",IFERROR(INDEX(ctaLiq,MATCH(G2676,ctaNom,0))="Sí",FALSE)),O2676,0))</f>
        <v/>
      </c>
      <c r="W2676" s="19">
        <f>IF(OR(F2676="",I2676=""),"",IF(COUNTIFS(F$6:F2676,F2676,I$6:I2676,"?*")=1,MAX(W$5:W2675)+1,""))</f>
        <v/>
      </c>
    </row>
    <row r="2677">
      <c r="B2677" s="15" t="n"/>
      <c r="C2677" s="16" t="n"/>
      <c r="D2677" s="17" t="n"/>
      <c r="E2677" s="17" t="n"/>
      <c r="F2677" s="17" t="n"/>
      <c r="G2677" s="17" t="n"/>
      <c r="H2677" s="18">
        <f>IF(AND(B2677="",C2677="",D2677="",E2677=""),"",IF(B2677="","⚠ Falta fecha",IF(C2677="","⚠ Falta monto",IF(D2677="","⚠ Falta categoría",IF(ISNA(MATCH(D2677,catNom,0)),"⚠ Categoría no existe",IF(E2677="","⚠ Falta cuenta",IF(ISNA(MATCH(E2677,ctaNom,0)),"⚠ Cuenta no existe",IF(AND(OR(I2677="Transferencia",I2677="Pago tarjeta"),G2677=""),"⚠ Indica la cuenta «Hacia»",IF(AND(G2677&lt;&gt;"",G2677=E2677),"⚠ «Hacia» igual a la cuenta",IF(AND(G2677&lt;&gt;"",ISNA(MATCH(G2677,ctaNom,0))),"⚠ «Hacia» no existe",IF(AND(I2677="Pago tarjeta",IFERROR(INDEX(ctaTipo,MATCH(G2677,ctaNom,0)),"")&lt;&gt;"Tarjeta de crédito"),"⚠ «Hacia» debe ser la tarjeta",IF(AND(I2677="Trading",IFERROR(INDEX(ctaTipo,MATCH(E2677,ctaNom,0)),"")&lt;&gt;"Cuenta de trading"),"⚠ Usa la cuenta de trading","✓"))))))))))))</f>
        <v/>
      </c>
      <c r="I2677" s="19">
        <f>IF(OR(B2677="",C2677="",D2677=""),"",IFERROR(INDEX(catTipo,MATCH(D2677,catNom,0))&amp;"",""))</f>
        <v/>
      </c>
      <c r="J2677" s="19">
        <f>IF(I2677="","",IFERROR(INDEX(catGrupo,MATCH(D2677,catNom,0))&amp;"",""))</f>
        <v/>
      </c>
      <c r="K2677" s="19">
        <f>IF(I2677="Gasto",IF(IFERROR(INDEX(catClas,MATCH(D2677,catNom,0))&amp;"","")="","Variable",IFERROR(INDEX(catClas,MATCH(D2677,catNom,0))&amp;"","")),"")</f>
        <v/>
      </c>
      <c r="L2677" s="19">
        <f>IF(I2677="","",IFERROR(INDEX(catAlim,MATCH(D2677,catNom,0))&amp;"",""))</f>
        <v/>
      </c>
      <c r="M2677" s="19">
        <f>IF(I2677="","",IFERROR(INDEX(catComida,MATCH(D2677,catNom,0))&amp;"",""))</f>
        <v/>
      </c>
      <c r="N2677" s="19">
        <f>IF(I2677="","",IFERROR(INDEX(ctaMon,MATCH(E2677,ctaNom,0))&amp;"","DOP"))</f>
        <v/>
      </c>
      <c r="O2677" s="20">
        <f>IF(I2677="","",C2677*IF(N2677="USD",TasaUSD,1))</f>
        <v/>
      </c>
      <c r="P2677" s="20">
        <f>IF(I2677="","",IF(I2677="Gasto",O2677,0))</f>
        <v/>
      </c>
      <c r="Q2677" s="20">
        <f>IF(I2677="","",IF(I2677="Ingreso",O2677,0))</f>
        <v/>
      </c>
      <c r="R2677" s="20">
        <f>IF(I2677="","",IF(I2677="Trading",O2677,0))</f>
        <v/>
      </c>
      <c r="S2677" s="19">
        <f>IF(I2677="","",IF(AND(I2677="Gasto",K2677="Variable",J2677&lt;&gt;"Trading",O2677&gt;0,O2677&lt;=Umbral),1,0))</f>
        <v/>
      </c>
      <c r="T2677" s="20">
        <f>IF(OR(I2677="",E2677=""),"",IF(OR(I2677="Gasto",I2677="Transferencia",I2677="Pago tarjeta"),-1,1)*C2677)</f>
        <v/>
      </c>
      <c r="U2677" s="20">
        <f>IF(OR(G2677="",AND(I2677&lt;&gt;"Transferencia",I2677&lt;&gt;"Pago tarjeta")),"",IF(IFERROR(INDEX(ctaMon,MATCH(G2677,ctaNom,0))&amp;"","DOP")=N2677,C2677,IF(N2677="USD",C2677*TasaUSD,C2677/TasaUSD)))</f>
        <v/>
      </c>
      <c r="V2677" s="20">
        <f>IF(I2677="","",IF(IFERROR(INDEX(ctaLiq,MATCH(E2677,ctaNom,0))="Sí",FALSE),IF(OR(I2677="Gasto",I2677="Transferencia",I2677="Pago tarjeta"),-1,1)*O2677,0)+IF(AND(U2677&lt;&gt;"",IFERROR(INDEX(ctaLiq,MATCH(G2677,ctaNom,0))="Sí",FALSE)),O2677,0))</f>
        <v/>
      </c>
      <c r="W2677" s="19">
        <f>IF(OR(F2677="",I2677=""),"",IF(COUNTIFS(F$6:F2677,F2677,I$6:I2677,"?*")=1,MAX(W$5:W2676)+1,""))</f>
        <v/>
      </c>
    </row>
    <row r="2678">
      <c r="B2678" s="15" t="n"/>
      <c r="C2678" s="16" t="n"/>
      <c r="D2678" s="17" t="n"/>
      <c r="E2678" s="17" t="n"/>
      <c r="F2678" s="17" t="n"/>
      <c r="G2678" s="17" t="n"/>
      <c r="H2678" s="18">
        <f>IF(AND(B2678="",C2678="",D2678="",E2678=""),"",IF(B2678="","⚠ Falta fecha",IF(C2678="","⚠ Falta monto",IF(D2678="","⚠ Falta categoría",IF(ISNA(MATCH(D2678,catNom,0)),"⚠ Categoría no existe",IF(E2678="","⚠ Falta cuenta",IF(ISNA(MATCH(E2678,ctaNom,0)),"⚠ Cuenta no existe",IF(AND(OR(I2678="Transferencia",I2678="Pago tarjeta"),G2678=""),"⚠ Indica la cuenta «Hacia»",IF(AND(G2678&lt;&gt;"",G2678=E2678),"⚠ «Hacia» igual a la cuenta",IF(AND(G2678&lt;&gt;"",ISNA(MATCH(G2678,ctaNom,0))),"⚠ «Hacia» no existe",IF(AND(I2678="Pago tarjeta",IFERROR(INDEX(ctaTipo,MATCH(G2678,ctaNom,0)),"")&lt;&gt;"Tarjeta de crédito"),"⚠ «Hacia» debe ser la tarjeta",IF(AND(I2678="Trading",IFERROR(INDEX(ctaTipo,MATCH(E2678,ctaNom,0)),"")&lt;&gt;"Cuenta de trading"),"⚠ Usa la cuenta de trading","✓"))))))))))))</f>
        <v/>
      </c>
      <c r="I2678" s="19">
        <f>IF(OR(B2678="",C2678="",D2678=""),"",IFERROR(INDEX(catTipo,MATCH(D2678,catNom,0))&amp;"",""))</f>
        <v/>
      </c>
      <c r="J2678" s="19">
        <f>IF(I2678="","",IFERROR(INDEX(catGrupo,MATCH(D2678,catNom,0))&amp;"",""))</f>
        <v/>
      </c>
      <c r="K2678" s="19">
        <f>IF(I2678="Gasto",IF(IFERROR(INDEX(catClas,MATCH(D2678,catNom,0))&amp;"","")="","Variable",IFERROR(INDEX(catClas,MATCH(D2678,catNom,0))&amp;"","")),"")</f>
        <v/>
      </c>
      <c r="L2678" s="19">
        <f>IF(I2678="","",IFERROR(INDEX(catAlim,MATCH(D2678,catNom,0))&amp;"",""))</f>
        <v/>
      </c>
      <c r="M2678" s="19">
        <f>IF(I2678="","",IFERROR(INDEX(catComida,MATCH(D2678,catNom,0))&amp;"",""))</f>
        <v/>
      </c>
      <c r="N2678" s="19">
        <f>IF(I2678="","",IFERROR(INDEX(ctaMon,MATCH(E2678,ctaNom,0))&amp;"","DOP"))</f>
        <v/>
      </c>
      <c r="O2678" s="20">
        <f>IF(I2678="","",C2678*IF(N2678="USD",TasaUSD,1))</f>
        <v/>
      </c>
      <c r="P2678" s="20">
        <f>IF(I2678="","",IF(I2678="Gasto",O2678,0))</f>
        <v/>
      </c>
      <c r="Q2678" s="20">
        <f>IF(I2678="","",IF(I2678="Ingreso",O2678,0))</f>
        <v/>
      </c>
      <c r="R2678" s="20">
        <f>IF(I2678="","",IF(I2678="Trading",O2678,0))</f>
        <v/>
      </c>
      <c r="S2678" s="19">
        <f>IF(I2678="","",IF(AND(I2678="Gasto",K2678="Variable",J2678&lt;&gt;"Trading",O2678&gt;0,O2678&lt;=Umbral),1,0))</f>
        <v/>
      </c>
      <c r="T2678" s="20">
        <f>IF(OR(I2678="",E2678=""),"",IF(OR(I2678="Gasto",I2678="Transferencia",I2678="Pago tarjeta"),-1,1)*C2678)</f>
        <v/>
      </c>
      <c r="U2678" s="20">
        <f>IF(OR(G2678="",AND(I2678&lt;&gt;"Transferencia",I2678&lt;&gt;"Pago tarjeta")),"",IF(IFERROR(INDEX(ctaMon,MATCH(G2678,ctaNom,0))&amp;"","DOP")=N2678,C2678,IF(N2678="USD",C2678*TasaUSD,C2678/TasaUSD)))</f>
        <v/>
      </c>
      <c r="V2678" s="20">
        <f>IF(I2678="","",IF(IFERROR(INDEX(ctaLiq,MATCH(E2678,ctaNom,0))="Sí",FALSE),IF(OR(I2678="Gasto",I2678="Transferencia",I2678="Pago tarjeta"),-1,1)*O2678,0)+IF(AND(U2678&lt;&gt;"",IFERROR(INDEX(ctaLiq,MATCH(G2678,ctaNom,0))="Sí",FALSE)),O2678,0))</f>
        <v/>
      </c>
      <c r="W2678" s="19">
        <f>IF(OR(F2678="",I2678=""),"",IF(COUNTIFS(F$6:F2678,F2678,I$6:I2678,"?*")=1,MAX(W$5:W2677)+1,""))</f>
        <v/>
      </c>
    </row>
    <row r="2679">
      <c r="B2679" s="15" t="n"/>
      <c r="C2679" s="16" t="n"/>
      <c r="D2679" s="17" t="n"/>
      <c r="E2679" s="17" t="n"/>
      <c r="F2679" s="17" t="n"/>
      <c r="G2679" s="17" t="n"/>
      <c r="H2679" s="18">
        <f>IF(AND(B2679="",C2679="",D2679="",E2679=""),"",IF(B2679="","⚠ Falta fecha",IF(C2679="","⚠ Falta monto",IF(D2679="","⚠ Falta categoría",IF(ISNA(MATCH(D2679,catNom,0)),"⚠ Categoría no existe",IF(E2679="","⚠ Falta cuenta",IF(ISNA(MATCH(E2679,ctaNom,0)),"⚠ Cuenta no existe",IF(AND(OR(I2679="Transferencia",I2679="Pago tarjeta"),G2679=""),"⚠ Indica la cuenta «Hacia»",IF(AND(G2679&lt;&gt;"",G2679=E2679),"⚠ «Hacia» igual a la cuenta",IF(AND(G2679&lt;&gt;"",ISNA(MATCH(G2679,ctaNom,0))),"⚠ «Hacia» no existe",IF(AND(I2679="Pago tarjeta",IFERROR(INDEX(ctaTipo,MATCH(G2679,ctaNom,0)),"")&lt;&gt;"Tarjeta de crédito"),"⚠ «Hacia» debe ser la tarjeta",IF(AND(I2679="Trading",IFERROR(INDEX(ctaTipo,MATCH(E2679,ctaNom,0)),"")&lt;&gt;"Cuenta de trading"),"⚠ Usa la cuenta de trading","✓"))))))))))))</f>
        <v/>
      </c>
      <c r="I2679" s="19">
        <f>IF(OR(B2679="",C2679="",D2679=""),"",IFERROR(INDEX(catTipo,MATCH(D2679,catNom,0))&amp;"",""))</f>
        <v/>
      </c>
      <c r="J2679" s="19">
        <f>IF(I2679="","",IFERROR(INDEX(catGrupo,MATCH(D2679,catNom,0))&amp;"",""))</f>
        <v/>
      </c>
      <c r="K2679" s="19">
        <f>IF(I2679="Gasto",IF(IFERROR(INDEX(catClas,MATCH(D2679,catNom,0))&amp;"","")="","Variable",IFERROR(INDEX(catClas,MATCH(D2679,catNom,0))&amp;"","")),"")</f>
        <v/>
      </c>
      <c r="L2679" s="19">
        <f>IF(I2679="","",IFERROR(INDEX(catAlim,MATCH(D2679,catNom,0))&amp;"",""))</f>
        <v/>
      </c>
      <c r="M2679" s="19">
        <f>IF(I2679="","",IFERROR(INDEX(catComida,MATCH(D2679,catNom,0))&amp;"",""))</f>
        <v/>
      </c>
      <c r="N2679" s="19">
        <f>IF(I2679="","",IFERROR(INDEX(ctaMon,MATCH(E2679,ctaNom,0))&amp;"","DOP"))</f>
        <v/>
      </c>
      <c r="O2679" s="20">
        <f>IF(I2679="","",C2679*IF(N2679="USD",TasaUSD,1))</f>
        <v/>
      </c>
      <c r="P2679" s="20">
        <f>IF(I2679="","",IF(I2679="Gasto",O2679,0))</f>
        <v/>
      </c>
      <c r="Q2679" s="20">
        <f>IF(I2679="","",IF(I2679="Ingreso",O2679,0))</f>
        <v/>
      </c>
      <c r="R2679" s="20">
        <f>IF(I2679="","",IF(I2679="Trading",O2679,0))</f>
        <v/>
      </c>
      <c r="S2679" s="19">
        <f>IF(I2679="","",IF(AND(I2679="Gasto",K2679="Variable",J2679&lt;&gt;"Trading",O2679&gt;0,O2679&lt;=Umbral),1,0))</f>
        <v/>
      </c>
      <c r="T2679" s="20">
        <f>IF(OR(I2679="",E2679=""),"",IF(OR(I2679="Gasto",I2679="Transferencia",I2679="Pago tarjeta"),-1,1)*C2679)</f>
        <v/>
      </c>
      <c r="U2679" s="20">
        <f>IF(OR(G2679="",AND(I2679&lt;&gt;"Transferencia",I2679&lt;&gt;"Pago tarjeta")),"",IF(IFERROR(INDEX(ctaMon,MATCH(G2679,ctaNom,0))&amp;"","DOP")=N2679,C2679,IF(N2679="USD",C2679*TasaUSD,C2679/TasaUSD)))</f>
        <v/>
      </c>
      <c r="V2679" s="20">
        <f>IF(I2679="","",IF(IFERROR(INDEX(ctaLiq,MATCH(E2679,ctaNom,0))="Sí",FALSE),IF(OR(I2679="Gasto",I2679="Transferencia",I2679="Pago tarjeta"),-1,1)*O2679,0)+IF(AND(U2679&lt;&gt;"",IFERROR(INDEX(ctaLiq,MATCH(G2679,ctaNom,0))="Sí",FALSE)),O2679,0))</f>
        <v/>
      </c>
      <c r="W2679" s="19">
        <f>IF(OR(F2679="",I2679=""),"",IF(COUNTIFS(F$6:F2679,F2679,I$6:I2679,"?*")=1,MAX(W$5:W2678)+1,""))</f>
        <v/>
      </c>
    </row>
    <row r="2680">
      <c r="B2680" s="15" t="n"/>
      <c r="C2680" s="16" t="n"/>
      <c r="D2680" s="17" t="n"/>
      <c r="E2680" s="17" t="n"/>
      <c r="F2680" s="17" t="n"/>
      <c r="G2680" s="17" t="n"/>
      <c r="H2680" s="18">
        <f>IF(AND(B2680="",C2680="",D2680="",E2680=""),"",IF(B2680="","⚠ Falta fecha",IF(C2680="","⚠ Falta monto",IF(D2680="","⚠ Falta categoría",IF(ISNA(MATCH(D2680,catNom,0)),"⚠ Categoría no existe",IF(E2680="","⚠ Falta cuenta",IF(ISNA(MATCH(E2680,ctaNom,0)),"⚠ Cuenta no existe",IF(AND(OR(I2680="Transferencia",I2680="Pago tarjeta"),G2680=""),"⚠ Indica la cuenta «Hacia»",IF(AND(G2680&lt;&gt;"",G2680=E2680),"⚠ «Hacia» igual a la cuenta",IF(AND(G2680&lt;&gt;"",ISNA(MATCH(G2680,ctaNom,0))),"⚠ «Hacia» no existe",IF(AND(I2680="Pago tarjeta",IFERROR(INDEX(ctaTipo,MATCH(G2680,ctaNom,0)),"")&lt;&gt;"Tarjeta de crédito"),"⚠ «Hacia» debe ser la tarjeta",IF(AND(I2680="Trading",IFERROR(INDEX(ctaTipo,MATCH(E2680,ctaNom,0)),"")&lt;&gt;"Cuenta de trading"),"⚠ Usa la cuenta de trading","✓"))))))))))))</f>
        <v/>
      </c>
      <c r="I2680" s="19">
        <f>IF(OR(B2680="",C2680="",D2680=""),"",IFERROR(INDEX(catTipo,MATCH(D2680,catNom,0))&amp;"",""))</f>
        <v/>
      </c>
      <c r="J2680" s="19">
        <f>IF(I2680="","",IFERROR(INDEX(catGrupo,MATCH(D2680,catNom,0))&amp;"",""))</f>
        <v/>
      </c>
      <c r="K2680" s="19">
        <f>IF(I2680="Gasto",IF(IFERROR(INDEX(catClas,MATCH(D2680,catNom,0))&amp;"","")="","Variable",IFERROR(INDEX(catClas,MATCH(D2680,catNom,0))&amp;"","")),"")</f>
        <v/>
      </c>
      <c r="L2680" s="19">
        <f>IF(I2680="","",IFERROR(INDEX(catAlim,MATCH(D2680,catNom,0))&amp;"",""))</f>
        <v/>
      </c>
      <c r="M2680" s="19">
        <f>IF(I2680="","",IFERROR(INDEX(catComida,MATCH(D2680,catNom,0))&amp;"",""))</f>
        <v/>
      </c>
      <c r="N2680" s="19">
        <f>IF(I2680="","",IFERROR(INDEX(ctaMon,MATCH(E2680,ctaNom,0))&amp;"","DOP"))</f>
        <v/>
      </c>
      <c r="O2680" s="20">
        <f>IF(I2680="","",C2680*IF(N2680="USD",TasaUSD,1))</f>
        <v/>
      </c>
      <c r="P2680" s="20">
        <f>IF(I2680="","",IF(I2680="Gasto",O2680,0))</f>
        <v/>
      </c>
      <c r="Q2680" s="20">
        <f>IF(I2680="","",IF(I2680="Ingreso",O2680,0))</f>
        <v/>
      </c>
      <c r="R2680" s="20">
        <f>IF(I2680="","",IF(I2680="Trading",O2680,0))</f>
        <v/>
      </c>
      <c r="S2680" s="19">
        <f>IF(I2680="","",IF(AND(I2680="Gasto",K2680="Variable",J2680&lt;&gt;"Trading",O2680&gt;0,O2680&lt;=Umbral),1,0))</f>
        <v/>
      </c>
      <c r="T2680" s="20">
        <f>IF(OR(I2680="",E2680=""),"",IF(OR(I2680="Gasto",I2680="Transferencia",I2680="Pago tarjeta"),-1,1)*C2680)</f>
        <v/>
      </c>
      <c r="U2680" s="20">
        <f>IF(OR(G2680="",AND(I2680&lt;&gt;"Transferencia",I2680&lt;&gt;"Pago tarjeta")),"",IF(IFERROR(INDEX(ctaMon,MATCH(G2680,ctaNom,0))&amp;"","DOP")=N2680,C2680,IF(N2680="USD",C2680*TasaUSD,C2680/TasaUSD)))</f>
        <v/>
      </c>
      <c r="V2680" s="20">
        <f>IF(I2680="","",IF(IFERROR(INDEX(ctaLiq,MATCH(E2680,ctaNom,0))="Sí",FALSE),IF(OR(I2680="Gasto",I2680="Transferencia",I2680="Pago tarjeta"),-1,1)*O2680,0)+IF(AND(U2680&lt;&gt;"",IFERROR(INDEX(ctaLiq,MATCH(G2680,ctaNom,0))="Sí",FALSE)),O2680,0))</f>
        <v/>
      </c>
      <c r="W2680" s="19">
        <f>IF(OR(F2680="",I2680=""),"",IF(COUNTIFS(F$6:F2680,F2680,I$6:I2680,"?*")=1,MAX(W$5:W2679)+1,""))</f>
        <v/>
      </c>
    </row>
    <row r="2681">
      <c r="B2681" s="15" t="n"/>
      <c r="C2681" s="16" t="n"/>
      <c r="D2681" s="17" t="n"/>
      <c r="E2681" s="17" t="n"/>
      <c r="F2681" s="17" t="n"/>
      <c r="G2681" s="17" t="n"/>
      <c r="H2681" s="18">
        <f>IF(AND(B2681="",C2681="",D2681="",E2681=""),"",IF(B2681="","⚠ Falta fecha",IF(C2681="","⚠ Falta monto",IF(D2681="","⚠ Falta categoría",IF(ISNA(MATCH(D2681,catNom,0)),"⚠ Categoría no existe",IF(E2681="","⚠ Falta cuenta",IF(ISNA(MATCH(E2681,ctaNom,0)),"⚠ Cuenta no existe",IF(AND(OR(I2681="Transferencia",I2681="Pago tarjeta"),G2681=""),"⚠ Indica la cuenta «Hacia»",IF(AND(G2681&lt;&gt;"",G2681=E2681),"⚠ «Hacia» igual a la cuenta",IF(AND(G2681&lt;&gt;"",ISNA(MATCH(G2681,ctaNom,0))),"⚠ «Hacia» no existe",IF(AND(I2681="Pago tarjeta",IFERROR(INDEX(ctaTipo,MATCH(G2681,ctaNom,0)),"")&lt;&gt;"Tarjeta de crédito"),"⚠ «Hacia» debe ser la tarjeta",IF(AND(I2681="Trading",IFERROR(INDEX(ctaTipo,MATCH(E2681,ctaNom,0)),"")&lt;&gt;"Cuenta de trading"),"⚠ Usa la cuenta de trading","✓"))))))))))))</f>
        <v/>
      </c>
      <c r="I2681" s="19">
        <f>IF(OR(B2681="",C2681="",D2681=""),"",IFERROR(INDEX(catTipo,MATCH(D2681,catNom,0))&amp;"",""))</f>
        <v/>
      </c>
      <c r="J2681" s="19">
        <f>IF(I2681="","",IFERROR(INDEX(catGrupo,MATCH(D2681,catNom,0))&amp;"",""))</f>
        <v/>
      </c>
      <c r="K2681" s="19">
        <f>IF(I2681="Gasto",IF(IFERROR(INDEX(catClas,MATCH(D2681,catNom,0))&amp;"","")="","Variable",IFERROR(INDEX(catClas,MATCH(D2681,catNom,0))&amp;"","")),"")</f>
        <v/>
      </c>
      <c r="L2681" s="19">
        <f>IF(I2681="","",IFERROR(INDEX(catAlim,MATCH(D2681,catNom,0))&amp;"",""))</f>
        <v/>
      </c>
      <c r="M2681" s="19">
        <f>IF(I2681="","",IFERROR(INDEX(catComida,MATCH(D2681,catNom,0))&amp;"",""))</f>
        <v/>
      </c>
      <c r="N2681" s="19">
        <f>IF(I2681="","",IFERROR(INDEX(ctaMon,MATCH(E2681,ctaNom,0))&amp;"","DOP"))</f>
        <v/>
      </c>
      <c r="O2681" s="20">
        <f>IF(I2681="","",C2681*IF(N2681="USD",TasaUSD,1))</f>
        <v/>
      </c>
      <c r="P2681" s="20">
        <f>IF(I2681="","",IF(I2681="Gasto",O2681,0))</f>
        <v/>
      </c>
      <c r="Q2681" s="20">
        <f>IF(I2681="","",IF(I2681="Ingreso",O2681,0))</f>
        <v/>
      </c>
      <c r="R2681" s="20">
        <f>IF(I2681="","",IF(I2681="Trading",O2681,0))</f>
        <v/>
      </c>
      <c r="S2681" s="19">
        <f>IF(I2681="","",IF(AND(I2681="Gasto",K2681="Variable",J2681&lt;&gt;"Trading",O2681&gt;0,O2681&lt;=Umbral),1,0))</f>
        <v/>
      </c>
      <c r="T2681" s="20">
        <f>IF(OR(I2681="",E2681=""),"",IF(OR(I2681="Gasto",I2681="Transferencia",I2681="Pago tarjeta"),-1,1)*C2681)</f>
        <v/>
      </c>
      <c r="U2681" s="20">
        <f>IF(OR(G2681="",AND(I2681&lt;&gt;"Transferencia",I2681&lt;&gt;"Pago tarjeta")),"",IF(IFERROR(INDEX(ctaMon,MATCH(G2681,ctaNom,0))&amp;"","DOP")=N2681,C2681,IF(N2681="USD",C2681*TasaUSD,C2681/TasaUSD)))</f>
        <v/>
      </c>
      <c r="V2681" s="20">
        <f>IF(I2681="","",IF(IFERROR(INDEX(ctaLiq,MATCH(E2681,ctaNom,0))="Sí",FALSE),IF(OR(I2681="Gasto",I2681="Transferencia",I2681="Pago tarjeta"),-1,1)*O2681,0)+IF(AND(U2681&lt;&gt;"",IFERROR(INDEX(ctaLiq,MATCH(G2681,ctaNom,0))="Sí",FALSE)),O2681,0))</f>
        <v/>
      </c>
      <c r="W2681" s="19">
        <f>IF(OR(F2681="",I2681=""),"",IF(COUNTIFS(F$6:F2681,F2681,I$6:I2681,"?*")=1,MAX(W$5:W2680)+1,""))</f>
        <v/>
      </c>
    </row>
    <row r="2682">
      <c r="B2682" s="15" t="n"/>
      <c r="C2682" s="16" t="n"/>
      <c r="D2682" s="17" t="n"/>
      <c r="E2682" s="17" t="n"/>
      <c r="F2682" s="17" t="n"/>
      <c r="G2682" s="17" t="n"/>
      <c r="H2682" s="18">
        <f>IF(AND(B2682="",C2682="",D2682="",E2682=""),"",IF(B2682="","⚠ Falta fecha",IF(C2682="","⚠ Falta monto",IF(D2682="","⚠ Falta categoría",IF(ISNA(MATCH(D2682,catNom,0)),"⚠ Categoría no existe",IF(E2682="","⚠ Falta cuenta",IF(ISNA(MATCH(E2682,ctaNom,0)),"⚠ Cuenta no existe",IF(AND(OR(I2682="Transferencia",I2682="Pago tarjeta"),G2682=""),"⚠ Indica la cuenta «Hacia»",IF(AND(G2682&lt;&gt;"",G2682=E2682),"⚠ «Hacia» igual a la cuenta",IF(AND(G2682&lt;&gt;"",ISNA(MATCH(G2682,ctaNom,0))),"⚠ «Hacia» no existe",IF(AND(I2682="Pago tarjeta",IFERROR(INDEX(ctaTipo,MATCH(G2682,ctaNom,0)),"")&lt;&gt;"Tarjeta de crédito"),"⚠ «Hacia» debe ser la tarjeta",IF(AND(I2682="Trading",IFERROR(INDEX(ctaTipo,MATCH(E2682,ctaNom,0)),"")&lt;&gt;"Cuenta de trading"),"⚠ Usa la cuenta de trading","✓"))))))))))))</f>
        <v/>
      </c>
      <c r="I2682" s="19">
        <f>IF(OR(B2682="",C2682="",D2682=""),"",IFERROR(INDEX(catTipo,MATCH(D2682,catNom,0))&amp;"",""))</f>
        <v/>
      </c>
      <c r="J2682" s="19">
        <f>IF(I2682="","",IFERROR(INDEX(catGrupo,MATCH(D2682,catNom,0))&amp;"",""))</f>
        <v/>
      </c>
      <c r="K2682" s="19">
        <f>IF(I2682="Gasto",IF(IFERROR(INDEX(catClas,MATCH(D2682,catNom,0))&amp;"","")="","Variable",IFERROR(INDEX(catClas,MATCH(D2682,catNom,0))&amp;"","")),"")</f>
        <v/>
      </c>
      <c r="L2682" s="19">
        <f>IF(I2682="","",IFERROR(INDEX(catAlim,MATCH(D2682,catNom,0))&amp;"",""))</f>
        <v/>
      </c>
      <c r="M2682" s="19">
        <f>IF(I2682="","",IFERROR(INDEX(catComida,MATCH(D2682,catNom,0))&amp;"",""))</f>
        <v/>
      </c>
      <c r="N2682" s="19">
        <f>IF(I2682="","",IFERROR(INDEX(ctaMon,MATCH(E2682,ctaNom,0))&amp;"","DOP"))</f>
        <v/>
      </c>
      <c r="O2682" s="20">
        <f>IF(I2682="","",C2682*IF(N2682="USD",TasaUSD,1))</f>
        <v/>
      </c>
      <c r="P2682" s="20">
        <f>IF(I2682="","",IF(I2682="Gasto",O2682,0))</f>
        <v/>
      </c>
      <c r="Q2682" s="20">
        <f>IF(I2682="","",IF(I2682="Ingreso",O2682,0))</f>
        <v/>
      </c>
      <c r="R2682" s="20">
        <f>IF(I2682="","",IF(I2682="Trading",O2682,0))</f>
        <v/>
      </c>
      <c r="S2682" s="19">
        <f>IF(I2682="","",IF(AND(I2682="Gasto",K2682="Variable",J2682&lt;&gt;"Trading",O2682&gt;0,O2682&lt;=Umbral),1,0))</f>
        <v/>
      </c>
      <c r="T2682" s="20">
        <f>IF(OR(I2682="",E2682=""),"",IF(OR(I2682="Gasto",I2682="Transferencia",I2682="Pago tarjeta"),-1,1)*C2682)</f>
        <v/>
      </c>
      <c r="U2682" s="20">
        <f>IF(OR(G2682="",AND(I2682&lt;&gt;"Transferencia",I2682&lt;&gt;"Pago tarjeta")),"",IF(IFERROR(INDEX(ctaMon,MATCH(G2682,ctaNom,0))&amp;"","DOP")=N2682,C2682,IF(N2682="USD",C2682*TasaUSD,C2682/TasaUSD)))</f>
        <v/>
      </c>
      <c r="V2682" s="20">
        <f>IF(I2682="","",IF(IFERROR(INDEX(ctaLiq,MATCH(E2682,ctaNom,0))="Sí",FALSE),IF(OR(I2682="Gasto",I2682="Transferencia",I2682="Pago tarjeta"),-1,1)*O2682,0)+IF(AND(U2682&lt;&gt;"",IFERROR(INDEX(ctaLiq,MATCH(G2682,ctaNom,0))="Sí",FALSE)),O2682,0))</f>
        <v/>
      </c>
      <c r="W2682" s="19">
        <f>IF(OR(F2682="",I2682=""),"",IF(COUNTIFS(F$6:F2682,F2682,I$6:I2682,"?*")=1,MAX(W$5:W2681)+1,""))</f>
        <v/>
      </c>
    </row>
    <row r="2683">
      <c r="B2683" s="15" t="n"/>
      <c r="C2683" s="16" t="n"/>
      <c r="D2683" s="17" t="n"/>
      <c r="E2683" s="17" t="n"/>
      <c r="F2683" s="17" t="n"/>
      <c r="G2683" s="17" t="n"/>
      <c r="H2683" s="18">
        <f>IF(AND(B2683="",C2683="",D2683="",E2683=""),"",IF(B2683="","⚠ Falta fecha",IF(C2683="","⚠ Falta monto",IF(D2683="","⚠ Falta categoría",IF(ISNA(MATCH(D2683,catNom,0)),"⚠ Categoría no existe",IF(E2683="","⚠ Falta cuenta",IF(ISNA(MATCH(E2683,ctaNom,0)),"⚠ Cuenta no existe",IF(AND(OR(I2683="Transferencia",I2683="Pago tarjeta"),G2683=""),"⚠ Indica la cuenta «Hacia»",IF(AND(G2683&lt;&gt;"",G2683=E2683),"⚠ «Hacia» igual a la cuenta",IF(AND(G2683&lt;&gt;"",ISNA(MATCH(G2683,ctaNom,0))),"⚠ «Hacia» no existe",IF(AND(I2683="Pago tarjeta",IFERROR(INDEX(ctaTipo,MATCH(G2683,ctaNom,0)),"")&lt;&gt;"Tarjeta de crédito"),"⚠ «Hacia» debe ser la tarjeta",IF(AND(I2683="Trading",IFERROR(INDEX(ctaTipo,MATCH(E2683,ctaNom,0)),"")&lt;&gt;"Cuenta de trading"),"⚠ Usa la cuenta de trading","✓"))))))))))))</f>
        <v/>
      </c>
      <c r="I2683" s="19">
        <f>IF(OR(B2683="",C2683="",D2683=""),"",IFERROR(INDEX(catTipo,MATCH(D2683,catNom,0))&amp;"",""))</f>
        <v/>
      </c>
      <c r="J2683" s="19">
        <f>IF(I2683="","",IFERROR(INDEX(catGrupo,MATCH(D2683,catNom,0))&amp;"",""))</f>
        <v/>
      </c>
      <c r="K2683" s="19">
        <f>IF(I2683="Gasto",IF(IFERROR(INDEX(catClas,MATCH(D2683,catNom,0))&amp;"","")="","Variable",IFERROR(INDEX(catClas,MATCH(D2683,catNom,0))&amp;"","")),"")</f>
        <v/>
      </c>
      <c r="L2683" s="19">
        <f>IF(I2683="","",IFERROR(INDEX(catAlim,MATCH(D2683,catNom,0))&amp;"",""))</f>
        <v/>
      </c>
      <c r="M2683" s="19">
        <f>IF(I2683="","",IFERROR(INDEX(catComida,MATCH(D2683,catNom,0))&amp;"",""))</f>
        <v/>
      </c>
      <c r="N2683" s="19">
        <f>IF(I2683="","",IFERROR(INDEX(ctaMon,MATCH(E2683,ctaNom,0))&amp;"","DOP"))</f>
        <v/>
      </c>
      <c r="O2683" s="20">
        <f>IF(I2683="","",C2683*IF(N2683="USD",TasaUSD,1))</f>
        <v/>
      </c>
      <c r="P2683" s="20">
        <f>IF(I2683="","",IF(I2683="Gasto",O2683,0))</f>
        <v/>
      </c>
      <c r="Q2683" s="20">
        <f>IF(I2683="","",IF(I2683="Ingreso",O2683,0))</f>
        <v/>
      </c>
      <c r="R2683" s="20">
        <f>IF(I2683="","",IF(I2683="Trading",O2683,0))</f>
        <v/>
      </c>
      <c r="S2683" s="19">
        <f>IF(I2683="","",IF(AND(I2683="Gasto",K2683="Variable",J2683&lt;&gt;"Trading",O2683&gt;0,O2683&lt;=Umbral),1,0))</f>
        <v/>
      </c>
      <c r="T2683" s="20">
        <f>IF(OR(I2683="",E2683=""),"",IF(OR(I2683="Gasto",I2683="Transferencia",I2683="Pago tarjeta"),-1,1)*C2683)</f>
        <v/>
      </c>
      <c r="U2683" s="20">
        <f>IF(OR(G2683="",AND(I2683&lt;&gt;"Transferencia",I2683&lt;&gt;"Pago tarjeta")),"",IF(IFERROR(INDEX(ctaMon,MATCH(G2683,ctaNom,0))&amp;"","DOP")=N2683,C2683,IF(N2683="USD",C2683*TasaUSD,C2683/TasaUSD)))</f>
        <v/>
      </c>
      <c r="V2683" s="20">
        <f>IF(I2683="","",IF(IFERROR(INDEX(ctaLiq,MATCH(E2683,ctaNom,0))="Sí",FALSE),IF(OR(I2683="Gasto",I2683="Transferencia",I2683="Pago tarjeta"),-1,1)*O2683,0)+IF(AND(U2683&lt;&gt;"",IFERROR(INDEX(ctaLiq,MATCH(G2683,ctaNom,0))="Sí",FALSE)),O2683,0))</f>
        <v/>
      </c>
      <c r="W2683" s="19">
        <f>IF(OR(F2683="",I2683=""),"",IF(COUNTIFS(F$6:F2683,F2683,I$6:I2683,"?*")=1,MAX(W$5:W2682)+1,""))</f>
        <v/>
      </c>
    </row>
    <row r="2684">
      <c r="B2684" s="15" t="n"/>
      <c r="C2684" s="16" t="n"/>
      <c r="D2684" s="17" t="n"/>
      <c r="E2684" s="17" t="n"/>
      <c r="F2684" s="17" t="n"/>
      <c r="G2684" s="17" t="n"/>
      <c r="H2684" s="18">
        <f>IF(AND(B2684="",C2684="",D2684="",E2684=""),"",IF(B2684="","⚠ Falta fecha",IF(C2684="","⚠ Falta monto",IF(D2684="","⚠ Falta categoría",IF(ISNA(MATCH(D2684,catNom,0)),"⚠ Categoría no existe",IF(E2684="","⚠ Falta cuenta",IF(ISNA(MATCH(E2684,ctaNom,0)),"⚠ Cuenta no existe",IF(AND(OR(I2684="Transferencia",I2684="Pago tarjeta"),G2684=""),"⚠ Indica la cuenta «Hacia»",IF(AND(G2684&lt;&gt;"",G2684=E2684),"⚠ «Hacia» igual a la cuenta",IF(AND(G2684&lt;&gt;"",ISNA(MATCH(G2684,ctaNom,0))),"⚠ «Hacia» no existe",IF(AND(I2684="Pago tarjeta",IFERROR(INDEX(ctaTipo,MATCH(G2684,ctaNom,0)),"")&lt;&gt;"Tarjeta de crédito"),"⚠ «Hacia» debe ser la tarjeta",IF(AND(I2684="Trading",IFERROR(INDEX(ctaTipo,MATCH(E2684,ctaNom,0)),"")&lt;&gt;"Cuenta de trading"),"⚠ Usa la cuenta de trading","✓"))))))))))))</f>
        <v/>
      </c>
      <c r="I2684" s="19">
        <f>IF(OR(B2684="",C2684="",D2684=""),"",IFERROR(INDEX(catTipo,MATCH(D2684,catNom,0))&amp;"",""))</f>
        <v/>
      </c>
      <c r="J2684" s="19">
        <f>IF(I2684="","",IFERROR(INDEX(catGrupo,MATCH(D2684,catNom,0))&amp;"",""))</f>
        <v/>
      </c>
      <c r="K2684" s="19">
        <f>IF(I2684="Gasto",IF(IFERROR(INDEX(catClas,MATCH(D2684,catNom,0))&amp;"","")="","Variable",IFERROR(INDEX(catClas,MATCH(D2684,catNom,0))&amp;"","")),"")</f>
        <v/>
      </c>
      <c r="L2684" s="19">
        <f>IF(I2684="","",IFERROR(INDEX(catAlim,MATCH(D2684,catNom,0))&amp;"",""))</f>
        <v/>
      </c>
      <c r="M2684" s="19">
        <f>IF(I2684="","",IFERROR(INDEX(catComida,MATCH(D2684,catNom,0))&amp;"",""))</f>
        <v/>
      </c>
      <c r="N2684" s="19">
        <f>IF(I2684="","",IFERROR(INDEX(ctaMon,MATCH(E2684,ctaNom,0))&amp;"","DOP"))</f>
        <v/>
      </c>
      <c r="O2684" s="20">
        <f>IF(I2684="","",C2684*IF(N2684="USD",TasaUSD,1))</f>
        <v/>
      </c>
      <c r="P2684" s="20">
        <f>IF(I2684="","",IF(I2684="Gasto",O2684,0))</f>
        <v/>
      </c>
      <c r="Q2684" s="20">
        <f>IF(I2684="","",IF(I2684="Ingreso",O2684,0))</f>
        <v/>
      </c>
      <c r="R2684" s="20">
        <f>IF(I2684="","",IF(I2684="Trading",O2684,0))</f>
        <v/>
      </c>
      <c r="S2684" s="19">
        <f>IF(I2684="","",IF(AND(I2684="Gasto",K2684="Variable",J2684&lt;&gt;"Trading",O2684&gt;0,O2684&lt;=Umbral),1,0))</f>
        <v/>
      </c>
      <c r="T2684" s="20">
        <f>IF(OR(I2684="",E2684=""),"",IF(OR(I2684="Gasto",I2684="Transferencia",I2684="Pago tarjeta"),-1,1)*C2684)</f>
        <v/>
      </c>
      <c r="U2684" s="20">
        <f>IF(OR(G2684="",AND(I2684&lt;&gt;"Transferencia",I2684&lt;&gt;"Pago tarjeta")),"",IF(IFERROR(INDEX(ctaMon,MATCH(G2684,ctaNom,0))&amp;"","DOP")=N2684,C2684,IF(N2684="USD",C2684*TasaUSD,C2684/TasaUSD)))</f>
        <v/>
      </c>
      <c r="V2684" s="20">
        <f>IF(I2684="","",IF(IFERROR(INDEX(ctaLiq,MATCH(E2684,ctaNom,0))="Sí",FALSE),IF(OR(I2684="Gasto",I2684="Transferencia",I2684="Pago tarjeta"),-1,1)*O2684,0)+IF(AND(U2684&lt;&gt;"",IFERROR(INDEX(ctaLiq,MATCH(G2684,ctaNom,0))="Sí",FALSE)),O2684,0))</f>
        <v/>
      </c>
      <c r="W2684" s="19">
        <f>IF(OR(F2684="",I2684=""),"",IF(COUNTIFS(F$6:F2684,F2684,I$6:I2684,"?*")=1,MAX(W$5:W2683)+1,""))</f>
        <v/>
      </c>
    </row>
    <row r="2685">
      <c r="B2685" s="15" t="n"/>
      <c r="C2685" s="16" t="n"/>
      <c r="D2685" s="17" t="n"/>
      <c r="E2685" s="17" t="n"/>
      <c r="F2685" s="17" t="n"/>
      <c r="G2685" s="17" t="n"/>
      <c r="H2685" s="18">
        <f>IF(AND(B2685="",C2685="",D2685="",E2685=""),"",IF(B2685="","⚠ Falta fecha",IF(C2685="","⚠ Falta monto",IF(D2685="","⚠ Falta categoría",IF(ISNA(MATCH(D2685,catNom,0)),"⚠ Categoría no existe",IF(E2685="","⚠ Falta cuenta",IF(ISNA(MATCH(E2685,ctaNom,0)),"⚠ Cuenta no existe",IF(AND(OR(I2685="Transferencia",I2685="Pago tarjeta"),G2685=""),"⚠ Indica la cuenta «Hacia»",IF(AND(G2685&lt;&gt;"",G2685=E2685),"⚠ «Hacia» igual a la cuenta",IF(AND(G2685&lt;&gt;"",ISNA(MATCH(G2685,ctaNom,0))),"⚠ «Hacia» no existe",IF(AND(I2685="Pago tarjeta",IFERROR(INDEX(ctaTipo,MATCH(G2685,ctaNom,0)),"")&lt;&gt;"Tarjeta de crédito"),"⚠ «Hacia» debe ser la tarjeta",IF(AND(I2685="Trading",IFERROR(INDEX(ctaTipo,MATCH(E2685,ctaNom,0)),"")&lt;&gt;"Cuenta de trading"),"⚠ Usa la cuenta de trading","✓"))))))))))))</f>
        <v/>
      </c>
      <c r="I2685" s="19">
        <f>IF(OR(B2685="",C2685="",D2685=""),"",IFERROR(INDEX(catTipo,MATCH(D2685,catNom,0))&amp;"",""))</f>
        <v/>
      </c>
      <c r="J2685" s="19">
        <f>IF(I2685="","",IFERROR(INDEX(catGrupo,MATCH(D2685,catNom,0))&amp;"",""))</f>
        <v/>
      </c>
      <c r="K2685" s="19">
        <f>IF(I2685="Gasto",IF(IFERROR(INDEX(catClas,MATCH(D2685,catNom,0))&amp;"","")="","Variable",IFERROR(INDEX(catClas,MATCH(D2685,catNom,0))&amp;"","")),"")</f>
        <v/>
      </c>
      <c r="L2685" s="19">
        <f>IF(I2685="","",IFERROR(INDEX(catAlim,MATCH(D2685,catNom,0))&amp;"",""))</f>
        <v/>
      </c>
      <c r="M2685" s="19">
        <f>IF(I2685="","",IFERROR(INDEX(catComida,MATCH(D2685,catNom,0))&amp;"",""))</f>
        <v/>
      </c>
      <c r="N2685" s="19">
        <f>IF(I2685="","",IFERROR(INDEX(ctaMon,MATCH(E2685,ctaNom,0))&amp;"","DOP"))</f>
        <v/>
      </c>
      <c r="O2685" s="20">
        <f>IF(I2685="","",C2685*IF(N2685="USD",TasaUSD,1))</f>
        <v/>
      </c>
      <c r="P2685" s="20">
        <f>IF(I2685="","",IF(I2685="Gasto",O2685,0))</f>
        <v/>
      </c>
      <c r="Q2685" s="20">
        <f>IF(I2685="","",IF(I2685="Ingreso",O2685,0))</f>
        <v/>
      </c>
      <c r="R2685" s="20">
        <f>IF(I2685="","",IF(I2685="Trading",O2685,0))</f>
        <v/>
      </c>
      <c r="S2685" s="19">
        <f>IF(I2685="","",IF(AND(I2685="Gasto",K2685="Variable",J2685&lt;&gt;"Trading",O2685&gt;0,O2685&lt;=Umbral),1,0))</f>
        <v/>
      </c>
      <c r="T2685" s="20">
        <f>IF(OR(I2685="",E2685=""),"",IF(OR(I2685="Gasto",I2685="Transferencia",I2685="Pago tarjeta"),-1,1)*C2685)</f>
        <v/>
      </c>
      <c r="U2685" s="20">
        <f>IF(OR(G2685="",AND(I2685&lt;&gt;"Transferencia",I2685&lt;&gt;"Pago tarjeta")),"",IF(IFERROR(INDEX(ctaMon,MATCH(G2685,ctaNom,0))&amp;"","DOP")=N2685,C2685,IF(N2685="USD",C2685*TasaUSD,C2685/TasaUSD)))</f>
        <v/>
      </c>
      <c r="V2685" s="20">
        <f>IF(I2685="","",IF(IFERROR(INDEX(ctaLiq,MATCH(E2685,ctaNom,0))="Sí",FALSE),IF(OR(I2685="Gasto",I2685="Transferencia",I2685="Pago tarjeta"),-1,1)*O2685,0)+IF(AND(U2685&lt;&gt;"",IFERROR(INDEX(ctaLiq,MATCH(G2685,ctaNom,0))="Sí",FALSE)),O2685,0))</f>
        <v/>
      </c>
      <c r="W2685" s="19">
        <f>IF(OR(F2685="",I2685=""),"",IF(COUNTIFS(F$6:F2685,F2685,I$6:I2685,"?*")=1,MAX(W$5:W2684)+1,""))</f>
        <v/>
      </c>
    </row>
    <row r="2686">
      <c r="B2686" s="15" t="n"/>
      <c r="C2686" s="16" t="n"/>
      <c r="D2686" s="17" t="n"/>
      <c r="E2686" s="17" t="n"/>
      <c r="F2686" s="17" t="n"/>
      <c r="G2686" s="17" t="n"/>
      <c r="H2686" s="18">
        <f>IF(AND(B2686="",C2686="",D2686="",E2686=""),"",IF(B2686="","⚠ Falta fecha",IF(C2686="","⚠ Falta monto",IF(D2686="","⚠ Falta categoría",IF(ISNA(MATCH(D2686,catNom,0)),"⚠ Categoría no existe",IF(E2686="","⚠ Falta cuenta",IF(ISNA(MATCH(E2686,ctaNom,0)),"⚠ Cuenta no existe",IF(AND(OR(I2686="Transferencia",I2686="Pago tarjeta"),G2686=""),"⚠ Indica la cuenta «Hacia»",IF(AND(G2686&lt;&gt;"",G2686=E2686),"⚠ «Hacia» igual a la cuenta",IF(AND(G2686&lt;&gt;"",ISNA(MATCH(G2686,ctaNom,0))),"⚠ «Hacia» no existe",IF(AND(I2686="Pago tarjeta",IFERROR(INDEX(ctaTipo,MATCH(G2686,ctaNom,0)),"")&lt;&gt;"Tarjeta de crédito"),"⚠ «Hacia» debe ser la tarjeta",IF(AND(I2686="Trading",IFERROR(INDEX(ctaTipo,MATCH(E2686,ctaNom,0)),"")&lt;&gt;"Cuenta de trading"),"⚠ Usa la cuenta de trading","✓"))))))))))))</f>
        <v/>
      </c>
      <c r="I2686" s="19">
        <f>IF(OR(B2686="",C2686="",D2686=""),"",IFERROR(INDEX(catTipo,MATCH(D2686,catNom,0))&amp;"",""))</f>
        <v/>
      </c>
      <c r="J2686" s="19">
        <f>IF(I2686="","",IFERROR(INDEX(catGrupo,MATCH(D2686,catNom,0))&amp;"",""))</f>
        <v/>
      </c>
      <c r="K2686" s="19">
        <f>IF(I2686="Gasto",IF(IFERROR(INDEX(catClas,MATCH(D2686,catNom,0))&amp;"","")="","Variable",IFERROR(INDEX(catClas,MATCH(D2686,catNom,0))&amp;"","")),"")</f>
        <v/>
      </c>
      <c r="L2686" s="19">
        <f>IF(I2686="","",IFERROR(INDEX(catAlim,MATCH(D2686,catNom,0))&amp;"",""))</f>
        <v/>
      </c>
      <c r="M2686" s="19">
        <f>IF(I2686="","",IFERROR(INDEX(catComida,MATCH(D2686,catNom,0))&amp;"",""))</f>
        <v/>
      </c>
      <c r="N2686" s="19">
        <f>IF(I2686="","",IFERROR(INDEX(ctaMon,MATCH(E2686,ctaNom,0))&amp;"","DOP"))</f>
        <v/>
      </c>
      <c r="O2686" s="20">
        <f>IF(I2686="","",C2686*IF(N2686="USD",TasaUSD,1))</f>
        <v/>
      </c>
      <c r="P2686" s="20">
        <f>IF(I2686="","",IF(I2686="Gasto",O2686,0))</f>
        <v/>
      </c>
      <c r="Q2686" s="20">
        <f>IF(I2686="","",IF(I2686="Ingreso",O2686,0))</f>
        <v/>
      </c>
      <c r="R2686" s="20">
        <f>IF(I2686="","",IF(I2686="Trading",O2686,0))</f>
        <v/>
      </c>
      <c r="S2686" s="19">
        <f>IF(I2686="","",IF(AND(I2686="Gasto",K2686="Variable",J2686&lt;&gt;"Trading",O2686&gt;0,O2686&lt;=Umbral),1,0))</f>
        <v/>
      </c>
      <c r="T2686" s="20">
        <f>IF(OR(I2686="",E2686=""),"",IF(OR(I2686="Gasto",I2686="Transferencia",I2686="Pago tarjeta"),-1,1)*C2686)</f>
        <v/>
      </c>
      <c r="U2686" s="20">
        <f>IF(OR(G2686="",AND(I2686&lt;&gt;"Transferencia",I2686&lt;&gt;"Pago tarjeta")),"",IF(IFERROR(INDEX(ctaMon,MATCH(G2686,ctaNom,0))&amp;"","DOP")=N2686,C2686,IF(N2686="USD",C2686*TasaUSD,C2686/TasaUSD)))</f>
        <v/>
      </c>
      <c r="V2686" s="20">
        <f>IF(I2686="","",IF(IFERROR(INDEX(ctaLiq,MATCH(E2686,ctaNom,0))="Sí",FALSE),IF(OR(I2686="Gasto",I2686="Transferencia",I2686="Pago tarjeta"),-1,1)*O2686,0)+IF(AND(U2686&lt;&gt;"",IFERROR(INDEX(ctaLiq,MATCH(G2686,ctaNom,0))="Sí",FALSE)),O2686,0))</f>
        <v/>
      </c>
      <c r="W2686" s="19">
        <f>IF(OR(F2686="",I2686=""),"",IF(COUNTIFS(F$6:F2686,F2686,I$6:I2686,"?*")=1,MAX(W$5:W2685)+1,""))</f>
        <v/>
      </c>
    </row>
    <row r="2687">
      <c r="B2687" s="15" t="n"/>
      <c r="C2687" s="16" t="n"/>
      <c r="D2687" s="17" t="n"/>
      <c r="E2687" s="17" t="n"/>
      <c r="F2687" s="17" t="n"/>
      <c r="G2687" s="17" t="n"/>
      <c r="H2687" s="18">
        <f>IF(AND(B2687="",C2687="",D2687="",E2687=""),"",IF(B2687="","⚠ Falta fecha",IF(C2687="","⚠ Falta monto",IF(D2687="","⚠ Falta categoría",IF(ISNA(MATCH(D2687,catNom,0)),"⚠ Categoría no existe",IF(E2687="","⚠ Falta cuenta",IF(ISNA(MATCH(E2687,ctaNom,0)),"⚠ Cuenta no existe",IF(AND(OR(I2687="Transferencia",I2687="Pago tarjeta"),G2687=""),"⚠ Indica la cuenta «Hacia»",IF(AND(G2687&lt;&gt;"",G2687=E2687),"⚠ «Hacia» igual a la cuenta",IF(AND(G2687&lt;&gt;"",ISNA(MATCH(G2687,ctaNom,0))),"⚠ «Hacia» no existe",IF(AND(I2687="Pago tarjeta",IFERROR(INDEX(ctaTipo,MATCH(G2687,ctaNom,0)),"")&lt;&gt;"Tarjeta de crédito"),"⚠ «Hacia» debe ser la tarjeta",IF(AND(I2687="Trading",IFERROR(INDEX(ctaTipo,MATCH(E2687,ctaNom,0)),"")&lt;&gt;"Cuenta de trading"),"⚠ Usa la cuenta de trading","✓"))))))))))))</f>
        <v/>
      </c>
      <c r="I2687" s="19">
        <f>IF(OR(B2687="",C2687="",D2687=""),"",IFERROR(INDEX(catTipo,MATCH(D2687,catNom,0))&amp;"",""))</f>
        <v/>
      </c>
      <c r="J2687" s="19">
        <f>IF(I2687="","",IFERROR(INDEX(catGrupo,MATCH(D2687,catNom,0))&amp;"",""))</f>
        <v/>
      </c>
      <c r="K2687" s="19">
        <f>IF(I2687="Gasto",IF(IFERROR(INDEX(catClas,MATCH(D2687,catNom,0))&amp;"","")="","Variable",IFERROR(INDEX(catClas,MATCH(D2687,catNom,0))&amp;"","")),"")</f>
        <v/>
      </c>
      <c r="L2687" s="19">
        <f>IF(I2687="","",IFERROR(INDEX(catAlim,MATCH(D2687,catNom,0))&amp;"",""))</f>
        <v/>
      </c>
      <c r="M2687" s="19">
        <f>IF(I2687="","",IFERROR(INDEX(catComida,MATCH(D2687,catNom,0))&amp;"",""))</f>
        <v/>
      </c>
      <c r="N2687" s="19">
        <f>IF(I2687="","",IFERROR(INDEX(ctaMon,MATCH(E2687,ctaNom,0))&amp;"","DOP"))</f>
        <v/>
      </c>
      <c r="O2687" s="20">
        <f>IF(I2687="","",C2687*IF(N2687="USD",TasaUSD,1))</f>
        <v/>
      </c>
      <c r="P2687" s="20">
        <f>IF(I2687="","",IF(I2687="Gasto",O2687,0))</f>
        <v/>
      </c>
      <c r="Q2687" s="20">
        <f>IF(I2687="","",IF(I2687="Ingreso",O2687,0))</f>
        <v/>
      </c>
      <c r="R2687" s="20">
        <f>IF(I2687="","",IF(I2687="Trading",O2687,0))</f>
        <v/>
      </c>
      <c r="S2687" s="19">
        <f>IF(I2687="","",IF(AND(I2687="Gasto",K2687="Variable",J2687&lt;&gt;"Trading",O2687&gt;0,O2687&lt;=Umbral),1,0))</f>
        <v/>
      </c>
      <c r="T2687" s="20">
        <f>IF(OR(I2687="",E2687=""),"",IF(OR(I2687="Gasto",I2687="Transferencia",I2687="Pago tarjeta"),-1,1)*C2687)</f>
        <v/>
      </c>
      <c r="U2687" s="20">
        <f>IF(OR(G2687="",AND(I2687&lt;&gt;"Transferencia",I2687&lt;&gt;"Pago tarjeta")),"",IF(IFERROR(INDEX(ctaMon,MATCH(G2687,ctaNom,0))&amp;"","DOP")=N2687,C2687,IF(N2687="USD",C2687*TasaUSD,C2687/TasaUSD)))</f>
        <v/>
      </c>
      <c r="V2687" s="20">
        <f>IF(I2687="","",IF(IFERROR(INDEX(ctaLiq,MATCH(E2687,ctaNom,0))="Sí",FALSE),IF(OR(I2687="Gasto",I2687="Transferencia",I2687="Pago tarjeta"),-1,1)*O2687,0)+IF(AND(U2687&lt;&gt;"",IFERROR(INDEX(ctaLiq,MATCH(G2687,ctaNom,0))="Sí",FALSE)),O2687,0))</f>
        <v/>
      </c>
      <c r="W2687" s="19">
        <f>IF(OR(F2687="",I2687=""),"",IF(COUNTIFS(F$6:F2687,F2687,I$6:I2687,"?*")=1,MAX(W$5:W2686)+1,""))</f>
        <v/>
      </c>
    </row>
    <row r="2688">
      <c r="B2688" s="15" t="n"/>
      <c r="C2688" s="16" t="n"/>
      <c r="D2688" s="17" t="n"/>
      <c r="E2688" s="17" t="n"/>
      <c r="F2688" s="17" t="n"/>
      <c r="G2688" s="17" t="n"/>
      <c r="H2688" s="18">
        <f>IF(AND(B2688="",C2688="",D2688="",E2688=""),"",IF(B2688="","⚠ Falta fecha",IF(C2688="","⚠ Falta monto",IF(D2688="","⚠ Falta categoría",IF(ISNA(MATCH(D2688,catNom,0)),"⚠ Categoría no existe",IF(E2688="","⚠ Falta cuenta",IF(ISNA(MATCH(E2688,ctaNom,0)),"⚠ Cuenta no existe",IF(AND(OR(I2688="Transferencia",I2688="Pago tarjeta"),G2688=""),"⚠ Indica la cuenta «Hacia»",IF(AND(G2688&lt;&gt;"",G2688=E2688),"⚠ «Hacia» igual a la cuenta",IF(AND(G2688&lt;&gt;"",ISNA(MATCH(G2688,ctaNom,0))),"⚠ «Hacia» no existe",IF(AND(I2688="Pago tarjeta",IFERROR(INDEX(ctaTipo,MATCH(G2688,ctaNom,0)),"")&lt;&gt;"Tarjeta de crédito"),"⚠ «Hacia» debe ser la tarjeta",IF(AND(I2688="Trading",IFERROR(INDEX(ctaTipo,MATCH(E2688,ctaNom,0)),"")&lt;&gt;"Cuenta de trading"),"⚠ Usa la cuenta de trading","✓"))))))))))))</f>
        <v/>
      </c>
      <c r="I2688" s="19">
        <f>IF(OR(B2688="",C2688="",D2688=""),"",IFERROR(INDEX(catTipo,MATCH(D2688,catNom,0))&amp;"",""))</f>
        <v/>
      </c>
      <c r="J2688" s="19">
        <f>IF(I2688="","",IFERROR(INDEX(catGrupo,MATCH(D2688,catNom,0))&amp;"",""))</f>
        <v/>
      </c>
      <c r="K2688" s="19">
        <f>IF(I2688="Gasto",IF(IFERROR(INDEX(catClas,MATCH(D2688,catNom,0))&amp;"","")="","Variable",IFERROR(INDEX(catClas,MATCH(D2688,catNom,0))&amp;"","")),"")</f>
        <v/>
      </c>
      <c r="L2688" s="19">
        <f>IF(I2688="","",IFERROR(INDEX(catAlim,MATCH(D2688,catNom,0))&amp;"",""))</f>
        <v/>
      </c>
      <c r="M2688" s="19">
        <f>IF(I2688="","",IFERROR(INDEX(catComida,MATCH(D2688,catNom,0))&amp;"",""))</f>
        <v/>
      </c>
      <c r="N2688" s="19">
        <f>IF(I2688="","",IFERROR(INDEX(ctaMon,MATCH(E2688,ctaNom,0))&amp;"","DOP"))</f>
        <v/>
      </c>
      <c r="O2688" s="20">
        <f>IF(I2688="","",C2688*IF(N2688="USD",TasaUSD,1))</f>
        <v/>
      </c>
      <c r="P2688" s="20">
        <f>IF(I2688="","",IF(I2688="Gasto",O2688,0))</f>
        <v/>
      </c>
      <c r="Q2688" s="20">
        <f>IF(I2688="","",IF(I2688="Ingreso",O2688,0))</f>
        <v/>
      </c>
      <c r="R2688" s="20">
        <f>IF(I2688="","",IF(I2688="Trading",O2688,0))</f>
        <v/>
      </c>
      <c r="S2688" s="19">
        <f>IF(I2688="","",IF(AND(I2688="Gasto",K2688="Variable",J2688&lt;&gt;"Trading",O2688&gt;0,O2688&lt;=Umbral),1,0))</f>
        <v/>
      </c>
      <c r="T2688" s="20">
        <f>IF(OR(I2688="",E2688=""),"",IF(OR(I2688="Gasto",I2688="Transferencia",I2688="Pago tarjeta"),-1,1)*C2688)</f>
        <v/>
      </c>
      <c r="U2688" s="20">
        <f>IF(OR(G2688="",AND(I2688&lt;&gt;"Transferencia",I2688&lt;&gt;"Pago tarjeta")),"",IF(IFERROR(INDEX(ctaMon,MATCH(G2688,ctaNom,0))&amp;"","DOP")=N2688,C2688,IF(N2688="USD",C2688*TasaUSD,C2688/TasaUSD)))</f>
        <v/>
      </c>
      <c r="V2688" s="20">
        <f>IF(I2688="","",IF(IFERROR(INDEX(ctaLiq,MATCH(E2688,ctaNom,0))="Sí",FALSE),IF(OR(I2688="Gasto",I2688="Transferencia",I2688="Pago tarjeta"),-1,1)*O2688,0)+IF(AND(U2688&lt;&gt;"",IFERROR(INDEX(ctaLiq,MATCH(G2688,ctaNom,0))="Sí",FALSE)),O2688,0))</f>
        <v/>
      </c>
      <c r="W2688" s="19">
        <f>IF(OR(F2688="",I2688=""),"",IF(COUNTIFS(F$6:F2688,F2688,I$6:I2688,"?*")=1,MAX(W$5:W2687)+1,""))</f>
        <v/>
      </c>
    </row>
    <row r="2689">
      <c r="B2689" s="15" t="n"/>
      <c r="C2689" s="16" t="n"/>
      <c r="D2689" s="17" t="n"/>
      <c r="E2689" s="17" t="n"/>
      <c r="F2689" s="17" t="n"/>
      <c r="G2689" s="17" t="n"/>
      <c r="H2689" s="18">
        <f>IF(AND(B2689="",C2689="",D2689="",E2689=""),"",IF(B2689="","⚠ Falta fecha",IF(C2689="","⚠ Falta monto",IF(D2689="","⚠ Falta categoría",IF(ISNA(MATCH(D2689,catNom,0)),"⚠ Categoría no existe",IF(E2689="","⚠ Falta cuenta",IF(ISNA(MATCH(E2689,ctaNom,0)),"⚠ Cuenta no existe",IF(AND(OR(I2689="Transferencia",I2689="Pago tarjeta"),G2689=""),"⚠ Indica la cuenta «Hacia»",IF(AND(G2689&lt;&gt;"",G2689=E2689),"⚠ «Hacia» igual a la cuenta",IF(AND(G2689&lt;&gt;"",ISNA(MATCH(G2689,ctaNom,0))),"⚠ «Hacia» no existe",IF(AND(I2689="Pago tarjeta",IFERROR(INDEX(ctaTipo,MATCH(G2689,ctaNom,0)),"")&lt;&gt;"Tarjeta de crédito"),"⚠ «Hacia» debe ser la tarjeta",IF(AND(I2689="Trading",IFERROR(INDEX(ctaTipo,MATCH(E2689,ctaNom,0)),"")&lt;&gt;"Cuenta de trading"),"⚠ Usa la cuenta de trading","✓"))))))))))))</f>
        <v/>
      </c>
      <c r="I2689" s="19">
        <f>IF(OR(B2689="",C2689="",D2689=""),"",IFERROR(INDEX(catTipo,MATCH(D2689,catNom,0))&amp;"",""))</f>
        <v/>
      </c>
      <c r="J2689" s="19">
        <f>IF(I2689="","",IFERROR(INDEX(catGrupo,MATCH(D2689,catNom,0))&amp;"",""))</f>
        <v/>
      </c>
      <c r="K2689" s="19">
        <f>IF(I2689="Gasto",IF(IFERROR(INDEX(catClas,MATCH(D2689,catNom,0))&amp;"","")="","Variable",IFERROR(INDEX(catClas,MATCH(D2689,catNom,0))&amp;"","")),"")</f>
        <v/>
      </c>
      <c r="L2689" s="19">
        <f>IF(I2689="","",IFERROR(INDEX(catAlim,MATCH(D2689,catNom,0))&amp;"",""))</f>
        <v/>
      </c>
      <c r="M2689" s="19">
        <f>IF(I2689="","",IFERROR(INDEX(catComida,MATCH(D2689,catNom,0))&amp;"",""))</f>
        <v/>
      </c>
      <c r="N2689" s="19">
        <f>IF(I2689="","",IFERROR(INDEX(ctaMon,MATCH(E2689,ctaNom,0))&amp;"","DOP"))</f>
        <v/>
      </c>
      <c r="O2689" s="20">
        <f>IF(I2689="","",C2689*IF(N2689="USD",TasaUSD,1))</f>
        <v/>
      </c>
      <c r="P2689" s="20">
        <f>IF(I2689="","",IF(I2689="Gasto",O2689,0))</f>
        <v/>
      </c>
      <c r="Q2689" s="20">
        <f>IF(I2689="","",IF(I2689="Ingreso",O2689,0))</f>
        <v/>
      </c>
      <c r="R2689" s="20">
        <f>IF(I2689="","",IF(I2689="Trading",O2689,0))</f>
        <v/>
      </c>
      <c r="S2689" s="19">
        <f>IF(I2689="","",IF(AND(I2689="Gasto",K2689="Variable",J2689&lt;&gt;"Trading",O2689&gt;0,O2689&lt;=Umbral),1,0))</f>
        <v/>
      </c>
      <c r="T2689" s="20">
        <f>IF(OR(I2689="",E2689=""),"",IF(OR(I2689="Gasto",I2689="Transferencia",I2689="Pago tarjeta"),-1,1)*C2689)</f>
        <v/>
      </c>
      <c r="U2689" s="20">
        <f>IF(OR(G2689="",AND(I2689&lt;&gt;"Transferencia",I2689&lt;&gt;"Pago tarjeta")),"",IF(IFERROR(INDEX(ctaMon,MATCH(G2689,ctaNom,0))&amp;"","DOP")=N2689,C2689,IF(N2689="USD",C2689*TasaUSD,C2689/TasaUSD)))</f>
        <v/>
      </c>
      <c r="V2689" s="20">
        <f>IF(I2689="","",IF(IFERROR(INDEX(ctaLiq,MATCH(E2689,ctaNom,0))="Sí",FALSE),IF(OR(I2689="Gasto",I2689="Transferencia",I2689="Pago tarjeta"),-1,1)*O2689,0)+IF(AND(U2689&lt;&gt;"",IFERROR(INDEX(ctaLiq,MATCH(G2689,ctaNom,0))="Sí",FALSE)),O2689,0))</f>
        <v/>
      </c>
      <c r="W2689" s="19">
        <f>IF(OR(F2689="",I2689=""),"",IF(COUNTIFS(F$6:F2689,F2689,I$6:I2689,"?*")=1,MAX(W$5:W2688)+1,""))</f>
        <v/>
      </c>
    </row>
    <row r="2690">
      <c r="B2690" s="15" t="n"/>
      <c r="C2690" s="16" t="n"/>
      <c r="D2690" s="17" t="n"/>
      <c r="E2690" s="17" t="n"/>
      <c r="F2690" s="17" t="n"/>
      <c r="G2690" s="17" t="n"/>
      <c r="H2690" s="18">
        <f>IF(AND(B2690="",C2690="",D2690="",E2690=""),"",IF(B2690="","⚠ Falta fecha",IF(C2690="","⚠ Falta monto",IF(D2690="","⚠ Falta categoría",IF(ISNA(MATCH(D2690,catNom,0)),"⚠ Categoría no existe",IF(E2690="","⚠ Falta cuenta",IF(ISNA(MATCH(E2690,ctaNom,0)),"⚠ Cuenta no existe",IF(AND(OR(I2690="Transferencia",I2690="Pago tarjeta"),G2690=""),"⚠ Indica la cuenta «Hacia»",IF(AND(G2690&lt;&gt;"",G2690=E2690),"⚠ «Hacia» igual a la cuenta",IF(AND(G2690&lt;&gt;"",ISNA(MATCH(G2690,ctaNom,0))),"⚠ «Hacia» no existe",IF(AND(I2690="Pago tarjeta",IFERROR(INDEX(ctaTipo,MATCH(G2690,ctaNom,0)),"")&lt;&gt;"Tarjeta de crédito"),"⚠ «Hacia» debe ser la tarjeta",IF(AND(I2690="Trading",IFERROR(INDEX(ctaTipo,MATCH(E2690,ctaNom,0)),"")&lt;&gt;"Cuenta de trading"),"⚠ Usa la cuenta de trading","✓"))))))))))))</f>
        <v/>
      </c>
      <c r="I2690" s="19">
        <f>IF(OR(B2690="",C2690="",D2690=""),"",IFERROR(INDEX(catTipo,MATCH(D2690,catNom,0))&amp;"",""))</f>
        <v/>
      </c>
      <c r="J2690" s="19">
        <f>IF(I2690="","",IFERROR(INDEX(catGrupo,MATCH(D2690,catNom,0))&amp;"",""))</f>
        <v/>
      </c>
      <c r="K2690" s="19">
        <f>IF(I2690="Gasto",IF(IFERROR(INDEX(catClas,MATCH(D2690,catNom,0))&amp;"","")="","Variable",IFERROR(INDEX(catClas,MATCH(D2690,catNom,0))&amp;"","")),"")</f>
        <v/>
      </c>
      <c r="L2690" s="19">
        <f>IF(I2690="","",IFERROR(INDEX(catAlim,MATCH(D2690,catNom,0))&amp;"",""))</f>
        <v/>
      </c>
      <c r="M2690" s="19">
        <f>IF(I2690="","",IFERROR(INDEX(catComida,MATCH(D2690,catNom,0))&amp;"",""))</f>
        <v/>
      </c>
      <c r="N2690" s="19">
        <f>IF(I2690="","",IFERROR(INDEX(ctaMon,MATCH(E2690,ctaNom,0))&amp;"","DOP"))</f>
        <v/>
      </c>
      <c r="O2690" s="20">
        <f>IF(I2690="","",C2690*IF(N2690="USD",TasaUSD,1))</f>
        <v/>
      </c>
      <c r="P2690" s="20">
        <f>IF(I2690="","",IF(I2690="Gasto",O2690,0))</f>
        <v/>
      </c>
      <c r="Q2690" s="20">
        <f>IF(I2690="","",IF(I2690="Ingreso",O2690,0))</f>
        <v/>
      </c>
      <c r="R2690" s="20">
        <f>IF(I2690="","",IF(I2690="Trading",O2690,0))</f>
        <v/>
      </c>
      <c r="S2690" s="19">
        <f>IF(I2690="","",IF(AND(I2690="Gasto",K2690="Variable",J2690&lt;&gt;"Trading",O2690&gt;0,O2690&lt;=Umbral),1,0))</f>
        <v/>
      </c>
      <c r="T2690" s="20">
        <f>IF(OR(I2690="",E2690=""),"",IF(OR(I2690="Gasto",I2690="Transferencia",I2690="Pago tarjeta"),-1,1)*C2690)</f>
        <v/>
      </c>
      <c r="U2690" s="20">
        <f>IF(OR(G2690="",AND(I2690&lt;&gt;"Transferencia",I2690&lt;&gt;"Pago tarjeta")),"",IF(IFERROR(INDEX(ctaMon,MATCH(G2690,ctaNom,0))&amp;"","DOP")=N2690,C2690,IF(N2690="USD",C2690*TasaUSD,C2690/TasaUSD)))</f>
        <v/>
      </c>
      <c r="V2690" s="20">
        <f>IF(I2690="","",IF(IFERROR(INDEX(ctaLiq,MATCH(E2690,ctaNom,0))="Sí",FALSE),IF(OR(I2690="Gasto",I2690="Transferencia",I2690="Pago tarjeta"),-1,1)*O2690,0)+IF(AND(U2690&lt;&gt;"",IFERROR(INDEX(ctaLiq,MATCH(G2690,ctaNom,0))="Sí",FALSE)),O2690,0))</f>
        <v/>
      </c>
      <c r="W2690" s="19">
        <f>IF(OR(F2690="",I2690=""),"",IF(COUNTIFS(F$6:F2690,F2690,I$6:I2690,"?*")=1,MAX(W$5:W2689)+1,""))</f>
        <v/>
      </c>
    </row>
    <row r="2691">
      <c r="B2691" s="15" t="n"/>
      <c r="C2691" s="16" t="n"/>
      <c r="D2691" s="17" t="n"/>
      <c r="E2691" s="17" t="n"/>
      <c r="F2691" s="17" t="n"/>
      <c r="G2691" s="17" t="n"/>
      <c r="H2691" s="18">
        <f>IF(AND(B2691="",C2691="",D2691="",E2691=""),"",IF(B2691="","⚠ Falta fecha",IF(C2691="","⚠ Falta monto",IF(D2691="","⚠ Falta categoría",IF(ISNA(MATCH(D2691,catNom,0)),"⚠ Categoría no existe",IF(E2691="","⚠ Falta cuenta",IF(ISNA(MATCH(E2691,ctaNom,0)),"⚠ Cuenta no existe",IF(AND(OR(I2691="Transferencia",I2691="Pago tarjeta"),G2691=""),"⚠ Indica la cuenta «Hacia»",IF(AND(G2691&lt;&gt;"",G2691=E2691),"⚠ «Hacia» igual a la cuenta",IF(AND(G2691&lt;&gt;"",ISNA(MATCH(G2691,ctaNom,0))),"⚠ «Hacia» no existe",IF(AND(I2691="Pago tarjeta",IFERROR(INDEX(ctaTipo,MATCH(G2691,ctaNom,0)),"")&lt;&gt;"Tarjeta de crédito"),"⚠ «Hacia» debe ser la tarjeta",IF(AND(I2691="Trading",IFERROR(INDEX(ctaTipo,MATCH(E2691,ctaNom,0)),"")&lt;&gt;"Cuenta de trading"),"⚠ Usa la cuenta de trading","✓"))))))))))))</f>
        <v/>
      </c>
      <c r="I2691" s="19">
        <f>IF(OR(B2691="",C2691="",D2691=""),"",IFERROR(INDEX(catTipo,MATCH(D2691,catNom,0))&amp;"",""))</f>
        <v/>
      </c>
      <c r="J2691" s="19">
        <f>IF(I2691="","",IFERROR(INDEX(catGrupo,MATCH(D2691,catNom,0))&amp;"",""))</f>
        <v/>
      </c>
      <c r="K2691" s="19">
        <f>IF(I2691="Gasto",IF(IFERROR(INDEX(catClas,MATCH(D2691,catNom,0))&amp;"","")="","Variable",IFERROR(INDEX(catClas,MATCH(D2691,catNom,0))&amp;"","")),"")</f>
        <v/>
      </c>
      <c r="L2691" s="19">
        <f>IF(I2691="","",IFERROR(INDEX(catAlim,MATCH(D2691,catNom,0))&amp;"",""))</f>
        <v/>
      </c>
      <c r="M2691" s="19">
        <f>IF(I2691="","",IFERROR(INDEX(catComida,MATCH(D2691,catNom,0))&amp;"",""))</f>
        <v/>
      </c>
      <c r="N2691" s="19">
        <f>IF(I2691="","",IFERROR(INDEX(ctaMon,MATCH(E2691,ctaNom,0))&amp;"","DOP"))</f>
        <v/>
      </c>
      <c r="O2691" s="20">
        <f>IF(I2691="","",C2691*IF(N2691="USD",TasaUSD,1))</f>
        <v/>
      </c>
      <c r="P2691" s="20">
        <f>IF(I2691="","",IF(I2691="Gasto",O2691,0))</f>
        <v/>
      </c>
      <c r="Q2691" s="20">
        <f>IF(I2691="","",IF(I2691="Ingreso",O2691,0))</f>
        <v/>
      </c>
      <c r="R2691" s="20">
        <f>IF(I2691="","",IF(I2691="Trading",O2691,0))</f>
        <v/>
      </c>
      <c r="S2691" s="19">
        <f>IF(I2691="","",IF(AND(I2691="Gasto",K2691="Variable",J2691&lt;&gt;"Trading",O2691&gt;0,O2691&lt;=Umbral),1,0))</f>
        <v/>
      </c>
      <c r="T2691" s="20">
        <f>IF(OR(I2691="",E2691=""),"",IF(OR(I2691="Gasto",I2691="Transferencia",I2691="Pago tarjeta"),-1,1)*C2691)</f>
        <v/>
      </c>
      <c r="U2691" s="20">
        <f>IF(OR(G2691="",AND(I2691&lt;&gt;"Transferencia",I2691&lt;&gt;"Pago tarjeta")),"",IF(IFERROR(INDEX(ctaMon,MATCH(G2691,ctaNom,0))&amp;"","DOP")=N2691,C2691,IF(N2691="USD",C2691*TasaUSD,C2691/TasaUSD)))</f>
        <v/>
      </c>
      <c r="V2691" s="20">
        <f>IF(I2691="","",IF(IFERROR(INDEX(ctaLiq,MATCH(E2691,ctaNom,0))="Sí",FALSE),IF(OR(I2691="Gasto",I2691="Transferencia",I2691="Pago tarjeta"),-1,1)*O2691,0)+IF(AND(U2691&lt;&gt;"",IFERROR(INDEX(ctaLiq,MATCH(G2691,ctaNom,0))="Sí",FALSE)),O2691,0))</f>
        <v/>
      </c>
      <c r="W2691" s="19">
        <f>IF(OR(F2691="",I2691=""),"",IF(COUNTIFS(F$6:F2691,F2691,I$6:I2691,"?*")=1,MAX(W$5:W2690)+1,""))</f>
        <v/>
      </c>
    </row>
    <row r="2692">
      <c r="B2692" s="15" t="n"/>
      <c r="C2692" s="16" t="n"/>
      <c r="D2692" s="17" t="n"/>
      <c r="E2692" s="17" t="n"/>
      <c r="F2692" s="17" t="n"/>
      <c r="G2692" s="17" t="n"/>
      <c r="H2692" s="18">
        <f>IF(AND(B2692="",C2692="",D2692="",E2692=""),"",IF(B2692="","⚠ Falta fecha",IF(C2692="","⚠ Falta monto",IF(D2692="","⚠ Falta categoría",IF(ISNA(MATCH(D2692,catNom,0)),"⚠ Categoría no existe",IF(E2692="","⚠ Falta cuenta",IF(ISNA(MATCH(E2692,ctaNom,0)),"⚠ Cuenta no existe",IF(AND(OR(I2692="Transferencia",I2692="Pago tarjeta"),G2692=""),"⚠ Indica la cuenta «Hacia»",IF(AND(G2692&lt;&gt;"",G2692=E2692),"⚠ «Hacia» igual a la cuenta",IF(AND(G2692&lt;&gt;"",ISNA(MATCH(G2692,ctaNom,0))),"⚠ «Hacia» no existe",IF(AND(I2692="Pago tarjeta",IFERROR(INDEX(ctaTipo,MATCH(G2692,ctaNom,0)),"")&lt;&gt;"Tarjeta de crédito"),"⚠ «Hacia» debe ser la tarjeta",IF(AND(I2692="Trading",IFERROR(INDEX(ctaTipo,MATCH(E2692,ctaNom,0)),"")&lt;&gt;"Cuenta de trading"),"⚠ Usa la cuenta de trading","✓"))))))))))))</f>
        <v/>
      </c>
      <c r="I2692" s="19">
        <f>IF(OR(B2692="",C2692="",D2692=""),"",IFERROR(INDEX(catTipo,MATCH(D2692,catNom,0))&amp;"",""))</f>
        <v/>
      </c>
      <c r="J2692" s="19">
        <f>IF(I2692="","",IFERROR(INDEX(catGrupo,MATCH(D2692,catNom,0))&amp;"",""))</f>
        <v/>
      </c>
      <c r="K2692" s="19">
        <f>IF(I2692="Gasto",IF(IFERROR(INDEX(catClas,MATCH(D2692,catNom,0))&amp;"","")="","Variable",IFERROR(INDEX(catClas,MATCH(D2692,catNom,0))&amp;"","")),"")</f>
        <v/>
      </c>
      <c r="L2692" s="19">
        <f>IF(I2692="","",IFERROR(INDEX(catAlim,MATCH(D2692,catNom,0))&amp;"",""))</f>
        <v/>
      </c>
      <c r="M2692" s="19">
        <f>IF(I2692="","",IFERROR(INDEX(catComida,MATCH(D2692,catNom,0))&amp;"",""))</f>
        <v/>
      </c>
      <c r="N2692" s="19">
        <f>IF(I2692="","",IFERROR(INDEX(ctaMon,MATCH(E2692,ctaNom,0))&amp;"","DOP"))</f>
        <v/>
      </c>
      <c r="O2692" s="20">
        <f>IF(I2692="","",C2692*IF(N2692="USD",TasaUSD,1))</f>
        <v/>
      </c>
      <c r="P2692" s="20">
        <f>IF(I2692="","",IF(I2692="Gasto",O2692,0))</f>
        <v/>
      </c>
      <c r="Q2692" s="20">
        <f>IF(I2692="","",IF(I2692="Ingreso",O2692,0))</f>
        <v/>
      </c>
      <c r="R2692" s="20">
        <f>IF(I2692="","",IF(I2692="Trading",O2692,0))</f>
        <v/>
      </c>
      <c r="S2692" s="19">
        <f>IF(I2692="","",IF(AND(I2692="Gasto",K2692="Variable",J2692&lt;&gt;"Trading",O2692&gt;0,O2692&lt;=Umbral),1,0))</f>
        <v/>
      </c>
      <c r="T2692" s="20">
        <f>IF(OR(I2692="",E2692=""),"",IF(OR(I2692="Gasto",I2692="Transferencia",I2692="Pago tarjeta"),-1,1)*C2692)</f>
        <v/>
      </c>
      <c r="U2692" s="20">
        <f>IF(OR(G2692="",AND(I2692&lt;&gt;"Transferencia",I2692&lt;&gt;"Pago tarjeta")),"",IF(IFERROR(INDEX(ctaMon,MATCH(G2692,ctaNom,0))&amp;"","DOP")=N2692,C2692,IF(N2692="USD",C2692*TasaUSD,C2692/TasaUSD)))</f>
        <v/>
      </c>
      <c r="V2692" s="20">
        <f>IF(I2692="","",IF(IFERROR(INDEX(ctaLiq,MATCH(E2692,ctaNom,0))="Sí",FALSE),IF(OR(I2692="Gasto",I2692="Transferencia",I2692="Pago tarjeta"),-1,1)*O2692,0)+IF(AND(U2692&lt;&gt;"",IFERROR(INDEX(ctaLiq,MATCH(G2692,ctaNom,0))="Sí",FALSE)),O2692,0))</f>
        <v/>
      </c>
      <c r="W2692" s="19">
        <f>IF(OR(F2692="",I2692=""),"",IF(COUNTIFS(F$6:F2692,F2692,I$6:I2692,"?*")=1,MAX(W$5:W2691)+1,""))</f>
        <v/>
      </c>
    </row>
    <row r="2693">
      <c r="B2693" s="15" t="n"/>
      <c r="C2693" s="16" t="n"/>
      <c r="D2693" s="17" t="n"/>
      <c r="E2693" s="17" t="n"/>
      <c r="F2693" s="17" t="n"/>
      <c r="G2693" s="17" t="n"/>
      <c r="H2693" s="18">
        <f>IF(AND(B2693="",C2693="",D2693="",E2693=""),"",IF(B2693="","⚠ Falta fecha",IF(C2693="","⚠ Falta monto",IF(D2693="","⚠ Falta categoría",IF(ISNA(MATCH(D2693,catNom,0)),"⚠ Categoría no existe",IF(E2693="","⚠ Falta cuenta",IF(ISNA(MATCH(E2693,ctaNom,0)),"⚠ Cuenta no existe",IF(AND(OR(I2693="Transferencia",I2693="Pago tarjeta"),G2693=""),"⚠ Indica la cuenta «Hacia»",IF(AND(G2693&lt;&gt;"",G2693=E2693),"⚠ «Hacia» igual a la cuenta",IF(AND(G2693&lt;&gt;"",ISNA(MATCH(G2693,ctaNom,0))),"⚠ «Hacia» no existe",IF(AND(I2693="Pago tarjeta",IFERROR(INDEX(ctaTipo,MATCH(G2693,ctaNom,0)),"")&lt;&gt;"Tarjeta de crédito"),"⚠ «Hacia» debe ser la tarjeta",IF(AND(I2693="Trading",IFERROR(INDEX(ctaTipo,MATCH(E2693,ctaNom,0)),"")&lt;&gt;"Cuenta de trading"),"⚠ Usa la cuenta de trading","✓"))))))))))))</f>
        <v/>
      </c>
      <c r="I2693" s="19">
        <f>IF(OR(B2693="",C2693="",D2693=""),"",IFERROR(INDEX(catTipo,MATCH(D2693,catNom,0))&amp;"",""))</f>
        <v/>
      </c>
      <c r="J2693" s="19">
        <f>IF(I2693="","",IFERROR(INDEX(catGrupo,MATCH(D2693,catNom,0))&amp;"",""))</f>
        <v/>
      </c>
      <c r="K2693" s="19">
        <f>IF(I2693="Gasto",IF(IFERROR(INDEX(catClas,MATCH(D2693,catNom,0))&amp;"","")="","Variable",IFERROR(INDEX(catClas,MATCH(D2693,catNom,0))&amp;"","")),"")</f>
        <v/>
      </c>
      <c r="L2693" s="19">
        <f>IF(I2693="","",IFERROR(INDEX(catAlim,MATCH(D2693,catNom,0))&amp;"",""))</f>
        <v/>
      </c>
      <c r="M2693" s="19">
        <f>IF(I2693="","",IFERROR(INDEX(catComida,MATCH(D2693,catNom,0))&amp;"",""))</f>
        <v/>
      </c>
      <c r="N2693" s="19">
        <f>IF(I2693="","",IFERROR(INDEX(ctaMon,MATCH(E2693,ctaNom,0))&amp;"","DOP"))</f>
        <v/>
      </c>
      <c r="O2693" s="20">
        <f>IF(I2693="","",C2693*IF(N2693="USD",TasaUSD,1))</f>
        <v/>
      </c>
      <c r="P2693" s="20">
        <f>IF(I2693="","",IF(I2693="Gasto",O2693,0))</f>
        <v/>
      </c>
      <c r="Q2693" s="20">
        <f>IF(I2693="","",IF(I2693="Ingreso",O2693,0))</f>
        <v/>
      </c>
      <c r="R2693" s="20">
        <f>IF(I2693="","",IF(I2693="Trading",O2693,0))</f>
        <v/>
      </c>
      <c r="S2693" s="19">
        <f>IF(I2693="","",IF(AND(I2693="Gasto",K2693="Variable",J2693&lt;&gt;"Trading",O2693&gt;0,O2693&lt;=Umbral),1,0))</f>
        <v/>
      </c>
      <c r="T2693" s="20">
        <f>IF(OR(I2693="",E2693=""),"",IF(OR(I2693="Gasto",I2693="Transferencia",I2693="Pago tarjeta"),-1,1)*C2693)</f>
        <v/>
      </c>
      <c r="U2693" s="20">
        <f>IF(OR(G2693="",AND(I2693&lt;&gt;"Transferencia",I2693&lt;&gt;"Pago tarjeta")),"",IF(IFERROR(INDEX(ctaMon,MATCH(G2693,ctaNom,0))&amp;"","DOP")=N2693,C2693,IF(N2693="USD",C2693*TasaUSD,C2693/TasaUSD)))</f>
        <v/>
      </c>
      <c r="V2693" s="20">
        <f>IF(I2693="","",IF(IFERROR(INDEX(ctaLiq,MATCH(E2693,ctaNom,0))="Sí",FALSE),IF(OR(I2693="Gasto",I2693="Transferencia",I2693="Pago tarjeta"),-1,1)*O2693,0)+IF(AND(U2693&lt;&gt;"",IFERROR(INDEX(ctaLiq,MATCH(G2693,ctaNom,0))="Sí",FALSE)),O2693,0))</f>
        <v/>
      </c>
      <c r="W2693" s="19">
        <f>IF(OR(F2693="",I2693=""),"",IF(COUNTIFS(F$6:F2693,F2693,I$6:I2693,"?*")=1,MAX(W$5:W2692)+1,""))</f>
        <v/>
      </c>
    </row>
    <row r="2694">
      <c r="B2694" s="15" t="n"/>
      <c r="C2694" s="16" t="n"/>
      <c r="D2694" s="17" t="n"/>
      <c r="E2694" s="17" t="n"/>
      <c r="F2694" s="17" t="n"/>
      <c r="G2694" s="17" t="n"/>
      <c r="H2694" s="18">
        <f>IF(AND(B2694="",C2694="",D2694="",E2694=""),"",IF(B2694="","⚠ Falta fecha",IF(C2694="","⚠ Falta monto",IF(D2694="","⚠ Falta categoría",IF(ISNA(MATCH(D2694,catNom,0)),"⚠ Categoría no existe",IF(E2694="","⚠ Falta cuenta",IF(ISNA(MATCH(E2694,ctaNom,0)),"⚠ Cuenta no existe",IF(AND(OR(I2694="Transferencia",I2694="Pago tarjeta"),G2694=""),"⚠ Indica la cuenta «Hacia»",IF(AND(G2694&lt;&gt;"",G2694=E2694),"⚠ «Hacia» igual a la cuenta",IF(AND(G2694&lt;&gt;"",ISNA(MATCH(G2694,ctaNom,0))),"⚠ «Hacia» no existe",IF(AND(I2694="Pago tarjeta",IFERROR(INDEX(ctaTipo,MATCH(G2694,ctaNom,0)),"")&lt;&gt;"Tarjeta de crédito"),"⚠ «Hacia» debe ser la tarjeta",IF(AND(I2694="Trading",IFERROR(INDEX(ctaTipo,MATCH(E2694,ctaNom,0)),"")&lt;&gt;"Cuenta de trading"),"⚠ Usa la cuenta de trading","✓"))))))))))))</f>
        <v/>
      </c>
      <c r="I2694" s="19">
        <f>IF(OR(B2694="",C2694="",D2694=""),"",IFERROR(INDEX(catTipo,MATCH(D2694,catNom,0))&amp;"",""))</f>
        <v/>
      </c>
      <c r="J2694" s="19">
        <f>IF(I2694="","",IFERROR(INDEX(catGrupo,MATCH(D2694,catNom,0))&amp;"",""))</f>
        <v/>
      </c>
      <c r="K2694" s="19">
        <f>IF(I2694="Gasto",IF(IFERROR(INDEX(catClas,MATCH(D2694,catNom,0))&amp;"","")="","Variable",IFERROR(INDEX(catClas,MATCH(D2694,catNom,0))&amp;"","")),"")</f>
        <v/>
      </c>
      <c r="L2694" s="19">
        <f>IF(I2694="","",IFERROR(INDEX(catAlim,MATCH(D2694,catNom,0))&amp;"",""))</f>
        <v/>
      </c>
      <c r="M2694" s="19">
        <f>IF(I2694="","",IFERROR(INDEX(catComida,MATCH(D2694,catNom,0))&amp;"",""))</f>
        <v/>
      </c>
      <c r="N2694" s="19">
        <f>IF(I2694="","",IFERROR(INDEX(ctaMon,MATCH(E2694,ctaNom,0))&amp;"","DOP"))</f>
        <v/>
      </c>
      <c r="O2694" s="20">
        <f>IF(I2694="","",C2694*IF(N2694="USD",TasaUSD,1))</f>
        <v/>
      </c>
      <c r="P2694" s="20">
        <f>IF(I2694="","",IF(I2694="Gasto",O2694,0))</f>
        <v/>
      </c>
      <c r="Q2694" s="20">
        <f>IF(I2694="","",IF(I2694="Ingreso",O2694,0))</f>
        <v/>
      </c>
      <c r="R2694" s="20">
        <f>IF(I2694="","",IF(I2694="Trading",O2694,0))</f>
        <v/>
      </c>
      <c r="S2694" s="19">
        <f>IF(I2694="","",IF(AND(I2694="Gasto",K2694="Variable",J2694&lt;&gt;"Trading",O2694&gt;0,O2694&lt;=Umbral),1,0))</f>
        <v/>
      </c>
      <c r="T2694" s="20">
        <f>IF(OR(I2694="",E2694=""),"",IF(OR(I2694="Gasto",I2694="Transferencia",I2694="Pago tarjeta"),-1,1)*C2694)</f>
        <v/>
      </c>
      <c r="U2694" s="20">
        <f>IF(OR(G2694="",AND(I2694&lt;&gt;"Transferencia",I2694&lt;&gt;"Pago tarjeta")),"",IF(IFERROR(INDEX(ctaMon,MATCH(G2694,ctaNom,0))&amp;"","DOP")=N2694,C2694,IF(N2694="USD",C2694*TasaUSD,C2694/TasaUSD)))</f>
        <v/>
      </c>
      <c r="V2694" s="20">
        <f>IF(I2694="","",IF(IFERROR(INDEX(ctaLiq,MATCH(E2694,ctaNom,0))="Sí",FALSE),IF(OR(I2694="Gasto",I2694="Transferencia",I2694="Pago tarjeta"),-1,1)*O2694,0)+IF(AND(U2694&lt;&gt;"",IFERROR(INDEX(ctaLiq,MATCH(G2694,ctaNom,0))="Sí",FALSE)),O2694,0))</f>
        <v/>
      </c>
      <c r="W2694" s="19">
        <f>IF(OR(F2694="",I2694=""),"",IF(COUNTIFS(F$6:F2694,F2694,I$6:I2694,"?*")=1,MAX(W$5:W2693)+1,""))</f>
        <v/>
      </c>
    </row>
    <row r="2695">
      <c r="B2695" s="15" t="n"/>
      <c r="C2695" s="16" t="n"/>
      <c r="D2695" s="17" t="n"/>
      <c r="E2695" s="17" t="n"/>
      <c r="F2695" s="17" t="n"/>
      <c r="G2695" s="17" t="n"/>
      <c r="H2695" s="18">
        <f>IF(AND(B2695="",C2695="",D2695="",E2695=""),"",IF(B2695="","⚠ Falta fecha",IF(C2695="","⚠ Falta monto",IF(D2695="","⚠ Falta categoría",IF(ISNA(MATCH(D2695,catNom,0)),"⚠ Categoría no existe",IF(E2695="","⚠ Falta cuenta",IF(ISNA(MATCH(E2695,ctaNom,0)),"⚠ Cuenta no existe",IF(AND(OR(I2695="Transferencia",I2695="Pago tarjeta"),G2695=""),"⚠ Indica la cuenta «Hacia»",IF(AND(G2695&lt;&gt;"",G2695=E2695),"⚠ «Hacia» igual a la cuenta",IF(AND(G2695&lt;&gt;"",ISNA(MATCH(G2695,ctaNom,0))),"⚠ «Hacia» no existe",IF(AND(I2695="Pago tarjeta",IFERROR(INDEX(ctaTipo,MATCH(G2695,ctaNom,0)),"")&lt;&gt;"Tarjeta de crédito"),"⚠ «Hacia» debe ser la tarjeta",IF(AND(I2695="Trading",IFERROR(INDEX(ctaTipo,MATCH(E2695,ctaNom,0)),"")&lt;&gt;"Cuenta de trading"),"⚠ Usa la cuenta de trading","✓"))))))))))))</f>
        <v/>
      </c>
      <c r="I2695" s="19">
        <f>IF(OR(B2695="",C2695="",D2695=""),"",IFERROR(INDEX(catTipo,MATCH(D2695,catNom,0))&amp;"",""))</f>
        <v/>
      </c>
      <c r="J2695" s="19">
        <f>IF(I2695="","",IFERROR(INDEX(catGrupo,MATCH(D2695,catNom,0))&amp;"",""))</f>
        <v/>
      </c>
      <c r="K2695" s="19">
        <f>IF(I2695="Gasto",IF(IFERROR(INDEX(catClas,MATCH(D2695,catNom,0))&amp;"","")="","Variable",IFERROR(INDEX(catClas,MATCH(D2695,catNom,0))&amp;"","")),"")</f>
        <v/>
      </c>
      <c r="L2695" s="19">
        <f>IF(I2695="","",IFERROR(INDEX(catAlim,MATCH(D2695,catNom,0))&amp;"",""))</f>
        <v/>
      </c>
      <c r="M2695" s="19">
        <f>IF(I2695="","",IFERROR(INDEX(catComida,MATCH(D2695,catNom,0))&amp;"",""))</f>
        <v/>
      </c>
      <c r="N2695" s="19">
        <f>IF(I2695="","",IFERROR(INDEX(ctaMon,MATCH(E2695,ctaNom,0))&amp;"","DOP"))</f>
        <v/>
      </c>
      <c r="O2695" s="20">
        <f>IF(I2695="","",C2695*IF(N2695="USD",TasaUSD,1))</f>
        <v/>
      </c>
      <c r="P2695" s="20">
        <f>IF(I2695="","",IF(I2695="Gasto",O2695,0))</f>
        <v/>
      </c>
      <c r="Q2695" s="20">
        <f>IF(I2695="","",IF(I2695="Ingreso",O2695,0))</f>
        <v/>
      </c>
      <c r="R2695" s="20">
        <f>IF(I2695="","",IF(I2695="Trading",O2695,0))</f>
        <v/>
      </c>
      <c r="S2695" s="19">
        <f>IF(I2695="","",IF(AND(I2695="Gasto",K2695="Variable",J2695&lt;&gt;"Trading",O2695&gt;0,O2695&lt;=Umbral),1,0))</f>
        <v/>
      </c>
      <c r="T2695" s="20">
        <f>IF(OR(I2695="",E2695=""),"",IF(OR(I2695="Gasto",I2695="Transferencia",I2695="Pago tarjeta"),-1,1)*C2695)</f>
        <v/>
      </c>
      <c r="U2695" s="20">
        <f>IF(OR(G2695="",AND(I2695&lt;&gt;"Transferencia",I2695&lt;&gt;"Pago tarjeta")),"",IF(IFERROR(INDEX(ctaMon,MATCH(G2695,ctaNom,0))&amp;"","DOP")=N2695,C2695,IF(N2695="USD",C2695*TasaUSD,C2695/TasaUSD)))</f>
        <v/>
      </c>
      <c r="V2695" s="20">
        <f>IF(I2695="","",IF(IFERROR(INDEX(ctaLiq,MATCH(E2695,ctaNom,0))="Sí",FALSE),IF(OR(I2695="Gasto",I2695="Transferencia",I2695="Pago tarjeta"),-1,1)*O2695,0)+IF(AND(U2695&lt;&gt;"",IFERROR(INDEX(ctaLiq,MATCH(G2695,ctaNom,0))="Sí",FALSE)),O2695,0))</f>
        <v/>
      </c>
      <c r="W2695" s="19">
        <f>IF(OR(F2695="",I2695=""),"",IF(COUNTIFS(F$6:F2695,F2695,I$6:I2695,"?*")=1,MAX(W$5:W2694)+1,""))</f>
        <v/>
      </c>
    </row>
    <row r="2696">
      <c r="B2696" s="15" t="n"/>
      <c r="C2696" s="16" t="n"/>
      <c r="D2696" s="17" t="n"/>
      <c r="E2696" s="17" t="n"/>
      <c r="F2696" s="17" t="n"/>
      <c r="G2696" s="17" t="n"/>
      <c r="H2696" s="18">
        <f>IF(AND(B2696="",C2696="",D2696="",E2696=""),"",IF(B2696="","⚠ Falta fecha",IF(C2696="","⚠ Falta monto",IF(D2696="","⚠ Falta categoría",IF(ISNA(MATCH(D2696,catNom,0)),"⚠ Categoría no existe",IF(E2696="","⚠ Falta cuenta",IF(ISNA(MATCH(E2696,ctaNom,0)),"⚠ Cuenta no existe",IF(AND(OR(I2696="Transferencia",I2696="Pago tarjeta"),G2696=""),"⚠ Indica la cuenta «Hacia»",IF(AND(G2696&lt;&gt;"",G2696=E2696),"⚠ «Hacia» igual a la cuenta",IF(AND(G2696&lt;&gt;"",ISNA(MATCH(G2696,ctaNom,0))),"⚠ «Hacia» no existe",IF(AND(I2696="Pago tarjeta",IFERROR(INDEX(ctaTipo,MATCH(G2696,ctaNom,0)),"")&lt;&gt;"Tarjeta de crédito"),"⚠ «Hacia» debe ser la tarjeta",IF(AND(I2696="Trading",IFERROR(INDEX(ctaTipo,MATCH(E2696,ctaNom,0)),"")&lt;&gt;"Cuenta de trading"),"⚠ Usa la cuenta de trading","✓"))))))))))))</f>
        <v/>
      </c>
      <c r="I2696" s="19">
        <f>IF(OR(B2696="",C2696="",D2696=""),"",IFERROR(INDEX(catTipo,MATCH(D2696,catNom,0))&amp;"",""))</f>
        <v/>
      </c>
      <c r="J2696" s="19">
        <f>IF(I2696="","",IFERROR(INDEX(catGrupo,MATCH(D2696,catNom,0))&amp;"",""))</f>
        <v/>
      </c>
      <c r="K2696" s="19">
        <f>IF(I2696="Gasto",IF(IFERROR(INDEX(catClas,MATCH(D2696,catNom,0))&amp;"","")="","Variable",IFERROR(INDEX(catClas,MATCH(D2696,catNom,0))&amp;"","")),"")</f>
        <v/>
      </c>
      <c r="L2696" s="19">
        <f>IF(I2696="","",IFERROR(INDEX(catAlim,MATCH(D2696,catNom,0))&amp;"",""))</f>
        <v/>
      </c>
      <c r="M2696" s="19">
        <f>IF(I2696="","",IFERROR(INDEX(catComida,MATCH(D2696,catNom,0))&amp;"",""))</f>
        <v/>
      </c>
      <c r="N2696" s="19">
        <f>IF(I2696="","",IFERROR(INDEX(ctaMon,MATCH(E2696,ctaNom,0))&amp;"","DOP"))</f>
        <v/>
      </c>
      <c r="O2696" s="20">
        <f>IF(I2696="","",C2696*IF(N2696="USD",TasaUSD,1))</f>
        <v/>
      </c>
      <c r="P2696" s="20">
        <f>IF(I2696="","",IF(I2696="Gasto",O2696,0))</f>
        <v/>
      </c>
      <c r="Q2696" s="20">
        <f>IF(I2696="","",IF(I2696="Ingreso",O2696,0))</f>
        <v/>
      </c>
      <c r="R2696" s="20">
        <f>IF(I2696="","",IF(I2696="Trading",O2696,0))</f>
        <v/>
      </c>
      <c r="S2696" s="19">
        <f>IF(I2696="","",IF(AND(I2696="Gasto",K2696="Variable",J2696&lt;&gt;"Trading",O2696&gt;0,O2696&lt;=Umbral),1,0))</f>
        <v/>
      </c>
      <c r="T2696" s="20">
        <f>IF(OR(I2696="",E2696=""),"",IF(OR(I2696="Gasto",I2696="Transferencia",I2696="Pago tarjeta"),-1,1)*C2696)</f>
        <v/>
      </c>
      <c r="U2696" s="20">
        <f>IF(OR(G2696="",AND(I2696&lt;&gt;"Transferencia",I2696&lt;&gt;"Pago tarjeta")),"",IF(IFERROR(INDEX(ctaMon,MATCH(G2696,ctaNom,0))&amp;"","DOP")=N2696,C2696,IF(N2696="USD",C2696*TasaUSD,C2696/TasaUSD)))</f>
        <v/>
      </c>
      <c r="V2696" s="20">
        <f>IF(I2696="","",IF(IFERROR(INDEX(ctaLiq,MATCH(E2696,ctaNom,0))="Sí",FALSE),IF(OR(I2696="Gasto",I2696="Transferencia",I2696="Pago tarjeta"),-1,1)*O2696,0)+IF(AND(U2696&lt;&gt;"",IFERROR(INDEX(ctaLiq,MATCH(G2696,ctaNom,0))="Sí",FALSE)),O2696,0))</f>
        <v/>
      </c>
      <c r="W2696" s="19">
        <f>IF(OR(F2696="",I2696=""),"",IF(COUNTIFS(F$6:F2696,F2696,I$6:I2696,"?*")=1,MAX(W$5:W2695)+1,""))</f>
        <v/>
      </c>
    </row>
    <row r="2697">
      <c r="B2697" s="15" t="n"/>
      <c r="C2697" s="16" t="n"/>
      <c r="D2697" s="17" t="n"/>
      <c r="E2697" s="17" t="n"/>
      <c r="F2697" s="17" t="n"/>
      <c r="G2697" s="17" t="n"/>
      <c r="H2697" s="18">
        <f>IF(AND(B2697="",C2697="",D2697="",E2697=""),"",IF(B2697="","⚠ Falta fecha",IF(C2697="","⚠ Falta monto",IF(D2697="","⚠ Falta categoría",IF(ISNA(MATCH(D2697,catNom,0)),"⚠ Categoría no existe",IF(E2697="","⚠ Falta cuenta",IF(ISNA(MATCH(E2697,ctaNom,0)),"⚠ Cuenta no existe",IF(AND(OR(I2697="Transferencia",I2697="Pago tarjeta"),G2697=""),"⚠ Indica la cuenta «Hacia»",IF(AND(G2697&lt;&gt;"",G2697=E2697),"⚠ «Hacia» igual a la cuenta",IF(AND(G2697&lt;&gt;"",ISNA(MATCH(G2697,ctaNom,0))),"⚠ «Hacia» no existe",IF(AND(I2697="Pago tarjeta",IFERROR(INDEX(ctaTipo,MATCH(G2697,ctaNom,0)),"")&lt;&gt;"Tarjeta de crédito"),"⚠ «Hacia» debe ser la tarjeta",IF(AND(I2697="Trading",IFERROR(INDEX(ctaTipo,MATCH(E2697,ctaNom,0)),"")&lt;&gt;"Cuenta de trading"),"⚠ Usa la cuenta de trading","✓"))))))))))))</f>
        <v/>
      </c>
      <c r="I2697" s="19">
        <f>IF(OR(B2697="",C2697="",D2697=""),"",IFERROR(INDEX(catTipo,MATCH(D2697,catNom,0))&amp;"",""))</f>
        <v/>
      </c>
      <c r="J2697" s="19">
        <f>IF(I2697="","",IFERROR(INDEX(catGrupo,MATCH(D2697,catNom,0))&amp;"",""))</f>
        <v/>
      </c>
      <c r="K2697" s="19">
        <f>IF(I2697="Gasto",IF(IFERROR(INDEX(catClas,MATCH(D2697,catNom,0))&amp;"","")="","Variable",IFERROR(INDEX(catClas,MATCH(D2697,catNom,0))&amp;"","")),"")</f>
        <v/>
      </c>
      <c r="L2697" s="19">
        <f>IF(I2697="","",IFERROR(INDEX(catAlim,MATCH(D2697,catNom,0))&amp;"",""))</f>
        <v/>
      </c>
      <c r="M2697" s="19">
        <f>IF(I2697="","",IFERROR(INDEX(catComida,MATCH(D2697,catNom,0))&amp;"",""))</f>
        <v/>
      </c>
      <c r="N2697" s="19">
        <f>IF(I2697="","",IFERROR(INDEX(ctaMon,MATCH(E2697,ctaNom,0))&amp;"","DOP"))</f>
        <v/>
      </c>
      <c r="O2697" s="20">
        <f>IF(I2697="","",C2697*IF(N2697="USD",TasaUSD,1))</f>
        <v/>
      </c>
      <c r="P2697" s="20">
        <f>IF(I2697="","",IF(I2697="Gasto",O2697,0))</f>
        <v/>
      </c>
      <c r="Q2697" s="20">
        <f>IF(I2697="","",IF(I2697="Ingreso",O2697,0))</f>
        <v/>
      </c>
      <c r="R2697" s="20">
        <f>IF(I2697="","",IF(I2697="Trading",O2697,0))</f>
        <v/>
      </c>
      <c r="S2697" s="19">
        <f>IF(I2697="","",IF(AND(I2697="Gasto",K2697="Variable",J2697&lt;&gt;"Trading",O2697&gt;0,O2697&lt;=Umbral),1,0))</f>
        <v/>
      </c>
      <c r="T2697" s="20">
        <f>IF(OR(I2697="",E2697=""),"",IF(OR(I2697="Gasto",I2697="Transferencia",I2697="Pago tarjeta"),-1,1)*C2697)</f>
        <v/>
      </c>
      <c r="U2697" s="20">
        <f>IF(OR(G2697="",AND(I2697&lt;&gt;"Transferencia",I2697&lt;&gt;"Pago tarjeta")),"",IF(IFERROR(INDEX(ctaMon,MATCH(G2697,ctaNom,0))&amp;"","DOP")=N2697,C2697,IF(N2697="USD",C2697*TasaUSD,C2697/TasaUSD)))</f>
        <v/>
      </c>
      <c r="V2697" s="20">
        <f>IF(I2697="","",IF(IFERROR(INDEX(ctaLiq,MATCH(E2697,ctaNom,0))="Sí",FALSE),IF(OR(I2697="Gasto",I2697="Transferencia",I2697="Pago tarjeta"),-1,1)*O2697,0)+IF(AND(U2697&lt;&gt;"",IFERROR(INDEX(ctaLiq,MATCH(G2697,ctaNom,0))="Sí",FALSE)),O2697,0))</f>
        <v/>
      </c>
      <c r="W2697" s="19">
        <f>IF(OR(F2697="",I2697=""),"",IF(COUNTIFS(F$6:F2697,F2697,I$6:I2697,"?*")=1,MAX(W$5:W2696)+1,""))</f>
        <v/>
      </c>
    </row>
    <row r="2698">
      <c r="B2698" s="15" t="n"/>
      <c r="C2698" s="16" t="n"/>
      <c r="D2698" s="17" t="n"/>
      <c r="E2698" s="17" t="n"/>
      <c r="F2698" s="17" t="n"/>
      <c r="G2698" s="17" t="n"/>
      <c r="H2698" s="18">
        <f>IF(AND(B2698="",C2698="",D2698="",E2698=""),"",IF(B2698="","⚠ Falta fecha",IF(C2698="","⚠ Falta monto",IF(D2698="","⚠ Falta categoría",IF(ISNA(MATCH(D2698,catNom,0)),"⚠ Categoría no existe",IF(E2698="","⚠ Falta cuenta",IF(ISNA(MATCH(E2698,ctaNom,0)),"⚠ Cuenta no existe",IF(AND(OR(I2698="Transferencia",I2698="Pago tarjeta"),G2698=""),"⚠ Indica la cuenta «Hacia»",IF(AND(G2698&lt;&gt;"",G2698=E2698),"⚠ «Hacia» igual a la cuenta",IF(AND(G2698&lt;&gt;"",ISNA(MATCH(G2698,ctaNom,0))),"⚠ «Hacia» no existe",IF(AND(I2698="Pago tarjeta",IFERROR(INDEX(ctaTipo,MATCH(G2698,ctaNom,0)),"")&lt;&gt;"Tarjeta de crédito"),"⚠ «Hacia» debe ser la tarjeta",IF(AND(I2698="Trading",IFERROR(INDEX(ctaTipo,MATCH(E2698,ctaNom,0)),"")&lt;&gt;"Cuenta de trading"),"⚠ Usa la cuenta de trading","✓"))))))))))))</f>
        <v/>
      </c>
      <c r="I2698" s="19">
        <f>IF(OR(B2698="",C2698="",D2698=""),"",IFERROR(INDEX(catTipo,MATCH(D2698,catNom,0))&amp;"",""))</f>
        <v/>
      </c>
      <c r="J2698" s="19">
        <f>IF(I2698="","",IFERROR(INDEX(catGrupo,MATCH(D2698,catNom,0))&amp;"",""))</f>
        <v/>
      </c>
      <c r="K2698" s="19">
        <f>IF(I2698="Gasto",IF(IFERROR(INDEX(catClas,MATCH(D2698,catNom,0))&amp;"","")="","Variable",IFERROR(INDEX(catClas,MATCH(D2698,catNom,0))&amp;"","")),"")</f>
        <v/>
      </c>
      <c r="L2698" s="19">
        <f>IF(I2698="","",IFERROR(INDEX(catAlim,MATCH(D2698,catNom,0))&amp;"",""))</f>
        <v/>
      </c>
      <c r="M2698" s="19">
        <f>IF(I2698="","",IFERROR(INDEX(catComida,MATCH(D2698,catNom,0))&amp;"",""))</f>
        <v/>
      </c>
      <c r="N2698" s="19">
        <f>IF(I2698="","",IFERROR(INDEX(ctaMon,MATCH(E2698,ctaNom,0))&amp;"","DOP"))</f>
        <v/>
      </c>
      <c r="O2698" s="20">
        <f>IF(I2698="","",C2698*IF(N2698="USD",TasaUSD,1))</f>
        <v/>
      </c>
      <c r="P2698" s="20">
        <f>IF(I2698="","",IF(I2698="Gasto",O2698,0))</f>
        <v/>
      </c>
      <c r="Q2698" s="20">
        <f>IF(I2698="","",IF(I2698="Ingreso",O2698,0))</f>
        <v/>
      </c>
      <c r="R2698" s="20">
        <f>IF(I2698="","",IF(I2698="Trading",O2698,0))</f>
        <v/>
      </c>
      <c r="S2698" s="19">
        <f>IF(I2698="","",IF(AND(I2698="Gasto",K2698="Variable",J2698&lt;&gt;"Trading",O2698&gt;0,O2698&lt;=Umbral),1,0))</f>
        <v/>
      </c>
      <c r="T2698" s="20">
        <f>IF(OR(I2698="",E2698=""),"",IF(OR(I2698="Gasto",I2698="Transferencia",I2698="Pago tarjeta"),-1,1)*C2698)</f>
        <v/>
      </c>
      <c r="U2698" s="20">
        <f>IF(OR(G2698="",AND(I2698&lt;&gt;"Transferencia",I2698&lt;&gt;"Pago tarjeta")),"",IF(IFERROR(INDEX(ctaMon,MATCH(G2698,ctaNom,0))&amp;"","DOP")=N2698,C2698,IF(N2698="USD",C2698*TasaUSD,C2698/TasaUSD)))</f>
        <v/>
      </c>
      <c r="V2698" s="20">
        <f>IF(I2698="","",IF(IFERROR(INDEX(ctaLiq,MATCH(E2698,ctaNom,0))="Sí",FALSE),IF(OR(I2698="Gasto",I2698="Transferencia",I2698="Pago tarjeta"),-1,1)*O2698,0)+IF(AND(U2698&lt;&gt;"",IFERROR(INDEX(ctaLiq,MATCH(G2698,ctaNom,0))="Sí",FALSE)),O2698,0))</f>
        <v/>
      </c>
      <c r="W2698" s="19">
        <f>IF(OR(F2698="",I2698=""),"",IF(COUNTIFS(F$6:F2698,F2698,I$6:I2698,"?*")=1,MAX(W$5:W2697)+1,""))</f>
        <v/>
      </c>
    </row>
    <row r="2699">
      <c r="B2699" s="15" t="n"/>
      <c r="C2699" s="16" t="n"/>
      <c r="D2699" s="17" t="n"/>
      <c r="E2699" s="17" t="n"/>
      <c r="F2699" s="17" t="n"/>
      <c r="G2699" s="17" t="n"/>
      <c r="H2699" s="18">
        <f>IF(AND(B2699="",C2699="",D2699="",E2699=""),"",IF(B2699="","⚠ Falta fecha",IF(C2699="","⚠ Falta monto",IF(D2699="","⚠ Falta categoría",IF(ISNA(MATCH(D2699,catNom,0)),"⚠ Categoría no existe",IF(E2699="","⚠ Falta cuenta",IF(ISNA(MATCH(E2699,ctaNom,0)),"⚠ Cuenta no existe",IF(AND(OR(I2699="Transferencia",I2699="Pago tarjeta"),G2699=""),"⚠ Indica la cuenta «Hacia»",IF(AND(G2699&lt;&gt;"",G2699=E2699),"⚠ «Hacia» igual a la cuenta",IF(AND(G2699&lt;&gt;"",ISNA(MATCH(G2699,ctaNom,0))),"⚠ «Hacia» no existe",IF(AND(I2699="Pago tarjeta",IFERROR(INDEX(ctaTipo,MATCH(G2699,ctaNom,0)),"")&lt;&gt;"Tarjeta de crédito"),"⚠ «Hacia» debe ser la tarjeta",IF(AND(I2699="Trading",IFERROR(INDEX(ctaTipo,MATCH(E2699,ctaNom,0)),"")&lt;&gt;"Cuenta de trading"),"⚠ Usa la cuenta de trading","✓"))))))))))))</f>
        <v/>
      </c>
      <c r="I2699" s="19">
        <f>IF(OR(B2699="",C2699="",D2699=""),"",IFERROR(INDEX(catTipo,MATCH(D2699,catNom,0))&amp;"",""))</f>
        <v/>
      </c>
      <c r="J2699" s="19">
        <f>IF(I2699="","",IFERROR(INDEX(catGrupo,MATCH(D2699,catNom,0))&amp;"",""))</f>
        <v/>
      </c>
      <c r="K2699" s="19">
        <f>IF(I2699="Gasto",IF(IFERROR(INDEX(catClas,MATCH(D2699,catNom,0))&amp;"","")="","Variable",IFERROR(INDEX(catClas,MATCH(D2699,catNom,0))&amp;"","")),"")</f>
        <v/>
      </c>
      <c r="L2699" s="19">
        <f>IF(I2699="","",IFERROR(INDEX(catAlim,MATCH(D2699,catNom,0))&amp;"",""))</f>
        <v/>
      </c>
      <c r="M2699" s="19">
        <f>IF(I2699="","",IFERROR(INDEX(catComida,MATCH(D2699,catNom,0))&amp;"",""))</f>
        <v/>
      </c>
      <c r="N2699" s="19">
        <f>IF(I2699="","",IFERROR(INDEX(ctaMon,MATCH(E2699,ctaNom,0))&amp;"","DOP"))</f>
        <v/>
      </c>
      <c r="O2699" s="20">
        <f>IF(I2699="","",C2699*IF(N2699="USD",TasaUSD,1))</f>
        <v/>
      </c>
      <c r="P2699" s="20">
        <f>IF(I2699="","",IF(I2699="Gasto",O2699,0))</f>
        <v/>
      </c>
      <c r="Q2699" s="20">
        <f>IF(I2699="","",IF(I2699="Ingreso",O2699,0))</f>
        <v/>
      </c>
      <c r="R2699" s="20">
        <f>IF(I2699="","",IF(I2699="Trading",O2699,0))</f>
        <v/>
      </c>
      <c r="S2699" s="19">
        <f>IF(I2699="","",IF(AND(I2699="Gasto",K2699="Variable",J2699&lt;&gt;"Trading",O2699&gt;0,O2699&lt;=Umbral),1,0))</f>
        <v/>
      </c>
      <c r="T2699" s="20">
        <f>IF(OR(I2699="",E2699=""),"",IF(OR(I2699="Gasto",I2699="Transferencia",I2699="Pago tarjeta"),-1,1)*C2699)</f>
        <v/>
      </c>
      <c r="U2699" s="20">
        <f>IF(OR(G2699="",AND(I2699&lt;&gt;"Transferencia",I2699&lt;&gt;"Pago tarjeta")),"",IF(IFERROR(INDEX(ctaMon,MATCH(G2699,ctaNom,0))&amp;"","DOP")=N2699,C2699,IF(N2699="USD",C2699*TasaUSD,C2699/TasaUSD)))</f>
        <v/>
      </c>
      <c r="V2699" s="20">
        <f>IF(I2699="","",IF(IFERROR(INDEX(ctaLiq,MATCH(E2699,ctaNom,0))="Sí",FALSE),IF(OR(I2699="Gasto",I2699="Transferencia",I2699="Pago tarjeta"),-1,1)*O2699,0)+IF(AND(U2699&lt;&gt;"",IFERROR(INDEX(ctaLiq,MATCH(G2699,ctaNom,0))="Sí",FALSE)),O2699,0))</f>
        <v/>
      </c>
      <c r="W2699" s="19">
        <f>IF(OR(F2699="",I2699=""),"",IF(COUNTIFS(F$6:F2699,F2699,I$6:I2699,"?*")=1,MAX(W$5:W2698)+1,""))</f>
        <v/>
      </c>
    </row>
    <row r="2700">
      <c r="B2700" s="15" t="n"/>
      <c r="C2700" s="16" t="n"/>
      <c r="D2700" s="17" t="n"/>
      <c r="E2700" s="17" t="n"/>
      <c r="F2700" s="17" t="n"/>
      <c r="G2700" s="17" t="n"/>
      <c r="H2700" s="18">
        <f>IF(AND(B2700="",C2700="",D2700="",E2700=""),"",IF(B2700="","⚠ Falta fecha",IF(C2700="","⚠ Falta monto",IF(D2700="","⚠ Falta categoría",IF(ISNA(MATCH(D2700,catNom,0)),"⚠ Categoría no existe",IF(E2700="","⚠ Falta cuenta",IF(ISNA(MATCH(E2700,ctaNom,0)),"⚠ Cuenta no existe",IF(AND(OR(I2700="Transferencia",I2700="Pago tarjeta"),G2700=""),"⚠ Indica la cuenta «Hacia»",IF(AND(G2700&lt;&gt;"",G2700=E2700),"⚠ «Hacia» igual a la cuenta",IF(AND(G2700&lt;&gt;"",ISNA(MATCH(G2700,ctaNom,0))),"⚠ «Hacia» no existe",IF(AND(I2700="Pago tarjeta",IFERROR(INDEX(ctaTipo,MATCH(G2700,ctaNom,0)),"")&lt;&gt;"Tarjeta de crédito"),"⚠ «Hacia» debe ser la tarjeta",IF(AND(I2700="Trading",IFERROR(INDEX(ctaTipo,MATCH(E2700,ctaNom,0)),"")&lt;&gt;"Cuenta de trading"),"⚠ Usa la cuenta de trading","✓"))))))))))))</f>
        <v/>
      </c>
      <c r="I2700" s="19">
        <f>IF(OR(B2700="",C2700="",D2700=""),"",IFERROR(INDEX(catTipo,MATCH(D2700,catNom,0))&amp;"",""))</f>
        <v/>
      </c>
      <c r="J2700" s="19">
        <f>IF(I2700="","",IFERROR(INDEX(catGrupo,MATCH(D2700,catNom,0))&amp;"",""))</f>
        <v/>
      </c>
      <c r="K2700" s="19">
        <f>IF(I2700="Gasto",IF(IFERROR(INDEX(catClas,MATCH(D2700,catNom,0))&amp;"","")="","Variable",IFERROR(INDEX(catClas,MATCH(D2700,catNom,0))&amp;"","")),"")</f>
        <v/>
      </c>
      <c r="L2700" s="19">
        <f>IF(I2700="","",IFERROR(INDEX(catAlim,MATCH(D2700,catNom,0))&amp;"",""))</f>
        <v/>
      </c>
      <c r="M2700" s="19">
        <f>IF(I2700="","",IFERROR(INDEX(catComida,MATCH(D2700,catNom,0))&amp;"",""))</f>
        <v/>
      </c>
      <c r="N2700" s="19">
        <f>IF(I2700="","",IFERROR(INDEX(ctaMon,MATCH(E2700,ctaNom,0))&amp;"","DOP"))</f>
        <v/>
      </c>
      <c r="O2700" s="20">
        <f>IF(I2700="","",C2700*IF(N2700="USD",TasaUSD,1))</f>
        <v/>
      </c>
      <c r="P2700" s="20">
        <f>IF(I2700="","",IF(I2700="Gasto",O2700,0))</f>
        <v/>
      </c>
      <c r="Q2700" s="20">
        <f>IF(I2700="","",IF(I2700="Ingreso",O2700,0))</f>
        <v/>
      </c>
      <c r="R2700" s="20">
        <f>IF(I2700="","",IF(I2700="Trading",O2700,0))</f>
        <v/>
      </c>
      <c r="S2700" s="19">
        <f>IF(I2700="","",IF(AND(I2700="Gasto",K2700="Variable",J2700&lt;&gt;"Trading",O2700&gt;0,O2700&lt;=Umbral),1,0))</f>
        <v/>
      </c>
      <c r="T2700" s="20">
        <f>IF(OR(I2700="",E2700=""),"",IF(OR(I2700="Gasto",I2700="Transferencia",I2700="Pago tarjeta"),-1,1)*C2700)</f>
        <v/>
      </c>
      <c r="U2700" s="20">
        <f>IF(OR(G2700="",AND(I2700&lt;&gt;"Transferencia",I2700&lt;&gt;"Pago tarjeta")),"",IF(IFERROR(INDEX(ctaMon,MATCH(G2700,ctaNom,0))&amp;"","DOP")=N2700,C2700,IF(N2700="USD",C2700*TasaUSD,C2700/TasaUSD)))</f>
        <v/>
      </c>
      <c r="V2700" s="20">
        <f>IF(I2700="","",IF(IFERROR(INDEX(ctaLiq,MATCH(E2700,ctaNom,0))="Sí",FALSE),IF(OR(I2700="Gasto",I2700="Transferencia",I2700="Pago tarjeta"),-1,1)*O2700,0)+IF(AND(U2700&lt;&gt;"",IFERROR(INDEX(ctaLiq,MATCH(G2700,ctaNom,0))="Sí",FALSE)),O2700,0))</f>
        <v/>
      </c>
      <c r="W2700" s="19">
        <f>IF(OR(F2700="",I2700=""),"",IF(COUNTIFS(F$6:F2700,F2700,I$6:I2700,"?*")=1,MAX(W$5:W2699)+1,""))</f>
        <v/>
      </c>
    </row>
    <row r="2701">
      <c r="B2701" s="15" t="n"/>
      <c r="C2701" s="16" t="n"/>
      <c r="D2701" s="17" t="n"/>
      <c r="E2701" s="17" t="n"/>
      <c r="F2701" s="17" t="n"/>
      <c r="G2701" s="17" t="n"/>
      <c r="H2701" s="18">
        <f>IF(AND(B2701="",C2701="",D2701="",E2701=""),"",IF(B2701="","⚠ Falta fecha",IF(C2701="","⚠ Falta monto",IF(D2701="","⚠ Falta categoría",IF(ISNA(MATCH(D2701,catNom,0)),"⚠ Categoría no existe",IF(E2701="","⚠ Falta cuenta",IF(ISNA(MATCH(E2701,ctaNom,0)),"⚠ Cuenta no existe",IF(AND(OR(I2701="Transferencia",I2701="Pago tarjeta"),G2701=""),"⚠ Indica la cuenta «Hacia»",IF(AND(G2701&lt;&gt;"",G2701=E2701),"⚠ «Hacia» igual a la cuenta",IF(AND(G2701&lt;&gt;"",ISNA(MATCH(G2701,ctaNom,0))),"⚠ «Hacia» no existe",IF(AND(I2701="Pago tarjeta",IFERROR(INDEX(ctaTipo,MATCH(G2701,ctaNom,0)),"")&lt;&gt;"Tarjeta de crédito"),"⚠ «Hacia» debe ser la tarjeta",IF(AND(I2701="Trading",IFERROR(INDEX(ctaTipo,MATCH(E2701,ctaNom,0)),"")&lt;&gt;"Cuenta de trading"),"⚠ Usa la cuenta de trading","✓"))))))))))))</f>
        <v/>
      </c>
      <c r="I2701" s="19">
        <f>IF(OR(B2701="",C2701="",D2701=""),"",IFERROR(INDEX(catTipo,MATCH(D2701,catNom,0))&amp;"",""))</f>
        <v/>
      </c>
      <c r="J2701" s="19">
        <f>IF(I2701="","",IFERROR(INDEX(catGrupo,MATCH(D2701,catNom,0))&amp;"",""))</f>
        <v/>
      </c>
      <c r="K2701" s="19">
        <f>IF(I2701="Gasto",IF(IFERROR(INDEX(catClas,MATCH(D2701,catNom,0))&amp;"","")="","Variable",IFERROR(INDEX(catClas,MATCH(D2701,catNom,0))&amp;"","")),"")</f>
        <v/>
      </c>
      <c r="L2701" s="19">
        <f>IF(I2701="","",IFERROR(INDEX(catAlim,MATCH(D2701,catNom,0))&amp;"",""))</f>
        <v/>
      </c>
      <c r="M2701" s="19">
        <f>IF(I2701="","",IFERROR(INDEX(catComida,MATCH(D2701,catNom,0))&amp;"",""))</f>
        <v/>
      </c>
      <c r="N2701" s="19">
        <f>IF(I2701="","",IFERROR(INDEX(ctaMon,MATCH(E2701,ctaNom,0))&amp;"","DOP"))</f>
        <v/>
      </c>
      <c r="O2701" s="20">
        <f>IF(I2701="","",C2701*IF(N2701="USD",TasaUSD,1))</f>
        <v/>
      </c>
      <c r="P2701" s="20">
        <f>IF(I2701="","",IF(I2701="Gasto",O2701,0))</f>
        <v/>
      </c>
      <c r="Q2701" s="20">
        <f>IF(I2701="","",IF(I2701="Ingreso",O2701,0))</f>
        <v/>
      </c>
      <c r="R2701" s="20">
        <f>IF(I2701="","",IF(I2701="Trading",O2701,0))</f>
        <v/>
      </c>
      <c r="S2701" s="19">
        <f>IF(I2701="","",IF(AND(I2701="Gasto",K2701="Variable",J2701&lt;&gt;"Trading",O2701&gt;0,O2701&lt;=Umbral),1,0))</f>
        <v/>
      </c>
      <c r="T2701" s="20">
        <f>IF(OR(I2701="",E2701=""),"",IF(OR(I2701="Gasto",I2701="Transferencia",I2701="Pago tarjeta"),-1,1)*C2701)</f>
        <v/>
      </c>
      <c r="U2701" s="20">
        <f>IF(OR(G2701="",AND(I2701&lt;&gt;"Transferencia",I2701&lt;&gt;"Pago tarjeta")),"",IF(IFERROR(INDEX(ctaMon,MATCH(G2701,ctaNom,0))&amp;"","DOP")=N2701,C2701,IF(N2701="USD",C2701*TasaUSD,C2701/TasaUSD)))</f>
        <v/>
      </c>
      <c r="V2701" s="20">
        <f>IF(I2701="","",IF(IFERROR(INDEX(ctaLiq,MATCH(E2701,ctaNom,0))="Sí",FALSE),IF(OR(I2701="Gasto",I2701="Transferencia",I2701="Pago tarjeta"),-1,1)*O2701,0)+IF(AND(U2701&lt;&gt;"",IFERROR(INDEX(ctaLiq,MATCH(G2701,ctaNom,0))="Sí",FALSE)),O2701,0))</f>
        <v/>
      </c>
      <c r="W2701" s="19">
        <f>IF(OR(F2701="",I2701=""),"",IF(COUNTIFS(F$6:F2701,F2701,I$6:I2701,"?*")=1,MAX(W$5:W2700)+1,""))</f>
        <v/>
      </c>
    </row>
    <row r="2702">
      <c r="B2702" s="15" t="n"/>
      <c r="C2702" s="16" t="n"/>
      <c r="D2702" s="17" t="n"/>
      <c r="E2702" s="17" t="n"/>
      <c r="F2702" s="17" t="n"/>
      <c r="G2702" s="17" t="n"/>
      <c r="H2702" s="18">
        <f>IF(AND(B2702="",C2702="",D2702="",E2702=""),"",IF(B2702="","⚠ Falta fecha",IF(C2702="","⚠ Falta monto",IF(D2702="","⚠ Falta categoría",IF(ISNA(MATCH(D2702,catNom,0)),"⚠ Categoría no existe",IF(E2702="","⚠ Falta cuenta",IF(ISNA(MATCH(E2702,ctaNom,0)),"⚠ Cuenta no existe",IF(AND(OR(I2702="Transferencia",I2702="Pago tarjeta"),G2702=""),"⚠ Indica la cuenta «Hacia»",IF(AND(G2702&lt;&gt;"",G2702=E2702),"⚠ «Hacia» igual a la cuenta",IF(AND(G2702&lt;&gt;"",ISNA(MATCH(G2702,ctaNom,0))),"⚠ «Hacia» no existe",IF(AND(I2702="Pago tarjeta",IFERROR(INDEX(ctaTipo,MATCH(G2702,ctaNom,0)),"")&lt;&gt;"Tarjeta de crédito"),"⚠ «Hacia» debe ser la tarjeta",IF(AND(I2702="Trading",IFERROR(INDEX(ctaTipo,MATCH(E2702,ctaNom,0)),"")&lt;&gt;"Cuenta de trading"),"⚠ Usa la cuenta de trading","✓"))))))))))))</f>
        <v/>
      </c>
      <c r="I2702" s="19">
        <f>IF(OR(B2702="",C2702="",D2702=""),"",IFERROR(INDEX(catTipo,MATCH(D2702,catNom,0))&amp;"",""))</f>
        <v/>
      </c>
      <c r="J2702" s="19">
        <f>IF(I2702="","",IFERROR(INDEX(catGrupo,MATCH(D2702,catNom,0))&amp;"",""))</f>
        <v/>
      </c>
      <c r="K2702" s="19">
        <f>IF(I2702="Gasto",IF(IFERROR(INDEX(catClas,MATCH(D2702,catNom,0))&amp;"","")="","Variable",IFERROR(INDEX(catClas,MATCH(D2702,catNom,0))&amp;"","")),"")</f>
        <v/>
      </c>
      <c r="L2702" s="19">
        <f>IF(I2702="","",IFERROR(INDEX(catAlim,MATCH(D2702,catNom,0))&amp;"",""))</f>
        <v/>
      </c>
      <c r="M2702" s="19">
        <f>IF(I2702="","",IFERROR(INDEX(catComida,MATCH(D2702,catNom,0))&amp;"",""))</f>
        <v/>
      </c>
      <c r="N2702" s="19">
        <f>IF(I2702="","",IFERROR(INDEX(ctaMon,MATCH(E2702,ctaNom,0))&amp;"","DOP"))</f>
        <v/>
      </c>
      <c r="O2702" s="20">
        <f>IF(I2702="","",C2702*IF(N2702="USD",TasaUSD,1))</f>
        <v/>
      </c>
      <c r="P2702" s="20">
        <f>IF(I2702="","",IF(I2702="Gasto",O2702,0))</f>
        <v/>
      </c>
      <c r="Q2702" s="20">
        <f>IF(I2702="","",IF(I2702="Ingreso",O2702,0))</f>
        <v/>
      </c>
      <c r="R2702" s="20">
        <f>IF(I2702="","",IF(I2702="Trading",O2702,0))</f>
        <v/>
      </c>
      <c r="S2702" s="19">
        <f>IF(I2702="","",IF(AND(I2702="Gasto",K2702="Variable",J2702&lt;&gt;"Trading",O2702&gt;0,O2702&lt;=Umbral),1,0))</f>
        <v/>
      </c>
      <c r="T2702" s="20">
        <f>IF(OR(I2702="",E2702=""),"",IF(OR(I2702="Gasto",I2702="Transferencia",I2702="Pago tarjeta"),-1,1)*C2702)</f>
        <v/>
      </c>
      <c r="U2702" s="20">
        <f>IF(OR(G2702="",AND(I2702&lt;&gt;"Transferencia",I2702&lt;&gt;"Pago tarjeta")),"",IF(IFERROR(INDEX(ctaMon,MATCH(G2702,ctaNom,0))&amp;"","DOP")=N2702,C2702,IF(N2702="USD",C2702*TasaUSD,C2702/TasaUSD)))</f>
        <v/>
      </c>
      <c r="V2702" s="20">
        <f>IF(I2702="","",IF(IFERROR(INDEX(ctaLiq,MATCH(E2702,ctaNom,0))="Sí",FALSE),IF(OR(I2702="Gasto",I2702="Transferencia",I2702="Pago tarjeta"),-1,1)*O2702,0)+IF(AND(U2702&lt;&gt;"",IFERROR(INDEX(ctaLiq,MATCH(G2702,ctaNom,0))="Sí",FALSE)),O2702,0))</f>
        <v/>
      </c>
      <c r="W2702" s="19">
        <f>IF(OR(F2702="",I2702=""),"",IF(COUNTIFS(F$6:F2702,F2702,I$6:I2702,"?*")=1,MAX(W$5:W2701)+1,""))</f>
        <v/>
      </c>
    </row>
    <row r="2703">
      <c r="B2703" s="15" t="n"/>
      <c r="C2703" s="16" t="n"/>
      <c r="D2703" s="17" t="n"/>
      <c r="E2703" s="17" t="n"/>
      <c r="F2703" s="17" t="n"/>
      <c r="G2703" s="17" t="n"/>
      <c r="H2703" s="18">
        <f>IF(AND(B2703="",C2703="",D2703="",E2703=""),"",IF(B2703="","⚠ Falta fecha",IF(C2703="","⚠ Falta monto",IF(D2703="","⚠ Falta categoría",IF(ISNA(MATCH(D2703,catNom,0)),"⚠ Categoría no existe",IF(E2703="","⚠ Falta cuenta",IF(ISNA(MATCH(E2703,ctaNom,0)),"⚠ Cuenta no existe",IF(AND(OR(I2703="Transferencia",I2703="Pago tarjeta"),G2703=""),"⚠ Indica la cuenta «Hacia»",IF(AND(G2703&lt;&gt;"",G2703=E2703),"⚠ «Hacia» igual a la cuenta",IF(AND(G2703&lt;&gt;"",ISNA(MATCH(G2703,ctaNom,0))),"⚠ «Hacia» no existe",IF(AND(I2703="Pago tarjeta",IFERROR(INDEX(ctaTipo,MATCH(G2703,ctaNom,0)),"")&lt;&gt;"Tarjeta de crédito"),"⚠ «Hacia» debe ser la tarjeta",IF(AND(I2703="Trading",IFERROR(INDEX(ctaTipo,MATCH(E2703,ctaNom,0)),"")&lt;&gt;"Cuenta de trading"),"⚠ Usa la cuenta de trading","✓"))))))))))))</f>
        <v/>
      </c>
      <c r="I2703" s="19">
        <f>IF(OR(B2703="",C2703="",D2703=""),"",IFERROR(INDEX(catTipo,MATCH(D2703,catNom,0))&amp;"",""))</f>
        <v/>
      </c>
      <c r="J2703" s="19">
        <f>IF(I2703="","",IFERROR(INDEX(catGrupo,MATCH(D2703,catNom,0))&amp;"",""))</f>
        <v/>
      </c>
      <c r="K2703" s="19">
        <f>IF(I2703="Gasto",IF(IFERROR(INDEX(catClas,MATCH(D2703,catNom,0))&amp;"","")="","Variable",IFERROR(INDEX(catClas,MATCH(D2703,catNom,0))&amp;"","")),"")</f>
        <v/>
      </c>
      <c r="L2703" s="19">
        <f>IF(I2703="","",IFERROR(INDEX(catAlim,MATCH(D2703,catNom,0))&amp;"",""))</f>
        <v/>
      </c>
      <c r="M2703" s="19">
        <f>IF(I2703="","",IFERROR(INDEX(catComida,MATCH(D2703,catNom,0))&amp;"",""))</f>
        <v/>
      </c>
      <c r="N2703" s="19">
        <f>IF(I2703="","",IFERROR(INDEX(ctaMon,MATCH(E2703,ctaNom,0))&amp;"","DOP"))</f>
        <v/>
      </c>
      <c r="O2703" s="20">
        <f>IF(I2703="","",C2703*IF(N2703="USD",TasaUSD,1))</f>
        <v/>
      </c>
      <c r="P2703" s="20">
        <f>IF(I2703="","",IF(I2703="Gasto",O2703,0))</f>
        <v/>
      </c>
      <c r="Q2703" s="20">
        <f>IF(I2703="","",IF(I2703="Ingreso",O2703,0))</f>
        <v/>
      </c>
      <c r="R2703" s="20">
        <f>IF(I2703="","",IF(I2703="Trading",O2703,0))</f>
        <v/>
      </c>
      <c r="S2703" s="19">
        <f>IF(I2703="","",IF(AND(I2703="Gasto",K2703="Variable",J2703&lt;&gt;"Trading",O2703&gt;0,O2703&lt;=Umbral),1,0))</f>
        <v/>
      </c>
      <c r="T2703" s="20">
        <f>IF(OR(I2703="",E2703=""),"",IF(OR(I2703="Gasto",I2703="Transferencia",I2703="Pago tarjeta"),-1,1)*C2703)</f>
        <v/>
      </c>
      <c r="U2703" s="20">
        <f>IF(OR(G2703="",AND(I2703&lt;&gt;"Transferencia",I2703&lt;&gt;"Pago tarjeta")),"",IF(IFERROR(INDEX(ctaMon,MATCH(G2703,ctaNom,0))&amp;"","DOP")=N2703,C2703,IF(N2703="USD",C2703*TasaUSD,C2703/TasaUSD)))</f>
        <v/>
      </c>
      <c r="V2703" s="20">
        <f>IF(I2703="","",IF(IFERROR(INDEX(ctaLiq,MATCH(E2703,ctaNom,0))="Sí",FALSE),IF(OR(I2703="Gasto",I2703="Transferencia",I2703="Pago tarjeta"),-1,1)*O2703,0)+IF(AND(U2703&lt;&gt;"",IFERROR(INDEX(ctaLiq,MATCH(G2703,ctaNom,0))="Sí",FALSE)),O2703,0))</f>
        <v/>
      </c>
      <c r="W2703" s="19">
        <f>IF(OR(F2703="",I2703=""),"",IF(COUNTIFS(F$6:F2703,F2703,I$6:I2703,"?*")=1,MAX(W$5:W2702)+1,""))</f>
        <v/>
      </c>
    </row>
    <row r="2704">
      <c r="B2704" s="15" t="n"/>
      <c r="C2704" s="16" t="n"/>
      <c r="D2704" s="17" t="n"/>
      <c r="E2704" s="17" t="n"/>
      <c r="F2704" s="17" t="n"/>
      <c r="G2704" s="17" t="n"/>
      <c r="H2704" s="18">
        <f>IF(AND(B2704="",C2704="",D2704="",E2704=""),"",IF(B2704="","⚠ Falta fecha",IF(C2704="","⚠ Falta monto",IF(D2704="","⚠ Falta categoría",IF(ISNA(MATCH(D2704,catNom,0)),"⚠ Categoría no existe",IF(E2704="","⚠ Falta cuenta",IF(ISNA(MATCH(E2704,ctaNom,0)),"⚠ Cuenta no existe",IF(AND(OR(I2704="Transferencia",I2704="Pago tarjeta"),G2704=""),"⚠ Indica la cuenta «Hacia»",IF(AND(G2704&lt;&gt;"",G2704=E2704),"⚠ «Hacia» igual a la cuenta",IF(AND(G2704&lt;&gt;"",ISNA(MATCH(G2704,ctaNom,0))),"⚠ «Hacia» no existe",IF(AND(I2704="Pago tarjeta",IFERROR(INDEX(ctaTipo,MATCH(G2704,ctaNom,0)),"")&lt;&gt;"Tarjeta de crédito"),"⚠ «Hacia» debe ser la tarjeta",IF(AND(I2704="Trading",IFERROR(INDEX(ctaTipo,MATCH(E2704,ctaNom,0)),"")&lt;&gt;"Cuenta de trading"),"⚠ Usa la cuenta de trading","✓"))))))))))))</f>
        <v/>
      </c>
      <c r="I2704" s="19">
        <f>IF(OR(B2704="",C2704="",D2704=""),"",IFERROR(INDEX(catTipo,MATCH(D2704,catNom,0))&amp;"",""))</f>
        <v/>
      </c>
      <c r="J2704" s="19">
        <f>IF(I2704="","",IFERROR(INDEX(catGrupo,MATCH(D2704,catNom,0))&amp;"",""))</f>
        <v/>
      </c>
      <c r="K2704" s="19">
        <f>IF(I2704="Gasto",IF(IFERROR(INDEX(catClas,MATCH(D2704,catNom,0))&amp;"","")="","Variable",IFERROR(INDEX(catClas,MATCH(D2704,catNom,0))&amp;"","")),"")</f>
        <v/>
      </c>
      <c r="L2704" s="19">
        <f>IF(I2704="","",IFERROR(INDEX(catAlim,MATCH(D2704,catNom,0))&amp;"",""))</f>
        <v/>
      </c>
      <c r="M2704" s="19">
        <f>IF(I2704="","",IFERROR(INDEX(catComida,MATCH(D2704,catNom,0))&amp;"",""))</f>
        <v/>
      </c>
      <c r="N2704" s="19">
        <f>IF(I2704="","",IFERROR(INDEX(ctaMon,MATCH(E2704,ctaNom,0))&amp;"","DOP"))</f>
        <v/>
      </c>
      <c r="O2704" s="20">
        <f>IF(I2704="","",C2704*IF(N2704="USD",TasaUSD,1))</f>
        <v/>
      </c>
      <c r="P2704" s="20">
        <f>IF(I2704="","",IF(I2704="Gasto",O2704,0))</f>
        <v/>
      </c>
      <c r="Q2704" s="20">
        <f>IF(I2704="","",IF(I2704="Ingreso",O2704,0))</f>
        <v/>
      </c>
      <c r="R2704" s="20">
        <f>IF(I2704="","",IF(I2704="Trading",O2704,0))</f>
        <v/>
      </c>
      <c r="S2704" s="19">
        <f>IF(I2704="","",IF(AND(I2704="Gasto",K2704="Variable",J2704&lt;&gt;"Trading",O2704&gt;0,O2704&lt;=Umbral),1,0))</f>
        <v/>
      </c>
      <c r="T2704" s="20">
        <f>IF(OR(I2704="",E2704=""),"",IF(OR(I2704="Gasto",I2704="Transferencia",I2704="Pago tarjeta"),-1,1)*C2704)</f>
        <v/>
      </c>
      <c r="U2704" s="20">
        <f>IF(OR(G2704="",AND(I2704&lt;&gt;"Transferencia",I2704&lt;&gt;"Pago tarjeta")),"",IF(IFERROR(INDEX(ctaMon,MATCH(G2704,ctaNom,0))&amp;"","DOP")=N2704,C2704,IF(N2704="USD",C2704*TasaUSD,C2704/TasaUSD)))</f>
        <v/>
      </c>
      <c r="V2704" s="20">
        <f>IF(I2704="","",IF(IFERROR(INDEX(ctaLiq,MATCH(E2704,ctaNom,0))="Sí",FALSE),IF(OR(I2704="Gasto",I2704="Transferencia",I2704="Pago tarjeta"),-1,1)*O2704,0)+IF(AND(U2704&lt;&gt;"",IFERROR(INDEX(ctaLiq,MATCH(G2704,ctaNom,0))="Sí",FALSE)),O2704,0))</f>
        <v/>
      </c>
      <c r="W2704" s="19">
        <f>IF(OR(F2704="",I2704=""),"",IF(COUNTIFS(F$6:F2704,F2704,I$6:I2704,"?*")=1,MAX(W$5:W2703)+1,""))</f>
        <v/>
      </c>
    </row>
    <row r="2705">
      <c r="B2705" s="15" t="n"/>
      <c r="C2705" s="16" t="n"/>
      <c r="D2705" s="17" t="n"/>
      <c r="E2705" s="17" t="n"/>
      <c r="F2705" s="17" t="n"/>
      <c r="G2705" s="17" t="n"/>
      <c r="H2705" s="18">
        <f>IF(AND(B2705="",C2705="",D2705="",E2705=""),"",IF(B2705="","⚠ Falta fecha",IF(C2705="","⚠ Falta monto",IF(D2705="","⚠ Falta categoría",IF(ISNA(MATCH(D2705,catNom,0)),"⚠ Categoría no existe",IF(E2705="","⚠ Falta cuenta",IF(ISNA(MATCH(E2705,ctaNom,0)),"⚠ Cuenta no existe",IF(AND(OR(I2705="Transferencia",I2705="Pago tarjeta"),G2705=""),"⚠ Indica la cuenta «Hacia»",IF(AND(G2705&lt;&gt;"",G2705=E2705),"⚠ «Hacia» igual a la cuenta",IF(AND(G2705&lt;&gt;"",ISNA(MATCH(G2705,ctaNom,0))),"⚠ «Hacia» no existe",IF(AND(I2705="Pago tarjeta",IFERROR(INDEX(ctaTipo,MATCH(G2705,ctaNom,0)),"")&lt;&gt;"Tarjeta de crédito"),"⚠ «Hacia» debe ser la tarjeta",IF(AND(I2705="Trading",IFERROR(INDEX(ctaTipo,MATCH(E2705,ctaNom,0)),"")&lt;&gt;"Cuenta de trading"),"⚠ Usa la cuenta de trading","✓"))))))))))))</f>
        <v/>
      </c>
      <c r="I2705" s="19">
        <f>IF(OR(B2705="",C2705="",D2705=""),"",IFERROR(INDEX(catTipo,MATCH(D2705,catNom,0))&amp;"",""))</f>
        <v/>
      </c>
      <c r="J2705" s="19">
        <f>IF(I2705="","",IFERROR(INDEX(catGrupo,MATCH(D2705,catNom,0))&amp;"",""))</f>
        <v/>
      </c>
      <c r="K2705" s="19">
        <f>IF(I2705="Gasto",IF(IFERROR(INDEX(catClas,MATCH(D2705,catNom,0))&amp;"","")="","Variable",IFERROR(INDEX(catClas,MATCH(D2705,catNom,0))&amp;"","")),"")</f>
        <v/>
      </c>
      <c r="L2705" s="19">
        <f>IF(I2705="","",IFERROR(INDEX(catAlim,MATCH(D2705,catNom,0))&amp;"",""))</f>
        <v/>
      </c>
      <c r="M2705" s="19">
        <f>IF(I2705="","",IFERROR(INDEX(catComida,MATCH(D2705,catNom,0))&amp;"",""))</f>
        <v/>
      </c>
      <c r="N2705" s="19">
        <f>IF(I2705="","",IFERROR(INDEX(ctaMon,MATCH(E2705,ctaNom,0))&amp;"","DOP"))</f>
        <v/>
      </c>
      <c r="O2705" s="20">
        <f>IF(I2705="","",C2705*IF(N2705="USD",TasaUSD,1))</f>
        <v/>
      </c>
      <c r="P2705" s="20">
        <f>IF(I2705="","",IF(I2705="Gasto",O2705,0))</f>
        <v/>
      </c>
      <c r="Q2705" s="20">
        <f>IF(I2705="","",IF(I2705="Ingreso",O2705,0))</f>
        <v/>
      </c>
      <c r="R2705" s="20">
        <f>IF(I2705="","",IF(I2705="Trading",O2705,0))</f>
        <v/>
      </c>
      <c r="S2705" s="19">
        <f>IF(I2705="","",IF(AND(I2705="Gasto",K2705="Variable",J2705&lt;&gt;"Trading",O2705&gt;0,O2705&lt;=Umbral),1,0))</f>
        <v/>
      </c>
      <c r="T2705" s="20">
        <f>IF(OR(I2705="",E2705=""),"",IF(OR(I2705="Gasto",I2705="Transferencia",I2705="Pago tarjeta"),-1,1)*C2705)</f>
        <v/>
      </c>
      <c r="U2705" s="20">
        <f>IF(OR(G2705="",AND(I2705&lt;&gt;"Transferencia",I2705&lt;&gt;"Pago tarjeta")),"",IF(IFERROR(INDEX(ctaMon,MATCH(G2705,ctaNom,0))&amp;"","DOP")=N2705,C2705,IF(N2705="USD",C2705*TasaUSD,C2705/TasaUSD)))</f>
        <v/>
      </c>
      <c r="V2705" s="20">
        <f>IF(I2705="","",IF(IFERROR(INDEX(ctaLiq,MATCH(E2705,ctaNom,0))="Sí",FALSE),IF(OR(I2705="Gasto",I2705="Transferencia",I2705="Pago tarjeta"),-1,1)*O2705,0)+IF(AND(U2705&lt;&gt;"",IFERROR(INDEX(ctaLiq,MATCH(G2705,ctaNom,0))="Sí",FALSE)),O2705,0))</f>
        <v/>
      </c>
      <c r="W2705" s="19">
        <f>IF(OR(F2705="",I2705=""),"",IF(COUNTIFS(F$6:F2705,F2705,I$6:I2705,"?*")=1,MAX(W$5:W2704)+1,""))</f>
        <v/>
      </c>
    </row>
    <row r="2706">
      <c r="B2706" s="15" t="n"/>
      <c r="C2706" s="16" t="n"/>
      <c r="D2706" s="17" t="n"/>
      <c r="E2706" s="17" t="n"/>
      <c r="F2706" s="17" t="n"/>
      <c r="G2706" s="17" t="n"/>
      <c r="H2706" s="18">
        <f>IF(AND(B2706="",C2706="",D2706="",E2706=""),"",IF(B2706="","⚠ Falta fecha",IF(C2706="","⚠ Falta monto",IF(D2706="","⚠ Falta categoría",IF(ISNA(MATCH(D2706,catNom,0)),"⚠ Categoría no existe",IF(E2706="","⚠ Falta cuenta",IF(ISNA(MATCH(E2706,ctaNom,0)),"⚠ Cuenta no existe",IF(AND(OR(I2706="Transferencia",I2706="Pago tarjeta"),G2706=""),"⚠ Indica la cuenta «Hacia»",IF(AND(G2706&lt;&gt;"",G2706=E2706),"⚠ «Hacia» igual a la cuenta",IF(AND(G2706&lt;&gt;"",ISNA(MATCH(G2706,ctaNom,0))),"⚠ «Hacia» no existe",IF(AND(I2706="Pago tarjeta",IFERROR(INDEX(ctaTipo,MATCH(G2706,ctaNom,0)),"")&lt;&gt;"Tarjeta de crédito"),"⚠ «Hacia» debe ser la tarjeta",IF(AND(I2706="Trading",IFERROR(INDEX(ctaTipo,MATCH(E2706,ctaNom,0)),"")&lt;&gt;"Cuenta de trading"),"⚠ Usa la cuenta de trading","✓"))))))))))))</f>
        <v/>
      </c>
      <c r="I2706" s="19">
        <f>IF(OR(B2706="",C2706="",D2706=""),"",IFERROR(INDEX(catTipo,MATCH(D2706,catNom,0))&amp;"",""))</f>
        <v/>
      </c>
      <c r="J2706" s="19">
        <f>IF(I2706="","",IFERROR(INDEX(catGrupo,MATCH(D2706,catNom,0))&amp;"",""))</f>
        <v/>
      </c>
      <c r="K2706" s="19">
        <f>IF(I2706="Gasto",IF(IFERROR(INDEX(catClas,MATCH(D2706,catNom,0))&amp;"","")="","Variable",IFERROR(INDEX(catClas,MATCH(D2706,catNom,0))&amp;"","")),"")</f>
        <v/>
      </c>
      <c r="L2706" s="19">
        <f>IF(I2706="","",IFERROR(INDEX(catAlim,MATCH(D2706,catNom,0))&amp;"",""))</f>
        <v/>
      </c>
      <c r="M2706" s="19">
        <f>IF(I2706="","",IFERROR(INDEX(catComida,MATCH(D2706,catNom,0))&amp;"",""))</f>
        <v/>
      </c>
      <c r="N2706" s="19">
        <f>IF(I2706="","",IFERROR(INDEX(ctaMon,MATCH(E2706,ctaNom,0))&amp;"","DOP"))</f>
        <v/>
      </c>
      <c r="O2706" s="20">
        <f>IF(I2706="","",C2706*IF(N2706="USD",TasaUSD,1))</f>
        <v/>
      </c>
      <c r="P2706" s="20">
        <f>IF(I2706="","",IF(I2706="Gasto",O2706,0))</f>
        <v/>
      </c>
      <c r="Q2706" s="20">
        <f>IF(I2706="","",IF(I2706="Ingreso",O2706,0))</f>
        <v/>
      </c>
      <c r="R2706" s="20">
        <f>IF(I2706="","",IF(I2706="Trading",O2706,0))</f>
        <v/>
      </c>
      <c r="S2706" s="19">
        <f>IF(I2706="","",IF(AND(I2706="Gasto",K2706="Variable",J2706&lt;&gt;"Trading",O2706&gt;0,O2706&lt;=Umbral),1,0))</f>
        <v/>
      </c>
      <c r="T2706" s="20">
        <f>IF(OR(I2706="",E2706=""),"",IF(OR(I2706="Gasto",I2706="Transferencia",I2706="Pago tarjeta"),-1,1)*C2706)</f>
        <v/>
      </c>
      <c r="U2706" s="20">
        <f>IF(OR(G2706="",AND(I2706&lt;&gt;"Transferencia",I2706&lt;&gt;"Pago tarjeta")),"",IF(IFERROR(INDEX(ctaMon,MATCH(G2706,ctaNom,0))&amp;"","DOP")=N2706,C2706,IF(N2706="USD",C2706*TasaUSD,C2706/TasaUSD)))</f>
        <v/>
      </c>
      <c r="V2706" s="20">
        <f>IF(I2706="","",IF(IFERROR(INDEX(ctaLiq,MATCH(E2706,ctaNom,0))="Sí",FALSE),IF(OR(I2706="Gasto",I2706="Transferencia",I2706="Pago tarjeta"),-1,1)*O2706,0)+IF(AND(U2706&lt;&gt;"",IFERROR(INDEX(ctaLiq,MATCH(G2706,ctaNom,0))="Sí",FALSE)),O2706,0))</f>
        <v/>
      </c>
      <c r="W2706" s="19">
        <f>IF(OR(F2706="",I2706=""),"",IF(COUNTIFS(F$6:F2706,F2706,I$6:I2706,"?*")=1,MAX(W$5:W2705)+1,""))</f>
        <v/>
      </c>
    </row>
    <row r="2707">
      <c r="B2707" s="15" t="n"/>
      <c r="C2707" s="16" t="n"/>
      <c r="D2707" s="17" t="n"/>
      <c r="E2707" s="17" t="n"/>
      <c r="F2707" s="17" t="n"/>
      <c r="G2707" s="17" t="n"/>
      <c r="H2707" s="18">
        <f>IF(AND(B2707="",C2707="",D2707="",E2707=""),"",IF(B2707="","⚠ Falta fecha",IF(C2707="","⚠ Falta monto",IF(D2707="","⚠ Falta categoría",IF(ISNA(MATCH(D2707,catNom,0)),"⚠ Categoría no existe",IF(E2707="","⚠ Falta cuenta",IF(ISNA(MATCH(E2707,ctaNom,0)),"⚠ Cuenta no existe",IF(AND(OR(I2707="Transferencia",I2707="Pago tarjeta"),G2707=""),"⚠ Indica la cuenta «Hacia»",IF(AND(G2707&lt;&gt;"",G2707=E2707),"⚠ «Hacia» igual a la cuenta",IF(AND(G2707&lt;&gt;"",ISNA(MATCH(G2707,ctaNom,0))),"⚠ «Hacia» no existe",IF(AND(I2707="Pago tarjeta",IFERROR(INDEX(ctaTipo,MATCH(G2707,ctaNom,0)),"")&lt;&gt;"Tarjeta de crédito"),"⚠ «Hacia» debe ser la tarjeta",IF(AND(I2707="Trading",IFERROR(INDEX(ctaTipo,MATCH(E2707,ctaNom,0)),"")&lt;&gt;"Cuenta de trading"),"⚠ Usa la cuenta de trading","✓"))))))))))))</f>
        <v/>
      </c>
      <c r="I2707" s="19">
        <f>IF(OR(B2707="",C2707="",D2707=""),"",IFERROR(INDEX(catTipo,MATCH(D2707,catNom,0))&amp;"",""))</f>
        <v/>
      </c>
      <c r="J2707" s="19">
        <f>IF(I2707="","",IFERROR(INDEX(catGrupo,MATCH(D2707,catNom,0))&amp;"",""))</f>
        <v/>
      </c>
      <c r="K2707" s="19">
        <f>IF(I2707="Gasto",IF(IFERROR(INDEX(catClas,MATCH(D2707,catNom,0))&amp;"","")="","Variable",IFERROR(INDEX(catClas,MATCH(D2707,catNom,0))&amp;"","")),"")</f>
        <v/>
      </c>
      <c r="L2707" s="19">
        <f>IF(I2707="","",IFERROR(INDEX(catAlim,MATCH(D2707,catNom,0))&amp;"",""))</f>
        <v/>
      </c>
      <c r="M2707" s="19">
        <f>IF(I2707="","",IFERROR(INDEX(catComida,MATCH(D2707,catNom,0))&amp;"",""))</f>
        <v/>
      </c>
      <c r="N2707" s="19">
        <f>IF(I2707="","",IFERROR(INDEX(ctaMon,MATCH(E2707,ctaNom,0))&amp;"","DOP"))</f>
        <v/>
      </c>
      <c r="O2707" s="20">
        <f>IF(I2707="","",C2707*IF(N2707="USD",TasaUSD,1))</f>
        <v/>
      </c>
      <c r="P2707" s="20">
        <f>IF(I2707="","",IF(I2707="Gasto",O2707,0))</f>
        <v/>
      </c>
      <c r="Q2707" s="20">
        <f>IF(I2707="","",IF(I2707="Ingreso",O2707,0))</f>
        <v/>
      </c>
      <c r="R2707" s="20">
        <f>IF(I2707="","",IF(I2707="Trading",O2707,0))</f>
        <v/>
      </c>
      <c r="S2707" s="19">
        <f>IF(I2707="","",IF(AND(I2707="Gasto",K2707="Variable",J2707&lt;&gt;"Trading",O2707&gt;0,O2707&lt;=Umbral),1,0))</f>
        <v/>
      </c>
      <c r="T2707" s="20">
        <f>IF(OR(I2707="",E2707=""),"",IF(OR(I2707="Gasto",I2707="Transferencia",I2707="Pago tarjeta"),-1,1)*C2707)</f>
        <v/>
      </c>
      <c r="U2707" s="20">
        <f>IF(OR(G2707="",AND(I2707&lt;&gt;"Transferencia",I2707&lt;&gt;"Pago tarjeta")),"",IF(IFERROR(INDEX(ctaMon,MATCH(G2707,ctaNom,0))&amp;"","DOP")=N2707,C2707,IF(N2707="USD",C2707*TasaUSD,C2707/TasaUSD)))</f>
        <v/>
      </c>
      <c r="V2707" s="20">
        <f>IF(I2707="","",IF(IFERROR(INDEX(ctaLiq,MATCH(E2707,ctaNom,0))="Sí",FALSE),IF(OR(I2707="Gasto",I2707="Transferencia",I2707="Pago tarjeta"),-1,1)*O2707,0)+IF(AND(U2707&lt;&gt;"",IFERROR(INDEX(ctaLiq,MATCH(G2707,ctaNom,0))="Sí",FALSE)),O2707,0))</f>
        <v/>
      </c>
      <c r="W2707" s="19">
        <f>IF(OR(F2707="",I2707=""),"",IF(COUNTIFS(F$6:F2707,F2707,I$6:I2707,"?*")=1,MAX(W$5:W2706)+1,""))</f>
        <v/>
      </c>
    </row>
    <row r="2708">
      <c r="B2708" s="15" t="n"/>
      <c r="C2708" s="16" t="n"/>
      <c r="D2708" s="17" t="n"/>
      <c r="E2708" s="17" t="n"/>
      <c r="F2708" s="17" t="n"/>
      <c r="G2708" s="17" t="n"/>
      <c r="H2708" s="18">
        <f>IF(AND(B2708="",C2708="",D2708="",E2708=""),"",IF(B2708="","⚠ Falta fecha",IF(C2708="","⚠ Falta monto",IF(D2708="","⚠ Falta categoría",IF(ISNA(MATCH(D2708,catNom,0)),"⚠ Categoría no existe",IF(E2708="","⚠ Falta cuenta",IF(ISNA(MATCH(E2708,ctaNom,0)),"⚠ Cuenta no existe",IF(AND(OR(I2708="Transferencia",I2708="Pago tarjeta"),G2708=""),"⚠ Indica la cuenta «Hacia»",IF(AND(G2708&lt;&gt;"",G2708=E2708),"⚠ «Hacia» igual a la cuenta",IF(AND(G2708&lt;&gt;"",ISNA(MATCH(G2708,ctaNom,0))),"⚠ «Hacia» no existe",IF(AND(I2708="Pago tarjeta",IFERROR(INDEX(ctaTipo,MATCH(G2708,ctaNom,0)),"")&lt;&gt;"Tarjeta de crédito"),"⚠ «Hacia» debe ser la tarjeta",IF(AND(I2708="Trading",IFERROR(INDEX(ctaTipo,MATCH(E2708,ctaNom,0)),"")&lt;&gt;"Cuenta de trading"),"⚠ Usa la cuenta de trading","✓"))))))))))))</f>
        <v/>
      </c>
      <c r="I2708" s="19">
        <f>IF(OR(B2708="",C2708="",D2708=""),"",IFERROR(INDEX(catTipo,MATCH(D2708,catNom,0))&amp;"",""))</f>
        <v/>
      </c>
      <c r="J2708" s="19">
        <f>IF(I2708="","",IFERROR(INDEX(catGrupo,MATCH(D2708,catNom,0))&amp;"",""))</f>
        <v/>
      </c>
      <c r="K2708" s="19">
        <f>IF(I2708="Gasto",IF(IFERROR(INDEX(catClas,MATCH(D2708,catNom,0))&amp;"","")="","Variable",IFERROR(INDEX(catClas,MATCH(D2708,catNom,0))&amp;"","")),"")</f>
        <v/>
      </c>
      <c r="L2708" s="19">
        <f>IF(I2708="","",IFERROR(INDEX(catAlim,MATCH(D2708,catNom,0))&amp;"",""))</f>
        <v/>
      </c>
      <c r="M2708" s="19">
        <f>IF(I2708="","",IFERROR(INDEX(catComida,MATCH(D2708,catNom,0))&amp;"",""))</f>
        <v/>
      </c>
      <c r="N2708" s="19">
        <f>IF(I2708="","",IFERROR(INDEX(ctaMon,MATCH(E2708,ctaNom,0))&amp;"","DOP"))</f>
        <v/>
      </c>
      <c r="O2708" s="20">
        <f>IF(I2708="","",C2708*IF(N2708="USD",TasaUSD,1))</f>
        <v/>
      </c>
      <c r="P2708" s="20">
        <f>IF(I2708="","",IF(I2708="Gasto",O2708,0))</f>
        <v/>
      </c>
      <c r="Q2708" s="20">
        <f>IF(I2708="","",IF(I2708="Ingreso",O2708,0))</f>
        <v/>
      </c>
      <c r="R2708" s="20">
        <f>IF(I2708="","",IF(I2708="Trading",O2708,0))</f>
        <v/>
      </c>
      <c r="S2708" s="19">
        <f>IF(I2708="","",IF(AND(I2708="Gasto",K2708="Variable",J2708&lt;&gt;"Trading",O2708&gt;0,O2708&lt;=Umbral),1,0))</f>
        <v/>
      </c>
      <c r="T2708" s="20">
        <f>IF(OR(I2708="",E2708=""),"",IF(OR(I2708="Gasto",I2708="Transferencia",I2708="Pago tarjeta"),-1,1)*C2708)</f>
        <v/>
      </c>
      <c r="U2708" s="20">
        <f>IF(OR(G2708="",AND(I2708&lt;&gt;"Transferencia",I2708&lt;&gt;"Pago tarjeta")),"",IF(IFERROR(INDEX(ctaMon,MATCH(G2708,ctaNom,0))&amp;"","DOP")=N2708,C2708,IF(N2708="USD",C2708*TasaUSD,C2708/TasaUSD)))</f>
        <v/>
      </c>
      <c r="V2708" s="20">
        <f>IF(I2708="","",IF(IFERROR(INDEX(ctaLiq,MATCH(E2708,ctaNom,0))="Sí",FALSE),IF(OR(I2708="Gasto",I2708="Transferencia",I2708="Pago tarjeta"),-1,1)*O2708,0)+IF(AND(U2708&lt;&gt;"",IFERROR(INDEX(ctaLiq,MATCH(G2708,ctaNom,0))="Sí",FALSE)),O2708,0))</f>
        <v/>
      </c>
      <c r="W2708" s="19">
        <f>IF(OR(F2708="",I2708=""),"",IF(COUNTIFS(F$6:F2708,F2708,I$6:I2708,"?*")=1,MAX(W$5:W2707)+1,""))</f>
        <v/>
      </c>
    </row>
    <row r="2709">
      <c r="B2709" s="15" t="n"/>
      <c r="C2709" s="16" t="n"/>
      <c r="D2709" s="17" t="n"/>
      <c r="E2709" s="17" t="n"/>
      <c r="F2709" s="17" t="n"/>
      <c r="G2709" s="17" t="n"/>
      <c r="H2709" s="18">
        <f>IF(AND(B2709="",C2709="",D2709="",E2709=""),"",IF(B2709="","⚠ Falta fecha",IF(C2709="","⚠ Falta monto",IF(D2709="","⚠ Falta categoría",IF(ISNA(MATCH(D2709,catNom,0)),"⚠ Categoría no existe",IF(E2709="","⚠ Falta cuenta",IF(ISNA(MATCH(E2709,ctaNom,0)),"⚠ Cuenta no existe",IF(AND(OR(I2709="Transferencia",I2709="Pago tarjeta"),G2709=""),"⚠ Indica la cuenta «Hacia»",IF(AND(G2709&lt;&gt;"",G2709=E2709),"⚠ «Hacia» igual a la cuenta",IF(AND(G2709&lt;&gt;"",ISNA(MATCH(G2709,ctaNom,0))),"⚠ «Hacia» no existe",IF(AND(I2709="Pago tarjeta",IFERROR(INDEX(ctaTipo,MATCH(G2709,ctaNom,0)),"")&lt;&gt;"Tarjeta de crédito"),"⚠ «Hacia» debe ser la tarjeta",IF(AND(I2709="Trading",IFERROR(INDEX(ctaTipo,MATCH(E2709,ctaNom,0)),"")&lt;&gt;"Cuenta de trading"),"⚠ Usa la cuenta de trading","✓"))))))))))))</f>
        <v/>
      </c>
      <c r="I2709" s="19">
        <f>IF(OR(B2709="",C2709="",D2709=""),"",IFERROR(INDEX(catTipo,MATCH(D2709,catNom,0))&amp;"",""))</f>
        <v/>
      </c>
      <c r="J2709" s="19">
        <f>IF(I2709="","",IFERROR(INDEX(catGrupo,MATCH(D2709,catNom,0))&amp;"",""))</f>
        <v/>
      </c>
      <c r="K2709" s="19">
        <f>IF(I2709="Gasto",IF(IFERROR(INDEX(catClas,MATCH(D2709,catNom,0))&amp;"","")="","Variable",IFERROR(INDEX(catClas,MATCH(D2709,catNom,0))&amp;"","")),"")</f>
        <v/>
      </c>
      <c r="L2709" s="19">
        <f>IF(I2709="","",IFERROR(INDEX(catAlim,MATCH(D2709,catNom,0))&amp;"",""))</f>
        <v/>
      </c>
      <c r="M2709" s="19">
        <f>IF(I2709="","",IFERROR(INDEX(catComida,MATCH(D2709,catNom,0))&amp;"",""))</f>
        <v/>
      </c>
      <c r="N2709" s="19">
        <f>IF(I2709="","",IFERROR(INDEX(ctaMon,MATCH(E2709,ctaNom,0))&amp;"","DOP"))</f>
        <v/>
      </c>
      <c r="O2709" s="20">
        <f>IF(I2709="","",C2709*IF(N2709="USD",TasaUSD,1))</f>
        <v/>
      </c>
      <c r="P2709" s="20">
        <f>IF(I2709="","",IF(I2709="Gasto",O2709,0))</f>
        <v/>
      </c>
      <c r="Q2709" s="20">
        <f>IF(I2709="","",IF(I2709="Ingreso",O2709,0))</f>
        <v/>
      </c>
      <c r="R2709" s="20">
        <f>IF(I2709="","",IF(I2709="Trading",O2709,0))</f>
        <v/>
      </c>
      <c r="S2709" s="19">
        <f>IF(I2709="","",IF(AND(I2709="Gasto",K2709="Variable",J2709&lt;&gt;"Trading",O2709&gt;0,O2709&lt;=Umbral),1,0))</f>
        <v/>
      </c>
      <c r="T2709" s="20">
        <f>IF(OR(I2709="",E2709=""),"",IF(OR(I2709="Gasto",I2709="Transferencia",I2709="Pago tarjeta"),-1,1)*C2709)</f>
        <v/>
      </c>
      <c r="U2709" s="20">
        <f>IF(OR(G2709="",AND(I2709&lt;&gt;"Transferencia",I2709&lt;&gt;"Pago tarjeta")),"",IF(IFERROR(INDEX(ctaMon,MATCH(G2709,ctaNom,0))&amp;"","DOP")=N2709,C2709,IF(N2709="USD",C2709*TasaUSD,C2709/TasaUSD)))</f>
        <v/>
      </c>
      <c r="V2709" s="20">
        <f>IF(I2709="","",IF(IFERROR(INDEX(ctaLiq,MATCH(E2709,ctaNom,0))="Sí",FALSE),IF(OR(I2709="Gasto",I2709="Transferencia",I2709="Pago tarjeta"),-1,1)*O2709,0)+IF(AND(U2709&lt;&gt;"",IFERROR(INDEX(ctaLiq,MATCH(G2709,ctaNom,0))="Sí",FALSE)),O2709,0))</f>
        <v/>
      </c>
      <c r="W2709" s="19">
        <f>IF(OR(F2709="",I2709=""),"",IF(COUNTIFS(F$6:F2709,F2709,I$6:I2709,"?*")=1,MAX(W$5:W2708)+1,""))</f>
        <v/>
      </c>
    </row>
    <row r="2710">
      <c r="B2710" s="15" t="n"/>
      <c r="C2710" s="16" t="n"/>
      <c r="D2710" s="17" t="n"/>
      <c r="E2710" s="17" t="n"/>
      <c r="F2710" s="17" t="n"/>
      <c r="G2710" s="17" t="n"/>
      <c r="H2710" s="18">
        <f>IF(AND(B2710="",C2710="",D2710="",E2710=""),"",IF(B2710="","⚠ Falta fecha",IF(C2710="","⚠ Falta monto",IF(D2710="","⚠ Falta categoría",IF(ISNA(MATCH(D2710,catNom,0)),"⚠ Categoría no existe",IF(E2710="","⚠ Falta cuenta",IF(ISNA(MATCH(E2710,ctaNom,0)),"⚠ Cuenta no existe",IF(AND(OR(I2710="Transferencia",I2710="Pago tarjeta"),G2710=""),"⚠ Indica la cuenta «Hacia»",IF(AND(G2710&lt;&gt;"",G2710=E2710),"⚠ «Hacia» igual a la cuenta",IF(AND(G2710&lt;&gt;"",ISNA(MATCH(G2710,ctaNom,0))),"⚠ «Hacia» no existe",IF(AND(I2710="Pago tarjeta",IFERROR(INDEX(ctaTipo,MATCH(G2710,ctaNom,0)),"")&lt;&gt;"Tarjeta de crédito"),"⚠ «Hacia» debe ser la tarjeta",IF(AND(I2710="Trading",IFERROR(INDEX(ctaTipo,MATCH(E2710,ctaNom,0)),"")&lt;&gt;"Cuenta de trading"),"⚠ Usa la cuenta de trading","✓"))))))))))))</f>
        <v/>
      </c>
      <c r="I2710" s="19">
        <f>IF(OR(B2710="",C2710="",D2710=""),"",IFERROR(INDEX(catTipo,MATCH(D2710,catNom,0))&amp;"",""))</f>
        <v/>
      </c>
      <c r="J2710" s="19">
        <f>IF(I2710="","",IFERROR(INDEX(catGrupo,MATCH(D2710,catNom,0))&amp;"",""))</f>
        <v/>
      </c>
      <c r="K2710" s="19">
        <f>IF(I2710="Gasto",IF(IFERROR(INDEX(catClas,MATCH(D2710,catNom,0))&amp;"","")="","Variable",IFERROR(INDEX(catClas,MATCH(D2710,catNom,0))&amp;"","")),"")</f>
        <v/>
      </c>
      <c r="L2710" s="19">
        <f>IF(I2710="","",IFERROR(INDEX(catAlim,MATCH(D2710,catNom,0))&amp;"",""))</f>
        <v/>
      </c>
      <c r="M2710" s="19">
        <f>IF(I2710="","",IFERROR(INDEX(catComida,MATCH(D2710,catNom,0))&amp;"",""))</f>
        <v/>
      </c>
      <c r="N2710" s="19">
        <f>IF(I2710="","",IFERROR(INDEX(ctaMon,MATCH(E2710,ctaNom,0))&amp;"","DOP"))</f>
        <v/>
      </c>
      <c r="O2710" s="20">
        <f>IF(I2710="","",C2710*IF(N2710="USD",TasaUSD,1))</f>
        <v/>
      </c>
      <c r="P2710" s="20">
        <f>IF(I2710="","",IF(I2710="Gasto",O2710,0))</f>
        <v/>
      </c>
      <c r="Q2710" s="20">
        <f>IF(I2710="","",IF(I2710="Ingreso",O2710,0))</f>
        <v/>
      </c>
      <c r="R2710" s="20">
        <f>IF(I2710="","",IF(I2710="Trading",O2710,0))</f>
        <v/>
      </c>
      <c r="S2710" s="19">
        <f>IF(I2710="","",IF(AND(I2710="Gasto",K2710="Variable",J2710&lt;&gt;"Trading",O2710&gt;0,O2710&lt;=Umbral),1,0))</f>
        <v/>
      </c>
      <c r="T2710" s="20">
        <f>IF(OR(I2710="",E2710=""),"",IF(OR(I2710="Gasto",I2710="Transferencia",I2710="Pago tarjeta"),-1,1)*C2710)</f>
        <v/>
      </c>
      <c r="U2710" s="20">
        <f>IF(OR(G2710="",AND(I2710&lt;&gt;"Transferencia",I2710&lt;&gt;"Pago tarjeta")),"",IF(IFERROR(INDEX(ctaMon,MATCH(G2710,ctaNom,0))&amp;"","DOP")=N2710,C2710,IF(N2710="USD",C2710*TasaUSD,C2710/TasaUSD)))</f>
        <v/>
      </c>
      <c r="V2710" s="20">
        <f>IF(I2710="","",IF(IFERROR(INDEX(ctaLiq,MATCH(E2710,ctaNom,0))="Sí",FALSE),IF(OR(I2710="Gasto",I2710="Transferencia",I2710="Pago tarjeta"),-1,1)*O2710,0)+IF(AND(U2710&lt;&gt;"",IFERROR(INDEX(ctaLiq,MATCH(G2710,ctaNom,0))="Sí",FALSE)),O2710,0))</f>
        <v/>
      </c>
      <c r="W2710" s="19">
        <f>IF(OR(F2710="",I2710=""),"",IF(COUNTIFS(F$6:F2710,F2710,I$6:I2710,"?*")=1,MAX(W$5:W2709)+1,""))</f>
        <v/>
      </c>
    </row>
    <row r="2711">
      <c r="B2711" s="15" t="n"/>
      <c r="C2711" s="16" t="n"/>
      <c r="D2711" s="17" t="n"/>
      <c r="E2711" s="17" t="n"/>
      <c r="F2711" s="17" t="n"/>
      <c r="G2711" s="17" t="n"/>
      <c r="H2711" s="18">
        <f>IF(AND(B2711="",C2711="",D2711="",E2711=""),"",IF(B2711="","⚠ Falta fecha",IF(C2711="","⚠ Falta monto",IF(D2711="","⚠ Falta categoría",IF(ISNA(MATCH(D2711,catNom,0)),"⚠ Categoría no existe",IF(E2711="","⚠ Falta cuenta",IF(ISNA(MATCH(E2711,ctaNom,0)),"⚠ Cuenta no existe",IF(AND(OR(I2711="Transferencia",I2711="Pago tarjeta"),G2711=""),"⚠ Indica la cuenta «Hacia»",IF(AND(G2711&lt;&gt;"",G2711=E2711),"⚠ «Hacia» igual a la cuenta",IF(AND(G2711&lt;&gt;"",ISNA(MATCH(G2711,ctaNom,0))),"⚠ «Hacia» no existe",IF(AND(I2711="Pago tarjeta",IFERROR(INDEX(ctaTipo,MATCH(G2711,ctaNom,0)),"")&lt;&gt;"Tarjeta de crédito"),"⚠ «Hacia» debe ser la tarjeta",IF(AND(I2711="Trading",IFERROR(INDEX(ctaTipo,MATCH(E2711,ctaNom,0)),"")&lt;&gt;"Cuenta de trading"),"⚠ Usa la cuenta de trading","✓"))))))))))))</f>
        <v/>
      </c>
      <c r="I2711" s="19">
        <f>IF(OR(B2711="",C2711="",D2711=""),"",IFERROR(INDEX(catTipo,MATCH(D2711,catNom,0))&amp;"",""))</f>
        <v/>
      </c>
      <c r="J2711" s="19">
        <f>IF(I2711="","",IFERROR(INDEX(catGrupo,MATCH(D2711,catNom,0))&amp;"",""))</f>
        <v/>
      </c>
      <c r="K2711" s="19">
        <f>IF(I2711="Gasto",IF(IFERROR(INDEX(catClas,MATCH(D2711,catNom,0))&amp;"","")="","Variable",IFERROR(INDEX(catClas,MATCH(D2711,catNom,0))&amp;"","")),"")</f>
        <v/>
      </c>
      <c r="L2711" s="19">
        <f>IF(I2711="","",IFERROR(INDEX(catAlim,MATCH(D2711,catNom,0))&amp;"",""))</f>
        <v/>
      </c>
      <c r="M2711" s="19">
        <f>IF(I2711="","",IFERROR(INDEX(catComida,MATCH(D2711,catNom,0))&amp;"",""))</f>
        <v/>
      </c>
      <c r="N2711" s="19">
        <f>IF(I2711="","",IFERROR(INDEX(ctaMon,MATCH(E2711,ctaNom,0))&amp;"","DOP"))</f>
        <v/>
      </c>
      <c r="O2711" s="20">
        <f>IF(I2711="","",C2711*IF(N2711="USD",TasaUSD,1))</f>
        <v/>
      </c>
      <c r="P2711" s="20">
        <f>IF(I2711="","",IF(I2711="Gasto",O2711,0))</f>
        <v/>
      </c>
      <c r="Q2711" s="20">
        <f>IF(I2711="","",IF(I2711="Ingreso",O2711,0))</f>
        <v/>
      </c>
      <c r="R2711" s="20">
        <f>IF(I2711="","",IF(I2711="Trading",O2711,0))</f>
        <v/>
      </c>
      <c r="S2711" s="19">
        <f>IF(I2711="","",IF(AND(I2711="Gasto",K2711="Variable",J2711&lt;&gt;"Trading",O2711&gt;0,O2711&lt;=Umbral),1,0))</f>
        <v/>
      </c>
      <c r="T2711" s="20">
        <f>IF(OR(I2711="",E2711=""),"",IF(OR(I2711="Gasto",I2711="Transferencia",I2711="Pago tarjeta"),-1,1)*C2711)</f>
        <v/>
      </c>
      <c r="U2711" s="20">
        <f>IF(OR(G2711="",AND(I2711&lt;&gt;"Transferencia",I2711&lt;&gt;"Pago tarjeta")),"",IF(IFERROR(INDEX(ctaMon,MATCH(G2711,ctaNom,0))&amp;"","DOP")=N2711,C2711,IF(N2711="USD",C2711*TasaUSD,C2711/TasaUSD)))</f>
        <v/>
      </c>
      <c r="V2711" s="20">
        <f>IF(I2711="","",IF(IFERROR(INDEX(ctaLiq,MATCH(E2711,ctaNom,0))="Sí",FALSE),IF(OR(I2711="Gasto",I2711="Transferencia",I2711="Pago tarjeta"),-1,1)*O2711,0)+IF(AND(U2711&lt;&gt;"",IFERROR(INDEX(ctaLiq,MATCH(G2711,ctaNom,0))="Sí",FALSE)),O2711,0))</f>
        <v/>
      </c>
      <c r="W2711" s="19">
        <f>IF(OR(F2711="",I2711=""),"",IF(COUNTIFS(F$6:F2711,F2711,I$6:I2711,"?*")=1,MAX(W$5:W2710)+1,""))</f>
        <v/>
      </c>
    </row>
    <row r="2712">
      <c r="B2712" s="15" t="n"/>
      <c r="C2712" s="16" t="n"/>
      <c r="D2712" s="17" t="n"/>
      <c r="E2712" s="17" t="n"/>
      <c r="F2712" s="17" t="n"/>
      <c r="G2712" s="17" t="n"/>
      <c r="H2712" s="18">
        <f>IF(AND(B2712="",C2712="",D2712="",E2712=""),"",IF(B2712="","⚠ Falta fecha",IF(C2712="","⚠ Falta monto",IF(D2712="","⚠ Falta categoría",IF(ISNA(MATCH(D2712,catNom,0)),"⚠ Categoría no existe",IF(E2712="","⚠ Falta cuenta",IF(ISNA(MATCH(E2712,ctaNom,0)),"⚠ Cuenta no existe",IF(AND(OR(I2712="Transferencia",I2712="Pago tarjeta"),G2712=""),"⚠ Indica la cuenta «Hacia»",IF(AND(G2712&lt;&gt;"",G2712=E2712),"⚠ «Hacia» igual a la cuenta",IF(AND(G2712&lt;&gt;"",ISNA(MATCH(G2712,ctaNom,0))),"⚠ «Hacia» no existe",IF(AND(I2712="Pago tarjeta",IFERROR(INDEX(ctaTipo,MATCH(G2712,ctaNom,0)),"")&lt;&gt;"Tarjeta de crédito"),"⚠ «Hacia» debe ser la tarjeta",IF(AND(I2712="Trading",IFERROR(INDEX(ctaTipo,MATCH(E2712,ctaNom,0)),"")&lt;&gt;"Cuenta de trading"),"⚠ Usa la cuenta de trading","✓"))))))))))))</f>
        <v/>
      </c>
      <c r="I2712" s="19">
        <f>IF(OR(B2712="",C2712="",D2712=""),"",IFERROR(INDEX(catTipo,MATCH(D2712,catNom,0))&amp;"",""))</f>
        <v/>
      </c>
      <c r="J2712" s="19">
        <f>IF(I2712="","",IFERROR(INDEX(catGrupo,MATCH(D2712,catNom,0))&amp;"",""))</f>
        <v/>
      </c>
      <c r="K2712" s="19">
        <f>IF(I2712="Gasto",IF(IFERROR(INDEX(catClas,MATCH(D2712,catNom,0))&amp;"","")="","Variable",IFERROR(INDEX(catClas,MATCH(D2712,catNom,0))&amp;"","")),"")</f>
        <v/>
      </c>
      <c r="L2712" s="19">
        <f>IF(I2712="","",IFERROR(INDEX(catAlim,MATCH(D2712,catNom,0))&amp;"",""))</f>
        <v/>
      </c>
      <c r="M2712" s="19">
        <f>IF(I2712="","",IFERROR(INDEX(catComida,MATCH(D2712,catNom,0))&amp;"",""))</f>
        <v/>
      </c>
      <c r="N2712" s="19">
        <f>IF(I2712="","",IFERROR(INDEX(ctaMon,MATCH(E2712,ctaNom,0))&amp;"","DOP"))</f>
        <v/>
      </c>
      <c r="O2712" s="20">
        <f>IF(I2712="","",C2712*IF(N2712="USD",TasaUSD,1))</f>
        <v/>
      </c>
      <c r="P2712" s="20">
        <f>IF(I2712="","",IF(I2712="Gasto",O2712,0))</f>
        <v/>
      </c>
      <c r="Q2712" s="20">
        <f>IF(I2712="","",IF(I2712="Ingreso",O2712,0))</f>
        <v/>
      </c>
      <c r="R2712" s="20">
        <f>IF(I2712="","",IF(I2712="Trading",O2712,0))</f>
        <v/>
      </c>
      <c r="S2712" s="19">
        <f>IF(I2712="","",IF(AND(I2712="Gasto",K2712="Variable",J2712&lt;&gt;"Trading",O2712&gt;0,O2712&lt;=Umbral),1,0))</f>
        <v/>
      </c>
      <c r="T2712" s="20">
        <f>IF(OR(I2712="",E2712=""),"",IF(OR(I2712="Gasto",I2712="Transferencia",I2712="Pago tarjeta"),-1,1)*C2712)</f>
        <v/>
      </c>
      <c r="U2712" s="20">
        <f>IF(OR(G2712="",AND(I2712&lt;&gt;"Transferencia",I2712&lt;&gt;"Pago tarjeta")),"",IF(IFERROR(INDEX(ctaMon,MATCH(G2712,ctaNom,0))&amp;"","DOP")=N2712,C2712,IF(N2712="USD",C2712*TasaUSD,C2712/TasaUSD)))</f>
        <v/>
      </c>
      <c r="V2712" s="20">
        <f>IF(I2712="","",IF(IFERROR(INDEX(ctaLiq,MATCH(E2712,ctaNom,0))="Sí",FALSE),IF(OR(I2712="Gasto",I2712="Transferencia",I2712="Pago tarjeta"),-1,1)*O2712,0)+IF(AND(U2712&lt;&gt;"",IFERROR(INDEX(ctaLiq,MATCH(G2712,ctaNom,0))="Sí",FALSE)),O2712,0))</f>
        <v/>
      </c>
      <c r="W2712" s="19">
        <f>IF(OR(F2712="",I2712=""),"",IF(COUNTIFS(F$6:F2712,F2712,I$6:I2712,"?*")=1,MAX(W$5:W2711)+1,""))</f>
        <v/>
      </c>
    </row>
    <row r="2713">
      <c r="B2713" s="15" t="n"/>
      <c r="C2713" s="16" t="n"/>
      <c r="D2713" s="17" t="n"/>
      <c r="E2713" s="17" t="n"/>
      <c r="F2713" s="17" t="n"/>
      <c r="G2713" s="17" t="n"/>
      <c r="H2713" s="18">
        <f>IF(AND(B2713="",C2713="",D2713="",E2713=""),"",IF(B2713="","⚠ Falta fecha",IF(C2713="","⚠ Falta monto",IF(D2713="","⚠ Falta categoría",IF(ISNA(MATCH(D2713,catNom,0)),"⚠ Categoría no existe",IF(E2713="","⚠ Falta cuenta",IF(ISNA(MATCH(E2713,ctaNom,0)),"⚠ Cuenta no existe",IF(AND(OR(I2713="Transferencia",I2713="Pago tarjeta"),G2713=""),"⚠ Indica la cuenta «Hacia»",IF(AND(G2713&lt;&gt;"",G2713=E2713),"⚠ «Hacia» igual a la cuenta",IF(AND(G2713&lt;&gt;"",ISNA(MATCH(G2713,ctaNom,0))),"⚠ «Hacia» no existe",IF(AND(I2713="Pago tarjeta",IFERROR(INDEX(ctaTipo,MATCH(G2713,ctaNom,0)),"")&lt;&gt;"Tarjeta de crédito"),"⚠ «Hacia» debe ser la tarjeta",IF(AND(I2713="Trading",IFERROR(INDEX(ctaTipo,MATCH(E2713,ctaNom,0)),"")&lt;&gt;"Cuenta de trading"),"⚠ Usa la cuenta de trading","✓"))))))))))))</f>
        <v/>
      </c>
      <c r="I2713" s="19">
        <f>IF(OR(B2713="",C2713="",D2713=""),"",IFERROR(INDEX(catTipo,MATCH(D2713,catNom,0))&amp;"",""))</f>
        <v/>
      </c>
      <c r="J2713" s="19">
        <f>IF(I2713="","",IFERROR(INDEX(catGrupo,MATCH(D2713,catNom,0))&amp;"",""))</f>
        <v/>
      </c>
      <c r="K2713" s="19">
        <f>IF(I2713="Gasto",IF(IFERROR(INDEX(catClas,MATCH(D2713,catNom,0))&amp;"","")="","Variable",IFERROR(INDEX(catClas,MATCH(D2713,catNom,0))&amp;"","")),"")</f>
        <v/>
      </c>
      <c r="L2713" s="19">
        <f>IF(I2713="","",IFERROR(INDEX(catAlim,MATCH(D2713,catNom,0))&amp;"",""))</f>
        <v/>
      </c>
      <c r="M2713" s="19">
        <f>IF(I2713="","",IFERROR(INDEX(catComida,MATCH(D2713,catNom,0))&amp;"",""))</f>
        <v/>
      </c>
      <c r="N2713" s="19">
        <f>IF(I2713="","",IFERROR(INDEX(ctaMon,MATCH(E2713,ctaNom,0))&amp;"","DOP"))</f>
        <v/>
      </c>
      <c r="O2713" s="20">
        <f>IF(I2713="","",C2713*IF(N2713="USD",TasaUSD,1))</f>
        <v/>
      </c>
      <c r="P2713" s="20">
        <f>IF(I2713="","",IF(I2713="Gasto",O2713,0))</f>
        <v/>
      </c>
      <c r="Q2713" s="20">
        <f>IF(I2713="","",IF(I2713="Ingreso",O2713,0))</f>
        <v/>
      </c>
      <c r="R2713" s="20">
        <f>IF(I2713="","",IF(I2713="Trading",O2713,0))</f>
        <v/>
      </c>
      <c r="S2713" s="19">
        <f>IF(I2713="","",IF(AND(I2713="Gasto",K2713="Variable",J2713&lt;&gt;"Trading",O2713&gt;0,O2713&lt;=Umbral),1,0))</f>
        <v/>
      </c>
      <c r="T2713" s="20">
        <f>IF(OR(I2713="",E2713=""),"",IF(OR(I2713="Gasto",I2713="Transferencia",I2713="Pago tarjeta"),-1,1)*C2713)</f>
        <v/>
      </c>
      <c r="U2713" s="20">
        <f>IF(OR(G2713="",AND(I2713&lt;&gt;"Transferencia",I2713&lt;&gt;"Pago tarjeta")),"",IF(IFERROR(INDEX(ctaMon,MATCH(G2713,ctaNom,0))&amp;"","DOP")=N2713,C2713,IF(N2713="USD",C2713*TasaUSD,C2713/TasaUSD)))</f>
        <v/>
      </c>
      <c r="V2713" s="20">
        <f>IF(I2713="","",IF(IFERROR(INDEX(ctaLiq,MATCH(E2713,ctaNom,0))="Sí",FALSE),IF(OR(I2713="Gasto",I2713="Transferencia",I2713="Pago tarjeta"),-1,1)*O2713,0)+IF(AND(U2713&lt;&gt;"",IFERROR(INDEX(ctaLiq,MATCH(G2713,ctaNom,0))="Sí",FALSE)),O2713,0))</f>
        <v/>
      </c>
      <c r="W2713" s="19">
        <f>IF(OR(F2713="",I2713=""),"",IF(COUNTIFS(F$6:F2713,F2713,I$6:I2713,"?*")=1,MAX(W$5:W2712)+1,""))</f>
        <v/>
      </c>
    </row>
    <row r="2714">
      <c r="B2714" s="15" t="n"/>
      <c r="C2714" s="16" t="n"/>
      <c r="D2714" s="17" t="n"/>
      <c r="E2714" s="17" t="n"/>
      <c r="F2714" s="17" t="n"/>
      <c r="G2714" s="17" t="n"/>
      <c r="H2714" s="18">
        <f>IF(AND(B2714="",C2714="",D2714="",E2714=""),"",IF(B2714="","⚠ Falta fecha",IF(C2714="","⚠ Falta monto",IF(D2714="","⚠ Falta categoría",IF(ISNA(MATCH(D2714,catNom,0)),"⚠ Categoría no existe",IF(E2714="","⚠ Falta cuenta",IF(ISNA(MATCH(E2714,ctaNom,0)),"⚠ Cuenta no existe",IF(AND(OR(I2714="Transferencia",I2714="Pago tarjeta"),G2714=""),"⚠ Indica la cuenta «Hacia»",IF(AND(G2714&lt;&gt;"",G2714=E2714),"⚠ «Hacia» igual a la cuenta",IF(AND(G2714&lt;&gt;"",ISNA(MATCH(G2714,ctaNom,0))),"⚠ «Hacia» no existe",IF(AND(I2714="Pago tarjeta",IFERROR(INDEX(ctaTipo,MATCH(G2714,ctaNom,0)),"")&lt;&gt;"Tarjeta de crédito"),"⚠ «Hacia» debe ser la tarjeta",IF(AND(I2714="Trading",IFERROR(INDEX(ctaTipo,MATCH(E2714,ctaNom,0)),"")&lt;&gt;"Cuenta de trading"),"⚠ Usa la cuenta de trading","✓"))))))))))))</f>
        <v/>
      </c>
      <c r="I2714" s="19">
        <f>IF(OR(B2714="",C2714="",D2714=""),"",IFERROR(INDEX(catTipo,MATCH(D2714,catNom,0))&amp;"",""))</f>
        <v/>
      </c>
      <c r="J2714" s="19">
        <f>IF(I2714="","",IFERROR(INDEX(catGrupo,MATCH(D2714,catNom,0))&amp;"",""))</f>
        <v/>
      </c>
      <c r="K2714" s="19">
        <f>IF(I2714="Gasto",IF(IFERROR(INDEX(catClas,MATCH(D2714,catNom,0))&amp;"","")="","Variable",IFERROR(INDEX(catClas,MATCH(D2714,catNom,0))&amp;"","")),"")</f>
        <v/>
      </c>
      <c r="L2714" s="19">
        <f>IF(I2714="","",IFERROR(INDEX(catAlim,MATCH(D2714,catNom,0))&amp;"",""))</f>
        <v/>
      </c>
      <c r="M2714" s="19">
        <f>IF(I2714="","",IFERROR(INDEX(catComida,MATCH(D2714,catNom,0))&amp;"",""))</f>
        <v/>
      </c>
      <c r="N2714" s="19">
        <f>IF(I2714="","",IFERROR(INDEX(ctaMon,MATCH(E2714,ctaNom,0))&amp;"","DOP"))</f>
        <v/>
      </c>
      <c r="O2714" s="20">
        <f>IF(I2714="","",C2714*IF(N2714="USD",TasaUSD,1))</f>
        <v/>
      </c>
      <c r="P2714" s="20">
        <f>IF(I2714="","",IF(I2714="Gasto",O2714,0))</f>
        <v/>
      </c>
      <c r="Q2714" s="20">
        <f>IF(I2714="","",IF(I2714="Ingreso",O2714,0))</f>
        <v/>
      </c>
      <c r="R2714" s="20">
        <f>IF(I2714="","",IF(I2714="Trading",O2714,0))</f>
        <v/>
      </c>
      <c r="S2714" s="19">
        <f>IF(I2714="","",IF(AND(I2714="Gasto",K2714="Variable",J2714&lt;&gt;"Trading",O2714&gt;0,O2714&lt;=Umbral),1,0))</f>
        <v/>
      </c>
      <c r="T2714" s="20">
        <f>IF(OR(I2714="",E2714=""),"",IF(OR(I2714="Gasto",I2714="Transferencia",I2714="Pago tarjeta"),-1,1)*C2714)</f>
        <v/>
      </c>
      <c r="U2714" s="20">
        <f>IF(OR(G2714="",AND(I2714&lt;&gt;"Transferencia",I2714&lt;&gt;"Pago tarjeta")),"",IF(IFERROR(INDEX(ctaMon,MATCH(G2714,ctaNom,0))&amp;"","DOP")=N2714,C2714,IF(N2714="USD",C2714*TasaUSD,C2714/TasaUSD)))</f>
        <v/>
      </c>
      <c r="V2714" s="20">
        <f>IF(I2714="","",IF(IFERROR(INDEX(ctaLiq,MATCH(E2714,ctaNom,0))="Sí",FALSE),IF(OR(I2714="Gasto",I2714="Transferencia",I2714="Pago tarjeta"),-1,1)*O2714,0)+IF(AND(U2714&lt;&gt;"",IFERROR(INDEX(ctaLiq,MATCH(G2714,ctaNom,0))="Sí",FALSE)),O2714,0))</f>
        <v/>
      </c>
      <c r="W2714" s="19">
        <f>IF(OR(F2714="",I2714=""),"",IF(COUNTIFS(F$6:F2714,F2714,I$6:I2714,"?*")=1,MAX(W$5:W2713)+1,""))</f>
        <v/>
      </c>
    </row>
    <row r="2715">
      <c r="B2715" s="15" t="n"/>
      <c r="C2715" s="16" t="n"/>
      <c r="D2715" s="17" t="n"/>
      <c r="E2715" s="17" t="n"/>
      <c r="F2715" s="17" t="n"/>
      <c r="G2715" s="17" t="n"/>
      <c r="H2715" s="18">
        <f>IF(AND(B2715="",C2715="",D2715="",E2715=""),"",IF(B2715="","⚠ Falta fecha",IF(C2715="","⚠ Falta monto",IF(D2715="","⚠ Falta categoría",IF(ISNA(MATCH(D2715,catNom,0)),"⚠ Categoría no existe",IF(E2715="","⚠ Falta cuenta",IF(ISNA(MATCH(E2715,ctaNom,0)),"⚠ Cuenta no existe",IF(AND(OR(I2715="Transferencia",I2715="Pago tarjeta"),G2715=""),"⚠ Indica la cuenta «Hacia»",IF(AND(G2715&lt;&gt;"",G2715=E2715),"⚠ «Hacia» igual a la cuenta",IF(AND(G2715&lt;&gt;"",ISNA(MATCH(G2715,ctaNom,0))),"⚠ «Hacia» no existe",IF(AND(I2715="Pago tarjeta",IFERROR(INDEX(ctaTipo,MATCH(G2715,ctaNom,0)),"")&lt;&gt;"Tarjeta de crédito"),"⚠ «Hacia» debe ser la tarjeta",IF(AND(I2715="Trading",IFERROR(INDEX(ctaTipo,MATCH(E2715,ctaNom,0)),"")&lt;&gt;"Cuenta de trading"),"⚠ Usa la cuenta de trading","✓"))))))))))))</f>
        <v/>
      </c>
      <c r="I2715" s="19">
        <f>IF(OR(B2715="",C2715="",D2715=""),"",IFERROR(INDEX(catTipo,MATCH(D2715,catNom,0))&amp;"",""))</f>
        <v/>
      </c>
      <c r="J2715" s="19">
        <f>IF(I2715="","",IFERROR(INDEX(catGrupo,MATCH(D2715,catNom,0))&amp;"",""))</f>
        <v/>
      </c>
      <c r="K2715" s="19">
        <f>IF(I2715="Gasto",IF(IFERROR(INDEX(catClas,MATCH(D2715,catNom,0))&amp;"","")="","Variable",IFERROR(INDEX(catClas,MATCH(D2715,catNom,0))&amp;"","")),"")</f>
        <v/>
      </c>
      <c r="L2715" s="19">
        <f>IF(I2715="","",IFERROR(INDEX(catAlim,MATCH(D2715,catNom,0))&amp;"",""))</f>
        <v/>
      </c>
      <c r="M2715" s="19">
        <f>IF(I2715="","",IFERROR(INDEX(catComida,MATCH(D2715,catNom,0))&amp;"",""))</f>
        <v/>
      </c>
      <c r="N2715" s="19">
        <f>IF(I2715="","",IFERROR(INDEX(ctaMon,MATCH(E2715,ctaNom,0))&amp;"","DOP"))</f>
        <v/>
      </c>
      <c r="O2715" s="20">
        <f>IF(I2715="","",C2715*IF(N2715="USD",TasaUSD,1))</f>
        <v/>
      </c>
      <c r="P2715" s="20">
        <f>IF(I2715="","",IF(I2715="Gasto",O2715,0))</f>
        <v/>
      </c>
      <c r="Q2715" s="20">
        <f>IF(I2715="","",IF(I2715="Ingreso",O2715,0))</f>
        <v/>
      </c>
      <c r="R2715" s="20">
        <f>IF(I2715="","",IF(I2715="Trading",O2715,0))</f>
        <v/>
      </c>
      <c r="S2715" s="19">
        <f>IF(I2715="","",IF(AND(I2715="Gasto",K2715="Variable",J2715&lt;&gt;"Trading",O2715&gt;0,O2715&lt;=Umbral),1,0))</f>
        <v/>
      </c>
      <c r="T2715" s="20">
        <f>IF(OR(I2715="",E2715=""),"",IF(OR(I2715="Gasto",I2715="Transferencia",I2715="Pago tarjeta"),-1,1)*C2715)</f>
        <v/>
      </c>
      <c r="U2715" s="20">
        <f>IF(OR(G2715="",AND(I2715&lt;&gt;"Transferencia",I2715&lt;&gt;"Pago tarjeta")),"",IF(IFERROR(INDEX(ctaMon,MATCH(G2715,ctaNom,0))&amp;"","DOP")=N2715,C2715,IF(N2715="USD",C2715*TasaUSD,C2715/TasaUSD)))</f>
        <v/>
      </c>
      <c r="V2715" s="20">
        <f>IF(I2715="","",IF(IFERROR(INDEX(ctaLiq,MATCH(E2715,ctaNom,0))="Sí",FALSE),IF(OR(I2715="Gasto",I2715="Transferencia",I2715="Pago tarjeta"),-1,1)*O2715,0)+IF(AND(U2715&lt;&gt;"",IFERROR(INDEX(ctaLiq,MATCH(G2715,ctaNom,0))="Sí",FALSE)),O2715,0))</f>
        <v/>
      </c>
      <c r="W2715" s="19">
        <f>IF(OR(F2715="",I2715=""),"",IF(COUNTIFS(F$6:F2715,F2715,I$6:I2715,"?*")=1,MAX(W$5:W2714)+1,""))</f>
        <v/>
      </c>
    </row>
    <row r="2716">
      <c r="B2716" s="15" t="n"/>
      <c r="C2716" s="16" t="n"/>
      <c r="D2716" s="17" t="n"/>
      <c r="E2716" s="17" t="n"/>
      <c r="F2716" s="17" t="n"/>
      <c r="G2716" s="17" t="n"/>
      <c r="H2716" s="18">
        <f>IF(AND(B2716="",C2716="",D2716="",E2716=""),"",IF(B2716="","⚠ Falta fecha",IF(C2716="","⚠ Falta monto",IF(D2716="","⚠ Falta categoría",IF(ISNA(MATCH(D2716,catNom,0)),"⚠ Categoría no existe",IF(E2716="","⚠ Falta cuenta",IF(ISNA(MATCH(E2716,ctaNom,0)),"⚠ Cuenta no existe",IF(AND(OR(I2716="Transferencia",I2716="Pago tarjeta"),G2716=""),"⚠ Indica la cuenta «Hacia»",IF(AND(G2716&lt;&gt;"",G2716=E2716),"⚠ «Hacia» igual a la cuenta",IF(AND(G2716&lt;&gt;"",ISNA(MATCH(G2716,ctaNom,0))),"⚠ «Hacia» no existe",IF(AND(I2716="Pago tarjeta",IFERROR(INDEX(ctaTipo,MATCH(G2716,ctaNom,0)),"")&lt;&gt;"Tarjeta de crédito"),"⚠ «Hacia» debe ser la tarjeta",IF(AND(I2716="Trading",IFERROR(INDEX(ctaTipo,MATCH(E2716,ctaNom,0)),"")&lt;&gt;"Cuenta de trading"),"⚠ Usa la cuenta de trading","✓"))))))))))))</f>
        <v/>
      </c>
      <c r="I2716" s="19">
        <f>IF(OR(B2716="",C2716="",D2716=""),"",IFERROR(INDEX(catTipo,MATCH(D2716,catNom,0))&amp;"",""))</f>
        <v/>
      </c>
      <c r="J2716" s="19">
        <f>IF(I2716="","",IFERROR(INDEX(catGrupo,MATCH(D2716,catNom,0))&amp;"",""))</f>
        <v/>
      </c>
      <c r="K2716" s="19">
        <f>IF(I2716="Gasto",IF(IFERROR(INDEX(catClas,MATCH(D2716,catNom,0))&amp;"","")="","Variable",IFERROR(INDEX(catClas,MATCH(D2716,catNom,0))&amp;"","")),"")</f>
        <v/>
      </c>
      <c r="L2716" s="19">
        <f>IF(I2716="","",IFERROR(INDEX(catAlim,MATCH(D2716,catNom,0))&amp;"",""))</f>
        <v/>
      </c>
      <c r="M2716" s="19">
        <f>IF(I2716="","",IFERROR(INDEX(catComida,MATCH(D2716,catNom,0))&amp;"",""))</f>
        <v/>
      </c>
      <c r="N2716" s="19">
        <f>IF(I2716="","",IFERROR(INDEX(ctaMon,MATCH(E2716,ctaNom,0))&amp;"","DOP"))</f>
        <v/>
      </c>
      <c r="O2716" s="20">
        <f>IF(I2716="","",C2716*IF(N2716="USD",TasaUSD,1))</f>
        <v/>
      </c>
      <c r="P2716" s="20">
        <f>IF(I2716="","",IF(I2716="Gasto",O2716,0))</f>
        <v/>
      </c>
      <c r="Q2716" s="20">
        <f>IF(I2716="","",IF(I2716="Ingreso",O2716,0))</f>
        <v/>
      </c>
      <c r="R2716" s="20">
        <f>IF(I2716="","",IF(I2716="Trading",O2716,0))</f>
        <v/>
      </c>
      <c r="S2716" s="19">
        <f>IF(I2716="","",IF(AND(I2716="Gasto",K2716="Variable",J2716&lt;&gt;"Trading",O2716&gt;0,O2716&lt;=Umbral),1,0))</f>
        <v/>
      </c>
      <c r="T2716" s="20">
        <f>IF(OR(I2716="",E2716=""),"",IF(OR(I2716="Gasto",I2716="Transferencia",I2716="Pago tarjeta"),-1,1)*C2716)</f>
        <v/>
      </c>
      <c r="U2716" s="20">
        <f>IF(OR(G2716="",AND(I2716&lt;&gt;"Transferencia",I2716&lt;&gt;"Pago tarjeta")),"",IF(IFERROR(INDEX(ctaMon,MATCH(G2716,ctaNom,0))&amp;"","DOP")=N2716,C2716,IF(N2716="USD",C2716*TasaUSD,C2716/TasaUSD)))</f>
        <v/>
      </c>
      <c r="V2716" s="20">
        <f>IF(I2716="","",IF(IFERROR(INDEX(ctaLiq,MATCH(E2716,ctaNom,0))="Sí",FALSE),IF(OR(I2716="Gasto",I2716="Transferencia",I2716="Pago tarjeta"),-1,1)*O2716,0)+IF(AND(U2716&lt;&gt;"",IFERROR(INDEX(ctaLiq,MATCH(G2716,ctaNom,0))="Sí",FALSE)),O2716,0))</f>
        <v/>
      </c>
      <c r="W2716" s="19">
        <f>IF(OR(F2716="",I2716=""),"",IF(COUNTIFS(F$6:F2716,F2716,I$6:I2716,"?*")=1,MAX(W$5:W2715)+1,""))</f>
        <v/>
      </c>
    </row>
    <row r="2717">
      <c r="B2717" s="15" t="n"/>
      <c r="C2717" s="16" t="n"/>
      <c r="D2717" s="17" t="n"/>
      <c r="E2717" s="17" t="n"/>
      <c r="F2717" s="17" t="n"/>
      <c r="G2717" s="17" t="n"/>
      <c r="H2717" s="18">
        <f>IF(AND(B2717="",C2717="",D2717="",E2717=""),"",IF(B2717="","⚠ Falta fecha",IF(C2717="","⚠ Falta monto",IF(D2717="","⚠ Falta categoría",IF(ISNA(MATCH(D2717,catNom,0)),"⚠ Categoría no existe",IF(E2717="","⚠ Falta cuenta",IF(ISNA(MATCH(E2717,ctaNom,0)),"⚠ Cuenta no existe",IF(AND(OR(I2717="Transferencia",I2717="Pago tarjeta"),G2717=""),"⚠ Indica la cuenta «Hacia»",IF(AND(G2717&lt;&gt;"",G2717=E2717),"⚠ «Hacia» igual a la cuenta",IF(AND(G2717&lt;&gt;"",ISNA(MATCH(G2717,ctaNom,0))),"⚠ «Hacia» no existe",IF(AND(I2717="Pago tarjeta",IFERROR(INDEX(ctaTipo,MATCH(G2717,ctaNom,0)),"")&lt;&gt;"Tarjeta de crédito"),"⚠ «Hacia» debe ser la tarjeta",IF(AND(I2717="Trading",IFERROR(INDEX(ctaTipo,MATCH(E2717,ctaNom,0)),"")&lt;&gt;"Cuenta de trading"),"⚠ Usa la cuenta de trading","✓"))))))))))))</f>
        <v/>
      </c>
      <c r="I2717" s="19">
        <f>IF(OR(B2717="",C2717="",D2717=""),"",IFERROR(INDEX(catTipo,MATCH(D2717,catNom,0))&amp;"",""))</f>
        <v/>
      </c>
      <c r="J2717" s="19">
        <f>IF(I2717="","",IFERROR(INDEX(catGrupo,MATCH(D2717,catNom,0))&amp;"",""))</f>
        <v/>
      </c>
      <c r="K2717" s="19">
        <f>IF(I2717="Gasto",IF(IFERROR(INDEX(catClas,MATCH(D2717,catNom,0))&amp;"","")="","Variable",IFERROR(INDEX(catClas,MATCH(D2717,catNom,0))&amp;"","")),"")</f>
        <v/>
      </c>
      <c r="L2717" s="19">
        <f>IF(I2717="","",IFERROR(INDEX(catAlim,MATCH(D2717,catNom,0))&amp;"",""))</f>
        <v/>
      </c>
      <c r="M2717" s="19">
        <f>IF(I2717="","",IFERROR(INDEX(catComida,MATCH(D2717,catNom,0))&amp;"",""))</f>
        <v/>
      </c>
      <c r="N2717" s="19">
        <f>IF(I2717="","",IFERROR(INDEX(ctaMon,MATCH(E2717,ctaNom,0))&amp;"","DOP"))</f>
        <v/>
      </c>
      <c r="O2717" s="20">
        <f>IF(I2717="","",C2717*IF(N2717="USD",TasaUSD,1))</f>
        <v/>
      </c>
      <c r="P2717" s="20">
        <f>IF(I2717="","",IF(I2717="Gasto",O2717,0))</f>
        <v/>
      </c>
      <c r="Q2717" s="20">
        <f>IF(I2717="","",IF(I2717="Ingreso",O2717,0))</f>
        <v/>
      </c>
      <c r="R2717" s="20">
        <f>IF(I2717="","",IF(I2717="Trading",O2717,0))</f>
        <v/>
      </c>
      <c r="S2717" s="19">
        <f>IF(I2717="","",IF(AND(I2717="Gasto",K2717="Variable",J2717&lt;&gt;"Trading",O2717&gt;0,O2717&lt;=Umbral),1,0))</f>
        <v/>
      </c>
      <c r="T2717" s="20">
        <f>IF(OR(I2717="",E2717=""),"",IF(OR(I2717="Gasto",I2717="Transferencia",I2717="Pago tarjeta"),-1,1)*C2717)</f>
        <v/>
      </c>
      <c r="U2717" s="20">
        <f>IF(OR(G2717="",AND(I2717&lt;&gt;"Transferencia",I2717&lt;&gt;"Pago tarjeta")),"",IF(IFERROR(INDEX(ctaMon,MATCH(G2717,ctaNom,0))&amp;"","DOP")=N2717,C2717,IF(N2717="USD",C2717*TasaUSD,C2717/TasaUSD)))</f>
        <v/>
      </c>
      <c r="V2717" s="20">
        <f>IF(I2717="","",IF(IFERROR(INDEX(ctaLiq,MATCH(E2717,ctaNom,0))="Sí",FALSE),IF(OR(I2717="Gasto",I2717="Transferencia",I2717="Pago tarjeta"),-1,1)*O2717,0)+IF(AND(U2717&lt;&gt;"",IFERROR(INDEX(ctaLiq,MATCH(G2717,ctaNom,0))="Sí",FALSE)),O2717,0))</f>
        <v/>
      </c>
      <c r="W2717" s="19">
        <f>IF(OR(F2717="",I2717=""),"",IF(COUNTIFS(F$6:F2717,F2717,I$6:I2717,"?*")=1,MAX(W$5:W2716)+1,""))</f>
        <v/>
      </c>
    </row>
    <row r="2718">
      <c r="B2718" s="15" t="n"/>
      <c r="C2718" s="16" t="n"/>
      <c r="D2718" s="17" t="n"/>
      <c r="E2718" s="17" t="n"/>
      <c r="F2718" s="17" t="n"/>
      <c r="G2718" s="17" t="n"/>
      <c r="H2718" s="18">
        <f>IF(AND(B2718="",C2718="",D2718="",E2718=""),"",IF(B2718="","⚠ Falta fecha",IF(C2718="","⚠ Falta monto",IF(D2718="","⚠ Falta categoría",IF(ISNA(MATCH(D2718,catNom,0)),"⚠ Categoría no existe",IF(E2718="","⚠ Falta cuenta",IF(ISNA(MATCH(E2718,ctaNom,0)),"⚠ Cuenta no existe",IF(AND(OR(I2718="Transferencia",I2718="Pago tarjeta"),G2718=""),"⚠ Indica la cuenta «Hacia»",IF(AND(G2718&lt;&gt;"",G2718=E2718),"⚠ «Hacia» igual a la cuenta",IF(AND(G2718&lt;&gt;"",ISNA(MATCH(G2718,ctaNom,0))),"⚠ «Hacia» no existe",IF(AND(I2718="Pago tarjeta",IFERROR(INDEX(ctaTipo,MATCH(G2718,ctaNom,0)),"")&lt;&gt;"Tarjeta de crédito"),"⚠ «Hacia» debe ser la tarjeta",IF(AND(I2718="Trading",IFERROR(INDEX(ctaTipo,MATCH(E2718,ctaNom,0)),"")&lt;&gt;"Cuenta de trading"),"⚠ Usa la cuenta de trading","✓"))))))))))))</f>
        <v/>
      </c>
      <c r="I2718" s="19">
        <f>IF(OR(B2718="",C2718="",D2718=""),"",IFERROR(INDEX(catTipo,MATCH(D2718,catNom,0))&amp;"",""))</f>
        <v/>
      </c>
      <c r="J2718" s="19">
        <f>IF(I2718="","",IFERROR(INDEX(catGrupo,MATCH(D2718,catNom,0))&amp;"",""))</f>
        <v/>
      </c>
      <c r="K2718" s="19">
        <f>IF(I2718="Gasto",IF(IFERROR(INDEX(catClas,MATCH(D2718,catNom,0))&amp;"","")="","Variable",IFERROR(INDEX(catClas,MATCH(D2718,catNom,0))&amp;"","")),"")</f>
        <v/>
      </c>
      <c r="L2718" s="19">
        <f>IF(I2718="","",IFERROR(INDEX(catAlim,MATCH(D2718,catNom,0))&amp;"",""))</f>
        <v/>
      </c>
      <c r="M2718" s="19">
        <f>IF(I2718="","",IFERROR(INDEX(catComida,MATCH(D2718,catNom,0))&amp;"",""))</f>
        <v/>
      </c>
      <c r="N2718" s="19">
        <f>IF(I2718="","",IFERROR(INDEX(ctaMon,MATCH(E2718,ctaNom,0))&amp;"","DOP"))</f>
        <v/>
      </c>
      <c r="O2718" s="20">
        <f>IF(I2718="","",C2718*IF(N2718="USD",TasaUSD,1))</f>
        <v/>
      </c>
      <c r="P2718" s="20">
        <f>IF(I2718="","",IF(I2718="Gasto",O2718,0))</f>
        <v/>
      </c>
      <c r="Q2718" s="20">
        <f>IF(I2718="","",IF(I2718="Ingreso",O2718,0))</f>
        <v/>
      </c>
      <c r="R2718" s="20">
        <f>IF(I2718="","",IF(I2718="Trading",O2718,0))</f>
        <v/>
      </c>
      <c r="S2718" s="19">
        <f>IF(I2718="","",IF(AND(I2718="Gasto",K2718="Variable",J2718&lt;&gt;"Trading",O2718&gt;0,O2718&lt;=Umbral),1,0))</f>
        <v/>
      </c>
      <c r="T2718" s="20">
        <f>IF(OR(I2718="",E2718=""),"",IF(OR(I2718="Gasto",I2718="Transferencia",I2718="Pago tarjeta"),-1,1)*C2718)</f>
        <v/>
      </c>
      <c r="U2718" s="20">
        <f>IF(OR(G2718="",AND(I2718&lt;&gt;"Transferencia",I2718&lt;&gt;"Pago tarjeta")),"",IF(IFERROR(INDEX(ctaMon,MATCH(G2718,ctaNom,0))&amp;"","DOP")=N2718,C2718,IF(N2718="USD",C2718*TasaUSD,C2718/TasaUSD)))</f>
        <v/>
      </c>
      <c r="V2718" s="20">
        <f>IF(I2718="","",IF(IFERROR(INDEX(ctaLiq,MATCH(E2718,ctaNom,0))="Sí",FALSE),IF(OR(I2718="Gasto",I2718="Transferencia",I2718="Pago tarjeta"),-1,1)*O2718,0)+IF(AND(U2718&lt;&gt;"",IFERROR(INDEX(ctaLiq,MATCH(G2718,ctaNom,0))="Sí",FALSE)),O2718,0))</f>
        <v/>
      </c>
      <c r="W2718" s="19">
        <f>IF(OR(F2718="",I2718=""),"",IF(COUNTIFS(F$6:F2718,F2718,I$6:I2718,"?*")=1,MAX(W$5:W2717)+1,""))</f>
        <v/>
      </c>
    </row>
    <row r="2719">
      <c r="B2719" s="15" t="n"/>
      <c r="C2719" s="16" t="n"/>
      <c r="D2719" s="17" t="n"/>
      <c r="E2719" s="17" t="n"/>
      <c r="F2719" s="17" t="n"/>
      <c r="G2719" s="17" t="n"/>
      <c r="H2719" s="18">
        <f>IF(AND(B2719="",C2719="",D2719="",E2719=""),"",IF(B2719="","⚠ Falta fecha",IF(C2719="","⚠ Falta monto",IF(D2719="","⚠ Falta categoría",IF(ISNA(MATCH(D2719,catNom,0)),"⚠ Categoría no existe",IF(E2719="","⚠ Falta cuenta",IF(ISNA(MATCH(E2719,ctaNom,0)),"⚠ Cuenta no existe",IF(AND(OR(I2719="Transferencia",I2719="Pago tarjeta"),G2719=""),"⚠ Indica la cuenta «Hacia»",IF(AND(G2719&lt;&gt;"",G2719=E2719),"⚠ «Hacia» igual a la cuenta",IF(AND(G2719&lt;&gt;"",ISNA(MATCH(G2719,ctaNom,0))),"⚠ «Hacia» no existe",IF(AND(I2719="Pago tarjeta",IFERROR(INDEX(ctaTipo,MATCH(G2719,ctaNom,0)),"")&lt;&gt;"Tarjeta de crédito"),"⚠ «Hacia» debe ser la tarjeta",IF(AND(I2719="Trading",IFERROR(INDEX(ctaTipo,MATCH(E2719,ctaNom,0)),"")&lt;&gt;"Cuenta de trading"),"⚠ Usa la cuenta de trading","✓"))))))))))))</f>
        <v/>
      </c>
      <c r="I2719" s="19">
        <f>IF(OR(B2719="",C2719="",D2719=""),"",IFERROR(INDEX(catTipo,MATCH(D2719,catNom,0))&amp;"",""))</f>
        <v/>
      </c>
      <c r="J2719" s="19">
        <f>IF(I2719="","",IFERROR(INDEX(catGrupo,MATCH(D2719,catNom,0))&amp;"",""))</f>
        <v/>
      </c>
      <c r="K2719" s="19">
        <f>IF(I2719="Gasto",IF(IFERROR(INDEX(catClas,MATCH(D2719,catNom,0))&amp;"","")="","Variable",IFERROR(INDEX(catClas,MATCH(D2719,catNom,0))&amp;"","")),"")</f>
        <v/>
      </c>
      <c r="L2719" s="19">
        <f>IF(I2719="","",IFERROR(INDEX(catAlim,MATCH(D2719,catNom,0))&amp;"",""))</f>
        <v/>
      </c>
      <c r="M2719" s="19">
        <f>IF(I2719="","",IFERROR(INDEX(catComida,MATCH(D2719,catNom,0))&amp;"",""))</f>
        <v/>
      </c>
      <c r="N2719" s="19">
        <f>IF(I2719="","",IFERROR(INDEX(ctaMon,MATCH(E2719,ctaNom,0))&amp;"","DOP"))</f>
        <v/>
      </c>
      <c r="O2719" s="20">
        <f>IF(I2719="","",C2719*IF(N2719="USD",TasaUSD,1))</f>
        <v/>
      </c>
      <c r="P2719" s="20">
        <f>IF(I2719="","",IF(I2719="Gasto",O2719,0))</f>
        <v/>
      </c>
      <c r="Q2719" s="20">
        <f>IF(I2719="","",IF(I2719="Ingreso",O2719,0))</f>
        <v/>
      </c>
      <c r="R2719" s="20">
        <f>IF(I2719="","",IF(I2719="Trading",O2719,0))</f>
        <v/>
      </c>
      <c r="S2719" s="19">
        <f>IF(I2719="","",IF(AND(I2719="Gasto",K2719="Variable",J2719&lt;&gt;"Trading",O2719&gt;0,O2719&lt;=Umbral),1,0))</f>
        <v/>
      </c>
      <c r="T2719" s="20">
        <f>IF(OR(I2719="",E2719=""),"",IF(OR(I2719="Gasto",I2719="Transferencia",I2719="Pago tarjeta"),-1,1)*C2719)</f>
        <v/>
      </c>
      <c r="U2719" s="20">
        <f>IF(OR(G2719="",AND(I2719&lt;&gt;"Transferencia",I2719&lt;&gt;"Pago tarjeta")),"",IF(IFERROR(INDEX(ctaMon,MATCH(G2719,ctaNom,0))&amp;"","DOP")=N2719,C2719,IF(N2719="USD",C2719*TasaUSD,C2719/TasaUSD)))</f>
        <v/>
      </c>
      <c r="V2719" s="20">
        <f>IF(I2719="","",IF(IFERROR(INDEX(ctaLiq,MATCH(E2719,ctaNom,0))="Sí",FALSE),IF(OR(I2719="Gasto",I2719="Transferencia",I2719="Pago tarjeta"),-1,1)*O2719,0)+IF(AND(U2719&lt;&gt;"",IFERROR(INDEX(ctaLiq,MATCH(G2719,ctaNom,0))="Sí",FALSE)),O2719,0))</f>
        <v/>
      </c>
      <c r="W2719" s="19">
        <f>IF(OR(F2719="",I2719=""),"",IF(COUNTIFS(F$6:F2719,F2719,I$6:I2719,"?*")=1,MAX(W$5:W2718)+1,""))</f>
        <v/>
      </c>
    </row>
    <row r="2720">
      <c r="B2720" s="15" t="n"/>
      <c r="C2720" s="16" t="n"/>
      <c r="D2720" s="17" t="n"/>
      <c r="E2720" s="17" t="n"/>
      <c r="F2720" s="17" t="n"/>
      <c r="G2720" s="17" t="n"/>
      <c r="H2720" s="18">
        <f>IF(AND(B2720="",C2720="",D2720="",E2720=""),"",IF(B2720="","⚠ Falta fecha",IF(C2720="","⚠ Falta monto",IF(D2720="","⚠ Falta categoría",IF(ISNA(MATCH(D2720,catNom,0)),"⚠ Categoría no existe",IF(E2720="","⚠ Falta cuenta",IF(ISNA(MATCH(E2720,ctaNom,0)),"⚠ Cuenta no existe",IF(AND(OR(I2720="Transferencia",I2720="Pago tarjeta"),G2720=""),"⚠ Indica la cuenta «Hacia»",IF(AND(G2720&lt;&gt;"",G2720=E2720),"⚠ «Hacia» igual a la cuenta",IF(AND(G2720&lt;&gt;"",ISNA(MATCH(G2720,ctaNom,0))),"⚠ «Hacia» no existe",IF(AND(I2720="Pago tarjeta",IFERROR(INDEX(ctaTipo,MATCH(G2720,ctaNom,0)),"")&lt;&gt;"Tarjeta de crédito"),"⚠ «Hacia» debe ser la tarjeta",IF(AND(I2720="Trading",IFERROR(INDEX(ctaTipo,MATCH(E2720,ctaNom,0)),"")&lt;&gt;"Cuenta de trading"),"⚠ Usa la cuenta de trading","✓"))))))))))))</f>
        <v/>
      </c>
      <c r="I2720" s="19">
        <f>IF(OR(B2720="",C2720="",D2720=""),"",IFERROR(INDEX(catTipo,MATCH(D2720,catNom,0))&amp;"",""))</f>
        <v/>
      </c>
      <c r="J2720" s="19">
        <f>IF(I2720="","",IFERROR(INDEX(catGrupo,MATCH(D2720,catNom,0))&amp;"",""))</f>
        <v/>
      </c>
      <c r="K2720" s="19">
        <f>IF(I2720="Gasto",IF(IFERROR(INDEX(catClas,MATCH(D2720,catNom,0))&amp;"","")="","Variable",IFERROR(INDEX(catClas,MATCH(D2720,catNom,0))&amp;"","")),"")</f>
        <v/>
      </c>
      <c r="L2720" s="19">
        <f>IF(I2720="","",IFERROR(INDEX(catAlim,MATCH(D2720,catNom,0))&amp;"",""))</f>
        <v/>
      </c>
      <c r="M2720" s="19">
        <f>IF(I2720="","",IFERROR(INDEX(catComida,MATCH(D2720,catNom,0))&amp;"",""))</f>
        <v/>
      </c>
      <c r="N2720" s="19">
        <f>IF(I2720="","",IFERROR(INDEX(ctaMon,MATCH(E2720,ctaNom,0))&amp;"","DOP"))</f>
        <v/>
      </c>
      <c r="O2720" s="20">
        <f>IF(I2720="","",C2720*IF(N2720="USD",TasaUSD,1))</f>
        <v/>
      </c>
      <c r="P2720" s="20">
        <f>IF(I2720="","",IF(I2720="Gasto",O2720,0))</f>
        <v/>
      </c>
      <c r="Q2720" s="20">
        <f>IF(I2720="","",IF(I2720="Ingreso",O2720,0))</f>
        <v/>
      </c>
      <c r="R2720" s="20">
        <f>IF(I2720="","",IF(I2720="Trading",O2720,0))</f>
        <v/>
      </c>
      <c r="S2720" s="19">
        <f>IF(I2720="","",IF(AND(I2720="Gasto",K2720="Variable",J2720&lt;&gt;"Trading",O2720&gt;0,O2720&lt;=Umbral),1,0))</f>
        <v/>
      </c>
      <c r="T2720" s="20">
        <f>IF(OR(I2720="",E2720=""),"",IF(OR(I2720="Gasto",I2720="Transferencia",I2720="Pago tarjeta"),-1,1)*C2720)</f>
        <v/>
      </c>
      <c r="U2720" s="20">
        <f>IF(OR(G2720="",AND(I2720&lt;&gt;"Transferencia",I2720&lt;&gt;"Pago tarjeta")),"",IF(IFERROR(INDEX(ctaMon,MATCH(G2720,ctaNom,0))&amp;"","DOP")=N2720,C2720,IF(N2720="USD",C2720*TasaUSD,C2720/TasaUSD)))</f>
        <v/>
      </c>
      <c r="V2720" s="20">
        <f>IF(I2720="","",IF(IFERROR(INDEX(ctaLiq,MATCH(E2720,ctaNom,0))="Sí",FALSE),IF(OR(I2720="Gasto",I2720="Transferencia",I2720="Pago tarjeta"),-1,1)*O2720,0)+IF(AND(U2720&lt;&gt;"",IFERROR(INDEX(ctaLiq,MATCH(G2720,ctaNom,0))="Sí",FALSE)),O2720,0))</f>
        <v/>
      </c>
      <c r="W2720" s="19">
        <f>IF(OR(F2720="",I2720=""),"",IF(COUNTIFS(F$6:F2720,F2720,I$6:I2720,"?*")=1,MAX(W$5:W2719)+1,""))</f>
        <v/>
      </c>
    </row>
    <row r="2721">
      <c r="B2721" s="15" t="n"/>
      <c r="C2721" s="16" t="n"/>
      <c r="D2721" s="17" t="n"/>
      <c r="E2721" s="17" t="n"/>
      <c r="F2721" s="17" t="n"/>
      <c r="G2721" s="17" t="n"/>
      <c r="H2721" s="18">
        <f>IF(AND(B2721="",C2721="",D2721="",E2721=""),"",IF(B2721="","⚠ Falta fecha",IF(C2721="","⚠ Falta monto",IF(D2721="","⚠ Falta categoría",IF(ISNA(MATCH(D2721,catNom,0)),"⚠ Categoría no existe",IF(E2721="","⚠ Falta cuenta",IF(ISNA(MATCH(E2721,ctaNom,0)),"⚠ Cuenta no existe",IF(AND(OR(I2721="Transferencia",I2721="Pago tarjeta"),G2721=""),"⚠ Indica la cuenta «Hacia»",IF(AND(G2721&lt;&gt;"",G2721=E2721),"⚠ «Hacia» igual a la cuenta",IF(AND(G2721&lt;&gt;"",ISNA(MATCH(G2721,ctaNom,0))),"⚠ «Hacia» no existe",IF(AND(I2721="Pago tarjeta",IFERROR(INDEX(ctaTipo,MATCH(G2721,ctaNom,0)),"")&lt;&gt;"Tarjeta de crédito"),"⚠ «Hacia» debe ser la tarjeta",IF(AND(I2721="Trading",IFERROR(INDEX(ctaTipo,MATCH(E2721,ctaNom,0)),"")&lt;&gt;"Cuenta de trading"),"⚠ Usa la cuenta de trading","✓"))))))))))))</f>
        <v/>
      </c>
      <c r="I2721" s="19">
        <f>IF(OR(B2721="",C2721="",D2721=""),"",IFERROR(INDEX(catTipo,MATCH(D2721,catNom,0))&amp;"",""))</f>
        <v/>
      </c>
      <c r="J2721" s="19">
        <f>IF(I2721="","",IFERROR(INDEX(catGrupo,MATCH(D2721,catNom,0))&amp;"",""))</f>
        <v/>
      </c>
      <c r="K2721" s="19">
        <f>IF(I2721="Gasto",IF(IFERROR(INDEX(catClas,MATCH(D2721,catNom,0))&amp;"","")="","Variable",IFERROR(INDEX(catClas,MATCH(D2721,catNom,0))&amp;"","")),"")</f>
        <v/>
      </c>
      <c r="L2721" s="19">
        <f>IF(I2721="","",IFERROR(INDEX(catAlim,MATCH(D2721,catNom,0))&amp;"",""))</f>
        <v/>
      </c>
      <c r="M2721" s="19">
        <f>IF(I2721="","",IFERROR(INDEX(catComida,MATCH(D2721,catNom,0))&amp;"",""))</f>
        <v/>
      </c>
      <c r="N2721" s="19">
        <f>IF(I2721="","",IFERROR(INDEX(ctaMon,MATCH(E2721,ctaNom,0))&amp;"","DOP"))</f>
        <v/>
      </c>
      <c r="O2721" s="20">
        <f>IF(I2721="","",C2721*IF(N2721="USD",TasaUSD,1))</f>
        <v/>
      </c>
      <c r="P2721" s="20">
        <f>IF(I2721="","",IF(I2721="Gasto",O2721,0))</f>
        <v/>
      </c>
      <c r="Q2721" s="20">
        <f>IF(I2721="","",IF(I2721="Ingreso",O2721,0))</f>
        <v/>
      </c>
      <c r="R2721" s="20">
        <f>IF(I2721="","",IF(I2721="Trading",O2721,0))</f>
        <v/>
      </c>
      <c r="S2721" s="19">
        <f>IF(I2721="","",IF(AND(I2721="Gasto",K2721="Variable",J2721&lt;&gt;"Trading",O2721&gt;0,O2721&lt;=Umbral),1,0))</f>
        <v/>
      </c>
      <c r="T2721" s="20">
        <f>IF(OR(I2721="",E2721=""),"",IF(OR(I2721="Gasto",I2721="Transferencia",I2721="Pago tarjeta"),-1,1)*C2721)</f>
        <v/>
      </c>
      <c r="U2721" s="20">
        <f>IF(OR(G2721="",AND(I2721&lt;&gt;"Transferencia",I2721&lt;&gt;"Pago tarjeta")),"",IF(IFERROR(INDEX(ctaMon,MATCH(G2721,ctaNom,0))&amp;"","DOP")=N2721,C2721,IF(N2721="USD",C2721*TasaUSD,C2721/TasaUSD)))</f>
        <v/>
      </c>
      <c r="V2721" s="20">
        <f>IF(I2721="","",IF(IFERROR(INDEX(ctaLiq,MATCH(E2721,ctaNom,0))="Sí",FALSE),IF(OR(I2721="Gasto",I2721="Transferencia",I2721="Pago tarjeta"),-1,1)*O2721,0)+IF(AND(U2721&lt;&gt;"",IFERROR(INDEX(ctaLiq,MATCH(G2721,ctaNom,0))="Sí",FALSE)),O2721,0))</f>
        <v/>
      </c>
      <c r="W2721" s="19">
        <f>IF(OR(F2721="",I2721=""),"",IF(COUNTIFS(F$6:F2721,F2721,I$6:I2721,"?*")=1,MAX(W$5:W2720)+1,""))</f>
        <v/>
      </c>
    </row>
    <row r="2722">
      <c r="B2722" s="15" t="n"/>
      <c r="C2722" s="16" t="n"/>
      <c r="D2722" s="17" t="n"/>
      <c r="E2722" s="17" t="n"/>
      <c r="F2722" s="17" t="n"/>
      <c r="G2722" s="17" t="n"/>
      <c r="H2722" s="18">
        <f>IF(AND(B2722="",C2722="",D2722="",E2722=""),"",IF(B2722="","⚠ Falta fecha",IF(C2722="","⚠ Falta monto",IF(D2722="","⚠ Falta categoría",IF(ISNA(MATCH(D2722,catNom,0)),"⚠ Categoría no existe",IF(E2722="","⚠ Falta cuenta",IF(ISNA(MATCH(E2722,ctaNom,0)),"⚠ Cuenta no existe",IF(AND(OR(I2722="Transferencia",I2722="Pago tarjeta"),G2722=""),"⚠ Indica la cuenta «Hacia»",IF(AND(G2722&lt;&gt;"",G2722=E2722),"⚠ «Hacia» igual a la cuenta",IF(AND(G2722&lt;&gt;"",ISNA(MATCH(G2722,ctaNom,0))),"⚠ «Hacia» no existe",IF(AND(I2722="Pago tarjeta",IFERROR(INDEX(ctaTipo,MATCH(G2722,ctaNom,0)),"")&lt;&gt;"Tarjeta de crédito"),"⚠ «Hacia» debe ser la tarjeta",IF(AND(I2722="Trading",IFERROR(INDEX(ctaTipo,MATCH(E2722,ctaNom,0)),"")&lt;&gt;"Cuenta de trading"),"⚠ Usa la cuenta de trading","✓"))))))))))))</f>
        <v/>
      </c>
      <c r="I2722" s="19">
        <f>IF(OR(B2722="",C2722="",D2722=""),"",IFERROR(INDEX(catTipo,MATCH(D2722,catNom,0))&amp;"",""))</f>
        <v/>
      </c>
      <c r="J2722" s="19">
        <f>IF(I2722="","",IFERROR(INDEX(catGrupo,MATCH(D2722,catNom,0))&amp;"",""))</f>
        <v/>
      </c>
      <c r="K2722" s="19">
        <f>IF(I2722="Gasto",IF(IFERROR(INDEX(catClas,MATCH(D2722,catNom,0))&amp;"","")="","Variable",IFERROR(INDEX(catClas,MATCH(D2722,catNom,0))&amp;"","")),"")</f>
        <v/>
      </c>
      <c r="L2722" s="19">
        <f>IF(I2722="","",IFERROR(INDEX(catAlim,MATCH(D2722,catNom,0))&amp;"",""))</f>
        <v/>
      </c>
      <c r="M2722" s="19">
        <f>IF(I2722="","",IFERROR(INDEX(catComida,MATCH(D2722,catNom,0))&amp;"",""))</f>
        <v/>
      </c>
      <c r="N2722" s="19">
        <f>IF(I2722="","",IFERROR(INDEX(ctaMon,MATCH(E2722,ctaNom,0))&amp;"","DOP"))</f>
        <v/>
      </c>
      <c r="O2722" s="20">
        <f>IF(I2722="","",C2722*IF(N2722="USD",TasaUSD,1))</f>
        <v/>
      </c>
      <c r="P2722" s="20">
        <f>IF(I2722="","",IF(I2722="Gasto",O2722,0))</f>
        <v/>
      </c>
      <c r="Q2722" s="20">
        <f>IF(I2722="","",IF(I2722="Ingreso",O2722,0))</f>
        <v/>
      </c>
      <c r="R2722" s="20">
        <f>IF(I2722="","",IF(I2722="Trading",O2722,0))</f>
        <v/>
      </c>
      <c r="S2722" s="19">
        <f>IF(I2722="","",IF(AND(I2722="Gasto",K2722="Variable",J2722&lt;&gt;"Trading",O2722&gt;0,O2722&lt;=Umbral),1,0))</f>
        <v/>
      </c>
      <c r="T2722" s="20">
        <f>IF(OR(I2722="",E2722=""),"",IF(OR(I2722="Gasto",I2722="Transferencia",I2722="Pago tarjeta"),-1,1)*C2722)</f>
        <v/>
      </c>
      <c r="U2722" s="20">
        <f>IF(OR(G2722="",AND(I2722&lt;&gt;"Transferencia",I2722&lt;&gt;"Pago tarjeta")),"",IF(IFERROR(INDEX(ctaMon,MATCH(G2722,ctaNom,0))&amp;"","DOP")=N2722,C2722,IF(N2722="USD",C2722*TasaUSD,C2722/TasaUSD)))</f>
        <v/>
      </c>
      <c r="V2722" s="20">
        <f>IF(I2722="","",IF(IFERROR(INDEX(ctaLiq,MATCH(E2722,ctaNom,0))="Sí",FALSE),IF(OR(I2722="Gasto",I2722="Transferencia",I2722="Pago tarjeta"),-1,1)*O2722,0)+IF(AND(U2722&lt;&gt;"",IFERROR(INDEX(ctaLiq,MATCH(G2722,ctaNom,0))="Sí",FALSE)),O2722,0))</f>
        <v/>
      </c>
      <c r="W2722" s="19">
        <f>IF(OR(F2722="",I2722=""),"",IF(COUNTIFS(F$6:F2722,F2722,I$6:I2722,"?*")=1,MAX(W$5:W2721)+1,""))</f>
        <v/>
      </c>
    </row>
    <row r="2723">
      <c r="B2723" s="15" t="n"/>
      <c r="C2723" s="16" t="n"/>
      <c r="D2723" s="17" t="n"/>
      <c r="E2723" s="17" t="n"/>
      <c r="F2723" s="17" t="n"/>
      <c r="G2723" s="17" t="n"/>
      <c r="H2723" s="18">
        <f>IF(AND(B2723="",C2723="",D2723="",E2723=""),"",IF(B2723="","⚠ Falta fecha",IF(C2723="","⚠ Falta monto",IF(D2723="","⚠ Falta categoría",IF(ISNA(MATCH(D2723,catNom,0)),"⚠ Categoría no existe",IF(E2723="","⚠ Falta cuenta",IF(ISNA(MATCH(E2723,ctaNom,0)),"⚠ Cuenta no existe",IF(AND(OR(I2723="Transferencia",I2723="Pago tarjeta"),G2723=""),"⚠ Indica la cuenta «Hacia»",IF(AND(G2723&lt;&gt;"",G2723=E2723),"⚠ «Hacia» igual a la cuenta",IF(AND(G2723&lt;&gt;"",ISNA(MATCH(G2723,ctaNom,0))),"⚠ «Hacia» no existe",IF(AND(I2723="Pago tarjeta",IFERROR(INDEX(ctaTipo,MATCH(G2723,ctaNom,0)),"")&lt;&gt;"Tarjeta de crédito"),"⚠ «Hacia» debe ser la tarjeta",IF(AND(I2723="Trading",IFERROR(INDEX(ctaTipo,MATCH(E2723,ctaNom,0)),"")&lt;&gt;"Cuenta de trading"),"⚠ Usa la cuenta de trading","✓"))))))))))))</f>
        <v/>
      </c>
      <c r="I2723" s="19">
        <f>IF(OR(B2723="",C2723="",D2723=""),"",IFERROR(INDEX(catTipo,MATCH(D2723,catNom,0))&amp;"",""))</f>
        <v/>
      </c>
      <c r="J2723" s="19">
        <f>IF(I2723="","",IFERROR(INDEX(catGrupo,MATCH(D2723,catNom,0))&amp;"",""))</f>
        <v/>
      </c>
      <c r="K2723" s="19">
        <f>IF(I2723="Gasto",IF(IFERROR(INDEX(catClas,MATCH(D2723,catNom,0))&amp;"","")="","Variable",IFERROR(INDEX(catClas,MATCH(D2723,catNom,0))&amp;"","")),"")</f>
        <v/>
      </c>
      <c r="L2723" s="19">
        <f>IF(I2723="","",IFERROR(INDEX(catAlim,MATCH(D2723,catNom,0))&amp;"",""))</f>
        <v/>
      </c>
      <c r="M2723" s="19">
        <f>IF(I2723="","",IFERROR(INDEX(catComida,MATCH(D2723,catNom,0))&amp;"",""))</f>
        <v/>
      </c>
      <c r="N2723" s="19">
        <f>IF(I2723="","",IFERROR(INDEX(ctaMon,MATCH(E2723,ctaNom,0))&amp;"","DOP"))</f>
        <v/>
      </c>
      <c r="O2723" s="20">
        <f>IF(I2723="","",C2723*IF(N2723="USD",TasaUSD,1))</f>
        <v/>
      </c>
      <c r="P2723" s="20">
        <f>IF(I2723="","",IF(I2723="Gasto",O2723,0))</f>
        <v/>
      </c>
      <c r="Q2723" s="20">
        <f>IF(I2723="","",IF(I2723="Ingreso",O2723,0))</f>
        <v/>
      </c>
      <c r="R2723" s="20">
        <f>IF(I2723="","",IF(I2723="Trading",O2723,0))</f>
        <v/>
      </c>
      <c r="S2723" s="19">
        <f>IF(I2723="","",IF(AND(I2723="Gasto",K2723="Variable",J2723&lt;&gt;"Trading",O2723&gt;0,O2723&lt;=Umbral),1,0))</f>
        <v/>
      </c>
      <c r="T2723" s="20">
        <f>IF(OR(I2723="",E2723=""),"",IF(OR(I2723="Gasto",I2723="Transferencia",I2723="Pago tarjeta"),-1,1)*C2723)</f>
        <v/>
      </c>
      <c r="U2723" s="20">
        <f>IF(OR(G2723="",AND(I2723&lt;&gt;"Transferencia",I2723&lt;&gt;"Pago tarjeta")),"",IF(IFERROR(INDEX(ctaMon,MATCH(G2723,ctaNom,0))&amp;"","DOP")=N2723,C2723,IF(N2723="USD",C2723*TasaUSD,C2723/TasaUSD)))</f>
        <v/>
      </c>
      <c r="V2723" s="20">
        <f>IF(I2723="","",IF(IFERROR(INDEX(ctaLiq,MATCH(E2723,ctaNom,0))="Sí",FALSE),IF(OR(I2723="Gasto",I2723="Transferencia",I2723="Pago tarjeta"),-1,1)*O2723,0)+IF(AND(U2723&lt;&gt;"",IFERROR(INDEX(ctaLiq,MATCH(G2723,ctaNom,0))="Sí",FALSE)),O2723,0))</f>
        <v/>
      </c>
      <c r="W2723" s="19">
        <f>IF(OR(F2723="",I2723=""),"",IF(COUNTIFS(F$6:F2723,F2723,I$6:I2723,"?*")=1,MAX(W$5:W2722)+1,""))</f>
        <v/>
      </c>
    </row>
    <row r="2724">
      <c r="B2724" s="15" t="n"/>
      <c r="C2724" s="16" t="n"/>
      <c r="D2724" s="17" t="n"/>
      <c r="E2724" s="17" t="n"/>
      <c r="F2724" s="17" t="n"/>
      <c r="G2724" s="17" t="n"/>
      <c r="H2724" s="18">
        <f>IF(AND(B2724="",C2724="",D2724="",E2724=""),"",IF(B2724="","⚠ Falta fecha",IF(C2724="","⚠ Falta monto",IF(D2724="","⚠ Falta categoría",IF(ISNA(MATCH(D2724,catNom,0)),"⚠ Categoría no existe",IF(E2724="","⚠ Falta cuenta",IF(ISNA(MATCH(E2724,ctaNom,0)),"⚠ Cuenta no existe",IF(AND(OR(I2724="Transferencia",I2724="Pago tarjeta"),G2724=""),"⚠ Indica la cuenta «Hacia»",IF(AND(G2724&lt;&gt;"",G2724=E2724),"⚠ «Hacia» igual a la cuenta",IF(AND(G2724&lt;&gt;"",ISNA(MATCH(G2724,ctaNom,0))),"⚠ «Hacia» no existe",IF(AND(I2724="Pago tarjeta",IFERROR(INDEX(ctaTipo,MATCH(G2724,ctaNom,0)),"")&lt;&gt;"Tarjeta de crédito"),"⚠ «Hacia» debe ser la tarjeta",IF(AND(I2724="Trading",IFERROR(INDEX(ctaTipo,MATCH(E2724,ctaNom,0)),"")&lt;&gt;"Cuenta de trading"),"⚠ Usa la cuenta de trading","✓"))))))))))))</f>
        <v/>
      </c>
      <c r="I2724" s="19">
        <f>IF(OR(B2724="",C2724="",D2724=""),"",IFERROR(INDEX(catTipo,MATCH(D2724,catNom,0))&amp;"",""))</f>
        <v/>
      </c>
      <c r="J2724" s="19">
        <f>IF(I2724="","",IFERROR(INDEX(catGrupo,MATCH(D2724,catNom,0))&amp;"",""))</f>
        <v/>
      </c>
      <c r="K2724" s="19">
        <f>IF(I2724="Gasto",IF(IFERROR(INDEX(catClas,MATCH(D2724,catNom,0))&amp;"","")="","Variable",IFERROR(INDEX(catClas,MATCH(D2724,catNom,0))&amp;"","")),"")</f>
        <v/>
      </c>
      <c r="L2724" s="19">
        <f>IF(I2724="","",IFERROR(INDEX(catAlim,MATCH(D2724,catNom,0))&amp;"",""))</f>
        <v/>
      </c>
      <c r="M2724" s="19">
        <f>IF(I2724="","",IFERROR(INDEX(catComida,MATCH(D2724,catNom,0))&amp;"",""))</f>
        <v/>
      </c>
      <c r="N2724" s="19">
        <f>IF(I2724="","",IFERROR(INDEX(ctaMon,MATCH(E2724,ctaNom,0))&amp;"","DOP"))</f>
        <v/>
      </c>
      <c r="O2724" s="20">
        <f>IF(I2724="","",C2724*IF(N2724="USD",TasaUSD,1))</f>
        <v/>
      </c>
      <c r="P2724" s="20">
        <f>IF(I2724="","",IF(I2724="Gasto",O2724,0))</f>
        <v/>
      </c>
      <c r="Q2724" s="20">
        <f>IF(I2724="","",IF(I2724="Ingreso",O2724,0))</f>
        <v/>
      </c>
      <c r="R2724" s="20">
        <f>IF(I2724="","",IF(I2724="Trading",O2724,0))</f>
        <v/>
      </c>
      <c r="S2724" s="19">
        <f>IF(I2724="","",IF(AND(I2724="Gasto",K2724="Variable",J2724&lt;&gt;"Trading",O2724&gt;0,O2724&lt;=Umbral),1,0))</f>
        <v/>
      </c>
      <c r="T2724" s="20">
        <f>IF(OR(I2724="",E2724=""),"",IF(OR(I2724="Gasto",I2724="Transferencia",I2724="Pago tarjeta"),-1,1)*C2724)</f>
        <v/>
      </c>
      <c r="U2724" s="20">
        <f>IF(OR(G2724="",AND(I2724&lt;&gt;"Transferencia",I2724&lt;&gt;"Pago tarjeta")),"",IF(IFERROR(INDEX(ctaMon,MATCH(G2724,ctaNom,0))&amp;"","DOP")=N2724,C2724,IF(N2724="USD",C2724*TasaUSD,C2724/TasaUSD)))</f>
        <v/>
      </c>
      <c r="V2724" s="20">
        <f>IF(I2724="","",IF(IFERROR(INDEX(ctaLiq,MATCH(E2724,ctaNom,0))="Sí",FALSE),IF(OR(I2724="Gasto",I2724="Transferencia",I2724="Pago tarjeta"),-1,1)*O2724,0)+IF(AND(U2724&lt;&gt;"",IFERROR(INDEX(ctaLiq,MATCH(G2724,ctaNom,0))="Sí",FALSE)),O2724,0))</f>
        <v/>
      </c>
      <c r="W2724" s="19">
        <f>IF(OR(F2724="",I2724=""),"",IF(COUNTIFS(F$6:F2724,F2724,I$6:I2724,"?*")=1,MAX(W$5:W2723)+1,""))</f>
        <v/>
      </c>
    </row>
    <row r="2725">
      <c r="B2725" s="15" t="n"/>
      <c r="C2725" s="16" t="n"/>
      <c r="D2725" s="17" t="n"/>
      <c r="E2725" s="17" t="n"/>
      <c r="F2725" s="17" t="n"/>
      <c r="G2725" s="17" t="n"/>
      <c r="H2725" s="18">
        <f>IF(AND(B2725="",C2725="",D2725="",E2725=""),"",IF(B2725="","⚠ Falta fecha",IF(C2725="","⚠ Falta monto",IF(D2725="","⚠ Falta categoría",IF(ISNA(MATCH(D2725,catNom,0)),"⚠ Categoría no existe",IF(E2725="","⚠ Falta cuenta",IF(ISNA(MATCH(E2725,ctaNom,0)),"⚠ Cuenta no existe",IF(AND(OR(I2725="Transferencia",I2725="Pago tarjeta"),G2725=""),"⚠ Indica la cuenta «Hacia»",IF(AND(G2725&lt;&gt;"",G2725=E2725),"⚠ «Hacia» igual a la cuenta",IF(AND(G2725&lt;&gt;"",ISNA(MATCH(G2725,ctaNom,0))),"⚠ «Hacia» no existe",IF(AND(I2725="Pago tarjeta",IFERROR(INDEX(ctaTipo,MATCH(G2725,ctaNom,0)),"")&lt;&gt;"Tarjeta de crédito"),"⚠ «Hacia» debe ser la tarjeta",IF(AND(I2725="Trading",IFERROR(INDEX(ctaTipo,MATCH(E2725,ctaNom,0)),"")&lt;&gt;"Cuenta de trading"),"⚠ Usa la cuenta de trading","✓"))))))))))))</f>
        <v/>
      </c>
      <c r="I2725" s="19">
        <f>IF(OR(B2725="",C2725="",D2725=""),"",IFERROR(INDEX(catTipo,MATCH(D2725,catNom,0))&amp;"",""))</f>
        <v/>
      </c>
      <c r="J2725" s="19">
        <f>IF(I2725="","",IFERROR(INDEX(catGrupo,MATCH(D2725,catNom,0))&amp;"",""))</f>
        <v/>
      </c>
      <c r="K2725" s="19">
        <f>IF(I2725="Gasto",IF(IFERROR(INDEX(catClas,MATCH(D2725,catNom,0))&amp;"","")="","Variable",IFERROR(INDEX(catClas,MATCH(D2725,catNom,0))&amp;"","")),"")</f>
        <v/>
      </c>
      <c r="L2725" s="19">
        <f>IF(I2725="","",IFERROR(INDEX(catAlim,MATCH(D2725,catNom,0))&amp;"",""))</f>
        <v/>
      </c>
      <c r="M2725" s="19">
        <f>IF(I2725="","",IFERROR(INDEX(catComida,MATCH(D2725,catNom,0))&amp;"",""))</f>
        <v/>
      </c>
      <c r="N2725" s="19">
        <f>IF(I2725="","",IFERROR(INDEX(ctaMon,MATCH(E2725,ctaNom,0))&amp;"","DOP"))</f>
        <v/>
      </c>
      <c r="O2725" s="20">
        <f>IF(I2725="","",C2725*IF(N2725="USD",TasaUSD,1))</f>
        <v/>
      </c>
      <c r="P2725" s="20">
        <f>IF(I2725="","",IF(I2725="Gasto",O2725,0))</f>
        <v/>
      </c>
      <c r="Q2725" s="20">
        <f>IF(I2725="","",IF(I2725="Ingreso",O2725,0))</f>
        <v/>
      </c>
      <c r="R2725" s="20">
        <f>IF(I2725="","",IF(I2725="Trading",O2725,0))</f>
        <v/>
      </c>
      <c r="S2725" s="19">
        <f>IF(I2725="","",IF(AND(I2725="Gasto",K2725="Variable",J2725&lt;&gt;"Trading",O2725&gt;0,O2725&lt;=Umbral),1,0))</f>
        <v/>
      </c>
      <c r="T2725" s="20">
        <f>IF(OR(I2725="",E2725=""),"",IF(OR(I2725="Gasto",I2725="Transferencia",I2725="Pago tarjeta"),-1,1)*C2725)</f>
        <v/>
      </c>
      <c r="U2725" s="20">
        <f>IF(OR(G2725="",AND(I2725&lt;&gt;"Transferencia",I2725&lt;&gt;"Pago tarjeta")),"",IF(IFERROR(INDEX(ctaMon,MATCH(G2725,ctaNom,0))&amp;"","DOP")=N2725,C2725,IF(N2725="USD",C2725*TasaUSD,C2725/TasaUSD)))</f>
        <v/>
      </c>
      <c r="V2725" s="20">
        <f>IF(I2725="","",IF(IFERROR(INDEX(ctaLiq,MATCH(E2725,ctaNom,0))="Sí",FALSE),IF(OR(I2725="Gasto",I2725="Transferencia",I2725="Pago tarjeta"),-1,1)*O2725,0)+IF(AND(U2725&lt;&gt;"",IFERROR(INDEX(ctaLiq,MATCH(G2725,ctaNom,0))="Sí",FALSE)),O2725,0))</f>
        <v/>
      </c>
      <c r="W2725" s="19">
        <f>IF(OR(F2725="",I2725=""),"",IF(COUNTIFS(F$6:F2725,F2725,I$6:I2725,"?*")=1,MAX(W$5:W2724)+1,""))</f>
        <v/>
      </c>
    </row>
    <row r="2726">
      <c r="B2726" s="15" t="n"/>
      <c r="C2726" s="16" t="n"/>
      <c r="D2726" s="17" t="n"/>
      <c r="E2726" s="17" t="n"/>
      <c r="F2726" s="17" t="n"/>
      <c r="G2726" s="17" t="n"/>
      <c r="H2726" s="18">
        <f>IF(AND(B2726="",C2726="",D2726="",E2726=""),"",IF(B2726="","⚠ Falta fecha",IF(C2726="","⚠ Falta monto",IF(D2726="","⚠ Falta categoría",IF(ISNA(MATCH(D2726,catNom,0)),"⚠ Categoría no existe",IF(E2726="","⚠ Falta cuenta",IF(ISNA(MATCH(E2726,ctaNom,0)),"⚠ Cuenta no existe",IF(AND(OR(I2726="Transferencia",I2726="Pago tarjeta"),G2726=""),"⚠ Indica la cuenta «Hacia»",IF(AND(G2726&lt;&gt;"",G2726=E2726),"⚠ «Hacia» igual a la cuenta",IF(AND(G2726&lt;&gt;"",ISNA(MATCH(G2726,ctaNom,0))),"⚠ «Hacia» no existe",IF(AND(I2726="Pago tarjeta",IFERROR(INDEX(ctaTipo,MATCH(G2726,ctaNom,0)),"")&lt;&gt;"Tarjeta de crédito"),"⚠ «Hacia» debe ser la tarjeta",IF(AND(I2726="Trading",IFERROR(INDEX(ctaTipo,MATCH(E2726,ctaNom,0)),"")&lt;&gt;"Cuenta de trading"),"⚠ Usa la cuenta de trading","✓"))))))))))))</f>
        <v/>
      </c>
      <c r="I2726" s="19">
        <f>IF(OR(B2726="",C2726="",D2726=""),"",IFERROR(INDEX(catTipo,MATCH(D2726,catNom,0))&amp;"",""))</f>
        <v/>
      </c>
      <c r="J2726" s="19">
        <f>IF(I2726="","",IFERROR(INDEX(catGrupo,MATCH(D2726,catNom,0))&amp;"",""))</f>
        <v/>
      </c>
      <c r="K2726" s="19">
        <f>IF(I2726="Gasto",IF(IFERROR(INDEX(catClas,MATCH(D2726,catNom,0))&amp;"","")="","Variable",IFERROR(INDEX(catClas,MATCH(D2726,catNom,0))&amp;"","")),"")</f>
        <v/>
      </c>
      <c r="L2726" s="19">
        <f>IF(I2726="","",IFERROR(INDEX(catAlim,MATCH(D2726,catNom,0))&amp;"",""))</f>
        <v/>
      </c>
      <c r="M2726" s="19">
        <f>IF(I2726="","",IFERROR(INDEX(catComida,MATCH(D2726,catNom,0))&amp;"",""))</f>
        <v/>
      </c>
      <c r="N2726" s="19">
        <f>IF(I2726="","",IFERROR(INDEX(ctaMon,MATCH(E2726,ctaNom,0))&amp;"","DOP"))</f>
        <v/>
      </c>
      <c r="O2726" s="20">
        <f>IF(I2726="","",C2726*IF(N2726="USD",TasaUSD,1))</f>
        <v/>
      </c>
      <c r="P2726" s="20">
        <f>IF(I2726="","",IF(I2726="Gasto",O2726,0))</f>
        <v/>
      </c>
      <c r="Q2726" s="20">
        <f>IF(I2726="","",IF(I2726="Ingreso",O2726,0))</f>
        <v/>
      </c>
      <c r="R2726" s="20">
        <f>IF(I2726="","",IF(I2726="Trading",O2726,0))</f>
        <v/>
      </c>
      <c r="S2726" s="19">
        <f>IF(I2726="","",IF(AND(I2726="Gasto",K2726="Variable",J2726&lt;&gt;"Trading",O2726&gt;0,O2726&lt;=Umbral),1,0))</f>
        <v/>
      </c>
      <c r="T2726" s="20">
        <f>IF(OR(I2726="",E2726=""),"",IF(OR(I2726="Gasto",I2726="Transferencia",I2726="Pago tarjeta"),-1,1)*C2726)</f>
        <v/>
      </c>
      <c r="U2726" s="20">
        <f>IF(OR(G2726="",AND(I2726&lt;&gt;"Transferencia",I2726&lt;&gt;"Pago tarjeta")),"",IF(IFERROR(INDEX(ctaMon,MATCH(G2726,ctaNom,0))&amp;"","DOP")=N2726,C2726,IF(N2726="USD",C2726*TasaUSD,C2726/TasaUSD)))</f>
        <v/>
      </c>
      <c r="V2726" s="20">
        <f>IF(I2726="","",IF(IFERROR(INDEX(ctaLiq,MATCH(E2726,ctaNom,0))="Sí",FALSE),IF(OR(I2726="Gasto",I2726="Transferencia",I2726="Pago tarjeta"),-1,1)*O2726,0)+IF(AND(U2726&lt;&gt;"",IFERROR(INDEX(ctaLiq,MATCH(G2726,ctaNom,0))="Sí",FALSE)),O2726,0))</f>
        <v/>
      </c>
      <c r="W2726" s="19">
        <f>IF(OR(F2726="",I2726=""),"",IF(COUNTIFS(F$6:F2726,F2726,I$6:I2726,"?*")=1,MAX(W$5:W2725)+1,""))</f>
        <v/>
      </c>
    </row>
    <row r="2727">
      <c r="B2727" s="15" t="n"/>
      <c r="C2727" s="16" t="n"/>
      <c r="D2727" s="17" t="n"/>
      <c r="E2727" s="17" t="n"/>
      <c r="F2727" s="17" t="n"/>
      <c r="G2727" s="17" t="n"/>
      <c r="H2727" s="18">
        <f>IF(AND(B2727="",C2727="",D2727="",E2727=""),"",IF(B2727="","⚠ Falta fecha",IF(C2727="","⚠ Falta monto",IF(D2727="","⚠ Falta categoría",IF(ISNA(MATCH(D2727,catNom,0)),"⚠ Categoría no existe",IF(E2727="","⚠ Falta cuenta",IF(ISNA(MATCH(E2727,ctaNom,0)),"⚠ Cuenta no existe",IF(AND(OR(I2727="Transferencia",I2727="Pago tarjeta"),G2727=""),"⚠ Indica la cuenta «Hacia»",IF(AND(G2727&lt;&gt;"",G2727=E2727),"⚠ «Hacia» igual a la cuenta",IF(AND(G2727&lt;&gt;"",ISNA(MATCH(G2727,ctaNom,0))),"⚠ «Hacia» no existe",IF(AND(I2727="Pago tarjeta",IFERROR(INDEX(ctaTipo,MATCH(G2727,ctaNom,0)),"")&lt;&gt;"Tarjeta de crédito"),"⚠ «Hacia» debe ser la tarjeta",IF(AND(I2727="Trading",IFERROR(INDEX(ctaTipo,MATCH(E2727,ctaNom,0)),"")&lt;&gt;"Cuenta de trading"),"⚠ Usa la cuenta de trading","✓"))))))))))))</f>
        <v/>
      </c>
      <c r="I2727" s="19">
        <f>IF(OR(B2727="",C2727="",D2727=""),"",IFERROR(INDEX(catTipo,MATCH(D2727,catNom,0))&amp;"",""))</f>
        <v/>
      </c>
      <c r="J2727" s="19">
        <f>IF(I2727="","",IFERROR(INDEX(catGrupo,MATCH(D2727,catNom,0))&amp;"",""))</f>
        <v/>
      </c>
      <c r="K2727" s="19">
        <f>IF(I2727="Gasto",IF(IFERROR(INDEX(catClas,MATCH(D2727,catNom,0))&amp;"","")="","Variable",IFERROR(INDEX(catClas,MATCH(D2727,catNom,0))&amp;"","")),"")</f>
        <v/>
      </c>
      <c r="L2727" s="19">
        <f>IF(I2727="","",IFERROR(INDEX(catAlim,MATCH(D2727,catNom,0))&amp;"",""))</f>
        <v/>
      </c>
      <c r="M2727" s="19">
        <f>IF(I2727="","",IFERROR(INDEX(catComida,MATCH(D2727,catNom,0))&amp;"",""))</f>
        <v/>
      </c>
      <c r="N2727" s="19">
        <f>IF(I2727="","",IFERROR(INDEX(ctaMon,MATCH(E2727,ctaNom,0))&amp;"","DOP"))</f>
        <v/>
      </c>
      <c r="O2727" s="20">
        <f>IF(I2727="","",C2727*IF(N2727="USD",TasaUSD,1))</f>
        <v/>
      </c>
      <c r="P2727" s="20">
        <f>IF(I2727="","",IF(I2727="Gasto",O2727,0))</f>
        <v/>
      </c>
      <c r="Q2727" s="20">
        <f>IF(I2727="","",IF(I2727="Ingreso",O2727,0))</f>
        <v/>
      </c>
      <c r="R2727" s="20">
        <f>IF(I2727="","",IF(I2727="Trading",O2727,0))</f>
        <v/>
      </c>
      <c r="S2727" s="19">
        <f>IF(I2727="","",IF(AND(I2727="Gasto",K2727="Variable",J2727&lt;&gt;"Trading",O2727&gt;0,O2727&lt;=Umbral),1,0))</f>
        <v/>
      </c>
      <c r="T2727" s="20">
        <f>IF(OR(I2727="",E2727=""),"",IF(OR(I2727="Gasto",I2727="Transferencia",I2727="Pago tarjeta"),-1,1)*C2727)</f>
        <v/>
      </c>
      <c r="U2727" s="20">
        <f>IF(OR(G2727="",AND(I2727&lt;&gt;"Transferencia",I2727&lt;&gt;"Pago tarjeta")),"",IF(IFERROR(INDEX(ctaMon,MATCH(G2727,ctaNom,0))&amp;"","DOP")=N2727,C2727,IF(N2727="USD",C2727*TasaUSD,C2727/TasaUSD)))</f>
        <v/>
      </c>
      <c r="V2727" s="20">
        <f>IF(I2727="","",IF(IFERROR(INDEX(ctaLiq,MATCH(E2727,ctaNom,0))="Sí",FALSE),IF(OR(I2727="Gasto",I2727="Transferencia",I2727="Pago tarjeta"),-1,1)*O2727,0)+IF(AND(U2727&lt;&gt;"",IFERROR(INDEX(ctaLiq,MATCH(G2727,ctaNom,0))="Sí",FALSE)),O2727,0))</f>
        <v/>
      </c>
      <c r="W2727" s="19">
        <f>IF(OR(F2727="",I2727=""),"",IF(COUNTIFS(F$6:F2727,F2727,I$6:I2727,"?*")=1,MAX(W$5:W2726)+1,""))</f>
        <v/>
      </c>
    </row>
    <row r="2728">
      <c r="B2728" s="15" t="n"/>
      <c r="C2728" s="16" t="n"/>
      <c r="D2728" s="17" t="n"/>
      <c r="E2728" s="17" t="n"/>
      <c r="F2728" s="17" t="n"/>
      <c r="G2728" s="17" t="n"/>
      <c r="H2728" s="18">
        <f>IF(AND(B2728="",C2728="",D2728="",E2728=""),"",IF(B2728="","⚠ Falta fecha",IF(C2728="","⚠ Falta monto",IF(D2728="","⚠ Falta categoría",IF(ISNA(MATCH(D2728,catNom,0)),"⚠ Categoría no existe",IF(E2728="","⚠ Falta cuenta",IF(ISNA(MATCH(E2728,ctaNom,0)),"⚠ Cuenta no existe",IF(AND(OR(I2728="Transferencia",I2728="Pago tarjeta"),G2728=""),"⚠ Indica la cuenta «Hacia»",IF(AND(G2728&lt;&gt;"",G2728=E2728),"⚠ «Hacia» igual a la cuenta",IF(AND(G2728&lt;&gt;"",ISNA(MATCH(G2728,ctaNom,0))),"⚠ «Hacia» no existe",IF(AND(I2728="Pago tarjeta",IFERROR(INDEX(ctaTipo,MATCH(G2728,ctaNom,0)),"")&lt;&gt;"Tarjeta de crédito"),"⚠ «Hacia» debe ser la tarjeta",IF(AND(I2728="Trading",IFERROR(INDEX(ctaTipo,MATCH(E2728,ctaNom,0)),"")&lt;&gt;"Cuenta de trading"),"⚠ Usa la cuenta de trading","✓"))))))))))))</f>
        <v/>
      </c>
      <c r="I2728" s="19">
        <f>IF(OR(B2728="",C2728="",D2728=""),"",IFERROR(INDEX(catTipo,MATCH(D2728,catNom,0))&amp;"",""))</f>
        <v/>
      </c>
      <c r="J2728" s="19">
        <f>IF(I2728="","",IFERROR(INDEX(catGrupo,MATCH(D2728,catNom,0))&amp;"",""))</f>
        <v/>
      </c>
      <c r="K2728" s="19">
        <f>IF(I2728="Gasto",IF(IFERROR(INDEX(catClas,MATCH(D2728,catNom,0))&amp;"","")="","Variable",IFERROR(INDEX(catClas,MATCH(D2728,catNom,0))&amp;"","")),"")</f>
        <v/>
      </c>
      <c r="L2728" s="19">
        <f>IF(I2728="","",IFERROR(INDEX(catAlim,MATCH(D2728,catNom,0))&amp;"",""))</f>
        <v/>
      </c>
      <c r="M2728" s="19">
        <f>IF(I2728="","",IFERROR(INDEX(catComida,MATCH(D2728,catNom,0))&amp;"",""))</f>
        <v/>
      </c>
      <c r="N2728" s="19">
        <f>IF(I2728="","",IFERROR(INDEX(ctaMon,MATCH(E2728,ctaNom,0))&amp;"","DOP"))</f>
        <v/>
      </c>
      <c r="O2728" s="20">
        <f>IF(I2728="","",C2728*IF(N2728="USD",TasaUSD,1))</f>
        <v/>
      </c>
      <c r="P2728" s="20">
        <f>IF(I2728="","",IF(I2728="Gasto",O2728,0))</f>
        <v/>
      </c>
      <c r="Q2728" s="20">
        <f>IF(I2728="","",IF(I2728="Ingreso",O2728,0))</f>
        <v/>
      </c>
      <c r="R2728" s="20">
        <f>IF(I2728="","",IF(I2728="Trading",O2728,0))</f>
        <v/>
      </c>
      <c r="S2728" s="19">
        <f>IF(I2728="","",IF(AND(I2728="Gasto",K2728="Variable",J2728&lt;&gt;"Trading",O2728&gt;0,O2728&lt;=Umbral),1,0))</f>
        <v/>
      </c>
      <c r="T2728" s="20">
        <f>IF(OR(I2728="",E2728=""),"",IF(OR(I2728="Gasto",I2728="Transferencia",I2728="Pago tarjeta"),-1,1)*C2728)</f>
        <v/>
      </c>
      <c r="U2728" s="20">
        <f>IF(OR(G2728="",AND(I2728&lt;&gt;"Transferencia",I2728&lt;&gt;"Pago tarjeta")),"",IF(IFERROR(INDEX(ctaMon,MATCH(G2728,ctaNom,0))&amp;"","DOP")=N2728,C2728,IF(N2728="USD",C2728*TasaUSD,C2728/TasaUSD)))</f>
        <v/>
      </c>
      <c r="V2728" s="20">
        <f>IF(I2728="","",IF(IFERROR(INDEX(ctaLiq,MATCH(E2728,ctaNom,0))="Sí",FALSE),IF(OR(I2728="Gasto",I2728="Transferencia",I2728="Pago tarjeta"),-1,1)*O2728,0)+IF(AND(U2728&lt;&gt;"",IFERROR(INDEX(ctaLiq,MATCH(G2728,ctaNom,0))="Sí",FALSE)),O2728,0))</f>
        <v/>
      </c>
      <c r="W2728" s="19">
        <f>IF(OR(F2728="",I2728=""),"",IF(COUNTIFS(F$6:F2728,F2728,I$6:I2728,"?*")=1,MAX(W$5:W2727)+1,""))</f>
        <v/>
      </c>
    </row>
    <row r="2729">
      <c r="B2729" s="15" t="n"/>
      <c r="C2729" s="16" t="n"/>
      <c r="D2729" s="17" t="n"/>
      <c r="E2729" s="17" t="n"/>
      <c r="F2729" s="17" t="n"/>
      <c r="G2729" s="17" t="n"/>
      <c r="H2729" s="18">
        <f>IF(AND(B2729="",C2729="",D2729="",E2729=""),"",IF(B2729="","⚠ Falta fecha",IF(C2729="","⚠ Falta monto",IF(D2729="","⚠ Falta categoría",IF(ISNA(MATCH(D2729,catNom,0)),"⚠ Categoría no existe",IF(E2729="","⚠ Falta cuenta",IF(ISNA(MATCH(E2729,ctaNom,0)),"⚠ Cuenta no existe",IF(AND(OR(I2729="Transferencia",I2729="Pago tarjeta"),G2729=""),"⚠ Indica la cuenta «Hacia»",IF(AND(G2729&lt;&gt;"",G2729=E2729),"⚠ «Hacia» igual a la cuenta",IF(AND(G2729&lt;&gt;"",ISNA(MATCH(G2729,ctaNom,0))),"⚠ «Hacia» no existe",IF(AND(I2729="Pago tarjeta",IFERROR(INDEX(ctaTipo,MATCH(G2729,ctaNom,0)),"")&lt;&gt;"Tarjeta de crédito"),"⚠ «Hacia» debe ser la tarjeta",IF(AND(I2729="Trading",IFERROR(INDEX(ctaTipo,MATCH(E2729,ctaNom,0)),"")&lt;&gt;"Cuenta de trading"),"⚠ Usa la cuenta de trading","✓"))))))))))))</f>
        <v/>
      </c>
      <c r="I2729" s="19">
        <f>IF(OR(B2729="",C2729="",D2729=""),"",IFERROR(INDEX(catTipo,MATCH(D2729,catNom,0))&amp;"",""))</f>
        <v/>
      </c>
      <c r="J2729" s="19">
        <f>IF(I2729="","",IFERROR(INDEX(catGrupo,MATCH(D2729,catNom,0))&amp;"",""))</f>
        <v/>
      </c>
      <c r="K2729" s="19">
        <f>IF(I2729="Gasto",IF(IFERROR(INDEX(catClas,MATCH(D2729,catNom,0))&amp;"","")="","Variable",IFERROR(INDEX(catClas,MATCH(D2729,catNom,0))&amp;"","")),"")</f>
        <v/>
      </c>
      <c r="L2729" s="19">
        <f>IF(I2729="","",IFERROR(INDEX(catAlim,MATCH(D2729,catNom,0))&amp;"",""))</f>
        <v/>
      </c>
      <c r="M2729" s="19">
        <f>IF(I2729="","",IFERROR(INDEX(catComida,MATCH(D2729,catNom,0))&amp;"",""))</f>
        <v/>
      </c>
      <c r="N2729" s="19">
        <f>IF(I2729="","",IFERROR(INDEX(ctaMon,MATCH(E2729,ctaNom,0))&amp;"","DOP"))</f>
        <v/>
      </c>
      <c r="O2729" s="20">
        <f>IF(I2729="","",C2729*IF(N2729="USD",TasaUSD,1))</f>
        <v/>
      </c>
      <c r="P2729" s="20">
        <f>IF(I2729="","",IF(I2729="Gasto",O2729,0))</f>
        <v/>
      </c>
      <c r="Q2729" s="20">
        <f>IF(I2729="","",IF(I2729="Ingreso",O2729,0))</f>
        <v/>
      </c>
      <c r="R2729" s="20">
        <f>IF(I2729="","",IF(I2729="Trading",O2729,0))</f>
        <v/>
      </c>
      <c r="S2729" s="19">
        <f>IF(I2729="","",IF(AND(I2729="Gasto",K2729="Variable",J2729&lt;&gt;"Trading",O2729&gt;0,O2729&lt;=Umbral),1,0))</f>
        <v/>
      </c>
      <c r="T2729" s="20">
        <f>IF(OR(I2729="",E2729=""),"",IF(OR(I2729="Gasto",I2729="Transferencia",I2729="Pago tarjeta"),-1,1)*C2729)</f>
        <v/>
      </c>
      <c r="U2729" s="20">
        <f>IF(OR(G2729="",AND(I2729&lt;&gt;"Transferencia",I2729&lt;&gt;"Pago tarjeta")),"",IF(IFERROR(INDEX(ctaMon,MATCH(G2729,ctaNom,0))&amp;"","DOP")=N2729,C2729,IF(N2729="USD",C2729*TasaUSD,C2729/TasaUSD)))</f>
        <v/>
      </c>
      <c r="V2729" s="20">
        <f>IF(I2729="","",IF(IFERROR(INDEX(ctaLiq,MATCH(E2729,ctaNom,0))="Sí",FALSE),IF(OR(I2729="Gasto",I2729="Transferencia",I2729="Pago tarjeta"),-1,1)*O2729,0)+IF(AND(U2729&lt;&gt;"",IFERROR(INDEX(ctaLiq,MATCH(G2729,ctaNom,0))="Sí",FALSE)),O2729,0))</f>
        <v/>
      </c>
      <c r="W2729" s="19">
        <f>IF(OR(F2729="",I2729=""),"",IF(COUNTIFS(F$6:F2729,F2729,I$6:I2729,"?*")=1,MAX(W$5:W2728)+1,""))</f>
        <v/>
      </c>
    </row>
    <row r="2730">
      <c r="B2730" s="15" t="n"/>
      <c r="C2730" s="16" t="n"/>
      <c r="D2730" s="17" t="n"/>
      <c r="E2730" s="17" t="n"/>
      <c r="F2730" s="17" t="n"/>
      <c r="G2730" s="17" t="n"/>
      <c r="H2730" s="18">
        <f>IF(AND(B2730="",C2730="",D2730="",E2730=""),"",IF(B2730="","⚠ Falta fecha",IF(C2730="","⚠ Falta monto",IF(D2730="","⚠ Falta categoría",IF(ISNA(MATCH(D2730,catNom,0)),"⚠ Categoría no existe",IF(E2730="","⚠ Falta cuenta",IF(ISNA(MATCH(E2730,ctaNom,0)),"⚠ Cuenta no existe",IF(AND(OR(I2730="Transferencia",I2730="Pago tarjeta"),G2730=""),"⚠ Indica la cuenta «Hacia»",IF(AND(G2730&lt;&gt;"",G2730=E2730),"⚠ «Hacia» igual a la cuenta",IF(AND(G2730&lt;&gt;"",ISNA(MATCH(G2730,ctaNom,0))),"⚠ «Hacia» no existe",IF(AND(I2730="Pago tarjeta",IFERROR(INDEX(ctaTipo,MATCH(G2730,ctaNom,0)),"")&lt;&gt;"Tarjeta de crédito"),"⚠ «Hacia» debe ser la tarjeta",IF(AND(I2730="Trading",IFERROR(INDEX(ctaTipo,MATCH(E2730,ctaNom,0)),"")&lt;&gt;"Cuenta de trading"),"⚠ Usa la cuenta de trading","✓"))))))))))))</f>
        <v/>
      </c>
      <c r="I2730" s="19">
        <f>IF(OR(B2730="",C2730="",D2730=""),"",IFERROR(INDEX(catTipo,MATCH(D2730,catNom,0))&amp;"",""))</f>
        <v/>
      </c>
      <c r="J2730" s="19">
        <f>IF(I2730="","",IFERROR(INDEX(catGrupo,MATCH(D2730,catNom,0))&amp;"",""))</f>
        <v/>
      </c>
      <c r="K2730" s="19">
        <f>IF(I2730="Gasto",IF(IFERROR(INDEX(catClas,MATCH(D2730,catNom,0))&amp;"","")="","Variable",IFERROR(INDEX(catClas,MATCH(D2730,catNom,0))&amp;"","")),"")</f>
        <v/>
      </c>
      <c r="L2730" s="19">
        <f>IF(I2730="","",IFERROR(INDEX(catAlim,MATCH(D2730,catNom,0))&amp;"",""))</f>
        <v/>
      </c>
      <c r="M2730" s="19">
        <f>IF(I2730="","",IFERROR(INDEX(catComida,MATCH(D2730,catNom,0))&amp;"",""))</f>
        <v/>
      </c>
      <c r="N2730" s="19">
        <f>IF(I2730="","",IFERROR(INDEX(ctaMon,MATCH(E2730,ctaNom,0))&amp;"","DOP"))</f>
        <v/>
      </c>
      <c r="O2730" s="20">
        <f>IF(I2730="","",C2730*IF(N2730="USD",TasaUSD,1))</f>
        <v/>
      </c>
      <c r="P2730" s="20">
        <f>IF(I2730="","",IF(I2730="Gasto",O2730,0))</f>
        <v/>
      </c>
      <c r="Q2730" s="20">
        <f>IF(I2730="","",IF(I2730="Ingreso",O2730,0))</f>
        <v/>
      </c>
      <c r="R2730" s="20">
        <f>IF(I2730="","",IF(I2730="Trading",O2730,0))</f>
        <v/>
      </c>
      <c r="S2730" s="19">
        <f>IF(I2730="","",IF(AND(I2730="Gasto",K2730="Variable",J2730&lt;&gt;"Trading",O2730&gt;0,O2730&lt;=Umbral),1,0))</f>
        <v/>
      </c>
      <c r="T2730" s="20">
        <f>IF(OR(I2730="",E2730=""),"",IF(OR(I2730="Gasto",I2730="Transferencia",I2730="Pago tarjeta"),-1,1)*C2730)</f>
        <v/>
      </c>
      <c r="U2730" s="20">
        <f>IF(OR(G2730="",AND(I2730&lt;&gt;"Transferencia",I2730&lt;&gt;"Pago tarjeta")),"",IF(IFERROR(INDEX(ctaMon,MATCH(G2730,ctaNom,0))&amp;"","DOP")=N2730,C2730,IF(N2730="USD",C2730*TasaUSD,C2730/TasaUSD)))</f>
        <v/>
      </c>
      <c r="V2730" s="20">
        <f>IF(I2730="","",IF(IFERROR(INDEX(ctaLiq,MATCH(E2730,ctaNom,0))="Sí",FALSE),IF(OR(I2730="Gasto",I2730="Transferencia",I2730="Pago tarjeta"),-1,1)*O2730,0)+IF(AND(U2730&lt;&gt;"",IFERROR(INDEX(ctaLiq,MATCH(G2730,ctaNom,0))="Sí",FALSE)),O2730,0))</f>
        <v/>
      </c>
      <c r="W2730" s="19">
        <f>IF(OR(F2730="",I2730=""),"",IF(COUNTIFS(F$6:F2730,F2730,I$6:I2730,"?*")=1,MAX(W$5:W2729)+1,""))</f>
        <v/>
      </c>
    </row>
    <row r="2731">
      <c r="B2731" s="15" t="n"/>
      <c r="C2731" s="16" t="n"/>
      <c r="D2731" s="17" t="n"/>
      <c r="E2731" s="17" t="n"/>
      <c r="F2731" s="17" t="n"/>
      <c r="G2731" s="17" t="n"/>
      <c r="H2731" s="18">
        <f>IF(AND(B2731="",C2731="",D2731="",E2731=""),"",IF(B2731="","⚠ Falta fecha",IF(C2731="","⚠ Falta monto",IF(D2731="","⚠ Falta categoría",IF(ISNA(MATCH(D2731,catNom,0)),"⚠ Categoría no existe",IF(E2731="","⚠ Falta cuenta",IF(ISNA(MATCH(E2731,ctaNom,0)),"⚠ Cuenta no existe",IF(AND(OR(I2731="Transferencia",I2731="Pago tarjeta"),G2731=""),"⚠ Indica la cuenta «Hacia»",IF(AND(G2731&lt;&gt;"",G2731=E2731),"⚠ «Hacia» igual a la cuenta",IF(AND(G2731&lt;&gt;"",ISNA(MATCH(G2731,ctaNom,0))),"⚠ «Hacia» no existe",IF(AND(I2731="Pago tarjeta",IFERROR(INDEX(ctaTipo,MATCH(G2731,ctaNom,0)),"")&lt;&gt;"Tarjeta de crédito"),"⚠ «Hacia» debe ser la tarjeta",IF(AND(I2731="Trading",IFERROR(INDEX(ctaTipo,MATCH(E2731,ctaNom,0)),"")&lt;&gt;"Cuenta de trading"),"⚠ Usa la cuenta de trading","✓"))))))))))))</f>
        <v/>
      </c>
      <c r="I2731" s="19">
        <f>IF(OR(B2731="",C2731="",D2731=""),"",IFERROR(INDEX(catTipo,MATCH(D2731,catNom,0))&amp;"",""))</f>
        <v/>
      </c>
      <c r="J2731" s="19">
        <f>IF(I2731="","",IFERROR(INDEX(catGrupo,MATCH(D2731,catNom,0))&amp;"",""))</f>
        <v/>
      </c>
      <c r="K2731" s="19">
        <f>IF(I2731="Gasto",IF(IFERROR(INDEX(catClas,MATCH(D2731,catNom,0))&amp;"","")="","Variable",IFERROR(INDEX(catClas,MATCH(D2731,catNom,0))&amp;"","")),"")</f>
        <v/>
      </c>
      <c r="L2731" s="19">
        <f>IF(I2731="","",IFERROR(INDEX(catAlim,MATCH(D2731,catNom,0))&amp;"",""))</f>
        <v/>
      </c>
      <c r="M2731" s="19">
        <f>IF(I2731="","",IFERROR(INDEX(catComida,MATCH(D2731,catNom,0))&amp;"",""))</f>
        <v/>
      </c>
      <c r="N2731" s="19">
        <f>IF(I2731="","",IFERROR(INDEX(ctaMon,MATCH(E2731,ctaNom,0))&amp;"","DOP"))</f>
        <v/>
      </c>
      <c r="O2731" s="20">
        <f>IF(I2731="","",C2731*IF(N2731="USD",TasaUSD,1))</f>
        <v/>
      </c>
      <c r="P2731" s="20">
        <f>IF(I2731="","",IF(I2731="Gasto",O2731,0))</f>
        <v/>
      </c>
      <c r="Q2731" s="20">
        <f>IF(I2731="","",IF(I2731="Ingreso",O2731,0))</f>
        <v/>
      </c>
      <c r="R2731" s="20">
        <f>IF(I2731="","",IF(I2731="Trading",O2731,0))</f>
        <v/>
      </c>
      <c r="S2731" s="19">
        <f>IF(I2731="","",IF(AND(I2731="Gasto",K2731="Variable",J2731&lt;&gt;"Trading",O2731&gt;0,O2731&lt;=Umbral),1,0))</f>
        <v/>
      </c>
      <c r="T2731" s="20">
        <f>IF(OR(I2731="",E2731=""),"",IF(OR(I2731="Gasto",I2731="Transferencia",I2731="Pago tarjeta"),-1,1)*C2731)</f>
        <v/>
      </c>
      <c r="U2731" s="20">
        <f>IF(OR(G2731="",AND(I2731&lt;&gt;"Transferencia",I2731&lt;&gt;"Pago tarjeta")),"",IF(IFERROR(INDEX(ctaMon,MATCH(G2731,ctaNom,0))&amp;"","DOP")=N2731,C2731,IF(N2731="USD",C2731*TasaUSD,C2731/TasaUSD)))</f>
        <v/>
      </c>
      <c r="V2731" s="20">
        <f>IF(I2731="","",IF(IFERROR(INDEX(ctaLiq,MATCH(E2731,ctaNom,0))="Sí",FALSE),IF(OR(I2731="Gasto",I2731="Transferencia",I2731="Pago tarjeta"),-1,1)*O2731,0)+IF(AND(U2731&lt;&gt;"",IFERROR(INDEX(ctaLiq,MATCH(G2731,ctaNom,0))="Sí",FALSE)),O2731,0))</f>
        <v/>
      </c>
      <c r="W2731" s="19">
        <f>IF(OR(F2731="",I2731=""),"",IF(COUNTIFS(F$6:F2731,F2731,I$6:I2731,"?*")=1,MAX(W$5:W2730)+1,""))</f>
        <v/>
      </c>
    </row>
    <row r="2732">
      <c r="B2732" s="15" t="n"/>
      <c r="C2732" s="16" t="n"/>
      <c r="D2732" s="17" t="n"/>
      <c r="E2732" s="17" t="n"/>
      <c r="F2732" s="17" t="n"/>
      <c r="G2732" s="17" t="n"/>
      <c r="H2732" s="18">
        <f>IF(AND(B2732="",C2732="",D2732="",E2732=""),"",IF(B2732="","⚠ Falta fecha",IF(C2732="","⚠ Falta monto",IF(D2732="","⚠ Falta categoría",IF(ISNA(MATCH(D2732,catNom,0)),"⚠ Categoría no existe",IF(E2732="","⚠ Falta cuenta",IF(ISNA(MATCH(E2732,ctaNom,0)),"⚠ Cuenta no existe",IF(AND(OR(I2732="Transferencia",I2732="Pago tarjeta"),G2732=""),"⚠ Indica la cuenta «Hacia»",IF(AND(G2732&lt;&gt;"",G2732=E2732),"⚠ «Hacia» igual a la cuenta",IF(AND(G2732&lt;&gt;"",ISNA(MATCH(G2732,ctaNom,0))),"⚠ «Hacia» no existe",IF(AND(I2732="Pago tarjeta",IFERROR(INDEX(ctaTipo,MATCH(G2732,ctaNom,0)),"")&lt;&gt;"Tarjeta de crédito"),"⚠ «Hacia» debe ser la tarjeta",IF(AND(I2732="Trading",IFERROR(INDEX(ctaTipo,MATCH(E2732,ctaNom,0)),"")&lt;&gt;"Cuenta de trading"),"⚠ Usa la cuenta de trading","✓"))))))))))))</f>
        <v/>
      </c>
      <c r="I2732" s="19">
        <f>IF(OR(B2732="",C2732="",D2732=""),"",IFERROR(INDEX(catTipo,MATCH(D2732,catNom,0))&amp;"",""))</f>
        <v/>
      </c>
      <c r="J2732" s="19">
        <f>IF(I2732="","",IFERROR(INDEX(catGrupo,MATCH(D2732,catNom,0))&amp;"",""))</f>
        <v/>
      </c>
      <c r="K2732" s="19">
        <f>IF(I2732="Gasto",IF(IFERROR(INDEX(catClas,MATCH(D2732,catNom,0))&amp;"","")="","Variable",IFERROR(INDEX(catClas,MATCH(D2732,catNom,0))&amp;"","")),"")</f>
        <v/>
      </c>
      <c r="L2732" s="19">
        <f>IF(I2732="","",IFERROR(INDEX(catAlim,MATCH(D2732,catNom,0))&amp;"",""))</f>
        <v/>
      </c>
      <c r="M2732" s="19">
        <f>IF(I2732="","",IFERROR(INDEX(catComida,MATCH(D2732,catNom,0))&amp;"",""))</f>
        <v/>
      </c>
      <c r="N2732" s="19">
        <f>IF(I2732="","",IFERROR(INDEX(ctaMon,MATCH(E2732,ctaNom,0))&amp;"","DOP"))</f>
        <v/>
      </c>
      <c r="O2732" s="20">
        <f>IF(I2732="","",C2732*IF(N2732="USD",TasaUSD,1))</f>
        <v/>
      </c>
      <c r="P2732" s="20">
        <f>IF(I2732="","",IF(I2732="Gasto",O2732,0))</f>
        <v/>
      </c>
      <c r="Q2732" s="20">
        <f>IF(I2732="","",IF(I2732="Ingreso",O2732,0))</f>
        <v/>
      </c>
      <c r="R2732" s="20">
        <f>IF(I2732="","",IF(I2732="Trading",O2732,0))</f>
        <v/>
      </c>
      <c r="S2732" s="19">
        <f>IF(I2732="","",IF(AND(I2732="Gasto",K2732="Variable",J2732&lt;&gt;"Trading",O2732&gt;0,O2732&lt;=Umbral),1,0))</f>
        <v/>
      </c>
      <c r="T2732" s="20">
        <f>IF(OR(I2732="",E2732=""),"",IF(OR(I2732="Gasto",I2732="Transferencia",I2732="Pago tarjeta"),-1,1)*C2732)</f>
        <v/>
      </c>
      <c r="U2732" s="20">
        <f>IF(OR(G2732="",AND(I2732&lt;&gt;"Transferencia",I2732&lt;&gt;"Pago tarjeta")),"",IF(IFERROR(INDEX(ctaMon,MATCH(G2732,ctaNom,0))&amp;"","DOP")=N2732,C2732,IF(N2732="USD",C2732*TasaUSD,C2732/TasaUSD)))</f>
        <v/>
      </c>
      <c r="V2732" s="20">
        <f>IF(I2732="","",IF(IFERROR(INDEX(ctaLiq,MATCH(E2732,ctaNom,0))="Sí",FALSE),IF(OR(I2732="Gasto",I2732="Transferencia",I2732="Pago tarjeta"),-1,1)*O2732,0)+IF(AND(U2732&lt;&gt;"",IFERROR(INDEX(ctaLiq,MATCH(G2732,ctaNom,0))="Sí",FALSE)),O2732,0))</f>
        <v/>
      </c>
      <c r="W2732" s="19">
        <f>IF(OR(F2732="",I2732=""),"",IF(COUNTIFS(F$6:F2732,F2732,I$6:I2732,"?*")=1,MAX(W$5:W2731)+1,""))</f>
        <v/>
      </c>
    </row>
    <row r="2733">
      <c r="B2733" s="15" t="n"/>
      <c r="C2733" s="16" t="n"/>
      <c r="D2733" s="17" t="n"/>
      <c r="E2733" s="17" t="n"/>
      <c r="F2733" s="17" t="n"/>
      <c r="G2733" s="17" t="n"/>
      <c r="H2733" s="18">
        <f>IF(AND(B2733="",C2733="",D2733="",E2733=""),"",IF(B2733="","⚠ Falta fecha",IF(C2733="","⚠ Falta monto",IF(D2733="","⚠ Falta categoría",IF(ISNA(MATCH(D2733,catNom,0)),"⚠ Categoría no existe",IF(E2733="","⚠ Falta cuenta",IF(ISNA(MATCH(E2733,ctaNom,0)),"⚠ Cuenta no existe",IF(AND(OR(I2733="Transferencia",I2733="Pago tarjeta"),G2733=""),"⚠ Indica la cuenta «Hacia»",IF(AND(G2733&lt;&gt;"",G2733=E2733),"⚠ «Hacia» igual a la cuenta",IF(AND(G2733&lt;&gt;"",ISNA(MATCH(G2733,ctaNom,0))),"⚠ «Hacia» no existe",IF(AND(I2733="Pago tarjeta",IFERROR(INDEX(ctaTipo,MATCH(G2733,ctaNom,0)),"")&lt;&gt;"Tarjeta de crédito"),"⚠ «Hacia» debe ser la tarjeta",IF(AND(I2733="Trading",IFERROR(INDEX(ctaTipo,MATCH(E2733,ctaNom,0)),"")&lt;&gt;"Cuenta de trading"),"⚠ Usa la cuenta de trading","✓"))))))))))))</f>
        <v/>
      </c>
      <c r="I2733" s="19">
        <f>IF(OR(B2733="",C2733="",D2733=""),"",IFERROR(INDEX(catTipo,MATCH(D2733,catNom,0))&amp;"",""))</f>
        <v/>
      </c>
      <c r="J2733" s="19">
        <f>IF(I2733="","",IFERROR(INDEX(catGrupo,MATCH(D2733,catNom,0))&amp;"",""))</f>
        <v/>
      </c>
      <c r="K2733" s="19">
        <f>IF(I2733="Gasto",IF(IFERROR(INDEX(catClas,MATCH(D2733,catNom,0))&amp;"","")="","Variable",IFERROR(INDEX(catClas,MATCH(D2733,catNom,0))&amp;"","")),"")</f>
        <v/>
      </c>
      <c r="L2733" s="19">
        <f>IF(I2733="","",IFERROR(INDEX(catAlim,MATCH(D2733,catNom,0))&amp;"",""))</f>
        <v/>
      </c>
      <c r="M2733" s="19">
        <f>IF(I2733="","",IFERROR(INDEX(catComida,MATCH(D2733,catNom,0))&amp;"",""))</f>
        <v/>
      </c>
      <c r="N2733" s="19">
        <f>IF(I2733="","",IFERROR(INDEX(ctaMon,MATCH(E2733,ctaNom,0))&amp;"","DOP"))</f>
        <v/>
      </c>
      <c r="O2733" s="20">
        <f>IF(I2733="","",C2733*IF(N2733="USD",TasaUSD,1))</f>
        <v/>
      </c>
      <c r="P2733" s="20">
        <f>IF(I2733="","",IF(I2733="Gasto",O2733,0))</f>
        <v/>
      </c>
      <c r="Q2733" s="20">
        <f>IF(I2733="","",IF(I2733="Ingreso",O2733,0))</f>
        <v/>
      </c>
      <c r="R2733" s="20">
        <f>IF(I2733="","",IF(I2733="Trading",O2733,0))</f>
        <v/>
      </c>
      <c r="S2733" s="19">
        <f>IF(I2733="","",IF(AND(I2733="Gasto",K2733="Variable",J2733&lt;&gt;"Trading",O2733&gt;0,O2733&lt;=Umbral),1,0))</f>
        <v/>
      </c>
      <c r="T2733" s="20">
        <f>IF(OR(I2733="",E2733=""),"",IF(OR(I2733="Gasto",I2733="Transferencia",I2733="Pago tarjeta"),-1,1)*C2733)</f>
        <v/>
      </c>
      <c r="U2733" s="20">
        <f>IF(OR(G2733="",AND(I2733&lt;&gt;"Transferencia",I2733&lt;&gt;"Pago tarjeta")),"",IF(IFERROR(INDEX(ctaMon,MATCH(G2733,ctaNom,0))&amp;"","DOP")=N2733,C2733,IF(N2733="USD",C2733*TasaUSD,C2733/TasaUSD)))</f>
        <v/>
      </c>
      <c r="V2733" s="20">
        <f>IF(I2733="","",IF(IFERROR(INDEX(ctaLiq,MATCH(E2733,ctaNom,0))="Sí",FALSE),IF(OR(I2733="Gasto",I2733="Transferencia",I2733="Pago tarjeta"),-1,1)*O2733,0)+IF(AND(U2733&lt;&gt;"",IFERROR(INDEX(ctaLiq,MATCH(G2733,ctaNom,0))="Sí",FALSE)),O2733,0))</f>
        <v/>
      </c>
      <c r="W2733" s="19">
        <f>IF(OR(F2733="",I2733=""),"",IF(COUNTIFS(F$6:F2733,F2733,I$6:I2733,"?*")=1,MAX(W$5:W2732)+1,""))</f>
        <v/>
      </c>
    </row>
    <row r="2734">
      <c r="B2734" s="15" t="n"/>
      <c r="C2734" s="16" t="n"/>
      <c r="D2734" s="17" t="n"/>
      <c r="E2734" s="17" t="n"/>
      <c r="F2734" s="17" t="n"/>
      <c r="G2734" s="17" t="n"/>
      <c r="H2734" s="18">
        <f>IF(AND(B2734="",C2734="",D2734="",E2734=""),"",IF(B2734="","⚠ Falta fecha",IF(C2734="","⚠ Falta monto",IF(D2734="","⚠ Falta categoría",IF(ISNA(MATCH(D2734,catNom,0)),"⚠ Categoría no existe",IF(E2734="","⚠ Falta cuenta",IF(ISNA(MATCH(E2734,ctaNom,0)),"⚠ Cuenta no existe",IF(AND(OR(I2734="Transferencia",I2734="Pago tarjeta"),G2734=""),"⚠ Indica la cuenta «Hacia»",IF(AND(G2734&lt;&gt;"",G2734=E2734),"⚠ «Hacia» igual a la cuenta",IF(AND(G2734&lt;&gt;"",ISNA(MATCH(G2734,ctaNom,0))),"⚠ «Hacia» no existe",IF(AND(I2734="Pago tarjeta",IFERROR(INDEX(ctaTipo,MATCH(G2734,ctaNom,0)),"")&lt;&gt;"Tarjeta de crédito"),"⚠ «Hacia» debe ser la tarjeta",IF(AND(I2734="Trading",IFERROR(INDEX(ctaTipo,MATCH(E2734,ctaNom,0)),"")&lt;&gt;"Cuenta de trading"),"⚠ Usa la cuenta de trading","✓"))))))))))))</f>
        <v/>
      </c>
      <c r="I2734" s="19">
        <f>IF(OR(B2734="",C2734="",D2734=""),"",IFERROR(INDEX(catTipo,MATCH(D2734,catNom,0))&amp;"",""))</f>
        <v/>
      </c>
      <c r="J2734" s="19">
        <f>IF(I2734="","",IFERROR(INDEX(catGrupo,MATCH(D2734,catNom,0))&amp;"",""))</f>
        <v/>
      </c>
      <c r="K2734" s="19">
        <f>IF(I2734="Gasto",IF(IFERROR(INDEX(catClas,MATCH(D2734,catNom,0))&amp;"","")="","Variable",IFERROR(INDEX(catClas,MATCH(D2734,catNom,0))&amp;"","")),"")</f>
        <v/>
      </c>
      <c r="L2734" s="19">
        <f>IF(I2734="","",IFERROR(INDEX(catAlim,MATCH(D2734,catNom,0))&amp;"",""))</f>
        <v/>
      </c>
      <c r="M2734" s="19">
        <f>IF(I2734="","",IFERROR(INDEX(catComida,MATCH(D2734,catNom,0))&amp;"",""))</f>
        <v/>
      </c>
      <c r="N2734" s="19">
        <f>IF(I2734="","",IFERROR(INDEX(ctaMon,MATCH(E2734,ctaNom,0))&amp;"","DOP"))</f>
        <v/>
      </c>
      <c r="O2734" s="20">
        <f>IF(I2734="","",C2734*IF(N2734="USD",TasaUSD,1))</f>
        <v/>
      </c>
      <c r="P2734" s="20">
        <f>IF(I2734="","",IF(I2734="Gasto",O2734,0))</f>
        <v/>
      </c>
      <c r="Q2734" s="20">
        <f>IF(I2734="","",IF(I2734="Ingreso",O2734,0))</f>
        <v/>
      </c>
      <c r="R2734" s="20">
        <f>IF(I2734="","",IF(I2734="Trading",O2734,0))</f>
        <v/>
      </c>
      <c r="S2734" s="19">
        <f>IF(I2734="","",IF(AND(I2734="Gasto",K2734="Variable",J2734&lt;&gt;"Trading",O2734&gt;0,O2734&lt;=Umbral),1,0))</f>
        <v/>
      </c>
      <c r="T2734" s="20">
        <f>IF(OR(I2734="",E2734=""),"",IF(OR(I2734="Gasto",I2734="Transferencia",I2734="Pago tarjeta"),-1,1)*C2734)</f>
        <v/>
      </c>
      <c r="U2734" s="20">
        <f>IF(OR(G2734="",AND(I2734&lt;&gt;"Transferencia",I2734&lt;&gt;"Pago tarjeta")),"",IF(IFERROR(INDEX(ctaMon,MATCH(G2734,ctaNom,0))&amp;"","DOP")=N2734,C2734,IF(N2734="USD",C2734*TasaUSD,C2734/TasaUSD)))</f>
        <v/>
      </c>
      <c r="V2734" s="20">
        <f>IF(I2734="","",IF(IFERROR(INDEX(ctaLiq,MATCH(E2734,ctaNom,0))="Sí",FALSE),IF(OR(I2734="Gasto",I2734="Transferencia",I2734="Pago tarjeta"),-1,1)*O2734,0)+IF(AND(U2734&lt;&gt;"",IFERROR(INDEX(ctaLiq,MATCH(G2734,ctaNom,0))="Sí",FALSE)),O2734,0))</f>
        <v/>
      </c>
      <c r="W2734" s="19">
        <f>IF(OR(F2734="",I2734=""),"",IF(COUNTIFS(F$6:F2734,F2734,I$6:I2734,"?*")=1,MAX(W$5:W2733)+1,""))</f>
        <v/>
      </c>
    </row>
    <row r="2735">
      <c r="B2735" s="15" t="n"/>
      <c r="C2735" s="16" t="n"/>
      <c r="D2735" s="17" t="n"/>
      <c r="E2735" s="17" t="n"/>
      <c r="F2735" s="17" t="n"/>
      <c r="G2735" s="17" t="n"/>
      <c r="H2735" s="18">
        <f>IF(AND(B2735="",C2735="",D2735="",E2735=""),"",IF(B2735="","⚠ Falta fecha",IF(C2735="","⚠ Falta monto",IF(D2735="","⚠ Falta categoría",IF(ISNA(MATCH(D2735,catNom,0)),"⚠ Categoría no existe",IF(E2735="","⚠ Falta cuenta",IF(ISNA(MATCH(E2735,ctaNom,0)),"⚠ Cuenta no existe",IF(AND(OR(I2735="Transferencia",I2735="Pago tarjeta"),G2735=""),"⚠ Indica la cuenta «Hacia»",IF(AND(G2735&lt;&gt;"",G2735=E2735),"⚠ «Hacia» igual a la cuenta",IF(AND(G2735&lt;&gt;"",ISNA(MATCH(G2735,ctaNom,0))),"⚠ «Hacia» no existe",IF(AND(I2735="Pago tarjeta",IFERROR(INDEX(ctaTipo,MATCH(G2735,ctaNom,0)),"")&lt;&gt;"Tarjeta de crédito"),"⚠ «Hacia» debe ser la tarjeta",IF(AND(I2735="Trading",IFERROR(INDEX(ctaTipo,MATCH(E2735,ctaNom,0)),"")&lt;&gt;"Cuenta de trading"),"⚠ Usa la cuenta de trading","✓"))))))))))))</f>
        <v/>
      </c>
      <c r="I2735" s="19">
        <f>IF(OR(B2735="",C2735="",D2735=""),"",IFERROR(INDEX(catTipo,MATCH(D2735,catNom,0))&amp;"",""))</f>
        <v/>
      </c>
      <c r="J2735" s="19">
        <f>IF(I2735="","",IFERROR(INDEX(catGrupo,MATCH(D2735,catNom,0))&amp;"",""))</f>
        <v/>
      </c>
      <c r="K2735" s="19">
        <f>IF(I2735="Gasto",IF(IFERROR(INDEX(catClas,MATCH(D2735,catNom,0))&amp;"","")="","Variable",IFERROR(INDEX(catClas,MATCH(D2735,catNom,0))&amp;"","")),"")</f>
        <v/>
      </c>
      <c r="L2735" s="19">
        <f>IF(I2735="","",IFERROR(INDEX(catAlim,MATCH(D2735,catNom,0))&amp;"",""))</f>
        <v/>
      </c>
      <c r="M2735" s="19">
        <f>IF(I2735="","",IFERROR(INDEX(catComida,MATCH(D2735,catNom,0))&amp;"",""))</f>
        <v/>
      </c>
      <c r="N2735" s="19">
        <f>IF(I2735="","",IFERROR(INDEX(ctaMon,MATCH(E2735,ctaNom,0))&amp;"","DOP"))</f>
        <v/>
      </c>
      <c r="O2735" s="20">
        <f>IF(I2735="","",C2735*IF(N2735="USD",TasaUSD,1))</f>
        <v/>
      </c>
      <c r="P2735" s="20">
        <f>IF(I2735="","",IF(I2735="Gasto",O2735,0))</f>
        <v/>
      </c>
      <c r="Q2735" s="20">
        <f>IF(I2735="","",IF(I2735="Ingreso",O2735,0))</f>
        <v/>
      </c>
      <c r="R2735" s="20">
        <f>IF(I2735="","",IF(I2735="Trading",O2735,0))</f>
        <v/>
      </c>
      <c r="S2735" s="19">
        <f>IF(I2735="","",IF(AND(I2735="Gasto",K2735="Variable",J2735&lt;&gt;"Trading",O2735&gt;0,O2735&lt;=Umbral),1,0))</f>
        <v/>
      </c>
      <c r="T2735" s="20">
        <f>IF(OR(I2735="",E2735=""),"",IF(OR(I2735="Gasto",I2735="Transferencia",I2735="Pago tarjeta"),-1,1)*C2735)</f>
        <v/>
      </c>
      <c r="U2735" s="20">
        <f>IF(OR(G2735="",AND(I2735&lt;&gt;"Transferencia",I2735&lt;&gt;"Pago tarjeta")),"",IF(IFERROR(INDEX(ctaMon,MATCH(G2735,ctaNom,0))&amp;"","DOP")=N2735,C2735,IF(N2735="USD",C2735*TasaUSD,C2735/TasaUSD)))</f>
        <v/>
      </c>
      <c r="V2735" s="20">
        <f>IF(I2735="","",IF(IFERROR(INDEX(ctaLiq,MATCH(E2735,ctaNom,0))="Sí",FALSE),IF(OR(I2735="Gasto",I2735="Transferencia",I2735="Pago tarjeta"),-1,1)*O2735,0)+IF(AND(U2735&lt;&gt;"",IFERROR(INDEX(ctaLiq,MATCH(G2735,ctaNom,0))="Sí",FALSE)),O2735,0))</f>
        <v/>
      </c>
      <c r="W2735" s="19">
        <f>IF(OR(F2735="",I2735=""),"",IF(COUNTIFS(F$6:F2735,F2735,I$6:I2735,"?*")=1,MAX(W$5:W2734)+1,""))</f>
        <v/>
      </c>
    </row>
    <row r="2736">
      <c r="B2736" s="15" t="n"/>
      <c r="C2736" s="16" t="n"/>
      <c r="D2736" s="17" t="n"/>
      <c r="E2736" s="17" t="n"/>
      <c r="F2736" s="17" t="n"/>
      <c r="G2736" s="17" t="n"/>
      <c r="H2736" s="18">
        <f>IF(AND(B2736="",C2736="",D2736="",E2736=""),"",IF(B2736="","⚠ Falta fecha",IF(C2736="","⚠ Falta monto",IF(D2736="","⚠ Falta categoría",IF(ISNA(MATCH(D2736,catNom,0)),"⚠ Categoría no existe",IF(E2736="","⚠ Falta cuenta",IF(ISNA(MATCH(E2736,ctaNom,0)),"⚠ Cuenta no existe",IF(AND(OR(I2736="Transferencia",I2736="Pago tarjeta"),G2736=""),"⚠ Indica la cuenta «Hacia»",IF(AND(G2736&lt;&gt;"",G2736=E2736),"⚠ «Hacia» igual a la cuenta",IF(AND(G2736&lt;&gt;"",ISNA(MATCH(G2736,ctaNom,0))),"⚠ «Hacia» no existe",IF(AND(I2736="Pago tarjeta",IFERROR(INDEX(ctaTipo,MATCH(G2736,ctaNom,0)),"")&lt;&gt;"Tarjeta de crédito"),"⚠ «Hacia» debe ser la tarjeta",IF(AND(I2736="Trading",IFERROR(INDEX(ctaTipo,MATCH(E2736,ctaNom,0)),"")&lt;&gt;"Cuenta de trading"),"⚠ Usa la cuenta de trading","✓"))))))))))))</f>
        <v/>
      </c>
      <c r="I2736" s="19">
        <f>IF(OR(B2736="",C2736="",D2736=""),"",IFERROR(INDEX(catTipo,MATCH(D2736,catNom,0))&amp;"",""))</f>
        <v/>
      </c>
      <c r="J2736" s="19">
        <f>IF(I2736="","",IFERROR(INDEX(catGrupo,MATCH(D2736,catNom,0))&amp;"",""))</f>
        <v/>
      </c>
      <c r="K2736" s="19">
        <f>IF(I2736="Gasto",IF(IFERROR(INDEX(catClas,MATCH(D2736,catNom,0))&amp;"","")="","Variable",IFERROR(INDEX(catClas,MATCH(D2736,catNom,0))&amp;"","")),"")</f>
        <v/>
      </c>
      <c r="L2736" s="19">
        <f>IF(I2736="","",IFERROR(INDEX(catAlim,MATCH(D2736,catNom,0))&amp;"",""))</f>
        <v/>
      </c>
      <c r="M2736" s="19">
        <f>IF(I2736="","",IFERROR(INDEX(catComida,MATCH(D2736,catNom,0))&amp;"",""))</f>
        <v/>
      </c>
      <c r="N2736" s="19">
        <f>IF(I2736="","",IFERROR(INDEX(ctaMon,MATCH(E2736,ctaNom,0))&amp;"","DOP"))</f>
        <v/>
      </c>
      <c r="O2736" s="20">
        <f>IF(I2736="","",C2736*IF(N2736="USD",TasaUSD,1))</f>
        <v/>
      </c>
      <c r="P2736" s="20">
        <f>IF(I2736="","",IF(I2736="Gasto",O2736,0))</f>
        <v/>
      </c>
      <c r="Q2736" s="20">
        <f>IF(I2736="","",IF(I2736="Ingreso",O2736,0))</f>
        <v/>
      </c>
      <c r="R2736" s="20">
        <f>IF(I2736="","",IF(I2736="Trading",O2736,0))</f>
        <v/>
      </c>
      <c r="S2736" s="19">
        <f>IF(I2736="","",IF(AND(I2736="Gasto",K2736="Variable",J2736&lt;&gt;"Trading",O2736&gt;0,O2736&lt;=Umbral),1,0))</f>
        <v/>
      </c>
      <c r="T2736" s="20">
        <f>IF(OR(I2736="",E2736=""),"",IF(OR(I2736="Gasto",I2736="Transferencia",I2736="Pago tarjeta"),-1,1)*C2736)</f>
        <v/>
      </c>
      <c r="U2736" s="20">
        <f>IF(OR(G2736="",AND(I2736&lt;&gt;"Transferencia",I2736&lt;&gt;"Pago tarjeta")),"",IF(IFERROR(INDEX(ctaMon,MATCH(G2736,ctaNom,0))&amp;"","DOP")=N2736,C2736,IF(N2736="USD",C2736*TasaUSD,C2736/TasaUSD)))</f>
        <v/>
      </c>
      <c r="V2736" s="20">
        <f>IF(I2736="","",IF(IFERROR(INDEX(ctaLiq,MATCH(E2736,ctaNom,0))="Sí",FALSE),IF(OR(I2736="Gasto",I2736="Transferencia",I2736="Pago tarjeta"),-1,1)*O2736,0)+IF(AND(U2736&lt;&gt;"",IFERROR(INDEX(ctaLiq,MATCH(G2736,ctaNom,0))="Sí",FALSE)),O2736,0))</f>
        <v/>
      </c>
      <c r="W2736" s="19">
        <f>IF(OR(F2736="",I2736=""),"",IF(COUNTIFS(F$6:F2736,F2736,I$6:I2736,"?*")=1,MAX(W$5:W2735)+1,""))</f>
        <v/>
      </c>
    </row>
    <row r="2737">
      <c r="B2737" s="15" t="n"/>
      <c r="C2737" s="16" t="n"/>
      <c r="D2737" s="17" t="n"/>
      <c r="E2737" s="17" t="n"/>
      <c r="F2737" s="17" t="n"/>
      <c r="G2737" s="17" t="n"/>
      <c r="H2737" s="18">
        <f>IF(AND(B2737="",C2737="",D2737="",E2737=""),"",IF(B2737="","⚠ Falta fecha",IF(C2737="","⚠ Falta monto",IF(D2737="","⚠ Falta categoría",IF(ISNA(MATCH(D2737,catNom,0)),"⚠ Categoría no existe",IF(E2737="","⚠ Falta cuenta",IF(ISNA(MATCH(E2737,ctaNom,0)),"⚠ Cuenta no existe",IF(AND(OR(I2737="Transferencia",I2737="Pago tarjeta"),G2737=""),"⚠ Indica la cuenta «Hacia»",IF(AND(G2737&lt;&gt;"",G2737=E2737),"⚠ «Hacia» igual a la cuenta",IF(AND(G2737&lt;&gt;"",ISNA(MATCH(G2737,ctaNom,0))),"⚠ «Hacia» no existe",IF(AND(I2737="Pago tarjeta",IFERROR(INDEX(ctaTipo,MATCH(G2737,ctaNom,0)),"")&lt;&gt;"Tarjeta de crédito"),"⚠ «Hacia» debe ser la tarjeta",IF(AND(I2737="Trading",IFERROR(INDEX(ctaTipo,MATCH(E2737,ctaNom,0)),"")&lt;&gt;"Cuenta de trading"),"⚠ Usa la cuenta de trading","✓"))))))))))))</f>
        <v/>
      </c>
      <c r="I2737" s="19">
        <f>IF(OR(B2737="",C2737="",D2737=""),"",IFERROR(INDEX(catTipo,MATCH(D2737,catNom,0))&amp;"",""))</f>
        <v/>
      </c>
      <c r="J2737" s="19">
        <f>IF(I2737="","",IFERROR(INDEX(catGrupo,MATCH(D2737,catNom,0))&amp;"",""))</f>
        <v/>
      </c>
      <c r="K2737" s="19">
        <f>IF(I2737="Gasto",IF(IFERROR(INDEX(catClas,MATCH(D2737,catNom,0))&amp;"","")="","Variable",IFERROR(INDEX(catClas,MATCH(D2737,catNom,0))&amp;"","")),"")</f>
        <v/>
      </c>
      <c r="L2737" s="19">
        <f>IF(I2737="","",IFERROR(INDEX(catAlim,MATCH(D2737,catNom,0))&amp;"",""))</f>
        <v/>
      </c>
      <c r="M2737" s="19">
        <f>IF(I2737="","",IFERROR(INDEX(catComida,MATCH(D2737,catNom,0))&amp;"",""))</f>
        <v/>
      </c>
      <c r="N2737" s="19">
        <f>IF(I2737="","",IFERROR(INDEX(ctaMon,MATCH(E2737,ctaNom,0))&amp;"","DOP"))</f>
        <v/>
      </c>
      <c r="O2737" s="20">
        <f>IF(I2737="","",C2737*IF(N2737="USD",TasaUSD,1))</f>
        <v/>
      </c>
      <c r="P2737" s="20">
        <f>IF(I2737="","",IF(I2737="Gasto",O2737,0))</f>
        <v/>
      </c>
      <c r="Q2737" s="20">
        <f>IF(I2737="","",IF(I2737="Ingreso",O2737,0))</f>
        <v/>
      </c>
      <c r="R2737" s="20">
        <f>IF(I2737="","",IF(I2737="Trading",O2737,0))</f>
        <v/>
      </c>
      <c r="S2737" s="19">
        <f>IF(I2737="","",IF(AND(I2737="Gasto",K2737="Variable",J2737&lt;&gt;"Trading",O2737&gt;0,O2737&lt;=Umbral),1,0))</f>
        <v/>
      </c>
      <c r="T2737" s="20">
        <f>IF(OR(I2737="",E2737=""),"",IF(OR(I2737="Gasto",I2737="Transferencia",I2737="Pago tarjeta"),-1,1)*C2737)</f>
        <v/>
      </c>
      <c r="U2737" s="20">
        <f>IF(OR(G2737="",AND(I2737&lt;&gt;"Transferencia",I2737&lt;&gt;"Pago tarjeta")),"",IF(IFERROR(INDEX(ctaMon,MATCH(G2737,ctaNom,0))&amp;"","DOP")=N2737,C2737,IF(N2737="USD",C2737*TasaUSD,C2737/TasaUSD)))</f>
        <v/>
      </c>
      <c r="V2737" s="20">
        <f>IF(I2737="","",IF(IFERROR(INDEX(ctaLiq,MATCH(E2737,ctaNom,0))="Sí",FALSE),IF(OR(I2737="Gasto",I2737="Transferencia",I2737="Pago tarjeta"),-1,1)*O2737,0)+IF(AND(U2737&lt;&gt;"",IFERROR(INDEX(ctaLiq,MATCH(G2737,ctaNom,0))="Sí",FALSE)),O2737,0))</f>
        <v/>
      </c>
      <c r="W2737" s="19">
        <f>IF(OR(F2737="",I2737=""),"",IF(COUNTIFS(F$6:F2737,F2737,I$6:I2737,"?*")=1,MAX(W$5:W2736)+1,""))</f>
        <v/>
      </c>
    </row>
    <row r="2738">
      <c r="B2738" s="15" t="n"/>
      <c r="C2738" s="16" t="n"/>
      <c r="D2738" s="17" t="n"/>
      <c r="E2738" s="17" t="n"/>
      <c r="F2738" s="17" t="n"/>
      <c r="G2738" s="17" t="n"/>
      <c r="H2738" s="18">
        <f>IF(AND(B2738="",C2738="",D2738="",E2738=""),"",IF(B2738="","⚠ Falta fecha",IF(C2738="","⚠ Falta monto",IF(D2738="","⚠ Falta categoría",IF(ISNA(MATCH(D2738,catNom,0)),"⚠ Categoría no existe",IF(E2738="","⚠ Falta cuenta",IF(ISNA(MATCH(E2738,ctaNom,0)),"⚠ Cuenta no existe",IF(AND(OR(I2738="Transferencia",I2738="Pago tarjeta"),G2738=""),"⚠ Indica la cuenta «Hacia»",IF(AND(G2738&lt;&gt;"",G2738=E2738),"⚠ «Hacia» igual a la cuenta",IF(AND(G2738&lt;&gt;"",ISNA(MATCH(G2738,ctaNom,0))),"⚠ «Hacia» no existe",IF(AND(I2738="Pago tarjeta",IFERROR(INDEX(ctaTipo,MATCH(G2738,ctaNom,0)),"")&lt;&gt;"Tarjeta de crédito"),"⚠ «Hacia» debe ser la tarjeta",IF(AND(I2738="Trading",IFERROR(INDEX(ctaTipo,MATCH(E2738,ctaNom,0)),"")&lt;&gt;"Cuenta de trading"),"⚠ Usa la cuenta de trading","✓"))))))))))))</f>
        <v/>
      </c>
      <c r="I2738" s="19">
        <f>IF(OR(B2738="",C2738="",D2738=""),"",IFERROR(INDEX(catTipo,MATCH(D2738,catNom,0))&amp;"",""))</f>
        <v/>
      </c>
      <c r="J2738" s="19">
        <f>IF(I2738="","",IFERROR(INDEX(catGrupo,MATCH(D2738,catNom,0))&amp;"",""))</f>
        <v/>
      </c>
      <c r="K2738" s="19">
        <f>IF(I2738="Gasto",IF(IFERROR(INDEX(catClas,MATCH(D2738,catNom,0))&amp;"","")="","Variable",IFERROR(INDEX(catClas,MATCH(D2738,catNom,0))&amp;"","")),"")</f>
        <v/>
      </c>
      <c r="L2738" s="19">
        <f>IF(I2738="","",IFERROR(INDEX(catAlim,MATCH(D2738,catNom,0))&amp;"",""))</f>
        <v/>
      </c>
      <c r="M2738" s="19">
        <f>IF(I2738="","",IFERROR(INDEX(catComida,MATCH(D2738,catNom,0))&amp;"",""))</f>
        <v/>
      </c>
      <c r="N2738" s="19">
        <f>IF(I2738="","",IFERROR(INDEX(ctaMon,MATCH(E2738,ctaNom,0))&amp;"","DOP"))</f>
        <v/>
      </c>
      <c r="O2738" s="20">
        <f>IF(I2738="","",C2738*IF(N2738="USD",TasaUSD,1))</f>
        <v/>
      </c>
      <c r="P2738" s="20">
        <f>IF(I2738="","",IF(I2738="Gasto",O2738,0))</f>
        <v/>
      </c>
      <c r="Q2738" s="20">
        <f>IF(I2738="","",IF(I2738="Ingreso",O2738,0))</f>
        <v/>
      </c>
      <c r="R2738" s="20">
        <f>IF(I2738="","",IF(I2738="Trading",O2738,0))</f>
        <v/>
      </c>
      <c r="S2738" s="19">
        <f>IF(I2738="","",IF(AND(I2738="Gasto",K2738="Variable",J2738&lt;&gt;"Trading",O2738&gt;0,O2738&lt;=Umbral),1,0))</f>
        <v/>
      </c>
      <c r="T2738" s="20">
        <f>IF(OR(I2738="",E2738=""),"",IF(OR(I2738="Gasto",I2738="Transferencia",I2738="Pago tarjeta"),-1,1)*C2738)</f>
        <v/>
      </c>
      <c r="U2738" s="20">
        <f>IF(OR(G2738="",AND(I2738&lt;&gt;"Transferencia",I2738&lt;&gt;"Pago tarjeta")),"",IF(IFERROR(INDEX(ctaMon,MATCH(G2738,ctaNom,0))&amp;"","DOP")=N2738,C2738,IF(N2738="USD",C2738*TasaUSD,C2738/TasaUSD)))</f>
        <v/>
      </c>
      <c r="V2738" s="20">
        <f>IF(I2738="","",IF(IFERROR(INDEX(ctaLiq,MATCH(E2738,ctaNom,0))="Sí",FALSE),IF(OR(I2738="Gasto",I2738="Transferencia",I2738="Pago tarjeta"),-1,1)*O2738,0)+IF(AND(U2738&lt;&gt;"",IFERROR(INDEX(ctaLiq,MATCH(G2738,ctaNom,0))="Sí",FALSE)),O2738,0))</f>
        <v/>
      </c>
      <c r="W2738" s="19">
        <f>IF(OR(F2738="",I2738=""),"",IF(COUNTIFS(F$6:F2738,F2738,I$6:I2738,"?*")=1,MAX(W$5:W2737)+1,""))</f>
        <v/>
      </c>
    </row>
    <row r="2739">
      <c r="B2739" s="15" t="n"/>
      <c r="C2739" s="16" t="n"/>
      <c r="D2739" s="17" t="n"/>
      <c r="E2739" s="17" t="n"/>
      <c r="F2739" s="17" t="n"/>
      <c r="G2739" s="17" t="n"/>
      <c r="H2739" s="18">
        <f>IF(AND(B2739="",C2739="",D2739="",E2739=""),"",IF(B2739="","⚠ Falta fecha",IF(C2739="","⚠ Falta monto",IF(D2739="","⚠ Falta categoría",IF(ISNA(MATCH(D2739,catNom,0)),"⚠ Categoría no existe",IF(E2739="","⚠ Falta cuenta",IF(ISNA(MATCH(E2739,ctaNom,0)),"⚠ Cuenta no existe",IF(AND(OR(I2739="Transferencia",I2739="Pago tarjeta"),G2739=""),"⚠ Indica la cuenta «Hacia»",IF(AND(G2739&lt;&gt;"",G2739=E2739),"⚠ «Hacia» igual a la cuenta",IF(AND(G2739&lt;&gt;"",ISNA(MATCH(G2739,ctaNom,0))),"⚠ «Hacia» no existe",IF(AND(I2739="Pago tarjeta",IFERROR(INDEX(ctaTipo,MATCH(G2739,ctaNom,0)),"")&lt;&gt;"Tarjeta de crédito"),"⚠ «Hacia» debe ser la tarjeta",IF(AND(I2739="Trading",IFERROR(INDEX(ctaTipo,MATCH(E2739,ctaNom,0)),"")&lt;&gt;"Cuenta de trading"),"⚠ Usa la cuenta de trading","✓"))))))))))))</f>
        <v/>
      </c>
      <c r="I2739" s="19">
        <f>IF(OR(B2739="",C2739="",D2739=""),"",IFERROR(INDEX(catTipo,MATCH(D2739,catNom,0))&amp;"",""))</f>
        <v/>
      </c>
      <c r="J2739" s="19">
        <f>IF(I2739="","",IFERROR(INDEX(catGrupo,MATCH(D2739,catNom,0))&amp;"",""))</f>
        <v/>
      </c>
      <c r="K2739" s="19">
        <f>IF(I2739="Gasto",IF(IFERROR(INDEX(catClas,MATCH(D2739,catNom,0))&amp;"","")="","Variable",IFERROR(INDEX(catClas,MATCH(D2739,catNom,0))&amp;"","")),"")</f>
        <v/>
      </c>
      <c r="L2739" s="19">
        <f>IF(I2739="","",IFERROR(INDEX(catAlim,MATCH(D2739,catNom,0))&amp;"",""))</f>
        <v/>
      </c>
      <c r="M2739" s="19">
        <f>IF(I2739="","",IFERROR(INDEX(catComida,MATCH(D2739,catNom,0))&amp;"",""))</f>
        <v/>
      </c>
      <c r="N2739" s="19">
        <f>IF(I2739="","",IFERROR(INDEX(ctaMon,MATCH(E2739,ctaNom,0))&amp;"","DOP"))</f>
        <v/>
      </c>
      <c r="O2739" s="20">
        <f>IF(I2739="","",C2739*IF(N2739="USD",TasaUSD,1))</f>
        <v/>
      </c>
      <c r="P2739" s="20">
        <f>IF(I2739="","",IF(I2739="Gasto",O2739,0))</f>
        <v/>
      </c>
      <c r="Q2739" s="20">
        <f>IF(I2739="","",IF(I2739="Ingreso",O2739,0))</f>
        <v/>
      </c>
      <c r="R2739" s="20">
        <f>IF(I2739="","",IF(I2739="Trading",O2739,0))</f>
        <v/>
      </c>
      <c r="S2739" s="19">
        <f>IF(I2739="","",IF(AND(I2739="Gasto",K2739="Variable",J2739&lt;&gt;"Trading",O2739&gt;0,O2739&lt;=Umbral),1,0))</f>
        <v/>
      </c>
      <c r="T2739" s="20">
        <f>IF(OR(I2739="",E2739=""),"",IF(OR(I2739="Gasto",I2739="Transferencia",I2739="Pago tarjeta"),-1,1)*C2739)</f>
        <v/>
      </c>
      <c r="U2739" s="20">
        <f>IF(OR(G2739="",AND(I2739&lt;&gt;"Transferencia",I2739&lt;&gt;"Pago tarjeta")),"",IF(IFERROR(INDEX(ctaMon,MATCH(G2739,ctaNom,0))&amp;"","DOP")=N2739,C2739,IF(N2739="USD",C2739*TasaUSD,C2739/TasaUSD)))</f>
        <v/>
      </c>
      <c r="V2739" s="20">
        <f>IF(I2739="","",IF(IFERROR(INDEX(ctaLiq,MATCH(E2739,ctaNom,0))="Sí",FALSE),IF(OR(I2739="Gasto",I2739="Transferencia",I2739="Pago tarjeta"),-1,1)*O2739,0)+IF(AND(U2739&lt;&gt;"",IFERROR(INDEX(ctaLiq,MATCH(G2739,ctaNom,0))="Sí",FALSE)),O2739,0))</f>
        <v/>
      </c>
      <c r="W2739" s="19">
        <f>IF(OR(F2739="",I2739=""),"",IF(COUNTIFS(F$6:F2739,F2739,I$6:I2739,"?*")=1,MAX(W$5:W2738)+1,""))</f>
        <v/>
      </c>
    </row>
    <row r="2740">
      <c r="B2740" s="15" t="n"/>
      <c r="C2740" s="16" t="n"/>
      <c r="D2740" s="17" t="n"/>
      <c r="E2740" s="17" t="n"/>
      <c r="F2740" s="17" t="n"/>
      <c r="G2740" s="17" t="n"/>
      <c r="H2740" s="18">
        <f>IF(AND(B2740="",C2740="",D2740="",E2740=""),"",IF(B2740="","⚠ Falta fecha",IF(C2740="","⚠ Falta monto",IF(D2740="","⚠ Falta categoría",IF(ISNA(MATCH(D2740,catNom,0)),"⚠ Categoría no existe",IF(E2740="","⚠ Falta cuenta",IF(ISNA(MATCH(E2740,ctaNom,0)),"⚠ Cuenta no existe",IF(AND(OR(I2740="Transferencia",I2740="Pago tarjeta"),G2740=""),"⚠ Indica la cuenta «Hacia»",IF(AND(G2740&lt;&gt;"",G2740=E2740),"⚠ «Hacia» igual a la cuenta",IF(AND(G2740&lt;&gt;"",ISNA(MATCH(G2740,ctaNom,0))),"⚠ «Hacia» no existe",IF(AND(I2740="Pago tarjeta",IFERROR(INDEX(ctaTipo,MATCH(G2740,ctaNom,0)),"")&lt;&gt;"Tarjeta de crédito"),"⚠ «Hacia» debe ser la tarjeta",IF(AND(I2740="Trading",IFERROR(INDEX(ctaTipo,MATCH(E2740,ctaNom,0)),"")&lt;&gt;"Cuenta de trading"),"⚠ Usa la cuenta de trading","✓"))))))))))))</f>
        <v/>
      </c>
      <c r="I2740" s="19">
        <f>IF(OR(B2740="",C2740="",D2740=""),"",IFERROR(INDEX(catTipo,MATCH(D2740,catNom,0))&amp;"",""))</f>
        <v/>
      </c>
      <c r="J2740" s="19">
        <f>IF(I2740="","",IFERROR(INDEX(catGrupo,MATCH(D2740,catNom,0))&amp;"",""))</f>
        <v/>
      </c>
      <c r="K2740" s="19">
        <f>IF(I2740="Gasto",IF(IFERROR(INDEX(catClas,MATCH(D2740,catNom,0))&amp;"","")="","Variable",IFERROR(INDEX(catClas,MATCH(D2740,catNom,0))&amp;"","")),"")</f>
        <v/>
      </c>
      <c r="L2740" s="19">
        <f>IF(I2740="","",IFERROR(INDEX(catAlim,MATCH(D2740,catNom,0))&amp;"",""))</f>
        <v/>
      </c>
      <c r="M2740" s="19">
        <f>IF(I2740="","",IFERROR(INDEX(catComida,MATCH(D2740,catNom,0))&amp;"",""))</f>
        <v/>
      </c>
      <c r="N2740" s="19">
        <f>IF(I2740="","",IFERROR(INDEX(ctaMon,MATCH(E2740,ctaNom,0))&amp;"","DOP"))</f>
        <v/>
      </c>
      <c r="O2740" s="20">
        <f>IF(I2740="","",C2740*IF(N2740="USD",TasaUSD,1))</f>
        <v/>
      </c>
      <c r="P2740" s="20">
        <f>IF(I2740="","",IF(I2740="Gasto",O2740,0))</f>
        <v/>
      </c>
      <c r="Q2740" s="20">
        <f>IF(I2740="","",IF(I2740="Ingreso",O2740,0))</f>
        <v/>
      </c>
      <c r="R2740" s="20">
        <f>IF(I2740="","",IF(I2740="Trading",O2740,0))</f>
        <v/>
      </c>
      <c r="S2740" s="19">
        <f>IF(I2740="","",IF(AND(I2740="Gasto",K2740="Variable",J2740&lt;&gt;"Trading",O2740&gt;0,O2740&lt;=Umbral),1,0))</f>
        <v/>
      </c>
      <c r="T2740" s="20">
        <f>IF(OR(I2740="",E2740=""),"",IF(OR(I2740="Gasto",I2740="Transferencia",I2740="Pago tarjeta"),-1,1)*C2740)</f>
        <v/>
      </c>
      <c r="U2740" s="20">
        <f>IF(OR(G2740="",AND(I2740&lt;&gt;"Transferencia",I2740&lt;&gt;"Pago tarjeta")),"",IF(IFERROR(INDEX(ctaMon,MATCH(G2740,ctaNom,0))&amp;"","DOP")=N2740,C2740,IF(N2740="USD",C2740*TasaUSD,C2740/TasaUSD)))</f>
        <v/>
      </c>
      <c r="V2740" s="20">
        <f>IF(I2740="","",IF(IFERROR(INDEX(ctaLiq,MATCH(E2740,ctaNom,0))="Sí",FALSE),IF(OR(I2740="Gasto",I2740="Transferencia",I2740="Pago tarjeta"),-1,1)*O2740,0)+IF(AND(U2740&lt;&gt;"",IFERROR(INDEX(ctaLiq,MATCH(G2740,ctaNom,0))="Sí",FALSE)),O2740,0))</f>
        <v/>
      </c>
      <c r="W2740" s="19">
        <f>IF(OR(F2740="",I2740=""),"",IF(COUNTIFS(F$6:F2740,F2740,I$6:I2740,"?*")=1,MAX(W$5:W2739)+1,""))</f>
        <v/>
      </c>
    </row>
    <row r="2741">
      <c r="B2741" s="15" t="n"/>
      <c r="C2741" s="16" t="n"/>
      <c r="D2741" s="17" t="n"/>
      <c r="E2741" s="17" t="n"/>
      <c r="F2741" s="17" t="n"/>
      <c r="G2741" s="17" t="n"/>
      <c r="H2741" s="18">
        <f>IF(AND(B2741="",C2741="",D2741="",E2741=""),"",IF(B2741="","⚠ Falta fecha",IF(C2741="","⚠ Falta monto",IF(D2741="","⚠ Falta categoría",IF(ISNA(MATCH(D2741,catNom,0)),"⚠ Categoría no existe",IF(E2741="","⚠ Falta cuenta",IF(ISNA(MATCH(E2741,ctaNom,0)),"⚠ Cuenta no existe",IF(AND(OR(I2741="Transferencia",I2741="Pago tarjeta"),G2741=""),"⚠ Indica la cuenta «Hacia»",IF(AND(G2741&lt;&gt;"",G2741=E2741),"⚠ «Hacia» igual a la cuenta",IF(AND(G2741&lt;&gt;"",ISNA(MATCH(G2741,ctaNom,0))),"⚠ «Hacia» no existe",IF(AND(I2741="Pago tarjeta",IFERROR(INDEX(ctaTipo,MATCH(G2741,ctaNom,0)),"")&lt;&gt;"Tarjeta de crédito"),"⚠ «Hacia» debe ser la tarjeta",IF(AND(I2741="Trading",IFERROR(INDEX(ctaTipo,MATCH(E2741,ctaNom,0)),"")&lt;&gt;"Cuenta de trading"),"⚠ Usa la cuenta de trading","✓"))))))))))))</f>
        <v/>
      </c>
      <c r="I2741" s="19">
        <f>IF(OR(B2741="",C2741="",D2741=""),"",IFERROR(INDEX(catTipo,MATCH(D2741,catNom,0))&amp;"",""))</f>
        <v/>
      </c>
      <c r="J2741" s="19">
        <f>IF(I2741="","",IFERROR(INDEX(catGrupo,MATCH(D2741,catNom,0))&amp;"",""))</f>
        <v/>
      </c>
      <c r="K2741" s="19">
        <f>IF(I2741="Gasto",IF(IFERROR(INDEX(catClas,MATCH(D2741,catNom,0))&amp;"","")="","Variable",IFERROR(INDEX(catClas,MATCH(D2741,catNom,0))&amp;"","")),"")</f>
        <v/>
      </c>
      <c r="L2741" s="19">
        <f>IF(I2741="","",IFERROR(INDEX(catAlim,MATCH(D2741,catNom,0))&amp;"",""))</f>
        <v/>
      </c>
      <c r="M2741" s="19">
        <f>IF(I2741="","",IFERROR(INDEX(catComida,MATCH(D2741,catNom,0))&amp;"",""))</f>
        <v/>
      </c>
      <c r="N2741" s="19">
        <f>IF(I2741="","",IFERROR(INDEX(ctaMon,MATCH(E2741,ctaNom,0))&amp;"","DOP"))</f>
        <v/>
      </c>
      <c r="O2741" s="20">
        <f>IF(I2741="","",C2741*IF(N2741="USD",TasaUSD,1))</f>
        <v/>
      </c>
      <c r="P2741" s="20">
        <f>IF(I2741="","",IF(I2741="Gasto",O2741,0))</f>
        <v/>
      </c>
      <c r="Q2741" s="20">
        <f>IF(I2741="","",IF(I2741="Ingreso",O2741,0))</f>
        <v/>
      </c>
      <c r="R2741" s="20">
        <f>IF(I2741="","",IF(I2741="Trading",O2741,0))</f>
        <v/>
      </c>
      <c r="S2741" s="19">
        <f>IF(I2741="","",IF(AND(I2741="Gasto",K2741="Variable",J2741&lt;&gt;"Trading",O2741&gt;0,O2741&lt;=Umbral),1,0))</f>
        <v/>
      </c>
      <c r="T2741" s="20">
        <f>IF(OR(I2741="",E2741=""),"",IF(OR(I2741="Gasto",I2741="Transferencia",I2741="Pago tarjeta"),-1,1)*C2741)</f>
        <v/>
      </c>
      <c r="U2741" s="20">
        <f>IF(OR(G2741="",AND(I2741&lt;&gt;"Transferencia",I2741&lt;&gt;"Pago tarjeta")),"",IF(IFERROR(INDEX(ctaMon,MATCH(G2741,ctaNom,0))&amp;"","DOP")=N2741,C2741,IF(N2741="USD",C2741*TasaUSD,C2741/TasaUSD)))</f>
        <v/>
      </c>
      <c r="V2741" s="20">
        <f>IF(I2741="","",IF(IFERROR(INDEX(ctaLiq,MATCH(E2741,ctaNom,0))="Sí",FALSE),IF(OR(I2741="Gasto",I2741="Transferencia",I2741="Pago tarjeta"),-1,1)*O2741,0)+IF(AND(U2741&lt;&gt;"",IFERROR(INDEX(ctaLiq,MATCH(G2741,ctaNom,0))="Sí",FALSE)),O2741,0))</f>
        <v/>
      </c>
      <c r="W2741" s="19">
        <f>IF(OR(F2741="",I2741=""),"",IF(COUNTIFS(F$6:F2741,F2741,I$6:I2741,"?*")=1,MAX(W$5:W2740)+1,""))</f>
        <v/>
      </c>
    </row>
    <row r="2742">
      <c r="B2742" s="15" t="n"/>
      <c r="C2742" s="16" t="n"/>
      <c r="D2742" s="17" t="n"/>
      <c r="E2742" s="17" t="n"/>
      <c r="F2742" s="17" t="n"/>
      <c r="G2742" s="17" t="n"/>
      <c r="H2742" s="18">
        <f>IF(AND(B2742="",C2742="",D2742="",E2742=""),"",IF(B2742="","⚠ Falta fecha",IF(C2742="","⚠ Falta monto",IF(D2742="","⚠ Falta categoría",IF(ISNA(MATCH(D2742,catNom,0)),"⚠ Categoría no existe",IF(E2742="","⚠ Falta cuenta",IF(ISNA(MATCH(E2742,ctaNom,0)),"⚠ Cuenta no existe",IF(AND(OR(I2742="Transferencia",I2742="Pago tarjeta"),G2742=""),"⚠ Indica la cuenta «Hacia»",IF(AND(G2742&lt;&gt;"",G2742=E2742),"⚠ «Hacia» igual a la cuenta",IF(AND(G2742&lt;&gt;"",ISNA(MATCH(G2742,ctaNom,0))),"⚠ «Hacia» no existe",IF(AND(I2742="Pago tarjeta",IFERROR(INDEX(ctaTipo,MATCH(G2742,ctaNom,0)),"")&lt;&gt;"Tarjeta de crédito"),"⚠ «Hacia» debe ser la tarjeta",IF(AND(I2742="Trading",IFERROR(INDEX(ctaTipo,MATCH(E2742,ctaNom,0)),"")&lt;&gt;"Cuenta de trading"),"⚠ Usa la cuenta de trading","✓"))))))))))))</f>
        <v/>
      </c>
      <c r="I2742" s="19">
        <f>IF(OR(B2742="",C2742="",D2742=""),"",IFERROR(INDEX(catTipo,MATCH(D2742,catNom,0))&amp;"",""))</f>
        <v/>
      </c>
      <c r="J2742" s="19">
        <f>IF(I2742="","",IFERROR(INDEX(catGrupo,MATCH(D2742,catNom,0))&amp;"",""))</f>
        <v/>
      </c>
      <c r="K2742" s="19">
        <f>IF(I2742="Gasto",IF(IFERROR(INDEX(catClas,MATCH(D2742,catNom,0))&amp;"","")="","Variable",IFERROR(INDEX(catClas,MATCH(D2742,catNom,0))&amp;"","")),"")</f>
        <v/>
      </c>
      <c r="L2742" s="19">
        <f>IF(I2742="","",IFERROR(INDEX(catAlim,MATCH(D2742,catNom,0))&amp;"",""))</f>
        <v/>
      </c>
      <c r="M2742" s="19">
        <f>IF(I2742="","",IFERROR(INDEX(catComida,MATCH(D2742,catNom,0))&amp;"",""))</f>
        <v/>
      </c>
      <c r="N2742" s="19">
        <f>IF(I2742="","",IFERROR(INDEX(ctaMon,MATCH(E2742,ctaNom,0))&amp;"","DOP"))</f>
        <v/>
      </c>
      <c r="O2742" s="20">
        <f>IF(I2742="","",C2742*IF(N2742="USD",TasaUSD,1))</f>
        <v/>
      </c>
      <c r="P2742" s="20">
        <f>IF(I2742="","",IF(I2742="Gasto",O2742,0))</f>
        <v/>
      </c>
      <c r="Q2742" s="20">
        <f>IF(I2742="","",IF(I2742="Ingreso",O2742,0))</f>
        <v/>
      </c>
      <c r="R2742" s="20">
        <f>IF(I2742="","",IF(I2742="Trading",O2742,0))</f>
        <v/>
      </c>
      <c r="S2742" s="19">
        <f>IF(I2742="","",IF(AND(I2742="Gasto",K2742="Variable",J2742&lt;&gt;"Trading",O2742&gt;0,O2742&lt;=Umbral),1,0))</f>
        <v/>
      </c>
      <c r="T2742" s="20">
        <f>IF(OR(I2742="",E2742=""),"",IF(OR(I2742="Gasto",I2742="Transferencia",I2742="Pago tarjeta"),-1,1)*C2742)</f>
        <v/>
      </c>
      <c r="U2742" s="20">
        <f>IF(OR(G2742="",AND(I2742&lt;&gt;"Transferencia",I2742&lt;&gt;"Pago tarjeta")),"",IF(IFERROR(INDEX(ctaMon,MATCH(G2742,ctaNom,0))&amp;"","DOP")=N2742,C2742,IF(N2742="USD",C2742*TasaUSD,C2742/TasaUSD)))</f>
        <v/>
      </c>
      <c r="V2742" s="20">
        <f>IF(I2742="","",IF(IFERROR(INDEX(ctaLiq,MATCH(E2742,ctaNom,0))="Sí",FALSE),IF(OR(I2742="Gasto",I2742="Transferencia",I2742="Pago tarjeta"),-1,1)*O2742,0)+IF(AND(U2742&lt;&gt;"",IFERROR(INDEX(ctaLiq,MATCH(G2742,ctaNom,0))="Sí",FALSE)),O2742,0))</f>
        <v/>
      </c>
      <c r="W2742" s="19">
        <f>IF(OR(F2742="",I2742=""),"",IF(COUNTIFS(F$6:F2742,F2742,I$6:I2742,"?*")=1,MAX(W$5:W2741)+1,""))</f>
        <v/>
      </c>
    </row>
    <row r="2743">
      <c r="B2743" s="15" t="n"/>
      <c r="C2743" s="16" t="n"/>
      <c r="D2743" s="17" t="n"/>
      <c r="E2743" s="17" t="n"/>
      <c r="F2743" s="17" t="n"/>
      <c r="G2743" s="17" t="n"/>
      <c r="H2743" s="18">
        <f>IF(AND(B2743="",C2743="",D2743="",E2743=""),"",IF(B2743="","⚠ Falta fecha",IF(C2743="","⚠ Falta monto",IF(D2743="","⚠ Falta categoría",IF(ISNA(MATCH(D2743,catNom,0)),"⚠ Categoría no existe",IF(E2743="","⚠ Falta cuenta",IF(ISNA(MATCH(E2743,ctaNom,0)),"⚠ Cuenta no existe",IF(AND(OR(I2743="Transferencia",I2743="Pago tarjeta"),G2743=""),"⚠ Indica la cuenta «Hacia»",IF(AND(G2743&lt;&gt;"",G2743=E2743),"⚠ «Hacia» igual a la cuenta",IF(AND(G2743&lt;&gt;"",ISNA(MATCH(G2743,ctaNom,0))),"⚠ «Hacia» no existe",IF(AND(I2743="Pago tarjeta",IFERROR(INDEX(ctaTipo,MATCH(G2743,ctaNom,0)),"")&lt;&gt;"Tarjeta de crédito"),"⚠ «Hacia» debe ser la tarjeta",IF(AND(I2743="Trading",IFERROR(INDEX(ctaTipo,MATCH(E2743,ctaNom,0)),"")&lt;&gt;"Cuenta de trading"),"⚠ Usa la cuenta de trading","✓"))))))))))))</f>
        <v/>
      </c>
      <c r="I2743" s="19">
        <f>IF(OR(B2743="",C2743="",D2743=""),"",IFERROR(INDEX(catTipo,MATCH(D2743,catNom,0))&amp;"",""))</f>
        <v/>
      </c>
      <c r="J2743" s="19">
        <f>IF(I2743="","",IFERROR(INDEX(catGrupo,MATCH(D2743,catNom,0))&amp;"",""))</f>
        <v/>
      </c>
      <c r="K2743" s="19">
        <f>IF(I2743="Gasto",IF(IFERROR(INDEX(catClas,MATCH(D2743,catNom,0))&amp;"","")="","Variable",IFERROR(INDEX(catClas,MATCH(D2743,catNom,0))&amp;"","")),"")</f>
        <v/>
      </c>
      <c r="L2743" s="19">
        <f>IF(I2743="","",IFERROR(INDEX(catAlim,MATCH(D2743,catNom,0))&amp;"",""))</f>
        <v/>
      </c>
      <c r="M2743" s="19">
        <f>IF(I2743="","",IFERROR(INDEX(catComida,MATCH(D2743,catNom,0))&amp;"",""))</f>
        <v/>
      </c>
      <c r="N2743" s="19">
        <f>IF(I2743="","",IFERROR(INDEX(ctaMon,MATCH(E2743,ctaNom,0))&amp;"","DOP"))</f>
        <v/>
      </c>
      <c r="O2743" s="20">
        <f>IF(I2743="","",C2743*IF(N2743="USD",TasaUSD,1))</f>
        <v/>
      </c>
      <c r="P2743" s="20">
        <f>IF(I2743="","",IF(I2743="Gasto",O2743,0))</f>
        <v/>
      </c>
      <c r="Q2743" s="20">
        <f>IF(I2743="","",IF(I2743="Ingreso",O2743,0))</f>
        <v/>
      </c>
      <c r="R2743" s="20">
        <f>IF(I2743="","",IF(I2743="Trading",O2743,0))</f>
        <v/>
      </c>
      <c r="S2743" s="19">
        <f>IF(I2743="","",IF(AND(I2743="Gasto",K2743="Variable",J2743&lt;&gt;"Trading",O2743&gt;0,O2743&lt;=Umbral),1,0))</f>
        <v/>
      </c>
      <c r="T2743" s="20">
        <f>IF(OR(I2743="",E2743=""),"",IF(OR(I2743="Gasto",I2743="Transferencia",I2743="Pago tarjeta"),-1,1)*C2743)</f>
        <v/>
      </c>
      <c r="U2743" s="20">
        <f>IF(OR(G2743="",AND(I2743&lt;&gt;"Transferencia",I2743&lt;&gt;"Pago tarjeta")),"",IF(IFERROR(INDEX(ctaMon,MATCH(G2743,ctaNom,0))&amp;"","DOP")=N2743,C2743,IF(N2743="USD",C2743*TasaUSD,C2743/TasaUSD)))</f>
        <v/>
      </c>
      <c r="V2743" s="20">
        <f>IF(I2743="","",IF(IFERROR(INDEX(ctaLiq,MATCH(E2743,ctaNom,0))="Sí",FALSE),IF(OR(I2743="Gasto",I2743="Transferencia",I2743="Pago tarjeta"),-1,1)*O2743,0)+IF(AND(U2743&lt;&gt;"",IFERROR(INDEX(ctaLiq,MATCH(G2743,ctaNom,0))="Sí",FALSE)),O2743,0))</f>
        <v/>
      </c>
      <c r="W2743" s="19">
        <f>IF(OR(F2743="",I2743=""),"",IF(COUNTIFS(F$6:F2743,F2743,I$6:I2743,"?*")=1,MAX(W$5:W2742)+1,""))</f>
        <v/>
      </c>
    </row>
    <row r="2744">
      <c r="B2744" s="15" t="n"/>
      <c r="C2744" s="16" t="n"/>
      <c r="D2744" s="17" t="n"/>
      <c r="E2744" s="17" t="n"/>
      <c r="F2744" s="17" t="n"/>
      <c r="G2744" s="17" t="n"/>
      <c r="H2744" s="18">
        <f>IF(AND(B2744="",C2744="",D2744="",E2744=""),"",IF(B2744="","⚠ Falta fecha",IF(C2744="","⚠ Falta monto",IF(D2744="","⚠ Falta categoría",IF(ISNA(MATCH(D2744,catNom,0)),"⚠ Categoría no existe",IF(E2744="","⚠ Falta cuenta",IF(ISNA(MATCH(E2744,ctaNom,0)),"⚠ Cuenta no existe",IF(AND(OR(I2744="Transferencia",I2744="Pago tarjeta"),G2744=""),"⚠ Indica la cuenta «Hacia»",IF(AND(G2744&lt;&gt;"",G2744=E2744),"⚠ «Hacia» igual a la cuenta",IF(AND(G2744&lt;&gt;"",ISNA(MATCH(G2744,ctaNom,0))),"⚠ «Hacia» no existe",IF(AND(I2744="Pago tarjeta",IFERROR(INDEX(ctaTipo,MATCH(G2744,ctaNom,0)),"")&lt;&gt;"Tarjeta de crédito"),"⚠ «Hacia» debe ser la tarjeta",IF(AND(I2744="Trading",IFERROR(INDEX(ctaTipo,MATCH(E2744,ctaNom,0)),"")&lt;&gt;"Cuenta de trading"),"⚠ Usa la cuenta de trading","✓"))))))))))))</f>
        <v/>
      </c>
      <c r="I2744" s="19">
        <f>IF(OR(B2744="",C2744="",D2744=""),"",IFERROR(INDEX(catTipo,MATCH(D2744,catNom,0))&amp;"",""))</f>
        <v/>
      </c>
      <c r="J2744" s="19">
        <f>IF(I2744="","",IFERROR(INDEX(catGrupo,MATCH(D2744,catNom,0))&amp;"",""))</f>
        <v/>
      </c>
      <c r="K2744" s="19">
        <f>IF(I2744="Gasto",IF(IFERROR(INDEX(catClas,MATCH(D2744,catNom,0))&amp;"","")="","Variable",IFERROR(INDEX(catClas,MATCH(D2744,catNom,0))&amp;"","")),"")</f>
        <v/>
      </c>
      <c r="L2744" s="19">
        <f>IF(I2744="","",IFERROR(INDEX(catAlim,MATCH(D2744,catNom,0))&amp;"",""))</f>
        <v/>
      </c>
      <c r="M2744" s="19">
        <f>IF(I2744="","",IFERROR(INDEX(catComida,MATCH(D2744,catNom,0))&amp;"",""))</f>
        <v/>
      </c>
      <c r="N2744" s="19">
        <f>IF(I2744="","",IFERROR(INDEX(ctaMon,MATCH(E2744,ctaNom,0))&amp;"","DOP"))</f>
        <v/>
      </c>
      <c r="O2744" s="20">
        <f>IF(I2744="","",C2744*IF(N2744="USD",TasaUSD,1))</f>
        <v/>
      </c>
      <c r="P2744" s="20">
        <f>IF(I2744="","",IF(I2744="Gasto",O2744,0))</f>
        <v/>
      </c>
      <c r="Q2744" s="20">
        <f>IF(I2744="","",IF(I2744="Ingreso",O2744,0))</f>
        <v/>
      </c>
      <c r="R2744" s="20">
        <f>IF(I2744="","",IF(I2744="Trading",O2744,0))</f>
        <v/>
      </c>
      <c r="S2744" s="19">
        <f>IF(I2744="","",IF(AND(I2744="Gasto",K2744="Variable",J2744&lt;&gt;"Trading",O2744&gt;0,O2744&lt;=Umbral),1,0))</f>
        <v/>
      </c>
      <c r="T2744" s="20">
        <f>IF(OR(I2744="",E2744=""),"",IF(OR(I2744="Gasto",I2744="Transferencia",I2744="Pago tarjeta"),-1,1)*C2744)</f>
        <v/>
      </c>
      <c r="U2744" s="20">
        <f>IF(OR(G2744="",AND(I2744&lt;&gt;"Transferencia",I2744&lt;&gt;"Pago tarjeta")),"",IF(IFERROR(INDEX(ctaMon,MATCH(G2744,ctaNom,0))&amp;"","DOP")=N2744,C2744,IF(N2744="USD",C2744*TasaUSD,C2744/TasaUSD)))</f>
        <v/>
      </c>
      <c r="V2744" s="20">
        <f>IF(I2744="","",IF(IFERROR(INDEX(ctaLiq,MATCH(E2744,ctaNom,0))="Sí",FALSE),IF(OR(I2744="Gasto",I2744="Transferencia",I2744="Pago tarjeta"),-1,1)*O2744,0)+IF(AND(U2744&lt;&gt;"",IFERROR(INDEX(ctaLiq,MATCH(G2744,ctaNom,0))="Sí",FALSE)),O2744,0))</f>
        <v/>
      </c>
      <c r="W2744" s="19">
        <f>IF(OR(F2744="",I2744=""),"",IF(COUNTIFS(F$6:F2744,F2744,I$6:I2744,"?*")=1,MAX(W$5:W2743)+1,""))</f>
        <v/>
      </c>
    </row>
    <row r="2745">
      <c r="B2745" s="15" t="n"/>
      <c r="C2745" s="16" t="n"/>
      <c r="D2745" s="17" t="n"/>
      <c r="E2745" s="17" t="n"/>
      <c r="F2745" s="17" t="n"/>
      <c r="G2745" s="17" t="n"/>
      <c r="H2745" s="18">
        <f>IF(AND(B2745="",C2745="",D2745="",E2745=""),"",IF(B2745="","⚠ Falta fecha",IF(C2745="","⚠ Falta monto",IF(D2745="","⚠ Falta categoría",IF(ISNA(MATCH(D2745,catNom,0)),"⚠ Categoría no existe",IF(E2745="","⚠ Falta cuenta",IF(ISNA(MATCH(E2745,ctaNom,0)),"⚠ Cuenta no existe",IF(AND(OR(I2745="Transferencia",I2745="Pago tarjeta"),G2745=""),"⚠ Indica la cuenta «Hacia»",IF(AND(G2745&lt;&gt;"",G2745=E2745),"⚠ «Hacia» igual a la cuenta",IF(AND(G2745&lt;&gt;"",ISNA(MATCH(G2745,ctaNom,0))),"⚠ «Hacia» no existe",IF(AND(I2745="Pago tarjeta",IFERROR(INDEX(ctaTipo,MATCH(G2745,ctaNom,0)),"")&lt;&gt;"Tarjeta de crédito"),"⚠ «Hacia» debe ser la tarjeta",IF(AND(I2745="Trading",IFERROR(INDEX(ctaTipo,MATCH(E2745,ctaNom,0)),"")&lt;&gt;"Cuenta de trading"),"⚠ Usa la cuenta de trading","✓"))))))))))))</f>
        <v/>
      </c>
      <c r="I2745" s="19">
        <f>IF(OR(B2745="",C2745="",D2745=""),"",IFERROR(INDEX(catTipo,MATCH(D2745,catNom,0))&amp;"",""))</f>
        <v/>
      </c>
      <c r="J2745" s="19">
        <f>IF(I2745="","",IFERROR(INDEX(catGrupo,MATCH(D2745,catNom,0))&amp;"",""))</f>
        <v/>
      </c>
      <c r="K2745" s="19">
        <f>IF(I2745="Gasto",IF(IFERROR(INDEX(catClas,MATCH(D2745,catNom,0))&amp;"","")="","Variable",IFERROR(INDEX(catClas,MATCH(D2745,catNom,0))&amp;"","")),"")</f>
        <v/>
      </c>
      <c r="L2745" s="19">
        <f>IF(I2745="","",IFERROR(INDEX(catAlim,MATCH(D2745,catNom,0))&amp;"",""))</f>
        <v/>
      </c>
      <c r="M2745" s="19">
        <f>IF(I2745="","",IFERROR(INDEX(catComida,MATCH(D2745,catNom,0))&amp;"",""))</f>
        <v/>
      </c>
      <c r="N2745" s="19">
        <f>IF(I2745="","",IFERROR(INDEX(ctaMon,MATCH(E2745,ctaNom,0))&amp;"","DOP"))</f>
        <v/>
      </c>
      <c r="O2745" s="20">
        <f>IF(I2745="","",C2745*IF(N2745="USD",TasaUSD,1))</f>
        <v/>
      </c>
      <c r="P2745" s="20">
        <f>IF(I2745="","",IF(I2745="Gasto",O2745,0))</f>
        <v/>
      </c>
      <c r="Q2745" s="20">
        <f>IF(I2745="","",IF(I2745="Ingreso",O2745,0))</f>
        <v/>
      </c>
      <c r="R2745" s="20">
        <f>IF(I2745="","",IF(I2745="Trading",O2745,0))</f>
        <v/>
      </c>
      <c r="S2745" s="19">
        <f>IF(I2745="","",IF(AND(I2745="Gasto",K2745="Variable",J2745&lt;&gt;"Trading",O2745&gt;0,O2745&lt;=Umbral),1,0))</f>
        <v/>
      </c>
      <c r="T2745" s="20">
        <f>IF(OR(I2745="",E2745=""),"",IF(OR(I2745="Gasto",I2745="Transferencia",I2745="Pago tarjeta"),-1,1)*C2745)</f>
        <v/>
      </c>
      <c r="U2745" s="20">
        <f>IF(OR(G2745="",AND(I2745&lt;&gt;"Transferencia",I2745&lt;&gt;"Pago tarjeta")),"",IF(IFERROR(INDEX(ctaMon,MATCH(G2745,ctaNom,0))&amp;"","DOP")=N2745,C2745,IF(N2745="USD",C2745*TasaUSD,C2745/TasaUSD)))</f>
        <v/>
      </c>
      <c r="V2745" s="20">
        <f>IF(I2745="","",IF(IFERROR(INDEX(ctaLiq,MATCH(E2745,ctaNom,0))="Sí",FALSE),IF(OR(I2745="Gasto",I2745="Transferencia",I2745="Pago tarjeta"),-1,1)*O2745,0)+IF(AND(U2745&lt;&gt;"",IFERROR(INDEX(ctaLiq,MATCH(G2745,ctaNom,0))="Sí",FALSE)),O2745,0))</f>
        <v/>
      </c>
      <c r="W2745" s="19">
        <f>IF(OR(F2745="",I2745=""),"",IF(COUNTIFS(F$6:F2745,F2745,I$6:I2745,"?*")=1,MAX(W$5:W2744)+1,""))</f>
        <v/>
      </c>
    </row>
    <row r="2746">
      <c r="B2746" s="15" t="n"/>
      <c r="C2746" s="16" t="n"/>
      <c r="D2746" s="17" t="n"/>
      <c r="E2746" s="17" t="n"/>
      <c r="F2746" s="17" t="n"/>
      <c r="G2746" s="17" t="n"/>
      <c r="H2746" s="18">
        <f>IF(AND(B2746="",C2746="",D2746="",E2746=""),"",IF(B2746="","⚠ Falta fecha",IF(C2746="","⚠ Falta monto",IF(D2746="","⚠ Falta categoría",IF(ISNA(MATCH(D2746,catNom,0)),"⚠ Categoría no existe",IF(E2746="","⚠ Falta cuenta",IF(ISNA(MATCH(E2746,ctaNom,0)),"⚠ Cuenta no existe",IF(AND(OR(I2746="Transferencia",I2746="Pago tarjeta"),G2746=""),"⚠ Indica la cuenta «Hacia»",IF(AND(G2746&lt;&gt;"",G2746=E2746),"⚠ «Hacia» igual a la cuenta",IF(AND(G2746&lt;&gt;"",ISNA(MATCH(G2746,ctaNom,0))),"⚠ «Hacia» no existe",IF(AND(I2746="Pago tarjeta",IFERROR(INDEX(ctaTipo,MATCH(G2746,ctaNom,0)),"")&lt;&gt;"Tarjeta de crédito"),"⚠ «Hacia» debe ser la tarjeta",IF(AND(I2746="Trading",IFERROR(INDEX(ctaTipo,MATCH(E2746,ctaNom,0)),"")&lt;&gt;"Cuenta de trading"),"⚠ Usa la cuenta de trading","✓"))))))))))))</f>
        <v/>
      </c>
      <c r="I2746" s="19">
        <f>IF(OR(B2746="",C2746="",D2746=""),"",IFERROR(INDEX(catTipo,MATCH(D2746,catNom,0))&amp;"",""))</f>
        <v/>
      </c>
      <c r="J2746" s="19">
        <f>IF(I2746="","",IFERROR(INDEX(catGrupo,MATCH(D2746,catNom,0))&amp;"",""))</f>
        <v/>
      </c>
      <c r="K2746" s="19">
        <f>IF(I2746="Gasto",IF(IFERROR(INDEX(catClas,MATCH(D2746,catNom,0))&amp;"","")="","Variable",IFERROR(INDEX(catClas,MATCH(D2746,catNom,0))&amp;"","")),"")</f>
        <v/>
      </c>
      <c r="L2746" s="19">
        <f>IF(I2746="","",IFERROR(INDEX(catAlim,MATCH(D2746,catNom,0))&amp;"",""))</f>
        <v/>
      </c>
      <c r="M2746" s="19">
        <f>IF(I2746="","",IFERROR(INDEX(catComida,MATCH(D2746,catNom,0))&amp;"",""))</f>
        <v/>
      </c>
      <c r="N2746" s="19">
        <f>IF(I2746="","",IFERROR(INDEX(ctaMon,MATCH(E2746,ctaNom,0))&amp;"","DOP"))</f>
        <v/>
      </c>
      <c r="O2746" s="20">
        <f>IF(I2746="","",C2746*IF(N2746="USD",TasaUSD,1))</f>
        <v/>
      </c>
      <c r="P2746" s="20">
        <f>IF(I2746="","",IF(I2746="Gasto",O2746,0))</f>
        <v/>
      </c>
      <c r="Q2746" s="20">
        <f>IF(I2746="","",IF(I2746="Ingreso",O2746,0))</f>
        <v/>
      </c>
      <c r="R2746" s="20">
        <f>IF(I2746="","",IF(I2746="Trading",O2746,0))</f>
        <v/>
      </c>
      <c r="S2746" s="19">
        <f>IF(I2746="","",IF(AND(I2746="Gasto",K2746="Variable",J2746&lt;&gt;"Trading",O2746&gt;0,O2746&lt;=Umbral),1,0))</f>
        <v/>
      </c>
      <c r="T2746" s="20">
        <f>IF(OR(I2746="",E2746=""),"",IF(OR(I2746="Gasto",I2746="Transferencia",I2746="Pago tarjeta"),-1,1)*C2746)</f>
        <v/>
      </c>
      <c r="U2746" s="20">
        <f>IF(OR(G2746="",AND(I2746&lt;&gt;"Transferencia",I2746&lt;&gt;"Pago tarjeta")),"",IF(IFERROR(INDEX(ctaMon,MATCH(G2746,ctaNom,0))&amp;"","DOP")=N2746,C2746,IF(N2746="USD",C2746*TasaUSD,C2746/TasaUSD)))</f>
        <v/>
      </c>
      <c r="V2746" s="20">
        <f>IF(I2746="","",IF(IFERROR(INDEX(ctaLiq,MATCH(E2746,ctaNom,0))="Sí",FALSE),IF(OR(I2746="Gasto",I2746="Transferencia",I2746="Pago tarjeta"),-1,1)*O2746,0)+IF(AND(U2746&lt;&gt;"",IFERROR(INDEX(ctaLiq,MATCH(G2746,ctaNom,0))="Sí",FALSE)),O2746,0))</f>
        <v/>
      </c>
      <c r="W2746" s="19">
        <f>IF(OR(F2746="",I2746=""),"",IF(COUNTIFS(F$6:F2746,F2746,I$6:I2746,"?*")=1,MAX(W$5:W2745)+1,""))</f>
        <v/>
      </c>
    </row>
    <row r="2747">
      <c r="B2747" s="15" t="n"/>
      <c r="C2747" s="16" t="n"/>
      <c r="D2747" s="17" t="n"/>
      <c r="E2747" s="17" t="n"/>
      <c r="F2747" s="17" t="n"/>
      <c r="G2747" s="17" t="n"/>
      <c r="H2747" s="18">
        <f>IF(AND(B2747="",C2747="",D2747="",E2747=""),"",IF(B2747="","⚠ Falta fecha",IF(C2747="","⚠ Falta monto",IF(D2747="","⚠ Falta categoría",IF(ISNA(MATCH(D2747,catNom,0)),"⚠ Categoría no existe",IF(E2747="","⚠ Falta cuenta",IF(ISNA(MATCH(E2747,ctaNom,0)),"⚠ Cuenta no existe",IF(AND(OR(I2747="Transferencia",I2747="Pago tarjeta"),G2747=""),"⚠ Indica la cuenta «Hacia»",IF(AND(G2747&lt;&gt;"",G2747=E2747),"⚠ «Hacia» igual a la cuenta",IF(AND(G2747&lt;&gt;"",ISNA(MATCH(G2747,ctaNom,0))),"⚠ «Hacia» no existe",IF(AND(I2747="Pago tarjeta",IFERROR(INDEX(ctaTipo,MATCH(G2747,ctaNom,0)),"")&lt;&gt;"Tarjeta de crédito"),"⚠ «Hacia» debe ser la tarjeta",IF(AND(I2747="Trading",IFERROR(INDEX(ctaTipo,MATCH(E2747,ctaNom,0)),"")&lt;&gt;"Cuenta de trading"),"⚠ Usa la cuenta de trading","✓"))))))))))))</f>
        <v/>
      </c>
      <c r="I2747" s="19">
        <f>IF(OR(B2747="",C2747="",D2747=""),"",IFERROR(INDEX(catTipo,MATCH(D2747,catNom,0))&amp;"",""))</f>
        <v/>
      </c>
      <c r="J2747" s="19">
        <f>IF(I2747="","",IFERROR(INDEX(catGrupo,MATCH(D2747,catNom,0))&amp;"",""))</f>
        <v/>
      </c>
      <c r="K2747" s="19">
        <f>IF(I2747="Gasto",IF(IFERROR(INDEX(catClas,MATCH(D2747,catNom,0))&amp;"","")="","Variable",IFERROR(INDEX(catClas,MATCH(D2747,catNom,0))&amp;"","")),"")</f>
        <v/>
      </c>
      <c r="L2747" s="19">
        <f>IF(I2747="","",IFERROR(INDEX(catAlim,MATCH(D2747,catNom,0))&amp;"",""))</f>
        <v/>
      </c>
      <c r="M2747" s="19">
        <f>IF(I2747="","",IFERROR(INDEX(catComida,MATCH(D2747,catNom,0))&amp;"",""))</f>
        <v/>
      </c>
      <c r="N2747" s="19">
        <f>IF(I2747="","",IFERROR(INDEX(ctaMon,MATCH(E2747,ctaNom,0))&amp;"","DOP"))</f>
        <v/>
      </c>
      <c r="O2747" s="20">
        <f>IF(I2747="","",C2747*IF(N2747="USD",TasaUSD,1))</f>
        <v/>
      </c>
      <c r="P2747" s="20">
        <f>IF(I2747="","",IF(I2747="Gasto",O2747,0))</f>
        <v/>
      </c>
      <c r="Q2747" s="20">
        <f>IF(I2747="","",IF(I2747="Ingreso",O2747,0))</f>
        <v/>
      </c>
      <c r="R2747" s="20">
        <f>IF(I2747="","",IF(I2747="Trading",O2747,0))</f>
        <v/>
      </c>
      <c r="S2747" s="19">
        <f>IF(I2747="","",IF(AND(I2747="Gasto",K2747="Variable",J2747&lt;&gt;"Trading",O2747&gt;0,O2747&lt;=Umbral),1,0))</f>
        <v/>
      </c>
      <c r="T2747" s="20">
        <f>IF(OR(I2747="",E2747=""),"",IF(OR(I2747="Gasto",I2747="Transferencia",I2747="Pago tarjeta"),-1,1)*C2747)</f>
        <v/>
      </c>
      <c r="U2747" s="20">
        <f>IF(OR(G2747="",AND(I2747&lt;&gt;"Transferencia",I2747&lt;&gt;"Pago tarjeta")),"",IF(IFERROR(INDEX(ctaMon,MATCH(G2747,ctaNom,0))&amp;"","DOP")=N2747,C2747,IF(N2747="USD",C2747*TasaUSD,C2747/TasaUSD)))</f>
        <v/>
      </c>
      <c r="V2747" s="20">
        <f>IF(I2747="","",IF(IFERROR(INDEX(ctaLiq,MATCH(E2747,ctaNom,0))="Sí",FALSE),IF(OR(I2747="Gasto",I2747="Transferencia",I2747="Pago tarjeta"),-1,1)*O2747,0)+IF(AND(U2747&lt;&gt;"",IFERROR(INDEX(ctaLiq,MATCH(G2747,ctaNom,0))="Sí",FALSE)),O2747,0))</f>
        <v/>
      </c>
      <c r="W2747" s="19">
        <f>IF(OR(F2747="",I2747=""),"",IF(COUNTIFS(F$6:F2747,F2747,I$6:I2747,"?*")=1,MAX(W$5:W2746)+1,""))</f>
        <v/>
      </c>
    </row>
    <row r="2748">
      <c r="B2748" s="15" t="n"/>
      <c r="C2748" s="16" t="n"/>
      <c r="D2748" s="17" t="n"/>
      <c r="E2748" s="17" t="n"/>
      <c r="F2748" s="17" t="n"/>
      <c r="G2748" s="17" t="n"/>
      <c r="H2748" s="18">
        <f>IF(AND(B2748="",C2748="",D2748="",E2748=""),"",IF(B2748="","⚠ Falta fecha",IF(C2748="","⚠ Falta monto",IF(D2748="","⚠ Falta categoría",IF(ISNA(MATCH(D2748,catNom,0)),"⚠ Categoría no existe",IF(E2748="","⚠ Falta cuenta",IF(ISNA(MATCH(E2748,ctaNom,0)),"⚠ Cuenta no existe",IF(AND(OR(I2748="Transferencia",I2748="Pago tarjeta"),G2748=""),"⚠ Indica la cuenta «Hacia»",IF(AND(G2748&lt;&gt;"",G2748=E2748),"⚠ «Hacia» igual a la cuenta",IF(AND(G2748&lt;&gt;"",ISNA(MATCH(G2748,ctaNom,0))),"⚠ «Hacia» no existe",IF(AND(I2748="Pago tarjeta",IFERROR(INDEX(ctaTipo,MATCH(G2748,ctaNom,0)),"")&lt;&gt;"Tarjeta de crédito"),"⚠ «Hacia» debe ser la tarjeta",IF(AND(I2748="Trading",IFERROR(INDEX(ctaTipo,MATCH(E2748,ctaNom,0)),"")&lt;&gt;"Cuenta de trading"),"⚠ Usa la cuenta de trading","✓"))))))))))))</f>
        <v/>
      </c>
      <c r="I2748" s="19">
        <f>IF(OR(B2748="",C2748="",D2748=""),"",IFERROR(INDEX(catTipo,MATCH(D2748,catNom,0))&amp;"",""))</f>
        <v/>
      </c>
      <c r="J2748" s="19">
        <f>IF(I2748="","",IFERROR(INDEX(catGrupo,MATCH(D2748,catNom,0))&amp;"",""))</f>
        <v/>
      </c>
      <c r="K2748" s="19">
        <f>IF(I2748="Gasto",IF(IFERROR(INDEX(catClas,MATCH(D2748,catNom,0))&amp;"","")="","Variable",IFERROR(INDEX(catClas,MATCH(D2748,catNom,0))&amp;"","")),"")</f>
        <v/>
      </c>
      <c r="L2748" s="19">
        <f>IF(I2748="","",IFERROR(INDEX(catAlim,MATCH(D2748,catNom,0))&amp;"",""))</f>
        <v/>
      </c>
      <c r="M2748" s="19">
        <f>IF(I2748="","",IFERROR(INDEX(catComida,MATCH(D2748,catNom,0))&amp;"",""))</f>
        <v/>
      </c>
      <c r="N2748" s="19">
        <f>IF(I2748="","",IFERROR(INDEX(ctaMon,MATCH(E2748,ctaNom,0))&amp;"","DOP"))</f>
        <v/>
      </c>
      <c r="O2748" s="20">
        <f>IF(I2748="","",C2748*IF(N2748="USD",TasaUSD,1))</f>
        <v/>
      </c>
      <c r="P2748" s="20">
        <f>IF(I2748="","",IF(I2748="Gasto",O2748,0))</f>
        <v/>
      </c>
      <c r="Q2748" s="20">
        <f>IF(I2748="","",IF(I2748="Ingreso",O2748,0))</f>
        <v/>
      </c>
      <c r="R2748" s="20">
        <f>IF(I2748="","",IF(I2748="Trading",O2748,0))</f>
        <v/>
      </c>
      <c r="S2748" s="19">
        <f>IF(I2748="","",IF(AND(I2748="Gasto",K2748="Variable",J2748&lt;&gt;"Trading",O2748&gt;0,O2748&lt;=Umbral),1,0))</f>
        <v/>
      </c>
      <c r="T2748" s="20">
        <f>IF(OR(I2748="",E2748=""),"",IF(OR(I2748="Gasto",I2748="Transferencia",I2748="Pago tarjeta"),-1,1)*C2748)</f>
        <v/>
      </c>
      <c r="U2748" s="20">
        <f>IF(OR(G2748="",AND(I2748&lt;&gt;"Transferencia",I2748&lt;&gt;"Pago tarjeta")),"",IF(IFERROR(INDEX(ctaMon,MATCH(G2748,ctaNom,0))&amp;"","DOP")=N2748,C2748,IF(N2748="USD",C2748*TasaUSD,C2748/TasaUSD)))</f>
        <v/>
      </c>
      <c r="V2748" s="20">
        <f>IF(I2748="","",IF(IFERROR(INDEX(ctaLiq,MATCH(E2748,ctaNom,0))="Sí",FALSE),IF(OR(I2748="Gasto",I2748="Transferencia",I2748="Pago tarjeta"),-1,1)*O2748,0)+IF(AND(U2748&lt;&gt;"",IFERROR(INDEX(ctaLiq,MATCH(G2748,ctaNom,0))="Sí",FALSE)),O2748,0))</f>
        <v/>
      </c>
      <c r="W2748" s="19">
        <f>IF(OR(F2748="",I2748=""),"",IF(COUNTIFS(F$6:F2748,F2748,I$6:I2748,"?*")=1,MAX(W$5:W2747)+1,""))</f>
        <v/>
      </c>
    </row>
    <row r="2749">
      <c r="B2749" s="15" t="n"/>
      <c r="C2749" s="16" t="n"/>
      <c r="D2749" s="17" t="n"/>
      <c r="E2749" s="17" t="n"/>
      <c r="F2749" s="17" t="n"/>
      <c r="G2749" s="17" t="n"/>
      <c r="H2749" s="18">
        <f>IF(AND(B2749="",C2749="",D2749="",E2749=""),"",IF(B2749="","⚠ Falta fecha",IF(C2749="","⚠ Falta monto",IF(D2749="","⚠ Falta categoría",IF(ISNA(MATCH(D2749,catNom,0)),"⚠ Categoría no existe",IF(E2749="","⚠ Falta cuenta",IF(ISNA(MATCH(E2749,ctaNom,0)),"⚠ Cuenta no existe",IF(AND(OR(I2749="Transferencia",I2749="Pago tarjeta"),G2749=""),"⚠ Indica la cuenta «Hacia»",IF(AND(G2749&lt;&gt;"",G2749=E2749),"⚠ «Hacia» igual a la cuenta",IF(AND(G2749&lt;&gt;"",ISNA(MATCH(G2749,ctaNom,0))),"⚠ «Hacia» no existe",IF(AND(I2749="Pago tarjeta",IFERROR(INDEX(ctaTipo,MATCH(G2749,ctaNom,0)),"")&lt;&gt;"Tarjeta de crédito"),"⚠ «Hacia» debe ser la tarjeta",IF(AND(I2749="Trading",IFERROR(INDEX(ctaTipo,MATCH(E2749,ctaNom,0)),"")&lt;&gt;"Cuenta de trading"),"⚠ Usa la cuenta de trading","✓"))))))))))))</f>
        <v/>
      </c>
      <c r="I2749" s="19">
        <f>IF(OR(B2749="",C2749="",D2749=""),"",IFERROR(INDEX(catTipo,MATCH(D2749,catNom,0))&amp;"",""))</f>
        <v/>
      </c>
      <c r="J2749" s="19">
        <f>IF(I2749="","",IFERROR(INDEX(catGrupo,MATCH(D2749,catNom,0))&amp;"",""))</f>
        <v/>
      </c>
      <c r="K2749" s="19">
        <f>IF(I2749="Gasto",IF(IFERROR(INDEX(catClas,MATCH(D2749,catNom,0))&amp;"","")="","Variable",IFERROR(INDEX(catClas,MATCH(D2749,catNom,0))&amp;"","")),"")</f>
        <v/>
      </c>
      <c r="L2749" s="19">
        <f>IF(I2749="","",IFERROR(INDEX(catAlim,MATCH(D2749,catNom,0))&amp;"",""))</f>
        <v/>
      </c>
      <c r="M2749" s="19">
        <f>IF(I2749="","",IFERROR(INDEX(catComida,MATCH(D2749,catNom,0))&amp;"",""))</f>
        <v/>
      </c>
      <c r="N2749" s="19">
        <f>IF(I2749="","",IFERROR(INDEX(ctaMon,MATCH(E2749,ctaNom,0))&amp;"","DOP"))</f>
        <v/>
      </c>
      <c r="O2749" s="20">
        <f>IF(I2749="","",C2749*IF(N2749="USD",TasaUSD,1))</f>
        <v/>
      </c>
      <c r="P2749" s="20">
        <f>IF(I2749="","",IF(I2749="Gasto",O2749,0))</f>
        <v/>
      </c>
      <c r="Q2749" s="20">
        <f>IF(I2749="","",IF(I2749="Ingreso",O2749,0))</f>
        <v/>
      </c>
      <c r="R2749" s="20">
        <f>IF(I2749="","",IF(I2749="Trading",O2749,0))</f>
        <v/>
      </c>
      <c r="S2749" s="19">
        <f>IF(I2749="","",IF(AND(I2749="Gasto",K2749="Variable",J2749&lt;&gt;"Trading",O2749&gt;0,O2749&lt;=Umbral),1,0))</f>
        <v/>
      </c>
      <c r="T2749" s="20">
        <f>IF(OR(I2749="",E2749=""),"",IF(OR(I2749="Gasto",I2749="Transferencia",I2749="Pago tarjeta"),-1,1)*C2749)</f>
        <v/>
      </c>
      <c r="U2749" s="20">
        <f>IF(OR(G2749="",AND(I2749&lt;&gt;"Transferencia",I2749&lt;&gt;"Pago tarjeta")),"",IF(IFERROR(INDEX(ctaMon,MATCH(G2749,ctaNom,0))&amp;"","DOP")=N2749,C2749,IF(N2749="USD",C2749*TasaUSD,C2749/TasaUSD)))</f>
        <v/>
      </c>
      <c r="V2749" s="20">
        <f>IF(I2749="","",IF(IFERROR(INDEX(ctaLiq,MATCH(E2749,ctaNom,0))="Sí",FALSE),IF(OR(I2749="Gasto",I2749="Transferencia",I2749="Pago tarjeta"),-1,1)*O2749,0)+IF(AND(U2749&lt;&gt;"",IFERROR(INDEX(ctaLiq,MATCH(G2749,ctaNom,0))="Sí",FALSE)),O2749,0))</f>
        <v/>
      </c>
      <c r="W2749" s="19">
        <f>IF(OR(F2749="",I2749=""),"",IF(COUNTIFS(F$6:F2749,F2749,I$6:I2749,"?*")=1,MAX(W$5:W2748)+1,""))</f>
        <v/>
      </c>
    </row>
    <row r="2750">
      <c r="B2750" s="15" t="n"/>
      <c r="C2750" s="16" t="n"/>
      <c r="D2750" s="17" t="n"/>
      <c r="E2750" s="17" t="n"/>
      <c r="F2750" s="17" t="n"/>
      <c r="G2750" s="17" t="n"/>
      <c r="H2750" s="18">
        <f>IF(AND(B2750="",C2750="",D2750="",E2750=""),"",IF(B2750="","⚠ Falta fecha",IF(C2750="","⚠ Falta monto",IF(D2750="","⚠ Falta categoría",IF(ISNA(MATCH(D2750,catNom,0)),"⚠ Categoría no existe",IF(E2750="","⚠ Falta cuenta",IF(ISNA(MATCH(E2750,ctaNom,0)),"⚠ Cuenta no existe",IF(AND(OR(I2750="Transferencia",I2750="Pago tarjeta"),G2750=""),"⚠ Indica la cuenta «Hacia»",IF(AND(G2750&lt;&gt;"",G2750=E2750),"⚠ «Hacia» igual a la cuenta",IF(AND(G2750&lt;&gt;"",ISNA(MATCH(G2750,ctaNom,0))),"⚠ «Hacia» no existe",IF(AND(I2750="Pago tarjeta",IFERROR(INDEX(ctaTipo,MATCH(G2750,ctaNom,0)),"")&lt;&gt;"Tarjeta de crédito"),"⚠ «Hacia» debe ser la tarjeta",IF(AND(I2750="Trading",IFERROR(INDEX(ctaTipo,MATCH(E2750,ctaNom,0)),"")&lt;&gt;"Cuenta de trading"),"⚠ Usa la cuenta de trading","✓"))))))))))))</f>
        <v/>
      </c>
      <c r="I2750" s="19">
        <f>IF(OR(B2750="",C2750="",D2750=""),"",IFERROR(INDEX(catTipo,MATCH(D2750,catNom,0))&amp;"",""))</f>
        <v/>
      </c>
      <c r="J2750" s="19">
        <f>IF(I2750="","",IFERROR(INDEX(catGrupo,MATCH(D2750,catNom,0))&amp;"",""))</f>
        <v/>
      </c>
      <c r="K2750" s="19">
        <f>IF(I2750="Gasto",IF(IFERROR(INDEX(catClas,MATCH(D2750,catNom,0))&amp;"","")="","Variable",IFERROR(INDEX(catClas,MATCH(D2750,catNom,0))&amp;"","")),"")</f>
        <v/>
      </c>
      <c r="L2750" s="19">
        <f>IF(I2750="","",IFERROR(INDEX(catAlim,MATCH(D2750,catNom,0))&amp;"",""))</f>
        <v/>
      </c>
      <c r="M2750" s="19">
        <f>IF(I2750="","",IFERROR(INDEX(catComida,MATCH(D2750,catNom,0))&amp;"",""))</f>
        <v/>
      </c>
      <c r="N2750" s="19">
        <f>IF(I2750="","",IFERROR(INDEX(ctaMon,MATCH(E2750,ctaNom,0))&amp;"","DOP"))</f>
        <v/>
      </c>
      <c r="O2750" s="20">
        <f>IF(I2750="","",C2750*IF(N2750="USD",TasaUSD,1))</f>
        <v/>
      </c>
      <c r="P2750" s="20">
        <f>IF(I2750="","",IF(I2750="Gasto",O2750,0))</f>
        <v/>
      </c>
      <c r="Q2750" s="20">
        <f>IF(I2750="","",IF(I2750="Ingreso",O2750,0))</f>
        <v/>
      </c>
      <c r="R2750" s="20">
        <f>IF(I2750="","",IF(I2750="Trading",O2750,0))</f>
        <v/>
      </c>
      <c r="S2750" s="19">
        <f>IF(I2750="","",IF(AND(I2750="Gasto",K2750="Variable",J2750&lt;&gt;"Trading",O2750&gt;0,O2750&lt;=Umbral),1,0))</f>
        <v/>
      </c>
      <c r="T2750" s="20">
        <f>IF(OR(I2750="",E2750=""),"",IF(OR(I2750="Gasto",I2750="Transferencia",I2750="Pago tarjeta"),-1,1)*C2750)</f>
        <v/>
      </c>
      <c r="U2750" s="20">
        <f>IF(OR(G2750="",AND(I2750&lt;&gt;"Transferencia",I2750&lt;&gt;"Pago tarjeta")),"",IF(IFERROR(INDEX(ctaMon,MATCH(G2750,ctaNom,0))&amp;"","DOP")=N2750,C2750,IF(N2750="USD",C2750*TasaUSD,C2750/TasaUSD)))</f>
        <v/>
      </c>
      <c r="V2750" s="20">
        <f>IF(I2750="","",IF(IFERROR(INDEX(ctaLiq,MATCH(E2750,ctaNom,0))="Sí",FALSE),IF(OR(I2750="Gasto",I2750="Transferencia",I2750="Pago tarjeta"),-1,1)*O2750,0)+IF(AND(U2750&lt;&gt;"",IFERROR(INDEX(ctaLiq,MATCH(G2750,ctaNom,0))="Sí",FALSE)),O2750,0))</f>
        <v/>
      </c>
      <c r="W2750" s="19">
        <f>IF(OR(F2750="",I2750=""),"",IF(COUNTIFS(F$6:F2750,F2750,I$6:I2750,"?*")=1,MAX(W$5:W2749)+1,""))</f>
        <v/>
      </c>
    </row>
    <row r="2751">
      <c r="B2751" s="15" t="n"/>
      <c r="C2751" s="16" t="n"/>
      <c r="D2751" s="17" t="n"/>
      <c r="E2751" s="17" t="n"/>
      <c r="F2751" s="17" t="n"/>
      <c r="G2751" s="17" t="n"/>
      <c r="H2751" s="18">
        <f>IF(AND(B2751="",C2751="",D2751="",E2751=""),"",IF(B2751="","⚠ Falta fecha",IF(C2751="","⚠ Falta monto",IF(D2751="","⚠ Falta categoría",IF(ISNA(MATCH(D2751,catNom,0)),"⚠ Categoría no existe",IF(E2751="","⚠ Falta cuenta",IF(ISNA(MATCH(E2751,ctaNom,0)),"⚠ Cuenta no existe",IF(AND(OR(I2751="Transferencia",I2751="Pago tarjeta"),G2751=""),"⚠ Indica la cuenta «Hacia»",IF(AND(G2751&lt;&gt;"",G2751=E2751),"⚠ «Hacia» igual a la cuenta",IF(AND(G2751&lt;&gt;"",ISNA(MATCH(G2751,ctaNom,0))),"⚠ «Hacia» no existe",IF(AND(I2751="Pago tarjeta",IFERROR(INDEX(ctaTipo,MATCH(G2751,ctaNom,0)),"")&lt;&gt;"Tarjeta de crédito"),"⚠ «Hacia» debe ser la tarjeta",IF(AND(I2751="Trading",IFERROR(INDEX(ctaTipo,MATCH(E2751,ctaNom,0)),"")&lt;&gt;"Cuenta de trading"),"⚠ Usa la cuenta de trading","✓"))))))))))))</f>
        <v/>
      </c>
      <c r="I2751" s="19">
        <f>IF(OR(B2751="",C2751="",D2751=""),"",IFERROR(INDEX(catTipo,MATCH(D2751,catNom,0))&amp;"",""))</f>
        <v/>
      </c>
      <c r="J2751" s="19">
        <f>IF(I2751="","",IFERROR(INDEX(catGrupo,MATCH(D2751,catNom,0))&amp;"",""))</f>
        <v/>
      </c>
      <c r="K2751" s="19">
        <f>IF(I2751="Gasto",IF(IFERROR(INDEX(catClas,MATCH(D2751,catNom,0))&amp;"","")="","Variable",IFERROR(INDEX(catClas,MATCH(D2751,catNom,0))&amp;"","")),"")</f>
        <v/>
      </c>
      <c r="L2751" s="19">
        <f>IF(I2751="","",IFERROR(INDEX(catAlim,MATCH(D2751,catNom,0))&amp;"",""))</f>
        <v/>
      </c>
      <c r="M2751" s="19">
        <f>IF(I2751="","",IFERROR(INDEX(catComida,MATCH(D2751,catNom,0))&amp;"",""))</f>
        <v/>
      </c>
      <c r="N2751" s="19">
        <f>IF(I2751="","",IFERROR(INDEX(ctaMon,MATCH(E2751,ctaNom,0))&amp;"","DOP"))</f>
        <v/>
      </c>
      <c r="O2751" s="20">
        <f>IF(I2751="","",C2751*IF(N2751="USD",TasaUSD,1))</f>
        <v/>
      </c>
      <c r="P2751" s="20">
        <f>IF(I2751="","",IF(I2751="Gasto",O2751,0))</f>
        <v/>
      </c>
      <c r="Q2751" s="20">
        <f>IF(I2751="","",IF(I2751="Ingreso",O2751,0))</f>
        <v/>
      </c>
      <c r="R2751" s="20">
        <f>IF(I2751="","",IF(I2751="Trading",O2751,0))</f>
        <v/>
      </c>
      <c r="S2751" s="19">
        <f>IF(I2751="","",IF(AND(I2751="Gasto",K2751="Variable",J2751&lt;&gt;"Trading",O2751&gt;0,O2751&lt;=Umbral),1,0))</f>
        <v/>
      </c>
      <c r="T2751" s="20">
        <f>IF(OR(I2751="",E2751=""),"",IF(OR(I2751="Gasto",I2751="Transferencia",I2751="Pago tarjeta"),-1,1)*C2751)</f>
        <v/>
      </c>
      <c r="U2751" s="20">
        <f>IF(OR(G2751="",AND(I2751&lt;&gt;"Transferencia",I2751&lt;&gt;"Pago tarjeta")),"",IF(IFERROR(INDEX(ctaMon,MATCH(G2751,ctaNom,0))&amp;"","DOP")=N2751,C2751,IF(N2751="USD",C2751*TasaUSD,C2751/TasaUSD)))</f>
        <v/>
      </c>
      <c r="V2751" s="20">
        <f>IF(I2751="","",IF(IFERROR(INDEX(ctaLiq,MATCH(E2751,ctaNom,0))="Sí",FALSE),IF(OR(I2751="Gasto",I2751="Transferencia",I2751="Pago tarjeta"),-1,1)*O2751,0)+IF(AND(U2751&lt;&gt;"",IFERROR(INDEX(ctaLiq,MATCH(G2751,ctaNom,0))="Sí",FALSE)),O2751,0))</f>
        <v/>
      </c>
      <c r="W2751" s="19">
        <f>IF(OR(F2751="",I2751=""),"",IF(COUNTIFS(F$6:F2751,F2751,I$6:I2751,"?*")=1,MAX(W$5:W2750)+1,""))</f>
        <v/>
      </c>
    </row>
    <row r="2752">
      <c r="B2752" s="15" t="n"/>
      <c r="C2752" s="16" t="n"/>
      <c r="D2752" s="17" t="n"/>
      <c r="E2752" s="17" t="n"/>
      <c r="F2752" s="17" t="n"/>
      <c r="G2752" s="17" t="n"/>
      <c r="H2752" s="18">
        <f>IF(AND(B2752="",C2752="",D2752="",E2752=""),"",IF(B2752="","⚠ Falta fecha",IF(C2752="","⚠ Falta monto",IF(D2752="","⚠ Falta categoría",IF(ISNA(MATCH(D2752,catNom,0)),"⚠ Categoría no existe",IF(E2752="","⚠ Falta cuenta",IF(ISNA(MATCH(E2752,ctaNom,0)),"⚠ Cuenta no existe",IF(AND(OR(I2752="Transferencia",I2752="Pago tarjeta"),G2752=""),"⚠ Indica la cuenta «Hacia»",IF(AND(G2752&lt;&gt;"",G2752=E2752),"⚠ «Hacia» igual a la cuenta",IF(AND(G2752&lt;&gt;"",ISNA(MATCH(G2752,ctaNom,0))),"⚠ «Hacia» no existe",IF(AND(I2752="Pago tarjeta",IFERROR(INDEX(ctaTipo,MATCH(G2752,ctaNom,0)),"")&lt;&gt;"Tarjeta de crédito"),"⚠ «Hacia» debe ser la tarjeta",IF(AND(I2752="Trading",IFERROR(INDEX(ctaTipo,MATCH(E2752,ctaNom,0)),"")&lt;&gt;"Cuenta de trading"),"⚠ Usa la cuenta de trading","✓"))))))))))))</f>
        <v/>
      </c>
      <c r="I2752" s="19">
        <f>IF(OR(B2752="",C2752="",D2752=""),"",IFERROR(INDEX(catTipo,MATCH(D2752,catNom,0))&amp;"",""))</f>
        <v/>
      </c>
      <c r="J2752" s="19">
        <f>IF(I2752="","",IFERROR(INDEX(catGrupo,MATCH(D2752,catNom,0))&amp;"",""))</f>
        <v/>
      </c>
      <c r="K2752" s="19">
        <f>IF(I2752="Gasto",IF(IFERROR(INDEX(catClas,MATCH(D2752,catNom,0))&amp;"","")="","Variable",IFERROR(INDEX(catClas,MATCH(D2752,catNom,0))&amp;"","")),"")</f>
        <v/>
      </c>
      <c r="L2752" s="19">
        <f>IF(I2752="","",IFERROR(INDEX(catAlim,MATCH(D2752,catNom,0))&amp;"",""))</f>
        <v/>
      </c>
      <c r="M2752" s="19">
        <f>IF(I2752="","",IFERROR(INDEX(catComida,MATCH(D2752,catNom,0))&amp;"",""))</f>
        <v/>
      </c>
      <c r="N2752" s="19">
        <f>IF(I2752="","",IFERROR(INDEX(ctaMon,MATCH(E2752,ctaNom,0))&amp;"","DOP"))</f>
        <v/>
      </c>
      <c r="O2752" s="20">
        <f>IF(I2752="","",C2752*IF(N2752="USD",TasaUSD,1))</f>
        <v/>
      </c>
      <c r="P2752" s="20">
        <f>IF(I2752="","",IF(I2752="Gasto",O2752,0))</f>
        <v/>
      </c>
      <c r="Q2752" s="20">
        <f>IF(I2752="","",IF(I2752="Ingreso",O2752,0))</f>
        <v/>
      </c>
      <c r="R2752" s="20">
        <f>IF(I2752="","",IF(I2752="Trading",O2752,0))</f>
        <v/>
      </c>
      <c r="S2752" s="19">
        <f>IF(I2752="","",IF(AND(I2752="Gasto",K2752="Variable",J2752&lt;&gt;"Trading",O2752&gt;0,O2752&lt;=Umbral),1,0))</f>
        <v/>
      </c>
      <c r="T2752" s="20">
        <f>IF(OR(I2752="",E2752=""),"",IF(OR(I2752="Gasto",I2752="Transferencia",I2752="Pago tarjeta"),-1,1)*C2752)</f>
        <v/>
      </c>
      <c r="U2752" s="20">
        <f>IF(OR(G2752="",AND(I2752&lt;&gt;"Transferencia",I2752&lt;&gt;"Pago tarjeta")),"",IF(IFERROR(INDEX(ctaMon,MATCH(G2752,ctaNom,0))&amp;"","DOP")=N2752,C2752,IF(N2752="USD",C2752*TasaUSD,C2752/TasaUSD)))</f>
        <v/>
      </c>
      <c r="V2752" s="20">
        <f>IF(I2752="","",IF(IFERROR(INDEX(ctaLiq,MATCH(E2752,ctaNom,0))="Sí",FALSE),IF(OR(I2752="Gasto",I2752="Transferencia",I2752="Pago tarjeta"),-1,1)*O2752,0)+IF(AND(U2752&lt;&gt;"",IFERROR(INDEX(ctaLiq,MATCH(G2752,ctaNom,0))="Sí",FALSE)),O2752,0))</f>
        <v/>
      </c>
      <c r="W2752" s="19">
        <f>IF(OR(F2752="",I2752=""),"",IF(COUNTIFS(F$6:F2752,F2752,I$6:I2752,"?*")=1,MAX(W$5:W2751)+1,""))</f>
        <v/>
      </c>
    </row>
    <row r="2753">
      <c r="B2753" s="15" t="n"/>
      <c r="C2753" s="16" t="n"/>
      <c r="D2753" s="17" t="n"/>
      <c r="E2753" s="17" t="n"/>
      <c r="F2753" s="17" t="n"/>
      <c r="G2753" s="17" t="n"/>
      <c r="H2753" s="18">
        <f>IF(AND(B2753="",C2753="",D2753="",E2753=""),"",IF(B2753="","⚠ Falta fecha",IF(C2753="","⚠ Falta monto",IF(D2753="","⚠ Falta categoría",IF(ISNA(MATCH(D2753,catNom,0)),"⚠ Categoría no existe",IF(E2753="","⚠ Falta cuenta",IF(ISNA(MATCH(E2753,ctaNom,0)),"⚠ Cuenta no existe",IF(AND(OR(I2753="Transferencia",I2753="Pago tarjeta"),G2753=""),"⚠ Indica la cuenta «Hacia»",IF(AND(G2753&lt;&gt;"",G2753=E2753),"⚠ «Hacia» igual a la cuenta",IF(AND(G2753&lt;&gt;"",ISNA(MATCH(G2753,ctaNom,0))),"⚠ «Hacia» no existe",IF(AND(I2753="Pago tarjeta",IFERROR(INDEX(ctaTipo,MATCH(G2753,ctaNom,0)),"")&lt;&gt;"Tarjeta de crédito"),"⚠ «Hacia» debe ser la tarjeta",IF(AND(I2753="Trading",IFERROR(INDEX(ctaTipo,MATCH(E2753,ctaNom,0)),"")&lt;&gt;"Cuenta de trading"),"⚠ Usa la cuenta de trading","✓"))))))))))))</f>
        <v/>
      </c>
      <c r="I2753" s="19">
        <f>IF(OR(B2753="",C2753="",D2753=""),"",IFERROR(INDEX(catTipo,MATCH(D2753,catNom,0))&amp;"",""))</f>
        <v/>
      </c>
      <c r="J2753" s="19">
        <f>IF(I2753="","",IFERROR(INDEX(catGrupo,MATCH(D2753,catNom,0))&amp;"",""))</f>
        <v/>
      </c>
      <c r="K2753" s="19">
        <f>IF(I2753="Gasto",IF(IFERROR(INDEX(catClas,MATCH(D2753,catNom,0))&amp;"","")="","Variable",IFERROR(INDEX(catClas,MATCH(D2753,catNom,0))&amp;"","")),"")</f>
        <v/>
      </c>
      <c r="L2753" s="19">
        <f>IF(I2753="","",IFERROR(INDEX(catAlim,MATCH(D2753,catNom,0))&amp;"",""))</f>
        <v/>
      </c>
      <c r="M2753" s="19">
        <f>IF(I2753="","",IFERROR(INDEX(catComida,MATCH(D2753,catNom,0))&amp;"",""))</f>
        <v/>
      </c>
      <c r="N2753" s="19">
        <f>IF(I2753="","",IFERROR(INDEX(ctaMon,MATCH(E2753,ctaNom,0))&amp;"","DOP"))</f>
        <v/>
      </c>
      <c r="O2753" s="20">
        <f>IF(I2753="","",C2753*IF(N2753="USD",TasaUSD,1))</f>
        <v/>
      </c>
      <c r="P2753" s="20">
        <f>IF(I2753="","",IF(I2753="Gasto",O2753,0))</f>
        <v/>
      </c>
      <c r="Q2753" s="20">
        <f>IF(I2753="","",IF(I2753="Ingreso",O2753,0))</f>
        <v/>
      </c>
      <c r="R2753" s="20">
        <f>IF(I2753="","",IF(I2753="Trading",O2753,0))</f>
        <v/>
      </c>
      <c r="S2753" s="19">
        <f>IF(I2753="","",IF(AND(I2753="Gasto",K2753="Variable",J2753&lt;&gt;"Trading",O2753&gt;0,O2753&lt;=Umbral),1,0))</f>
        <v/>
      </c>
      <c r="T2753" s="20">
        <f>IF(OR(I2753="",E2753=""),"",IF(OR(I2753="Gasto",I2753="Transferencia",I2753="Pago tarjeta"),-1,1)*C2753)</f>
        <v/>
      </c>
      <c r="U2753" s="20">
        <f>IF(OR(G2753="",AND(I2753&lt;&gt;"Transferencia",I2753&lt;&gt;"Pago tarjeta")),"",IF(IFERROR(INDEX(ctaMon,MATCH(G2753,ctaNom,0))&amp;"","DOP")=N2753,C2753,IF(N2753="USD",C2753*TasaUSD,C2753/TasaUSD)))</f>
        <v/>
      </c>
      <c r="V2753" s="20">
        <f>IF(I2753="","",IF(IFERROR(INDEX(ctaLiq,MATCH(E2753,ctaNom,0))="Sí",FALSE),IF(OR(I2753="Gasto",I2753="Transferencia",I2753="Pago tarjeta"),-1,1)*O2753,0)+IF(AND(U2753&lt;&gt;"",IFERROR(INDEX(ctaLiq,MATCH(G2753,ctaNom,0))="Sí",FALSE)),O2753,0))</f>
        <v/>
      </c>
      <c r="W2753" s="19">
        <f>IF(OR(F2753="",I2753=""),"",IF(COUNTIFS(F$6:F2753,F2753,I$6:I2753,"?*")=1,MAX(W$5:W2752)+1,""))</f>
        <v/>
      </c>
    </row>
    <row r="2754">
      <c r="B2754" s="15" t="n"/>
      <c r="C2754" s="16" t="n"/>
      <c r="D2754" s="17" t="n"/>
      <c r="E2754" s="17" t="n"/>
      <c r="F2754" s="17" t="n"/>
      <c r="G2754" s="17" t="n"/>
      <c r="H2754" s="18">
        <f>IF(AND(B2754="",C2754="",D2754="",E2754=""),"",IF(B2754="","⚠ Falta fecha",IF(C2754="","⚠ Falta monto",IF(D2754="","⚠ Falta categoría",IF(ISNA(MATCH(D2754,catNom,0)),"⚠ Categoría no existe",IF(E2754="","⚠ Falta cuenta",IF(ISNA(MATCH(E2754,ctaNom,0)),"⚠ Cuenta no existe",IF(AND(OR(I2754="Transferencia",I2754="Pago tarjeta"),G2754=""),"⚠ Indica la cuenta «Hacia»",IF(AND(G2754&lt;&gt;"",G2754=E2754),"⚠ «Hacia» igual a la cuenta",IF(AND(G2754&lt;&gt;"",ISNA(MATCH(G2754,ctaNom,0))),"⚠ «Hacia» no existe",IF(AND(I2754="Pago tarjeta",IFERROR(INDEX(ctaTipo,MATCH(G2754,ctaNom,0)),"")&lt;&gt;"Tarjeta de crédito"),"⚠ «Hacia» debe ser la tarjeta",IF(AND(I2754="Trading",IFERROR(INDEX(ctaTipo,MATCH(E2754,ctaNom,0)),"")&lt;&gt;"Cuenta de trading"),"⚠ Usa la cuenta de trading","✓"))))))))))))</f>
        <v/>
      </c>
      <c r="I2754" s="19">
        <f>IF(OR(B2754="",C2754="",D2754=""),"",IFERROR(INDEX(catTipo,MATCH(D2754,catNom,0))&amp;"",""))</f>
        <v/>
      </c>
      <c r="J2754" s="19">
        <f>IF(I2754="","",IFERROR(INDEX(catGrupo,MATCH(D2754,catNom,0))&amp;"",""))</f>
        <v/>
      </c>
      <c r="K2754" s="19">
        <f>IF(I2754="Gasto",IF(IFERROR(INDEX(catClas,MATCH(D2754,catNom,0))&amp;"","")="","Variable",IFERROR(INDEX(catClas,MATCH(D2754,catNom,0))&amp;"","")),"")</f>
        <v/>
      </c>
      <c r="L2754" s="19">
        <f>IF(I2754="","",IFERROR(INDEX(catAlim,MATCH(D2754,catNom,0))&amp;"",""))</f>
        <v/>
      </c>
      <c r="M2754" s="19">
        <f>IF(I2754="","",IFERROR(INDEX(catComida,MATCH(D2754,catNom,0))&amp;"",""))</f>
        <v/>
      </c>
      <c r="N2754" s="19">
        <f>IF(I2754="","",IFERROR(INDEX(ctaMon,MATCH(E2754,ctaNom,0))&amp;"","DOP"))</f>
        <v/>
      </c>
      <c r="O2754" s="20">
        <f>IF(I2754="","",C2754*IF(N2754="USD",TasaUSD,1))</f>
        <v/>
      </c>
      <c r="P2754" s="20">
        <f>IF(I2754="","",IF(I2754="Gasto",O2754,0))</f>
        <v/>
      </c>
      <c r="Q2754" s="20">
        <f>IF(I2754="","",IF(I2754="Ingreso",O2754,0))</f>
        <v/>
      </c>
      <c r="R2754" s="20">
        <f>IF(I2754="","",IF(I2754="Trading",O2754,0))</f>
        <v/>
      </c>
      <c r="S2754" s="19">
        <f>IF(I2754="","",IF(AND(I2754="Gasto",K2754="Variable",J2754&lt;&gt;"Trading",O2754&gt;0,O2754&lt;=Umbral),1,0))</f>
        <v/>
      </c>
      <c r="T2754" s="20">
        <f>IF(OR(I2754="",E2754=""),"",IF(OR(I2754="Gasto",I2754="Transferencia",I2754="Pago tarjeta"),-1,1)*C2754)</f>
        <v/>
      </c>
      <c r="U2754" s="20">
        <f>IF(OR(G2754="",AND(I2754&lt;&gt;"Transferencia",I2754&lt;&gt;"Pago tarjeta")),"",IF(IFERROR(INDEX(ctaMon,MATCH(G2754,ctaNom,0))&amp;"","DOP")=N2754,C2754,IF(N2754="USD",C2754*TasaUSD,C2754/TasaUSD)))</f>
        <v/>
      </c>
      <c r="V2754" s="20">
        <f>IF(I2754="","",IF(IFERROR(INDEX(ctaLiq,MATCH(E2754,ctaNom,0))="Sí",FALSE),IF(OR(I2754="Gasto",I2754="Transferencia",I2754="Pago tarjeta"),-1,1)*O2754,0)+IF(AND(U2754&lt;&gt;"",IFERROR(INDEX(ctaLiq,MATCH(G2754,ctaNom,0))="Sí",FALSE)),O2754,0))</f>
        <v/>
      </c>
      <c r="W2754" s="19">
        <f>IF(OR(F2754="",I2754=""),"",IF(COUNTIFS(F$6:F2754,F2754,I$6:I2754,"?*")=1,MAX(W$5:W2753)+1,""))</f>
        <v/>
      </c>
    </row>
    <row r="2755">
      <c r="B2755" s="15" t="n"/>
      <c r="C2755" s="16" t="n"/>
      <c r="D2755" s="17" t="n"/>
      <c r="E2755" s="17" t="n"/>
      <c r="F2755" s="17" t="n"/>
      <c r="G2755" s="17" t="n"/>
      <c r="H2755" s="18">
        <f>IF(AND(B2755="",C2755="",D2755="",E2755=""),"",IF(B2755="","⚠ Falta fecha",IF(C2755="","⚠ Falta monto",IF(D2755="","⚠ Falta categoría",IF(ISNA(MATCH(D2755,catNom,0)),"⚠ Categoría no existe",IF(E2755="","⚠ Falta cuenta",IF(ISNA(MATCH(E2755,ctaNom,0)),"⚠ Cuenta no existe",IF(AND(OR(I2755="Transferencia",I2755="Pago tarjeta"),G2755=""),"⚠ Indica la cuenta «Hacia»",IF(AND(G2755&lt;&gt;"",G2755=E2755),"⚠ «Hacia» igual a la cuenta",IF(AND(G2755&lt;&gt;"",ISNA(MATCH(G2755,ctaNom,0))),"⚠ «Hacia» no existe",IF(AND(I2755="Pago tarjeta",IFERROR(INDEX(ctaTipo,MATCH(G2755,ctaNom,0)),"")&lt;&gt;"Tarjeta de crédito"),"⚠ «Hacia» debe ser la tarjeta",IF(AND(I2755="Trading",IFERROR(INDEX(ctaTipo,MATCH(E2755,ctaNom,0)),"")&lt;&gt;"Cuenta de trading"),"⚠ Usa la cuenta de trading","✓"))))))))))))</f>
        <v/>
      </c>
      <c r="I2755" s="19">
        <f>IF(OR(B2755="",C2755="",D2755=""),"",IFERROR(INDEX(catTipo,MATCH(D2755,catNom,0))&amp;"",""))</f>
        <v/>
      </c>
      <c r="J2755" s="19">
        <f>IF(I2755="","",IFERROR(INDEX(catGrupo,MATCH(D2755,catNom,0))&amp;"",""))</f>
        <v/>
      </c>
      <c r="K2755" s="19">
        <f>IF(I2755="Gasto",IF(IFERROR(INDEX(catClas,MATCH(D2755,catNom,0))&amp;"","")="","Variable",IFERROR(INDEX(catClas,MATCH(D2755,catNom,0))&amp;"","")),"")</f>
        <v/>
      </c>
      <c r="L2755" s="19">
        <f>IF(I2755="","",IFERROR(INDEX(catAlim,MATCH(D2755,catNom,0))&amp;"",""))</f>
        <v/>
      </c>
      <c r="M2755" s="19">
        <f>IF(I2755="","",IFERROR(INDEX(catComida,MATCH(D2755,catNom,0))&amp;"",""))</f>
        <v/>
      </c>
      <c r="N2755" s="19">
        <f>IF(I2755="","",IFERROR(INDEX(ctaMon,MATCH(E2755,ctaNom,0))&amp;"","DOP"))</f>
        <v/>
      </c>
      <c r="O2755" s="20">
        <f>IF(I2755="","",C2755*IF(N2755="USD",TasaUSD,1))</f>
        <v/>
      </c>
      <c r="P2755" s="20">
        <f>IF(I2755="","",IF(I2755="Gasto",O2755,0))</f>
        <v/>
      </c>
      <c r="Q2755" s="20">
        <f>IF(I2755="","",IF(I2755="Ingreso",O2755,0))</f>
        <v/>
      </c>
      <c r="R2755" s="20">
        <f>IF(I2755="","",IF(I2755="Trading",O2755,0))</f>
        <v/>
      </c>
      <c r="S2755" s="19">
        <f>IF(I2755="","",IF(AND(I2755="Gasto",K2755="Variable",J2755&lt;&gt;"Trading",O2755&gt;0,O2755&lt;=Umbral),1,0))</f>
        <v/>
      </c>
      <c r="T2755" s="20">
        <f>IF(OR(I2755="",E2755=""),"",IF(OR(I2755="Gasto",I2755="Transferencia",I2755="Pago tarjeta"),-1,1)*C2755)</f>
        <v/>
      </c>
      <c r="U2755" s="20">
        <f>IF(OR(G2755="",AND(I2755&lt;&gt;"Transferencia",I2755&lt;&gt;"Pago tarjeta")),"",IF(IFERROR(INDEX(ctaMon,MATCH(G2755,ctaNom,0))&amp;"","DOP")=N2755,C2755,IF(N2755="USD",C2755*TasaUSD,C2755/TasaUSD)))</f>
        <v/>
      </c>
      <c r="V2755" s="20">
        <f>IF(I2755="","",IF(IFERROR(INDEX(ctaLiq,MATCH(E2755,ctaNom,0))="Sí",FALSE),IF(OR(I2755="Gasto",I2755="Transferencia",I2755="Pago tarjeta"),-1,1)*O2755,0)+IF(AND(U2755&lt;&gt;"",IFERROR(INDEX(ctaLiq,MATCH(G2755,ctaNom,0))="Sí",FALSE)),O2755,0))</f>
        <v/>
      </c>
      <c r="W2755" s="19">
        <f>IF(OR(F2755="",I2755=""),"",IF(COUNTIFS(F$6:F2755,F2755,I$6:I2755,"?*")=1,MAX(W$5:W2754)+1,""))</f>
        <v/>
      </c>
    </row>
    <row r="2756">
      <c r="B2756" s="15" t="n"/>
      <c r="C2756" s="16" t="n"/>
      <c r="D2756" s="17" t="n"/>
      <c r="E2756" s="17" t="n"/>
      <c r="F2756" s="17" t="n"/>
      <c r="G2756" s="17" t="n"/>
      <c r="H2756" s="18">
        <f>IF(AND(B2756="",C2756="",D2756="",E2756=""),"",IF(B2756="","⚠ Falta fecha",IF(C2756="","⚠ Falta monto",IF(D2756="","⚠ Falta categoría",IF(ISNA(MATCH(D2756,catNom,0)),"⚠ Categoría no existe",IF(E2756="","⚠ Falta cuenta",IF(ISNA(MATCH(E2756,ctaNom,0)),"⚠ Cuenta no existe",IF(AND(OR(I2756="Transferencia",I2756="Pago tarjeta"),G2756=""),"⚠ Indica la cuenta «Hacia»",IF(AND(G2756&lt;&gt;"",G2756=E2756),"⚠ «Hacia» igual a la cuenta",IF(AND(G2756&lt;&gt;"",ISNA(MATCH(G2756,ctaNom,0))),"⚠ «Hacia» no existe",IF(AND(I2756="Pago tarjeta",IFERROR(INDEX(ctaTipo,MATCH(G2756,ctaNom,0)),"")&lt;&gt;"Tarjeta de crédito"),"⚠ «Hacia» debe ser la tarjeta",IF(AND(I2756="Trading",IFERROR(INDEX(ctaTipo,MATCH(E2756,ctaNom,0)),"")&lt;&gt;"Cuenta de trading"),"⚠ Usa la cuenta de trading","✓"))))))))))))</f>
        <v/>
      </c>
      <c r="I2756" s="19">
        <f>IF(OR(B2756="",C2756="",D2756=""),"",IFERROR(INDEX(catTipo,MATCH(D2756,catNom,0))&amp;"",""))</f>
        <v/>
      </c>
      <c r="J2756" s="19">
        <f>IF(I2756="","",IFERROR(INDEX(catGrupo,MATCH(D2756,catNom,0))&amp;"",""))</f>
        <v/>
      </c>
      <c r="K2756" s="19">
        <f>IF(I2756="Gasto",IF(IFERROR(INDEX(catClas,MATCH(D2756,catNom,0))&amp;"","")="","Variable",IFERROR(INDEX(catClas,MATCH(D2756,catNom,0))&amp;"","")),"")</f>
        <v/>
      </c>
      <c r="L2756" s="19">
        <f>IF(I2756="","",IFERROR(INDEX(catAlim,MATCH(D2756,catNom,0))&amp;"",""))</f>
        <v/>
      </c>
      <c r="M2756" s="19">
        <f>IF(I2756="","",IFERROR(INDEX(catComida,MATCH(D2756,catNom,0))&amp;"",""))</f>
        <v/>
      </c>
      <c r="N2756" s="19">
        <f>IF(I2756="","",IFERROR(INDEX(ctaMon,MATCH(E2756,ctaNom,0))&amp;"","DOP"))</f>
        <v/>
      </c>
      <c r="O2756" s="20">
        <f>IF(I2756="","",C2756*IF(N2756="USD",TasaUSD,1))</f>
        <v/>
      </c>
      <c r="P2756" s="20">
        <f>IF(I2756="","",IF(I2756="Gasto",O2756,0))</f>
        <v/>
      </c>
      <c r="Q2756" s="20">
        <f>IF(I2756="","",IF(I2756="Ingreso",O2756,0))</f>
        <v/>
      </c>
      <c r="R2756" s="20">
        <f>IF(I2756="","",IF(I2756="Trading",O2756,0))</f>
        <v/>
      </c>
      <c r="S2756" s="19">
        <f>IF(I2756="","",IF(AND(I2756="Gasto",K2756="Variable",J2756&lt;&gt;"Trading",O2756&gt;0,O2756&lt;=Umbral),1,0))</f>
        <v/>
      </c>
      <c r="T2756" s="20">
        <f>IF(OR(I2756="",E2756=""),"",IF(OR(I2756="Gasto",I2756="Transferencia",I2756="Pago tarjeta"),-1,1)*C2756)</f>
        <v/>
      </c>
      <c r="U2756" s="20">
        <f>IF(OR(G2756="",AND(I2756&lt;&gt;"Transferencia",I2756&lt;&gt;"Pago tarjeta")),"",IF(IFERROR(INDEX(ctaMon,MATCH(G2756,ctaNom,0))&amp;"","DOP")=N2756,C2756,IF(N2756="USD",C2756*TasaUSD,C2756/TasaUSD)))</f>
        <v/>
      </c>
      <c r="V2756" s="20">
        <f>IF(I2756="","",IF(IFERROR(INDEX(ctaLiq,MATCH(E2756,ctaNom,0))="Sí",FALSE),IF(OR(I2756="Gasto",I2756="Transferencia",I2756="Pago tarjeta"),-1,1)*O2756,0)+IF(AND(U2756&lt;&gt;"",IFERROR(INDEX(ctaLiq,MATCH(G2756,ctaNom,0))="Sí",FALSE)),O2756,0))</f>
        <v/>
      </c>
      <c r="W2756" s="19">
        <f>IF(OR(F2756="",I2756=""),"",IF(COUNTIFS(F$6:F2756,F2756,I$6:I2756,"?*")=1,MAX(W$5:W2755)+1,""))</f>
        <v/>
      </c>
    </row>
    <row r="2757">
      <c r="B2757" s="15" t="n"/>
      <c r="C2757" s="16" t="n"/>
      <c r="D2757" s="17" t="n"/>
      <c r="E2757" s="17" t="n"/>
      <c r="F2757" s="17" t="n"/>
      <c r="G2757" s="17" t="n"/>
      <c r="H2757" s="18">
        <f>IF(AND(B2757="",C2757="",D2757="",E2757=""),"",IF(B2757="","⚠ Falta fecha",IF(C2757="","⚠ Falta monto",IF(D2757="","⚠ Falta categoría",IF(ISNA(MATCH(D2757,catNom,0)),"⚠ Categoría no existe",IF(E2757="","⚠ Falta cuenta",IF(ISNA(MATCH(E2757,ctaNom,0)),"⚠ Cuenta no existe",IF(AND(OR(I2757="Transferencia",I2757="Pago tarjeta"),G2757=""),"⚠ Indica la cuenta «Hacia»",IF(AND(G2757&lt;&gt;"",G2757=E2757),"⚠ «Hacia» igual a la cuenta",IF(AND(G2757&lt;&gt;"",ISNA(MATCH(G2757,ctaNom,0))),"⚠ «Hacia» no existe",IF(AND(I2757="Pago tarjeta",IFERROR(INDEX(ctaTipo,MATCH(G2757,ctaNom,0)),"")&lt;&gt;"Tarjeta de crédito"),"⚠ «Hacia» debe ser la tarjeta",IF(AND(I2757="Trading",IFERROR(INDEX(ctaTipo,MATCH(E2757,ctaNom,0)),"")&lt;&gt;"Cuenta de trading"),"⚠ Usa la cuenta de trading","✓"))))))))))))</f>
        <v/>
      </c>
      <c r="I2757" s="19">
        <f>IF(OR(B2757="",C2757="",D2757=""),"",IFERROR(INDEX(catTipo,MATCH(D2757,catNom,0))&amp;"",""))</f>
        <v/>
      </c>
      <c r="J2757" s="19">
        <f>IF(I2757="","",IFERROR(INDEX(catGrupo,MATCH(D2757,catNom,0))&amp;"",""))</f>
        <v/>
      </c>
      <c r="K2757" s="19">
        <f>IF(I2757="Gasto",IF(IFERROR(INDEX(catClas,MATCH(D2757,catNom,0))&amp;"","")="","Variable",IFERROR(INDEX(catClas,MATCH(D2757,catNom,0))&amp;"","")),"")</f>
        <v/>
      </c>
      <c r="L2757" s="19">
        <f>IF(I2757="","",IFERROR(INDEX(catAlim,MATCH(D2757,catNom,0))&amp;"",""))</f>
        <v/>
      </c>
      <c r="M2757" s="19">
        <f>IF(I2757="","",IFERROR(INDEX(catComida,MATCH(D2757,catNom,0))&amp;"",""))</f>
        <v/>
      </c>
      <c r="N2757" s="19">
        <f>IF(I2757="","",IFERROR(INDEX(ctaMon,MATCH(E2757,ctaNom,0))&amp;"","DOP"))</f>
        <v/>
      </c>
      <c r="O2757" s="20">
        <f>IF(I2757="","",C2757*IF(N2757="USD",TasaUSD,1))</f>
        <v/>
      </c>
      <c r="P2757" s="20">
        <f>IF(I2757="","",IF(I2757="Gasto",O2757,0))</f>
        <v/>
      </c>
      <c r="Q2757" s="20">
        <f>IF(I2757="","",IF(I2757="Ingreso",O2757,0))</f>
        <v/>
      </c>
      <c r="R2757" s="20">
        <f>IF(I2757="","",IF(I2757="Trading",O2757,0))</f>
        <v/>
      </c>
      <c r="S2757" s="19">
        <f>IF(I2757="","",IF(AND(I2757="Gasto",K2757="Variable",J2757&lt;&gt;"Trading",O2757&gt;0,O2757&lt;=Umbral),1,0))</f>
        <v/>
      </c>
      <c r="T2757" s="20">
        <f>IF(OR(I2757="",E2757=""),"",IF(OR(I2757="Gasto",I2757="Transferencia",I2757="Pago tarjeta"),-1,1)*C2757)</f>
        <v/>
      </c>
      <c r="U2757" s="20">
        <f>IF(OR(G2757="",AND(I2757&lt;&gt;"Transferencia",I2757&lt;&gt;"Pago tarjeta")),"",IF(IFERROR(INDEX(ctaMon,MATCH(G2757,ctaNom,0))&amp;"","DOP")=N2757,C2757,IF(N2757="USD",C2757*TasaUSD,C2757/TasaUSD)))</f>
        <v/>
      </c>
      <c r="V2757" s="20">
        <f>IF(I2757="","",IF(IFERROR(INDEX(ctaLiq,MATCH(E2757,ctaNom,0))="Sí",FALSE),IF(OR(I2757="Gasto",I2757="Transferencia",I2757="Pago tarjeta"),-1,1)*O2757,0)+IF(AND(U2757&lt;&gt;"",IFERROR(INDEX(ctaLiq,MATCH(G2757,ctaNom,0))="Sí",FALSE)),O2757,0))</f>
        <v/>
      </c>
      <c r="W2757" s="19">
        <f>IF(OR(F2757="",I2757=""),"",IF(COUNTIFS(F$6:F2757,F2757,I$6:I2757,"?*")=1,MAX(W$5:W2756)+1,""))</f>
        <v/>
      </c>
    </row>
    <row r="2758">
      <c r="B2758" s="15" t="n"/>
      <c r="C2758" s="16" t="n"/>
      <c r="D2758" s="17" t="n"/>
      <c r="E2758" s="17" t="n"/>
      <c r="F2758" s="17" t="n"/>
      <c r="G2758" s="17" t="n"/>
      <c r="H2758" s="18">
        <f>IF(AND(B2758="",C2758="",D2758="",E2758=""),"",IF(B2758="","⚠ Falta fecha",IF(C2758="","⚠ Falta monto",IF(D2758="","⚠ Falta categoría",IF(ISNA(MATCH(D2758,catNom,0)),"⚠ Categoría no existe",IF(E2758="","⚠ Falta cuenta",IF(ISNA(MATCH(E2758,ctaNom,0)),"⚠ Cuenta no existe",IF(AND(OR(I2758="Transferencia",I2758="Pago tarjeta"),G2758=""),"⚠ Indica la cuenta «Hacia»",IF(AND(G2758&lt;&gt;"",G2758=E2758),"⚠ «Hacia» igual a la cuenta",IF(AND(G2758&lt;&gt;"",ISNA(MATCH(G2758,ctaNom,0))),"⚠ «Hacia» no existe",IF(AND(I2758="Pago tarjeta",IFERROR(INDEX(ctaTipo,MATCH(G2758,ctaNom,0)),"")&lt;&gt;"Tarjeta de crédito"),"⚠ «Hacia» debe ser la tarjeta",IF(AND(I2758="Trading",IFERROR(INDEX(ctaTipo,MATCH(E2758,ctaNom,0)),"")&lt;&gt;"Cuenta de trading"),"⚠ Usa la cuenta de trading","✓"))))))))))))</f>
        <v/>
      </c>
      <c r="I2758" s="19">
        <f>IF(OR(B2758="",C2758="",D2758=""),"",IFERROR(INDEX(catTipo,MATCH(D2758,catNom,0))&amp;"",""))</f>
        <v/>
      </c>
      <c r="J2758" s="19">
        <f>IF(I2758="","",IFERROR(INDEX(catGrupo,MATCH(D2758,catNom,0))&amp;"",""))</f>
        <v/>
      </c>
      <c r="K2758" s="19">
        <f>IF(I2758="Gasto",IF(IFERROR(INDEX(catClas,MATCH(D2758,catNom,0))&amp;"","")="","Variable",IFERROR(INDEX(catClas,MATCH(D2758,catNom,0))&amp;"","")),"")</f>
        <v/>
      </c>
      <c r="L2758" s="19">
        <f>IF(I2758="","",IFERROR(INDEX(catAlim,MATCH(D2758,catNom,0))&amp;"",""))</f>
        <v/>
      </c>
      <c r="M2758" s="19">
        <f>IF(I2758="","",IFERROR(INDEX(catComida,MATCH(D2758,catNom,0))&amp;"",""))</f>
        <v/>
      </c>
      <c r="N2758" s="19">
        <f>IF(I2758="","",IFERROR(INDEX(ctaMon,MATCH(E2758,ctaNom,0))&amp;"","DOP"))</f>
        <v/>
      </c>
      <c r="O2758" s="20">
        <f>IF(I2758="","",C2758*IF(N2758="USD",TasaUSD,1))</f>
        <v/>
      </c>
      <c r="P2758" s="20">
        <f>IF(I2758="","",IF(I2758="Gasto",O2758,0))</f>
        <v/>
      </c>
      <c r="Q2758" s="20">
        <f>IF(I2758="","",IF(I2758="Ingreso",O2758,0))</f>
        <v/>
      </c>
      <c r="R2758" s="20">
        <f>IF(I2758="","",IF(I2758="Trading",O2758,0))</f>
        <v/>
      </c>
      <c r="S2758" s="19">
        <f>IF(I2758="","",IF(AND(I2758="Gasto",K2758="Variable",J2758&lt;&gt;"Trading",O2758&gt;0,O2758&lt;=Umbral),1,0))</f>
        <v/>
      </c>
      <c r="T2758" s="20">
        <f>IF(OR(I2758="",E2758=""),"",IF(OR(I2758="Gasto",I2758="Transferencia",I2758="Pago tarjeta"),-1,1)*C2758)</f>
        <v/>
      </c>
      <c r="U2758" s="20">
        <f>IF(OR(G2758="",AND(I2758&lt;&gt;"Transferencia",I2758&lt;&gt;"Pago tarjeta")),"",IF(IFERROR(INDEX(ctaMon,MATCH(G2758,ctaNom,0))&amp;"","DOP")=N2758,C2758,IF(N2758="USD",C2758*TasaUSD,C2758/TasaUSD)))</f>
        <v/>
      </c>
      <c r="V2758" s="20">
        <f>IF(I2758="","",IF(IFERROR(INDEX(ctaLiq,MATCH(E2758,ctaNom,0))="Sí",FALSE),IF(OR(I2758="Gasto",I2758="Transferencia",I2758="Pago tarjeta"),-1,1)*O2758,0)+IF(AND(U2758&lt;&gt;"",IFERROR(INDEX(ctaLiq,MATCH(G2758,ctaNom,0))="Sí",FALSE)),O2758,0))</f>
        <v/>
      </c>
      <c r="W2758" s="19">
        <f>IF(OR(F2758="",I2758=""),"",IF(COUNTIFS(F$6:F2758,F2758,I$6:I2758,"?*")=1,MAX(W$5:W2757)+1,""))</f>
        <v/>
      </c>
    </row>
    <row r="2759">
      <c r="B2759" s="15" t="n"/>
      <c r="C2759" s="16" t="n"/>
      <c r="D2759" s="17" t="n"/>
      <c r="E2759" s="17" t="n"/>
      <c r="F2759" s="17" t="n"/>
      <c r="G2759" s="17" t="n"/>
      <c r="H2759" s="18">
        <f>IF(AND(B2759="",C2759="",D2759="",E2759=""),"",IF(B2759="","⚠ Falta fecha",IF(C2759="","⚠ Falta monto",IF(D2759="","⚠ Falta categoría",IF(ISNA(MATCH(D2759,catNom,0)),"⚠ Categoría no existe",IF(E2759="","⚠ Falta cuenta",IF(ISNA(MATCH(E2759,ctaNom,0)),"⚠ Cuenta no existe",IF(AND(OR(I2759="Transferencia",I2759="Pago tarjeta"),G2759=""),"⚠ Indica la cuenta «Hacia»",IF(AND(G2759&lt;&gt;"",G2759=E2759),"⚠ «Hacia» igual a la cuenta",IF(AND(G2759&lt;&gt;"",ISNA(MATCH(G2759,ctaNom,0))),"⚠ «Hacia» no existe",IF(AND(I2759="Pago tarjeta",IFERROR(INDEX(ctaTipo,MATCH(G2759,ctaNom,0)),"")&lt;&gt;"Tarjeta de crédito"),"⚠ «Hacia» debe ser la tarjeta",IF(AND(I2759="Trading",IFERROR(INDEX(ctaTipo,MATCH(E2759,ctaNom,0)),"")&lt;&gt;"Cuenta de trading"),"⚠ Usa la cuenta de trading","✓"))))))))))))</f>
        <v/>
      </c>
      <c r="I2759" s="19">
        <f>IF(OR(B2759="",C2759="",D2759=""),"",IFERROR(INDEX(catTipo,MATCH(D2759,catNom,0))&amp;"",""))</f>
        <v/>
      </c>
      <c r="J2759" s="19">
        <f>IF(I2759="","",IFERROR(INDEX(catGrupo,MATCH(D2759,catNom,0))&amp;"",""))</f>
        <v/>
      </c>
      <c r="K2759" s="19">
        <f>IF(I2759="Gasto",IF(IFERROR(INDEX(catClas,MATCH(D2759,catNom,0))&amp;"","")="","Variable",IFERROR(INDEX(catClas,MATCH(D2759,catNom,0))&amp;"","")),"")</f>
        <v/>
      </c>
      <c r="L2759" s="19">
        <f>IF(I2759="","",IFERROR(INDEX(catAlim,MATCH(D2759,catNom,0))&amp;"",""))</f>
        <v/>
      </c>
      <c r="M2759" s="19">
        <f>IF(I2759="","",IFERROR(INDEX(catComida,MATCH(D2759,catNom,0))&amp;"",""))</f>
        <v/>
      </c>
      <c r="N2759" s="19">
        <f>IF(I2759="","",IFERROR(INDEX(ctaMon,MATCH(E2759,ctaNom,0))&amp;"","DOP"))</f>
        <v/>
      </c>
      <c r="O2759" s="20">
        <f>IF(I2759="","",C2759*IF(N2759="USD",TasaUSD,1))</f>
        <v/>
      </c>
      <c r="P2759" s="20">
        <f>IF(I2759="","",IF(I2759="Gasto",O2759,0))</f>
        <v/>
      </c>
      <c r="Q2759" s="20">
        <f>IF(I2759="","",IF(I2759="Ingreso",O2759,0))</f>
        <v/>
      </c>
      <c r="R2759" s="20">
        <f>IF(I2759="","",IF(I2759="Trading",O2759,0))</f>
        <v/>
      </c>
      <c r="S2759" s="19">
        <f>IF(I2759="","",IF(AND(I2759="Gasto",K2759="Variable",J2759&lt;&gt;"Trading",O2759&gt;0,O2759&lt;=Umbral),1,0))</f>
        <v/>
      </c>
      <c r="T2759" s="20">
        <f>IF(OR(I2759="",E2759=""),"",IF(OR(I2759="Gasto",I2759="Transferencia",I2759="Pago tarjeta"),-1,1)*C2759)</f>
        <v/>
      </c>
      <c r="U2759" s="20">
        <f>IF(OR(G2759="",AND(I2759&lt;&gt;"Transferencia",I2759&lt;&gt;"Pago tarjeta")),"",IF(IFERROR(INDEX(ctaMon,MATCH(G2759,ctaNom,0))&amp;"","DOP")=N2759,C2759,IF(N2759="USD",C2759*TasaUSD,C2759/TasaUSD)))</f>
        <v/>
      </c>
      <c r="V2759" s="20">
        <f>IF(I2759="","",IF(IFERROR(INDEX(ctaLiq,MATCH(E2759,ctaNom,0))="Sí",FALSE),IF(OR(I2759="Gasto",I2759="Transferencia",I2759="Pago tarjeta"),-1,1)*O2759,0)+IF(AND(U2759&lt;&gt;"",IFERROR(INDEX(ctaLiq,MATCH(G2759,ctaNom,0))="Sí",FALSE)),O2759,0))</f>
        <v/>
      </c>
      <c r="W2759" s="19">
        <f>IF(OR(F2759="",I2759=""),"",IF(COUNTIFS(F$6:F2759,F2759,I$6:I2759,"?*")=1,MAX(W$5:W2758)+1,""))</f>
        <v/>
      </c>
    </row>
    <row r="2760">
      <c r="B2760" s="15" t="n"/>
      <c r="C2760" s="16" t="n"/>
      <c r="D2760" s="17" t="n"/>
      <c r="E2760" s="17" t="n"/>
      <c r="F2760" s="17" t="n"/>
      <c r="G2760" s="17" t="n"/>
      <c r="H2760" s="18">
        <f>IF(AND(B2760="",C2760="",D2760="",E2760=""),"",IF(B2760="","⚠ Falta fecha",IF(C2760="","⚠ Falta monto",IF(D2760="","⚠ Falta categoría",IF(ISNA(MATCH(D2760,catNom,0)),"⚠ Categoría no existe",IF(E2760="","⚠ Falta cuenta",IF(ISNA(MATCH(E2760,ctaNom,0)),"⚠ Cuenta no existe",IF(AND(OR(I2760="Transferencia",I2760="Pago tarjeta"),G2760=""),"⚠ Indica la cuenta «Hacia»",IF(AND(G2760&lt;&gt;"",G2760=E2760),"⚠ «Hacia» igual a la cuenta",IF(AND(G2760&lt;&gt;"",ISNA(MATCH(G2760,ctaNom,0))),"⚠ «Hacia» no existe",IF(AND(I2760="Pago tarjeta",IFERROR(INDEX(ctaTipo,MATCH(G2760,ctaNom,0)),"")&lt;&gt;"Tarjeta de crédito"),"⚠ «Hacia» debe ser la tarjeta",IF(AND(I2760="Trading",IFERROR(INDEX(ctaTipo,MATCH(E2760,ctaNom,0)),"")&lt;&gt;"Cuenta de trading"),"⚠ Usa la cuenta de trading","✓"))))))))))))</f>
        <v/>
      </c>
      <c r="I2760" s="19">
        <f>IF(OR(B2760="",C2760="",D2760=""),"",IFERROR(INDEX(catTipo,MATCH(D2760,catNom,0))&amp;"",""))</f>
        <v/>
      </c>
      <c r="J2760" s="19">
        <f>IF(I2760="","",IFERROR(INDEX(catGrupo,MATCH(D2760,catNom,0))&amp;"",""))</f>
        <v/>
      </c>
      <c r="K2760" s="19">
        <f>IF(I2760="Gasto",IF(IFERROR(INDEX(catClas,MATCH(D2760,catNom,0))&amp;"","")="","Variable",IFERROR(INDEX(catClas,MATCH(D2760,catNom,0))&amp;"","")),"")</f>
        <v/>
      </c>
      <c r="L2760" s="19">
        <f>IF(I2760="","",IFERROR(INDEX(catAlim,MATCH(D2760,catNom,0))&amp;"",""))</f>
        <v/>
      </c>
      <c r="M2760" s="19">
        <f>IF(I2760="","",IFERROR(INDEX(catComida,MATCH(D2760,catNom,0))&amp;"",""))</f>
        <v/>
      </c>
      <c r="N2760" s="19">
        <f>IF(I2760="","",IFERROR(INDEX(ctaMon,MATCH(E2760,ctaNom,0))&amp;"","DOP"))</f>
        <v/>
      </c>
      <c r="O2760" s="20">
        <f>IF(I2760="","",C2760*IF(N2760="USD",TasaUSD,1))</f>
        <v/>
      </c>
      <c r="P2760" s="20">
        <f>IF(I2760="","",IF(I2760="Gasto",O2760,0))</f>
        <v/>
      </c>
      <c r="Q2760" s="20">
        <f>IF(I2760="","",IF(I2760="Ingreso",O2760,0))</f>
        <v/>
      </c>
      <c r="R2760" s="20">
        <f>IF(I2760="","",IF(I2760="Trading",O2760,0))</f>
        <v/>
      </c>
      <c r="S2760" s="19">
        <f>IF(I2760="","",IF(AND(I2760="Gasto",K2760="Variable",J2760&lt;&gt;"Trading",O2760&gt;0,O2760&lt;=Umbral),1,0))</f>
        <v/>
      </c>
      <c r="T2760" s="20">
        <f>IF(OR(I2760="",E2760=""),"",IF(OR(I2760="Gasto",I2760="Transferencia",I2760="Pago tarjeta"),-1,1)*C2760)</f>
        <v/>
      </c>
      <c r="U2760" s="20">
        <f>IF(OR(G2760="",AND(I2760&lt;&gt;"Transferencia",I2760&lt;&gt;"Pago tarjeta")),"",IF(IFERROR(INDEX(ctaMon,MATCH(G2760,ctaNom,0))&amp;"","DOP")=N2760,C2760,IF(N2760="USD",C2760*TasaUSD,C2760/TasaUSD)))</f>
        <v/>
      </c>
      <c r="V2760" s="20">
        <f>IF(I2760="","",IF(IFERROR(INDEX(ctaLiq,MATCH(E2760,ctaNom,0))="Sí",FALSE),IF(OR(I2760="Gasto",I2760="Transferencia",I2760="Pago tarjeta"),-1,1)*O2760,0)+IF(AND(U2760&lt;&gt;"",IFERROR(INDEX(ctaLiq,MATCH(G2760,ctaNom,0))="Sí",FALSE)),O2760,0))</f>
        <v/>
      </c>
      <c r="W2760" s="19">
        <f>IF(OR(F2760="",I2760=""),"",IF(COUNTIFS(F$6:F2760,F2760,I$6:I2760,"?*")=1,MAX(W$5:W2759)+1,""))</f>
        <v/>
      </c>
    </row>
    <row r="2761">
      <c r="B2761" s="15" t="n"/>
      <c r="C2761" s="16" t="n"/>
      <c r="D2761" s="17" t="n"/>
      <c r="E2761" s="17" t="n"/>
      <c r="F2761" s="17" t="n"/>
      <c r="G2761" s="17" t="n"/>
      <c r="H2761" s="18">
        <f>IF(AND(B2761="",C2761="",D2761="",E2761=""),"",IF(B2761="","⚠ Falta fecha",IF(C2761="","⚠ Falta monto",IF(D2761="","⚠ Falta categoría",IF(ISNA(MATCH(D2761,catNom,0)),"⚠ Categoría no existe",IF(E2761="","⚠ Falta cuenta",IF(ISNA(MATCH(E2761,ctaNom,0)),"⚠ Cuenta no existe",IF(AND(OR(I2761="Transferencia",I2761="Pago tarjeta"),G2761=""),"⚠ Indica la cuenta «Hacia»",IF(AND(G2761&lt;&gt;"",G2761=E2761),"⚠ «Hacia» igual a la cuenta",IF(AND(G2761&lt;&gt;"",ISNA(MATCH(G2761,ctaNom,0))),"⚠ «Hacia» no existe",IF(AND(I2761="Pago tarjeta",IFERROR(INDEX(ctaTipo,MATCH(G2761,ctaNom,0)),"")&lt;&gt;"Tarjeta de crédito"),"⚠ «Hacia» debe ser la tarjeta",IF(AND(I2761="Trading",IFERROR(INDEX(ctaTipo,MATCH(E2761,ctaNom,0)),"")&lt;&gt;"Cuenta de trading"),"⚠ Usa la cuenta de trading","✓"))))))))))))</f>
        <v/>
      </c>
      <c r="I2761" s="19">
        <f>IF(OR(B2761="",C2761="",D2761=""),"",IFERROR(INDEX(catTipo,MATCH(D2761,catNom,0))&amp;"",""))</f>
        <v/>
      </c>
      <c r="J2761" s="19">
        <f>IF(I2761="","",IFERROR(INDEX(catGrupo,MATCH(D2761,catNom,0))&amp;"",""))</f>
        <v/>
      </c>
      <c r="K2761" s="19">
        <f>IF(I2761="Gasto",IF(IFERROR(INDEX(catClas,MATCH(D2761,catNom,0))&amp;"","")="","Variable",IFERROR(INDEX(catClas,MATCH(D2761,catNom,0))&amp;"","")),"")</f>
        <v/>
      </c>
      <c r="L2761" s="19">
        <f>IF(I2761="","",IFERROR(INDEX(catAlim,MATCH(D2761,catNom,0))&amp;"",""))</f>
        <v/>
      </c>
      <c r="M2761" s="19">
        <f>IF(I2761="","",IFERROR(INDEX(catComida,MATCH(D2761,catNom,0))&amp;"",""))</f>
        <v/>
      </c>
      <c r="N2761" s="19">
        <f>IF(I2761="","",IFERROR(INDEX(ctaMon,MATCH(E2761,ctaNom,0))&amp;"","DOP"))</f>
        <v/>
      </c>
      <c r="O2761" s="20">
        <f>IF(I2761="","",C2761*IF(N2761="USD",TasaUSD,1))</f>
        <v/>
      </c>
      <c r="P2761" s="20">
        <f>IF(I2761="","",IF(I2761="Gasto",O2761,0))</f>
        <v/>
      </c>
      <c r="Q2761" s="20">
        <f>IF(I2761="","",IF(I2761="Ingreso",O2761,0))</f>
        <v/>
      </c>
      <c r="R2761" s="20">
        <f>IF(I2761="","",IF(I2761="Trading",O2761,0))</f>
        <v/>
      </c>
      <c r="S2761" s="19">
        <f>IF(I2761="","",IF(AND(I2761="Gasto",K2761="Variable",J2761&lt;&gt;"Trading",O2761&gt;0,O2761&lt;=Umbral),1,0))</f>
        <v/>
      </c>
      <c r="T2761" s="20">
        <f>IF(OR(I2761="",E2761=""),"",IF(OR(I2761="Gasto",I2761="Transferencia",I2761="Pago tarjeta"),-1,1)*C2761)</f>
        <v/>
      </c>
      <c r="U2761" s="20">
        <f>IF(OR(G2761="",AND(I2761&lt;&gt;"Transferencia",I2761&lt;&gt;"Pago tarjeta")),"",IF(IFERROR(INDEX(ctaMon,MATCH(G2761,ctaNom,0))&amp;"","DOP")=N2761,C2761,IF(N2761="USD",C2761*TasaUSD,C2761/TasaUSD)))</f>
        <v/>
      </c>
      <c r="V2761" s="20">
        <f>IF(I2761="","",IF(IFERROR(INDEX(ctaLiq,MATCH(E2761,ctaNom,0))="Sí",FALSE),IF(OR(I2761="Gasto",I2761="Transferencia",I2761="Pago tarjeta"),-1,1)*O2761,0)+IF(AND(U2761&lt;&gt;"",IFERROR(INDEX(ctaLiq,MATCH(G2761,ctaNom,0))="Sí",FALSE)),O2761,0))</f>
        <v/>
      </c>
      <c r="W2761" s="19">
        <f>IF(OR(F2761="",I2761=""),"",IF(COUNTIFS(F$6:F2761,F2761,I$6:I2761,"?*")=1,MAX(W$5:W2760)+1,""))</f>
        <v/>
      </c>
    </row>
    <row r="2762">
      <c r="B2762" s="15" t="n"/>
      <c r="C2762" s="16" t="n"/>
      <c r="D2762" s="17" t="n"/>
      <c r="E2762" s="17" t="n"/>
      <c r="F2762" s="17" t="n"/>
      <c r="G2762" s="17" t="n"/>
      <c r="H2762" s="18">
        <f>IF(AND(B2762="",C2762="",D2762="",E2762=""),"",IF(B2762="","⚠ Falta fecha",IF(C2762="","⚠ Falta monto",IF(D2762="","⚠ Falta categoría",IF(ISNA(MATCH(D2762,catNom,0)),"⚠ Categoría no existe",IF(E2762="","⚠ Falta cuenta",IF(ISNA(MATCH(E2762,ctaNom,0)),"⚠ Cuenta no existe",IF(AND(OR(I2762="Transferencia",I2762="Pago tarjeta"),G2762=""),"⚠ Indica la cuenta «Hacia»",IF(AND(G2762&lt;&gt;"",G2762=E2762),"⚠ «Hacia» igual a la cuenta",IF(AND(G2762&lt;&gt;"",ISNA(MATCH(G2762,ctaNom,0))),"⚠ «Hacia» no existe",IF(AND(I2762="Pago tarjeta",IFERROR(INDEX(ctaTipo,MATCH(G2762,ctaNom,0)),"")&lt;&gt;"Tarjeta de crédito"),"⚠ «Hacia» debe ser la tarjeta",IF(AND(I2762="Trading",IFERROR(INDEX(ctaTipo,MATCH(E2762,ctaNom,0)),"")&lt;&gt;"Cuenta de trading"),"⚠ Usa la cuenta de trading","✓"))))))))))))</f>
        <v/>
      </c>
      <c r="I2762" s="19">
        <f>IF(OR(B2762="",C2762="",D2762=""),"",IFERROR(INDEX(catTipo,MATCH(D2762,catNom,0))&amp;"",""))</f>
        <v/>
      </c>
      <c r="J2762" s="19">
        <f>IF(I2762="","",IFERROR(INDEX(catGrupo,MATCH(D2762,catNom,0))&amp;"",""))</f>
        <v/>
      </c>
      <c r="K2762" s="19">
        <f>IF(I2762="Gasto",IF(IFERROR(INDEX(catClas,MATCH(D2762,catNom,0))&amp;"","")="","Variable",IFERROR(INDEX(catClas,MATCH(D2762,catNom,0))&amp;"","")),"")</f>
        <v/>
      </c>
      <c r="L2762" s="19">
        <f>IF(I2762="","",IFERROR(INDEX(catAlim,MATCH(D2762,catNom,0))&amp;"",""))</f>
        <v/>
      </c>
      <c r="M2762" s="19">
        <f>IF(I2762="","",IFERROR(INDEX(catComida,MATCH(D2762,catNom,0))&amp;"",""))</f>
        <v/>
      </c>
      <c r="N2762" s="19">
        <f>IF(I2762="","",IFERROR(INDEX(ctaMon,MATCH(E2762,ctaNom,0))&amp;"","DOP"))</f>
        <v/>
      </c>
      <c r="O2762" s="20">
        <f>IF(I2762="","",C2762*IF(N2762="USD",TasaUSD,1))</f>
        <v/>
      </c>
      <c r="P2762" s="20">
        <f>IF(I2762="","",IF(I2762="Gasto",O2762,0))</f>
        <v/>
      </c>
      <c r="Q2762" s="20">
        <f>IF(I2762="","",IF(I2762="Ingreso",O2762,0))</f>
        <v/>
      </c>
      <c r="R2762" s="20">
        <f>IF(I2762="","",IF(I2762="Trading",O2762,0))</f>
        <v/>
      </c>
      <c r="S2762" s="19">
        <f>IF(I2762="","",IF(AND(I2762="Gasto",K2762="Variable",J2762&lt;&gt;"Trading",O2762&gt;0,O2762&lt;=Umbral),1,0))</f>
        <v/>
      </c>
      <c r="T2762" s="20">
        <f>IF(OR(I2762="",E2762=""),"",IF(OR(I2762="Gasto",I2762="Transferencia",I2762="Pago tarjeta"),-1,1)*C2762)</f>
        <v/>
      </c>
      <c r="U2762" s="20">
        <f>IF(OR(G2762="",AND(I2762&lt;&gt;"Transferencia",I2762&lt;&gt;"Pago tarjeta")),"",IF(IFERROR(INDEX(ctaMon,MATCH(G2762,ctaNom,0))&amp;"","DOP")=N2762,C2762,IF(N2762="USD",C2762*TasaUSD,C2762/TasaUSD)))</f>
        <v/>
      </c>
      <c r="V2762" s="20">
        <f>IF(I2762="","",IF(IFERROR(INDEX(ctaLiq,MATCH(E2762,ctaNom,0))="Sí",FALSE),IF(OR(I2762="Gasto",I2762="Transferencia",I2762="Pago tarjeta"),-1,1)*O2762,0)+IF(AND(U2762&lt;&gt;"",IFERROR(INDEX(ctaLiq,MATCH(G2762,ctaNom,0))="Sí",FALSE)),O2762,0))</f>
        <v/>
      </c>
      <c r="W2762" s="19">
        <f>IF(OR(F2762="",I2762=""),"",IF(COUNTIFS(F$6:F2762,F2762,I$6:I2762,"?*")=1,MAX(W$5:W2761)+1,""))</f>
        <v/>
      </c>
    </row>
    <row r="2763">
      <c r="B2763" s="15" t="n"/>
      <c r="C2763" s="16" t="n"/>
      <c r="D2763" s="17" t="n"/>
      <c r="E2763" s="17" t="n"/>
      <c r="F2763" s="17" t="n"/>
      <c r="G2763" s="17" t="n"/>
      <c r="H2763" s="18">
        <f>IF(AND(B2763="",C2763="",D2763="",E2763=""),"",IF(B2763="","⚠ Falta fecha",IF(C2763="","⚠ Falta monto",IF(D2763="","⚠ Falta categoría",IF(ISNA(MATCH(D2763,catNom,0)),"⚠ Categoría no existe",IF(E2763="","⚠ Falta cuenta",IF(ISNA(MATCH(E2763,ctaNom,0)),"⚠ Cuenta no existe",IF(AND(OR(I2763="Transferencia",I2763="Pago tarjeta"),G2763=""),"⚠ Indica la cuenta «Hacia»",IF(AND(G2763&lt;&gt;"",G2763=E2763),"⚠ «Hacia» igual a la cuenta",IF(AND(G2763&lt;&gt;"",ISNA(MATCH(G2763,ctaNom,0))),"⚠ «Hacia» no existe",IF(AND(I2763="Pago tarjeta",IFERROR(INDEX(ctaTipo,MATCH(G2763,ctaNom,0)),"")&lt;&gt;"Tarjeta de crédito"),"⚠ «Hacia» debe ser la tarjeta",IF(AND(I2763="Trading",IFERROR(INDEX(ctaTipo,MATCH(E2763,ctaNom,0)),"")&lt;&gt;"Cuenta de trading"),"⚠ Usa la cuenta de trading","✓"))))))))))))</f>
        <v/>
      </c>
      <c r="I2763" s="19">
        <f>IF(OR(B2763="",C2763="",D2763=""),"",IFERROR(INDEX(catTipo,MATCH(D2763,catNom,0))&amp;"",""))</f>
        <v/>
      </c>
      <c r="J2763" s="19">
        <f>IF(I2763="","",IFERROR(INDEX(catGrupo,MATCH(D2763,catNom,0))&amp;"",""))</f>
        <v/>
      </c>
      <c r="K2763" s="19">
        <f>IF(I2763="Gasto",IF(IFERROR(INDEX(catClas,MATCH(D2763,catNom,0))&amp;"","")="","Variable",IFERROR(INDEX(catClas,MATCH(D2763,catNom,0))&amp;"","")),"")</f>
        <v/>
      </c>
      <c r="L2763" s="19">
        <f>IF(I2763="","",IFERROR(INDEX(catAlim,MATCH(D2763,catNom,0))&amp;"",""))</f>
        <v/>
      </c>
      <c r="M2763" s="19">
        <f>IF(I2763="","",IFERROR(INDEX(catComida,MATCH(D2763,catNom,0))&amp;"",""))</f>
        <v/>
      </c>
      <c r="N2763" s="19">
        <f>IF(I2763="","",IFERROR(INDEX(ctaMon,MATCH(E2763,ctaNom,0))&amp;"","DOP"))</f>
        <v/>
      </c>
      <c r="O2763" s="20">
        <f>IF(I2763="","",C2763*IF(N2763="USD",TasaUSD,1))</f>
        <v/>
      </c>
      <c r="P2763" s="20">
        <f>IF(I2763="","",IF(I2763="Gasto",O2763,0))</f>
        <v/>
      </c>
      <c r="Q2763" s="20">
        <f>IF(I2763="","",IF(I2763="Ingreso",O2763,0))</f>
        <v/>
      </c>
      <c r="R2763" s="20">
        <f>IF(I2763="","",IF(I2763="Trading",O2763,0))</f>
        <v/>
      </c>
      <c r="S2763" s="19">
        <f>IF(I2763="","",IF(AND(I2763="Gasto",K2763="Variable",J2763&lt;&gt;"Trading",O2763&gt;0,O2763&lt;=Umbral),1,0))</f>
        <v/>
      </c>
      <c r="T2763" s="20">
        <f>IF(OR(I2763="",E2763=""),"",IF(OR(I2763="Gasto",I2763="Transferencia",I2763="Pago tarjeta"),-1,1)*C2763)</f>
        <v/>
      </c>
      <c r="U2763" s="20">
        <f>IF(OR(G2763="",AND(I2763&lt;&gt;"Transferencia",I2763&lt;&gt;"Pago tarjeta")),"",IF(IFERROR(INDEX(ctaMon,MATCH(G2763,ctaNom,0))&amp;"","DOP")=N2763,C2763,IF(N2763="USD",C2763*TasaUSD,C2763/TasaUSD)))</f>
        <v/>
      </c>
      <c r="V2763" s="20">
        <f>IF(I2763="","",IF(IFERROR(INDEX(ctaLiq,MATCH(E2763,ctaNom,0))="Sí",FALSE),IF(OR(I2763="Gasto",I2763="Transferencia",I2763="Pago tarjeta"),-1,1)*O2763,0)+IF(AND(U2763&lt;&gt;"",IFERROR(INDEX(ctaLiq,MATCH(G2763,ctaNom,0))="Sí",FALSE)),O2763,0))</f>
        <v/>
      </c>
      <c r="W2763" s="19">
        <f>IF(OR(F2763="",I2763=""),"",IF(COUNTIFS(F$6:F2763,F2763,I$6:I2763,"?*")=1,MAX(W$5:W2762)+1,""))</f>
        <v/>
      </c>
    </row>
    <row r="2764">
      <c r="B2764" s="15" t="n"/>
      <c r="C2764" s="16" t="n"/>
      <c r="D2764" s="17" t="n"/>
      <c r="E2764" s="17" t="n"/>
      <c r="F2764" s="17" t="n"/>
      <c r="G2764" s="17" t="n"/>
      <c r="H2764" s="18">
        <f>IF(AND(B2764="",C2764="",D2764="",E2764=""),"",IF(B2764="","⚠ Falta fecha",IF(C2764="","⚠ Falta monto",IF(D2764="","⚠ Falta categoría",IF(ISNA(MATCH(D2764,catNom,0)),"⚠ Categoría no existe",IF(E2764="","⚠ Falta cuenta",IF(ISNA(MATCH(E2764,ctaNom,0)),"⚠ Cuenta no existe",IF(AND(OR(I2764="Transferencia",I2764="Pago tarjeta"),G2764=""),"⚠ Indica la cuenta «Hacia»",IF(AND(G2764&lt;&gt;"",G2764=E2764),"⚠ «Hacia» igual a la cuenta",IF(AND(G2764&lt;&gt;"",ISNA(MATCH(G2764,ctaNom,0))),"⚠ «Hacia» no existe",IF(AND(I2764="Pago tarjeta",IFERROR(INDEX(ctaTipo,MATCH(G2764,ctaNom,0)),"")&lt;&gt;"Tarjeta de crédito"),"⚠ «Hacia» debe ser la tarjeta",IF(AND(I2764="Trading",IFERROR(INDEX(ctaTipo,MATCH(E2764,ctaNom,0)),"")&lt;&gt;"Cuenta de trading"),"⚠ Usa la cuenta de trading","✓"))))))))))))</f>
        <v/>
      </c>
      <c r="I2764" s="19">
        <f>IF(OR(B2764="",C2764="",D2764=""),"",IFERROR(INDEX(catTipo,MATCH(D2764,catNom,0))&amp;"",""))</f>
        <v/>
      </c>
      <c r="J2764" s="19">
        <f>IF(I2764="","",IFERROR(INDEX(catGrupo,MATCH(D2764,catNom,0))&amp;"",""))</f>
        <v/>
      </c>
      <c r="K2764" s="19">
        <f>IF(I2764="Gasto",IF(IFERROR(INDEX(catClas,MATCH(D2764,catNom,0))&amp;"","")="","Variable",IFERROR(INDEX(catClas,MATCH(D2764,catNom,0))&amp;"","")),"")</f>
        <v/>
      </c>
      <c r="L2764" s="19">
        <f>IF(I2764="","",IFERROR(INDEX(catAlim,MATCH(D2764,catNom,0))&amp;"",""))</f>
        <v/>
      </c>
      <c r="M2764" s="19">
        <f>IF(I2764="","",IFERROR(INDEX(catComida,MATCH(D2764,catNom,0))&amp;"",""))</f>
        <v/>
      </c>
      <c r="N2764" s="19">
        <f>IF(I2764="","",IFERROR(INDEX(ctaMon,MATCH(E2764,ctaNom,0))&amp;"","DOP"))</f>
        <v/>
      </c>
      <c r="O2764" s="20">
        <f>IF(I2764="","",C2764*IF(N2764="USD",TasaUSD,1))</f>
        <v/>
      </c>
      <c r="P2764" s="20">
        <f>IF(I2764="","",IF(I2764="Gasto",O2764,0))</f>
        <v/>
      </c>
      <c r="Q2764" s="20">
        <f>IF(I2764="","",IF(I2764="Ingreso",O2764,0))</f>
        <v/>
      </c>
      <c r="R2764" s="20">
        <f>IF(I2764="","",IF(I2764="Trading",O2764,0))</f>
        <v/>
      </c>
      <c r="S2764" s="19">
        <f>IF(I2764="","",IF(AND(I2764="Gasto",K2764="Variable",J2764&lt;&gt;"Trading",O2764&gt;0,O2764&lt;=Umbral),1,0))</f>
        <v/>
      </c>
      <c r="T2764" s="20">
        <f>IF(OR(I2764="",E2764=""),"",IF(OR(I2764="Gasto",I2764="Transferencia",I2764="Pago tarjeta"),-1,1)*C2764)</f>
        <v/>
      </c>
      <c r="U2764" s="20">
        <f>IF(OR(G2764="",AND(I2764&lt;&gt;"Transferencia",I2764&lt;&gt;"Pago tarjeta")),"",IF(IFERROR(INDEX(ctaMon,MATCH(G2764,ctaNom,0))&amp;"","DOP")=N2764,C2764,IF(N2764="USD",C2764*TasaUSD,C2764/TasaUSD)))</f>
        <v/>
      </c>
      <c r="V2764" s="20">
        <f>IF(I2764="","",IF(IFERROR(INDEX(ctaLiq,MATCH(E2764,ctaNom,0))="Sí",FALSE),IF(OR(I2764="Gasto",I2764="Transferencia",I2764="Pago tarjeta"),-1,1)*O2764,0)+IF(AND(U2764&lt;&gt;"",IFERROR(INDEX(ctaLiq,MATCH(G2764,ctaNom,0))="Sí",FALSE)),O2764,0))</f>
        <v/>
      </c>
      <c r="W2764" s="19">
        <f>IF(OR(F2764="",I2764=""),"",IF(COUNTIFS(F$6:F2764,F2764,I$6:I2764,"?*")=1,MAX(W$5:W2763)+1,""))</f>
        <v/>
      </c>
    </row>
    <row r="2765">
      <c r="B2765" s="15" t="n"/>
      <c r="C2765" s="16" t="n"/>
      <c r="D2765" s="17" t="n"/>
      <c r="E2765" s="17" t="n"/>
      <c r="F2765" s="17" t="n"/>
      <c r="G2765" s="17" t="n"/>
      <c r="H2765" s="18">
        <f>IF(AND(B2765="",C2765="",D2765="",E2765=""),"",IF(B2765="","⚠ Falta fecha",IF(C2765="","⚠ Falta monto",IF(D2765="","⚠ Falta categoría",IF(ISNA(MATCH(D2765,catNom,0)),"⚠ Categoría no existe",IF(E2765="","⚠ Falta cuenta",IF(ISNA(MATCH(E2765,ctaNom,0)),"⚠ Cuenta no existe",IF(AND(OR(I2765="Transferencia",I2765="Pago tarjeta"),G2765=""),"⚠ Indica la cuenta «Hacia»",IF(AND(G2765&lt;&gt;"",G2765=E2765),"⚠ «Hacia» igual a la cuenta",IF(AND(G2765&lt;&gt;"",ISNA(MATCH(G2765,ctaNom,0))),"⚠ «Hacia» no existe",IF(AND(I2765="Pago tarjeta",IFERROR(INDEX(ctaTipo,MATCH(G2765,ctaNom,0)),"")&lt;&gt;"Tarjeta de crédito"),"⚠ «Hacia» debe ser la tarjeta",IF(AND(I2765="Trading",IFERROR(INDEX(ctaTipo,MATCH(E2765,ctaNom,0)),"")&lt;&gt;"Cuenta de trading"),"⚠ Usa la cuenta de trading","✓"))))))))))))</f>
        <v/>
      </c>
      <c r="I2765" s="19">
        <f>IF(OR(B2765="",C2765="",D2765=""),"",IFERROR(INDEX(catTipo,MATCH(D2765,catNom,0))&amp;"",""))</f>
        <v/>
      </c>
      <c r="J2765" s="19">
        <f>IF(I2765="","",IFERROR(INDEX(catGrupo,MATCH(D2765,catNom,0))&amp;"",""))</f>
        <v/>
      </c>
      <c r="K2765" s="19">
        <f>IF(I2765="Gasto",IF(IFERROR(INDEX(catClas,MATCH(D2765,catNom,0))&amp;"","")="","Variable",IFERROR(INDEX(catClas,MATCH(D2765,catNom,0))&amp;"","")),"")</f>
        <v/>
      </c>
      <c r="L2765" s="19">
        <f>IF(I2765="","",IFERROR(INDEX(catAlim,MATCH(D2765,catNom,0))&amp;"",""))</f>
        <v/>
      </c>
      <c r="M2765" s="19">
        <f>IF(I2765="","",IFERROR(INDEX(catComida,MATCH(D2765,catNom,0))&amp;"",""))</f>
        <v/>
      </c>
      <c r="N2765" s="19">
        <f>IF(I2765="","",IFERROR(INDEX(ctaMon,MATCH(E2765,ctaNom,0))&amp;"","DOP"))</f>
        <v/>
      </c>
      <c r="O2765" s="20">
        <f>IF(I2765="","",C2765*IF(N2765="USD",TasaUSD,1))</f>
        <v/>
      </c>
      <c r="P2765" s="20">
        <f>IF(I2765="","",IF(I2765="Gasto",O2765,0))</f>
        <v/>
      </c>
      <c r="Q2765" s="20">
        <f>IF(I2765="","",IF(I2765="Ingreso",O2765,0))</f>
        <v/>
      </c>
      <c r="R2765" s="20">
        <f>IF(I2765="","",IF(I2765="Trading",O2765,0))</f>
        <v/>
      </c>
      <c r="S2765" s="19">
        <f>IF(I2765="","",IF(AND(I2765="Gasto",K2765="Variable",J2765&lt;&gt;"Trading",O2765&gt;0,O2765&lt;=Umbral),1,0))</f>
        <v/>
      </c>
      <c r="T2765" s="20">
        <f>IF(OR(I2765="",E2765=""),"",IF(OR(I2765="Gasto",I2765="Transferencia",I2765="Pago tarjeta"),-1,1)*C2765)</f>
        <v/>
      </c>
      <c r="U2765" s="20">
        <f>IF(OR(G2765="",AND(I2765&lt;&gt;"Transferencia",I2765&lt;&gt;"Pago tarjeta")),"",IF(IFERROR(INDEX(ctaMon,MATCH(G2765,ctaNom,0))&amp;"","DOP")=N2765,C2765,IF(N2765="USD",C2765*TasaUSD,C2765/TasaUSD)))</f>
        <v/>
      </c>
      <c r="V2765" s="20">
        <f>IF(I2765="","",IF(IFERROR(INDEX(ctaLiq,MATCH(E2765,ctaNom,0))="Sí",FALSE),IF(OR(I2765="Gasto",I2765="Transferencia",I2765="Pago tarjeta"),-1,1)*O2765,0)+IF(AND(U2765&lt;&gt;"",IFERROR(INDEX(ctaLiq,MATCH(G2765,ctaNom,0))="Sí",FALSE)),O2765,0))</f>
        <v/>
      </c>
      <c r="W2765" s="19">
        <f>IF(OR(F2765="",I2765=""),"",IF(COUNTIFS(F$6:F2765,F2765,I$6:I2765,"?*")=1,MAX(W$5:W2764)+1,""))</f>
        <v/>
      </c>
    </row>
    <row r="2766">
      <c r="B2766" s="15" t="n"/>
      <c r="C2766" s="16" t="n"/>
      <c r="D2766" s="17" t="n"/>
      <c r="E2766" s="17" t="n"/>
      <c r="F2766" s="17" t="n"/>
      <c r="G2766" s="17" t="n"/>
      <c r="H2766" s="18">
        <f>IF(AND(B2766="",C2766="",D2766="",E2766=""),"",IF(B2766="","⚠ Falta fecha",IF(C2766="","⚠ Falta monto",IF(D2766="","⚠ Falta categoría",IF(ISNA(MATCH(D2766,catNom,0)),"⚠ Categoría no existe",IF(E2766="","⚠ Falta cuenta",IF(ISNA(MATCH(E2766,ctaNom,0)),"⚠ Cuenta no existe",IF(AND(OR(I2766="Transferencia",I2766="Pago tarjeta"),G2766=""),"⚠ Indica la cuenta «Hacia»",IF(AND(G2766&lt;&gt;"",G2766=E2766),"⚠ «Hacia» igual a la cuenta",IF(AND(G2766&lt;&gt;"",ISNA(MATCH(G2766,ctaNom,0))),"⚠ «Hacia» no existe",IF(AND(I2766="Pago tarjeta",IFERROR(INDEX(ctaTipo,MATCH(G2766,ctaNom,0)),"")&lt;&gt;"Tarjeta de crédito"),"⚠ «Hacia» debe ser la tarjeta",IF(AND(I2766="Trading",IFERROR(INDEX(ctaTipo,MATCH(E2766,ctaNom,0)),"")&lt;&gt;"Cuenta de trading"),"⚠ Usa la cuenta de trading","✓"))))))))))))</f>
        <v/>
      </c>
      <c r="I2766" s="19">
        <f>IF(OR(B2766="",C2766="",D2766=""),"",IFERROR(INDEX(catTipo,MATCH(D2766,catNom,0))&amp;"",""))</f>
        <v/>
      </c>
      <c r="J2766" s="19">
        <f>IF(I2766="","",IFERROR(INDEX(catGrupo,MATCH(D2766,catNom,0))&amp;"",""))</f>
        <v/>
      </c>
      <c r="K2766" s="19">
        <f>IF(I2766="Gasto",IF(IFERROR(INDEX(catClas,MATCH(D2766,catNom,0))&amp;"","")="","Variable",IFERROR(INDEX(catClas,MATCH(D2766,catNom,0))&amp;"","")),"")</f>
        <v/>
      </c>
      <c r="L2766" s="19">
        <f>IF(I2766="","",IFERROR(INDEX(catAlim,MATCH(D2766,catNom,0))&amp;"",""))</f>
        <v/>
      </c>
      <c r="M2766" s="19">
        <f>IF(I2766="","",IFERROR(INDEX(catComida,MATCH(D2766,catNom,0))&amp;"",""))</f>
        <v/>
      </c>
      <c r="N2766" s="19">
        <f>IF(I2766="","",IFERROR(INDEX(ctaMon,MATCH(E2766,ctaNom,0))&amp;"","DOP"))</f>
        <v/>
      </c>
      <c r="O2766" s="20">
        <f>IF(I2766="","",C2766*IF(N2766="USD",TasaUSD,1))</f>
        <v/>
      </c>
      <c r="P2766" s="20">
        <f>IF(I2766="","",IF(I2766="Gasto",O2766,0))</f>
        <v/>
      </c>
      <c r="Q2766" s="20">
        <f>IF(I2766="","",IF(I2766="Ingreso",O2766,0))</f>
        <v/>
      </c>
      <c r="R2766" s="20">
        <f>IF(I2766="","",IF(I2766="Trading",O2766,0))</f>
        <v/>
      </c>
      <c r="S2766" s="19">
        <f>IF(I2766="","",IF(AND(I2766="Gasto",K2766="Variable",J2766&lt;&gt;"Trading",O2766&gt;0,O2766&lt;=Umbral),1,0))</f>
        <v/>
      </c>
      <c r="T2766" s="20">
        <f>IF(OR(I2766="",E2766=""),"",IF(OR(I2766="Gasto",I2766="Transferencia",I2766="Pago tarjeta"),-1,1)*C2766)</f>
        <v/>
      </c>
      <c r="U2766" s="20">
        <f>IF(OR(G2766="",AND(I2766&lt;&gt;"Transferencia",I2766&lt;&gt;"Pago tarjeta")),"",IF(IFERROR(INDEX(ctaMon,MATCH(G2766,ctaNom,0))&amp;"","DOP")=N2766,C2766,IF(N2766="USD",C2766*TasaUSD,C2766/TasaUSD)))</f>
        <v/>
      </c>
      <c r="V2766" s="20">
        <f>IF(I2766="","",IF(IFERROR(INDEX(ctaLiq,MATCH(E2766,ctaNom,0))="Sí",FALSE),IF(OR(I2766="Gasto",I2766="Transferencia",I2766="Pago tarjeta"),-1,1)*O2766,0)+IF(AND(U2766&lt;&gt;"",IFERROR(INDEX(ctaLiq,MATCH(G2766,ctaNom,0))="Sí",FALSE)),O2766,0))</f>
        <v/>
      </c>
      <c r="W2766" s="19">
        <f>IF(OR(F2766="",I2766=""),"",IF(COUNTIFS(F$6:F2766,F2766,I$6:I2766,"?*")=1,MAX(W$5:W2765)+1,""))</f>
        <v/>
      </c>
    </row>
    <row r="2767">
      <c r="B2767" s="15" t="n"/>
      <c r="C2767" s="16" t="n"/>
      <c r="D2767" s="17" t="n"/>
      <c r="E2767" s="17" t="n"/>
      <c r="F2767" s="17" t="n"/>
      <c r="G2767" s="17" t="n"/>
      <c r="H2767" s="18">
        <f>IF(AND(B2767="",C2767="",D2767="",E2767=""),"",IF(B2767="","⚠ Falta fecha",IF(C2767="","⚠ Falta monto",IF(D2767="","⚠ Falta categoría",IF(ISNA(MATCH(D2767,catNom,0)),"⚠ Categoría no existe",IF(E2767="","⚠ Falta cuenta",IF(ISNA(MATCH(E2767,ctaNom,0)),"⚠ Cuenta no existe",IF(AND(OR(I2767="Transferencia",I2767="Pago tarjeta"),G2767=""),"⚠ Indica la cuenta «Hacia»",IF(AND(G2767&lt;&gt;"",G2767=E2767),"⚠ «Hacia» igual a la cuenta",IF(AND(G2767&lt;&gt;"",ISNA(MATCH(G2767,ctaNom,0))),"⚠ «Hacia» no existe",IF(AND(I2767="Pago tarjeta",IFERROR(INDEX(ctaTipo,MATCH(G2767,ctaNom,0)),"")&lt;&gt;"Tarjeta de crédito"),"⚠ «Hacia» debe ser la tarjeta",IF(AND(I2767="Trading",IFERROR(INDEX(ctaTipo,MATCH(E2767,ctaNom,0)),"")&lt;&gt;"Cuenta de trading"),"⚠ Usa la cuenta de trading","✓"))))))))))))</f>
        <v/>
      </c>
      <c r="I2767" s="19">
        <f>IF(OR(B2767="",C2767="",D2767=""),"",IFERROR(INDEX(catTipo,MATCH(D2767,catNom,0))&amp;"",""))</f>
        <v/>
      </c>
      <c r="J2767" s="19">
        <f>IF(I2767="","",IFERROR(INDEX(catGrupo,MATCH(D2767,catNom,0))&amp;"",""))</f>
        <v/>
      </c>
      <c r="K2767" s="19">
        <f>IF(I2767="Gasto",IF(IFERROR(INDEX(catClas,MATCH(D2767,catNom,0))&amp;"","")="","Variable",IFERROR(INDEX(catClas,MATCH(D2767,catNom,0))&amp;"","")),"")</f>
        <v/>
      </c>
      <c r="L2767" s="19">
        <f>IF(I2767="","",IFERROR(INDEX(catAlim,MATCH(D2767,catNom,0))&amp;"",""))</f>
        <v/>
      </c>
      <c r="M2767" s="19">
        <f>IF(I2767="","",IFERROR(INDEX(catComida,MATCH(D2767,catNom,0))&amp;"",""))</f>
        <v/>
      </c>
      <c r="N2767" s="19">
        <f>IF(I2767="","",IFERROR(INDEX(ctaMon,MATCH(E2767,ctaNom,0))&amp;"","DOP"))</f>
        <v/>
      </c>
      <c r="O2767" s="20">
        <f>IF(I2767="","",C2767*IF(N2767="USD",TasaUSD,1))</f>
        <v/>
      </c>
      <c r="P2767" s="20">
        <f>IF(I2767="","",IF(I2767="Gasto",O2767,0))</f>
        <v/>
      </c>
      <c r="Q2767" s="20">
        <f>IF(I2767="","",IF(I2767="Ingreso",O2767,0))</f>
        <v/>
      </c>
      <c r="R2767" s="20">
        <f>IF(I2767="","",IF(I2767="Trading",O2767,0))</f>
        <v/>
      </c>
      <c r="S2767" s="19">
        <f>IF(I2767="","",IF(AND(I2767="Gasto",K2767="Variable",J2767&lt;&gt;"Trading",O2767&gt;0,O2767&lt;=Umbral),1,0))</f>
        <v/>
      </c>
      <c r="T2767" s="20">
        <f>IF(OR(I2767="",E2767=""),"",IF(OR(I2767="Gasto",I2767="Transferencia",I2767="Pago tarjeta"),-1,1)*C2767)</f>
        <v/>
      </c>
      <c r="U2767" s="20">
        <f>IF(OR(G2767="",AND(I2767&lt;&gt;"Transferencia",I2767&lt;&gt;"Pago tarjeta")),"",IF(IFERROR(INDEX(ctaMon,MATCH(G2767,ctaNom,0))&amp;"","DOP")=N2767,C2767,IF(N2767="USD",C2767*TasaUSD,C2767/TasaUSD)))</f>
        <v/>
      </c>
      <c r="V2767" s="20">
        <f>IF(I2767="","",IF(IFERROR(INDEX(ctaLiq,MATCH(E2767,ctaNom,0))="Sí",FALSE),IF(OR(I2767="Gasto",I2767="Transferencia",I2767="Pago tarjeta"),-1,1)*O2767,0)+IF(AND(U2767&lt;&gt;"",IFERROR(INDEX(ctaLiq,MATCH(G2767,ctaNom,0))="Sí",FALSE)),O2767,0))</f>
        <v/>
      </c>
      <c r="W2767" s="19">
        <f>IF(OR(F2767="",I2767=""),"",IF(COUNTIFS(F$6:F2767,F2767,I$6:I2767,"?*")=1,MAX(W$5:W2766)+1,""))</f>
        <v/>
      </c>
    </row>
    <row r="2768">
      <c r="B2768" s="15" t="n"/>
      <c r="C2768" s="16" t="n"/>
      <c r="D2768" s="17" t="n"/>
      <c r="E2768" s="17" t="n"/>
      <c r="F2768" s="17" t="n"/>
      <c r="G2768" s="17" t="n"/>
      <c r="H2768" s="18">
        <f>IF(AND(B2768="",C2768="",D2768="",E2768=""),"",IF(B2768="","⚠ Falta fecha",IF(C2768="","⚠ Falta monto",IF(D2768="","⚠ Falta categoría",IF(ISNA(MATCH(D2768,catNom,0)),"⚠ Categoría no existe",IF(E2768="","⚠ Falta cuenta",IF(ISNA(MATCH(E2768,ctaNom,0)),"⚠ Cuenta no existe",IF(AND(OR(I2768="Transferencia",I2768="Pago tarjeta"),G2768=""),"⚠ Indica la cuenta «Hacia»",IF(AND(G2768&lt;&gt;"",G2768=E2768),"⚠ «Hacia» igual a la cuenta",IF(AND(G2768&lt;&gt;"",ISNA(MATCH(G2768,ctaNom,0))),"⚠ «Hacia» no existe",IF(AND(I2768="Pago tarjeta",IFERROR(INDEX(ctaTipo,MATCH(G2768,ctaNom,0)),"")&lt;&gt;"Tarjeta de crédito"),"⚠ «Hacia» debe ser la tarjeta",IF(AND(I2768="Trading",IFERROR(INDEX(ctaTipo,MATCH(E2768,ctaNom,0)),"")&lt;&gt;"Cuenta de trading"),"⚠ Usa la cuenta de trading","✓"))))))))))))</f>
        <v/>
      </c>
      <c r="I2768" s="19">
        <f>IF(OR(B2768="",C2768="",D2768=""),"",IFERROR(INDEX(catTipo,MATCH(D2768,catNom,0))&amp;"",""))</f>
        <v/>
      </c>
      <c r="J2768" s="19">
        <f>IF(I2768="","",IFERROR(INDEX(catGrupo,MATCH(D2768,catNom,0))&amp;"",""))</f>
        <v/>
      </c>
      <c r="K2768" s="19">
        <f>IF(I2768="Gasto",IF(IFERROR(INDEX(catClas,MATCH(D2768,catNom,0))&amp;"","")="","Variable",IFERROR(INDEX(catClas,MATCH(D2768,catNom,0))&amp;"","")),"")</f>
        <v/>
      </c>
      <c r="L2768" s="19">
        <f>IF(I2768="","",IFERROR(INDEX(catAlim,MATCH(D2768,catNom,0))&amp;"",""))</f>
        <v/>
      </c>
      <c r="M2768" s="19">
        <f>IF(I2768="","",IFERROR(INDEX(catComida,MATCH(D2768,catNom,0))&amp;"",""))</f>
        <v/>
      </c>
      <c r="N2768" s="19">
        <f>IF(I2768="","",IFERROR(INDEX(ctaMon,MATCH(E2768,ctaNom,0))&amp;"","DOP"))</f>
        <v/>
      </c>
      <c r="O2768" s="20">
        <f>IF(I2768="","",C2768*IF(N2768="USD",TasaUSD,1))</f>
        <v/>
      </c>
      <c r="P2768" s="20">
        <f>IF(I2768="","",IF(I2768="Gasto",O2768,0))</f>
        <v/>
      </c>
      <c r="Q2768" s="20">
        <f>IF(I2768="","",IF(I2768="Ingreso",O2768,0))</f>
        <v/>
      </c>
      <c r="R2768" s="20">
        <f>IF(I2768="","",IF(I2768="Trading",O2768,0))</f>
        <v/>
      </c>
      <c r="S2768" s="19">
        <f>IF(I2768="","",IF(AND(I2768="Gasto",K2768="Variable",J2768&lt;&gt;"Trading",O2768&gt;0,O2768&lt;=Umbral),1,0))</f>
        <v/>
      </c>
      <c r="T2768" s="20">
        <f>IF(OR(I2768="",E2768=""),"",IF(OR(I2768="Gasto",I2768="Transferencia",I2768="Pago tarjeta"),-1,1)*C2768)</f>
        <v/>
      </c>
      <c r="U2768" s="20">
        <f>IF(OR(G2768="",AND(I2768&lt;&gt;"Transferencia",I2768&lt;&gt;"Pago tarjeta")),"",IF(IFERROR(INDEX(ctaMon,MATCH(G2768,ctaNom,0))&amp;"","DOP")=N2768,C2768,IF(N2768="USD",C2768*TasaUSD,C2768/TasaUSD)))</f>
        <v/>
      </c>
      <c r="V2768" s="20">
        <f>IF(I2768="","",IF(IFERROR(INDEX(ctaLiq,MATCH(E2768,ctaNom,0))="Sí",FALSE),IF(OR(I2768="Gasto",I2768="Transferencia",I2768="Pago tarjeta"),-1,1)*O2768,0)+IF(AND(U2768&lt;&gt;"",IFERROR(INDEX(ctaLiq,MATCH(G2768,ctaNom,0))="Sí",FALSE)),O2768,0))</f>
        <v/>
      </c>
      <c r="W2768" s="19">
        <f>IF(OR(F2768="",I2768=""),"",IF(COUNTIFS(F$6:F2768,F2768,I$6:I2768,"?*")=1,MAX(W$5:W2767)+1,""))</f>
        <v/>
      </c>
    </row>
    <row r="2769">
      <c r="B2769" s="15" t="n"/>
      <c r="C2769" s="16" t="n"/>
      <c r="D2769" s="17" t="n"/>
      <c r="E2769" s="17" t="n"/>
      <c r="F2769" s="17" t="n"/>
      <c r="G2769" s="17" t="n"/>
      <c r="H2769" s="18">
        <f>IF(AND(B2769="",C2769="",D2769="",E2769=""),"",IF(B2769="","⚠ Falta fecha",IF(C2769="","⚠ Falta monto",IF(D2769="","⚠ Falta categoría",IF(ISNA(MATCH(D2769,catNom,0)),"⚠ Categoría no existe",IF(E2769="","⚠ Falta cuenta",IF(ISNA(MATCH(E2769,ctaNom,0)),"⚠ Cuenta no existe",IF(AND(OR(I2769="Transferencia",I2769="Pago tarjeta"),G2769=""),"⚠ Indica la cuenta «Hacia»",IF(AND(G2769&lt;&gt;"",G2769=E2769),"⚠ «Hacia» igual a la cuenta",IF(AND(G2769&lt;&gt;"",ISNA(MATCH(G2769,ctaNom,0))),"⚠ «Hacia» no existe",IF(AND(I2769="Pago tarjeta",IFERROR(INDEX(ctaTipo,MATCH(G2769,ctaNom,0)),"")&lt;&gt;"Tarjeta de crédito"),"⚠ «Hacia» debe ser la tarjeta",IF(AND(I2769="Trading",IFERROR(INDEX(ctaTipo,MATCH(E2769,ctaNom,0)),"")&lt;&gt;"Cuenta de trading"),"⚠ Usa la cuenta de trading","✓"))))))))))))</f>
        <v/>
      </c>
      <c r="I2769" s="19">
        <f>IF(OR(B2769="",C2769="",D2769=""),"",IFERROR(INDEX(catTipo,MATCH(D2769,catNom,0))&amp;"",""))</f>
        <v/>
      </c>
      <c r="J2769" s="19">
        <f>IF(I2769="","",IFERROR(INDEX(catGrupo,MATCH(D2769,catNom,0))&amp;"",""))</f>
        <v/>
      </c>
      <c r="K2769" s="19">
        <f>IF(I2769="Gasto",IF(IFERROR(INDEX(catClas,MATCH(D2769,catNom,0))&amp;"","")="","Variable",IFERROR(INDEX(catClas,MATCH(D2769,catNom,0))&amp;"","")),"")</f>
        <v/>
      </c>
      <c r="L2769" s="19">
        <f>IF(I2769="","",IFERROR(INDEX(catAlim,MATCH(D2769,catNom,0))&amp;"",""))</f>
        <v/>
      </c>
      <c r="M2769" s="19">
        <f>IF(I2769="","",IFERROR(INDEX(catComida,MATCH(D2769,catNom,0))&amp;"",""))</f>
        <v/>
      </c>
      <c r="N2769" s="19">
        <f>IF(I2769="","",IFERROR(INDEX(ctaMon,MATCH(E2769,ctaNom,0))&amp;"","DOP"))</f>
        <v/>
      </c>
      <c r="O2769" s="20">
        <f>IF(I2769="","",C2769*IF(N2769="USD",TasaUSD,1))</f>
        <v/>
      </c>
      <c r="P2769" s="20">
        <f>IF(I2769="","",IF(I2769="Gasto",O2769,0))</f>
        <v/>
      </c>
      <c r="Q2769" s="20">
        <f>IF(I2769="","",IF(I2769="Ingreso",O2769,0))</f>
        <v/>
      </c>
      <c r="R2769" s="20">
        <f>IF(I2769="","",IF(I2769="Trading",O2769,0))</f>
        <v/>
      </c>
      <c r="S2769" s="19">
        <f>IF(I2769="","",IF(AND(I2769="Gasto",K2769="Variable",J2769&lt;&gt;"Trading",O2769&gt;0,O2769&lt;=Umbral),1,0))</f>
        <v/>
      </c>
      <c r="T2769" s="20">
        <f>IF(OR(I2769="",E2769=""),"",IF(OR(I2769="Gasto",I2769="Transferencia",I2769="Pago tarjeta"),-1,1)*C2769)</f>
        <v/>
      </c>
      <c r="U2769" s="20">
        <f>IF(OR(G2769="",AND(I2769&lt;&gt;"Transferencia",I2769&lt;&gt;"Pago tarjeta")),"",IF(IFERROR(INDEX(ctaMon,MATCH(G2769,ctaNom,0))&amp;"","DOP")=N2769,C2769,IF(N2769="USD",C2769*TasaUSD,C2769/TasaUSD)))</f>
        <v/>
      </c>
      <c r="V2769" s="20">
        <f>IF(I2769="","",IF(IFERROR(INDEX(ctaLiq,MATCH(E2769,ctaNom,0))="Sí",FALSE),IF(OR(I2769="Gasto",I2769="Transferencia",I2769="Pago tarjeta"),-1,1)*O2769,0)+IF(AND(U2769&lt;&gt;"",IFERROR(INDEX(ctaLiq,MATCH(G2769,ctaNom,0))="Sí",FALSE)),O2769,0))</f>
        <v/>
      </c>
      <c r="W2769" s="19">
        <f>IF(OR(F2769="",I2769=""),"",IF(COUNTIFS(F$6:F2769,F2769,I$6:I2769,"?*")=1,MAX(W$5:W2768)+1,""))</f>
        <v/>
      </c>
    </row>
    <row r="2770">
      <c r="B2770" s="15" t="n"/>
      <c r="C2770" s="16" t="n"/>
      <c r="D2770" s="17" t="n"/>
      <c r="E2770" s="17" t="n"/>
      <c r="F2770" s="17" t="n"/>
      <c r="G2770" s="17" t="n"/>
      <c r="H2770" s="18">
        <f>IF(AND(B2770="",C2770="",D2770="",E2770=""),"",IF(B2770="","⚠ Falta fecha",IF(C2770="","⚠ Falta monto",IF(D2770="","⚠ Falta categoría",IF(ISNA(MATCH(D2770,catNom,0)),"⚠ Categoría no existe",IF(E2770="","⚠ Falta cuenta",IF(ISNA(MATCH(E2770,ctaNom,0)),"⚠ Cuenta no existe",IF(AND(OR(I2770="Transferencia",I2770="Pago tarjeta"),G2770=""),"⚠ Indica la cuenta «Hacia»",IF(AND(G2770&lt;&gt;"",G2770=E2770),"⚠ «Hacia» igual a la cuenta",IF(AND(G2770&lt;&gt;"",ISNA(MATCH(G2770,ctaNom,0))),"⚠ «Hacia» no existe",IF(AND(I2770="Pago tarjeta",IFERROR(INDEX(ctaTipo,MATCH(G2770,ctaNom,0)),"")&lt;&gt;"Tarjeta de crédito"),"⚠ «Hacia» debe ser la tarjeta",IF(AND(I2770="Trading",IFERROR(INDEX(ctaTipo,MATCH(E2770,ctaNom,0)),"")&lt;&gt;"Cuenta de trading"),"⚠ Usa la cuenta de trading","✓"))))))))))))</f>
        <v/>
      </c>
      <c r="I2770" s="19">
        <f>IF(OR(B2770="",C2770="",D2770=""),"",IFERROR(INDEX(catTipo,MATCH(D2770,catNom,0))&amp;"",""))</f>
        <v/>
      </c>
      <c r="J2770" s="19">
        <f>IF(I2770="","",IFERROR(INDEX(catGrupo,MATCH(D2770,catNom,0))&amp;"",""))</f>
        <v/>
      </c>
      <c r="K2770" s="19">
        <f>IF(I2770="Gasto",IF(IFERROR(INDEX(catClas,MATCH(D2770,catNom,0))&amp;"","")="","Variable",IFERROR(INDEX(catClas,MATCH(D2770,catNom,0))&amp;"","")),"")</f>
        <v/>
      </c>
      <c r="L2770" s="19">
        <f>IF(I2770="","",IFERROR(INDEX(catAlim,MATCH(D2770,catNom,0))&amp;"",""))</f>
        <v/>
      </c>
      <c r="M2770" s="19">
        <f>IF(I2770="","",IFERROR(INDEX(catComida,MATCH(D2770,catNom,0))&amp;"",""))</f>
        <v/>
      </c>
      <c r="N2770" s="19">
        <f>IF(I2770="","",IFERROR(INDEX(ctaMon,MATCH(E2770,ctaNom,0))&amp;"","DOP"))</f>
        <v/>
      </c>
      <c r="O2770" s="20">
        <f>IF(I2770="","",C2770*IF(N2770="USD",TasaUSD,1))</f>
        <v/>
      </c>
      <c r="P2770" s="20">
        <f>IF(I2770="","",IF(I2770="Gasto",O2770,0))</f>
        <v/>
      </c>
      <c r="Q2770" s="20">
        <f>IF(I2770="","",IF(I2770="Ingreso",O2770,0))</f>
        <v/>
      </c>
      <c r="R2770" s="20">
        <f>IF(I2770="","",IF(I2770="Trading",O2770,0))</f>
        <v/>
      </c>
      <c r="S2770" s="19">
        <f>IF(I2770="","",IF(AND(I2770="Gasto",K2770="Variable",J2770&lt;&gt;"Trading",O2770&gt;0,O2770&lt;=Umbral),1,0))</f>
        <v/>
      </c>
      <c r="T2770" s="20">
        <f>IF(OR(I2770="",E2770=""),"",IF(OR(I2770="Gasto",I2770="Transferencia",I2770="Pago tarjeta"),-1,1)*C2770)</f>
        <v/>
      </c>
      <c r="U2770" s="20">
        <f>IF(OR(G2770="",AND(I2770&lt;&gt;"Transferencia",I2770&lt;&gt;"Pago tarjeta")),"",IF(IFERROR(INDEX(ctaMon,MATCH(G2770,ctaNom,0))&amp;"","DOP")=N2770,C2770,IF(N2770="USD",C2770*TasaUSD,C2770/TasaUSD)))</f>
        <v/>
      </c>
      <c r="V2770" s="20">
        <f>IF(I2770="","",IF(IFERROR(INDEX(ctaLiq,MATCH(E2770,ctaNom,0))="Sí",FALSE),IF(OR(I2770="Gasto",I2770="Transferencia",I2770="Pago tarjeta"),-1,1)*O2770,0)+IF(AND(U2770&lt;&gt;"",IFERROR(INDEX(ctaLiq,MATCH(G2770,ctaNom,0))="Sí",FALSE)),O2770,0))</f>
        <v/>
      </c>
      <c r="W2770" s="19">
        <f>IF(OR(F2770="",I2770=""),"",IF(COUNTIFS(F$6:F2770,F2770,I$6:I2770,"?*")=1,MAX(W$5:W2769)+1,""))</f>
        <v/>
      </c>
    </row>
    <row r="2771">
      <c r="B2771" s="15" t="n"/>
      <c r="C2771" s="16" t="n"/>
      <c r="D2771" s="17" t="n"/>
      <c r="E2771" s="17" t="n"/>
      <c r="F2771" s="17" t="n"/>
      <c r="G2771" s="17" t="n"/>
      <c r="H2771" s="18">
        <f>IF(AND(B2771="",C2771="",D2771="",E2771=""),"",IF(B2771="","⚠ Falta fecha",IF(C2771="","⚠ Falta monto",IF(D2771="","⚠ Falta categoría",IF(ISNA(MATCH(D2771,catNom,0)),"⚠ Categoría no existe",IF(E2771="","⚠ Falta cuenta",IF(ISNA(MATCH(E2771,ctaNom,0)),"⚠ Cuenta no existe",IF(AND(OR(I2771="Transferencia",I2771="Pago tarjeta"),G2771=""),"⚠ Indica la cuenta «Hacia»",IF(AND(G2771&lt;&gt;"",G2771=E2771),"⚠ «Hacia» igual a la cuenta",IF(AND(G2771&lt;&gt;"",ISNA(MATCH(G2771,ctaNom,0))),"⚠ «Hacia» no existe",IF(AND(I2771="Pago tarjeta",IFERROR(INDEX(ctaTipo,MATCH(G2771,ctaNom,0)),"")&lt;&gt;"Tarjeta de crédito"),"⚠ «Hacia» debe ser la tarjeta",IF(AND(I2771="Trading",IFERROR(INDEX(ctaTipo,MATCH(E2771,ctaNom,0)),"")&lt;&gt;"Cuenta de trading"),"⚠ Usa la cuenta de trading","✓"))))))))))))</f>
        <v/>
      </c>
      <c r="I2771" s="19">
        <f>IF(OR(B2771="",C2771="",D2771=""),"",IFERROR(INDEX(catTipo,MATCH(D2771,catNom,0))&amp;"",""))</f>
        <v/>
      </c>
      <c r="J2771" s="19">
        <f>IF(I2771="","",IFERROR(INDEX(catGrupo,MATCH(D2771,catNom,0))&amp;"",""))</f>
        <v/>
      </c>
      <c r="K2771" s="19">
        <f>IF(I2771="Gasto",IF(IFERROR(INDEX(catClas,MATCH(D2771,catNom,0))&amp;"","")="","Variable",IFERROR(INDEX(catClas,MATCH(D2771,catNom,0))&amp;"","")),"")</f>
        <v/>
      </c>
      <c r="L2771" s="19">
        <f>IF(I2771="","",IFERROR(INDEX(catAlim,MATCH(D2771,catNom,0))&amp;"",""))</f>
        <v/>
      </c>
      <c r="M2771" s="19">
        <f>IF(I2771="","",IFERROR(INDEX(catComida,MATCH(D2771,catNom,0))&amp;"",""))</f>
        <v/>
      </c>
      <c r="N2771" s="19">
        <f>IF(I2771="","",IFERROR(INDEX(ctaMon,MATCH(E2771,ctaNom,0))&amp;"","DOP"))</f>
        <v/>
      </c>
      <c r="O2771" s="20">
        <f>IF(I2771="","",C2771*IF(N2771="USD",TasaUSD,1))</f>
        <v/>
      </c>
      <c r="P2771" s="20">
        <f>IF(I2771="","",IF(I2771="Gasto",O2771,0))</f>
        <v/>
      </c>
      <c r="Q2771" s="20">
        <f>IF(I2771="","",IF(I2771="Ingreso",O2771,0))</f>
        <v/>
      </c>
      <c r="R2771" s="20">
        <f>IF(I2771="","",IF(I2771="Trading",O2771,0))</f>
        <v/>
      </c>
      <c r="S2771" s="19">
        <f>IF(I2771="","",IF(AND(I2771="Gasto",K2771="Variable",J2771&lt;&gt;"Trading",O2771&gt;0,O2771&lt;=Umbral),1,0))</f>
        <v/>
      </c>
      <c r="T2771" s="20">
        <f>IF(OR(I2771="",E2771=""),"",IF(OR(I2771="Gasto",I2771="Transferencia",I2771="Pago tarjeta"),-1,1)*C2771)</f>
        <v/>
      </c>
      <c r="U2771" s="20">
        <f>IF(OR(G2771="",AND(I2771&lt;&gt;"Transferencia",I2771&lt;&gt;"Pago tarjeta")),"",IF(IFERROR(INDEX(ctaMon,MATCH(G2771,ctaNom,0))&amp;"","DOP")=N2771,C2771,IF(N2771="USD",C2771*TasaUSD,C2771/TasaUSD)))</f>
        <v/>
      </c>
      <c r="V2771" s="20">
        <f>IF(I2771="","",IF(IFERROR(INDEX(ctaLiq,MATCH(E2771,ctaNom,0))="Sí",FALSE),IF(OR(I2771="Gasto",I2771="Transferencia",I2771="Pago tarjeta"),-1,1)*O2771,0)+IF(AND(U2771&lt;&gt;"",IFERROR(INDEX(ctaLiq,MATCH(G2771,ctaNom,0))="Sí",FALSE)),O2771,0))</f>
        <v/>
      </c>
      <c r="W2771" s="19">
        <f>IF(OR(F2771="",I2771=""),"",IF(COUNTIFS(F$6:F2771,F2771,I$6:I2771,"?*")=1,MAX(W$5:W2770)+1,""))</f>
        <v/>
      </c>
    </row>
    <row r="2772">
      <c r="B2772" s="15" t="n"/>
      <c r="C2772" s="16" t="n"/>
      <c r="D2772" s="17" t="n"/>
      <c r="E2772" s="17" t="n"/>
      <c r="F2772" s="17" t="n"/>
      <c r="G2772" s="17" t="n"/>
      <c r="H2772" s="18">
        <f>IF(AND(B2772="",C2772="",D2772="",E2772=""),"",IF(B2772="","⚠ Falta fecha",IF(C2772="","⚠ Falta monto",IF(D2772="","⚠ Falta categoría",IF(ISNA(MATCH(D2772,catNom,0)),"⚠ Categoría no existe",IF(E2772="","⚠ Falta cuenta",IF(ISNA(MATCH(E2772,ctaNom,0)),"⚠ Cuenta no existe",IF(AND(OR(I2772="Transferencia",I2772="Pago tarjeta"),G2772=""),"⚠ Indica la cuenta «Hacia»",IF(AND(G2772&lt;&gt;"",G2772=E2772),"⚠ «Hacia» igual a la cuenta",IF(AND(G2772&lt;&gt;"",ISNA(MATCH(G2772,ctaNom,0))),"⚠ «Hacia» no existe",IF(AND(I2772="Pago tarjeta",IFERROR(INDEX(ctaTipo,MATCH(G2772,ctaNom,0)),"")&lt;&gt;"Tarjeta de crédito"),"⚠ «Hacia» debe ser la tarjeta",IF(AND(I2772="Trading",IFERROR(INDEX(ctaTipo,MATCH(E2772,ctaNom,0)),"")&lt;&gt;"Cuenta de trading"),"⚠ Usa la cuenta de trading","✓"))))))))))))</f>
        <v/>
      </c>
      <c r="I2772" s="19">
        <f>IF(OR(B2772="",C2772="",D2772=""),"",IFERROR(INDEX(catTipo,MATCH(D2772,catNom,0))&amp;"",""))</f>
        <v/>
      </c>
      <c r="J2772" s="19">
        <f>IF(I2772="","",IFERROR(INDEX(catGrupo,MATCH(D2772,catNom,0))&amp;"",""))</f>
        <v/>
      </c>
      <c r="K2772" s="19">
        <f>IF(I2772="Gasto",IF(IFERROR(INDEX(catClas,MATCH(D2772,catNom,0))&amp;"","")="","Variable",IFERROR(INDEX(catClas,MATCH(D2772,catNom,0))&amp;"","")),"")</f>
        <v/>
      </c>
      <c r="L2772" s="19">
        <f>IF(I2772="","",IFERROR(INDEX(catAlim,MATCH(D2772,catNom,0))&amp;"",""))</f>
        <v/>
      </c>
      <c r="M2772" s="19">
        <f>IF(I2772="","",IFERROR(INDEX(catComida,MATCH(D2772,catNom,0))&amp;"",""))</f>
        <v/>
      </c>
      <c r="N2772" s="19">
        <f>IF(I2772="","",IFERROR(INDEX(ctaMon,MATCH(E2772,ctaNom,0))&amp;"","DOP"))</f>
        <v/>
      </c>
      <c r="O2772" s="20">
        <f>IF(I2772="","",C2772*IF(N2772="USD",TasaUSD,1))</f>
        <v/>
      </c>
      <c r="P2772" s="20">
        <f>IF(I2772="","",IF(I2772="Gasto",O2772,0))</f>
        <v/>
      </c>
      <c r="Q2772" s="20">
        <f>IF(I2772="","",IF(I2772="Ingreso",O2772,0))</f>
        <v/>
      </c>
      <c r="R2772" s="20">
        <f>IF(I2772="","",IF(I2772="Trading",O2772,0))</f>
        <v/>
      </c>
      <c r="S2772" s="19">
        <f>IF(I2772="","",IF(AND(I2772="Gasto",K2772="Variable",J2772&lt;&gt;"Trading",O2772&gt;0,O2772&lt;=Umbral),1,0))</f>
        <v/>
      </c>
      <c r="T2772" s="20">
        <f>IF(OR(I2772="",E2772=""),"",IF(OR(I2772="Gasto",I2772="Transferencia",I2772="Pago tarjeta"),-1,1)*C2772)</f>
        <v/>
      </c>
      <c r="U2772" s="20">
        <f>IF(OR(G2772="",AND(I2772&lt;&gt;"Transferencia",I2772&lt;&gt;"Pago tarjeta")),"",IF(IFERROR(INDEX(ctaMon,MATCH(G2772,ctaNom,0))&amp;"","DOP")=N2772,C2772,IF(N2772="USD",C2772*TasaUSD,C2772/TasaUSD)))</f>
        <v/>
      </c>
      <c r="V2772" s="20">
        <f>IF(I2772="","",IF(IFERROR(INDEX(ctaLiq,MATCH(E2772,ctaNom,0))="Sí",FALSE),IF(OR(I2772="Gasto",I2772="Transferencia",I2772="Pago tarjeta"),-1,1)*O2772,0)+IF(AND(U2772&lt;&gt;"",IFERROR(INDEX(ctaLiq,MATCH(G2772,ctaNom,0))="Sí",FALSE)),O2772,0))</f>
        <v/>
      </c>
      <c r="W2772" s="19">
        <f>IF(OR(F2772="",I2772=""),"",IF(COUNTIFS(F$6:F2772,F2772,I$6:I2772,"?*")=1,MAX(W$5:W2771)+1,""))</f>
        <v/>
      </c>
    </row>
    <row r="2773">
      <c r="B2773" s="15" t="n"/>
      <c r="C2773" s="16" t="n"/>
      <c r="D2773" s="17" t="n"/>
      <c r="E2773" s="17" t="n"/>
      <c r="F2773" s="17" t="n"/>
      <c r="G2773" s="17" t="n"/>
      <c r="H2773" s="18">
        <f>IF(AND(B2773="",C2773="",D2773="",E2773=""),"",IF(B2773="","⚠ Falta fecha",IF(C2773="","⚠ Falta monto",IF(D2773="","⚠ Falta categoría",IF(ISNA(MATCH(D2773,catNom,0)),"⚠ Categoría no existe",IF(E2773="","⚠ Falta cuenta",IF(ISNA(MATCH(E2773,ctaNom,0)),"⚠ Cuenta no existe",IF(AND(OR(I2773="Transferencia",I2773="Pago tarjeta"),G2773=""),"⚠ Indica la cuenta «Hacia»",IF(AND(G2773&lt;&gt;"",G2773=E2773),"⚠ «Hacia» igual a la cuenta",IF(AND(G2773&lt;&gt;"",ISNA(MATCH(G2773,ctaNom,0))),"⚠ «Hacia» no existe",IF(AND(I2773="Pago tarjeta",IFERROR(INDEX(ctaTipo,MATCH(G2773,ctaNom,0)),"")&lt;&gt;"Tarjeta de crédito"),"⚠ «Hacia» debe ser la tarjeta",IF(AND(I2773="Trading",IFERROR(INDEX(ctaTipo,MATCH(E2773,ctaNom,0)),"")&lt;&gt;"Cuenta de trading"),"⚠ Usa la cuenta de trading","✓"))))))))))))</f>
        <v/>
      </c>
      <c r="I2773" s="19">
        <f>IF(OR(B2773="",C2773="",D2773=""),"",IFERROR(INDEX(catTipo,MATCH(D2773,catNom,0))&amp;"",""))</f>
        <v/>
      </c>
      <c r="J2773" s="19">
        <f>IF(I2773="","",IFERROR(INDEX(catGrupo,MATCH(D2773,catNom,0))&amp;"",""))</f>
        <v/>
      </c>
      <c r="K2773" s="19">
        <f>IF(I2773="Gasto",IF(IFERROR(INDEX(catClas,MATCH(D2773,catNom,0))&amp;"","")="","Variable",IFERROR(INDEX(catClas,MATCH(D2773,catNom,0))&amp;"","")),"")</f>
        <v/>
      </c>
      <c r="L2773" s="19">
        <f>IF(I2773="","",IFERROR(INDEX(catAlim,MATCH(D2773,catNom,0))&amp;"",""))</f>
        <v/>
      </c>
      <c r="M2773" s="19">
        <f>IF(I2773="","",IFERROR(INDEX(catComida,MATCH(D2773,catNom,0))&amp;"",""))</f>
        <v/>
      </c>
      <c r="N2773" s="19">
        <f>IF(I2773="","",IFERROR(INDEX(ctaMon,MATCH(E2773,ctaNom,0))&amp;"","DOP"))</f>
        <v/>
      </c>
      <c r="O2773" s="20">
        <f>IF(I2773="","",C2773*IF(N2773="USD",TasaUSD,1))</f>
        <v/>
      </c>
      <c r="P2773" s="20">
        <f>IF(I2773="","",IF(I2773="Gasto",O2773,0))</f>
        <v/>
      </c>
      <c r="Q2773" s="20">
        <f>IF(I2773="","",IF(I2773="Ingreso",O2773,0))</f>
        <v/>
      </c>
      <c r="R2773" s="20">
        <f>IF(I2773="","",IF(I2773="Trading",O2773,0))</f>
        <v/>
      </c>
      <c r="S2773" s="19">
        <f>IF(I2773="","",IF(AND(I2773="Gasto",K2773="Variable",J2773&lt;&gt;"Trading",O2773&gt;0,O2773&lt;=Umbral),1,0))</f>
        <v/>
      </c>
      <c r="T2773" s="20">
        <f>IF(OR(I2773="",E2773=""),"",IF(OR(I2773="Gasto",I2773="Transferencia",I2773="Pago tarjeta"),-1,1)*C2773)</f>
        <v/>
      </c>
      <c r="U2773" s="20">
        <f>IF(OR(G2773="",AND(I2773&lt;&gt;"Transferencia",I2773&lt;&gt;"Pago tarjeta")),"",IF(IFERROR(INDEX(ctaMon,MATCH(G2773,ctaNom,0))&amp;"","DOP")=N2773,C2773,IF(N2773="USD",C2773*TasaUSD,C2773/TasaUSD)))</f>
        <v/>
      </c>
      <c r="V2773" s="20">
        <f>IF(I2773="","",IF(IFERROR(INDEX(ctaLiq,MATCH(E2773,ctaNom,0))="Sí",FALSE),IF(OR(I2773="Gasto",I2773="Transferencia",I2773="Pago tarjeta"),-1,1)*O2773,0)+IF(AND(U2773&lt;&gt;"",IFERROR(INDEX(ctaLiq,MATCH(G2773,ctaNom,0))="Sí",FALSE)),O2773,0))</f>
        <v/>
      </c>
      <c r="W2773" s="19">
        <f>IF(OR(F2773="",I2773=""),"",IF(COUNTIFS(F$6:F2773,F2773,I$6:I2773,"?*")=1,MAX(W$5:W2772)+1,""))</f>
        <v/>
      </c>
    </row>
    <row r="2774">
      <c r="B2774" s="15" t="n"/>
      <c r="C2774" s="16" t="n"/>
      <c r="D2774" s="17" t="n"/>
      <c r="E2774" s="17" t="n"/>
      <c r="F2774" s="17" t="n"/>
      <c r="G2774" s="17" t="n"/>
      <c r="H2774" s="18">
        <f>IF(AND(B2774="",C2774="",D2774="",E2774=""),"",IF(B2774="","⚠ Falta fecha",IF(C2774="","⚠ Falta monto",IF(D2774="","⚠ Falta categoría",IF(ISNA(MATCH(D2774,catNom,0)),"⚠ Categoría no existe",IF(E2774="","⚠ Falta cuenta",IF(ISNA(MATCH(E2774,ctaNom,0)),"⚠ Cuenta no existe",IF(AND(OR(I2774="Transferencia",I2774="Pago tarjeta"),G2774=""),"⚠ Indica la cuenta «Hacia»",IF(AND(G2774&lt;&gt;"",G2774=E2774),"⚠ «Hacia» igual a la cuenta",IF(AND(G2774&lt;&gt;"",ISNA(MATCH(G2774,ctaNom,0))),"⚠ «Hacia» no existe",IF(AND(I2774="Pago tarjeta",IFERROR(INDEX(ctaTipo,MATCH(G2774,ctaNom,0)),"")&lt;&gt;"Tarjeta de crédito"),"⚠ «Hacia» debe ser la tarjeta",IF(AND(I2774="Trading",IFERROR(INDEX(ctaTipo,MATCH(E2774,ctaNom,0)),"")&lt;&gt;"Cuenta de trading"),"⚠ Usa la cuenta de trading","✓"))))))))))))</f>
        <v/>
      </c>
      <c r="I2774" s="19">
        <f>IF(OR(B2774="",C2774="",D2774=""),"",IFERROR(INDEX(catTipo,MATCH(D2774,catNom,0))&amp;"",""))</f>
        <v/>
      </c>
      <c r="J2774" s="19">
        <f>IF(I2774="","",IFERROR(INDEX(catGrupo,MATCH(D2774,catNom,0))&amp;"",""))</f>
        <v/>
      </c>
      <c r="K2774" s="19">
        <f>IF(I2774="Gasto",IF(IFERROR(INDEX(catClas,MATCH(D2774,catNom,0))&amp;"","")="","Variable",IFERROR(INDEX(catClas,MATCH(D2774,catNom,0))&amp;"","")),"")</f>
        <v/>
      </c>
      <c r="L2774" s="19">
        <f>IF(I2774="","",IFERROR(INDEX(catAlim,MATCH(D2774,catNom,0))&amp;"",""))</f>
        <v/>
      </c>
      <c r="M2774" s="19">
        <f>IF(I2774="","",IFERROR(INDEX(catComida,MATCH(D2774,catNom,0))&amp;"",""))</f>
        <v/>
      </c>
      <c r="N2774" s="19">
        <f>IF(I2774="","",IFERROR(INDEX(ctaMon,MATCH(E2774,ctaNom,0))&amp;"","DOP"))</f>
        <v/>
      </c>
      <c r="O2774" s="20">
        <f>IF(I2774="","",C2774*IF(N2774="USD",TasaUSD,1))</f>
        <v/>
      </c>
      <c r="P2774" s="20">
        <f>IF(I2774="","",IF(I2774="Gasto",O2774,0))</f>
        <v/>
      </c>
      <c r="Q2774" s="20">
        <f>IF(I2774="","",IF(I2774="Ingreso",O2774,0))</f>
        <v/>
      </c>
      <c r="R2774" s="20">
        <f>IF(I2774="","",IF(I2774="Trading",O2774,0))</f>
        <v/>
      </c>
      <c r="S2774" s="19">
        <f>IF(I2774="","",IF(AND(I2774="Gasto",K2774="Variable",J2774&lt;&gt;"Trading",O2774&gt;0,O2774&lt;=Umbral),1,0))</f>
        <v/>
      </c>
      <c r="T2774" s="20">
        <f>IF(OR(I2774="",E2774=""),"",IF(OR(I2774="Gasto",I2774="Transferencia",I2774="Pago tarjeta"),-1,1)*C2774)</f>
        <v/>
      </c>
      <c r="U2774" s="20">
        <f>IF(OR(G2774="",AND(I2774&lt;&gt;"Transferencia",I2774&lt;&gt;"Pago tarjeta")),"",IF(IFERROR(INDEX(ctaMon,MATCH(G2774,ctaNom,0))&amp;"","DOP")=N2774,C2774,IF(N2774="USD",C2774*TasaUSD,C2774/TasaUSD)))</f>
        <v/>
      </c>
      <c r="V2774" s="20">
        <f>IF(I2774="","",IF(IFERROR(INDEX(ctaLiq,MATCH(E2774,ctaNom,0))="Sí",FALSE),IF(OR(I2774="Gasto",I2774="Transferencia",I2774="Pago tarjeta"),-1,1)*O2774,0)+IF(AND(U2774&lt;&gt;"",IFERROR(INDEX(ctaLiq,MATCH(G2774,ctaNom,0))="Sí",FALSE)),O2774,0))</f>
        <v/>
      </c>
      <c r="W2774" s="19">
        <f>IF(OR(F2774="",I2774=""),"",IF(COUNTIFS(F$6:F2774,F2774,I$6:I2774,"?*")=1,MAX(W$5:W2773)+1,""))</f>
        <v/>
      </c>
    </row>
    <row r="2775">
      <c r="B2775" s="15" t="n"/>
      <c r="C2775" s="16" t="n"/>
      <c r="D2775" s="17" t="n"/>
      <c r="E2775" s="17" t="n"/>
      <c r="F2775" s="17" t="n"/>
      <c r="G2775" s="17" t="n"/>
      <c r="H2775" s="18">
        <f>IF(AND(B2775="",C2775="",D2775="",E2775=""),"",IF(B2775="","⚠ Falta fecha",IF(C2775="","⚠ Falta monto",IF(D2775="","⚠ Falta categoría",IF(ISNA(MATCH(D2775,catNom,0)),"⚠ Categoría no existe",IF(E2775="","⚠ Falta cuenta",IF(ISNA(MATCH(E2775,ctaNom,0)),"⚠ Cuenta no existe",IF(AND(OR(I2775="Transferencia",I2775="Pago tarjeta"),G2775=""),"⚠ Indica la cuenta «Hacia»",IF(AND(G2775&lt;&gt;"",G2775=E2775),"⚠ «Hacia» igual a la cuenta",IF(AND(G2775&lt;&gt;"",ISNA(MATCH(G2775,ctaNom,0))),"⚠ «Hacia» no existe",IF(AND(I2775="Pago tarjeta",IFERROR(INDEX(ctaTipo,MATCH(G2775,ctaNom,0)),"")&lt;&gt;"Tarjeta de crédito"),"⚠ «Hacia» debe ser la tarjeta",IF(AND(I2775="Trading",IFERROR(INDEX(ctaTipo,MATCH(E2775,ctaNom,0)),"")&lt;&gt;"Cuenta de trading"),"⚠ Usa la cuenta de trading","✓"))))))))))))</f>
        <v/>
      </c>
      <c r="I2775" s="19">
        <f>IF(OR(B2775="",C2775="",D2775=""),"",IFERROR(INDEX(catTipo,MATCH(D2775,catNom,0))&amp;"",""))</f>
        <v/>
      </c>
      <c r="J2775" s="19">
        <f>IF(I2775="","",IFERROR(INDEX(catGrupo,MATCH(D2775,catNom,0))&amp;"",""))</f>
        <v/>
      </c>
      <c r="K2775" s="19">
        <f>IF(I2775="Gasto",IF(IFERROR(INDEX(catClas,MATCH(D2775,catNom,0))&amp;"","")="","Variable",IFERROR(INDEX(catClas,MATCH(D2775,catNom,0))&amp;"","")),"")</f>
        <v/>
      </c>
      <c r="L2775" s="19">
        <f>IF(I2775="","",IFERROR(INDEX(catAlim,MATCH(D2775,catNom,0))&amp;"",""))</f>
        <v/>
      </c>
      <c r="M2775" s="19">
        <f>IF(I2775="","",IFERROR(INDEX(catComida,MATCH(D2775,catNom,0))&amp;"",""))</f>
        <v/>
      </c>
      <c r="N2775" s="19">
        <f>IF(I2775="","",IFERROR(INDEX(ctaMon,MATCH(E2775,ctaNom,0))&amp;"","DOP"))</f>
        <v/>
      </c>
      <c r="O2775" s="20">
        <f>IF(I2775="","",C2775*IF(N2775="USD",TasaUSD,1))</f>
        <v/>
      </c>
      <c r="P2775" s="20">
        <f>IF(I2775="","",IF(I2775="Gasto",O2775,0))</f>
        <v/>
      </c>
      <c r="Q2775" s="20">
        <f>IF(I2775="","",IF(I2775="Ingreso",O2775,0))</f>
        <v/>
      </c>
      <c r="R2775" s="20">
        <f>IF(I2775="","",IF(I2775="Trading",O2775,0))</f>
        <v/>
      </c>
      <c r="S2775" s="19">
        <f>IF(I2775="","",IF(AND(I2775="Gasto",K2775="Variable",J2775&lt;&gt;"Trading",O2775&gt;0,O2775&lt;=Umbral),1,0))</f>
        <v/>
      </c>
      <c r="T2775" s="20">
        <f>IF(OR(I2775="",E2775=""),"",IF(OR(I2775="Gasto",I2775="Transferencia",I2775="Pago tarjeta"),-1,1)*C2775)</f>
        <v/>
      </c>
      <c r="U2775" s="20">
        <f>IF(OR(G2775="",AND(I2775&lt;&gt;"Transferencia",I2775&lt;&gt;"Pago tarjeta")),"",IF(IFERROR(INDEX(ctaMon,MATCH(G2775,ctaNom,0))&amp;"","DOP")=N2775,C2775,IF(N2775="USD",C2775*TasaUSD,C2775/TasaUSD)))</f>
        <v/>
      </c>
      <c r="V2775" s="20">
        <f>IF(I2775="","",IF(IFERROR(INDEX(ctaLiq,MATCH(E2775,ctaNom,0))="Sí",FALSE),IF(OR(I2775="Gasto",I2775="Transferencia",I2775="Pago tarjeta"),-1,1)*O2775,0)+IF(AND(U2775&lt;&gt;"",IFERROR(INDEX(ctaLiq,MATCH(G2775,ctaNom,0))="Sí",FALSE)),O2775,0))</f>
        <v/>
      </c>
      <c r="W2775" s="19">
        <f>IF(OR(F2775="",I2775=""),"",IF(COUNTIFS(F$6:F2775,F2775,I$6:I2775,"?*")=1,MAX(W$5:W2774)+1,""))</f>
        <v/>
      </c>
    </row>
    <row r="2776">
      <c r="B2776" s="15" t="n"/>
      <c r="C2776" s="16" t="n"/>
      <c r="D2776" s="17" t="n"/>
      <c r="E2776" s="17" t="n"/>
      <c r="F2776" s="17" t="n"/>
      <c r="G2776" s="17" t="n"/>
      <c r="H2776" s="18">
        <f>IF(AND(B2776="",C2776="",D2776="",E2776=""),"",IF(B2776="","⚠ Falta fecha",IF(C2776="","⚠ Falta monto",IF(D2776="","⚠ Falta categoría",IF(ISNA(MATCH(D2776,catNom,0)),"⚠ Categoría no existe",IF(E2776="","⚠ Falta cuenta",IF(ISNA(MATCH(E2776,ctaNom,0)),"⚠ Cuenta no existe",IF(AND(OR(I2776="Transferencia",I2776="Pago tarjeta"),G2776=""),"⚠ Indica la cuenta «Hacia»",IF(AND(G2776&lt;&gt;"",G2776=E2776),"⚠ «Hacia» igual a la cuenta",IF(AND(G2776&lt;&gt;"",ISNA(MATCH(G2776,ctaNom,0))),"⚠ «Hacia» no existe",IF(AND(I2776="Pago tarjeta",IFERROR(INDEX(ctaTipo,MATCH(G2776,ctaNom,0)),"")&lt;&gt;"Tarjeta de crédito"),"⚠ «Hacia» debe ser la tarjeta",IF(AND(I2776="Trading",IFERROR(INDEX(ctaTipo,MATCH(E2776,ctaNom,0)),"")&lt;&gt;"Cuenta de trading"),"⚠ Usa la cuenta de trading","✓"))))))))))))</f>
        <v/>
      </c>
      <c r="I2776" s="19">
        <f>IF(OR(B2776="",C2776="",D2776=""),"",IFERROR(INDEX(catTipo,MATCH(D2776,catNom,0))&amp;"",""))</f>
        <v/>
      </c>
      <c r="J2776" s="19">
        <f>IF(I2776="","",IFERROR(INDEX(catGrupo,MATCH(D2776,catNom,0))&amp;"",""))</f>
        <v/>
      </c>
      <c r="K2776" s="19">
        <f>IF(I2776="Gasto",IF(IFERROR(INDEX(catClas,MATCH(D2776,catNom,0))&amp;"","")="","Variable",IFERROR(INDEX(catClas,MATCH(D2776,catNom,0))&amp;"","")),"")</f>
        <v/>
      </c>
      <c r="L2776" s="19">
        <f>IF(I2776="","",IFERROR(INDEX(catAlim,MATCH(D2776,catNom,0))&amp;"",""))</f>
        <v/>
      </c>
      <c r="M2776" s="19">
        <f>IF(I2776="","",IFERROR(INDEX(catComida,MATCH(D2776,catNom,0))&amp;"",""))</f>
        <v/>
      </c>
      <c r="N2776" s="19">
        <f>IF(I2776="","",IFERROR(INDEX(ctaMon,MATCH(E2776,ctaNom,0))&amp;"","DOP"))</f>
        <v/>
      </c>
      <c r="O2776" s="20">
        <f>IF(I2776="","",C2776*IF(N2776="USD",TasaUSD,1))</f>
        <v/>
      </c>
      <c r="P2776" s="20">
        <f>IF(I2776="","",IF(I2776="Gasto",O2776,0))</f>
        <v/>
      </c>
      <c r="Q2776" s="20">
        <f>IF(I2776="","",IF(I2776="Ingreso",O2776,0))</f>
        <v/>
      </c>
      <c r="R2776" s="20">
        <f>IF(I2776="","",IF(I2776="Trading",O2776,0))</f>
        <v/>
      </c>
      <c r="S2776" s="19">
        <f>IF(I2776="","",IF(AND(I2776="Gasto",K2776="Variable",J2776&lt;&gt;"Trading",O2776&gt;0,O2776&lt;=Umbral),1,0))</f>
        <v/>
      </c>
      <c r="T2776" s="20">
        <f>IF(OR(I2776="",E2776=""),"",IF(OR(I2776="Gasto",I2776="Transferencia",I2776="Pago tarjeta"),-1,1)*C2776)</f>
        <v/>
      </c>
      <c r="U2776" s="20">
        <f>IF(OR(G2776="",AND(I2776&lt;&gt;"Transferencia",I2776&lt;&gt;"Pago tarjeta")),"",IF(IFERROR(INDEX(ctaMon,MATCH(G2776,ctaNom,0))&amp;"","DOP")=N2776,C2776,IF(N2776="USD",C2776*TasaUSD,C2776/TasaUSD)))</f>
        <v/>
      </c>
      <c r="V2776" s="20">
        <f>IF(I2776="","",IF(IFERROR(INDEX(ctaLiq,MATCH(E2776,ctaNom,0))="Sí",FALSE),IF(OR(I2776="Gasto",I2776="Transferencia",I2776="Pago tarjeta"),-1,1)*O2776,0)+IF(AND(U2776&lt;&gt;"",IFERROR(INDEX(ctaLiq,MATCH(G2776,ctaNom,0))="Sí",FALSE)),O2776,0))</f>
        <v/>
      </c>
      <c r="W2776" s="19">
        <f>IF(OR(F2776="",I2776=""),"",IF(COUNTIFS(F$6:F2776,F2776,I$6:I2776,"?*")=1,MAX(W$5:W2775)+1,""))</f>
        <v/>
      </c>
    </row>
    <row r="2777">
      <c r="B2777" s="15" t="n"/>
      <c r="C2777" s="16" t="n"/>
      <c r="D2777" s="17" t="n"/>
      <c r="E2777" s="17" t="n"/>
      <c r="F2777" s="17" t="n"/>
      <c r="G2777" s="17" t="n"/>
      <c r="H2777" s="18">
        <f>IF(AND(B2777="",C2777="",D2777="",E2777=""),"",IF(B2777="","⚠ Falta fecha",IF(C2777="","⚠ Falta monto",IF(D2777="","⚠ Falta categoría",IF(ISNA(MATCH(D2777,catNom,0)),"⚠ Categoría no existe",IF(E2777="","⚠ Falta cuenta",IF(ISNA(MATCH(E2777,ctaNom,0)),"⚠ Cuenta no existe",IF(AND(OR(I2777="Transferencia",I2777="Pago tarjeta"),G2777=""),"⚠ Indica la cuenta «Hacia»",IF(AND(G2777&lt;&gt;"",G2777=E2777),"⚠ «Hacia» igual a la cuenta",IF(AND(G2777&lt;&gt;"",ISNA(MATCH(G2777,ctaNom,0))),"⚠ «Hacia» no existe",IF(AND(I2777="Pago tarjeta",IFERROR(INDEX(ctaTipo,MATCH(G2777,ctaNom,0)),"")&lt;&gt;"Tarjeta de crédito"),"⚠ «Hacia» debe ser la tarjeta",IF(AND(I2777="Trading",IFERROR(INDEX(ctaTipo,MATCH(E2777,ctaNom,0)),"")&lt;&gt;"Cuenta de trading"),"⚠ Usa la cuenta de trading","✓"))))))))))))</f>
        <v/>
      </c>
      <c r="I2777" s="19">
        <f>IF(OR(B2777="",C2777="",D2777=""),"",IFERROR(INDEX(catTipo,MATCH(D2777,catNom,0))&amp;"",""))</f>
        <v/>
      </c>
      <c r="J2777" s="19">
        <f>IF(I2777="","",IFERROR(INDEX(catGrupo,MATCH(D2777,catNom,0))&amp;"",""))</f>
        <v/>
      </c>
      <c r="K2777" s="19">
        <f>IF(I2777="Gasto",IF(IFERROR(INDEX(catClas,MATCH(D2777,catNom,0))&amp;"","")="","Variable",IFERROR(INDEX(catClas,MATCH(D2777,catNom,0))&amp;"","")),"")</f>
        <v/>
      </c>
      <c r="L2777" s="19">
        <f>IF(I2777="","",IFERROR(INDEX(catAlim,MATCH(D2777,catNom,0))&amp;"",""))</f>
        <v/>
      </c>
      <c r="M2777" s="19">
        <f>IF(I2777="","",IFERROR(INDEX(catComida,MATCH(D2777,catNom,0))&amp;"",""))</f>
        <v/>
      </c>
      <c r="N2777" s="19">
        <f>IF(I2777="","",IFERROR(INDEX(ctaMon,MATCH(E2777,ctaNom,0))&amp;"","DOP"))</f>
        <v/>
      </c>
      <c r="O2777" s="20">
        <f>IF(I2777="","",C2777*IF(N2777="USD",TasaUSD,1))</f>
        <v/>
      </c>
      <c r="P2777" s="20">
        <f>IF(I2777="","",IF(I2777="Gasto",O2777,0))</f>
        <v/>
      </c>
      <c r="Q2777" s="20">
        <f>IF(I2777="","",IF(I2777="Ingreso",O2777,0))</f>
        <v/>
      </c>
      <c r="R2777" s="20">
        <f>IF(I2777="","",IF(I2777="Trading",O2777,0))</f>
        <v/>
      </c>
      <c r="S2777" s="19">
        <f>IF(I2777="","",IF(AND(I2777="Gasto",K2777="Variable",J2777&lt;&gt;"Trading",O2777&gt;0,O2777&lt;=Umbral),1,0))</f>
        <v/>
      </c>
      <c r="T2777" s="20">
        <f>IF(OR(I2777="",E2777=""),"",IF(OR(I2777="Gasto",I2777="Transferencia",I2777="Pago tarjeta"),-1,1)*C2777)</f>
        <v/>
      </c>
      <c r="U2777" s="20">
        <f>IF(OR(G2777="",AND(I2777&lt;&gt;"Transferencia",I2777&lt;&gt;"Pago tarjeta")),"",IF(IFERROR(INDEX(ctaMon,MATCH(G2777,ctaNom,0))&amp;"","DOP")=N2777,C2777,IF(N2777="USD",C2777*TasaUSD,C2777/TasaUSD)))</f>
        <v/>
      </c>
      <c r="V2777" s="20">
        <f>IF(I2777="","",IF(IFERROR(INDEX(ctaLiq,MATCH(E2777,ctaNom,0))="Sí",FALSE),IF(OR(I2777="Gasto",I2777="Transferencia",I2777="Pago tarjeta"),-1,1)*O2777,0)+IF(AND(U2777&lt;&gt;"",IFERROR(INDEX(ctaLiq,MATCH(G2777,ctaNom,0))="Sí",FALSE)),O2777,0))</f>
        <v/>
      </c>
      <c r="W2777" s="19">
        <f>IF(OR(F2777="",I2777=""),"",IF(COUNTIFS(F$6:F2777,F2777,I$6:I2777,"?*")=1,MAX(W$5:W2776)+1,""))</f>
        <v/>
      </c>
    </row>
    <row r="2778">
      <c r="B2778" s="15" t="n"/>
      <c r="C2778" s="16" t="n"/>
      <c r="D2778" s="17" t="n"/>
      <c r="E2778" s="17" t="n"/>
      <c r="F2778" s="17" t="n"/>
      <c r="G2778" s="17" t="n"/>
      <c r="H2778" s="18">
        <f>IF(AND(B2778="",C2778="",D2778="",E2778=""),"",IF(B2778="","⚠ Falta fecha",IF(C2778="","⚠ Falta monto",IF(D2778="","⚠ Falta categoría",IF(ISNA(MATCH(D2778,catNom,0)),"⚠ Categoría no existe",IF(E2778="","⚠ Falta cuenta",IF(ISNA(MATCH(E2778,ctaNom,0)),"⚠ Cuenta no existe",IF(AND(OR(I2778="Transferencia",I2778="Pago tarjeta"),G2778=""),"⚠ Indica la cuenta «Hacia»",IF(AND(G2778&lt;&gt;"",G2778=E2778),"⚠ «Hacia» igual a la cuenta",IF(AND(G2778&lt;&gt;"",ISNA(MATCH(G2778,ctaNom,0))),"⚠ «Hacia» no existe",IF(AND(I2778="Pago tarjeta",IFERROR(INDEX(ctaTipo,MATCH(G2778,ctaNom,0)),"")&lt;&gt;"Tarjeta de crédito"),"⚠ «Hacia» debe ser la tarjeta",IF(AND(I2778="Trading",IFERROR(INDEX(ctaTipo,MATCH(E2778,ctaNom,0)),"")&lt;&gt;"Cuenta de trading"),"⚠ Usa la cuenta de trading","✓"))))))))))))</f>
        <v/>
      </c>
      <c r="I2778" s="19">
        <f>IF(OR(B2778="",C2778="",D2778=""),"",IFERROR(INDEX(catTipo,MATCH(D2778,catNom,0))&amp;"",""))</f>
        <v/>
      </c>
      <c r="J2778" s="19">
        <f>IF(I2778="","",IFERROR(INDEX(catGrupo,MATCH(D2778,catNom,0))&amp;"",""))</f>
        <v/>
      </c>
      <c r="K2778" s="19">
        <f>IF(I2778="Gasto",IF(IFERROR(INDEX(catClas,MATCH(D2778,catNom,0))&amp;"","")="","Variable",IFERROR(INDEX(catClas,MATCH(D2778,catNom,0))&amp;"","")),"")</f>
        <v/>
      </c>
      <c r="L2778" s="19">
        <f>IF(I2778="","",IFERROR(INDEX(catAlim,MATCH(D2778,catNom,0))&amp;"",""))</f>
        <v/>
      </c>
      <c r="M2778" s="19">
        <f>IF(I2778="","",IFERROR(INDEX(catComida,MATCH(D2778,catNom,0))&amp;"",""))</f>
        <v/>
      </c>
      <c r="N2778" s="19">
        <f>IF(I2778="","",IFERROR(INDEX(ctaMon,MATCH(E2778,ctaNom,0))&amp;"","DOP"))</f>
        <v/>
      </c>
      <c r="O2778" s="20">
        <f>IF(I2778="","",C2778*IF(N2778="USD",TasaUSD,1))</f>
        <v/>
      </c>
      <c r="P2778" s="20">
        <f>IF(I2778="","",IF(I2778="Gasto",O2778,0))</f>
        <v/>
      </c>
      <c r="Q2778" s="20">
        <f>IF(I2778="","",IF(I2778="Ingreso",O2778,0))</f>
        <v/>
      </c>
      <c r="R2778" s="20">
        <f>IF(I2778="","",IF(I2778="Trading",O2778,0))</f>
        <v/>
      </c>
      <c r="S2778" s="19">
        <f>IF(I2778="","",IF(AND(I2778="Gasto",K2778="Variable",J2778&lt;&gt;"Trading",O2778&gt;0,O2778&lt;=Umbral),1,0))</f>
        <v/>
      </c>
      <c r="T2778" s="20">
        <f>IF(OR(I2778="",E2778=""),"",IF(OR(I2778="Gasto",I2778="Transferencia",I2778="Pago tarjeta"),-1,1)*C2778)</f>
        <v/>
      </c>
      <c r="U2778" s="20">
        <f>IF(OR(G2778="",AND(I2778&lt;&gt;"Transferencia",I2778&lt;&gt;"Pago tarjeta")),"",IF(IFERROR(INDEX(ctaMon,MATCH(G2778,ctaNom,0))&amp;"","DOP")=N2778,C2778,IF(N2778="USD",C2778*TasaUSD,C2778/TasaUSD)))</f>
        <v/>
      </c>
      <c r="V2778" s="20">
        <f>IF(I2778="","",IF(IFERROR(INDEX(ctaLiq,MATCH(E2778,ctaNom,0))="Sí",FALSE),IF(OR(I2778="Gasto",I2778="Transferencia",I2778="Pago tarjeta"),-1,1)*O2778,0)+IF(AND(U2778&lt;&gt;"",IFERROR(INDEX(ctaLiq,MATCH(G2778,ctaNom,0))="Sí",FALSE)),O2778,0))</f>
        <v/>
      </c>
      <c r="W2778" s="19">
        <f>IF(OR(F2778="",I2778=""),"",IF(COUNTIFS(F$6:F2778,F2778,I$6:I2778,"?*")=1,MAX(W$5:W2777)+1,""))</f>
        <v/>
      </c>
    </row>
    <row r="2779">
      <c r="B2779" s="15" t="n"/>
      <c r="C2779" s="16" t="n"/>
      <c r="D2779" s="17" t="n"/>
      <c r="E2779" s="17" t="n"/>
      <c r="F2779" s="17" t="n"/>
      <c r="G2779" s="17" t="n"/>
      <c r="H2779" s="18">
        <f>IF(AND(B2779="",C2779="",D2779="",E2779=""),"",IF(B2779="","⚠ Falta fecha",IF(C2779="","⚠ Falta monto",IF(D2779="","⚠ Falta categoría",IF(ISNA(MATCH(D2779,catNom,0)),"⚠ Categoría no existe",IF(E2779="","⚠ Falta cuenta",IF(ISNA(MATCH(E2779,ctaNom,0)),"⚠ Cuenta no existe",IF(AND(OR(I2779="Transferencia",I2779="Pago tarjeta"),G2779=""),"⚠ Indica la cuenta «Hacia»",IF(AND(G2779&lt;&gt;"",G2779=E2779),"⚠ «Hacia» igual a la cuenta",IF(AND(G2779&lt;&gt;"",ISNA(MATCH(G2779,ctaNom,0))),"⚠ «Hacia» no existe",IF(AND(I2779="Pago tarjeta",IFERROR(INDEX(ctaTipo,MATCH(G2779,ctaNom,0)),"")&lt;&gt;"Tarjeta de crédito"),"⚠ «Hacia» debe ser la tarjeta",IF(AND(I2779="Trading",IFERROR(INDEX(ctaTipo,MATCH(E2779,ctaNom,0)),"")&lt;&gt;"Cuenta de trading"),"⚠ Usa la cuenta de trading","✓"))))))))))))</f>
        <v/>
      </c>
      <c r="I2779" s="19">
        <f>IF(OR(B2779="",C2779="",D2779=""),"",IFERROR(INDEX(catTipo,MATCH(D2779,catNom,0))&amp;"",""))</f>
        <v/>
      </c>
      <c r="J2779" s="19">
        <f>IF(I2779="","",IFERROR(INDEX(catGrupo,MATCH(D2779,catNom,0))&amp;"",""))</f>
        <v/>
      </c>
      <c r="K2779" s="19">
        <f>IF(I2779="Gasto",IF(IFERROR(INDEX(catClas,MATCH(D2779,catNom,0))&amp;"","")="","Variable",IFERROR(INDEX(catClas,MATCH(D2779,catNom,0))&amp;"","")),"")</f>
        <v/>
      </c>
      <c r="L2779" s="19">
        <f>IF(I2779="","",IFERROR(INDEX(catAlim,MATCH(D2779,catNom,0))&amp;"",""))</f>
        <v/>
      </c>
      <c r="M2779" s="19">
        <f>IF(I2779="","",IFERROR(INDEX(catComida,MATCH(D2779,catNom,0))&amp;"",""))</f>
        <v/>
      </c>
      <c r="N2779" s="19">
        <f>IF(I2779="","",IFERROR(INDEX(ctaMon,MATCH(E2779,ctaNom,0))&amp;"","DOP"))</f>
        <v/>
      </c>
      <c r="O2779" s="20">
        <f>IF(I2779="","",C2779*IF(N2779="USD",TasaUSD,1))</f>
        <v/>
      </c>
      <c r="P2779" s="20">
        <f>IF(I2779="","",IF(I2779="Gasto",O2779,0))</f>
        <v/>
      </c>
      <c r="Q2779" s="20">
        <f>IF(I2779="","",IF(I2779="Ingreso",O2779,0))</f>
        <v/>
      </c>
      <c r="R2779" s="20">
        <f>IF(I2779="","",IF(I2779="Trading",O2779,0))</f>
        <v/>
      </c>
      <c r="S2779" s="19">
        <f>IF(I2779="","",IF(AND(I2779="Gasto",K2779="Variable",J2779&lt;&gt;"Trading",O2779&gt;0,O2779&lt;=Umbral),1,0))</f>
        <v/>
      </c>
      <c r="T2779" s="20">
        <f>IF(OR(I2779="",E2779=""),"",IF(OR(I2779="Gasto",I2779="Transferencia",I2779="Pago tarjeta"),-1,1)*C2779)</f>
        <v/>
      </c>
      <c r="U2779" s="20">
        <f>IF(OR(G2779="",AND(I2779&lt;&gt;"Transferencia",I2779&lt;&gt;"Pago tarjeta")),"",IF(IFERROR(INDEX(ctaMon,MATCH(G2779,ctaNom,0))&amp;"","DOP")=N2779,C2779,IF(N2779="USD",C2779*TasaUSD,C2779/TasaUSD)))</f>
        <v/>
      </c>
      <c r="V2779" s="20">
        <f>IF(I2779="","",IF(IFERROR(INDEX(ctaLiq,MATCH(E2779,ctaNom,0))="Sí",FALSE),IF(OR(I2779="Gasto",I2779="Transferencia",I2779="Pago tarjeta"),-1,1)*O2779,0)+IF(AND(U2779&lt;&gt;"",IFERROR(INDEX(ctaLiq,MATCH(G2779,ctaNom,0))="Sí",FALSE)),O2779,0))</f>
        <v/>
      </c>
      <c r="W2779" s="19">
        <f>IF(OR(F2779="",I2779=""),"",IF(COUNTIFS(F$6:F2779,F2779,I$6:I2779,"?*")=1,MAX(W$5:W2778)+1,""))</f>
        <v/>
      </c>
    </row>
    <row r="2780">
      <c r="B2780" s="15" t="n"/>
      <c r="C2780" s="16" t="n"/>
      <c r="D2780" s="17" t="n"/>
      <c r="E2780" s="17" t="n"/>
      <c r="F2780" s="17" t="n"/>
      <c r="G2780" s="17" t="n"/>
      <c r="H2780" s="18">
        <f>IF(AND(B2780="",C2780="",D2780="",E2780=""),"",IF(B2780="","⚠ Falta fecha",IF(C2780="","⚠ Falta monto",IF(D2780="","⚠ Falta categoría",IF(ISNA(MATCH(D2780,catNom,0)),"⚠ Categoría no existe",IF(E2780="","⚠ Falta cuenta",IF(ISNA(MATCH(E2780,ctaNom,0)),"⚠ Cuenta no existe",IF(AND(OR(I2780="Transferencia",I2780="Pago tarjeta"),G2780=""),"⚠ Indica la cuenta «Hacia»",IF(AND(G2780&lt;&gt;"",G2780=E2780),"⚠ «Hacia» igual a la cuenta",IF(AND(G2780&lt;&gt;"",ISNA(MATCH(G2780,ctaNom,0))),"⚠ «Hacia» no existe",IF(AND(I2780="Pago tarjeta",IFERROR(INDEX(ctaTipo,MATCH(G2780,ctaNom,0)),"")&lt;&gt;"Tarjeta de crédito"),"⚠ «Hacia» debe ser la tarjeta",IF(AND(I2780="Trading",IFERROR(INDEX(ctaTipo,MATCH(E2780,ctaNom,0)),"")&lt;&gt;"Cuenta de trading"),"⚠ Usa la cuenta de trading","✓"))))))))))))</f>
        <v/>
      </c>
      <c r="I2780" s="19">
        <f>IF(OR(B2780="",C2780="",D2780=""),"",IFERROR(INDEX(catTipo,MATCH(D2780,catNom,0))&amp;"",""))</f>
        <v/>
      </c>
      <c r="J2780" s="19">
        <f>IF(I2780="","",IFERROR(INDEX(catGrupo,MATCH(D2780,catNom,0))&amp;"",""))</f>
        <v/>
      </c>
      <c r="K2780" s="19">
        <f>IF(I2780="Gasto",IF(IFERROR(INDEX(catClas,MATCH(D2780,catNom,0))&amp;"","")="","Variable",IFERROR(INDEX(catClas,MATCH(D2780,catNom,0))&amp;"","")),"")</f>
        <v/>
      </c>
      <c r="L2780" s="19">
        <f>IF(I2780="","",IFERROR(INDEX(catAlim,MATCH(D2780,catNom,0))&amp;"",""))</f>
        <v/>
      </c>
      <c r="M2780" s="19">
        <f>IF(I2780="","",IFERROR(INDEX(catComida,MATCH(D2780,catNom,0))&amp;"",""))</f>
        <v/>
      </c>
      <c r="N2780" s="19">
        <f>IF(I2780="","",IFERROR(INDEX(ctaMon,MATCH(E2780,ctaNom,0))&amp;"","DOP"))</f>
        <v/>
      </c>
      <c r="O2780" s="20">
        <f>IF(I2780="","",C2780*IF(N2780="USD",TasaUSD,1))</f>
        <v/>
      </c>
      <c r="P2780" s="20">
        <f>IF(I2780="","",IF(I2780="Gasto",O2780,0))</f>
        <v/>
      </c>
      <c r="Q2780" s="20">
        <f>IF(I2780="","",IF(I2780="Ingreso",O2780,0))</f>
        <v/>
      </c>
      <c r="R2780" s="20">
        <f>IF(I2780="","",IF(I2780="Trading",O2780,0))</f>
        <v/>
      </c>
      <c r="S2780" s="19">
        <f>IF(I2780="","",IF(AND(I2780="Gasto",K2780="Variable",J2780&lt;&gt;"Trading",O2780&gt;0,O2780&lt;=Umbral),1,0))</f>
        <v/>
      </c>
      <c r="T2780" s="20">
        <f>IF(OR(I2780="",E2780=""),"",IF(OR(I2780="Gasto",I2780="Transferencia",I2780="Pago tarjeta"),-1,1)*C2780)</f>
        <v/>
      </c>
      <c r="U2780" s="20">
        <f>IF(OR(G2780="",AND(I2780&lt;&gt;"Transferencia",I2780&lt;&gt;"Pago tarjeta")),"",IF(IFERROR(INDEX(ctaMon,MATCH(G2780,ctaNom,0))&amp;"","DOP")=N2780,C2780,IF(N2780="USD",C2780*TasaUSD,C2780/TasaUSD)))</f>
        <v/>
      </c>
      <c r="V2780" s="20">
        <f>IF(I2780="","",IF(IFERROR(INDEX(ctaLiq,MATCH(E2780,ctaNom,0))="Sí",FALSE),IF(OR(I2780="Gasto",I2780="Transferencia",I2780="Pago tarjeta"),-1,1)*O2780,0)+IF(AND(U2780&lt;&gt;"",IFERROR(INDEX(ctaLiq,MATCH(G2780,ctaNom,0))="Sí",FALSE)),O2780,0))</f>
        <v/>
      </c>
      <c r="W2780" s="19">
        <f>IF(OR(F2780="",I2780=""),"",IF(COUNTIFS(F$6:F2780,F2780,I$6:I2780,"?*")=1,MAX(W$5:W2779)+1,""))</f>
        <v/>
      </c>
    </row>
    <row r="2781">
      <c r="B2781" s="15" t="n"/>
      <c r="C2781" s="16" t="n"/>
      <c r="D2781" s="17" t="n"/>
      <c r="E2781" s="17" t="n"/>
      <c r="F2781" s="17" t="n"/>
      <c r="G2781" s="17" t="n"/>
      <c r="H2781" s="18">
        <f>IF(AND(B2781="",C2781="",D2781="",E2781=""),"",IF(B2781="","⚠ Falta fecha",IF(C2781="","⚠ Falta monto",IF(D2781="","⚠ Falta categoría",IF(ISNA(MATCH(D2781,catNom,0)),"⚠ Categoría no existe",IF(E2781="","⚠ Falta cuenta",IF(ISNA(MATCH(E2781,ctaNom,0)),"⚠ Cuenta no existe",IF(AND(OR(I2781="Transferencia",I2781="Pago tarjeta"),G2781=""),"⚠ Indica la cuenta «Hacia»",IF(AND(G2781&lt;&gt;"",G2781=E2781),"⚠ «Hacia» igual a la cuenta",IF(AND(G2781&lt;&gt;"",ISNA(MATCH(G2781,ctaNom,0))),"⚠ «Hacia» no existe",IF(AND(I2781="Pago tarjeta",IFERROR(INDEX(ctaTipo,MATCH(G2781,ctaNom,0)),"")&lt;&gt;"Tarjeta de crédito"),"⚠ «Hacia» debe ser la tarjeta",IF(AND(I2781="Trading",IFERROR(INDEX(ctaTipo,MATCH(E2781,ctaNom,0)),"")&lt;&gt;"Cuenta de trading"),"⚠ Usa la cuenta de trading","✓"))))))))))))</f>
        <v/>
      </c>
      <c r="I2781" s="19">
        <f>IF(OR(B2781="",C2781="",D2781=""),"",IFERROR(INDEX(catTipo,MATCH(D2781,catNom,0))&amp;"",""))</f>
        <v/>
      </c>
      <c r="J2781" s="19">
        <f>IF(I2781="","",IFERROR(INDEX(catGrupo,MATCH(D2781,catNom,0))&amp;"",""))</f>
        <v/>
      </c>
      <c r="K2781" s="19">
        <f>IF(I2781="Gasto",IF(IFERROR(INDEX(catClas,MATCH(D2781,catNom,0))&amp;"","")="","Variable",IFERROR(INDEX(catClas,MATCH(D2781,catNom,0))&amp;"","")),"")</f>
        <v/>
      </c>
      <c r="L2781" s="19">
        <f>IF(I2781="","",IFERROR(INDEX(catAlim,MATCH(D2781,catNom,0))&amp;"",""))</f>
        <v/>
      </c>
      <c r="M2781" s="19">
        <f>IF(I2781="","",IFERROR(INDEX(catComida,MATCH(D2781,catNom,0))&amp;"",""))</f>
        <v/>
      </c>
      <c r="N2781" s="19">
        <f>IF(I2781="","",IFERROR(INDEX(ctaMon,MATCH(E2781,ctaNom,0))&amp;"","DOP"))</f>
        <v/>
      </c>
      <c r="O2781" s="20">
        <f>IF(I2781="","",C2781*IF(N2781="USD",TasaUSD,1))</f>
        <v/>
      </c>
      <c r="P2781" s="20">
        <f>IF(I2781="","",IF(I2781="Gasto",O2781,0))</f>
        <v/>
      </c>
      <c r="Q2781" s="20">
        <f>IF(I2781="","",IF(I2781="Ingreso",O2781,0))</f>
        <v/>
      </c>
      <c r="R2781" s="20">
        <f>IF(I2781="","",IF(I2781="Trading",O2781,0))</f>
        <v/>
      </c>
      <c r="S2781" s="19">
        <f>IF(I2781="","",IF(AND(I2781="Gasto",K2781="Variable",J2781&lt;&gt;"Trading",O2781&gt;0,O2781&lt;=Umbral),1,0))</f>
        <v/>
      </c>
      <c r="T2781" s="20">
        <f>IF(OR(I2781="",E2781=""),"",IF(OR(I2781="Gasto",I2781="Transferencia",I2781="Pago tarjeta"),-1,1)*C2781)</f>
        <v/>
      </c>
      <c r="U2781" s="20">
        <f>IF(OR(G2781="",AND(I2781&lt;&gt;"Transferencia",I2781&lt;&gt;"Pago tarjeta")),"",IF(IFERROR(INDEX(ctaMon,MATCH(G2781,ctaNom,0))&amp;"","DOP")=N2781,C2781,IF(N2781="USD",C2781*TasaUSD,C2781/TasaUSD)))</f>
        <v/>
      </c>
      <c r="V2781" s="20">
        <f>IF(I2781="","",IF(IFERROR(INDEX(ctaLiq,MATCH(E2781,ctaNom,0))="Sí",FALSE),IF(OR(I2781="Gasto",I2781="Transferencia",I2781="Pago tarjeta"),-1,1)*O2781,0)+IF(AND(U2781&lt;&gt;"",IFERROR(INDEX(ctaLiq,MATCH(G2781,ctaNom,0))="Sí",FALSE)),O2781,0))</f>
        <v/>
      </c>
      <c r="W2781" s="19">
        <f>IF(OR(F2781="",I2781=""),"",IF(COUNTIFS(F$6:F2781,F2781,I$6:I2781,"?*")=1,MAX(W$5:W2780)+1,""))</f>
        <v/>
      </c>
    </row>
    <row r="2782">
      <c r="B2782" s="15" t="n"/>
      <c r="C2782" s="16" t="n"/>
      <c r="D2782" s="17" t="n"/>
      <c r="E2782" s="17" t="n"/>
      <c r="F2782" s="17" t="n"/>
      <c r="G2782" s="17" t="n"/>
      <c r="H2782" s="18">
        <f>IF(AND(B2782="",C2782="",D2782="",E2782=""),"",IF(B2782="","⚠ Falta fecha",IF(C2782="","⚠ Falta monto",IF(D2782="","⚠ Falta categoría",IF(ISNA(MATCH(D2782,catNom,0)),"⚠ Categoría no existe",IF(E2782="","⚠ Falta cuenta",IF(ISNA(MATCH(E2782,ctaNom,0)),"⚠ Cuenta no existe",IF(AND(OR(I2782="Transferencia",I2782="Pago tarjeta"),G2782=""),"⚠ Indica la cuenta «Hacia»",IF(AND(G2782&lt;&gt;"",G2782=E2782),"⚠ «Hacia» igual a la cuenta",IF(AND(G2782&lt;&gt;"",ISNA(MATCH(G2782,ctaNom,0))),"⚠ «Hacia» no existe",IF(AND(I2782="Pago tarjeta",IFERROR(INDEX(ctaTipo,MATCH(G2782,ctaNom,0)),"")&lt;&gt;"Tarjeta de crédito"),"⚠ «Hacia» debe ser la tarjeta",IF(AND(I2782="Trading",IFERROR(INDEX(ctaTipo,MATCH(E2782,ctaNom,0)),"")&lt;&gt;"Cuenta de trading"),"⚠ Usa la cuenta de trading","✓"))))))))))))</f>
        <v/>
      </c>
      <c r="I2782" s="19">
        <f>IF(OR(B2782="",C2782="",D2782=""),"",IFERROR(INDEX(catTipo,MATCH(D2782,catNom,0))&amp;"",""))</f>
        <v/>
      </c>
      <c r="J2782" s="19">
        <f>IF(I2782="","",IFERROR(INDEX(catGrupo,MATCH(D2782,catNom,0))&amp;"",""))</f>
        <v/>
      </c>
      <c r="K2782" s="19">
        <f>IF(I2782="Gasto",IF(IFERROR(INDEX(catClas,MATCH(D2782,catNom,0))&amp;"","")="","Variable",IFERROR(INDEX(catClas,MATCH(D2782,catNom,0))&amp;"","")),"")</f>
        <v/>
      </c>
      <c r="L2782" s="19">
        <f>IF(I2782="","",IFERROR(INDEX(catAlim,MATCH(D2782,catNom,0))&amp;"",""))</f>
        <v/>
      </c>
      <c r="M2782" s="19">
        <f>IF(I2782="","",IFERROR(INDEX(catComida,MATCH(D2782,catNom,0))&amp;"",""))</f>
        <v/>
      </c>
      <c r="N2782" s="19">
        <f>IF(I2782="","",IFERROR(INDEX(ctaMon,MATCH(E2782,ctaNom,0))&amp;"","DOP"))</f>
        <v/>
      </c>
      <c r="O2782" s="20">
        <f>IF(I2782="","",C2782*IF(N2782="USD",TasaUSD,1))</f>
        <v/>
      </c>
      <c r="P2782" s="20">
        <f>IF(I2782="","",IF(I2782="Gasto",O2782,0))</f>
        <v/>
      </c>
      <c r="Q2782" s="20">
        <f>IF(I2782="","",IF(I2782="Ingreso",O2782,0))</f>
        <v/>
      </c>
      <c r="R2782" s="20">
        <f>IF(I2782="","",IF(I2782="Trading",O2782,0))</f>
        <v/>
      </c>
      <c r="S2782" s="19">
        <f>IF(I2782="","",IF(AND(I2782="Gasto",K2782="Variable",J2782&lt;&gt;"Trading",O2782&gt;0,O2782&lt;=Umbral),1,0))</f>
        <v/>
      </c>
      <c r="T2782" s="20">
        <f>IF(OR(I2782="",E2782=""),"",IF(OR(I2782="Gasto",I2782="Transferencia",I2782="Pago tarjeta"),-1,1)*C2782)</f>
        <v/>
      </c>
      <c r="U2782" s="20">
        <f>IF(OR(G2782="",AND(I2782&lt;&gt;"Transferencia",I2782&lt;&gt;"Pago tarjeta")),"",IF(IFERROR(INDEX(ctaMon,MATCH(G2782,ctaNom,0))&amp;"","DOP")=N2782,C2782,IF(N2782="USD",C2782*TasaUSD,C2782/TasaUSD)))</f>
        <v/>
      </c>
      <c r="V2782" s="20">
        <f>IF(I2782="","",IF(IFERROR(INDEX(ctaLiq,MATCH(E2782,ctaNom,0))="Sí",FALSE),IF(OR(I2782="Gasto",I2782="Transferencia",I2782="Pago tarjeta"),-1,1)*O2782,0)+IF(AND(U2782&lt;&gt;"",IFERROR(INDEX(ctaLiq,MATCH(G2782,ctaNom,0))="Sí",FALSE)),O2782,0))</f>
        <v/>
      </c>
      <c r="W2782" s="19">
        <f>IF(OR(F2782="",I2782=""),"",IF(COUNTIFS(F$6:F2782,F2782,I$6:I2782,"?*")=1,MAX(W$5:W2781)+1,""))</f>
        <v/>
      </c>
    </row>
    <row r="2783">
      <c r="B2783" s="15" t="n"/>
      <c r="C2783" s="16" t="n"/>
      <c r="D2783" s="17" t="n"/>
      <c r="E2783" s="17" t="n"/>
      <c r="F2783" s="17" t="n"/>
      <c r="G2783" s="17" t="n"/>
      <c r="H2783" s="18">
        <f>IF(AND(B2783="",C2783="",D2783="",E2783=""),"",IF(B2783="","⚠ Falta fecha",IF(C2783="","⚠ Falta monto",IF(D2783="","⚠ Falta categoría",IF(ISNA(MATCH(D2783,catNom,0)),"⚠ Categoría no existe",IF(E2783="","⚠ Falta cuenta",IF(ISNA(MATCH(E2783,ctaNom,0)),"⚠ Cuenta no existe",IF(AND(OR(I2783="Transferencia",I2783="Pago tarjeta"),G2783=""),"⚠ Indica la cuenta «Hacia»",IF(AND(G2783&lt;&gt;"",G2783=E2783),"⚠ «Hacia» igual a la cuenta",IF(AND(G2783&lt;&gt;"",ISNA(MATCH(G2783,ctaNom,0))),"⚠ «Hacia» no existe",IF(AND(I2783="Pago tarjeta",IFERROR(INDEX(ctaTipo,MATCH(G2783,ctaNom,0)),"")&lt;&gt;"Tarjeta de crédito"),"⚠ «Hacia» debe ser la tarjeta",IF(AND(I2783="Trading",IFERROR(INDEX(ctaTipo,MATCH(E2783,ctaNom,0)),"")&lt;&gt;"Cuenta de trading"),"⚠ Usa la cuenta de trading","✓"))))))))))))</f>
        <v/>
      </c>
      <c r="I2783" s="19">
        <f>IF(OR(B2783="",C2783="",D2783=""),"",IFERROR(INDEX(catTipo,MATCH(D2783,catNom,0))&amp;"",""))</f>
        <v/>
      </c>
      <c r="J2783" s="19">
        <f>IF(I2783="","",IFERROR(INDEX(catGrupo,MATCH(D2783,catNom,0))&amp;"",""))</f>
        <v/>
      </c>
      <c r="K2783" s="19">
        <f>IF(I2783="Gasto",IF(IFERROR(INDEX(catClas,MATCH(D2783,catNom,0))&amp;"","")="","Variable",IFERROR(INDEX(catClas,MATCH(D2783,catNom,0))&amp;"","")),"")</f>
        <v/>
      </c>
      <c r="L2783" s="19">
        <f>IF(I2783="","",IFERROR(INDEX(catAlim,MATCH(D2783,catNom,0))&amp;"",""))</f>
        <v/>
      </c>
      <c r="M2783" s="19">
        <f>IF(I2783="","",IFERROR(INDEX(catComida,MATCH(D2783,catNom,0))&amp;"",""))</f>
        <v/>
      </c>
      <c r="N2783" s="19">
        <f>IF(I2783="","",IFERROR(INDEX(ctaMon,MATCH(E2783,ctaNom,0))&amp;"","DOP"))</f>
        <v/>
      </c>
      <c r="O2783" s="20">
        <f>IF(I2783="","",C2783*IF(N2783="USD",TasaUSD,1))</f>
        <v/>
      </c>
      <c r="P2783" s="20">
        <f>IF(I2783="","",IF(I2783="Gasto",O2783,0))</f>
        <v/>
      </c>
      <c r="Q2783" s="20">
        <f>IF(I2783="","",IF(I2783="Ingreso",O2783,0))</f>
        <v/>
      </c>
      <c r="R2783" s="20">
        <f>IF(I2783="","",IF(I2783="Trading",O2783,0))</f>
        <v/>
      </c>
      <c r="S2783" s="19">
        <f>IF(I2783="","",IF(AND(I2783="Gasto",K2783="Variable",J2783&lt;&gt;"Trading",O2783&gt;0,O2783&lt;=Umbral),1,0))</f>
        <v/>
      </c>
      <c r="T2783" s="20">
        <f>IF(OR(I2783="",E2783=""),"",IF(OR(I2783="Gasto",I2783="Transferencia",I2783="Pago tarjeta"),-1,1)*C2783)</f>
        <v/>
      </c>
      <c r="U2783" s="20">
        <f>IF(OR(G2783="",AND(I2783&lt;&gt;"Transferencia",I2783&lt;&gt;"Pago tarjeta")),"",IF(IFERROR(INDEX(ctaMon,MATCH(G2783,ctaNom,0))&amp;"","DOP")=N2783,C2783,IF(N2783="USD",C2783*TasaUSD,C2783/TasaUSD)))</f>
        <v/>
      </c>
      <c r="V2783" s="20">
        <f>IF(I2783="","",IF(IFERROR(INDEX(ctaLiq,MATCH(E2783,ctaNom,0))="Sí",FALSE),IF(OR(I2783="Gasto",I2783="Transferencia",I2783="Pago tarjeta"),-1,1)*O2783,0)+IF(AND(U2783&lt;&gt;"",IFERROR(INDEX(ctaLiq,MATCH(G2783,ctaNom,0))="Sí",FALSE)),O2783,0))</f>
        <v/>
      </c>
      <c r="W2783" s="19">
        <f>IF(OR(F2783="",I2783=""),"",IF(COUNTIFS(F$6:F2783,F2783,I$6:I2783,"?*")=1,MAX(W$5:W2782)+1,""))</f>
        <v/>
      </c>
    </row>
    <row r="2784">
      <c r="B2784" s="15" t="n"/>
      <c r="C2784" s="16" t="n"/>
      <c r="D2784" s="17" t="n"/>
      <c r="E2784" s="17" t="n"/>
      <c r="F2784" s="17" t="n"/>
      <c r="G2784" s="17" t="n"/>
      <c r="H2784" s="18">
        <f>IF(AND(B2784="",C2784="",D2784="",E2784=""),"",IF(B2784="","⚠ Falta fecha",IF(C2784="","⚠ Falta monto",IF(D2784="","⚠ Falta categoría",IF(ISNA(MATCH(D2784,catNom,0)),"⚠ Categoría no existe",IF(E2784="","⚠ Falta cuenta",IF(ISNA(MATCH(E2784,ctaNom,0)),"⚠ Cuenta no existe",IF(AND(OR(I2784="Transferencia",I2784="Pago tarjeta"),G2784=""),"⚠ Indica la cuenta «Hacia»",IF(AND(G2784&lt;&gt;"",G2784=E2784),"⚠ «Hacia» igual a la cuenta",IF(AND(G2784&lt;&gt;"",ISNA(MATCH(G2784,ctaNom,0))),"⚠ «Hacia» no existe",IF(AND(I2784="Pago tarjeta",IFERROR(INDEX(ctaTipo,MATCH(G2784,ctaNom,0)),"")&lt;&gt;"Tarjeta de crédito"),"⚠ «Hacia» debe ser la tarjeta",IF(AND(I2784="Trading",IFERROR(INDEX(ctaTipo,MATCH(E2784,ctaNom,0)),"")&lt;&gt;"Cuenta de trading"),"⚠ Usa la cuenta de trading","✓"))))))))))))</f>
        <v/>
      </c>
      <c r="I2784" s="19">
        <f>IF(OR(B2784="",C2784="",D2784=""),"",IFERROR(INDEX(catTipo,MATCH(D2784,catNom,0))&amp;"",""))</f>
        <v/>
      </c>
      <c r="J2784" s="19">
        <f>IF(I2784="","",IFERROR(INDEX(catGrupo,MATCH(D2784,catNom,0))&amp;"",""))</f>
        <v/>
      </c>
      <c r="K2784" s="19">
        <f>IF(I2784="Gasto",IF(IFERROR(INDEX(catClas,MATCH(D2784,catNom,0))&amp;"","")="","Variable",IFERROR(INDEX(catClas,MATCH(D2784,catNom,0))&amp;"","")),"")</f>
        <v/>
      </c>
      <c r="L2784" s="19">
        <f>IF(I2784="","",IFERROR(INDEX(catAlim,MATCH(D2784,catNom,0))&amp;"",""))</f>
        <v/>
      </c>
      <c r="M2784" s="19">
        <f>IF(I2784="","",IFERROR(INDEX(catComida,MATCH(D2784,catNom,0))&amp;"",""))</f>
        <v/>
      </c>
      <c r="N2784" s="19">
        <f>IF(I2784="","",IFERROR(INDEX(ctaMon,MATCH(E2784,ctaNom,0))&amp;"","DOP"))</f>
        <v/>
      </c>
      <c r="O2784" s="20">
        <f>IF(I2784="","",C2784*IF(N2784="USD",TasaUSD,1))</f>
        <v/>
      </c>
      <c r="P2784" s="20">
        <f>IF(I2784="","",IF(I2784="Gasto",O2784,0))</f>
        <v/>
      </c>
      <c r="Q2784" s="20">
        <f>IF(I2784="","",IF(I2784="Ingreso",O2784,0))</f>
        <v/>
      </c>
      <c r="R2784" s="20">
        <f>IF(I2784="","",IF(I2784="Trading",O2784,0))</f>
        <v/>
      </c>
      <c r="S2784" s="19">
        <f>IF(I2784="","",IF(AND(I2784="Gasto",K2784="Variable",J2784&lt;&gt;"Trading",O2784&gt;0,O2784&lt;=Umbral),1,0))</f>
        <v/>
      </c>
      <c r="T2784" s="20">
        <f>IF(OR(I2784="",E2784=""),"",IF(OR(I2784="Gasto",I2784="Transferencia",I2784="Pago tarjeta"),-1,1)*C2784)</f>
        <v/>
      </c>
      <c r="U2784" s="20">
        <f>IF(OR(G2784="",AND(I2784&lt;&gt;"Transferencia",I2784&lt;&gt;"Pago tarjeta")),"",IF(IFERROR(INDEX(ctaMon,MATCH(G2784,ctaNom,0))&amp;"","DOP")=N2784,C2784,IF(N2784="USD",C2784*TasaUSD,C2784/TasaUSD)))</f>
        <v/>
      </c>
      <c r="V2784" s="20">
        <f>IF(I2784="","",IF(IFERROR(INDEX(ctaLiq,MATCH(E2784,ctaNom,0))="Sí",FALSE),IF(OR(I2784="Gasto",I2784="Transferencia",I2784="Pago tarjeta"),-1,1)*O2784,0)+IF(AND(U2784&lt;&gt;"",IFERROR(INDEX(ctaLiq,MATCH(G2784,ctaNom,0))="Sí",FALSE)),O2784,0))</f>
        <v/>
      </c>
      <c r="W2784" s="19">
        <f>IF(OR(F2784="",I2784=""),"",IF(COUNTIFS(F$6:F2784,F2784,I$6:I2784,"?*")=1,MAX(W$5:W2783)+1,""))</f>
        <v/>
      </c>
    </row>
    <row r="2785">
      <c r="B2785" s="15" t="n"/>
      <c r="C2785" s="16" t="n"/>
      <c r="D2785" s="17" t="n"/>
      <c r="E2785" s="17" t="n"/>
      <c r="F2785" s="17" t="n"/>
      <c r="G2785" s="17" t="n"/>
      <c r="H2785" s="18">
        <f>IF(AND(B2785="",C2785="",D2785="",E2785=""),"",IF(B2785="","⚠ Falta fecha",IF(C2785="","⚠ Falta monto",IF(D2785="","⚠ Falta categoría",IF(ISNA(MATCH(D2785,catNom,0)),"⚠ Categoría no existe",IF(E2785="","⚠ Falta cuenta",IF(ISNA(MATCH(E2785,ctaNom,0)),"⚠ Cuenta no existe",IF(AND(OR(I2785="Transferencia",I2785="Pago tarjeta"),G2785=""),"⚠ Indica la cuenta «Hacia»",IF(AND(G2785&lt;&gt;"",G2785=E2785),"⚠ «Hacia» igual a la cuenta",IF(AND(G2785&lt;&gt;"",ISNA(MATCH(G2785,ctaNom,0))),"⚠ «Hacia» no existe",IF(AND(I2785="Pago tarjeta",IFERROR(INDEX(ctaTipo,MATCH(G2785,ctaNom,0)),"")&lt;&gt;"Tarjeta de crédito"),"⚠ «Hacia» debe ser la tarjeta",IF(AND(I2785="Trading",IFERROR(INDEX(ctaTipo,MATCH(E2785,ctaNom,0)),"")&lt;&gt;"Cuenta de trading"),"⚠ Usa la cuenta de trading","✓"))))))))))))</f>
        <v/>
      </c>
      <c r="I2785" s="19">
        <f>IF(OR(B2785="",C2785="",D2785=""),"",IFERROR(INDEX(catTipo,MATCH(D2785,catNom,0))&amp;"",""))</f>
        <v/>
      </c>
      <c r="J2785" s="19">
        <f>IF(I2785="","",IFERROR(INDEX(catGrupo,MATCH(D2785,catNom,0))&amp;"",""))</f>
        <v/>
      </c>
      <c r="K2785" s="19">
        <f>IF(I2785="Gasto",IF(IFERROR(INDEX(catClas,MATCH(D2785,catNom,0))&amp;"","")="","Variable",IFERROR(INDEX(catClas,MATCH(D2785,catNom,0))&amp;"","")),"")</f>
        <v/>
      </c>
      <c r="L2785" s="19">
        <f>IF(I2785="","",IFERROR(INDEX(catAlim,MATCH(D2785,catNom,0))&amp;"",""))</f>
        <v/>
      </c>
      <c r="M2785" s="19">
        <f>IF(I2785="","",IFERROR(INDEX(catComida,MATCH(D2785,catNom,0))&amp;"",""))</f>
        <v/>
      </c>
      <c r="N2785" s="19">
        <f>IF(I2785="","",IFERROR(INDEX(ctaMon,MATCH(E2785,ctaNom,0))&amp;"","DOP"))</f>
        <v/>
      </c>
      <c r="O2785" s="20">
        <f>IF(I2785="","",C2785*IF(N2785="USD",TasaUSD,1))</f>
        <v/>
      </c>
      <c r="P2785" s="20">
        <f>IF(I2785="","",IF(I2785="Gasto",O2785,0))</f>
        <v/>
      </c>
      <c r="Q2785" s="20">
        <f>IF(I2785="","",IF(I2785="Ingreso",O2785,0))</f>
        <v/>
      </c>
      <c r="R2785" s="20">
        <f>IF(I2785="","",IF(I2785="Trading",O2785,0))</f>
        <v/>
      </c>
      <c r="S2785" s="19">
        <f>IF(I2785="","",IF(AND(I2785="Gasto",K2785="Variable",J2785&lt;&gt;"Trading",O2785&gt;0,O2785&lt;=Umbral),1,0))</f>
        <v/>
      </c>
      <c r="T2785" s="20">
        <f>IF(OR(I2785="",E2785=""),"",IF(OR(I2785="Gasto",I2785="Transferencia",I2785="Pago tarjeta"),-1,1)*C2785)</f>
        <v/>
      </c>
      <c r="U2785" s="20">
        <f>IF(OR(G2785="",AND(I2785&lt;&gt;"Transferencia",I2785&lt;&gt;"Pago tarjeta")),"",IF(IFERROR(INDEX(ctaMon,MATCH(G2785,ctaNom,0))&amp;"","DOP")=N2785,C2785,IF(N2785="USD",C2785*TasaUSD,C2785/TasaUSD)))</f>
        <v/>
      </c>
      <c r="V2785" s="20">
        <f>IF(I2785="","",IF(IFERROR(INDEX(ctaLiq,MATCH(E2785,ctaNom,0))="Sí",FALSE),IF(OR(I2785="Gasto",I2785="Transferencia",I2785="Pago tarjeta"),-1,1)*O2785,0)+IF(AND(U2785&lt;&gt;"",IFERROR(INDEX(ctaLiq,MATCH(G2785,ctaNom,0))="Sí",FALSE)),O2785,0))</f>
        <v/>
      </c>
      <c r="W2785" s="19">
        <f>IF(OR(F2785="",I2785=""),"",IF(COUNTIFS(F$6:F2785,F2785,I$6:I2785,"?*")=1,MAX(W$5:W2784)+1,""))</f>
        <v/>
      </c>
    </row>
    <row r="2786">
      <c r="B2786" s="15" t="n"/>
      <c r="C2786" s="16" t="n"/>
      <c r="D2786" s="17" t="n"/>
      <c r="E2786" s="17" t="n"/>
      <c r="F2786" s="17" t="n"/>
      <c r="G2786" s="17" t="n"/>
      <c r="H2786" s="18">
        <f>IF(AND(B2786="",C2786="",D2786="",E2786=""),"",IF(B2786="","⚠ Falta fecha",IF(C2786="","⚠ Falta monto",IF(D2786="","⚠ Falta categoría",IF(ISNA(MATCH(D2786,catNom,0)),"⚠ Categoría no existe",IF(E2786="","⚠ Falta cuenta",IF(ISNA(MATCH(E2786,ctaNom,0)),"⚠ Cuenta no existe",IF(AND(OR(I2786="Transferencia",I2786="Pago tarjeta"),G2786=""),"⚠ Indica la cuenta «Hacia»",IF(AND(G2786&lt;&gt;"",G2786=E2786),"⚠ «Hacia» igual a la cuenta",IF(AND(G2786&lt;&gt;"",ISNA(MATCH(G2786,ctaNom,0))),"⚠ «Hacia» no existe",IF(AND(I2786="Pago tarjeta",IFERROR(INDEX(ctaTipo,MATCH(G2786,ctaNom,0)),"")&lt;&gt;"Tarjeta de crédito"),"⚠ «Hacia» debe ser la tarjeta",IF(AND(I2786="Trading",IFERROR(INDEX(ctaTipo,MATCH(E2786,ctaNom,0)),"")&lt;&gt;"Cuenta de trading"),"⚠ Usa la cuenta de trading","✓"))))))))))))</f>
        <v/>
      </c>
      <c r="I2786" s="19">
        <f>IF(OR(B2786="",C2786="",D2786=""),"",IFERROR(INDEX(catTipo,MATCH(D2786,catNom,0))&amp;"",""))</f>
        <v/>
      </c>
      <c r="J2786" s="19">
        <f>IF(I2786="","",IFERROR(INDEX(catGrupo,MATCH(D2786,catNom,0))&amp;"",""))</f>
        <v/>
      </c>
      <c r="K2786" s="19">
        <f>IF(I2786="Gasto",IF(IFERROR(INDEX(catClas,MATCH(D2786,catNom,0))&amp;"","")="","Variable",IFERROR(INDEX(catClas,MATCH(D2786,catNom,0))&amp;"","")),"")</f>
        <v/>
      </c>
      <c r="L2786" s="19">
        <f>IF(I2786="","",IFERROR(INDEX(catAlim,MATCH(D2786,catNom,0))&amp;"",""))</f>
        <v/>
      </c>
      <c r="M2786" s="19">
        <f>IF(I2786="","",IFERROR(INDEX(catComida,MATCH(D2786,catNom,0))&amp;"",""))</f>
        <v/>
      </c>
      <c r="N2786" s="19">
        <f>IF(I2786="","",IFERROR(INDEX(ctaMon,MATCH(E2786,ctaNom,0))&amp;"","DOP"))</f>
        <v/>
      </c>
      <c r="O2786" s="20">
        <f>IF(I2786="","",C2786*IF(N2786="USD",TasaUSD,1))</f>
        <v/>
      </c>
      <c r="P2786" s="20">
        <f>IF(I2786="","",IF(I2786="Gasto",O2786,0))</f>
        <v/>
      </c>
      <c r="Q2786" s="20">
        <f>IF(I2786="","",IF(I2786="Ingreso",O2786,0))</f>
        <v/>
      </c>
      <c r="R2786" s="20">
        <f>IF(I2786="","",IF(I2786="Trading",O2786,0))</f>
        <v/>
      </c>
      <c r="S2786" s="19">
        <f>IF(I2786="","",IF(AND(I2786="Gasto",K2786="Variable",J2786&lt;&gt;"Trading",O2786&gt;0,O2786&lt;=Umbral),1,0))</f>
        <v/>
      </c>
      <c r="T2786" s="20">
        <f>IF(OR(I2786="",E2786=""),"",IF(OR(I2786="Gasto",I2786="Transferencia",I2786="Pago tarjeta"),-1,1)*C2786)</f>
        <v/>
      </c>
      <c r="U2786" s="20">
        <f>IF(OR(G2786="",AND(I2786&lt;&gt;"Transferencia",I2786&lt;&gt;"Pago tarjeta")),"",IF(IFERROR(INDEX(ctaMon,MATCH(G2786,ctaNom,0))&amp;"","DOP")=N2786,C2786,IF(N2786="USD",C2786*TasaUSD,C2786/TasaUSD)))</f>
        <v/>
      </c>
      <c r="V2786" s="20">
        <f>IF(I2786="","",IF(IFERROR(INDEX(ctaLiq,MATCH(E2786,ctaNom,0))="Sí",FALSE),IF(OR(I2786="Gasto",I2786="Transferencia",I2786="Pago tarjeta"),-1,1)*O2786,0)+IF(AND(U2786&lt;&gt;"",IFERROR(INDEX(ctaLiq,MATCH(G2786,ctaNom,0))="Sí",FALSE)),O2786,0))</f>
        <v/>
      </c>
      <c r="W2786" s="19">
        <f>IF(OR(F2786="",I2786=""),"",IF(COUNTIFS(F$6:F2786,F2786,I$6:I2786,"?*")=1,MAX(W$5:W2785)+1,""))</f>
        <v/>
      </c>
    </row>
    <row r="2787">
      <c r="B2787" s="15" t="n"/>
      <c r="C2787" s="16" t="n"/>
      <c r="D2787" s="17" t="n"/>
      <c r="E2787" s="17" t="n"/>
      <c r="F2787" s="17" t="n"/>
      <c r="G2787" s="17" t="n"/>
      <c r="H2787" s="18">
        <f>IF(AND(B2787="",C2787="",D2787="",E2787=""),"",IF(B2787="","⚠ Falta fecha",IF(C2787="","⚠ Falta monto",IF(D2787="","⚠ Falta categoría",IF(ISNA(MATCH(D2787,catNom,0)),"⚠ Categoría no existe",IF(E2787="","⚠ Falta cuenta",IF(ISNA(MATCH(E2787,ctaNom,0)),"⚠ Cuenta no existe",IF(AND(OR(I2787="Transferencia",I2787="Pago tarjeta"),G2787=""),"⚠ Indica la cuenta «Hacia»",IF(AND(G2787&lt;&gt;"",G2787=E2787),"⚠ «Hacia» igual a la cuenta",IF(AND(G2787&lt;&gt;"",ISNA(MATCH(G2787,ctaNom,0))),"⚠ «Hacia» no existe",IF(AND(I2787="Pago tarjeta",IFERROR(INDEX(ctaTipo,MATCH(G2787,ctaNom,0)),"")&lt;&gt;"Tarjeta de crédito"),"⚠ «Hacia» debe ser la tarjeta",IF(AND(I2787="Trading",IFERROR(INDEX(ctaTipo,MATCH(E2787,ctaNom,0)),"")&lt;&gt;"Cuenta de trading"),"⚠ Usa la cuenta de trading","✓"))))))))))))</f>
        <v/>
      </c>
      <c r="I2787" s="19">
        <f>IF(OR(B2787="",C2787="",D2787=""),"",IFERROR(INDEX(catTipo,MATCH(D2787,catNom,0))&amp;"",""))</f>
        <v/>
      </c>
      <c r="J2787" s="19">
        <f>IF(I2787="","",IFERROR(INDEX(catGrupo,MATCH(D2787,catNom,0))&amp;"",""))</f>
        <v/>
      </c>
      <c r="K2787" s="19">
        <f>IF(I2787="Gasto",IF(IFERROR(INDEX(catClas,MATCH(D2787,catNom,0))&amp;"","")="","Variable",IFERROR(INDEX(catClas,MATCH(D2787,catNom,0))&amp;"","")),"")</f>
        <v/>
      </c>
      <c r="L2787" s="19">
        <f>IF(I2787="","",IFERROR(INDEX(catAlim,MATCH(D2787,catNom,0))&amp;"",""))</f>
        <v/>
      </c>
      <c r="M2787" s="19">
        <f>IF(I2787="","",IFERROR(INDEX(catComida,MATCH(D2787,catNom,0))&amp;"",""))</f>
        <v/>
      </c>
      <c r="N2787" s="19">
        <f>IF(I2787="","",IFERROR(INDEX(ctaMon,MATCH(E2787,ctaNom,0))&amp;"","DOP"))</f>
        <v/>
      </c>
      <c r="O2787" s="20">
        <f>IF(I2787="","",C2787*IF(N2787="USD",TasaUSD,1))</f>
        <v/>
      </c>
      <c r="P2787" s="20">
        <f>IF(I2787="","",IF(I2787="Gasto",O2787,0))</f>
        <v/>
      </c>
      <c r="Q2787" s="20">
        <f>IF(I2787="","",IF(I2787="Ingreso",O2787,0))</f>
        <v/>
      </c>
      <c r="R2787" s="20">
        <f>IF(I2787="","",IF(I2787="Trading",O2787,0))</f>
        <v/>
      </c>
      <c r="S2787" s="19">
        <f>IF(I2787="","",IF(AND(I2787="Gasto",K2787="Variable",J2787&lt;&gt;"Trading",O2787&gt;0,O2787&lt;=Umbral),1,0))</f>
        <v/>
      </c>
      <c r="T2787" s="20">
        <f>IF(OR(I2787="",E2787=""),"",IF(OR(I2787="Gasto",I2787="Transferencia",I2787="Pago tarjeta"),-1,1)*C2787)</f>
        <v/>
      </c>
      <c r="U2787" s="20">
        <f>IF(OR(G2787="",AND(I2787&lt;&gt;"Transferencia",I2787&lt;&gt;"Pago tarjeta")),"",IF(IFERROR(INDEX(ctaMon,MATCH(G2787,ctaNom,0))&amp;"","DOP")=N2787,C2787,IF(N2787="USD",C2787*TasaUSD,C2787/TasaUSD)))</f>
        <v/>
      </c>
      <c r="V2787" s="20">
        <f>IF(I2787="","",IF(IFERROR(INDEX(ctaLiq,MATCH(E2787,ctaNom,0))="Sí",FALSE),IF(OR(I2787="Gasto",I2787="Transferencia",I2787="Pago tarjeta"),-1,1)*O2787,0)+IF(AND(U2787&lt;&gt;"",IFERROR(INDEX(ctaLiq,MATCH(G2787,ctaNom,0))="Sí",FALSE)),O2787,0))</f>
        <v/>
      </c>
      <c r="W2787" s="19">
        <f>IF(OR(F2787="",I2787=""),"",IF(COUNTIFS(F$6:F2787,F2787,I$6:I2787,"?*")=1,MAX(W$5:W2786)+1,""))</f>
        <v/>
      </c>
    </row>
    <row r="2788">
      <c r="B2788" s="15" t="n"/>
      <c r="C2788" s="16" t="n"/>
      <c r="D2788" s="17" t="n"/>
      <c r="E2788" s="17" t="n"/>
      <c r="F2788" s="17" t="n"/>
      <c r="G2788" s="17" t="n"/>
      <c r="H2788" s="18">
        <f>IF(AND(B2788="",C2788="",D2788="",E2788=""),"",IF(B2788="","⚠ Falta fecha",IF(C2788="","⚠ Falta monto",IF(D2788="","⚠ Falta categoría",IF(ISNA(MATCH(D2788,catNom,0)),"⚠ Categoría no existe",IF(E2788="","⚠ Falta cuenta",IF(ISNA(MATCH(E2788,ctaNom,0)),"⚠ Cuenta no existe",IF(AND(OR(I2788="Transferencia",I2788="Pago tarjeta"),G2788=""),"⚠ Indica la cuenta «Hacia»",IF(AND(G2788&lt;&gt;"",G2788=E2788),"⚠ «Hacia» igual a la cuenta",IF(AND(G2788&lt;&gt;"",ISNA(MATCH(G2788,ctaNom,0))),"⚠ «Hacia» no existe",IF(AND(I2788="Pago tarjeta",IFERROR(INDEX(ctaTipo,MATCH(G2788,ctaNom,0)),"")&lt;&gt;"Tarjeta de crédito"),"⚠ «Hacia» debe ser la tarjeta",IF(AND(I2788="Trading",IFERROR(INDEX(ctaTipo,MATCH(E2788,ctaNom,0)),"")&lt;&gt;"Cuenta de trading"),"⚠ Usa la cuenta de trading","✓"))))))))))))</f>
        <v/>
      </c>
      <c r="I2788" s="19">
        <f>IF(OR(B2788="",C2788="",D2788=""),"",IFERROR(INDEX(catTipo,MATCH(D2788,catNom,0))&amp;"",""))</f>
        <v/>
      </c>
      <c r="J2788" s="19">
        <f>IF(I2788="","",IFERROR(INDEX(catGrupo,MATCH(D2788,catNom,0))&amp;"",""))</f>
        <v/>
      </c>
      <c r="K2788" s="19">
        <f>IF(I2788="Gasto",IF(IFERROR(INDEX(catClas,MATCH(D2788,catNom,0))&amp;"","")="","Variable",IFERROR(INDEX(catClas,MATCH(D2788,catNom,0))&amp;"","")),"")</f>
        <v/>
      </c>
      <c r="L2788" s="19">
        <f>IF(I2788="","",IFERROR(INDEX(catAlim,MATCH(D2788,catNom,0))&amp;"",""))</f>
        <v/>
      </c>
      <c r="M2788" s="19">
        <f>IF(I2788="","",IFERROR(INDEX(catComida,MATCH(D2788,catNom,0))&amp;"",""))</f>
        <v/>
      </c>
      <c r="N2788" s="19">
        <f>IF(I2788="","",IFERROR(INDEX(ctaMon,MATCH(E2788,ctaNom,0))&amp;"","DOP"))</f>
        <v/>
      </c>
      <c r="O2788" s="20">
        <f>IF(I2788="","",C2788*IF(N2788="USD",TasaUSD,1))</f>
        <v/>
      </c>
      <c r="P2788" s="20">
        <f>IF(I2788="","",IF(I2788="Gasto",O2788,0))</f>
        <v/>
      </c>
      <c r="Q2788" s="20">
        <f>IF(I2788="","",IF(I2788="Ingreso",O2788,0))</f>
        <v/>
      </c>
      <c r="R2788" s="20">
        <f>IF(I2788="","",IF(I2788="Trading",O2788,0))</f>
        <v/>
      </c>
      <c r="S2788" s="19">
        <f>IF(I2788="","",IF(AND(I2788="Gasto",K2788="Variable",J2788&lt;&gt;"Trading",O2788&gt;0,O2788&lt;=Umbral),1,0))</f>
        <v/>
      </c>
      <c r="T2788" s="20">
        <f>IF(OR(I2788="",E2788=""),"",IF(OR(I2788="Gasto",I2788="Transferencia",I2788="Pago tarjeta"),-1,1)*C2788)</f>
        <v/>
      </c>
      <c r="U2788" s="20">
        <f>IF(OR(G2788="",AND(I2788&lt;&gt;"Transferencia",I2788&lt;&gt;"Pago tarjeta")),"",IF(IFERROR(INDEX(ctaMon,MATCH(G2788,ctaNom,0))&amp;"","DOP")=N2788,C2788,IF(N2788="USD",C2788*TasaUSD,C2788/TasaUSD)))</f>
        <v/>
      </c>
      <c r="V2788" s="20">
        <f>IF(I2788="","",IF(IFERROR(INDEX(ctaLiq,MATCH(E2788,ctaNom,0))="Sí",FALSE),IF(OR(I2788="Gasto",I2788="Transferencia",I2788="Pago tarjeta"),-1,1)*O2788,0)+IF(AND(U2788&lt;&gt;"",IFERROR(INDEX(ctaLiq,MATCH(G2788,ctaNom,0))="Sí",FALSE)),O2788,0))</f>
        <v/>
      </c>
      <c r="W2788" s="19">
        <f>IF(OR(F2788="",I2788=""),"",IF(COUNTIFS(F$6:F2788,F2788,I$6:I2788,"?*")=1,MAX(W$5:W2787)+1,""))</f>
        <v/>
      </c>
    </row>
    <row r="2789">
      <c r="B2789" s="15" t="n"/>
      <c r="C2789" s="16" t="n"/>
      <c r="D2789" s="17" t="n"/>
      <c r="E2789" s="17" t="n"/>
      <c r="F2789" s="17" t="n"/>
      <c r="G2789" s="17" t="n"/>
      <c r="H2789" s="18">
        <f>IF(AND(B2789="",C2789="",D2789="",E2789=""),"",IF(B2789="","⚠ Falta fecha",IF(C2789="","⚠ Falta monto",IF(D2789="","⚠ Falta categoría",IF(ISNA(MATCH(D2789,catNom,0)),"⚠ Categoría no existe",IF(E2789="","⚠ Falta cuenta",IF(ISNA(MATCH(E2789,ctaNom,0)),"⚠ Cuenta no existe",IF(AND(OR(I2789="Transferencia",I2789="Pago tarjeta"),G2789=""),"⚠ Indica la cuenta «Hacia»",IF(AND(G2789&lt;&gt;"",G2789=E2789),"⚠ «Hacia» igual a la cuenta",IF(AND(G2789&lt;&gt;"",ISNA(MATCH(G2789,ctaNom,0))),"⚠ «Hacia» no existe",IF(AND(I2789="Pago tarjeta",IFERROR(INDEX(ctaTipo,MATCH(G2789,ctaNom,0)),"")&lt;&gt;"Tarjeta de crédito"),"⚠ «Hacia» debe ser la tarjeta",IF(AND(I2789="Trading",IFERROR(INDEX(ctaTipo,MATCH(E2789,ctaNom,0)),"")&lt;&gt;"Cuenta de trading"),"⚠ Usa la cuenta de trading","✓"))))))))))))</f>
        <v/>
      </c>
      <c r="I2789" s="19">
        <f>IF(OR(B2789="",C2789="",D2789=""),"",IFERROR(INDEX(catTipo,MATCH(D2789,catNom,0))&amp;"",""))</f>
        <v/>
      </c>
      <c r="J2789" s="19">
        <f>IF(I2789="","",IFERROR(INDEX(catGrupo,MATCH(D2789,catNom,0))&amp;"",""))</f>
        <v/>
      </c>
      <c r="K2789" s="19">
        <f>IF(I2789="Gasto",IF(IFERROR(INDEX(catClas,MATCH(D2789,catNom,0))&amp;"","")="","Variable",IFERROR(INDEX(catClas,MATCH(D2789,catNom,0))&amp;"","")),"")</f>
        <v/>
      </c>
      <c r="L2789" s="19">
        <f>IF(I2789="","",IFERROR(INDEX(catAlim,MATCH(D2789,catNom,0))&amp;"",""))</f>
        <v/>
      </c>
      <c r="M2789" s="19">
        <f>IF(I2789="","",IFERROR(INDEX(catComida,MATCH(D2789,catNom,0))&amp;"",""))</f>
        <v/>
      </c>
      <c r="N2789" s="19">
        <f>IF(I2789="","",IFERROR(INDEX(ctaMon,MATCH(E2789,ctaNom,0))&amp;"","DOP"))</f>
        <v/>
      </c>
      <c r="O2789" s="20">
        <f>IF(I2789="","",C2789*IF(N2789="USD",TasaUSD,1))</f>
        <v/>
      </c>
      <c r="P2789" s="20">
        <f>IF(I2789="","",IF(I2789="Gasto",O2789,0))</f>
        <v/>
      </c>
      <c r="Q2789" s="20">
        <f>IF(I2789="","",IF(I2789="Ingreso",O2789,0))</f>
        <v/>
      </c>
      <c r="R2789" s="20">
        <f>IF(I2789="","",IF(I2789="Trading",O2789,0))</f>
        <v/>
      </c>
      <c r="S2789" s="19">
        <f>IF(I2789="","",IF(AND(I2789="Gasto",K2789="Variable",J2789&lt;&gt;"Trading",O2789&gt;0,O2789&lt;=Umbral),1,0))</f>
        <v/>
      </c>
      <c r="T2789" s="20">
        <f>IF(OR(I2789="",E2789=""),"",IF(OR(I2789="Gasto",I2789="Transferencia",I2789="Pago tarjeta"),-1,1)*C2789)</f>
        <v/>
      </c>
      <c r="U2789" s="20">
        <f>IF(OR(G2789="",AND(I2789&lt;&gt;"Transferencia",I2789&lt;&gt;"Pago tarjeta")),"",IF(IFERROR(INDEX(ctaMon,MATCH(G2789,ctaNom,0))&amp;"","DOP")=N2789,C2789,IF(N2789="USD",C2789*TasaUSD,C2789/TasaUSD)))</f>
        <v/>
      </c>
      <c r="V2789" s="20">
        <f>IF(I2789="","",IF(IFERROR(INDEX(ctaLiq,MATCH(E2789,ctaNom,0))="Sí",FALSE),IF(OR(I2789="Gasto",I2789="Transferencia",I2789="Pago tarjeta"),-1,1)*O2789,0)+IF(AND(U2789&lt;&gt;"",IFERROR(INDEX(ctaLiq,MATCH(G2789,ctaNom,0))="Sí",FALSE)),O2789,0))</f>
        <v/>
      </c>
      <c r="W2789" s="19">
        <f>IF(OR(F2789="",I2789=""),"",IF(COUNTIFS(F$6:F2789,F2789,I$6:I2789,"?*")=1,MAX(W$5:W2788)+1,""))</f>
        <v/>
      </c>
    </row>
    <row r="2790">
      <c r="B2790" s="15" t="n"/>
      <c r="C2790" s="16" t="n"/>
      <c r="D2790" s="17" t="n"/>
      <c r="E2790" s="17" t="n"/>
      <c r="F2790" s="17" t="n"/>
      <c r="G2790" s="17" t="n"/>
      <c r="H2790" s="18">
        <f>IF(AND(B2790="",C2790="",D2790="",E2790=""),"",IF(B2790="","⚠ Falta fecha",IF(C2790="","⚠ Falta monto",IF(D2790="","⚠ Falta categoría",IF(ISNA(MATCH(D2790,catNom,0)),"⚠ Categoría no existe",IF(E2790="","⚠ Falta cuenta",IF(ISNA(MATCH(E2790,ctaNom,0)),"⚠ Cuenta no existe",IF(AND(OR(I2790="Transferencia",I2790="Pago tarjeta"),G2790=""),"⚠ Indica la cuenta «Hacia»",IF(AND(G2790&lt;&gt;"",G2790=E2790),"⚠ «Hacia» igual a la cuenta",IF(AND(G2790&lt;&gt;"",ISNA(MATCH(G2790,ctaNom,0))),"⚠ «Hacia» no existe",IF(AND(I2790="Pago tarjeta",IFERROR(INDEX(ctaTipo,MATCH(G2790,ctaNom,0)),"")&lt;&gt;"Tarjeta de crédito"),"⚠ «Hacia» debe ser la tarjeta",IF(AND(I2790="Trading",IFERROR(INDEX(ctaTipo,MATCH(E2790,ctaNom,0)),"")&lt;&gt;"Cuenta de trading"),"⚠ Usa la cuenta de trading","✓"))))))))))))</f>
        <v/>
      </c>
      <c r="I2790" s="19">
        <f>IF(OR(B2790="",C2790="",D2790=""),"",IFERROR(INDEX(catTipo,MATCH(D2790,catNom,0))&amp;"",""))</f>
        <v/>
      </c>
      <c r="J2790" s="19">
        <f>IF(I2790="","",IFERROR(INDEX(catGrupo,MATCH(D2790,catNom,0))&amp;"",""))</f>
        <v/>
      </c>
      <c r="K2790" s="19">
        <f>IF(I2790="Gasto",IF(IFERROR(INDEX(catClas,MATCH(D2790,catNom,0))&amp;"","")="","Variable",IFERROR(INDEX(catClas,MATCH(D2790,catNom,0))&amp;"","")),"")</f>
        <v/>
      </c>
      <c r="L2790" s="19">
        <f>IF(I2790="","",IFERROR(INDEX(catAlim,MATCH(D2790,catNom,0))&amp;"",""))</f>
        <v/>
      </c>
      <c r="M2790" s="19">
        <f>IF(I2790="","",IFERROR(INDEX(catComida,MATCH(D2790,catNom,0))&amp;"",""))</f>
        <v/>
      </c>
      <c r="N2790" s="19">
        <f>IF(I2790="","",IFERROR(INDEX(ctaMon,MATCH(E2790,ctaNom,0))&amp;"","DOP"))</f>
        <v/>
      </c>
      <c r="O2790" s="20">
        <f>IF(I2790="","",C2790*IF(N2790="USD",TasaUSD,1))</f>
        <v/>
      </c>
      <c r="P2790" s="20">
        <f>IF(I2790="","",IF(I2790="Gasto",O2790,0))</f>
        <v/>
      </c>
      <c r="Q2790" s="20">
        <f>IF(I2790="","",IF(I2790="Ingreso",O2790,0))</f>
        <v/>
      </c>
      <c r="R2790" s="20">
        <f>IF(I2790="","",IF(I2790="Trading",O2790,0))</f>
        <v/>
      </c>
      <c r="S2790" s="19">
        <f>IF(I2790="","",IF(AND(I2790="Gasto",K2790="Variable",J2790&lt;&gt;"Trading",O2790&gt;0,O2790&lt;=Umbral),1,0))</f>
        <v/>
      </c>
      <c r="T2790" s="20">
        <f>IF(OR(I2790="",E2790=""),"",IF(OR(I2790="Gasto",I2790="Transferencia",I2790="Pago tarjeta"),-1,1)*C2790)</f>
        <v/>
      </c>
      <c r="U2790" s="20">
        <f>IF(OR(G2790="",AND(I2790&lt;&gt;"Transferencia",I2790&lt;&gt;"Pago tarjeta")),"",IF(IFERROR(INDEX(ctaMon,MATCH(G2790,ctaNom,0))&amp;"","DOP")=N2790,C2790,IF(N2790="USD",C2790*TasaUSD,C2790/TasaUSD)))</f>
        <v/>
      </c>
      <c r="V2790" s="20">
        <f>IF(I2790="","",IF(IFERROR(INDEX(ctaLiq,MATCH(E2790,ctaNom,0))="Sí",FALSE),IF(OR(I2790="Gasto",I2790="Transferencia",I2790="Pago tarjeta"),-1,1)*O2790,0)+IF(AND(U2790&lt;&gt;"",IFERROR(INDEX(ctaLiq,MATCH(G2790,ctaNom,0))="Sí",FALSE)),O2790,0))</f>
        <v/>
      </c>
      <c r="W2790" s="19">
        <f>IF(OR(F2790="",I2790=""),"",IF(COUNTIFS(F$6:F2790,F2790,I$6:I2790,"?*")=1,MAX(W$5:W2789)+1,""))</f>
        <v/>
      </c>
    </row>
    <row r="2791">
      <c r="B2791" s="15" t="n"/>
      <c r="C2791" s="16" t="n"/>
      <c r="D2791" s="17" t="n"/>
      <c r="E2791" s="17" t="n"/>
      <c r="F2791" s="17" t="n"/>
      <c r="G2791" s="17" t="n"/>
      <c r="H2791" s="18">
        <f>IF(AND(B2791="",C2791="",D2791="",E2791=""),"",IF(B2791="","⚠ Falta fecha",IF(C2791="","⚠ Falta monto",IF(D2791="","⚠ Falta categoría",IF(ISNA(MATCH(D2791,catNom,0)),"⚠ Categoría no existe",IF(E2791="","⚠ Falta cuenta",IF(ISNA(MATCH(E2791,ctaNom,0)),"⚠ Cuenta no existe",IF(AND(OR(I2791="Transferencia",I2791="Pago tarjeta"),G2791=""),"⚠ Indica la cuenta «Hacia»",IF(AND(G2791&lt;&gt;"",G2791=E2791),"⚠ «Hacia» igual a la cuenta",IF(AND(G2791&lt;&gt;"",ISNA(MATCH(G2791,ctaNom,0))),"⚠ «Hacia» no existe",IF(AND(I2791="Pago tarjeta",IFERROR(INDEX(ctaTipo,MATCH(G2791,ctaNom,0)),"")&lt;&gt;"Tarjeta de crédito"),"⚠ «Hacia» debe ser la tarjeta",IF(AND(I2791="Trading",IFERROR(INDEX(ctaTipo,MATCH(E2791,ctaNom,0)),"")&lt;&gt;"Cuenta de trading"),"⚠ Usa la cuenta de trading","✓"))))))))))))</f>
        <v/>
      </c>
      <c r="I2791" s="19">
        <f>IF(OR(B2791="",C2791="",D2791=""),"",IFERROR(INDEX(catTipo,MATCH(D2791,catNom,0))&amp;"",""))</f>
        <v/>
      </c>
      <c r="J2791" s="19">
        <f>IF(I2791="","",IFERROR(INDEX(catGrupo,MATCH(D2791,catNom,0))&amp;"",""))</f>
        <v/>
      </c>
      <c r="K2791" s="19">
        <f>IF(I2791="Gasto",IF(IFERROR(INDEX(catClas,MATCH(D2791,catNom,0))&amp;"","")="","Variable",IFERROR(INDEX(catClas,MATCH(D2791,catNom,0))&amp;"","")),"")</f>
        <v/>
      </c>
      <c r="L2791" s="19">
        <f>IF(I2791="","",IFERROR(INDEX(catAlim,MATCH(D2791,catNom,0))&amp;"",""))</f>
        <v/>
      </c>
      <c r="M2791" s="19">
        <f>IF(I2791="","",IFERROR(INDEX(catComida,MATCH(D2791,catNom,0))&amp;"",""))</f>
        <v/>
      </c>
      <c r="N2791" s="19">
        <f>IF(I2791="","",IFERROR(INDEX(ctaMon,MATCH(E2791,ctaNom,0))&amp;"","DOP"))</f>
        <v/>
      </c>
      <c r="O2791" s="20">
        <f>IF(I2791="","",C2791*IF(N2791="USD",TasaUSD,1))</f>
        <v/>
      </c>
      <c r="P2791" s="20">
        <f>IF(I2791="","",IF(I2791="Gasto",O2791,0))</f>
        <v/>
      </c>
      <c r="Q2791" s="20">
        <f>IF(I2791="","",IF(I2791="Ingreso",O2791,0))</f>
        <v/>
      </c>
      <c r="R2791" s="20">
        <f>IF(I2791="","",IF(I2791="Trading",O2791,0))</f>
        <v/>
      </c>
      <c r="S2791" s="19">
        <f>IF(I2791="","",IF(AND(I2791="Gasto",K2791="Variable",J2791&lt;&gt;"Trading",O2791&gt;0,O2791&lt;=Umbral),1,0))</f>
        <v/>
      </c>
      <c r="T2791" s="20">
        <f>IF(OR(I2791="",E2791=""),"",IF(OR(I2791="Gasto",I2791="Transferencia",I2791="Pago tarjeta"),-1,1)*C2791)</f>
        <v/>
      </c>
      <c r="U2791" s="20">
        <f>IF(OR(G2791="",AND(I2791&lt;&gt;"Transferencia",I2791&lt;&gt;"Pago tarjeta")),"",IF(IFERROR(INDEX(ctaMon,MATCH(G2791,ctaNom,0))&amp;"","DOP")=N2791,C2791,IF(N2791="USD",C2791*TasaUSD,C2791/TasaUSD)))</f>
        <v/>
      </c>
      <c r="V2791" s="20">
        <f>IF(I2791="","",IF(IFERROR(INDEX(ctaLiq,MATCH(E2791,ctaNom,0))="Sí",FALSE),IF(OR(I2791="Gasto",I2791="Transferencia",I2791="Pago tarjeta"),-1,1)*O2791,0)+IF(AND(U2791&lt;&gt;"",IFERROR(INDEX(ctaLiq,MATCH(G2791,ctaNom,0))="Sí",FALSE)),O2791,0))</f>
        <v/>
      </c>
      <c r="W2791" s="19">
        <f>IF(OR(F2791="",I2791=""),"",IF(COUNTIFS(F$6:F2791,F2791,I$6:I2791,"?*")=1,MAX(W$5:W2790)+1,""))</f>
        <v/>
      </c>
    </row>
    <row r="2792">
      <c r="B2792" s="15" t="n"/>
      <c r="C2792" s="16" t="n"/>
      <c r="D2792" s="17" t="n"/>
      <c r="E2792" s="17" t="n"/>
      <c r="F2792" s="17" t="n"/>
      <c r="G2792" s="17" t="n"/>
      <c r="H2792" s="18">
        <f>IF(AND(B2792="",C2792="",D2792="",E2792=""),"",IF(B2792="","⚠ Falta fecha",IF(C2792="","⚠ Falta monto",IF(D2792="","⚠ Falta categoría",IF(ISNA(MATCH(D2792,catNom,0)),"⚠ Categoría no existe",IF(E2792="","⚠ Falta cuenta",IF(ISNA(MATCH(E2792,ctaNom,0)),"⚠ Cuenta no existe",IF(AND(OR(I2792="Transferencia",I2792="Pago tarjeta"),G2792=""),"⚠ Indica la cuenta «Hacia»",IF(AND(G2792&lt;&gt;"",G2792=E2792),"⚠ «Hacia» igual a la cuenta",IF(AND(G2792&lt;&gt;"",ISNA(MATCH(G2792,ctaNom,0))),"⚠ «Hacia» no existe",IF(AND(I2792="Pago tarjeta",IFERROR(INDEX(ctaTipo,MATCH(G2792,ctaNom,0)),"")&lt;&gt;"Tarjeta de crédito"),"⚠ «Hacia» debe ser la tarjeta",IF(AND(I2792="Trading",IFERROR(INDEX(ctaTipo,MATCH(E2792,ctaNom,0)),"")&lt;&gt;"Cuenta de trading"),"⚠ Usa la cuenta de trading","✓"))))))))))))</f>
        <v/>
      </c>
      <c r="I2792" s="19">
        <f>IF(OR(B2792="",C2792="",D2792=""),"",IFERROR(INDEX(catTipo,MATCH(D2792,catNom,0))&amp;"",""))</f>
        <v/>
      </c>
      <c r="J2792" s="19">
        <f>IF(I2792="","",IFERROR(INDEX(catGrupo,MATCH(D2792,catNom,0))&amp;"",""))</f>
        <v/>
      </c>
      <c r="K2792" s="19">
        <f>IF(I2792="Gasto",IF(IFERROR(INDEX(catClas,MATCH(D2792,catNom,0))&amp;"","")="","Variable",IFERROR(INDEX(catClas,MATCH(D2792,catNom,0))&amp;"","")),"")</f>
        <v/>
      </c>
      <c r="L2792" s="19">
        <f>IF(I2792="","",IFERROR(INDEX(catAlim,MATCH(D2792,catNom,0))&amp;"",""))</f>
        <v/>
      </c>
      <c r="M2792" s="19">
        <f>IF(I2792="","",IFERROR(INDEX(catComida,MATCH(D2792,catNom,0))&amp;"",""))</f>
        <v/>
      </c>
      <c r="N2792" s="19">
        <f>IF(I2792="","",IFERROR(INDEX(ctaMon,MATCH(E2792,ctaNom,0))&amp;"","DOP"))</f>
        <v/>
      </c>
      <c r="O2792" s="20">
        <f>IF(I2792="","",C2792*IF(N2792="USD",TasaUSD,1))</f>
        <v/>
      </c>
      <c r="P2792" s="20">
        <f>IF(I2792="","",IF(I2792="Gasto",O2792,0))</f>
        <v/>
      </c>
      <c r="Q2792" s="20">
        <f>IF(I2792="","",IF(I2792="Ingreso",O2792,0))</f>
        <v/>
      </c>
      <c r="R2792" s="20">
        <f>IF(I2792="","",IF(I2792="Trading",O2792,0))</f>
        <v/>
      </c>
      <c r="S2792" s="19">
        <f>IF(I2792="","",IF(AND(I2792="Gasto",K2792="Variable",J2792&lt;&gt;"Trading",O2792&gt;0,O2792&lt;=Umbral),1,0))</f>
        <v/>
      </c>
      <c r="T2792" s="20">
        <f>IF(OR(I2792="",E2792=""),"",IF(OR(I2792="Gasto",I2792="Transferencia",I2792="Pago tarjeta"),-1,1)*C2792)</f>
        <v/>
      </c>
      <c r="U2792" s="20">
        <f>IF(OR(G2792="",AND(I2792&lt;&gt;"Transferencia",I2792&lt;&gt;"Pago tarjeta")),"",IF(IFERROR(INDEX(ctaMon,MATCH(G2792,ctaNom,0))&amp;"","DOP")=N2792,C2792,IF(N2792="USD",C2792*TasaUSD,C2792/TasaUSD)))</f>
        <v/>
      </c>
      <c r="V2792" s="20">
        <f>IF(I2792="","",IF(IFERROR(INDEX(ctaLiq,MATCH(E2792,ctaNom,0))="Sí",FALSE),IF(OR(I2792="Gasto",I2792="Transferencia",I2792="Pago tarjeta"),-1,1)*O2792,0)+IF(AND(U2792&lt;&gt;"",IFERROR(INDEX(ctaLiq,MATCH(G2792,ctaNom,0))="Sí",FALSE)),O2792,0))</f>
        <v/>
      </c>
      <c r="W2792" s="19">
        <f>IF(OR(F2792="",I2792=""),"",IF(COUNTIFS(F$6:F2792,F2792,I$6:I2792,"?*")=1,MAX(W$5:W2791)+1,""))</f>
        <v/>
      </c>
    </row>
    <row r="2793">
      <c r="B2793" s="15" t="n"/>
      <c r="C2793" s="16" t="n"/>
      <c r="D2793" s="17" t="n"/>
      <c r="E2793" s="17" t="n"/>
      <c r="F2793" s="17" t="n"/>
      <c r="G2793" s="17" t="n"/>
      <c r="H2793" s="18">
        <f>IF(AND(B2793="",C2793="",D2793="",E2793=""),"",IF(B2793="","⚠ Falta fecha",IF(C2793="","⚠ Falta monto",IF(D2793="","⚠ Falta categoría",IF(ISNA(MATCH(D2793,catNom,0)),"⚠ Categoría no existe",IF(E2793="","⚠ Falta cuenta",IF(ISNA(MATCH(E2793,ctaNom,0)),"⚠ Cuenta no existe",IF(AND(OR(I2793="Transferencia",I2793="Pago tarjeta"),G2793=""),"⚠ Indica la cuenta «Hacia»",IF(AND(G2793&lt;&gt;"",G2793=E2793),"⚠ «Hacia» igual a la cuenta",IF(AND(G2793&lt;&gt;"",ISNA(MATCH(G2793,ctaNom,0))),"⚠ «Hacia» no existe",IF(AND(I2793="Pago tarjeta",IFERROR(INDEX(ctaTipo,MATCH(G2793,ctaNom,0)),"")&lt;&gt;"Tarjeta de crédito"),"⚠ «Hacia» debe ser la tarjeta",IF(AND(I2793="Trading",IFERROR(INDEX(ctaTipo,MATCH(E2793,ctaNom,0)),"")&lt;&gt;"Cuenta de trading"),"⚠ Usa la cuenta de trading","✓"))))))))))))</f>
        <v/>
      </c>
      <c r="I2793" s="19">
        <f>IF(OR(B2793="",C2793="",D2793=""),"",IFERROR(INDEX(catTipo,MATCH(D2793,catNom,0))&amp;"",""))</f>
        <v/>
      </c>
      <c r="J2793" s="19">
        <f>IF(I2793="","",IFERROR(INDEX(catGrupo,MATCH(D2793,catNom,0))&amp;"",""))</f>
        <v/>
      </c>
      <c r="K2793" s="19">
        <f>IF(I2793="Gasto",IF(IFERROR(INDEX(catClas,MATCH(D2793,catNom,0))&amp;"","")="","Variable",IFERROR(INDEX(catClas,MATCH(D2793,catNom,0))&amp;"","")),"")</f>
        <v/>
      </c>
      <c r="L2793" s="19">
        <f>IF(I2793="","",IFERROR(INDEX(catAlim,MATCH(D2793,catNom,0))&amp;"",""))</f>
        <v/>
      </c>
      <c r="M2793" s="19">
        <f>IF(I2793="","",IFERROR(INDEX(catComida,MATCH(D2793,catNom,0))&amp;"",""))</f>
        <v/>
      </c>
      <c r="N2793" s="19">
        <f>IF(I2793="","",IFERROR(INDEX(ctaMon,MATCH(E2793,ctaNom,0))&amp;"","DOP"))</f>
        <v/>
      </c>
      <c r="O2793" s="20">
        <f>IF(I2793="","",C2793*IF(N2793="USD",TasaUSD,1))</f>
        <v/>
      </c>
      <c r="P2793" s="20">
        <f>IF(I2793="","",IF(I2793="Gasto",O2793,0))</f>
        <v/>
      </c>
      <c r="Q2793" s="20">
        <f>IF(I2793="","",IF(I2793="Ingreso",O2793,0))</f>
        <v/>
      </c>
      <c r="R2793" s="20">
        <f>IF(I2793="","",IF(I2793="Trading",O2793,0))</f>
        <v/>
      </c>
      <c r="S2793" s="19">
        <f>IF(I2793="","",IF(AND(I2793="Gasto",K2793="Variable",J2793&lt;&gt;"Trading",O2793&gt;0,O2793&lt;=Umbral),1,0))</f>
        <v/>
      </c>
      <c r="T2793" s="20">
        <f>IF(OR(I2793="",E2793=""),"",IF(OR(I2793="Gasto",I2793="Transferencia",I2793="Pago tarjeta"),-1,1)*C2793)</f>
        <v/>
      </c>
      <c r="U2793" s="20">
        <f>IF(OR(G2793="",AND(I2793&lt;&gt;"Transferencia",I2793&lt;&gt;"Pago tarjeta")),"",IF(IFERROR(INDEX(ctaMon,MATCH(G2793,ctaNom,0))&amp;"","DOP")=N2793,C2793,IF(N2793="USD",C2793*TasaUSD,C2793/TasaUSD)))</f>
        <v/>
      </c>
      <c r="V2793" s="20">
        <f>IF(I2793="","",IF(IFERROR(INDEX(ctaLiq,MATCH(E2793,ctaNom,0))="Sí",FALSE),IF(OR(I2793="Gasto",I2793="Transferencia",I2793="Pago tarjeta"),-1,1)*O2793,0)+IF(AND(U2793&lt;&gt;"",IFERROR(INDEX(ctaLiq,MATCH(G2793,ctaNom,0))="Sí",FALSE)),O2793,0))</f>
        <v/>
      </c>
      <c r="W2793" s="19">
        <f>IF(OR(F2793="",I2793=""),"",IF(COUNTIFS(F$6:F2793,F2793,I$6:I2793,"?*")=1,MAX(W$5:W2792)+1,""))</f>
        <v/>
      </c>
    </row>
    <row r="2794">
      <c r="B2794" s="15" t="n"/>
      <c r="C2794" s="16" t="n"/>
      <c r="D2794" s="17" t="n"/>
      <c r="E2794" s="17" t="n"/>
      <c r="F2794" s="17" t="n"/>
      <c r="G2794" s="17" t="n"/>
      <c r="H2794" s="18">
        <f>IF(AND(B2794="",C2794="",D2794="",E2794=""),"",IF(B2794="","⚠ Falta fecha",IF(C2794="","⚠ Falta monto",IF(D2794="","⚠ Falta categoría",IF(ISNA(MATCH(D2794,catNom,0)),"⚠ Categoría no existe",IF(E2794="","⚠ Falta cuenta",IF(ISNA(MATCH(E2794,ctaNom,0)),"⚠ Cuenta no existe",IF(AND(OR(I2794="Transferencia",I2794="Pago tarjeta"),G2794=""),"⚠ Indica la cuenta «Hacia»",IF(AND(G2794&lt;&gt;"",G2794=E2794),"⚠ «Hacia» igual a la cuenta",IF(AND(G2794&lt;&gt;"",ISNA(MATCH(G2794,ctaNom,0))),"⚠ «Hacia» no existe",IF(AND(I2794="Pago tarjeta",IFERROR(INDEX(ctaTipo,MATCH(G2794,ctaNom,0)),"")&lt;&gt;"Tarjeta de crédito"),"⚠ «Hacia» debe ser la tarjeta",IF(AND(I2794="Trading",IFERROR(INDEX(ctaTipo,MATCH(E2794,ctaNom,0)),"")&lt;&gt;"Cuenta de trading"),"⚠ Usa la cuenta de trading","✓"))))))))))))</f>
        <v/>
      </c>
      <c r="I2794" s="19">
        <f>IF(OR(B2794="",C2794="",D2794=""),"",IFERROR(INDEX(catTipo,MATCH(D2794,catNom,0))&amp;"",""))</f>
        <v/>
      </c>
      <c r="J2794" s="19">
        <f>IF(I2794="","",IFERROR(INDEX(catGrupo,MATCH(D2794,catNom,0))&amp;"",""))</f>
        <v/>
      </c>
      <c r="K2794" s="19">
        <f>IF(I2794="Gasto",IF(IFERROR(INDEX(catClas,MATCH(D2794,catNom,0))&amp;"","")="","Variable",IFERROR(INDEX(catClas,MATCH(D2794,catNom,0))&amp;"","")),"")</f>
        <v/>
      </c>
      <c r="L2794" s="19">
        <f>IF(I2794="","",IFERROR(INDEX(catAlim,MATCH(D2794,catNom,0))&amp;"",""))</f>
        <v/>
      </c>
      <c r="M2794" s="19">
        <f>IF(I2794="","",IFERROR(INDEX(catComida,MATCH(D2794,catNom,0))&amp;"",""))</f>
        <v/>
      </c>
      <c r="N2794" s="19">
        <f>IF(I2794="","",IFERROR(INDEX(ctaMon,MATCH(E2794,ctaNom,0))&amp;"","DOP"))</f>
        <v/>
      </c>
      <c r="O2794" s="20">
        <f>IF(I2794="","",C2794*IF(N2794="USD",TasaUSD,1))</f>
        <v/>
      </c>
      <c r="P2794" s="20">
        <f>IF(I2794="","",IF(I2794="Gasto",O2794,0))</f>
        <v/>
      </c>
      <c r="Q2794" s="20">
        <f>IF(I2794="","",IF(I2794="Ingreso",O2794,0))</f>
        <v/>
      </c>
      <c r="R2794" s="20">
        <f>IF(I2794="","",IF(I2794="Trading",O2794,0))</f>
        <v/>
      </c>
      <c r="S2794" s="19">
        <f>IF(I2794="","",IF(AND(I2794="Gasto",K2794="Variable",J2794&lt;&gt;"Trading",O2794&gt;0,O2794&lt;=Umbral),1,0))</f>
        <v/>
      </c>
      <c r="T2794" s="20">
        <f>IF(OR(I2794="",E2794=""),"",IF(OR(I2794="Gasto",I2794="Transferencia",I2794="Pago tarjeta"),-1,1)*C2794)</f>
        <v/>
      </c>
      <c r="U2794" s="20">
        <f>IF(OR(G2794="",AND(I2794&lt;&gt;"Transferencia",I2794&lt;&gt;"Pago tarjeta")),"",IF(IFERROR(INDEX(ctaMon,MATCH(G2794,ctaNom,0))&amp;"","DOP")=N2794,C2794,IF(N2794="USD",C2794*TasaUSD,C2794/TasaUSD)))</f>
        <v/>
      </c>
      <c r="V2794" s="20">
        <f>IF(I2794="","",IF(IFERROR(INDEX(ctaLiq,MATCH(E2794,ctaNom,0))="Sí",FALSE),IF(OR(I2794="Gasto",I2794="Transferencia",I2794="Pago tarjeta"),-1,1)*O2794,0)+IF(AND(U2794&lt;&gt;"",IFERROR(INDEX(ctaLiq,MATCH(G2794,ctaNom,0))="Sí",FALSE)),O2794,0))</f>
        <v/>
      </c>
      <c r="W2794" s="19">
        <f>IF(OR(F2794="",I2794=""),"",IF(COUNTIFS(F$6:F2794,F2794,I$6:I2794,"?*")=1,MAX(W$5:W2793)+1,""))</f>
        <v/>
      </c>
    </row>
    <row r="2795">
      <c r="B2795" s="15" t="n"/>
      <c r="C2795" s="16" t="n"/>
      <c r="D2795" s="17" t="n"/>
      <c r="E2795" s="17" t="n"/>
      <c r="F2795" s="17" t="n"/>
      <c r="G2795" s="17" t="n"/>
      <c r="H2795" s="18">
        <f>IF(AND(B2795="",C2795="",D2795="",E2795=""),"",IF(B2795="","⚠ Falta fecha",IF(C2795="","⚠ Falta monto",IF(D2795="","⚠ Falta categoría",IF(ISNA(MATCH(D2795,catNom,0)),"⚠ Categoría no existe",IF(E2795="","⚠ Falta cuenta",IF(ISNA(MATCH(E2795,ctaNom,0)),"⚠ Cuenta no existe",IF(AND(OR(I2795="Transferencia",I2795="Pago tarjeta"),G2795=""),"⚠ Indica la cuenta «Hacia»",IF(AND(G2795&lt;&gt;"",G2795=E2795),"⚠ «Hacia» igual a la cuenta",IF(AND(G2795&lt;&gt;"",ISNA(MATCH(G2795,ctaNom,0))),"⚠ «Hacia» no existe",IF(AND(I2795="Pago tarjeta",IFERROR(INDEX(ctaTipo,MATCH(G2795,ctaNom,0)),"")&lt;&gt;"Tarjeta de crédito"),"⚠ «Hacia» debe ser la tarjeta",IF(AND(I2795="Trading",IFERROR(INDEX(ctaTipo,MATCH(E2795,ctaNom,0)),"")&lt;&gt;"Cuenta de trading"),"⚠ Usa la cuenta de trading","✓"))))))))))))</f>
        <v/>
      </c>
      <c r="I2795" s="19">
        <f>IF(OR(B2795="",C2795="",D2795=""),"",IFERROR(INDEX(catTipo,MATCH(D2795,catNom,0))&amp;"",""))</f>
        <v/>
      </c>
      <c r="J2795" s="19">
        <f>IF(I2795="","",IFERROR(INDEX(catGrupo,MATCH(D2795,catNom,0))&amp;"",""))</f>
        <v/>
      </c>
      <c r="K2795" s="19">
        <f>IF(I2795="Gasto",IF(IFERROR(INDEX(catClas,MATCH(D2795,catNom,0))&amp;"","")="","Variable",IFERROR(INDEX(catClas,MATCH(D2795,catNom,0))&amp;"","")),"")</f>
        <v/>
      </c>
      <c r="L2795" s="19">
        <f>IF(I2795="","",IFERROR(INDEX(catAlim,MATCH(D2795,catNom,0))&amp;"",""))</f>
        <v/>
      </c>
      <c r="M2795" s="19">
        <f>IF(I2795="","",IFERROR(INDEX(catComida,MATCH(D2795,catNom,0))&amp;"",""))</f>
        <v/>
      </c>
      <c r="N2795" s="19">
        <f>IF(I2795="","",IFERROR(INDEX(ctaMon,MATCH(E2795,ctaNom,0))&amp;"","DOP"))</f>
        <v/>
      </c>
      <c r="O2795" s="20">
        <f>IF(I2795="","",C2795*IF(N2795="USD",TasaUSD,1))</f>
        <v/>
      </c>
      <c r="P2795" s="20">
        <f>IF(I2795="","",IF(I2795="Gasto",O2795,0))</f>
        <v/>
      </c>
      <c r="Q2795" s="20">
        <f>IF(I2795="","",IF(I2795="Ingreso",O2795,0))</f>
        <v/>
      </c>
      <c r="R2795" s="20">
        <f>IF(I2795="","",IF(I2795="Trading",O2795,0))</f>
        <v/>
      </c>
      <c r="S2795" s="19">
        <f>IF(I2795="","",IF(AND(I2795="Gasto",K2795="Variable",J2795&lt;&gt;"Trading",O2795&gt;0,O2795&lt;=Umbral),1,0))</f>
        <v/>
      </c>
      <c r="T2795" s="20">
        <f>IF(OR(I2795="",E2795=""),"",IF(OR(I2795="Gasto",I2795="Transferencia",I2795="Pago tarjeta"),-1,1)*C2795)</f>
        <v/>
      </c>
      <c r="U2795" s="20">
        <f>IF(OR(G2795="",AND(I2795&lt;&gt;"Transferencia",I2795&lt;&gt;"Pago tarjeta")),"",IF(IFERROR(INDEX(ctaMon,MATCH(G2795,ctaNom,0))&amp;"","DOP")=N2795,C2795,IF(N2795="USD",C2795*TasaUSD,C2795/TasaUSD)))</f>
        <v/>
      </c>
      <c r="V2795" s="20">
        <f>IF(I2795="","",IF(IFERROR(INDEX(ctaLiq,MATCH(E2795,ctaNom,0))="Sí",FALSE),IF(OR(I2795="Gasto",I2795="Transferencia",I2795="Pago tarjeta"),-1,1)*O2795,0)+IF(AND(U2795&lt;&gt;"",IFERROR(INDEX(ctaLiq,MATCH(G2795,ctaNom,0))="Sí",FALSE)),O2795,0))</f>
        <v/>
      </c>
      <c r="W2795" s="19">
        <f>IF(OR(F2795="",I2795=""),"",IF(COUNTIFS(F$6:F2795,F2795,I$6:I2795,"?*")=1,MAX(W$5:W2794)+1,""))</f>
        <v/>
      </c>
    </row>
    <row r="2796">
      <c r="B2796" s="15" t="n"/>
      <c r="C2796" s="16" t="n"/>
      <c r="D2796" s="17" t="n"/>
      <c r="E2796" s="17" t="n"/>
      <c r="F2796" s="17" t="n"/>
      <c r="G2796" s="17" t="n"/>
      <c r="H2796" s="18">
        <f>IF(AND(B2796="",C2796="",D2796="",E2796=""),"",IF(B2796="","⚠ Falta fecha",IF(C2796="","⚠ Falta monto",IF(D2796="","⚠ Falta categoría",IF(ISNA(MATCH(D2796,catNom,0)),"⚠ Categoría no existe",IF(E2796="","⚠ Falta cuenta",IF(ISNA(MATCH(E2796,ctaNom,0)),"⚠ Cuenta no existe",IF(AND(OR(I2796="Transferencia",I2796="Pago tarjeta"),G2796=""),"⚠ Indica la cuenta «Hacia»",IF(AND(G2796&lt;&gt;"",G2796=E2796),"⚠ «Hacia» igual a la cuenta",IF(AND(G2796&lt;&gt;"",ISNA(MATCH(G2796,ctaNom,0))),"⚠ «Hacia» no existe",IF(AND(I2796="Pago tarjeta",IFERROR(INDEX(ctaTipo,MATCH(G2796,ctaNom,0)),"")&lt;&gt;"Tarjeta de crédito"),"⚠ «Hacia» debe ser la tarjeta",IF(AND(I2796="Trading",IFERROR(INDEX(ctaTipo,MATCH(E2796,ctaNom,0)),"")&lt;&gt;"Cuenta de trading"),"⚠ Usa la cuenta de trading","✓"))))))))))))</f>
        <v/>
      </c>
      <c r="I2796" s="19">
        <f>IF(OR(B2796="",C2796="",D2796=""),"",IFERROR(INDEX(catTipo,MATCH(D2796,catNom,0))&amp;"",""))</f>
        <v/>
      </c>
      <c r="J2796" s="19">
        <f>IF(I2796="","",IFERROR(INDEX(catGrupo,MATCH(D2796,catNom,0))&amp;"",""))</f>
        <v/>
      </c>
      <c r="K2796" s="19">
        <f>IF(I2796="Gasto",IF(IFERROR(INDEX(catClas,MATCH(D2796,catNom,0))&amp;"","")="","Variable",IFERROR(INDEX(catClas,MATCH(D2796,catNom,0))&amp;"","")),"")</f>
        <v/>
      </c>
      <c r="L2796" s="19">
        <f>IF(I2796="","",IFERROR(INDEX(catAlim,MATCH(D2796,catNom,0))&amp;"",""))</f>
        <v/>
      </c>
      <c r="M2796" s="19">
        <f>IF(I2796="","",IFERROR(INDEX(catComida,MATCH(D2796,catNom,0))&amp;"",""))</f>
        <v/>
      </c>
      <c r="N2796" s="19">
        <f>IF(I2796="","",IFERROR(INDEX(ctaMon,MATCH(E2796,ctaNom,0))&amp;"","DOP"))</f>
        <v/>
      </c>
      <c r="O2796" s="20">
        <f>IF(I2796="","",C2796*IF(N2796="USD",TasaUSD,1))</f>
        <v/>
      </c>
      <c r="P2796" s="20">
        <f>IF(I2796="","",IF(I2796="Gasto",O2796,0))</f>
        <v/>
      </c>
      <c r="Q2796" s="20">
        <f>IF(I2796="","",IF(I2796="Ingreso",O2796,0))</f>
        <v/>
      </c>
      <c r="R2796" s="20">
        <f>IF(I2796="","",IF(I2796="Trading",O2796,0))</f>
        <v/>
      </c>
      <c r="S2796" s="19">
        <f>IF(I2796="","",IF(AND(I2796="Gasto",K2796="Variable",J2796&lt;&gt;"Trading",O2796&gt;0,O2796&lt;=Umbral),1,0))</f>
        <v/>
      </c>
      <c r="T2796" s="20">
        <f>IF(OR(I2796="",E2796=""),"",IF(OR(I2796="Gasto",I2796="Transferencia",I2796="Pago tarjeta"),-1,1)*C2796)</f>
        <v/>
      </c>
      <c r="U2796" s="20">
        <f>IF(OR(G2796="",AND(I2796&lt;&gt;"Transferencia",I2796&lt;&gt;"Pago tarjeta")),"",IF(IFERROR(INDEX(ctaMon,MATCH(G2796,ctaNom,0))&amp;"","DOP")=N2796,C2796,IF(N2796="USD",C2796*TasaUSD,C2796/TasaUSD)))</f>
        <v/>
      </c>
      <c r="V2796" s="20">
        <f>IF(I2796="","",IF(IFERROR(INDEX(ctaLiq,MATCH(E2796,ctaNom,0))="Sí",FALSE),IF(OR(I2796="Gasto",I2796="Transferencia",I2796="Pago tarjeta"),-1,1)*O2796,0)+IF(AND(U2796&lt;&gt;"",IFERROR(INDEX(ctaLiq,MATCH(G2796,ctaNom,0))="Sí",FALSE)),O2796,0))</f>
        <v/>
      </c>
      <c r="W2796" s="19">
        <f>IF(OR(F2796="",I2796=""),"",IF(COUNTIFS(F$6:F2796,F2796,I$6:I2796,"?*")=1,MAX(W$5:W2795)+1,""))</f>
        <v/>
      </c>
    </row>
    <row r="2797">
      <c r="B2797" s="15" t="n"/>
      <c r="C2797" s="16" t="n"/>
      <c r="D2797" s="17" t="n"/>
      <c r="E2797" s="17" t="n"/>
      <c r="F2797" s="17" t="n"/>
      <c r="G2797" s="17" t="n"/>
      <c r="H2797" s="18">
        <f>IF(AND(B2797="",C2797="",D2797="",E2797=""),"",IF(B2797="","⚠ Falta fecha",IF(C2797="","⚠ Falta monto",IF(D2797="","⚠ Falta categoría",IF(ISNA(MATCH(D2797,catNom,0)),"⚠ Categoría no existe",IF(E2797="","⚠ Falta cuenta",IF(ISNA(MATCH(E2797,ctaNom,0)),"⚠ Cuenta no existe",IF(AND(OR(I2797="Transferencia",I2797="Pago tarjeta"),G2797=""),"⚠ Indica la cuenta «Hacia»",IF(AND(G2797&lt;&gt;"",G2797=E2797),"⚠ «Hacia» igual a la cuenta",IF(AND(G2797&lt;&gt;"",ISNA(MATCH(G2797,ctaNom,0))),"⚠ «Hacia» no existe",IF(AND(I2797="Pago tarjeta",IFERROR(INDEX(ctaTipo,MATCH(G2797,ctaNom,0)),"")&lt;&gt;"Tarjeta de crédito"),"⚠ «Hacia» debe ser la tarjeta",IF(AND(I2797="Trading",IFERROR(INDEX(ctaTipo,MATCH(E2797,ctaNom,0)),"")&lt;&gt;"Cuenta de trading"),"⚠ Usa la cuenta de trading","✓"))))))))))))</f>
        <v/>
      </c>
      <c r="I2797" s="19">
        <f>IF(OR(B2797="",C2797="",D2797=""),"",IFERROR(INDEX(catTipo,MATCH(D2797,catNom,0))&amp;"",""))</f>
        <v/>
      </c>
      <c r="J2797" s="19">
        <f>IF(I2797="","",IFERROR(INDEX(catGrupo,MATCH(D2797,catNom,0))&amp;"",""))</f>
        <v/>
      </c>
      <c r="K2797" s="19">
        <f>IF(I2797="Gasto",IF(IFERROR(INDEX(catClas,MATCH(D2797,catNom,0))&amp;"","")="","Variable",IFERROR(INDEX(catClas,MATCH(D2797,catNom,0))&amp;"","")),"")</f>
        <v/>
      </c>
      <c r="L2797" s="19">
        <f>IF(I2797="","",IFERROR(INDEX(catAlim,MATCH(D2797,catNom,0))&amp;"",""))</f>
        <v/>
      </c>
      <c r="M2797" s="19">
        <f>IF(I2797="","",IFERROR(INDEX(catComida,MATCH(D2797,catNom,0))&amp;"",""))</f>
        <v/>
      </c>
      <c r="N2797" s="19">
        <f>IF(I2797="","",IFERROR(INDEX(ctaMon,MATCH(E2797,ctaNom,0))&amp;"","DOP"))</f>
        <v/>
      </c>
      <c r="O2797" s="20">
        <f>IF(I2797="","",C2797*IF(N2797="USD",TasaUSD,1))</f>
        <v/>
      </c>
      <c r="P2797" s="20">
        <f>IF(I2797="","",IF(I2797="Gasto",O2797,0))</f>
        <v/>
      </c>
      <c r="Q2797" s="20">
        <f>IF(I2797="","",IF(I2797="Ingreso",O2797,0))</f>
        <v/>
      </c>
      <c r="R2797" s="20">
        <f>IF(I2797="","",IF(I2797="Trading",O2797,0))</f>
        <v/>
      </c>
      <c r="S2797" s="19">
        <f>IF(I2797="","",IF(AND(I2797="Gasto",K2797="Variable",J2797&lt;&gt;"Trading",O2797&gt;0,O2797&lt;=Umbral),1,0))</f>
        <v/>
      </c>
      <c r="T2797" s="20">
        <f>IF(OR(I2797="",E2797=""),"",IF(OR(I2797="Gasto",I2797="Transferencia",I2797="Pago tarjeta"),-1,1)*C2797)</f>
        <v/>
      </c>
      <c r="U2797" s="20">
        <f>IF(OR(G2797="",AND(I2797&lt;&gt;"Transferencia",I2797&lt;&gt;"Pago tarjeta")),"",IF(IFERROR(INDEX(ctaMon,MATCH(G2797,ctaNom,0))&amp;"","DOP")=N2797,C2797,IF(N2797="USD",C2797*TasaUSD,C2797/TasaUSD)))</f>
        <v/>
      </c>
      <c r="V2797" s="20">
        <f>IF(I2797="","",IF(IFERROR(INDEX(ctaLiq,MATCH(E2797,ctaNom,0))="Sí",FALSE),IF(OR(I2797="Gasto",I2797="Transferencia",I2797="Pago tarjeta"),-1,1)*O2797,0)+IF(AND(U2797&lt;&gt;"",IFERROR(INDEX(ctaLiq,MATCH(G2797,ctaNom,0))="Sí",FALSE)),O2797,0))</f>
        <v/>
      </c>
      <c r="W2797" s="19">
        <f>IF(OR(F2797="",I2797=""),"",IF(COUNTIFS(F$6:F2797,F2797,I$6:I2797,"?*")=1,MAX(W$5:W2796)+1,""))</f>
        <v/>
      </c>
    </row>
    <row r="2798">
      <c r="B2798" s="15" t="n"/>
      <c r="C2798" s="16" t="n"/>
      <c r="D2798" s="17" t="n"/>
      <c r="E2798" s="17" t="n"/>
      <c r="F2798" s="17" t="n"/>
      <c r="G2798" s="17" t="n"/>
      <c r="H2798" s="18">
        <f>IF(AND(B2798="",C2798="",D2798="",E2798=""),"",IF(B2798="","⚠ Falta fecha",IF(C2798="","⚠ Falta monto",IF(D2798="","⚠ Falta categoría",IF(ISNA(MATCH(D2798,catNom,0)),"⚠ Categoría no existe",IF(E2798="","⚠ Falta cuenta",IF(ISNA(MATCH(E2798,ctaNom,0)),"⚠ Cuenta no existe",IF(AND(OR(I2798="Transferencia",I2798="Pago tarjeta"),G2798=""),"⚠ Indica la cuenta «Hacia»",IF(AND(G2798&lt;&gt;"",G2798=E2798),"⚠ «Hacia» igual a la cuenta",IF(AND(G2798&lt;&gt;"",ISNA(MATCH(G2798,ctaNom,0))),"⚠ «Hacia» no existe",IF(AND(I2798="Pago tarjeta",IFERROR(INDEX(ctaTipo,MATCH(G2798,ctaNom,0)),"")&lt;&gt;"Tarjeta de crédito"),"⚠ «Hacia» debe ser la tarjeta",IF(AND(I2798="Trading",IFERROR(INDEX(ctaTipo,MATCH(E2798,ctaNom,0)),"")&lt;&gt;"Cuenta de trading"),"⚠ Usa la cuenta de trading","✓"))))))))))))</f>
        <v/>
      </c>
      <c r="I2798" s="19">
        <f>IF(OR(B2798="",C2798="",D2798=""),"",IFERROR(INDEX(catTipo,MATCH(D2798,catNom,0))&amp;"",""))</f>
        <v/>
      </c>
      <c r="J2798" s="19">
        <f>IF(I2798="","",IFERROR(INDEX(catGrupo,MATCH(D2798,catNom,0))&amp;"",""))</f>
        <v/>
      </c>
      <c r="K2798" s="19">
        <f>IF(I2798="Gasto",IF(IFERROR(INDEX(catClas,MATCH(D2798,catNom,0))&amp;"","")="","Variable",IFERROR(INDEX(catClas,MATCH(D2798,catNom,0))&amp;"","")),"")</f>
        <v/>
      </c>
      <c r="L2798" s="19">
        <f>IF(I2798="","",IFERROR(INDEX(catAlim,MATCH(D2798,catNom,0))&amp;"",""))</f>
        <v/>
      </c>
      <c r="M2798" s="19">
        <f>IF(I2798="","",IFERROR(INDEX(catComida,MATCH(D2798,catNom,0))&amp;"",""))</f>
        <v/>
      </c>
      <c r="N2798" s="19">
        <f>IF(I2798="","",IFERROR(INDEX(ctaMon,MATCH(E2798,ctaNom,0))&amp;"","DOP"))</f>
        <v/>
      </c>
      <c r="O2798" s="20">
        <f>IF(I2798="","",C2798*IF(N2798="USD",TasaUSD,1))</f>
        <v/>
      </c>
      <c r="P2798" s="20">
        <f>IF(I2798="","",IF(I2798="Gasto",O2798,0))</f>
        <v/>
      </c>
      <c r="Q2798" s="20">
        <f>IF(I2798="","",IF(I2798="Ingreso",O2798,0))</f>
        <v/>
      </c>
      <c r="R2798" s="20">
        <f>IF(I2798="","",IF(I2798="Trading",O2798,0))</f>
        <v/>
      </c>
      <c r="S2798" s="19">
        <f>IF(I2798="","",IF(AND(I2798="Gasto",K2798="Variable",J2798&lt;&gt;"Trading",O2798&gt;0,O2798&lt;=Umbral),1,0))</f>
        <v/>
      </c>
      <c r="T2798" s="20">
        <f>IF(OR(I2798="",E2798=""),"",IF(OR(I2798="Gasto",I2798="Transferencia",I2798="Pago tarjeta"),-1,1)*C2798)</f>
        <v/>
      </c>
      <c r="U2798" s="20">
        <f>IF(OR(G2798="",AND(I2798&lt;&gt;"Transferencia",I2798&lt;&gt;"Pago tarjeta")),"",IF(IFERROR(INDEX(ctaMon,MATCH(G2798,ctaNom,0))&amp;"","DOP")=N2798,C2798,IF(N2798="USD",C2798*TasaUSD,C2798/TasaUSD)))</f>
        <v/>
      </c>
      <c r="V2798" s="20">
        <f>IF(I2798="","",IF(IFERROR(INDEX(ctaLiq,MATCH(E2798,ctaNom,0))="Sí",FALSE),IF(OR(I2798="Gasto",I2798="Transferencia",I2798="Pago tarjeta"),-1,1)*O2798,0)+IF(AND(U2798&lt;&gt;"",IFERROR(INDEX(ctaLiq,MATCH(G2798,ctaNom,0))="Sí",FALSE)),O2798,0))</f>
        <v/>
      </c>
      <c r="W2798" s="19">
        <f>IF(OR(F2798="",I2798=""),"",IF(COUNTIFS(F$6:F2798,F2798,I$6:I2798,"?*")=1,MAX(W$5:W2797)+1,""))</f>
        <v/>
      </c>
    </row>
    <row r="2799">
      <c r="B2799" s="15" t="n"/>
      <c r="C2799" s="16" t="n"/>
      <c r="D2799" s="17" t="n"/>
      <c r="E2799" s="17" t="n"/>
      <c r="F2799" s="17" t="n"/>
      <c r="G2799" s="17" t="n"/>
      <c r="H2799" s="18">
        <f>IF(AND(B2799="",C2799="",D2799="",E2799=""),"",IF(B2799="","⚠ Falta fecha",IF(C2799="","⚠ Falta monto",IF(D2799="","⚠ Falta categoría",IF(ISNA(MATCH(D2799,catNom,0)),"⚠ Categoría no existe",IF(E2799="","⚠ Falta cuenta",IF(ISNA(MATCH(E2799,ctaNom,0)),"⚠ Cuenta no existe",IF(AND(OR(I2799="Transferencia",I2799="Pago tarjeta"),G2799=""),"⚠ Indica la cuenta «Hacia»",IF(AND(G2799&lt;&gt;"",G2799=E2799),"⚠ «Hacia» igual a la cuenta",IF(AND(G2799&lt;&gt;"",ISNA(MATCH(G2799,ctaNom,0))),"⚠ «Hacia» no existe",IF(AND(I2799="Pago tarjeta",IFERROR(INDEX(ctaTipo,MATCH(G2799,ctaNom,0)),"")&lt;&gt;"Tarjeta de crédito"),"⚠ «Hacia» debe ser la tarjeta",IF(AND(I2799="Trading",IFERROR(INDEX(ctaTipo,MATCH(E2799,ctaNom,0)),"")&lt;&gt;"Cuenta de trading"),"⚠ Usa la cuenta de trading","✓"))))))))))))</f>
        <v/>
      </c>
      <c r="I2799" s="19">
        <f>IF(OR(B2799="",C2799="",D2799=""),"",IFERROR(INDEX(catTipo,MATCH(D2799,catNom,0))&amp;"",""))</f>
        <v/>
      </c>
      <c r="J2799" s="19">
        <f>IF(I2799="","",IFERROR(INDEX(catGrupo,MATCH(D2799,catNom,0))&amp;"",""))</f>
        <v/>
      </c>
      <c r="K2799" s="19">
        <f>IF(I2799="Gasto",IF(IFERROR(INDEX(catClas,MATCH(D2799,catNom,0))&amp;"","")="","Variable",IFERROR(INDEX(catClas,MATCH(D2799,catNom,0))&amp;"","")),"")</f>
        <v/>
      </c>
      <c r="L2799" s="19">
        <f>IF(I2799="","",IFERROR(INDEX(catAlim,MATCH(D2799,catNom,0))&amp;"",""))</f>
        <v/>
      </c>
      <c r="M2799" s="19">
        <f>IF(I2799="","",IFERROR(INDEX(catComida,MATCH(D2799,catNom,0))&amp;"",""))</f>
        <v/>
      </c>
      <c r="N2799" s="19">
        <f>IF(I2799="","",IFERROR(INDEX(ctaMon,MATCH(E2799,ctaNom,0))&amp;"","DOP"))</f>
        <v/>
      </c>
      <c r="O2799" s="20">
        <f>IF(I2799="","",C2799*IF(N2799="USD",TasaUSD,1))</f>
        <v/>
      </c>
      <c r="P2799" s="20">
        <f>IF(I2799="","",IF(I2799="Gasto",O2799,0))</f>
        <v/>
      </c>
      <c r="Q2799" s="20">
        <f>IF(I2799="","",IF(I2799="Ingreso",O2799,0))</f>
        <v/>
      </c>
      <c r="R2799" s="20">
        <f>IF(I2799="","",IF(I2799="Trading",O2799,0))</f>
        <v/>
      </c>
      <c r="S2799" s="19">
        <f>IF(I2799="","",IF(AND(I2799="Gasto",K2799="Variable",J2799&lt;&gt;"Trading",O2799&gt;0,O2799&lt;=Umbral),1,0))</f>
        <v/>
      </c>
      <c r="T2799" s="20">
        <f>IF(OR(I2799="",E2799=""),"",IF(OR(I2799="Gasto",I2799="Transferencia",I2799="Pago tarjeta"),-1,1)*C2799)</f>
        <v/>
      </c>
      <c r="U2799" s="20">
        <f>IF(OR(G2799="",AND(I2799&lt;&gt;"Transferencia",I2799&lt;&gt;"Pago tarjeta")),"",IF(IFERROR(INDEX(ctaMon,MATCH(G2799,ctaNom,0))&amp;"","DOP")=N2799,C2799,IF(N2799="USD",C2799*TasaUSD,C2799/TasaUSD)))</f>
        <v/>
      </c>
      <c r="V2799" s="20">
        <f>IF(I2799="","",IF(IFERROR(INDEX(ctaLiq,MATCH(E2799,ctaNom,0))="Sí",FALSE),IF(OR(I2799="Gasto",I2799="Transferencia",I2799="Pago tarjeta"),-1,1)*O2799,0)+IF(AND(U2799&lt;&gt;"",IFERROR(INDEX(ctaLiq,MATCH(G2799,ctaNom,0))="Sí",FALSE)),O2799,0))</f>
        <v/>
      </c>
      <c r="W2799" s="19">
        <f>IF(OR(F2799="",I2799=""),"",IF(COUNTIFS(F$6:F2799,F2799,I$6:I2799,"?*")=1,MAX(W$5:W2798)+1,""))</f>
        <v/>
      </c>
    </row>
    <row r="2800">
      <c r="B2800" s="15" t="n"/>
      <c r="C2800" s="16" t="n"/>
      <c r="D2800" s="17" t="n"/>
      <c r="E2800" s="17" t="n"/>
      <c r="F2800" s="17" t="n"/>
      <c r="G2800" s="17" t="n"/>
      <c r="H2800" s="18">
        <f>IF(AND(B2800="",C2800="",D2800="",E2800=""),"",IF(B2800="","⚠ Falta fecha",IF(C2800="","⚠ Falta monto",IF(D2800="","⚠ Falta categoría",IF(ISNA(MATCH(D2800,catNom,0)),"⚠ Categoría no existe",IF(E2800="","⚠ Falta cuenta",IF(ISNA(MATCH(E2800,ctaNom,0)),"⚠ Cuenta no existe",IF(AND(OR(I2800="Transferencia",I2800="Pago tarjeta"),G2800=""),"⚠ Indica la cuenta «Hacia»",IF(AND(G2800&lt;&gt;"",G2800=E2800),"⚠ «Hacia» igual a la cuenta",IF(AND(G2800&lt;&gt;"",ISNA(MATCH(G2800,ctaNom,0))),"⚠ «Hacia» no existe",IF(AND(I2800="Pago tarjeta",IFERROR(INDEX(ctaTipo,MATCH(G2800,ctaNom,0)),"")&lt;&gt;"Tarjeta de crédito"),"⚠ «Hacia» debe ser la tarjeta",IF(AND(I2800="Trading",IFERROR(INDEX(ctaTipo,MATCH(E2800,ctaNom,0)),"")&lt;&gt;"Cuenta de trading"),"⚠ Usa la cuenta de trading","✓"))))))))))))</f>
        <v/>
      </c>
      <c r="I2800" s="19">
        <f>IF(OR(B2800="",C2800="",D2800=""),"",IFERROR(INDEX(catTipo,MATCH(D2800,catNom,0))&amp;"",""))</f>
        <v/>
      </c>
      <c r="J2800" s="19">
        <f>IF(I2800="","",IFERROR(INDEX(catGrupo,MATCH(D2800,catNom,0))&amp;"",""))</f>
        <v/>
      </c>
      <c r="K2800" s="19">
        <f>IF(I2800="Gasto",IF(IFERROR(INDEX(catClas,MATCH(D2800,catNom,0))&amp;"","")="","Variable",IFERROR(INDEX(catClas,MATCH(D2800,catNom,0))&amp;"","")),"")</f>
        <v/>
      </c>
      <c r="L2800" s="19">
        <f>IF(I2800="","",IFERROR(INDEX(catAlim,MATCH(D2800,catNom,0))&amp;"",""))</f>
        <v/>
      </c>
      <c r="M2800" s="19">
        <f>IF(I2800="","",IFERROR(INDEX(catComida,MATCH(D2800,catNom,0))&amp;"",""))</f>
        <v/>
      </c>
      <c r="N2800" s="19">
        <f>IF(I2800="","",IFERROR(INDEX(ctaMon,MATCH(E2800,ctaNom,0))&amp;"","DOP"))</f>
        <v/>
      </c>
      <c r="O2800" s="20">
        <f>IF(I2800="","",C2800*IF(N2800="USD",TasaUSD,1))</f>
        <v/>
      </c>
      <c r="P2800" s="20">
        <f>IF(I2800="","",IF(I2800="Gasto",O2800,0))</f>
        <v/>
      </c>
      <c r="Q2800" s="20">
        <f>IF(I2800="","",IF(I2800="Ingreso",O2800,0))</f>
        <v/>
      </c>
      <c r="R2800" s="20">
        <f>IF(I2800="","",IF(I2800="Trading",O2800,0))</f>
        <v/>
      </c>
      <c r="S2800" s="19">
        <f>IF(I2800="","",IF(AND(I2800="Gasto",K2800="Variable",J2800&lt;&gt;"Trading",O2800&gt;0,O2800&lt;=Umbral),1,0))</f>
        <v/>
      </c>
      <c r="T2800" s="20">
        <f>IF(OR(I2800="",E2800=""),"",IF(OR(I2800="Gasto",I2800="Transferencia",I2800="Pago tarjeta"),-1,1)*C2800)</f>
        <v/>
      </c>
      <c r="U2800" s="20">
        <f>IF(OR(G2800="",AND(I2800&lt;&gt;"Transferencia",I2800&lt;&gt;"Pago tarjeta")),"",IF(IFERROR(INDEX(ctaMon,MATCH(G2800,ctaNom,0))&amp;"","DOP")=N2800,C2800,IF(N2800="USD",C2800*TasaUSD,C2800/TasaUSD)))</f>
        <v/>
      </c>
      <c r="V2800" s="20">
        <f>IF(I2800="","",IF(IFERROR(INDEX(ctaLiq,MATCH(E2800,ctaNom,0))="Sí",FALSE),IF(OR(I2800="Gasto",I2800="Transferencia",I2800="Pago tarjeta"),-1,1)*O2800,0)+IF(AND(U2800&lt;&gt;"",IFERROR(INDEX(ctaLiq,MATCH(G2800,ctaNom,0))="Sí",FALSE)),O2800,0))</f>
        <v/>
      </c>
      <c r="W2800" s="19">
        <f>IF(OR(F2800="",I2800=""),"",IF(COUNTIFS(F$6:F2800,F2800,I$6:I2800,"?*")=1,MAX(W$5:W2799)+1,""))</f>
        <v/>
      </c>
    </row>
    <row r="2801">
      <c r="B2801" s="15" t="n"/>
      <c r="C2801" s="16" t="n"/>
      <c r="D2801" s="17" t="n"/>
      <c r="E2801" s="17" t="n"/>
      <c r="F2801" s="17" t="n"/>
      <c r="G2801" s="17" t="n"/>
      <c r="H2801" s="18">
        <f>IF(AND(B2801="",C2801="",D2801="",E2801=""),"",IF(B2801="","⚠ Falta fecha",IF(C2801="","⚠ Falta monto",IF(D2801="","⚠ Falta categoría",IF(ISNA(MATCH(D2801,catNom,0)),"⚠ Categoría no existe",IF(E2801="","⚠ Falta cuenta",IF(ISNA(MATCH(E2801,ctaNom,0)),"⚠ Cuenta no existe",IF(AND(OR(I2801="Transferencia",I2801="Pago tarjeta"),G2801=""),"⚠ Indica la cuenta «Hacia»",IF(AND(G2801&lt;&gt;"",G2801=E2801),"⚠ «Hacia» igual a la cuenta",IF(AND(G2801&lt;&gt;"",ISNA(MATCH(G2801,ctaNom,0))),"⚠ «Hacia» no existe",IF(AND(I2801="Pago tarjeta",IFERROR(INDEX(ctaTipo,MATCH(G2801,ctaNom,0)),"")&lt;&gt;"Tarjeta de crédito"),"⚠ «Hacia» debe ser la tarjeta",IF(AND(I2801="Trading",IFERROR(INDEX(ctaTipo,MATCH(E2801,ctaNom,0)),"")&lt;&gt;"Cuenta de trading"),"⚠ Usa la cuenta de trading","✓"))))))))))))</f>
        <v/>
      </c>
      <c r="I2801" s="19">
        <f>IF(OR(B2801="",C2801="",D2801=""),"",IFERROR(INDEX(catTipo,MATCH(D2801,catNom,0))&amp;"",""))</f>
        <v/>
      </c>
      <c r="J2801" s="19">
        <f>IF(I2801="","",IFERROR(INDEX(catGrupo,MATCH(D2801,catNom,0))&amp;"",""))</f>
        <v/>
      </c>
      <c r="K2801" s="19">
        <f>IF(I2801="Gasto",IF(IFERROR(INDEX(catClas,MATCH(D2801,catNom,0))&amp;"","")="","Variable",IFERROR(INDEX(catClas,MATCH(D2801,catNom,0))&amp;"","")),"")</f>
        <v/>
      </c>
      <c r="L2801" s="19">
        <f>IF(I2801="","",IFERROR(INDEX(catAlim,MATCH(D2801,catNom,0))&amp;"",""))</f>
        <v/>
      </c>
      <c r="M2801" s="19">
        <f>IF(I2801="","",IFERROR(INDEX(catComida,MATCH(D2801,catNom,0))&amp;"",""))</f>
        <v/>
      </c>
      <c r="N2801" s="19">
        <f>IF(I2801="","",IFERROR(INDEX(ctaMon,MATCH(E2801,ctaNom,0))&amp;"","DOP"))</f>
        <v/>
      </c>
      <c r="O2801" s="20">
        <f>IF(I2801="","",C2801*IF(N2801="USD",TasaUSD,1))</f>
        <v/>
      </c>
      <c r="P2801" s="20">
        <f>IF(I2801="","",IF(I2801="Gasto",O2801,0))</f>
        <v/>
      </c>
      <c r="Q2801" s="20">
        <f>IF(I2801="","",IF(I2801="Ingreso",O2801,0))</f>
        <v/>
      </c>
      <c r="R2801" s="20">
        <f>IF(I2801="","",IF(I2801="Trading",O2801,0))</f>
        <v/>
      </c>
      <c r="S2801" s="19">
        <f>IF(I2801="","",IF(AND(I2801="Gasto",K2801="Variable",J2801&lt;&gt;"Trading",O2801&gt;0,O2801&lt;=Umbral),1,0))</f>
        <v/>
      </c>
      <c r="T2801" s="20">
        <f>IF(OR(I2801="",E2801=""),"",IF(OR(I2801="Gasto",I2801="Transferencia",I2801="Pago tarjeta"),-1,1)*C2801)</f>
        <v/>
      </c>
      <c r="U2801" s="20">
        <f>IF(OR(G2801="",AND(I2801&lt;&gt;"Transferencia",I2801&lt;&gt;"Pago tarjeta")),"",IF(IFERROR(INDEX(ctaMon,MATCH(G2801,ctaNom,0))&amp;"","DOP")=N2801,C2801,IF(N2801="USD",C2801*TasaUSD,C2801/TasaUSD)))</f>
        <v/>
      </c>
      <c r="V2801" s="20">
        <f>IF(I2801="","",IF(IFERROR(INDEX(ctaLiq,MATCH(E2801,ctaNom,0))="Sí",FALSE),IF(OR(I2801="Gasto",I2801="Transferencia",I2801="Pago tarjeta"),-1,1)*O2801,0)+IF(AND(U2801&lt;&gt;"",IFERROR(INDEX(ctaLiq,MATCH(G2801,ctaNom,0))="Sí",FALSE)),O2801,0))</f>
        <v/>
      </c>
      <c r="W2801" s="19">
        <f>IF(OR(F2801="",I2801=""),"",IF(COUNTIFS(F$6:F2801,F2801,I$6:I2801,"?*")=1,MAX(W$5:W2800)+1,""))</f>
        <v/>
      </c>
    </row>
    <row r="2802">
      <c r="B2802" s="15" t="n"/>
      <c r="C2802" s="16" t="n"/>
      <c r="D2802" s="17" t="n"/>
      <c r="E2802" s="17" t="n"/>
      <c r="F2802" s="17" t="n"/>
      <c r="G2802" s="17" t="n"/>
      <c r="H2802" s="18">
        <f>IF(AND(B2802="",C2802="",D2802="",E2802=""),"",IF(B2802="","⚠ Falta fecha",IF(C2802="","⚠ Falta monto",IF(D2802="","⚠ Falta categoría",IF(ISNA(MATCH(D2802,catNom,0)),"⚠ Categoría no existe",IF(E2802="","⚠ Falta cuenta",IF(ISNA(MATCH(E2802,ctaNom,0)),"⚠ Cuenta no existe",IF(AND(OR(I2802="Transferencia",I2802="Pago tarjeta"),G2802=""),"⚠ Indica la cuenta «Hacia»",IF(AND(G2802&lt;&gt;"",G2802=E2802),"⚠ «Hacia» igual a la cuenta",IF(AND(G2802&lt;&gt;"",ISNA(MATCH(G2802,ctaNom,0))),"⚠ «Hacia» no existe",IF(AND(I2802="Pago tarjeta",IFERROR(INDEX(ctaTipo,MATCH(G2802,ctaNom,0)),"")&lt;&gt;"Tarjeta de crédito"),"⚠ «Hacia» debe ser la tarjeta",IF(AND(I2802="Trading",IFERROR(INDEX(ctaTipo,MATCH(E2802,ctaNom,0)),"")&lt;&gt;"Cuenta de trading"),"⚠ Usa la cuenta de trading","✓"))))))))))))</f>
        <v/>
      </c>
      <c r="I2802" s="19">
        <f>IF(OR(B2802="",C2802="",D2802=""),"",IFERROR(INDEX(catTipo,MATCH(D2802,catNom,0))&amp;"",""))</f>
        <v/>
      </c>
      <c r="J2802" s="19">
        <f>IF(I2802="","",IFERROR(INDEX(catGrupo,MATCH(D2802,catNom,0))&amp;"",""))</f>
        <v/>
      </c>
      <c r="K2802" s="19">
        <f>IF(I2802="Gasto",IF(IFERROR(INDEX(catClas,MATCH(D2802,catNom,0))&amp;"","")="","Variable",IFERROR(INDEX(catClas,MATCH(D2802,catNom,0))&amp;"","")),"")</f>
        <v/>
      </c>
      <c r="L2802" s="19">
        <f>IF(I2802="","",IFERROR(INDEX(catAlim,MATCH(D2802,catNom,0))&amp;"",""))</f>
        <v/>
      </c>
      <c r="M2802" s="19">
        <f>IF(I2802="","",IFERROR(INDEX(catComida,MATCH(D2802,catNom,0))&amp;"",""))</f>
        <v/>
      </c>
      <c r="N2802" s="19">
        <f>IF(I2802="","",IFERROR(INDEX(ctaMon,MATCH(E2802,ctaNom,0))&amp;"","DOP"))</f>
        <v/>
      </c>
      <c r="O2802" s="20">
        <f>IF(I2802="","",C2802*IF(N2802="USD",TasaUSD,1))</f>
        <v/>
      </c>
      <c r="P2802" s="20">
        <f>IF(I2802="","",IF(I2802="Gasto",O2802,0))</f>
        <v/>
      </c>
      <c r="Q2802" s="20">
        <f>IF(I2802="","",IF(I2802="Ingreso",O2802,0))</f>
        <v/>
      </c>
      <c r="R2802" s="20">
        <f>IF(I2802="","",IF(I2802="Trading",O2802,0))</f>
        <v/>
      </c>
      <c r="S2802" s="19">
        <f>IF(I2802="","",IF(AND(I2802="Gasto",K2802="Variable",J2802&lt;&gt;"Trading",O2802&gt;0,O2802&lt;=Umbral),1,0))</f>
        <v/>
      </c>
      <c r="T2802" s="20">
        <f>IF(OR(I2802="",E2802=""),"",IF(OR(I2802="Gasto",I2802="Transferencia",I2802="Pago tarjeta"),-1,1)*C2802)</f>
        <v/>
      </c>
      <c r="U2802" s="20">
        <f>IF(OR(G2802="",AND(I2802&lt;&gt;"Transferencia",I2802&lt;&gt;"Pago tarjeta")),"",IF(IFERROR(INDEX(ctaMon,MATCH(G2802,ctaNom,0))&amp;"","DOP")=N2802,C2802,IF(N2802="USD",C2802*TasaUSD,C2802/TasaUSD)))</f>
        <v/>
      </c>
      <c r="V2802" s="20">
        <f>IF(I2802="","",IF(IFERROR(INDEX(ctaLiq,MATCH(E2802,ctaNom,0))="Sí",FALSE),IF(OR(I2802="Gasto",I2802="Transferencia",I2802="Pago tarjeta"),-1,1)*O2802,0)+IF(AND(U2802&lt;&gt;"",IFERROR(INDEX(ctaLiq,MATCH(G2802,ctaNom,0))="Sí",FALSE)),O2802,0))</f>
        <v/>
      </c>
      <c r="W2802" s="19">
        <f>IF(OR(F2802="",I2802=""),"",IF(COUNTIFS(F$6:F2802,F2802,I$6:I2802,"?*")=1,MAX(W$5:W2801)+1,""))</f>
        <v/>
      </c>
    </row>
    <row r="2803">
      <c r="B2803" s="15" t="n"/>
      <c r="C2803" s="16" t="n"/>
      <c r="D2803" s="17" t="n"/>
      <c r="E2803" s="17" t="n"/>
      <c r="F2803" s="17" t="n"/>
      <c r="G2803" s="17" t="n"/>
      <c r="H2803" s="18">
        <f>IF(AND(B2803="",C2803="",D2803="",E2803=""),"",IF(B2803="","⚠ Falta fecha",IF(C2803="","⚠ Falta monto",IF(D2803="","⚠ Falta categoría",IF(ISNA(MATCH(D2803,catNom,0)),"⚠ Categoría no existe",IF(E2803="","⚠ Falta cuenta",IF(ISNA(MATCH(E2803,ctaNom,0)),"⚠ Cuenta no existe",IF(AND(OR(I2803="Transferencia",I2803="Pago tarjeta"),G2803=""),"⚠ Indica la cuenta «Hacia»",IF(AND(G2803&lt;&gt;"",G2803=E2803),"⚠ «Hacia» igual a la cuenta",IF(AND(G2803&lt;&gt;"",ISNA(MATCH(G2803,ctaNom,0))),"⚠ «Hacia» no existe",IF(AND(I2803="Pago tarjeta",IFERROR(INDEX(ctaTipo,MATCH(G2803,ctaNom,0)),"")&lt;&gt;"Tarjeta de crédito"),"⚠ «Hacia» debe ser la tarjeta",IF(AND(I2803="Trading",IFERROR(INDEX(ctaTipo,MATCH(E2803,ctaNom,0)),"")&lt;&gt;"Cuenta de trading"),"⚠ Usa la cuenta de trading","✓"))))))))))))</f>
        <v/>
      </c>
      <c r="I2803" s="19">
        <f>IF(OR(B2803="",C2803="",D2803=""),"",IFERROR(INDEX(catTipo,MATCH(D2803,catNom,0))&amp;"",""))</f>
        <v/>
      </c>
      <c r="J2803" s="19">
        <f>IF(I2803="","",IFERROR(INDEX(catGrupo,MATCH(D2803,catNom,0))&amp;"",""))</f>
        <v/>
      </c>
      <c r="K2803" s="19">
        <f>IF(I2803="Gasto",IF(IFERROR(INDEX(catClas,MATCH(D2803,catNom,0))&amp;"","")="","Variable",IFERROR(INDEX(catClas,MATCH(D2803,catNom,0))&amp;"","")),"")</f>
        <v/>
      </c>
      <c r="L2803" s="19">
        <f>IF(I2803="","",IFERROR(INDEX(catAlim,MATCH(D2803,catNom,0))&amp;"",""))</f>
        <v/>
      </c>
      <c r="M2803" s="19">
        <f>IF(I2803="","",IFERROR(INDEX(catComida,MATCH(D2803,catNom,0))&amp;"",""))</f>
        <v/>
      </c>
      <c r="N2803" s="19">
        <f>IF(I2803="","",IFERROR(INDEX(ctaMon,MATCH(E2803,ctaNom,0))&amp;"","DOP"))</f>
        <v/>
      </c>
      <c r="O2803" s="20">
        <f>IF(I2803="","",C2803*IF(N2803="USD",TasaUSD,1))</f>
        <v/>
      </c>
      <c r="P2803" s="20">
        <f>IF(I2803="","",IF(I2803="Gasto",O2803,0))</f>
        <v/>
      </c>
      <c r="Q2803" s="20">
        <f>IF(I2803="","",IF(I2803="Ingreso",O2803,0))</f>
        <v/>
      </c>
      <c r="R2803" s="20">
        <f>IF(I2803="","",IF(I2803="Trading",O2803,0))</f>
        <v/>
      </c>
      <c r="S2803" s="19">
        <f>IF(I2803="","",IF(AND(I2803="Gasto",K2803="Variable",J2803&lt;&gt;"Trading",O2803&gt;0,O2803&lt;=Umbral),1,0))</f>
        <v/>
      </c>
      <c r="T2803" s="20">
        <f>IF(OR(I2803="",E2803=""),"",IF(OR(I2803="Gasto",I2803="Transferencia",I2803="Pago tarjeta"),-1,1)*C2803)</f>
        <v/>
      </c>
      <c r="U2803" s="20">
        <f>IF(OR(G2803="",AND(I2803&lt;&gt;"Transferencia",I2803&lt;&gt;"Pago tarjeta")),"",IF(IFERROR(INDEX(ctaMon,MATCH(G2803,ctaNom,0))&amp;"","DOP")=N2803,C2803,IF(N2803="USD",C2803*TasaUSD,C2803/TasaUSD)))</f>
        <v/>
      </c>
      <c r="V2803" s="20">
        <f>IF(I2803="","",IF(IFERROR(INDEX(ctaLiq,MATCH(E2803,ctaNom,0))="Sí",FALSE),IF(OR(I2803="Gasto",I2803="Transferencia",I2803="Pago tarjeta"),-1,1)*O2803,0)+IF(AND(U2803&lt;&gt;"",IFERROR(INDEX(ctaLiq,MATCH(G2803,ctaNom,0))="Sí",FALSE)),O2803,0))</f>
        <v/>
      </c>
      <c r="W2803" s="19">
        <f>IF(OR(F2803="",I2803=""),"",IF(COUNTIFS(F$6:F2803,F2803,I$6:I2803,"?*")=1,MAX(W$5:W2802)+1,""))</f>
        <v/>
      </c>
    </row>
    <row r="2804">
      <c r="B2804" s="15" t="n"/>
      <c r="C2804" s="16" t="n"/>
      <c r="D2804" s="17" t="n"/>
      <c r="E2804" s="17" t="n"/>
      <c r="F2804" s="17" t="n"/>
      <c r="G2804" s="17" t="n"/>
      <c r="H2804" s="18">
        <f>IF(AND(B2804="",C2804="",D2804="",E2804=""),"",IF(B2804="","⚠ Falta fecha",IF(C2804="","⚠ Falta monto",IF(D2804="","⚠ Falta categoría",IF(ISNA(MATCH(D2804,catNom,0)),"⚠ Categoría no existe",IF(E2804="","⚠ Falta cuenta",IF(ISNA(MATCH(E2804,ctaNom,0)),"⚠ Cuenta no existe",IF(AND(OR(I2804="Transferencia",I2804="Pago tarjeta"),G2804=""),"⚠ Indica la cuenta «Hacia»",IF(AND(G2804&lt;&gt;"",G2804=E2804),"⚠ «Hacia» igual a la cuenta",IF(AND(G2804&lt;&gt;"",ISNA(MATCH(G2804,ctaNom,0))),"⚠ «Hacia» no existe",IF(AND(I2804="Pago tarjeta",IFERROR(INDEX(ctaTipo,MATCH(G2804,ctaNom,0)),"")&lt;&gt;"Tarjeta de crédito"),"⚠ «Hacia» debe ser la tarjeta",IF(AND(I2804="Trading",IFERROR(INDEX(ctaTipo,MATCH(E2804,ctaNom,0)),"")&lt;&gt;"Cuenta de trading"),"⚠ Usa la cuenta de trading","✓"))))))))))))</f>
        <v/>
      </c>
      <c r="I2804" s="19">
        <f>IF(OR(B2804="",C2804="",D2804=""),"",IFERROR(INDEX(catTipo,MATCH(D2804,catNom,0))&amp;"",""))</f>
        <v/>
      </c>
      <c r="J2804" s="19">
        <f>IF(I2804="","",IFERROR(INDEX(catGrupo,MATCH(D2804,catNom,0))&amp;"",""))</f>
        <v/>
      </c>
      <c r="K2804" s="19">
        <f>IF(I2804="Gasto",IF(IFERROR(INDEX(catClas,MATCH(D2804,catNom,0))&amp;"","")="","Variable",IFERROR(INDEX(catClas,MATCH(D2804,catNom,0))&amp;"","")),"")</f>
        <v/>
      </c>
      <c r="L2804" s="19">
        <f>IF(I2804="","",IFERROR(INDEX(catAlim,MATCH(D2804,catNom,0))&amp;"",""))</f>
        <v/>
      </c>
      <c r="M2804" s="19">
        <f>IF(I2804="","",IFERROR(INDEX(catComida,MATCH(D2804,catNom,0))&amp;"",""))</f>
        <v/>
      </c>
      <c r="N2804" s="19">
        <f>IF(I2804="","",IFERROR(INDEX(ctaMon,MATCH(E2804,ctaNom,0))&amp;"","DOP"))</f>
        <v/>
      </c>
      <c r="O2804" s="20">
        <f>IF(I2804="","",C2804*IF(N2804="USD",TasaUSD,1))</f>
        <v/>
      </c>
      <c r="P2804" s="20">
        <f>IF(I2804="","",IF(I2804="Gasto",O2804,0))</f>
        <v/>
      </c>
      <c r="Q2804" s="20">
        <f>IF(I2804="","",IF(I2804="Ingreso",O2804,0))</f>
        <v/>
      </c>
      <c r="R2804" s="20">
        <f>IF(I2804="","",IF(I2804="Trading",O2804,0))</f>
        <v/>
      </c>
      <c r="S2804" s="19">
        <f>IF(I2804="","",IF(AND(I2804="Gasto",K2804="Variable",J2804&lt;&gt;"Trading",O2804&gt;0,O2804&lt;=Umbral),1,0))</f>
        <v/>
      </c>
      <c r="T2804" s="20">
        <f>IF(OR(I2804="",E2804=""),"",IF(OR(I2804="Gasto",I2804="Transferencia",I2804="Pago tarjeta"),-1,1)*C2804)</f>
        <v/>
      </c>
      <c r="U2804" s="20">
        <f>IF(OR(G2804="",AND(I2804&lt;&gt;"Transferencia",I2804&lt;&gt;"Pago tarjeta")),"",IF(IFERROR(INDEX(ctaMon,MATCH(G2804,ctaNom,0))&amp;"","DOP")=N2804,C2804,IF(N2804="USD",C2804*TasaUSD,C2804/TasaUSD)))</f>
        <v/>
      </c>
      <c r="V2804" s="20">
        <f>IF(I2804="","",IF(IFERROR(INDEX(ctaLiq,MATCH(E2804,ctaNom,0))="Sí",FALSE),IF(OR(I2804="Gasto",I2804="Transferencia",I2804="Pago tarjeta"),-1,1)*O2804,0)+IF(AND(U2804&lt;&gt;"",IFERROR(INDEX(ctaLiq,MATCH(G2804,ctaNom,0))="Sí",FALSE)),O2804,0))</f>
        <v/>
      </c>
      <c r="W2804" s="19">
        <f>IF(OR(F2804="",I2804=""),"",IF(COUNTIFS(F$6:F2804,F2804,I$6:I2804,"?*")=1,MAX(W$5:W2803)+1,""))</f>
        <v/>
      </c>
    </row>
    <row r="2805">
      <c r="B2805" s="15" t="n"/>
      <c r="C2805" s="16" t="n"/>
      <c r="D2805" s="17" t="n"/>
      <c r="E2805" s="17" t="n"/>
      <c r="F2805" s="17" t="n"/>
      <c r="G2805" s="17" t="n"/>
      <c r="H2805" s="18">
        <f>IF(AND(B2805="",C2805="",D2805="",E2805=""),"",IF(B2805="","⚠ Falta fecha",IF(C2805="","⚠ Falta monto",IF(D2805="","⚠ Falta categoría",IF(ISNA(MATCH(D2805,catNom,0)),"⚠ Categoría no existe",IF(E2805="","⚠ Falta cuenta",IF(ISNA(MATCH(E2805,ctaNom,0)),"⚠ Cuenta no existe",IF(AND(OR(I2805="Transferencia",I2805="Pago tarjeta"),G2805=""),"⚠ Indica la cuenta «Hacia»",IF(AND(G2805&lt;&gt;"",G2805=E2805),"⚠ «Hacia» igual a la cuenta",IF(AND(G2805&lt;&gt;"",ISNA(MATCH(G2805,ctaNom,0))),"⚠ «Hacia» no existe",IF(AND(I2805="Pago tarjeta",IFERROR(INDEX(ctaTipo,MATCH(G2805,ctaNom,0)),"")&lt;&gt;"Tarjeta de crédito"),"⚠ «Hacia» debe ser la tarjeta",IF(AND(I2805="Trading",IFERROR(INDEX(ctaTipo,MATCH(E2805,ctaNom,0)),"")&lt;&gt;"Cuenta de trading"),"⚠ Usa la cuenta de trading","✓"))))))))))))</f>
        <v/>
      </c>
      <c r="I2805" s="19">
        <f>IF(OR(B2805="",C2805="",D2805=""),"",IFERROR(INDEX(catTipo,MATCH(D2805,catNom,0))&amp;"",""))</f>
        <v/>
      </c>
      <c r="J2805" s="19">
        <f>IF(I2805="","",IFERROR(INDEX(catGrupo,MATCH(D2805,catNom,0))&amp;"",""))</f>
        <v/>
      </c>
      <c r="K2805" s="19">
        <f>IF(I2805="Gasto",IF(IFERROR(INDEX(catClas,MATCH(D2805,catNom,0))&amp;"","")="","Variable",IFERROR(INDEX(catClas,MATCH(D2805,catNom,0))&amp;"","")),"")</f>
        <v/>
      </c>
      <c r="L2805" s="19">
        <f>IF(I2805="","",IFERROR(INDEX(catAlim,MATCH(D2805,catNom,0))&amp;"",""))</f>
        <v/>
      </c>
      <c r="M2805" s="19">
        <f>IF(I2805="","",IFERROR(INDEX(catComida,MATCH(D2805,catNom,0))&amp;"",""))</f>
        <v/>
      </c>
      <c r="N2805" s="19">
        <f>IF(I2805="","",IFERROR(INDEX(ctaMon,MATCH(E2805,ctaNom,0))&amp;"","DOP"))</f>
        <v/>
      </c>
      <c r="O2805" s="20">
        <f>IF(I2805="","",C2805*IF(N2805="USD",TasaUSD,1))</f>
        <v/>
      </c>
      <c r="P2805" s="20">
        <f>IF(I2805="","",IF(I2805="Gasto",O2805,0))</f>
        <v/>
      </c>
      <c r="Q2805" s="20">
        <f>IF(I2805="","",IF(I2805="Ingreso",O2805,0))</f>
        <v/>
      </c>
      <c r="R2805" s="20">
        <f>IF(I2805="","",IF(I2805="Trading",O2805,0))</f>
        <v/>
      </c>
      <c r="S2805" s="19">
        <f>IF(I2805="","",IF(AND(I2805="Gasto",K2805="Variable",J2805&lt;&gt;"Trading",O2805&gt;0,O2805&lt;=Umbral),1,0))</f>
        <v/>
      </c>
      <c r="T2805" s="20">
        <f>IF(OR(I2805="",E2805=""),"",IF(OR(I2805="Gasto",I2805="Transferencia",I2805="Pago tarjeta"),-1,1)*C2805)</f>
        <v/>
      </c>
      <c r="U2805" s="20">
        <f>IF(OR(G2805="",AND(I2805&lt;&gt;"Transferencia",I2805&lt;&gt;"Pago tarjeta")),"",IF(IFERROR(INDEX(ctaMon,MATCH(G2805,ctaNom,0))&amp;"","DOP")=N2805,C2805,IF(N2805="USD",C2805*TasaUSD,C2805/TasaUSD)))</f>
        <v/>
      </c>
      <c r="V2805" s="20">
        <f>IF(I2805="","",IF(IFERROR(INDEX(ctaLiq,MATCH(E2805,ctaNom,0))="Sí",FALSE),IF(OR(I2805="Gasto",I2805="Transferencia",I2805="Pago tarjeta"),-1,1)*O2805,0)+IF(AND(U2805&lt;&gt;"",IFERROR(INDEX(ctaLiq,MATCH(G2805,ctaNom,0))="Sí",FALSE)),O2805,0))</f>
        <v/>
      </c>
      <c r="W2805" s="19">
        <f>IF(OR(F2805="",I2805=""),"",IF(COUNTIFS(F$6:F2805,F2805,I$6:I2805,"?*")=1,MAX(W$5:W2804)+1,""))</f>
        <v/>
      </c>
    </row>
    <row r="2806">
      <c r="B2806" s="15" t="n"/>
      <c r="C2806" s="16" t="n"/>
      <c r="D2806" s="17" t="n"/>
      <c r="E2806" s="17" t="n"/>
      <c r="F2806" s="17" t="n"/>
      <c r="G2806" s="17" t="n"/>
      <c r="H2806" s="18">
        <f>IF(AND(B2806="",C2806="",D2806="",E2806=""),"",IF(B2806="","⚠ Falta fecha",IF(C2806="","⚠ Falta monto",IF(D2806="","⚠ Falta categoría",IF(ISNA(MATCH(D2806,catNom,0)),"⚠ Categoría no existe",IF(E2806="","⚠ Falta cuenta",IF(ISNA(MATCH(E2806,ctaNom,0)),"⚠ Cuenta no existe",IF(AND(OR(I2806="Transferencia",I2806="Pago tarjeta"),G2806=""),"⚠ Indica la cuenta «Hacia»",IF(AND(G2806&lt;&gt;"",G2806=E2806),"⚠ «Hacia» igual a la cuenta",IF(AND(G2806&lt;&gt;"",ISNA(MATCH(G2806,ctaNom,0))),"⚠ «Hacia» no existe",IF(AND(I2806="Pago tarjeta",IFERROR(INDEX(ctaTipo,MATCH(G2806,ctaNom,0)),"")&lt;&gt;"Tarjeta de crédito"),"⚠ «Hacia» debe ser la tarjeta",IF(AND(I2806="Trading",IFERROR(INDEX(ctaTipo,MATCH(E2806,ctaNom,0)),"")&lt;&gt;"Cuenta de trading"),"⚠ Usa la cuenta de trading","✓"))))))))))))</f>
        <v/>
      </c>
      <c r="I2806" s="19">
        <f>IF(OR(B2806="",C2806="",D2806=""),"",IFERROR(INDEX(catTipo,MATCH(D2806,catNom,0))&amp;"",""))</f>
        <v/>
      </c>
      <c r="J2806" s="19">
        <f>IF(I2806="","",IFERROR(INDEX(catGrupo,MATCH(D2806,catNom,0))&amp;"",""))</f>
        <v/>
      </c>
      <c r="K2806" s="19">
        <f>IF(I2806="Gasto",IF(IFERROR(INDEX(catClas,MATCH(D2806,catNom,0))&amp;"","")="","Variable",IFERROR(INDEX(catClas,MATCH(D2806,catNom,0))&amp;"","")),"")</f>
        <v/>
      </c>
      <c r="L2806" s="19">
        <f>IF(I2806="","",IFERROR(INDEX(catAlim,MATCH(D2806,catNom,0))&amp;"",""))</f>
        <v/>
      </c>
      <c r="M2806" s="19">
        <f>IF(I2806="","",IFERROR(INDEX(catComida,MATCH(D2806,catNom,0))&amp;"",""))</f>
        <v/>
      </c>
      <c r="N2806" s="19">
        <f>IF(I2806="","",IFERROR(INDEX(ctaMon,MATCH(E2806,ctaNom,0))&amp;"","DOP"))</f>
        <v/>
      </c>
      <c r="O2806" s="20">
        <f>IF(I2806="","",C2806*IF(N2806="USD",TasaUSD,1))</f>
        <v/>
      </c>
      <c r="P2806" s="20">
        <f>IF(I2806="","",IF(I2806="Gasto",O2806,0))</f>
        <v/>
      </c>
      <c r="Q2806" s="20">
        <f>IF(I2806="","",IF(I2806="Ingreso",O2806,0))</f>
        <v/>
      </c>
      <c r="R2806" s="20">
        <f>IF(I2806="","",IF(I2806="Trading",O2806,0))</f>
        <v/>
      </c>
      <c r="S2806" s="19">
        <f>IF(I2806="","",IF(AND(I2806="Gasto",K2806="Variable",J2806&lt;&gt;"Trading",O2806&gt;0,O2806&lt;=Umbral),1,0))</f>
        <v/>
      </c>
      <c r="T2806" s="20">
        <f>IF(OR(I2806="",E2806=""),"",IF(OR(I2806="Gasto",I2806="Transferencia",I2806="Pago tarjeta"),-1,1)*C2806)</f>
        <v/>
      </c>
      <c r="U2806" s="20">
        <f>IF(OR(G2806="",AND(I2806&lt;&gt;"Transferencia",I2806&lt;&gt;"Pago tarjeta")),"",IF(IFERROR(INDEX(ctaMon,MATCH(G2806,ctaNom,0))&amp;"","DOP")=N2806,C2806,IF(N2806="USD",C2806*TasaUSD,C2806/TasaUSD)))</f>
        <v/>
      </c>
      <c r="V2806" s="20">
        <f>IF(I2806="","",IF(IFERROR(INDEX(ctaLiq,MATCH(E2806,ctaNom,0))="Sí",FALSE),IF(OR(I2806="Gasto",I2806="Transferencia",I2806="Pago tarjeta"),-1,1)*O2806,0)+IF(AND(U2806&lt;&gt;"",IFERROR(INDEX(ctaLiq,MATCH(G2806,ctaNom,0))="Sí",FALSE)),O2806,0))</f>
        <v/>
      </c>
      <c r="W2806" s="19">
        <f>IF(OR(F2806="",I2806=""),"",IF(COUNTIFS(F$6:F2806,F2806,I$6:I2806,"?*")=1,MAX(W$5:W2805)+1,""))</f>
        <v/>
      </c>
    </row>
    <row r="2807">
      <c r="B2807" s="15" t="n"/>
      <c r="C2807" s="16" t="n"/>
      <c r="D2807" s="17" t="n"/>
      <c r="E2807" s="17" t="n"/>
      <c r="F2807" s="17" t="n"/>
      <c r="G2807" s="17" t="n"/>
      <c r="H2807" s="18">
        <f>IF(AND(B2807="",C2807="",D2807="",E2807=""),"",IF(B2807="","⚠ Falta fecha",IF(C2807="","⚠ Falta monto",IF(D2807="","⚠ Falta categoría",IF(ISNA(MATCH(D2807,catNom,0)),"⚠ Categoría no existe",IF(E2807="","⚠ Falta cuenta",IF(ISNA(MATCH(E2807,ctaNom,0)),"⚠ Cuenta no existe",IF(AND(OR(I2807="Transferencia",I2807="Pago tarjeta"),G2807=""),"⚠ Indica la cuenta «Hacia»",IF(AND(G2807&lt;&gt;"",G2807=E2807),"⚠ «Hacia» igual a la cuenta",IF(AND(G2807&lt;&gt;"",ISNA(MATCH(G2807,ctaNom,0))),"⚠ «Hacia» no existe",IF(AND(I2807="Pago tarjeta",IFERROR(INDEX(ctaTipo,MATCH(G2807,ctaNom,0)),"")&lt;&gt;"Tarjeta de crédito"),"⚠ «Hacia» debe ser la tarjeta",IF(AND(I2807="Trading",IFERROR(INDEX(ctaTipo,MATCH(E2807,ctaNom,0)),"")&lt;&gt;"Cuenta de trading"),"⚠ Usa la cuenta de trading","✓"))))))))))))</f>
        <v/>
      </c>
      <c r="I2807" s="19">
        <f>IF(OR(B2807="",C2807="",D2807=""),"",IFERROR(INDEX(catTipo,MATCH(D2807,catNom,0))&amp;"",""))</f>
        <v/>
      </c>
      <c r="J2807" s="19">
        <f>IF(I2807="","",IFERROR(INDEX(catGrupo,MATCH(D2807,catNom,0))&amp;"",""))</f>
        <v/>
      </c>
      <c r="K2807" s="19">
        <f>IF(I2807="Gasto",IF(IFERROR(INDEX(catClas,MATCH(D2807,catNom,0))&amp;"","")="","Variable",IFERROR(INDEX(catClas,MATCH(D2807,catNom,0))&amp;"","")),"")</f>
        <v/>
      </c>
      <c r="L2807" s="19">
        <f>IF(I2807="","",IFERROR(INDEX(catAlim,MATCH(D2807,catNom,0))&amp;"",""))</f>
        <v/>
      </c>
      <c r="M2807" s="19">
        <f>IF(I2807="","",IFERROR(INDEX(catComida,MATCH(D2807,catNom,0))&amp;"",""))</f>
        <v/>
      </c>
      <c r="N2807" s="19">
        <f>IF(I2807="","",IFERROR(INDEX(ctaMon,MATCH(E2807,ctaNom,0))&amp;"","DOP"))</f>
        <v/>
      </c>
      <c r="O2807" s="20">
        <f>IF(I2807="","",C2807*IF(N2807="USD",TasaUSD,1))</f>
        <v/>
      </c>
      <c r="P2807" s="20">
        <f>IF(I2807="","",IF(I2807="Gasto",O2807,0))</f>
        <v/>
      </c>
      <c r="Q2807" s="20">
        <f>IF(I2807="","",IF(I2807="Ingreso",O2807,0))</f>
        <v/>
      </c>
      <c r="R2807" s="20">
        <f>IF(I2807="","",IF(I2807="Trading",O2807,0))</f>
        <v/>
      </c>
      <c r="S2807" s="19">
        <f>IF(I2807="","",IF(AND(I2807="Gasto",K2807="Variable",J2807&lt;&gt;"Trading",O2807&gt;0,O2807&lt;=Umbral),1,0))</f>
        <v/>
      </c>
      <c r="T2807" s="20">
        <f>IF(OR(I2807="",E2807=""),"",IF(OR(I2807="Gasto",I2807="Transferencia",I2807="Pago tarjeta"),-1,1)*C2807)</f>
        <v/>
      </c>
      <c r="U2807" s="20">
        <f>IF(OR(G2807="",AND(I2807&lt;&gt;"Transferencia",I2807&lt;&gt;"Pago tarjeta")),"",IF(IFERROR(INDEX(ctaMon,MATCH(G2807,ctaNom,0))&amp;"","DOP")=N2807,C2807,IF(N2807="USD",C2807*TasaUSD,C2807/TasaUSD)))</f>
        <v/>
      </c>
      <c r="V2807" s="20">
        <f>IF(I2807="","",IF(IFERROR(INDEX(ctaLiq,MATCH(E2807,ctaNom,0))="Sí",FALSE),IF(OR(I2807="Gasto",I2807="Transferencia",I2807="Pago tarjeta"),-1,1)*O2807,0)+IF(AND(U2807&lt;&gt;"",IFERROR(INDEX(ctaLiq,MATCH(G2807,ctaNom,0))="Sí",FALSE)),O2807,0))</f>
        <v/>
      </c>
      <c r="W2807" s="19">
        <f>IF(OR(F2807="",I2807=""),"",IF(COUNTIFS(F$6:F2807,F2807,I$6:I2807,"?*")=1,MAX(W$5:W2806)+1,""))</f>
        <v/>
      </c>
    </row>
    <row r="2808">
      <c r="B2808" s="15" t="n"/>
      <c r="C2808" s="16" t="n"/>
      <c r="D2808" s="17" t="n"/>
      <c r="E2808" s="17" t="n"/>
      <c r="F2808" s="17" t="n"/>
      <c r="G2808" s="17" t="n"/>
      <c r="H2808" s="18">
        <f>IF(AND(B2808="",C2808="",D2808="",E2808=""),"",IF(B2808="","⚠ Falta fecha",IF(C2808="","⚠ Falta monto",IF(D2808="","⚠ Falta categoría",IF(ISNA(MATCH(D2808,catNom,0)),"⚠ Categoría no existe",IF(E2808="","⚠ Falta cuenta",IF(ISNA(MATCH(E2808,ctaNom,0)),"⚠ Cuenta no existe",IF(AND(OR(I2808="Transferencia",I2808="Pago tarjeta"),G2808=""),"⚠ Indica la cuenta «Hacia»",IF(AND(G2808&lt;&gt;"",G2808=E2808),"⚠ «Hacia» igual a la cuenta",IF(AND(G2808&lt;&gt;"",ISNA(MATCH(G2808,ctaNom,0))),"⚠ «Hacia» no existe",IF(AND(I2808="Pago tarjeta",IFERROR(INDEX(ctaTipo,MATCH(G2808,ctaNom,0)),"")&lt;&gt;"Tarjeta de crédito"),"⚠ «Hacia» debe ser la tarjeta",IF(AND(I2808="Trading",IFERROR(INDEX(ctaTipo,MATCH(E2808,ctaNom,0)),"")&lt;&gt;"Cuenta de trading"),"⚠ Usa la cuenta de trading","✓"))))))))))))</f>
        <v/>
      </c>
      <c r="I2808" s="19">
        <f>IF(OR(B2808="",C2808="",D2808=""),"",IFERROR(INDEX(catTipo,MATCH(D2808,catNom,0))&amp;"",""))</f>
        <v/>
      </c>
      <c r="J2808" s="19">
        <f>IF(I2808="","",IFERROR(INDEX(catGrupo,MATCH(D2808,catNom,0))&amp;"",""))</f>
        <v/>
      </c>
      <c r="K2808" s="19">
        <f>IF(I2808="Gasto",IF(IFERROR(INDEX(catClas,MATCH(D2808,catNom,0))&amp;"","")="","Variable",IFERROR(INDEX(catClas,MATCH(D2808,catNom,0))&amp;"","")),"")</f>
        <v/>
      </c>
      <c r="L2808" s="19">
        <f>IF(I2808="","",IFERROR(INDEX(catAlim,MATCH(D2808,catNom,0))&amp;"",""))</f>
        <v/>
      </c>
      <c r="M2808" s="19">
        <f>IF(I2808="","",IFERROR(INDEX(catComida,MATCH(D2808,catNom,0))&amp;"",""))</f>
        <v/>
      </c>
      <c r="N2808" s="19">
        <f>IF(I2808="","",IFERROR(INDEX(ctaMon,MATCH(E2808,ctaNom,0))&amp;"","DOP"))</f>
        <v/>
      </c>
      <c r="O2808" s="20">
        <f>IF(I2808="","",C2808*IF(N2808="USD",TasaUSD,1))</f>
        <v/>
      </c>
      <c r="P2808" s="20">
        <f>IF(I2808="","",IF(I2808="Gasto",O2808,0))</f>
        <v/>
      </c>
      <c r="Q2808" s="20">
        <f>IF(I2808="","",IF(I2808="Ingreso",O2808,0))</f>
        <v/>
      </c>
      <c r="R2808" s="20">
        <f>IF(I2808="","",IF(I2808="Trading",O2808,0))</f>
        <v/>
      </c>
      <c r="S2808" s="19">
        <f>IF(I2808="","",IF(AND(I2808="Gasto",K2808="Variable",J2808&lt;&gt;"Trading",O2808&gt;0,O2808&lt;=Umbral),1,0))</f>
        <v/>
      </c>
      <c r="T2808" s="20">
        <f>IF(OR(I2808="",E2808=""),"",IF(OR(I2808="Gasto",I2808="Transferencia",I2808="Pago tarjeta"),-1,1)*C2808)</f>
        <v/>
      </c>
      <c r="U2808" s="20">
        <f>IF(OR(G2808="",AND(I2808&lt;&gt;"Transferencia",I2808&lt;&gt;"Pago tarjeta")),"",IF(IFERROR(INDEX(ctaMon,MATCH(G2808,ctaNom,0))&amp;"","DOP")=N2808,C2808,IF(N2808="USD",C2808*TasaUSD,C2808/TasaUSD)))</f>
        <v/>
      </c>
      <c r="V2808" s="20">
        <f>IF(I2808="","",IF(IFERROR(INDEX(ctaLiq,MATCH(E2808,ctaNom,0))="Sí",FALSE),IF(OR(I2808="Gasto",I2808="Transferencia",I2808="Pago tarjeta"),-1,1)*O2808,0)+IF(AND(U2808&lt;&gt;"",IFERROR(INDEX(ctaLiq,MATCH(G2808,ctaNom,0))="Sí",FALSE)),O2808,0))</f>
        <v/>
      </c>
      <c r="W2808" s="19">
        <f>IF(OR(F2808="",I2808=""),"",IF(COUNTIFS(F$6:F2808,F2808,I$6:I2808,"?*")=1,MAX(W$5:W2807)+1,""))</f>
        <v/>
      </c>
    </row>
    <row r="2809">
      <c r="B2809" s="15" t="n"/>
      <c r="C2809" s="16" t="n"/>
      <c r="D2809" s="17" t="n"/>
      <c r="E2809" s="17" t="n"/>
      <c r="F2809" s="17" t="n"/>
      <c r="G2809" s="17" t="n"/>
      <c r="H2809" s="18">
        <f>IF(AND(B2809="",C2809="",D2809="",E2809=""),"",IF(B2809="","⚠ Falta fecha",IF(C2809="","⚠ Falta monto",IF(D2809="","⚠ Falta categoría",IF(ISNA(MATCH(D2809,catNom,0)),"⚠ Categoría no existe",IF(E2809="","⚠ Falta cuenta",IF(ISNA(MATCH(E2809,ctaNom,0)),"⚠ Cuenta no existe",IF(AND(OR(I2809="Transferencia",I2809="Pago tarjeta"),G2809=""),"⚠ Indica la cuenta «Hacia»",IF(AND(G2809&lt;&gt;"",G2809=E2809),"⚠ «Hacia» igual a la cuenta",IF(AND(G2809&lt;&gt;"",ISNA(MATCH(G2809,ctaNom,0))),"⚠ «Hacia» no existe",IF(AND(I2809="Pago tarjeta",IFERROR(INDEX(ctaTipo,MATCH(G2809,ctaNom,0)),"")&lt;&gt;"Tarjeta de crédito"),"⚠ «Hacia» debe ser la tarjeta",IF(AND(I2809="Trading",IFERROR(INDEX(ctaTipo,MATCH(E2809,ctaNom,0)),"")&lt;&gt;"Cuenta de trading"),"⚠ Usa la cuenta de trading","✓"))))))))))))</f>
        <v/>
      </c>
      <c r="I2809" s="19">
        <f>IF(OR(B2809="",C2809="",D2809=""),"",IFERROR(INDEX(catTipo,MATCH(D2809,catNom,0))&amp;"",""))</f>
        <v/>
      </c>
      <c r="J2809" s="19">
        <f>IF(I2809="","",IFERROR(INDEX(catGrupo,MATCH(D2809,catNom,0))&amp;"",""))</f>
        <v/>
      </c>
      <c r="K2809" s="19">
        <f>IF(I2809="Gasto",IF(IFERROR(INDEX(catClas,MATCH(D2809,catNom,0))&amp;"","")="","Variable",IFERROR(INDEX(catClas,MATCH(D2809,catNom,0))&amp;"","")),"")</f>
        <v/>
      </c>
      <c r="L2809" s="19">
        <f>IF(I2809="","",IFERROR(INDEX(catAlim,MATCH(D2809,catNom,0))&amp;"",""))</f>
        <v/>
      </c>
      <c r="M2809" s="19">
        <f>IF(I2809="","",IFERROR(INDEX(catComida,MATCH(D2809,catNom,0))&amp;"",""))</f>
        <v/>
      </c>
      <c r="N2809" s="19">
        <f>IF(I2809="","",IFERROR(INDEX(ctaMon,MATCH(E2809,ctaNom,0))&amp;"","DOP"))</f>
        <v/>
      </c>
      <c r="O2809" s="20">
        <f>IF(I2809="","",C2809*IF(N2809="USD",TasaUSD,1))</f>
        <v/>
      </c>
      <c r="P2809" s="20">
        <f>IF(I2809="","",IF(I2809="Gasto",O2809,0))</f>
        <v/>
      </c>
      <c r="Q2809" s="20">
        <f>IF(I2809="","",IF(I2809="Ingreso",O2809,0))</f>
        <v/>
      </c>
      <c r="R2809" s="20">
        <f>IF(I2809="","",IF(I2809="Trading",O2809,0))</f>
        <v/>
      </c>
      <c r="S2809" s="19">
        <f>IF(I2809="","",IF(AND(I2809="Gasto",K2809="Variable",J2809&lt;&gt;"Trading",O2809&gt;0,O2809&lt;=Umbral),1,0))</f>
        <v/>
      </c>
      <c r="T2809" s="20">
        <f>IF(OR(I2809="",E2809=""),"",IF(OR(I2809="Gasto",I2809="Transferencia",I2809="Pago tarjeta"),-1,1)*C2809)</f>
        <v/>
      </c>
      <c r="U2809" s="20">
        <f>IF(OR(G2809="",AND(I2809&lt;&gt;"Transferencia",I2809&lt;&gt;"Pago tarjeta")),"",IF(IFERROR(INDEX(ctaMon,MATCH(G2809,ctaNom,0))&amp;"","DOP")=N2809,C2809,IF(N2809="USD",C2809*TasaUSD,C2809/TasaUSD)))</f>
        <v/>
      </c>
      <c r="V2809" s="20">
        <f>IF(I2809="","",IF(IFERROR(INDEX(ctaLiq,MATCH(E2809,ctaNom,0))="Sí",FALSE),IF(OR(I2809="Gasto",I2809="Transferencia",I2809="Pago tarjeta"),-1,1)*O2809,0)+IF(AND(U2809&lt;&gt;"",IFERROR(INDEX(ctaLiq,MATCH(G2809,ctaNom,0))="Sí",FALSE)),O2809,0))</f>
        <v/>
      </c>
      <c r="W2809" s="19">
        <f>IF(OR(F2809="",I2809=""),"",IF(COUNTIFS(F$6:F2809,F2809,I$6:I2809,"?*")=1,MAX(W$5:W2808)+1,""))</f>
        <v/>
      </c>
    </row>
    <row r="2810">
      <c r="B2810" s="15" t="n"/>
      <c r="C2810" s="16" t="n"/>
      <c r="D2810" s="17" t="n"/>
      <c r="E2810" s="17" t="n"/>
      <c r="F2810" s="17" t="n"/>
      <c r="G2810" s="17" t="n"/>
      <c r="H2810" s="18">
        <f>IF(AND(B2810="",C2810="",D2810="",E2810=""),"",IF(B2810="","⚠ Falta fecha",IF(C2810="","⚠ Falta monto",IF(D2810="","⚠ Falta categoría",IF(ISNA(MATCH(D2810,catNom,0)),"⚠ Categoría no existe",IF(E2810="","⚠ Falta cuenta",IF(ISNA(MATCH(E2810,ctaNom,0)),"⚠ Cuenta no existe",IF(AND(OR(I2810="Transferencia",I2810="Pago tarjeta"),G2810=""),"⚠ Indica la cuenta «Hacia»",IF(AND(G2810&lt;&gt;"",G2810=E2810),"⚠ «Hacia» igual a la cuenta",IF(AND(G2810&lt;&gt;"",ISNA(MATCH(G2810,ctaNom,0))),"⚠ «Hacia» no existe",IF(AND(I2810="Pago tarjeta",IFERROR(INDEX(ctaTipo,MATCH(G2810,ctaNom,0)),"")&lt;&gt;"Tarjeta de crédito"),"⚠ «Hacia» debe ser la tarjeta",IF(AND(I2810="Trading",IFERROR(INDEX(ctaTipo,MATCH(E2810,ctaNom,0)),"")&lt;&gt;"Cuenta de trading"),"⚠ Usa la cuenta de trading","✓"))))))))))))</f>
        <v/>
      </c>
      <c r="I2810" s="19">
        <f>IF(OR(B2810="",C2810="",D2810=""),"",IFERROR(INDEX(catTipo,MATCH(D2810,catNom,0))&amp;"",""))</f>
        <v/>
      </c>
      <c r="J2810" s="19">
        <f>IF(I2810="","",IFERROR(INDEX(catGrupo,MATCH(D2810,catNom,0))&amp;"",""))</f>
        <v/>
      </c>
      <c r="K2810" s="19">
        <f>IF(I2810="Gasto",IF(IFERROR(INDEX(catClas,MATCH(D2810,catNom,0))&amp;"","")="","Variable",IFERROR(INDEX(catClas,MATCH(D2810,catNom,0))&amp;"","")),"")</f>
        <v/>
      </c>
      <c r="L2810" s="19">
        <f>IF(I2810="","",IFERROR(INDEX(catAlim,MATCH(D2810,catNom,0))&amp;"",""))</f>
        <v/>
      </c>
      <c r="M2810" s="19">
        <f>IF(I2810="","",IFERROR(INDEX(catComida,MATCH(D2810,catNom,0))&amp;"",""))</f>
        <v/>
      </c>
      <c r="N2810" s="19">
        <f>IF(I2810="","",IFERROR(INDEX(ctaMon,MATCH(E2810,ctaNom,0))&amp;"","DOP"))</f>
        <v/>
      </c>
      <c r="O2810" s="20">
        <f>IF(I2810="","",C2810*IF(N2810="USD",TasaUSD,1))</f>
        <v/>
      </c>
      <c r="P2810" s="20">
        <f>IF(I2810="","",IF(I2810="Gasto",O2810,0))</f>
        <v/>
      </c>
      <c r="Q2810" s="20">
        <f>IF(I2810="","",IF(I2810="Ingreso",O2810,0))</f>
        <v/>
      </c>
      <c r="R2810" s="20">
        <f>IF(I2810="","",IF(I2810="Trading",O2810,0))</f>
        <v/>
      </c>
      <c r="S2810" s="19">
        <f>IF(I2810="","",IF(AND(I2810="Gasto",K2810="Variable",J2810&lt;&gt;"Trading",O2810&gt;0,O2810&lt;=Umbral),1,0))</f>
        <v/>
      </c>
      <c r="T2810" s="20">
        <f>IF(OR(I2810="",E2810=""),"",IF(OR(I2810="Gasto",I2810="Transferencia",I2810="Pago tarjeta"),-1,1)*C2810)</f>
        <v/>
      </c>
      <c r="U2810" s="20">
        <f>IF(OR(G2810="",AND(I2810&lt;&gt;"Transferencia",I2810&lt;&gt;"Pago tarjeta")),"",IF(IFERROR(INDEX(ctaMon,MATCH(G2810,ctaNom,0))&amp;"","DOP")=N2810,C2810,IF(N2810="USD",C2810*TasaUSD,C2810/TasaUSD)))</f>
        <v/>
      </c>
      <c r="V2810" s="20">
        <f>IF(I2810="","",IF(IFERROR(INDEX(ctaLiq,MATCH(E2810,ctaNom,0))="Sí",FALSE),IF(OR(I2810="Gasto",I2810="Transferencia",I2810="Pago tarjeta"),-1,1)*O2810,0)+IF(AND(U2810&lt;&gt;"",IFERROR(INDEX(ctaLiq,MATCH(G2810,ctaNom,0))="Sí",FALSE)),O2810,0))</f>
        <v/>
      </c>
      <c r="W2810" s="19">
        <f>IF(OR(F2810="",I2810=""),"",IF(COUNTIFS(F$6:F2810,F2810,I$6:I2810,"?*")=1,MAX(W$5:W2809)+1,""))</f>
        <v/>
      </c>
    </row>
    <row r="2811">
      <c r="B2811" s="15" t="n"/>
      <c r="C2811" s="16" t="n"/>
      <c r="D2811" s="17" t="n"/>
      <c r="E2811" s="17" t="n"/>
      <c r="F2811" s="17" t="n"/>
      <c r="G2811" s="17" t="n"/>
      <c r="H2811" s="18">
        <f>IF(AND(B2811="",C2811="",D2811="",E2811=""),"",IF(B2811="","⚠ Falta fecha",IF(C2811="","⚠ Falta monto",IF(D2811="","⚠ Falta categoría",IF(ISNA(MATCH(D2811,catNom,0)),"⚠ Categoría no existe",IF(E2811="","⚠ Falta cuenta",IF(ISNA(MATCH(E2811,ctaNom,0)),"⚠ Cuenta no existe",IF(AND(OR(I2811="Transferencia",I2811="Pago tarjeta"),G2811=""),"⚠ Indica la cuenta «Hacia»",IF(AND(G2811&lt;&gt;"",G2811=E2811),"⚠ «Hacia» igual a la cuenta",IF(AND(G2811&lt;&gt;"",ISNA(MATCH(G2811,ctaNom,0))),"⚠ «Hacia» no existe",IF(AND(I2811="Pago tarjeta",IFERROR(INDEX(ctaTipo,MATCH(G2811,ctaNom,0)),"")&lt;&gt;"Tarjeta de crédito"),"⚠ «Hacia» debe ser la tarjeta",IF(AND(I2811="Trading",IFERROR(INDEX(ctaTipo,MATCH(E2811,ctaNom,0)),"")&lt;&gt;"Cuenta de trading"),"⚠ Usa la cuenta de trading","✓"))))))))))))</f>
        <v/>
      </c>
      <c r="I2811" s="19">
        <f>IF(OR(B2811="",C2811="",D2811=""),"",IFERROR(INDEX(catTipo,MATCH(D2811,catNom,0))&amp;"",""))</f>
        <v/>
      </c>
      <c r="J2811" s="19">
        <f>IF(I2811="","",IFERROR(INDEX(catGrupo,MATCH(D2811,catNom,0))&amp;"",""))</f>
        <v/>
      </c>
      <c r="K2811" s="19">
        <f>IF(I2811="Gasto",IF(IFERROR(INDEX(catClas,MATCH(D2811,catNom,0))&amp;"","")="","Variable",IFERROR(INDEX(catClas,MATCH(D2811,catNom,0))&amp;"","")),"")</f>
        <v/>
      </c>
      <c r="L2811" s="19">
        <f>IF(I2811="","",IFERROR(INDEX(catAlim,MATCH(D2811,catNom,0))&amp;"",""))</f>
        <v/>
      </c>
      <c r="M2811" s="19">
        <f>IF(I2811="","",IFERROR(INDEX(catComida,MATCH(D2811,catNom,0))&amp;"",""))</f>
        <v/>
      </c>
      <c r="N2811" s="19">
        <f>IF(I2811="","",IFERROR(INDEX(ctaMon,MATCH(E2811,ctaNom,0))&amp;"","DOP"))</f>
        <v/>
      </c>
      <c r="O2811" s="20">
        <f>IF(I2811="","",C2811*IF(N2811="USD",TasaUSD,1))</f>
        <v/>
      </c>
      <c r="P2811" s="20">
        <f>IF(I2811="","",IF(I2811="Gasto",O2811,0))</f>
        <v/>
      </c>
      <c r="Q2811" s="20">
        <f>IF(I2811="","",IF(I2811="Ingreso",O2811,0))</f>
        <v/>
      </c>
      <c r="R2811" s="20">
        <f>IF(I2811="","",IF(I2811="Trading",O2811,0))</f>
        <v/>
      </c>
      <c r="S2811" s="19">
        <f>IF(I2811="","",IF(AND(I2811="Gasto",K2811="Variable",J2811&lt;&gt;"Trading",O2811&gt;0,O2811&lt;=Umbral),1,0))</f>
        <v/>
      </c>
      <c r="T2811" s="20">
        <f>IF(OR(I2811="",E2811=""),"",IF(OR(I2811="Gasto",I2811="Transferencia",I2811="Pago tarjeta"),-1,1)*C2811)</f>
        <v/>
      </c>
      <c r="U2811" s="20">
        <f>IF(OR(G2811="",AND(I2811&lt;&gt;"Transferencia",I2811&lt;&gt;"Pago tarjeta")),"",IF(IFERROR(INDEX(ctaMon,MATCH(G2811,ctaNom,0))&amp;"","DOP")=N2811,C2811,IF(N2811="USD",C2811*TasaUSD,C2811/TasaUSD)))</f>
        <v/>
      </c>
      <c r="V2811" s="20">
        <f>IF(I2811="","",IF(IFERROR(INDEX(ctaLiq,MATCH(E2811,ctaNom,0))="Sí",FALSE),IF(OR(I2811="Gasto",I2811="Transferencia",I2811="Pago tarjeta"),-1,1)*O2811,0)+IF(AND(U2811&lt;&gt;"",IFERROR(INDEX(ctaLiq,MATCH(G2811,ctaNom,0))="Sí",FALSE)),O2811,0))</f>
        <v/>
      </c>
      <c r="W2811" s="19">
        <f>IF(OR(F2811="",I2811=""),"",IF(COUNTIFS(F$6:F2811,F2811,I$6:I2811,"?*")=1,MAX(W$5:W2810)+1,""))</f>
        <v/>
      </c>
    </row>
    <row r="2812">
      <c r="B2812" s="15" t="n"/>
      <c r="C2812" s="16" t="n"/>
      <c r="D2812" s="17" t="n"/>
      <c r="E2812" s="17" t="n"/>
      <c r="F2812" s="17" t="n"/>
      <c r="G2812" s="17" t="n"/>
      <c r="H2812" s="18">
        <f>IF(AND(B2812="",C2812="",D2812="",E2812=""),"",IF(B2812="","⚠ Falta fecha",IF(C2812="","⚠ Falta monto",IF(D2812="","⚠ Falta categoría",IF(ISNA(MATCH(D2812,catNom,0)),"⚠ Categoría no existe",IF(E2812="","⚠ Falta cuenta",IF(ISNA(MATCH(E2812,ctaNom,0)),"⚠ Cuenta no existe",IF(AND(OR(I2812="Transferencia",I2812="Pago tarjeta"),G2812=""),"⚠ Indica la cuenta «Hacia»",IF(AND(G2812&lt;&gt;"",G2812=E2812),"⚠ «Hacia» igual a la cuenta",IF(AND(G2812&lt;&gt;"",ISNA(MATCH(G2812,ctaNom,0))),"⚠ «Hacia» no existe",IF(AND(I2812="Pago tarjeta",IFERROR(INDEX(ctaTipo,MATCH(G2812,ctaNom,0)),"")&lt;&gt;"Tarjeta de crédito"),"⚠ «Hacia» debe ser la tarjeta",IF(AND(I2812="Trading",IFERROR(INDEX(ctaTipo,MATCH(E2812,ctaNom,0)),"")&lt;&gt;"Cuenta de trading"),"⚠ Usa la cuenta de trading","✓"))))))))))))</f>
        <v/>
      </c>
      <c r="I2812" s="19">
        <f>IF(OR(B2812="",C2812="",D2812=""),"",IFERROR(INDEX(catTipo,MATCH(D2812,catNom,0))&amp;"",""))</f>
        <v/>
      </c>
      <c r="J2812" s="19">
        <f>IF(I2812="","",IFERROR(INDEX(catGrupo,MATCH(D2812,catNom,0))&amp;"",""))</f>
        <v/>
      </c>
      <c r="K2812" s="19">
        <f>IF(I2812="Gasto",IF(IFERROR(INDEX(catClas,MATCH(D2812,catNom,0))&amp;"","")="","Variable",IFERROR(INDEX(catClas,MATCH(D2812,catNom,0))&amp;"","")),"")</f>
        <v/>
      </c>
      <c r="L2812" s="19">
        <f>IF(I2812="","",IFERROR(INDEX(catAlim,MATCH(D2812,catNom,0))&amp;"",""))</f>
        <v/>
      </c>
      <c r="M2812" s="19">
        <f>IF(I2812="","",IFERROR(INDEX(catComida,MATCH(D2812,catNom,0))&amp;"",""))</f>
        <v/>
      </c>
      <c r="N2812" s="19">
        <f>IF(I2812="","",IFERROR(INDEX(ctaMon,MATCH(E2812,ctaNom,0))&amp;"","DOP"))</f>
        <v/>
      </c>
      <c r="O2812" s="20">
        <f>IF(I2812="","",C2812*IF(N2812="USD",TasaUSD,1))</f>
        <v/>
      </c>
      <c r="P2812" s="20">
        <f>IF(I2812="","",IF(I2812="Gasto",O2812,0))</f>
        <v/>
      </c>
      <c r="Q2812" s="20">
        <f>IF(I2812="","",IF(I2812="Ingreso",O2812,0))</f>
        <v/>
      </c>
      <c r="R2812" s="20">
        <f>IF(I2812="","",IF(I2812="Trading",O2812,0))</f>
        <v/>
      </c>
      <c r="S2812" s="19">
        <f>IF(I2812="","",IF(AND(I2812="Gasto",K2812="Variable",J2812&lt;&gt;"Trading",O2812&gt;0,O2812&lt;=Umbral),1,0))</f>
        <v/>
      </c>
      <c r="T2812" s="20">
        <f>IF(OR(I2812="",E2812=""),"",IF(OR(I2812="Gasto",I2812="Transferencia",I2812="Pago tarjeta"),-1,1)*C2812)</f>
        <v/>
      </c>
      <c r="U2812" s="20">
        <f>IF(OR(G2812="",AND(I2812&lt;&gt;"Transferencia",I2812&lt;&gt;"Pago tarjeta")),"",IF(IFERROR(INDEX(ctaMon,MATCH(G2812,ctaNom,0))&amp;"","DOP")=N2812,C2812,IF(N2812="USD",C2812*TasaUSD,C2812/TasaUSD)))</f>
        <v/>
      </c>
      <c r="V2812" s="20">
        <f>IF(I2812="","",IF(IFERROR(INDEX(ctaLiq,MATCH(E2812,ctaNom,0))="Sí",FALSE),IF(OR(I2812="Gasto",I2812="Transferencia",I2812="Pago tarjeta"),-1,1)*O2812,0)+IF(AND(U2812&lt;&gt;"",IFERROR(INDEX(ctaLiq,MATCH(G2812,ctaNom,0))="Sí",FALSE)),O2812,0))</f>
        <v/>
      </c>
      <c r="W2812" s="19">
        <f>IF(OR(F2812="",I2812=""),"",IF(COUNTIFS(F$6:F2812,F2812,I$6:I2812,"?*")=1,MAX(W$5:W2811)+1,""))</f>
        <v/>
      </c>
    </row>
    <row r="2813">
      <c r="B2813" s="15" t="n"/>
      <c r="C2813" s="16" t="n"/>
      <c r="D2813" s="17" t="n"/>
      <c r="E2813" s="17" t="n"/>
      <c r="F2813" s="17" t="n"/>
      <c r="G2813" s="17" t="n"/>
      <c r="H2813" s="18">
        <f>IF(AND(B2813="",C2813="",D2813="",E2813=""),"",IF(B2813="","⚠ Falta fecha",IF(C2813="","⚠ Falta monto",IF(D2813="","⚠ Falta categoría",IF(ISNA(MATCH(D2813,catNom,0)),"⚠ Categoría no existe",IF(E2813="","⚠ Falta cuenta",IF(ISNA(MATCH(E2813,ctaNom,0)),"⚠ Cuenta no existe",IF(AND(OR(I2813="Transferencia",I2813="Pago tarjeta"),G2813=""),"⚠ Indica la cuenta «Hacia»",IF(AND(G2813&lt;&gt;"",G2813=E2813),"⚠ «Hacia» igual a la cuenta",IF(AND(G2813&lt;&gt;"",ISNA(MATCH(G2813,ctaNom,0))),"⚠ «Hacia» no existe",IF(AND(I2813="Pago tarjeta",IFERROR(INDEX(ctaTipo,MATCH(G2813,ctaNom,0)),"")&lt;&gt;"Tarjeta de crédito"),"⚠ «Hacia» debe ser la tarjeta",IF(AND(I2813="Trading",IFERROR(INDEX(ctaTipo,MATCH(E2813,ctaNom,0)),"")&lt;&gt;"Cuenta de trading"),"⚠ Usa la cuenta de trading","✓"))))))))))))</f>
        <v/>
      </c>
      <c r="I2813" s="19">
        <f>IF(OR(B2813="",C2813="",D2813=""),"",IFERROR(INDEX(catTipo,MATCH(D2813,catNom,0))&amp;"",""))</f>
        <v/>
      </c>
      <c r="J2813" s="19">
        <f>IF(I2813="","",IFERROR(INDEX(catGrupo,MATCH(D2813,catNom,0))&amp;"",""))</f>
        <v/>
      </c>
      <c r="K2813" s="19">
        <f>IF(I2813="Gasto",IF(IFERROR(INDEX(catClas,MATCH(D2813,catNom,0))&amp;"","")="","Variable",IFERROR(INDEX(catClas,MATCH(D2813,catNom,0))&amp;"","")),"")</f>
        <v/>
      </c>
      <c r="L2813" s="19">
        <f>IF(I2813="","",IFERROR(INDEX(catAlim,MATCH(D2813,catNom,0))&amp;"",""))</f>
        <v/>
      </c>
      <c r="M2813" s="19">
        <f>IF(I2813="","",IFERROR(INDEX(catComida,MATCH(D2813,catNom,0))&amp;"",""))</f>
        <v/>
      </c>
      <c r="N2813" s="19">
        <f>IF(I2813="","",IFERROR(INDEX(ctaMon,MATCH(E2813,ctaNom,0))&amp;"","DOP"))</f>
        <v/>
      </c>
      <c r="O2813" s="20">
        <f>IF(I2813="","",C2813*IF(N2813="USD",TasaUSD,1))</f>
        <v/>
      </c>
      <c r="P2813" s="20">
        <f>IF(I2813="","",IF(I2813="Gasto",O2813,0))</f>
        <v/>
      </c>
      <c r="Q2813" s="20">
        <f>IF(I2813="","",IF(I2813="Ingreso",O2813,0))</f>
        <v/>
      </c>
      <c r="R2813" s="20">
        <f>IF(I2813="","",IF(I2813="Trading",O2813,0))</f>
        <v/>
      </c>
      <c r="S2813" s="19">
        <f>IF(I2813="","",IF(AND(I2813="Gasto",K2813="Variable",J2813&lt;&gt;"Trading",O2813&gt;0,O2813&lt;=Umbral),1,0))</f>
        <v/>
      </c>
      <c r="T2813" s="20">
        <f>IF(OR(I2813="",E2813=""),"",IF(OR(I2813="Gasto",I2813="Transferencia",I2813="Pago tarjeta"),-1,1)*C2813)</f>
        <v/>
      </c>
      <c r="U2813" s="20">
        <f>IF(OR(G2813="",AND(I2813&lt;&gt;"Transferencia",I2813&lt;&gt;"Pago tarjeta")),"",IF(IFERROR(INDEX(ctaMon,MATCH(G2813,ctaNom,0))&amp;"","DOP")=N2813,C2813,IF(N2813="USD",C2813*TasaUSD,C2813/TasaUSD)))</f>
        <v/>
      </c>
      <c r="V2813" s="20">
        <f>IF(I2813="","",IF(IFERROR(INDEX(ctaLiq,MATCH(E2813,ctaNom,0))="Sí",FALSE),IF(OR(I2813="Gasto",I2813="Transferencia",I2813="Pago tarjeta"),-1,1)*O2813,0)+IF(AND(U2813&lt;&gt;"",IFERROR(INDEX(ctaLiq,MATCH(G2813,ctaNom,0))="Sí",FALSE)),O2813,0))</f>
        <v/>
      </c>
      <c r="W2813" s="19">
        <f>IF(OR(F2813="",I2813=""),"",IF(COUNTIFS(F$6:F2813,F2813,I$6:I2813,"?*")=1,MAX(W$5:W2812)+1,""))</f>
        <v/>
      </c>
    </row>
    <row r="2814">
      <c r="B2814" s="15" t="n"/>
      <c r="C2814" s="16" t="n"/>
      <c r="D2814" s="17" t="n"/>
      <c r="E2814" s="17" t="n"/>
      <c r="F2814" s="17" t="n"/>
      <c r="G2814" s="17" t="n"/>
      <c r="H2814" s="18">
        <f>IF(AND(B2814="",C2814="",D2814="",E2814=""),"",IF(B2814="","⚠ Falta fecha",IF(C2814="","⚠ Falta monto",IF(D2814="","⚠ Falta categoría",IF(ISNA(MATCH(D2814,catNom,0)),"⚠ Categoría no existe",IF(E2814="","⚠ Falta cuenta",IF(ISNA(MATCH(E2814,ctaNom,0)),"⚠ Cuenta no existe",IF(AND(OR(I2814="Transferencia",I2814="Pago tarjeta"),G2814=""),"⚠ Indica la cuenta «Hacia»",IF(AND(G2814&lt;&gt;"",G2814=E2814),"⚠ «Hacia» igual a la cuenta",IF(AND(G2814&lt;&gt;"",ISNA(MATCH(G2814,ctaNom,0))),"⚠ «Hacia» no existe",IF(AND(I2814="Pago tarjeta",IFERROR(INDEX(ctaTipo,MATCH(G2814,ctaNom,0)),"")&lt;&gt;"Tarjeta de crédito"),"⚠ «Hacia» debe ser la tarjeta",IF(AND(I2814="Trading",IFERROR(INDEX(ctaTipo,MATCH(E2814,ctaNom,0)),"")&lt;&gt;"Cuenta de trading"),"⚠ Usa la cuenta de trading","✓"))))))))))))</f>
        <v/>
      </c>
      <c r="I2814" s="19">
        <f>IF(OR(B2814="",C2814="",D2814=""),"",IFERROR(INDEX(catTipo,MATCH(D2814,catNom,0))&amp;"",""))</f>
        <v/>
      </c>
      <c r="J2814" s="19">
        <f>IF(I2814="","",IFERROR(INDEX(catGrupo,MATCH(D2814,catNom,0))&amp;"",""))</f>
        <v/>
      </c>
      <c r="K2814" s="19">
        <f>IF(I2814="Gasto",IF(IFERROR(INDEX(catClas,MATCH(D2814,catNom,0))&amp;"","")="","Variable",IFERROR(INDEX(catClas,MATCH(D2814,catNom,0))&amp;"","")),"")</f>
        <v/>
      </c>
      <c r="L2814" s="19">
        <f>IF(I2814="","",IFERROR(INDEX(catAlim,MATCH(D2814,catNom,0))&amp;"",""))</f>
        <v/>
      </c>
      <c r="M2814" s="19">
        <f>IF(I2814="","",IFERROR(INDEX(catComida,MATCH(D2814,catNom,0))&amp;"",""))</f>
        <v/>
      </c>
      <c r="N2814" s="19">
        <f>IF(I2814="","",IFERROR(INDEX(ctaMon,MATCH(E2814,ctaNom,0))&amp;"","DOP"))</f>
        <v/>
      </c>
      <c r="O2814" s="20">
        <f>IF(I2814="","",C2814*IF(N2814="USD",TasaUSD,1))</f>
        <v/>
      </c>
      <c r="P2814" s="20">
        <f>IF(I2814="","",IF(I2814="Gasto",O2814,0))</f>
        <v/>
      </c>
      <c r="Q2814" s="20">
        <f>IF(I2814="","",IF(I2814="Ingreso",O2814,0))</f>
        <v/>
      </c>
      <c r="R2814" s="20">
        <f>IF(I2814="","",IF(I2814="Trading",O2814,0))</f>
        <v/>
      </c>
      <c r="S2814" s="19">
        <f>IF(I2814="","",IF(AND(I2814="Gasto",K2814="Variable",J2814&lt;&gt;"Trading",O2814&gt;0,O2814&lt;=Umbral),1,0))</f>
        <v/>
      </c>
      <c r="T2814" s="20">
        <f>IF(OR(I2814="",E2814=""),"",IF(OR(I2814="Gasto",I2814="Transferencia",I2814="Pago tarjeta"),-1,1)*C2814)</f>
        <v/>
      </c>
      <c r="U2814" s="20">
        <f>IF(OR(G2814="",AND(I2814&lt;&gt;"Transferencia",I2814&lt;&gt;"Pago tarjeta")),"",IF(IFERROR(INDEX(ctaMon,MATCH(G2814,ctaNom,0))&amp;"","DOP")=N2814,C2814,IF(N2814="USD",C2814*TasaUSD,C2814/TasaUSD)))</f>
        <v/>
      </c>
      <c r="V2814" s="20">
        <f>IF(I2814="","",IF(IFERROR(INDEX(ctaLiq,MATCH(E2814,ctaNom,0))="Sí",FALSE),IF(OR(I2814="Gasto",I2814="Transferencia",I2814="Pago tarjeta"),-1,1)*O2814,0)+IF(AND(U2814&lt;&gt;"",IFERROR(INDEX(ctaLiq,MATCH(G2814,ctaNom,0))="Sí",FALSE)),O2814,0))</f>
        <v/>
      </c>
      <c r="W2814" s="19">
        <f>IF(OR(F2814="",I2814=""),"",IF(COUNTIFS(F$6:F2814,F2814,I$6:I2814,"?*")=1,MAX(W$5:W2813)+1,""))</f>
        <v/>
      </c>
    </row>
    <row r="2815">
      <c r="B2815" s="15" t="n"/>
      <c r="C2815" s="16" t="n"/>
      <c r="D2815" s="17" t="n"/>
      <c r="E2815" s="17" t="n"/>
      <c r="F2815" s="17" t="n"/>
      <c r="G2815" s="17" t="n"/>
      <c r="H2815" s="18">
        <f>IF(AND(B2815="",C2815="",D2815="",E2815=""),"",IF(B2815="","⚠ Falta fecha",IF(C2815="","⚠ Falta monto",IF(D2815="","⚠ Falta categoría",IF(ISNA(MATCH(D2815,catNom,0)),"⚠ Categoría no existe",IF(E2815="","⚠ Falta cuenta",IF(ISNA(MATCH(E2815,ctaNom,0)),"⚠ Cuenta no existe",IF(AND(OR(I2815="Transferencia",I2815="Pago tarjeta"),G2815=""),"⚠ Indica la cuenta «Hacia»",IF(AND(G2815&lt;&gt;"",G2815=E2815),"⚠ «Hacia» igual a la cuenta",IF(AND(G2815&lt;&gt;"",ISNA(MATCH(G2815,ctaNom,0))),"⚠ «Hacia» no existe",IF(AND(I2815="Pago tarjeta",IFERROR(INDEX(ctaTipo,MATCH(G2815,ctaNom,0)),"")&lt;&gt;"Tarjeta de crédito"),"⚠ «Hacia» debe ser la tarjeta",IF(AND(I2815="Trading",IFERROR(INDEX(ctaTipo,MATCH(E2815,ctaNom,0)),"")&lt;&gt;"Cuenta de trading"),"⚠ Usa la cuenta de trading","✓"))))))))))))</f>
        <v/>
      </c>
      <c r="I2815" s="19">
        <f>IF(OR(B2815="",C2815="",D2815=""),"",IFERROR(INDEX(catTipo,MATCH(D2815,catNom,0))&amp;"",""))</f>
        <v/>
      </c>
      <c r="J2815" s="19">
        <f>IF(I2815="","",IFERROR(INDEX(catGrupo,MATCH(D2815,catNom,0))&amp;"",""))</f>
        <v/>
      </c>
      <c r="K2815" s="19">
        <f>IF(I2815="Gasto",IF(IFERROR(INDEX(catClas,MATCH(D2815,catNom,0))&amp;"","")="","Variable",IFERROR(INDEX(catClas,MATCH(D2815,catNom,0))&amp;"","")),"")</f>
        <v/>
      </c>
      <c r="L2815" s="19">
        <f>IF(I2815="","",IFERROR(INDEX(catAlim,MATCH(D2815,catNom,0))&amp;"",""))</f>
        <v/>
      </c>
      <c r="M2815" s="19">
        <f>IF(I2815="","",IFERROR(INDEX(catComida,MATCH(D2815,catNom,0))&amp;"",""))</f>
        <v/>
      </c>
      <c r="N2815" s="19">
        <f>IF(I2815="","",IFERROR(INDEX(ctaMon,MATCH(E2815,ctaNom,0))&amp;"","DOP"))</f>
        <v/>
      </c>
      <c r="O2815" s="20">
        <f>IF(I2815="","",C2815*IF(N2815="USD",TasaUSD,1))</f>
        <v/>
      </c>
      <c r="P2815" s="20">
        <f>IF(I2815="","",IF(I2815="Gasto",O2815,0))</f>
        <v/>
      </c>
      <c r="Q2815" s="20">
        <f>IF(I2815="","",IF(I2815="Ingreso",O2815,0))</f>
        <v/>
      </c>
      <c r="R2815" s="20">
        <f>IF(I2815="","",IF(I2815="Trading",O2815,0))</f>
        <v/>
      </c>
      <c r="S2815" s="19">
        <f>IF(I2815="","",IF(AND(I2815="Gasto",K2815="Variable",J2815&lt;&gt;"Trading",O2815&gt;0,O2815&lt;=Umbral),1,0))</f>
        <v/>
      </c>
      <c r="T2815" s="20">
        <f>IF(OR(I2815="",E2815=""),"",IF(OR(I2815="Gasto",I2815="Transferencia",I2815="Pago tarjeta"),-1,1)*C2815)</f>
        <v/>
      </c>
      <c r="U2815" s="20">
        <f>IF(OR(G2815="",AND(I2815&lt;&gt;"Transferencia",I2815&lt;&gt;"Pago tarjeta")),"",IF(IFERROR(INDEX(ctaMon,MATCH(G2815,ctaNom,0))&amp;"","DOP")=N2815,C2815,IF(N2815="USD",C2815*TasaUSD,C2815/TasaUSD)))</f>
        <v/>
      </c>
      <c r="V2815" s="20">
        <f>IF(I2815="","",IF(IFERROR(INDEX(ctaLiq,MATCH(E2815,ctaNom,0))="Sí",FALSE),IF(OR(I2815="Gasto",I2815="Transferencia",I2815="Pago tarjeta"),-1,1)*O2815,0)+IF(AND(U2815&lt;&gt;"",IFERROR(INDEX(ctaLiq,MATCH(G2815,ctaNom,0))="Sí",FALSE)),O2815,0))</f>
        <v/>
      </c>
      <c r="W2815" s="19">
        <f>IF(OR(F2815="",I2815=""),"",IF(COUNTIFS(F$6:F2815,F2815,I$6:I2815,"?*")=1,MAX(W$5:W2814)+1,""))</f>
        <v/>
      </c>
    </row>
    <row r="2816">
      <c r="B2816" s="15" t="n"/>
      <c r="C2816" s="16" t="n"/>
      <c r="D2816" s="17" t="n"/>
      <c r="E2816" s="17" t="n"/>
      <c r="F2816" s="17" t="n"/>
      <c r="G2816" s="17" t="n"/>
      <c r="H2816" s="18">
        <f>IF(AND(B2816="",C2816="",D2816="",E2816=""),"",IF(B2816="","⚠ Falta fecha",IF(C2816="","⚠ Falta monto",IF(D2816="","⚠ Falta categoría",IF(ISNA(MATCH(D2816,catNom,0)),"⚠ Categoría no existe",IF(E2816="","⚠ Falta cuenta",IF(ISNA(MATCH(E2816,ctaNom,0)),"⚠ Cuenta no existe",IF(AND(OR(I2816="Transferencia",I2816="Pago tarjeta"),G2816=""),"⚠ Indica la cuenta «Hacia»",IF(AND(G2816&lt;&gt;"",G2816=E2816),"⚠ «Hacia» igual a la cuenta",IF(AND(G2816&lt;&gt;"",ISNA(MATCH(G2816,ctaNom,0))),"⚠ «Hacia» no existe",IF(AND(I2816="Pago tarjeta",IFERROR(INDEX(ctaTipo,MATCH(G2816,ctaNom,0)),"")&lt;&gt;"Tarjeta de crédito"),"⚠ «Hacia» debe ser la tarjeta",IF(AND(I2816="Trading",IFERROR(INDEX(ctaTipo,MATCH(E2816,ctaNom,0)),"")&lt;&gt;"Cuenta de trading"),"⚠ Usa la cuenta de trading","✓"))))))))))))</f>
        <v/>
      </c>
      <c r="I2816" s="19">
        <f>IF(OR(B2816="",C2816="",D2816=""),"",IFERROR(INDEX(catTipo,MATCH(D2816,catNom,0))&amp;"",""))</f>
        <v/>
      </c>
      <c r="J2816" s="19">
        <f>IF(I2816="","",IFERROR(INDEX(catGrupo,MATCH(D2816,catNom,0))&amp;"",""))</f>
        <v/>
      </c>
      <c r="K2816" s="19">
        <f>IF(I2816="Gasto",IF(IFERROR(INDEX(catClas,MATCH(D2816,catNom,0))&amp;"","")="","Variable",IFERROR(INDEX(catClas,MATCH(D2816,catNom,0))&amp;"","")),"")</f>
        <v/>
      </c>
      <c r="L2816" s="19">
        <f>IF(I2816="","",IFERROR(INDEX(catAlim,MATCH(D2816,catNom,0))&amp;"",""))</f>
        <v/>
      </c>
      <c r="M2816" s="19">
        <f>IF(I2816="","",IFERROR(INDEX(catComida,MATCH(D2816,catNom,0))&amp;"",""))</f>
        <v/>
      </c>
      <c r="N2816" s="19">
        <f>IF(I2816="","",IFERROR(INDEX(ctaMon,MATCH(E2816,ctaNom,0))&amp;"","DOP"))</f>
        <v/>
      </c>
      <c r="O2816" s="20">
        <f>IF(I2816="","",C2816*IF(N2816="USD",TasaUSD,1))</f>
        <v/>
      </c>
      <c r="P2816" s="20">
        <f>IF(I2816="","",IF(I2816="Gasto",O2816,0))</f>
        <v/>
      </c>
      <c r="Q2816" s="20">
        <f>IF(I2816="","",IF(I2816="Ingreso",O2816,0))</f>
        <v/>
      </c>
      <c r="R2816" s="20">
        <f>IF(I2816="","",IF(I2816="Trading",O2816,0))</f>
        <v/>
      </c>
      <c r="S2816" s="19">
        <f>IF(I2816="","",IF(AND(I2816="Gasto",K2816="Variable",J2816&lt;&gt;"Trading",O2816&gt;0,O2816&lt;=Umbral),1,0))</f>
        <v/>
      </c>
      <c r="T2816" s="20">
        <f>IF(OR(I2816="",E2816=""),"",IF(OR(I2816="Gasto",I2816="Transferencia",I2816="Pago tarjeta"),-1,1)*C2816)</f>
        <v/>
      </c>
      <c r="U2816" s="20">
        <f>IF(OR(G2816="",AND(I2816&lt;&gt;"Transferencia",I2816&lt;&gt;"Pago tarjeta")),"",IF(IFERROR(INDEX(ctaMon,MATCH(G2816,ctaNom,0))&amp;"","DOP")=N2816,C2816,IF(N2816="USD",C2816*TasaUSD,C2816/TasaUSD)))</f>
        <v/>
      </c>
      <c r="V2816" s="20">
        <f>IF(I2816="","",IF(IFERROR(INDEX(ctaLiq,MATCH(E2816,ctaNom,0))="Sí",FALSE),IF(OR(I2816="Gasto",I2816="Transferencia",I2816="Pago tarjeta"),-1,1)*O2816,0)+IF(AND(U2816&lt;&gt;"",IFERROR(INDEX(ctaLiq,MATCH(G2816,ctaNom,0))="Sí",FALSE)),O2816,0))</f>
        <v/>
      </c>
      <c r="W2816" s="19">
        <f>IF(OR(F2816="",I2816=""),"",IF(COUNTIFS(F$6:F2816,F2816,I$6:I2816,"?*")=1,MAX(W$5:W2815)+1,""))</f>
        <v/>
      </c>
    </row>
    <row r="2817">
      <c r="B2817" s="15" t="n"/>
      <c r="C2817" s="16" t="n"/>
      <c r="D2817" s="17" t="n"/>
      <c r="E2817" s="17" t="n"/>
      <c r="F2817" s="17" t="n"/>
      <c r="G2817" s="17" t="n"/>
      <c r="H2817" s="18">
        <f>IF(AND(B2817="",C2817="",D2817="",E2817=""),"",IF(B2817="","⚠ Falta fecha",IF(C2817="","⚠ Falta monto",IF(D2817="","⚠ Falta categoría",IF(ISNA(MATCH(D2817,catNom,0)),"⚠ Categoría no existe",IF(E2817="","⚠ Falta cuenta",IF(ISNA(MATCH(E2817,ctaNom,0)),"⚠ Cuenta no existe",IF(AND(OR(I2817="Transferencia",I2817="Pago tarjeta"),G2817=""),"⚠ Indica la cuenta «Hacia»",IF(AND(G2817&lt;&gt;"",G2817=E2817),"⚠ «Hacia» igual a la cuenta",IF(AND(G2817&lt;&gt;"",ISNA(MATCH(G2817,ctaNom,0))),"⚠ «Hacia» no existe",IF(AND(I2817="Pago tarjeta",IFERROR(INDEX(ctaTipo,MATCH(G2817,ctaNom,0)),"")&lt;&gt;"Tarjeta de crédito"),"⚠ «Hacia» debe ser la tarjeta",IF(AND(I2817="Trading",IFERROR(INDEX(ctaTipo,MATCH(E2817,ctaNom,0)),"")&lt;&gt;"Cuenta de trading"),"⚠ Usa la cuenta de trading","✓"))))))))))))</f>
        <v/>
      </c>
      <c r="I2817" s="19">
        <f>IF(OR(B2817="",C2817="",D2817=""),"",IFERROR(INDEX(catTipo,MATCH(D2817,catNom,0))&amp;"",""))</f>
        <v/>
      </c>
      <c r="J2817" s="19">
        <f>IF(I2817="","",IFERROR(INDEX(catGrupo,MATCH(D2817,catNom,0))&amp;"",""))</f>
        <v/>
      </c>
      <c r="K2817" s="19">
        <f>IF(I2817="Gasto",IF(IFERROR(INDEX(catClas,MATCH(D2817,catNom,0))&amp;"","")="","Variable",IFERROR(INDEX(catClas,MATCH(D2817,catNom,0))&amp;"","")),"")</f>
        <v/>
      </c>
      <c r="L2817" s="19">
        <f>IF(I2817="","",IFERROR(INDEX(catAlim,MATCH(D2817,catNom,0))&amp;"",""))</f>
        <v/>
      </c>
      <c r="M2817" s="19">
        <f>IF(I2817="","",IFERROR(INDEX(catComida,MATCH(D2817,catNom,0))&amp;"",""))</f>
        <v/>
      </c>
      <c r="N2817" s="19">
        <f>IF(I2817="","",IFERROR(INDEX(ctaMon,MATCH(E2817,ctaNom,0))&amp;"","DOP"))</f>
        <v/>
      </c>
      <c r="O2817" s="20">
        <f>IF(I2817="","",C2817*IF(N2817="USD",TasaUSD,1))</f>
        <v/>
      </c>
      <c r="P2817" s="20">
        <f>IF(I2817="","",IF(I2817="Gasto",O2817,0))</f>
        <v/>
      </c>
      <c r="Q2817" s="20">
        <f>IF(I2817="","",IF(I2817="Ingreso",O2817,0))</f>
        <v/>
      </c>
      <c r="R2817" s="20">
        <f>IF(I2817="","",IF(I2817="Trading",O2817,0))</f>
        <v/>
      </c>
      <c r="S2817" s="19">
        <f>IF(I2817="","",IF(AND(I2817="Gasto",K2817="Variable",J2817&lt;&gt;"Trading",O2817&gt;0,O2817&lt;=Umbral),1,0))</f>
        <v/>
      </c>
      <c r="T2817" s="20">
        <f>IF(OR(I2817="",E2817=""),"",IF(OR(I2817="Gasto",I2817="Transferencia",I2817="Pago tarjeta"),-1,1)*C2817)</f>
        <v/>
      </c>
      <c r="U2817" s="20">
        <f>IF(OR(G2817="",AND(I2817&lt;&gt;"Transferencia",I2817&lt;&gt;"Pago tarjeta")),"",IF(IFERROR(INDEX(ctaMon,MATCH(G2817,ctaNom,0))&amp;"","DOP")=N2817,C2817,IF(N2817="USD",C2817*TasaUSD,C2817/TasaUSD)))</f>
        <v/>
      </c>
      <c r="V2817" s="20">
        <f>IF(I2817="","",IF(IFERROR(INDEX(ctaLiq,MATCH(E2817,ctaNom,0))="Sí",FALSE),IF(OR(I2817="Gasto",I2817="Transferencia",I2817="Pago tarjeta"),-1,1)*O2817,0)+IF(AND(U2817&lt;&gt;"",IFERROR(INDEX(ctaLiq,MATCH(G2817,ctaNom,0))="Sí",FALSE)),O2817,0))</f>
        <v/>
      </c>
      <c r="W2817" s="19">
        <f>IF(OR(F2817="",I2817=""),"",IF(COUNTIFS(F$6:F2817,F2817,I$6:I2817,"?*")=1,MAX(W$5:W2816)+1,""))</f>
        <v/>
      </c>
    </row>
    <row r="2818">
      <c r="B2818" s="15" t="n"/>
      <c r="C2818" s="16" t="n"/>
      <c r="D2818" s="17" t="n"/>
      <c r="E2818" s="17" t="n"/>
      <c r="F2818" s="17" t="n"/>
      <c r="G2818" s="17" t="n"/>
      <c r="H2818" s="18">
        <f>IF(AND(B2818="",C2818="",D2818="",E2818=""),"",IF(B2818="","⚠ Falta fecha",IF(C2818="","⚠ Falta monto",IF(D2818="","⚠ Falta categoría",IF(ISNA(MATCH(D2818,catNom,0)),"⚠ Categoría no existe",IF(E2818="","⚠ Falta cuenta",IF(ISNA(MATCH(E2818,ctaNom,0)),"⚠ Cuenta no existe",IF(AND(OR(I2818="Transferencia",I2818="Pago tarjeta"),G2818=""),"⚠ Indica la cuenta «Hacia»",IF(AND(G2818&lt;&gt;"",G2818=E2818),"⚠ «Hacia» igual a la cuenta",IF(AND(G2818&lt;&gt;"",ISNA(MATCH(G2818,ctaNom,0))),"⚠ «Hacia» no existe",IF(AND(I2818="Pago tarjeta",IFERROR(INDEX(ctaTipo,MATCH(G2818,ctaNom,0)),"")&lt;&gt;"Tarjeta de crédito"),"⚠ «Hacia» debe ser la tarjeta",IF(AND(I2818="Trading",IFERROR(INDEX(ctaTipo,MATCH(E2818,ctaNom,0)),"")&lt;&gt;"Cuenta de trading"),"⚠ Usa la cuenta de trading","✓"))))))))))))</f>
        <v/>
      </c>
      <c r="I2818" s="19">
        <f>IF(OR(B2818="",C2818="",D2818=""),"",IFERROR(INDEX(catTipo,MATCH(D2818,catNom,0))&amp;"",""))</f>
        <v/>
      </c>
      <c r="J2818" s="19">
        <f>IF(I2818="","",IFERROR(INDEX(catGrupo,MATCH(D2818,catNom,0))&amp;"",""))</f>
        <v/>
      </c>
      <c r="K2818" s="19">
        <f>IF(I2818="Gasto",IF(IFERROR(INDEX(catClas,MATCH(D2818,catNom,0))&amp;"","")="","Variable",IFERROR(INDEX(catClas,MATCH(D2818,catNom,0))&amp;"","")),"")</f>
        <v/>
      </c>
      <c r="L2818" s="19">
        <f>IF(I2818="","",IFERROR(INDEX(catAlim,MATCH(D2818,catNom,0))&amp;"",""))</f>
        <v/>
      </c>
      <c r="M2818" s="19">
        <f>IF(I2818="","",IFERROR(INDEX(catComida,MATCH(D2818,catNom,0))&amp;"",""))</f>
        <v/>
      </c>
      <c r="N2818" s="19">
        <f>IF(I2818="","",IFERROR(INDEX(ctaMon,MATCH(E2818,ctaNom,0))&amp;"","DOP"))</f>
        <v/>
      </c>
      <c r="O2818" s="20">
        <f>IF(I2818="","",C2818*IF(N2818="USD",TasaUSD,1))</f>
        <v/>
      </c>
      <c r="P2818" s="20">
        <f>IF(I2818="","",IF(I2818="Gasto",O2818,0))</f>
        <v/>
      </c>
      <c r="Q2818" s="20">
        <f>IF(I2818="","",IF(I2818="Ingreso",O2818,0))</f>
        <v/>
      </c>
      <c r="R2818" s="20">
        <f>IF(I2818="","",IF(I2818="Trading",O2818,0))</f>
        <v/>
      </c>
      <c r="S2818" s="19">
        <f>IF(I2818="","",IF(AND(I2818="Gasto",K2818="Variable",J2818&lt;&gt;"Trading",O2818&gt;0,O2818&lt;=Umbral),1,0))</f>
        <v/>
      </c>
      <c r="T2818" s="20">
        <f>IF(OR(I2818="",E2818=""),"",IF(OR(I2818="Gasto",I2818="Transferencia",I2818="Pago tarjeta"),-1,1)*C2818)</f>
        <v/>
      </c>
      <c r="U2818" s="20">
        <f>IF(OR(G2818="",AND(I2818&lt;&gt;"Transferencia",I2818&lt;&gt;"Pago tarjeta")),"",IF(IFERROR(INDEX(ctaMon,MATCH(G2818,ctaNom,0))&amp;"","DOP")=N2818,C2818,IF(N2818="USD",C2818*TasaUSD,C2818/TasaUSD)))</f>
        <v/>
      </c>
      <c r="V2818" s="20">
        <f>IF(I2818="","",IF(IFERROR(INDEX(ctaLiq,MATCH(E2818,ctaNom,0))="Sí",FALSE),IF(OR(I2818="Gasto",I2818="Transferencia",I2818="Pago tarjeta"),-1,1)*O2818,0)+IF(AND(U2818&lt;&gt;"",IFERROR(INDEX(ctaLiq,MATCH(G2818,ctaNom,0))="Sí",FALSE)),O2818,0))</f>
        <v/>
      </c>
      <c r="W2818" s="19">
        <f>IF(OR(F2818="",I2818=""),"",IF(COUNTIFS(F$6:F2818,F2818,I$6:I2818,"?*")=1,MAX(W$5:W2817)+1,""))</f>
        <v/>
      </c>
    </row>
    <row r="2819">
      <c r="B2819" s="15" t="n"/>
      <c r="C2819" s="16" t="n"/>
      <c r="D2819" s="17" t="n"/>
      <c r="E2819" s="17" t="n"/>
      <c r="F2819" s="17" t="n"/>
      <c r="G2819" s="17" t="n"/>
      <c r="H2819" s="18">
        <f>IF(AND(B2819="",C2819="",D2819="",E2819=""),"",IF(B2819="","⚠ Falta fecha",IF(C2819="","⚠ Falta monto",IF(D2819="","⚠ Falta categoría",IF(ISNA(MATCH(D2819,catNom,0)),"⚠ Categoría no existe",IF(E2819="","⚠ Falta cuenta",IF(ISNA(MATCH(E2819,ctaNom,0)),"⚠ Cuenta no existe",IF(AND(OR(I2819="Transferencia",I2819="Pago tarjeta"),G2819=""),"⚠ Indica la cuenta «Hacia»",IF(AND(G2819&lt;&gt;"",G2819=E2819),"⚠ «Hacia» igual a la cuenta",IF(AND(G2819&lt;&gt;"",ISNA(MATCH(G2819,ctaNom,0))),"⚠ «Hacia» no existe",IF(AND(I2819="Pago tarjeta",IFERROR(INDEX(ctaTipo,MATCH(G2819,ctaNom,0)),"")&lt;&gt;"Tarjeta de crédito"),"⚠ «Hacia» debe ser la tarjeta",IF(AND(I2819="Trading",IFERROR(INDEX(ctaTipo,MATCH(E2819,ctaNom,0)),"")&lt;&gt;"Cuenta de trading"),"⚠ Usa la cuenta de trading","✓"))))))))))))</f>
        <v/>
      </c>
      <c r="I2819" s="19">
        <f>IF(OR(B2819="",C2819="",D2819=""),"",IFERROR(INDEX(catTipo,MATCH(D2819,catNom,0))&amp;"",""))</f>
        <v/>
      </c>
      <c r="J2819" s="19">
        <f>IF(I2819="","",IFERROR(INDEX(catGrupo,MATCH(D2819,catNom,0))&amp;"",""))</f>
        <v/>
      </c>
      <c r="K2819" s="19">
        <f>IF(I2819="Gasto",IF(IFERROR(INDEX(catClas,MATCH(D2819,catNom,0))&amp;"","")="","Variable",IFERROR(INDEX(catClas,MATCH(D2819,catNom,0))&amp;"","")),"")</f>
        <v/>
      </c>
      <c r="L2819" s="19">
        <f>IF(I2819="","",IFERROR(INDEX(catAlim,MATCH(D2819,catNom,0))&amp;"",""))</f>
        <v/>
      </c>
      <c r="M2819" s="19">
        <f>IF(I2819="","",IFERROR(INDEX(catComida,MATCH(D2819,catNom,0))&amp;"",""))</f>
        <v/>
      </c>
      <c r="N2819" s="19">
        <f>IF(I2819="","",IFERROR(INDEX(ctaMon,MATCH(E2819,ctaNom,0))&amp;"","DOP"))</f>
        <v/>
      </c>
      <c r="O2819" s="20">
        <f>IF(I2819="","",C2819*IF(N2819="USD",TasaUSD,1))</f>
        <v/>
      </c>
      <c r="P2819" s="20">
        <f>IF(I2819="","",IF(I2819="Gasto",O2819,0))</f>
        <v/>
      </c>
      <c r="Q2819" s="20">
        <f>IF(I2819="","",IF(I2819="Ingreso",O2819,0))</f>
        <v/>
      </c>
      <c r="R2819" s="20">
        <f>IF(I2819="","",IF(I2819="Trading",O2819,0))</f>
        <v/>
      </c>
      <c r="S2819" s="19">
        <f>IF(I2819="","",IF(AND(I2819="Gasto",K2819="Variable",J2819&lt;&gt;"Trading",O2819&gt;0,O2819&lt;=Umbral),1,0))</f>
        <v/>
      </c>
      <c r="T2819" s="20">
        <f>IF(OR(I2819="",E2819=""),"",IF(OR(I2819="Gasto",I2819="Transferencia",I2819="Pago tarjeta"),-1,1)*C2819)</f>
        <v/>
      </c>
      <c r="U2819" s="20">
        <f>IF(OR(G2819="",AND(I2819&lt;&gt;"Transferencia",I2819&lt;&gt;"Pago tarjeta")),"",IF(IFERROR(INDEX(ctaMon,MATCH(G2819,ctaNom,0))&amp;"","DOP")=N2819,C2819,IF(N2819="USD",C2819*TasaUSD,C2819/TasaUSD)))</f>
        <v/>
      </c>
      <c r="V2819" s="20">
        <f>IF(I2819="","",IF(IFERROR(INDEX(ctaLiq,MATCH(E2819,ctaNom,0))="Sí",FALSE),IF(OR(I2819="Gasto",I2819="Transferencia",I2819="Pago tarjeta"),-1,1)*O2819,0)+IF(AND(U2819&lt;&gt;"",IFERROR(INDEX(ctaLiq,MATCH(G2819,ctaNom,0))="Sí",FALSE)),O2819,0))</f>
        <v/>
      </c>
      <c r="W2819" s="19">
        <f>IF(OR(F2819="",I2819=""),"",IF(COUNTIFS(F$6:F2819,F2819,I$6:I2819,"?*")=1,MAX(W$5:W2818)+1,""))</f>
        <v/>
      </c>
    </row>
    <row r="2820">
      <c r="B2820" s="15" t="n"/>
      <c r="C2820" s="16" t="n"/>
      <c r="D2820" s="17" t="n"/>
      <c r="E2820" s="17" t="n"/>
      <c r="F2820" s="17" t="n"/>
      <c r="G2820" s="17" t="n"/>
      <c r="H2820" s="18">
        <f>IF(AND(B2820="",C2820="",D2820="",E2820=""),"",IF(B2820="","⚠ Falta fecha",IF(C2820="","⚠ Falta monto",IF(D2820="","⚠ Falta categoría",IF(ISNA(MATCH(D2820,catNom,0)),"⚠ Categoría no existe",IF(E2820="","⚠ Falta cuenta",IF(ISNA(MATCH(E2820,ctaNom,0)),"⚠ Cuenta no existe",IF(AND(OR(I2820="Transferencia",I2820="Pago tarjeta"),G2820=""),"⚠ Indica la cuenta «Hacia»",IF(AND(G2820&lt;&gt;"",G2820=E2820),"⚠ «Hacia» igual a la cuenta",IF(AND(G2820&lt;&gt;"",ISNA(MATCH(G2820,ctaNom,0))),"⚠ «Hacia» no existe",IF(AND(I2820="Pago tarjeta",IFERROR(INDEX(ctaTipo,MATCH(G2820,ctaNom,0)),"")&lt;&gt;"Tarjeta de crédito"),"⚠ «Hacia» debe ser la tarjeta",IF(AND(I2820="Trading",IFERROR(INDEX(ctaTipo,MATCH(E2820,ctaNom,0)),"")&lt;&gt;"Cuenta de trading"),"⚠ Usa la cuenta de trading","✓"))))))))))))</f>
        <v/>
      </c>
      <c r="I2820" s="19">
        <f>IF(OR(B2820="",C2820="",D2820=""),"",IFERROR(INDEX(catTipo,MATCH(D2820,catNom,0))&amp;"",""))</f>
        <v/>
      </c>
      <c r="J2820" s="19">
        <f>IF(I2820="","",IFERROR(INDEX(catGrupo,MATCH(D2820,catNom,0))&amp;"",""))</f>
        <v/>
      </c>
      <c r="K2820" s="19">
        <f>IF(I2820="Gasto",IF(IFERROR(INDEX(catClas,MATCH(D2820,catNom,0))&amp;"","")="","Variable",IFERROR(INDEX(catClas,MATCH(D2820,catNom,0))&amp;"","")),"")</f>
        <v/>
      </c>
      <c r="L2820" s="19">
        <f>IF(I2820="","",IFERROR(INDEX(catAlim,MATCH(D2820,catNom,0))&amp;"",""))</f>
        <v/>
      </c>
      <c r="M2820" s="19">
        <f>IF(I2820="","",IFERROR(INDEX(catComida,MATCH(D2820,catNom,0))&amp;"",""))</f>
        <v/>
      </c>
      <c r="N2820" s="19">
        <f>IF(I2820="","",IFERROR(INDEX(ctaMon,MATCH(E2820,ctaNom,0))&amp;"","DOP"))</f>
        <v/>
      </c>
      <c r="O2820" s="20">
        <f>IF(I2820="","",C2820*IF(N2820="USD",TasaUSD,1))</f>
        <v/>
      </c>
      <c r="P2820" s="20">
        <f>IF(I2820="","",IF(I2820="Gasto",O2820,0))</f>
        <v/>
      </c>
      <c r="Q2820" s="20">
        <f>IF(I2820="","",IF(I2820="Ingreso",O2820,0))</f>
        <v/>
      </c>
      <c r="R2820" s="20">
        <f>IF(I2820="","",IF(I2820="Trading",O2820,0))</f>
        <v/>
      </c>
      <c r="S2820" s="19">
        <f>IF(I2820="","",IF(AND(I2820="Gasto",K2820="Variable",J2820&lt;&gt;"Trading",O2820&gt;0,O2820&lt;=Umbral),1,0))</f>
        <v/>
      </c>
      <c r="T2820" s="20">
        <f>IF(OR(I2820="",E2820=""),"",IF(OR(I2820="Gasto",I2820="Transferencia",I2820="Pago tarjeta"),-1,1)*C2820)</f>
        <v/>
      </c>
      <c r="U2820" s="20">
        <f>IF(OR(G2820="",AND(I2820&lt;&gt;"Transferencia",I2820&lt;&gt;"Pago tarjeta")),"",IF(IFERROR(INDEX(ctaMon,MATCH(G2820,ctaNom,0))&amp;"","DOP")=N2820,C2820,IF(N2820="USD",C2820*TasaUSD,C2820/TasaUSD)))</f>
        <v/>
      </c>
      <c r="V2820" s="20">
        <f>IF(I2820="","",IF(IFERROR(INDEX(ctaLiq,MATCH(E2820,ctaNom,0))="Sí",FALSE),IF(OR(I2820="Gasto",I2820="Transferencia",I2820="Pago tarjeta"),-1,1)*O2820,0)+IF(AND(U2820&lt;&gt;"",IFERROR(INDEX(ctaLiq,MATCH(G2820,ctaNom,0))="Sí",FALSE)),O2820,0))</f>
        <v/>
      </c>
      <c r="W2820" s="19">
        <f>IF(OR(F2820="",I2820=""),"",IF(COUNTIFS(F$6:F2820,F2820,I$6:I2820,"?*")=1,MAX(W$5:W2819)+1,""))</f>
        <v/>
      </c>
    </row>
    <row r="2821">
      <c r="B2821" s="15" t="n"/>
      <c r="C2821" s="16" t="n"/>
      <c r="D2821" s="17" t="n"/>
      <c r="E2821" s="17" t="n"/>
      <c r="F2821" s="17" t="n"/>
      <c r="G2821" s="17" t="n"/>
      <c r="H2821" s="18">
        <f>IF(AND(B2821="",C2821="",D2821="",E2821=""),"",IF(B2821="","⚠ Falta fecha",IF(C2821="","⚠ Falta monto",IF(D2821="","⚠ Falta categoría",IF(ISNA(MATCH(D2821,catNom,0)),"⚠ Categoría no existe",IF(E2821="","⚠ Falta cuenta",IF(ISNA(MATCH(E2821,ctaNom,0)),"⚠ Cuenta no existe",IF(AND(OR(I2821="Transferencia",I2821="Pago tarjeta"),G2821=""),"⚠ Indica la cuenta «Hacia»",IF(AND(G2821&lt;&gt;"",G2821=E2821),"⚠ «Hacia» igual a la cuenta",IF(AND(G2821&lt;&gt;"",ISNA(MATCH(G2821,ctaNom,0))),"⚠ «Hacia» no existe",IF(AND(I2821="Pago tarjeta",IFERROR(INDEX(ctaTipo,MATCH(G2821,ctaNom,0)),"")&lt;&gt;"Tarjeta de crédito"),"⚠ «Hacia» debe ser la tarjeta",IF(AND(I2821="Trading",IFERROR(INDEX(ctaTipo,MATCH(E2821,ctaNom,0)),"")&lt;&gt;"Cuenta de trading"),"⚠ Usa la cuenta de trading","✓"))))))))))))</f>
        <v/>
      </c>
      <c r="I2821" s="19">
        <f>IF(OR(B2821="",C2821="",D2821=""),"",IFERROR(INDEX(catTipo,MATCH(D2821,catNom,0))&amp;"",""))</f>
        <v/>
      </c>
      <c r="J2821" s="19">
        <f>IF(I2821="","",IFERROR(INDEX(catGrupo,MATCH(D2821,catNom,0))&amp;"",""))</f>
        <v/>
      </c>
      <c r="K2821" s="19">
        <f>IF(I2821="Gasto",IF(IFERROR(INDEX(catClas,MATCH(D2821,catNom,0))&amp;"","")="","Variable",IFERROR(INDEX(catClas,MATCH(D2821,catNom,0))&amp;"","")),"")</f>
        <v/>
      </c>
      <c r="L2821" s="19">
        <f>IF(I2821="","",IFERROR(INDEX(catAlim,MATCH(D2821,catNom,0))&amp;"",""))</f>
        <v/>
      </c>
      <c r="M2821" s="19">
        <f>IF(I2821="","",IFERROR(INDEX(catComida,MATCH(D2821,catNom,0))&amp;"",""))</f>
        <v/>
      </c>
      <c r="N2821" s="19">
        <f>IF(I2821="","",IFERROR(INDEX(ctaMon,MATCH(E2821,ctaNom,0))&amp;"","DOP"))</f>
        <v/>
      </c>
      <c r="O2821" s="20">
        <f>IF(I2821="","",C2821*IF(N2821="USD",TasaUSD,1))</f>
        <v/>
      </c>
      <c r="P2821" s="20">
        <f>IF(I2821="","",IF(I2821="Gasto",O2821,0))</f>
        <v/>
      </c>
      <c r="Q2821" s="20">
        <f>IF(I2821="","",IF(I2821="Ingreso",O2821,0))</f>
        <v/>
      </c>
      <c r="R2821" s="20">
        <f>IF(I2821="","",IF(I2821="Trading",O2821,0))</f>
        <v/>
      </c>
      <c r="S2821" s="19">
        <f>IF(I2821="","",IF(AND(I2821="Gasto",K2821="Variable",J2821&lt;&gt;"Trading",O2821&gt;0,O2821&lt;=Umbral),1,0))</f>
        <v/>
      </c>
      <c r="T2821" s="20">
        <f>IF(OR(I2821="",E2821=""),"",IF(OR(I2821="Gasto",I2821="Transferencia",I2821="Pago tarjeta"),-1,1)*C2821)</f>
        <v/>
      </c>
      <c r="U2821" s="20">
        <f>IF(OR(G2821="",AND(I2821&lt;&gt;"Transferencia",I2821&lt;&gt;"Pago tarjeta")),"",IF(IFERROR(INDEX(ctaMon,MATCH(G2821,ctaNom,0))&amp;"","DOP")=N2821,C2821,IF(N2821="USD",C2821*TasaUSD,C2821/TasaUSD)))</f>
        <v/>
      </c>
      <c r="V2821" s="20">
        <f>IF(I2821="","",IF(IFERROR(INDEX(ctaLiq,MATCH(E2821,ctaNom,0))="Sí",FALSE),IF(OR(I2821="Gasto",I2821="Transferencia",I2821="Pago tarjeta"),-1,1)*O2821,0)+IF(AND(U2821&lt;&gt;"",IFERROR(INDEX(ctaLiq,MATCH(G2821,ctaNom,0))="Sí",FALSE)),O2821,0))</f>
        <v/>
      </c>
      <c r="W2821" s="19">
        <f>IF(OR(F2821="",I2821=""),"",IF(COUNTIFS(F$6:F2821,F2821,I$6:I2821,"?*")=1,MAX(W$5:W2820)+1,""))</f>
        <v/>
      </c>
    </row>
    <row r="2822">
      <c r="B2822" s="15" t="n"/>
      <c r="C2822" s="16" t="n"/>
      <c r="D2822" s="17" t="n"/>
      <c r="E2822" s="17" t="n"/>
      <c r="F2822" s="17" t="n"/>
      <c r="G2822" s="17" t="n"/>
      <c r="H2822" s="18">
        <f>IF(AND(B2822="",C2822="",D2822="",E2822=""),"",IF(B2822="","⚠ Falta fecha",IF(C2822="","⚠ Falta monto",IF(D2822="","⚠ Falta categoría",IF(ISNA(MATCH(D2822,catNom,0)),"⚠ Categoría no existe",IF(E2822="","⚠ Falta cuenta",IF(ISNA(MATCH(E2822,ctaNom,0)),"⚠ Cuenta no existe",IF(AND(OR(I2822="Transferencia",I2822="Pago tarjeta"),G2822=""),"⚠ Indica la cuenta «Hacia»",IF(AND(G2822&lt;&gt;"",G2822=E2822),"⚠ «Hacia» igual a la cuenta",IF(AND(G2822&lt;&gt;"",ISNA(MATCH(G2822,ctaNom,0))),"⚠ «Hacia» no existe",IF(AND(I2822="Pago tarjeta",IFERROR(INDEX(ctaTipo,MATCH(G2822,ctaNom,0)),"")&lt;&gt;"Tarjeta de crédito"),"⚠ «Hacia» debe ser la tarjeta",IF(AND(I2822="Trading",IFERROR(INDEX(ctaTipo,MATCH(E2822,ctaNom,0)),"")&lt;&gt;"Cuenta de trading"),"⚠ Usa la cuenta de trading","✓"))))))))))))</f>
        <v/>
      </c>
      <c r="I2822" s="19">
        <f>IF(OR(B2822="",C2822="",D2822=""),"",IFERROR(INDEX(catTipo,MATCH(D2822,catNom,0))&amp;"",""))</f>
        <v/>
      </c>
      <c r="J2822" s="19">
        <f>IF(I2822="","",IFERROR(INDEX(catGrupo,MATCH(D2822,catNom,0))&amp;"",""))</f>
        <v/>
      </c>
      <c r="K2822" s="19">
        <f>IF(I2822="Gasto",IF(IFERROR(INDEX(catClas,MATCH(D2822,catNom,0))&amp;"","")="","Variable",IFERROR(INDEX(catClas,MATCH(D2822,catNom,0))&amp;"","")),"")</f>
        <v/>
      </c>
      <c r="L2822" s="19">
        <f>IF(I2822="","",IFERROR(INDEX(catAlim,MATCH(D2822,catNom,0))&amp;"",""))</f>
        <v/>
      </c>
      <c r="M2822" s="19">
        <f>IF(I2822="","",IFERROR(INDEX(catComida,MATCH(D2822,catNom,0))&amp;"",""))</f>
        <v/>
      </c>
      <c r="N2822" s="19">
        <f>IF(I2822="","",IFERROR(INDEX(ctaMon,MATCH(E2822,ctaNom,0))&amp;"","DOP"))</f>
        <v/>
      </c>
      <c r="O2822" s="20">
        <f>IF(I2822="","",C2822*IF(N2822="USD",TasaUSD,1))</f>
        <v/>
      </c>
      <c r="P2822" s="20">
        <f>IF(I2822="","",IF(I2822="Gasto",O2822,0))</f>
        <v/>
      </c>
      <c r="Q2822" s="20">
        <f>IF(I2822="","",IF(I2822="Ingreso",O2822,0))</f>
        <v/>
      </c>
      <c r="R2822" s="20">
        <f>IF(I2822="","",IF(I2822="Trading",O2822,0))</f>
        <v/>
      </c>
      <c r="S2822" s="19">
        <f>IF(I2822="","",IF(AND(I2822="Gasto",K2822="Variable",J2822&lt;&gt;"Trading",O2822&gt;0,O2822&lt;=Umbral),1,0))</f>
        <v/>
      </c>
      <c r="T2822" s="20">
        <f>IF(OR(I2822="",E2822=""),"",IF(OR(I2822="Gasto",I2822="Transferencia",I2822="Pago tarjeta"),-1,1)*C2822)</f>
        <v/>
      </c>
      <c r="U2822" s="20">
        <f>IF(OR(G2822="",AND(I2822&lt;&gt;"Transferencia",I2822&lt;&gt;"Pago tarjeta")),"",IF(IFERROR(INDEX(ctaMon,MATCH(G2822,ctaNom,0))&amp;"","DOP")=N2822,C2822,IF(N2822="USD",C2822*TasaUSD,C2822/TasaUSD)))</f>
        <v/>
      </c>
      <c r="V2822" s="20">
        <f>IF(I2822="","",IF(IFERROR(INDEX(ctaLiq,MATCH(E2822,ctaNom,0))="Sí",FALSE),IF(OR(I2822="Gasto",I2822="Transferencia",I2822="Pago tarjeta"),-1,1)*O2822,0)+IF(AND(U2822&lt;&gt;"",IFERROR(INDEX(ctaLiq,MATCH(G2822,ctaNom,0))="Sí",FALSE)),O2822,0))</f>
        <v/>
      </c>
      <c r="W2822" s="19">
        <f>IF(OR(F2822="",I2822=""),"",IF(COUNTIFS(F$6:F2822,F2822,I$6:I2822,"?*")=1,MAX(W$5:W2821)+1,""))</f>
        <v/>
      </c>
    </row>
    <row r="2823">
      <c r="B2823" s="15" t="n"/>
      <c r="C2823" s="16" t="n"/>
      <c r="D2823" s="17" t="n"/>
      <c r="E2823" s="17" t="n"/>
      <c r="F2823" s="17" t="n"/>
      <c r="G2823" s="17" t="n"/>
      <c r="H2823" s="18">
        <f>IF(AND(B2823="",C2823="",D2823="",E2823=""),"",IF(B2823="","⚠ Falta fecha",IF(C2823="","⚠ Falta monto",IF(D2823="","⚠ Falta categoría",IF(ISNA(MATCH(D2823,catNom,0)),"⚠ Categoría no existe",IF(E2823="","⚠ Falta cuenta",IF(ISNA(MATCH(E2823,ctaNom,0)),"⚠ Cuenta no existe",IF(AND(OR(I2823="Transferencia",I2823="Pago tarjeta"),G2823=""),"⚠ Indica la cuenta «Hacia»",IF(AND(G2823&lt;&gt;"",G2823=E2823),"⚠ «Hacia» igual a la cuenta",IF(AND(G2823&lt;&gt;"",ISNA(MATCH(G2823,ctaNom,0))),"⚠ «Hacia» no existe",IF(AND(I2823="Pago tarjeta",IFERROR(INDEX(ctaTipo,MATCH(G2823,ctaNom,0)),"")&lt;&gt;"Tarjeta de crédito"),"⚠ «Hacia» debe ser la tarjeta",IF(AND(I2823="Trading",IFERROR(INDEX(ctaTipo,MATCH(E2823,ctaNom,0)),"")&lt;&gt;"Cuenta de trading"),"⚠ Usa la cuenta de trading","✓"))))))))))))</f>
        <v/>
      </c>
      <c r="I2823" s="19">
        <f>IF(OR(B2823="",C2823="",D2823=""),"",IFERROR(INDEX(catTipo,MATCH(D2823,catNom,0))&amp;"",""))</f>
        <v/>
      </c>
      <c r="J2823" s="19">
        <f>IF(I2823="","",IFERROR(INDEX(catGrupo,MATCH(D2823,catNom,0))&amp;"",""))</f>
        <v/>
      </c>
      <c r="K2823" s="19">
        <f>IF(I2823="Gasto",IF(IFERROR(INDEX(catClas,MATCH(D2823,catNom,0))&amp;"","")="","Variable",IFERROR(INDEX(catClas,MATCH(D2823,catNom,0))&amp;"","")),"")</f>
        <v/>
      </c>
      <c r="L2823" s="19">
        <f>IF(I2823="","",IFERROR(INDEX(catAlim,MATCH(D2823,catNom,0))&amp;"",""))</f>
        <v/>
      </c>
      <c r="M2823" s="19">
        <f>IF(I2823="","",IFERROR(INDEX(catComida,MATCH(D2823,catNom,0))&amp;"",""))</f>
        <v/>
      </c>
      <c r="N2823" s="19">
        <f>IF(I2823="","",IFERROR(INDEX(ctaMon,MATCH(E2823,ctaNom,0))&amp;"","DOP"))</f>
        <v/>
      </c>
      <c r="O2823" s="20">
        <f>IF(I2823="","",C2823*IF(N2823="USD",TasaUSD,1))</f>
        <v/>
      </c>
      <c r="P2823" s="20">
        <f>IF(I2823="","",IF(I2823="Gasto",O2823,0))</f>
        <v/>
      </c>
      <c r="Q2823" s="20">
        <f>IF(I2823="","",IF(I2823="Ingreso",O2823,0))</f>
        <v/>
      </c>
      <c r="R2823" s="20">
        <f>IF(I2823="","",IF(I2823="Trading",O2823,0))</f>
        <v/>
      </c>
      <c r="S2823" s="19">
        <f>IF(I2823="","",IF(AND(I2823="Gasto",K2823="Variable",J2823&lt;&gt;"Trading",O2823&gt;0,O2823&lt;=Umbral),1,0))</f>
        <v/>
      </c>
      <c r="T2823" s="20">
        <f>IF(OR(I2823="",E2823=""),"",IF(OR(I2823="Gasto",I2823="Transferencia",I2823="Pago tarjeta"),-1,1)*C2823)</f>
        <v/>
      </c>
      <c r="U2823" s="20">
        <f>IF(OR(G2823="",AND(I2823&lt;&gt;"Transferencia",I2823&lt;&gt;"Pago tarjeta")),"",IF(IFERROR(INDEX(ctaMon,MATCH(G2823,ctaNom,0))&amp;"","DOP")=N2823,C2823,IF(N2823="USD",C2823*TasaUSD,C2823/TasaUSD)))</f>
        <v/>
      </c>
      <c r="V2823" s="20">
        <f>IF(I2823="","",IF(IFERROR(INDEX(ctaLiq,MATCH(E2823,ctaNom,0))="Sí",FALSE),IF(OR(I2823="Gasto",I2823="Transferencia",I2823="Pago tarjeta"),-1,1)*O2823,0)+IF(AND(U2823&lt;&gt;"",IFERROR(INDEX(ctaLiq,MATCH(G2823,ctaNom,0))="Sí",FALSE)),O2823,0))</f>
        <v/>
      </c>
      <c r="W2823" s="19">
        <f>IF(OR(F2823="",I2823=""),"",IF(COUNTIFS(F$6:F2823,F2823,I$6:I2823,"?*")=1,MAX(W$5:W2822)+1,""))</f>
        <v/>
      </c>
    </row>
    <row r="2824">
      <c r="B2824" s="15" t="n"/>
      <c r="C2824" s="16" t="n"/>
      <c r="D2824" s="17" t="n"/>
      <c r="E2824" s="17" t="n"/>
      <c r="F2824" s="17" t="n"/>
      <c r="G2824" s="17" t="n"/>
      <c r="H2824" s="18">
        <f>IF(AND(B2824="",C2824="",D2824="",E2824=""),"",IF(B2824="","⚠ Falta fecha",IF(C2824="","⚠ Falta monto",IF(D2824="","⚠ Falta categoría",IF(ISNA(MATCH(D2824,catNom,0)),"⚠ Categoría no existe",IF(E2824="","⚠ Falta cuenta",IF(ISNA(MATCH(E2824,ctaNom,0)),"⚠ Cuenta no existe",IF(AND(OR(I2824="Transferencia",I2824="Pago tarjeta"),G2824=""),"⚠ Indica la cuenta «Hacia»",IF(AND(G2824&lt;&gt;"",G2824=E2824),"⚠ «Hacia» igual a la cuenta",IF(AND(G2824&lt;&gt;"",ISNA(MATCH(G2824,ctaNom,0))),"⚠ «Hacia» no existe",IF(AND(I2824="Pago tarjeta",IFERROR(INDEX(ctaTipo,MATCH(G2824,ctaNom,0)),"")&lt;&gt;"Tarjeta de crédito"),"⚠ «Hacia» debe ser la tarjeta",IF(AND(I2824="Trading",IFERROR(INDEX(ctaTipo,MATCH(E2824,ctaNom,0)),"")&lt;&gt;"Cuenta de trading"),"⚠ Usa la cuenta de trading","✓"))))))))))))</f>
        <v/>
      </c>
      <c r="I2824" s="19">
        <f>IF(OR(B2824="",C2824="",D2824=""),"",IFERROR(INDEX(catTipo,MATCH(D2824,catNom,0))&amp;"",""))</f>
        <v/>
      </c>
      <c r="J2824" s="19">
        <f>IF(I2824="","",IFERROR(INDEX(catGrupo,MATCH(D2824,catNom,0))&amp;"",""))</f>
        <v/>
      </c>
      <c r="K2824" s="19">
        <f>IF(I2824="Gasto",IF(IFERROR(INDEX(catClas,MATCH(D2824,catNom,0))&amp;"","")="","Variable",IFERROR(INDEX(catClas,MATCH(D2824,catNom,0))&amp;"","")),"")</f>
        <v/>
      </c>
      <c r="L2824" s="19">
        <f>IF(I2824="","",IFERROR(INDEX(catAlim,MATCH(D2824,catNom,0))&amp;"",""))</f>
        <v/>
      </c>
      <c r="M2824" s="19">
        <f>IF(I2824="","",IFERROR(INDEX(catComida,MATCH(D2824,catNom,0))&amp;"",""))</f>
        <v/>
      </c>
      <c r="N2824" s="19">
        <f>IF(I2824="","",IFERROR(INDEX(ctaMon,MATCH(E2824,ctaNom,0))&amp;"","DOP"))</f>
        <v/>
      </c>
      <c r="O2824" s="20">
        <f>IF(I2824="","",C2824*IF(N2824="USD",TasaUSD,1))</f>
        <v/>
      </c>
      <c r="P2824" s="20">
        <f>IF(I2824="","",IF(I2824="Gasto",O2824,0))</f>
        <v/>
      </c>
      <c r="Q2824" s="20">
        <f>IF(I2824="","",IF(I2824="Ingreso",O2824,0))</f>
        <v/>
      </c>
      <c r="R2824" s="20">
        <f>IF(I2824="","",IF(I2824="Trading",O2824,0))</f>
        <v/>
      </c>
      <c r="S2824" s="19">
        <f>IF(I2824="","",IF(AND(I2824="Gasto",K2824="Variable",J2824&lt;&gt;"Trading",O2824&gt;0,O2824&lt;=Umbral),1,0))</f>
        <v/>
      </c>
      <c r="T2824" s="20">
        <f>IF(OR(I2824="",E2824=""),"",IF(OR(I2824="Gasto",I2824="Transferencia",I2824="Pago tarjeta"),-1,1)*C2824)</f>
        <v/>
      </c>
      <c r="U2824" s="20">
        <f>IF(OR(G2824="",AND(I2824&lt;&gt;"Transferencia",I2824&lt;&gt;"Pago tarjeta")),"",IF(IFERROR(INDEX(ctaMon,MATCH(G2824,ctaNom,0))&amp;"","DOP")=N2824,C2824,IF(N2824="USD",C2824*TasaUSD,C2824/TasaUSD)))</f>
        <v/>
      </c>
      <c r="V2824" s="20">
        <f>IF(I2824="","",IF(IFERROR(INDEX(ctaLiq,MATCH(E2824,ctaNom,0))="Sí",FALSE),IF(OR(I2824="Gasto",I2824="Transferencia",I2824="Pago tarjeta"),-1,1)*O2824,0)+IF(AND(U2824&lt;&gt;"",IFERROR(INDEX(ctaLiq,MATCH(G2824,ctaNom,0))="Sí",FALSE)),O2824,0))</f>
        <v/>
      </c>
      <c r="W2824" s="19">
        <f>IF(OR(F2824="",I2824=""),"",IF(COUNTIFS(F$6:F2824,F2824,I$6:I2824,"?*")=1,MAX(W$5:W2823)+1,""))</f>
        <v/>
      </c>
    </row>
    <row r="2825">
      <c r="B2825" s="15" t="n"/>
      <c r="C2825" s="16" t="n"/>
      <c r="D2825" s="17" t="n"/>
      <c r="E2825" s="17" t="n"/>
      <c r="F2825" s="17" t="n"/>
      <c r="G2825" s="17" t="n"/>
      <c r="H2825" s="18">
        <f>IF(AND(B2825="",C2825="",D2825="",E2825=""),"",IF(B2825="","⚠ Falta fecha",IF(C2825="","⚠ Falta monto",IF(D2825="","⚠ Falta categoría",IF(ISNA(MATCH(D2825,catNom,0)),"⚠ Categoría no existe",IF(E2825="","⚠ Falta cuenta",IF(ISNA(MATCH(E2825,ctaNom,0)),"⚠ Cuenta no existe",IF(AND(OR(I2825="Transferencia",I2825="Pago tarjeta"),G2825=""),"⚠ Indica la cuenta «Hacia»",IF(AND(G2825&lt;&gt;"",G2825=E2825),"⚠ «Hacia» igual a la cuenta",IF(AND(G2825&lt;&gt;"",ISNA(MATCH(G2825,ctaNom,0))),"⚠ «Hacia» no existe",IF(AND(I2825="Pago tarjeta",IFERROR(INDEX(ctaTipo,MATCH(G2825,ctaNom,0)),"")&lt;&gt;"Tarjeta de crédito"),"⚠ «Hacia» debe ser la tarjeta",IF(AND(I2825="Trading",IFERROR(INDEX(ctaTipo,MATCH(E2825,ctaNom,0)),"")&lt;&gt;"Cuenta de trading"),"⚠ Usa la cuenta de trading","✓"))))))))))))</f>
        <v/>
      </c>
      <c r="I2825" s="19">
        <f>IF(OR(B2825="",C2825="",D2825=""),"",IFERROR(INDEX(catTipo,MATCH(D2825,catNom,0))&amp;"",""))</f>
        <v/>
      </c>
      <c r="J2825" s="19">
        <f>IF(I2825="","",IFERROR(INDEX(catGrupo,MATCH(D2825,catNom,0))&amp;"",""))</f>
        <v/>
      </c>
      <c r="K2825" s="19">
        <f>IF(I2825="Gasto",IF(IFERROR(INDEX(catClas,MATCH(D2825,catNom,0))&amp;"","")="","Variable",IFERROR(INDEX(catClas,MATCH(D2825,catNom,0))&amp;"","")),"")</f>
        <v/>
      </c>
      <c r="L2825" s="19">
        <f>IF(I2825="","",IFERROR(INDEX(catAlim,MATCH(D2825,catNom,0))&amp;"",""))</f>
        <v/>
      </c>
      <c r="M2825" s="19">
        <f>IF(I2825="","",IFERROR(INDEX(catComida,MATCH(D2825,catNom,0))&amp;"",""))</f>
        <v/>
      </c>
      <c r="N2825" s="19">
        <f>IF(I2825="","",IFERROR(INDEX(ctaMon,MATCH(E2825,ctaNom,0))&amp;"","DOP"))</f>
        <v/>
      </c>
      <c r="O2825" s="20">
        <f>IF(I2825="","",C2825*IF(N2825="USD",TasaUSD,1))</f>
        <v/>
      </c>
      <c r="P2825" s="20">
        <f>IF(I2825="","",IF(I2825="Gasto",O2825,0))</f>
        <v/>
      </c>
      <c r="Q2825" s="20">
        <f>IF(I2825="","",IF(I2825="Ingreso",O2825,0))</f>
        <v/>
      </c>
      <c r="R2825" s="20">
        <f>IF(I2825="","",IF(I2825="Trading",O2825,0))</f>
        <v/>
      </c>
      <c r="S2825" s="19">
        <f>IF(I2825="","",IF(AND(I2825="Gasto",K2825="Variable",J2825&lt;&gt;"Trading",O2825&gt;0,O2825&lt;=Umbral),1,0))</f>
        <v/>
      </c>
      <c r="T2825" s="20">
        <f>IF(OR(I2825="",E2825=""),"",IF(OR(I2825="Gasto",I2825="Transferencia",I2825="Pago tarjeta"),-1,1)*C2825)</f>
        <v/>
      </c>
      <c r="U2825" s="20">
        <f>IF(OR(G2825="",AND(I2825&lt;&gt;"Transferencia",I2825&lt;&gt;"Pago tarjeta")),"",IF(IFERROR(INDEX(ctaMon,MATCH(G2825,ctaNom,0))&amp;"","DOP")=N2825,C2825,IF(N2825="USD",C2825*TasaUSD,C2825/TasaUSD)))</f>
        <v/>
      </c>
      <c r="V2825" s="20">
        <f>IF(I2825="","",IF(IFERROR(INDEX(ctaLiq,MATCH(E2825,ctaNom,0))="Sí",FALSE),IF(OR(I2825="Gasto",I2825="Transferencia",I2825="Pago tarjeta"),-1,1)*O2825,0)+IF(AND(U2825&lt;&gt;"",IFERROR(INDEX(ctaLiq,MATCH(G2825,ctaNom,0))="Sí",FALSE)),O2825,0))</f>
        <v/>
      </c>
      <c r="W2825" s="19">
        <f>IF(OR(F2825="",I2825=""),"",IF(COUNTIFS(F$6:F2825,F2825,I$6:I2825,"?*")=1,MAX(W$5:W2824)+1,""))</f>
        <v/>
      </c>
    </row>
    <row r="2826">
      <c r="B2826" s="15" t="n"/>
      <c r="C2826" s="16" t="n"/>
      <c r="D2826" s="17" t="n"/>
      <c r="E2826" s="17" t="n"/>
      <c r="F2826" s="17" t="n"/>
      <c r="G2826" s="17" t="n"/>
      <c r="H2826" s="18">
        <f>IF(AND(B2826="",C2826="",D2826="",E2826=""),"",IF(B2826="","⚠ Falta fecha",IF(C2826="","⚠ Falta monto",IF(D2826="","⚠ Falta categoría",IF(ISNA(MATCH(D2826,catNom,0)),"⚠ Categoría no existe",IF(E2826="","⚠ Falta cuenta",IF(ISNA(MATCH(E2826,ctaNom,0)),"⚠ Cuenta no existe",IF(AND(OR(I2826="Transferencia",I2826="Pago tarjeta"),G2826=""),"⚠ Indica la cuenta «Hacia»",IF(AND(G2826&lt;&gt;"",G2826=E2826),"⚠ «Hacia» igual a la cuenta",IF(AND(G2826&lt;&gt;"",ISNA(MATCH(G2826,ctaNom,0))),"⚠ «Hacia» no existe",IF(AND(I2826="Pago tarjeta",IFERROR(INDEX(ctaTipo,MATCH(G2826,ctaNom,0)),"")&lt;&gt;"Tarjeta de crédito"),"⚠ «Hacia» debe ser la tarjeta",IF(AND(I2826="Trading",IFERROR(INDEX(ctaTipo,MATCH(E2826,ctaNom,0)),"")&lt;&gt;"Cuenta de trading"),"⚠ Usa la cuenta de trading","✓"))))))))))))</f>
        <v/>
      </c>
      <c r="I2826" s="19">
        <f>IF(OR(B2826="",C2826="",D2826=""),"",IFERROR(INDEX(catTipo,MATCH(D2826,catNom,0))&amp;"",""))</f>
        <v/>
      </c>
      <c r="J2826" s="19">
        <f>IF(I2826="","",IFERROR(INDEX(catGrupo,MATCH(D2826,catNom,0))&amp;"",""))</f>
        <v/>
      </c>
      <c r="K2826" s="19">
        <f>IF(I2826="Gasto",IF(IFERROR(INDEX(catClas,MATCH(D2826,catNom,0))&amp;"","")="","Variable",IFERROR(INDEX(catClas,MATCH(D2826,catNom,0))&amp;"","")),"")</f>
        <v/>
      </c>
      <c r="L2826" s="19">
        <f>IF(I2826="","",IFERROR(INDEX(catAlim,MATCH(D2826,catNom,0))&amp;"",""))</f>
        <v/>
      </c>
      <c r="M2826" s="19">
        <f>IF(I2826="","",IFERROR(INDEX(catComida,MATCH(D2826,catNom,0))&amp;"",""))</f>
        <v/>
      </c>
      <c r="N2826" s="19">
        <f>IF(I2826="","",IFERROR(INDEX(ctaMon,MATCH(E2826,ctaNom,0))&amp;"","DOP"))</f>
        <v/>
      </c>
      <c r="O2826" s="20">
        <f>IF(I2826="","",C2826*IF(N2826="USD",TasaUSD,1))</f>
        <v/>
      </c>
      <c r="P2826" s="20">
        <f>IF(I2826="","",IF(I2826="Gasto",O2826,0))</f>
        <v/>
      </c>
      <c r="Q2826" s="20">
        <f>IF(I2826="","",IF(I2826="Ingreso",O2826,0))</f>
        <v/>
      </c>
      <c r="R2826" s="20">
        <f>IF(I2826="","",IF(I2826="Trading",O2826,0))</f>
        <v/>
      </c>
      <c r="S2826" s="19">
        <f>IF(I2826="","",IF(AND(I2826="Gasto",K2826="Variable",J2826&lt;&gt;"Trading",O2826&gt;0,O2826&lt;=Umbral),1,0))</f>
        <v/>
      </c>
      <c r="T2826" s="20">
        <f>IF(OR(I2826="",E2826=""),"",IF(OR(I2826="Gasto",I2826="Transferencia",I2826="Pago tarjeta"),-1,1)*C2826)</f>
        <v/>
      </c>
      <c r="U2826" s="20">
        <f>IF(OR(G2826="",AND(I2826&lt;&gt;"Transferencia",I2826&lt;&gt;"Pago tarjeta")),"",IF(IFERROR(INDEX(ctaMon,MATCH(G2826,ctaNom,0))&amp;"","DOP")=N2826,C2826,IF(N2826="USD",C2826*TasaUSD,C2826/TasaUSD)))</f>
        <v/>
      </c>
      <c r="V2826" s="20">
        <f>IF(I2826="","",IF(IFERROR(INDEX(ctaLiq,MATCH(E2826,ctaNom,0))="Sí",FALSE),IF(OR(I2826="Gasto",I2826="Transferencia",I2826="Pago tarjeta"),-1,1)*O2826,0)+IF(AND(U2826&lt;&gt;"",IFERROR(INDEX(ctaLiq,MATCH(G2826,ctaNom,0))="Sí",FALSE)),O2826,0))</f>
        <v/>
      </c>
      <c r="W2826" s="19">
        <f>IF(OR(F2826="",I2826=""),"",IF(COUNTIFS(F$6:F2826,F2826,I$6:I2826,"?*")=1,MAX(W$5:W2825)+1,""))</f>
        <v/>
      </c>
    </row>
    <row r="2827">
      <c r="B2827" s="15" t="n"/>
      <c r="C2827" s="16" t="n"/>
      <c r="D2827" s="17" t="n"/>
      <c r="E2827" s="17" t="n"/>
      <c r="F2827" s="17" t="n"/>
      <c r="G2827" s="17" t="n"/>
      <c r="H2827" s="18">
        <f>IF(AND(B2827="",C2827="",D2827="",E2827=""),"",IF(B2827="","⚠ Falta fecha",IF(C2827="","⚠ Falta monto",IF(D2827="","⚠ Falta categoría",IF(ISNA(MATCH(D2827,catNom,0)),"⚠ Categoría no existe",IF(E2827="","⚠ Falta cuenta",IF(ISNA(MATCH(E2827,ctaNom,0)),"⚠ Cuenta no existe",IF(AND(OR(I2827="Transferencia",I2827="Pago tarjeta"),G2827=""),"⚠ Indica la cuenta «Hacia»",IF(AND(G2827&lt;&gt;"",G2827=E2827),"⚠ «Hacia» igual a la cuenta",IF(AND(G2827&lt;&gt;"",ISNA(MATCH(G2827,ctaNom,0))),"⚠ «Hacia» no existe",IF(AND(I2827="Pago tarjeta",IFERROR(INDEX(ctaTipo,MATCH(G2827,ctaNom,0)),"")&lt;&gt;"Tarjeta de crédito"),"⚠ «Hacia» debe ser la tarjeta",IF(AND(I2827="Trading",IFERROR(INDEX(ctaTipo,MATCH(E2827,ctaNom,0)),"")&lt;&gt;"Cuenta de trading"),"⚠ Usa la cuenta de trading","✓"))))))))))))</f>
        <v/>
      </c>
      <c r="I2827" s="19">
        <f>IF(OR(B2827="",C2827="",D2827=""),"",IFERROR(INDEX(catTipo,MATCH(D2827,catNom,0))&amp;"",""))</f>
        <v/>
      </c>
      <c r="J2827" s="19">
        <f>IF(I2827="","",IFERROR(INDEX(catGrupo,MATCH(D2827,catNom,0))&amp;"",""))</f>
        <v/>
      </c>
      <c r="K2827" s="19">
        <f>IF(I2827="Gasto",IF(IFERROR(INDEX(catClas,MATCH(D2827,catNom,0))&amp;"","")="","Variable",IFERROR(INDEX(catClas,MATCH(D2827,catNom,0))&amp;"","")),"")</f>
        <v/>
      </c>
      <c r="L2827" s="19">
        <f>IF(I2827="","",IFERROR(INDEX(catAlim,MATCH(D2827,catNom,0))&amp;"",""))</f>
        <v/>
      </c>
      <c r="M2827" s="19">
        <f>IF(I2827="","",IFERROR(INDEX(catComida,MATCH(D2827,catNom,0))&amp;"",""))</f>
        <v/>
      </c>
      <c r="N2827" s="19">
        <f>IF(I2827="","",IFERROR(INDEX(ctaMon,MATCH(E2827,ctaNom,0))&amp;"","DOP"))</f>
        <v/>
      </c>
      <c r="O2827" s="20">
        <f>IF(I2827="","",C2827*IF(N2827="USD",TasaUSD,1))</f>
        <v/>
      </c>
      <c r="P2827" s="20">
        <f>IF(I2827="","",IF(I2827="Gasto",O2827,0))</f>
        <v/>
      </c>
      <c r="Q2827" s="20">
        <f>IF(I2827="","",IF(I2827="Ingreso",O2827,0))</f>
        <v/>
      </c>
      <c r="R2827" s="20">
        <f>IF(I2827="","",IF(I2827="Trading",O2827,0))</f>
        <v/>
      </c>
      <c r="S2827" s="19">
        <f>IF(I2827="","",IF(AND(I2827="Gasto",K2827="Variable",J2827&lt;&gt;"Trading",O2827&gt;0,O2827&lt;=Umbral),1,0))</f>
        <v/>
      </c>
      <c r="T2827" s="20">
        <f>IF(OR(I2827="",E2827=""),"",IF(OR(I2827="Gasto",I2827="Transferencia",I2827="Pago tarjeta"),-1,1)*C2827)</f>
        <v/>
      </c>
      <c r="U2827" s="20">
        <f>IF(OR(G2827="",AND(I2827&lt;&gt;"Transferencia",I2827&lt;&gt;"Pago tarjeta")),"",IF(IFERROR(INDEX(ctaMon,MATCH(G2827,ctaNom,0))&amp;"","DOP")=N2827,C2827,IF(N2827="USD",C2827*TasaUSD,C2827/TasaUSD)))</f>
        <v/>
      </c>
      <c r="V2827" s="20">
        <f>IF(I2827="","",IF(IFERROR(INDEX(ctaLiq,MATCH(E2827,ctaNom,0))="Sí",FALSE),IF(OR(I2827="Gasto",I2827="Transferencia",I2827="Pago tarjeta"),-1,1)*O2827,0)+IF(AND(U2827&lt;&gt;"",IFERROR(INDEX(ctaLiq,MATCH(G2827,ctaNom,0))="Sí",FALSE)),O2827,0))</f>
        <v/>
      </c>
      <c r="W2827" s="19">
        <f>IF(OR(F2827="",I2827=""),"",IF(COUNTIFS(F$6:F2827,F2827,I$6:I2827,"?*")=1,MAX(W$5:W2826)+1,""))</f>
        <v/>
      </c>
    </row>
    <row r="2828">
      <c r="B2828" s="15" t="n"/>
      <c r="C2828" s="16" t="n"/>
      <c r="D2828" s="17" t="n"/>
      <c r="E2828" s="17" t="n"/>
      <c r="F2828" s="17" t="n"/>
      <c r="G2828" s="17" t="n"/>
      <c r="H2828" s="18">
        <f>IF(AND(B2828="",C2828="",D2828="",E2828=""),"",IF(B2828="","⚠ Falta fecha",IF(C2828="","⚠ Falta monto",IF(D2828="","⚠ Falta categoría",IF(ISNA(MATCH(D2828,catNom,0)),"⚠ Categoría no existe",IF(E2828="","⚠ Falta cuenta",IF(ISNA(MATCH(E2828,ctaNom,0)),"⚠ Cuenta no existe",IF(AND(OR(I2828="Transferencia",I2828="Pago tarjeta"),G2828=""),"⚠ Indica la cuenta «Hacia»",IF(AND(G2828&lt;&gt;"",G2828=E2828),"⚠ «Hacia» igual a la cuenta",IF(AND(G2828&lt;&gt;"",ISNA(MATCH(G2828,ctaNom,0))),"⚠ «Hacia» no existe",IF(AND(I2828="Pago tarjeta",IFERROR(INDEX(ctaTipo,MATCH(G2828,ctaNom,0)),"")&lt;&gt;"Tarjeta de crédito"),"⚠ «Hacia» debe ser la tarjeta",IF(AND(I2828="Trading",IFERROR(INDEX(ctaTipo,MATCH(E2828,ctaNom,0)),"")&lt;&gt;"Cuenta de trading"),"⚠ Usa la cuenta de trading","✓"))))))))))))</f>
        <v/>
      </c>
      <c r="I2828" s="19">
        <f>IF(OR(B2828="",C2828="",D2828=""),"",IFERROR(INDEX(catTipo,MATCH(D2828,catNom,0))&amp;"",""))</f>
        <v/>
      </c>
      <c r="J2828" s="19">
        <f>IF(I2828="","",IFERROR(INDEX(catGrupo,MATCH(D2828,catNom,0))&amp;"",""))</f>
        <v/>
      </c>
      <c r="K2828" s="19">
        <f>IF(I2828="Gasto",IF(IFERROR(INDEX(catClas,MATCH(D2828,catNom,0))&amp;"","")="","Variable",IFERROR(INDEX(catClas,MATCH(D2828,catNom,0))&amp;"","")),"")</f>
        <v/>
      </c>
      <c r="L2828" s="19">
        <f>IF(I2828="","",IFERROR(INDEX(catAlim,MATCH(D2828,catNom,0))&amp;"",""))</f>
        <v/>
      </c>
      <c r="M2828" s="19">
        <f>IF(I2828="","",IFERROR(INDEX(catComida,MATCH(D2828,catNom,0))&amp;"",""))</f>
        <v/>
      </c>
      <c r="N2828" s="19">
        <f>IF(I2828="","",IFERROR(INDEX(ctaMon,MATCH(E2828,ctaNom,0))&amp;"","DOP"))</f>
        <v/>
      </c>
      <c r="O2828" s="20">
        <f>IF(I2828="","",C2828*IF(N2828="USD",TasaUSD,1))</f>
        <v/>
      </c>
      <c r="P2828" s="20">
        <f>IF(I2828="","",IF(I2828="Gasto",O2828,0))</f>
        <v/>
      </c>
      <c r="Q2828" s="20">
        <f>IF(I2828="","",IF(I2828="Ingreso",O2828,0))</f>
        <v/>
      </c>
      <c r="R2828" s="20">
        <f>IF(I2828="","",IF(I2828="Trading",O2828,0))</f>
        <v/>
      </c>
      <c r="S2828" s="19">
        <f>IF(I2828="","",IF(AND(I2828="Gasto",K2828="Variable",J2828&lt;&gt;"Trading",O2828&gt;0,O2828&lt;=Umbral),1,0))</f>
        <v/>
      </c>
      <c r="T2828" s="20">
        <f>IF(OR(I2828="",E2828=""),"",IF(OR(I2828="Gasto",I2828="Transferencia",I2828="Pago tarjeta"),-1,1)*C2828)</f>
        <v/>
      </c>
      <c r="U2828" s="20">
        <f>IF(OR(G2828="",AND(I2828&lt;&gt;"Transferencia",I2828&lt;&gt;"Pago tarjeta")),"",IF(IFERROR(INDEX(ctaMon,MATCH(G2828,ctaNom,0))&amp;"","DOP")=N2828,C2828,IF(N2828="USD",C2828*TasaUSD,C2828/TasaUSD)))</f>
        <v/>
      </c>
      <c r="V2828" s="20">
        <f>IF(I2828="","",IF(IFERROR(INDEX(ctaLiq,MATCH(E2828,ctaNom,0))="Sí",FALSE),IF(OR(I2828="Gasto",I2828="Transferencia",I2828="Pago tarjeta"),-1,1)*O2828,0)+IF(AND(U2828&lt;&gt;"",IFERROR(INDEX(ctaLiq,MATCH(G2828,ctaNom,0))="Sí",FALSE)),O2828,0))</f>
        <v/>
      </c>
      <c r="W2828" s="19">
        <f>IF(OR(F2828="",I2828=""),"",IF(COUNTIFS(F$6:F2828,F2828,I$6:I2828,"?*")=1,MAX(W$5:W2827)+1,""))</f>
        <v/>
      </c>
    </row>
    <row r="2829">
      <c r="B2829" s="15" t="n"/>
      <c r="C2829" s="16" t="n"/>
      <c r="D2829" s="17" t="n"/>
      <c r="E2829" s="17" t="n"/>
      <c r="F2829" s="17" t="n"/>
      <c r="G2829" s="17" t="n"/>
      <c r="H2829" s="18">
        <f>IF(AND(B2829="",C2829="",D2829="",E2829=""),"",IF(B2829="","⚠ Falta fecha",IF(C2829="","⚠ Falta monto",IF(D2829="","⚠ Falta categoría",IF(ISNA(MATCH(D2829,catNom,0)),"⚠ Categoría no existe",IF(E2829="","⚠ Falta cuenta",IF(ISNA(MATCH(E2829,ctaNom,0)),"⚠ Cuenta no existe",IF(AND(OR(I2829="Transferencia",I2829="Pago tarjeta"),G2829=""),"⚠ Indica la cuenta «Hacia»",IF(AND(G2829&lt;&gt;"",G2829=E2829),"⚠ «Hacia» igual a la cuenta",IF(AND(G2829&lt;&gt;"",ISNA(MATCH(G2829,ctaNom,0))),"⚠ «Hacia» no existe",IF(AND(I2829="Pago tarjeta",IFERROR(INDEX(ctaTipo,MATCH(G2829,ctaNom,0)),"")&lt;&gt;"Tarjeta de crédito"),"⚠ «Hacia» debe ser la tarjeta",IF(AND(I2829="Trading",IFERROR(INDEX(ctaTipo,MATCH(E2829,ctaNom,0)),"")&lt;&gt;"Cuenta de trading"),"⚠ Usa la cuenta de trading","✓"))))))))))))</f>
        <v/>
      </c>
      <c r="I2829" s="19">
        <f>IF(OR(B2829="",C2829="",D2829=""),"",IFERROR(INDEX(catTipo,MATCH(D2829,catNom,0))&amp;"",""))</f>
        <v/>
      </c>
      <c r="J2829" s="19">
        <f>IF(I2829="","",IFERROR(INDEX(catGrupo,MATCH(D2829,catNom,0))&amp;"",""))</f>
        <v/>
      </c>
      <c r="K2829" s="19">
        <f>IF(I2829="Gasto",IF(IFERROR(INDEX(catClas,MATCH(D2829,catNom,0))&amp;"","")="","Variable",IFERROR(INDEX(catClas,MATCH(D2829,catNom,0))&amp;"","")),"")</f>
        <v/>
      </c>
      <c r="L2829" s="19">
        <f>IF(I2829="","",IFERROR(INDEX(catAlim,MATCH(D2829,catNom,0))&amp;"",""))</f>
        <v/>
      </c>
      <c r="M2829" s="19">
        <f>IF(I2829="","",IFERROR(INDEX(catComida,MATCH(D2829,catNom,0))&amp;"",""))</f>
        <v/>
      </c>
      <c r="N2829" s="19">
        <f>IF(I2829="","",IFERROR(INDEX(ctaMon,MATCH(E2829,ctaNom,0))&amp;"","DOP"))</f>
        <v/>
      </c>
      <c r="O2829" s="20">
        <f>IF(I2829="","",C2829*IF(N2829="USD",TasaUSD,1))</f>
        <v/>
      </c>
      <c r="P2829" s="20">
        <f>IF(I2829="","",IF(I2829="Gasto",O2829,0))</f>
        <v/>
      </c>
      <c r="Q2829" s="20">
        <f>IF(I2829="","",IF(I2829="Ingreso",O2829,0))</f>
        <v/>
      </c>
      <c r="R2829" s="20">
        <f>IF(I2829="","",IF(I2829="Trading",O2829,0))</f>
        <v/>
      </c>
      <c r="S2829" s="19">
        <f>IF(I2829="","",IF(AND(I2829="Gasto",K2829="Variable",J2829&lt;&gt;"Trading",O2829&gt;0,O2829&lt;=Umbral),1,0))</f>
        <v/>
      </c>
      <c r="T2829" s="20">
        <f>IF(OR(I2829="",E2829=""),"",IF(OR(I2829="Gasto",I2829="Transferencia",I2829="Pago tarjeta"),-1,1)*C2829)</f>
        <v/>
      </c>
      <c r="U2829" s="20">
        <f>IF(OR(G2829="",AND(I2829&lt;&gt;"Transferencia",I2829&lt;&gt;"Pago tarjeta")),"",IF(IFERROR(INDEX(ctaMon,MATCH(G2829,ctaNom,0))&amp;"","DOP")=N2829,C2829,IF(N2829="USD",C2829*TasaUSD,C2829/TasaUSD)))</f>
        <v/>
      </c>
      <c r="V2829" s="20">
        <f>IF(I2829="","",IF(IFERROR(INDEX(ctaLiq,MATCH(E2829,ctaNom,0))="Sí",FALSE),IF(OR(I2829="Gasto",I2829="Transferencia",I2829="Pago tarjeta"),-1,1)*O2829,0)+IF(AND(U2829&lt;&gt;"",IFERROR(INDEX(ctaLiq,MATCH(G2829,ctaNom,0))="Sí",FALSE)),O2829,0))</f>
        <v/>
      </c>
      <c r="W2829" s="19">
        <f>IF(OR(F2829="",I2829=""),"",IF(COUNTIFS(F$6:F2829,F2829,I$6:I2829,"?*")=1,MAX(W$5:W2828)+1,""))</f>
        <v/>
      </c>
    </row>
    <row r="2830">
      <c r="B2830" s="15" t="n"/>
      <c r="C2830" s="16" t="n"/>
      <c r="D2830" s="17" t="n"/>
      <c r="E2830" s="17" t="n"/>
      <c r="F2830" s="17" t="n"/>
      <c r="G2830" s="17" t="n"/>
      <c r="H2830" s="18">
        <f>IF(AND(B2830="",C2830="",D2830="",E2830=""),"",IF(B2830="","⚠ Falta fecha",IF(C2830="","⚠ Falta monto",IF(D2830="","⚠ Falta categoría",IF(ISNA(MATCH(D2830,catNom,0)),"⚠ Categoría no existe",IF(E2830="","⚠ Falta cuenta",IF(ISNA(MATCH(E2830,ctaNom,0)),"⚠ Cuenta no existe",IF(AND(OR(I2830="Transferencia",I2830="Pago tarjeta"),G2830=""),"⚠ Indica la cuenta «Hacia»",IF(AND(G2830&lt;&gt;"",G2830=E2830),"⚠ «Hacia» igual a la cuenta",IF(AND(G2830&lt;&gt;"",ISNA(MATCH(G2830,ctaNom,0))),"⚠ «Hacia» no existe",IF(AND(I2830="Pago tarjeta",IFERROR(INDEX(ctaTipo,MATCH(G2830,ctaNom,0)),"")&lt;&gt;"Tarjeta de crédito"),"⚠ «Hacia» debe ser la tarjeta",IF(AND(I2830="Trading",IFERROR(INDEX(ctaTipo,MATCH(E2830,ctaNom,0)),"")&lt;&gt;"Cuenta de trading"),"⚠ Usa la cuenta de trading","✓"))))))))))))</f>
        <v/>
      </c>
      <c r="I2830" s="19">
        <f>IF(OR(B2830="",C2830="",D2830=""),"",IFERROR(INDEX(catTipo,MATCH(D2830,catNom,0))&amp;"",""))</f>
        <v/>
      </c>
      <c r="J2830" s="19">
        <f>IF(I2830="","",IFERROR(INDEX(catGrupo,MATCH(D2830,catNom,0))&amp;"",""))</f>
        <v/>
      </c>
      <c r="K2830" s="19">
        <f>IF(I2830="Gasto",IF(IFERROR(INDEX(catClas,MATCH(D2830,catNom,0))&amp;"","")="","Variable",IFERROR(INDEX(catClas,MATCH(D2830,catNom,0))&amp;"","")),"")</f>
        <v/>
      </c>
      <c r="L2830" s="19">
        <f>IF(I2830="","",IFERROR(INDEX(catAlim,MATCH(D2830,catNom,0))&amp;"",""))</f>
        <v/>
      </c>
      <c r="M2830" s="19">
        <f>IF(I2830="","",IFERROR(INDEX(catComida,MATCH(D2830,catNom,0))&amp;"",""))</f>
        <v/>
      </c>
      <c r="N2830" s="19">
        <f>IF(I2830="","",IFERROR(INDEX(ctaMon,MATCH(E2830,ctaNom,0))&amp;"","DOP"))</f>
        <v/>
      </c>
      <c r="O2830" s="20">
        <f>IF(I2830="","",C2830*IF(N2830="USD",TasaUSD,1))</f>
        <v/>
      </c>
      <c r="P2830" s="20">
        <f>IF(I2830="","",IF(I2830="Gasto",O2830,0))</f>
        <v/>
      </c>
      <c r="Q2830" s="20">
        <f>IF(I2830="","",IF(I2830="Ingreso",O2830,0))</f>
        <v/>
      </c>
      <c r="R2830" s="20">
        <f>IF(I2830="","",IF(I2830="Trading",O2830,0))</f>
        <v/>
      </c>
      <c r="S2830" s="19">
        <f>IF(I2830="","",IF(AND(I2830="Gasto",K2830="Variable",J2830&lt;&gt;"Trading",O2830&gt;0,O2830&lt;=Umbral),1,0))</f>
        <v/>
      </c>
      <c r="T2830" s="20">
        <f>IF(OR(I2830="",E2830=""),"",IF(OR(I2830="Gasto",I2830="Transferencia",I2830="Pago tarjeta"),-1,1)*C2830)</f>
        <v/>
      </c>
      <c r="U2830" s="20">
        <f>IF(OR(G2830="",AND(I2830&lt;&gt;"Transferencia",I2830&lt;&gt;"Pago tarjeta")),"",IF(IFERROR(INDEX(ctaMon,MATCH(G2830,ctaNom,0))&amp;"","DOP")=N2830,C2830,IF(N2830="USD",C2830*TasaUSD,C2830/TasaUSD)))</f>
        <v/>
      </c>
      <c r="V2830" s="20">
        <f>IF(I2830="","",IF(IFERROR(INDEX(ctaLiq,MATCH(E2830,ctaNom,0))="Sí",FALSE),IF(OR(I2830="Gasto",I2830="Transferencia",I2830="Pago tarjeta"),-1,1)*O2830,0)+IF(AND(U2830&lt;&gt;"",IFERROR(INDEX(ctaLiq,MATCH(G2830,ctaNom,0))="Sí",FALSE)),O2830,0))</f>
        <v/>
      </c>
      <c r="W2830" s="19">
        <f>IF(OR(F2830="",I2830=""),"",IF(COUNTIFS(F$6:F2830,F2830,I$6:I2830,"?*")=1,MAX(W$5:W2829)+1,""))</f>
        <v/>
      </c>
    </row>
    <row r="2831">
      <c r="B2831" s="15" t="n"/>
      <c r="C2831" s="16" t="n"/>
      <c r="D2831" s="17" t="n"/>
      <c r="E2831" s="17" t="n"/>
      <c r="F2831" s="17" t="n"/>
      <c r="G2831" s="17" t="n"/>
      <c r="H2831" s="18">
        <f>IF(AND(B2831="",C2831="",D2831="",E2831=""),"",IF(B2831="","⚠ Falta fecha",IF(C2831="","⚠ Falta monto",IF(D2831="","⚠ Falta categoría",IF(ISNA(MATCH(D2831,catNom,0)),"⚠ Categoría no existe",IF(E2831="","⚠ Falta cuenta",IF(ISNA(MATCH(E2831,ctaNom,0)),"⚠ Cuenta no existe",IF(AND(OR(I2831="Transferencia",I2831="Pago tarjeta"),G2831=""),"⚠ Indica la cuenta «Hacia»",IF(AND(G2831&lt;&gt;"",G2831=E2831),"⚠ «Hacia» igual a la cuenta",IF(AND(G2831&lt;&gt;"",ISNA(MATCH(G2831,ctaNom,0))),"⚠ «Hacia» no existe",IF(AND(I2831="Pago tarjeta",IFERROR(INDEX(ctaTipo,MATCH(G2831,ctaNom,0)),"")&lt;&gt;"Tarjeta de crédito"),"⚠ «Hacia» debe ser la tarjeta",IF(AND(I2831="Trading",IFERROR(INDEX(ctaTipo,MATCH(E2831,ctaNom,0)),"")&lt;&gt;"Cuenta de trading"),"⚠ Usa la cuenta de trading","✓"))))))))))))</f>
        <v/>
      </c>
      <c r="I2831" s="19">
        <f>IF(OR(B2831="",C2831="",D2831=""),"",IFERROR(INDEX(catTipo,MATCH(D2831,catNom,0))&amp;"",""))</f>
        <v/>
      </c>
      <c r="J2831" s="19">
        <f>IF(I2831="","",IFERROR(INDEX(catGrupo,MATCH(D2831,catNom,0))&amp;"",""))</f>
        <v/>
      </c>
      <c r="K2831" s="19">
        <f>IF(I2831="Gasto",IF(IFERROR(INDEX(catClas,MATCH(D2831,catNom,0))&amp;"","")="","Variable",IFERROR(INDEX(catClas,MATCH(D2831,catNom,0))&amp;"","")),"")</f>
        <v/>
      </c>
      <c r="L2831" s="19">
        <f>IF(I2831="","",IFERROR(INDEX(catAlim,MATCH(D2831,catNom,0))&amp;"",""))</f>
        <v/>
      </c>
      <c r="M2831" s="19">
        <f>IF(I2831="","",IFERROR(INDEX(catComida,MATCH(D2831,catNom,0))&amp;"",""))</f>
        <v/>
      </c>
      <c r="N2831" s="19">
        <f>IF(I2831="","",IFERROR(INDEX(ctaMon,MATCH(E2831,ctaNom,0))&amp;"","DOP"))</f>
        <v/>
      </c>
      <c r="O2831" s="20">
        <f>IF(I2831="","",C2831*IF(N2831="USD",TasaUSD,1))</f>
        <v/>
      </c>
      <c r="P2831" s="20">
        <f>IF(I2831="","",IF(I2831="Gasto",O2831,0))</f>
        <v/>
      </c>
      <c r="Q2831" s="20">
        <f>IF(I2831="","",IF(I2831="Ingreso",O2831,0))</f>
        <v/>
      </c>
      <c r="R2831" s="20">
        <f>IF(I2831="","",IF(I2831="Trading",O2831,0))</f>
        <v/>
      </c>
      <c r="S2831" s="19">
        <f>IF(I2831="","",IF(AND(I2831="Gasto",K2831="Variable",J2831&lt;&gt;"Trading",O2831&gt;0,O2831&lt;=Umbral),1,0))</f>
        <v/>
      </c>
      <c r="T2831" s="20">
        <f>IF(OR(I2831="",E2831=""),"",IF(OR(I2831="Gasto",I2831="Transferencia",I2831="Pago tarjeta"),-1,1)*C2831)</f>
        <v/>
      </c>
      <c r="U2831" s="20">
        <f>IF(OR(G2831="",AND(I2831&lt;&gt;"Transferencia",I2831&lt;&gt;"Pago tarjeta")),"",IF(IFERROR(INDEX(ctaMon,MATCH(G2831,ctaNom,0))&amp;"","DOP")=N2831,C2831,IF(N2831="USD",C2831*TasaUSD,C2831/TasaUSD)))</f>
        <v/>
      </c>
      <c r="V2831" s="20">
        <f>IF(I2831="","",IF(IFERROR(INDEX(ctaLiq,MATCH(E2831,ctaNom,0))="Sí",FALSE),IF(OR(I2831="Gasto",I2831="Transferencia",I2831="Pago tarjeta"),-1,1)*O2831,0)+IF(AND(U2831&lt;&gt;"",IFERROR(INDEX(ctaLiq,MATCH(G2831,ctaNom,0))="Sí",FALSE)),O2831,0))</f>
        <v/>
      </c>
      <c r="W2831" s="19">
        <f>IF(OR(F2831="",I2831=""),"",IF(COUNTIFS(F$6:F2831,F2831,I$6:I2831,"?*")=1,MAX(W$5:W2830)+1,""))</f>
        <v/>
      </c>
    </row>
    <row r="2832">
      <c r="B2832" s="15" t="n"/>
      <c r="C2832" s="16" t="n"/>
      <c r="D2832" s="17" t="n"/>
      <c r="E2832" s="17" t="n"/>
      <c r="F2832" s="17" t="n"/>
      <c r="G2832" s="17" t="n"/>
      <c r="H2832" s="18">
        <f>IF(AND(B2832="",C2832="",D2832="",E2832=""),"",IF(B2832="","⚠ Falta fecha",IF(C2832="","⚠ Falta monto",IF(D2832="","⚠ Falta categoría",IF(ISNA(MATCH(D2832,catNom,0)),"⚠ Categoría no existe",IF(E2832="","⚠ Falta cuenta",IF(ISNA(MATCH(E2832,ctaNom,0)),"⚠ Cuenta no existe",IF(AND(OR(I2832="Transferencia",I2832="Pago tarjeta"),G2832=""),"⚠ Indica la cuenta «Hacia»",IF(AND(G2832&lt;&gt;"",G2832=E2832),"⚠ «Hacia» igual a la cuenta",IF(AND(G2832&lt;&gt;"",ISNA(MATCH(G2832,ctaNom,0))),"⚠ «Hacia» no existe",IF(AND(I2832="Pago tarjeta",IFERROR(INDEX(ctaTipo,MATCH(G2832,ctaNom,0)),"")&lt;&gt;"Tarjeta de crédito"),"⚠ «Hacia» debe ser la tarjeta",IF(AND(I2832="Trading",IFERROR(INDEX(ctaTipo,MATCH(E2832,ctaNom,0)),"")&lt;&gt;"Cuenta de trading"),"⚠ Usa la cuenta de trading","✓"))))))))))))</f>
        <v/>
      </c>
      <c r="I2832" s="19">
        <f>IF(OR(B2832="",C2832="",D2832=""),"",IFERROR(INDEX(catTipo,MATCH(D2832,catNom,0))&amp;"",""))</f>
        <v/>
      </c>
      <c r="J2832" s="19">
        <f>IF(I2832="","",IFERROR(INDEX(catGrupo,MATCH(D2832,catNom,0))&amp;"",""))</f>
        <v/>
      </c>
      <c r="K2832" s="19">
        <f>IF(I2832="Gasto",IF(IFERROR(INDEX(catClas,MATCH(D2832,catNom,0))&amp;"","")="","Variable",IFERROR(INDEX(catClas,MATCH(D2832,catNom,0))&amp;"","")),"")</f>
        <v/>
      </c>
      <c r="L2832" s="19">
        <f>IF(I2832="","",IFERROR(INDEX(catAlim,MATCH(D2832,catNom,0))&amp;"",""))</f>
        <v/>
      </c>
      <c r="M2832" s="19">
        <f>IF(I2832="","",IFERROR(INDEX(catComida,MATCH(D2832,catNom,0))&amp;"",""))</f>
        <v/>
      </c>
      <c r="N2832" s="19">
        <f>IF(I2832="","",IFERROR(INDEX(ctaMon,MATCH(E2832,ctaNom,0))&amp;"","DOP"))</f>
        <v/>
      </c>
      <c r="O2832" s="20">
        <f>IF(I2832="","",C2832*IF(N2832="USD",TasaUSD,1))</f>
        <v/>
      </c>
      <c r="P2832" s="20">
        <f>IF(I2832="","",IF(I2832="Gasto",O2832,0))</f>
        <v/>
      </c>
      <c r="Q2832" s="20">
        <f>IF(I2832="","",IF(I2832="Ingreso",O2832,0))</f>
        <v/>
      </c>
      <c r="R2832" s="20">
        <f>IF(I2832="","",IF(I2832="Trading",O2832,0))</f>
        <v/>
      </c>
      <c r="S2832" s="19">
        <f>IF(I2832="","",IF(AND(I2832="Gasto",K2832="Variable",J2832&lt;&gt;"Trading",O2832&gt;0,O2832&lt;=Umbral),1,0))</f>
        <v/>
      </c>
      <c r="T2832" s="20">
        <f>IF(OR(I2832="",E2832=""),"",IF(OR(I2832="Gasto",I2832="Transferencia",I2832="Pago tarjeta"),-1,1)*C2832)</f>
        <v/>
      </c>
      <c r="U2832" s="20">
        <f>IF(OR(G2832="",AND(I2832&lt;&gt;"Transferencia",I2832&lt;&gt;"Pago tarjeta")),"",IF(IFERROR(INDEX(ctaMon,MATCH(G2832,ctaNom,0))&amp;"","DOP")=N2832,C2832,IF(N2832="USD",C2832*TasaUSD,C2832/TasaUSD)))</f>
        <v/>
      </c>
      <c r="V2832" s="20">
        <f>IF(I2832="","",IF(IFERROR(INDEX(ctaLiq,MATCH(E2832,ctaNom,0))="Sí",FALSE),IF(OR(I2832="Gasto",I2832="Transferencia",I2832="Pago tarjeta"),-1,1)*O2832,0)+IF(AND(U2832&lt;&gt;"",IFERROR(INDEX(ctaLiq,MATCH(G2832,ctaNom,0))="Sí",FALSE)),O2832,0))</f>
        <v/>
      </c>
      <c r="W2832" s="19">
        <f>IF(OR(F2832="",I2832=""),"",IF(COUNTIFS(F$6:F2832,F2832,I$6:I2832,"?*")=1,MAX(W$5:W2831)+1,""))</f>
        <v/>
      </c>
    </row>
    <row r="2833">
      <c r="B2833" s="15" t="n"/>
      <c r="C2833" s="16" t="n"/>
      <c r="D2833" s="17" t="n"/>
      <c r="E2833" s="17" t="n"/>
      <c r="F2833" s="17" t="n"/>
      <c r="G2833" s="17" t="n"/>
      <c r="H2833" s="18">
        <f>IF(AND(B2833="",C2833="",D2833="",E2833=""),"",IF(B2833="","⚠ Falta fecha",IF(C2833="","⚠ Falta monto",IF(D2833="","⚠ Falta categoría",IF(ISNA(MATCH(D2833,catNom,0)),"⚠ Categoría no existe",IF(E2833="","⚠ Falta cuenta",IF(ISNA(MATCH(E2833,ctaNom,0)),"⚠ Cuenta no existe",IF(AND(OR(I2833="Transferencia",I2833="Pago tarjeta"),G2833=""),"⚠ Indica la cuenta «Hacia»",IF(AND(G2833&lt;&gt;"",G2833=E2833),"⚠ «Hacia» igual a la cuenta",IF(AND(G2833&lt;&gt;"",ISNA(MATCH(G2833,ctaNom,0))),"⚠ «Hacia» no existe",IF(AND(I2833="Pago tarjeta",IFERROR(INDEX(ctaTipo,MATCH(G2833,ctaNom,0)),"")&lt;&gt;"Tarjeta de crédito"),"⚠ «Hacia» debe ser la tarjeta",IF(AND(I2833="Trading",IFERROR(INDEX(ctaTipo,MATCH(E2833,ctaNom,0)),"")&lt;&gt;"Cuenta de trading"),"⚠ Usa la cuenta de trading","✓"))))))))))))</f>
        <v/>
      </c>
      <c r="I2833" s="19">
        <f>IF(OR(B2833="",C2833="",D2833=""),"",IFERROR(INDEX(catTipo,MATCH(D2833,catNom,0))&amp;"",""))</f>
        <v/>
      </c>
      <c r="J2833" s="19">
        <f>IF(I2833="","",IFERROR(INDEX(catGrupo,MATCH(D2833,catNom,0))&amp;"",""))</f>
        <v/>
      </c>
      <c r="K2833" s="19">
        <f>IF(I2833="Gasto",IF(IFERROR(INDEX(catClas,MATCH(D2833,catNom,0))&amp;"","")="","Variable",IFERROR(INDEX(catClas,MATCH(D2833,catNom,0))&amp;"","")),"")</f>
        <v/>
      </c>
      <c r="L2833" s="19">
        <f>IF(I2833="","",IFERROR(INDEX(catAlim,MATCH(D2833,catNom,0))&amp;"",""))</f>
        <v/>
      </c>
      <c r="M2833" s="19">
        <f>IF(I2833="","",IFERROR(INDEX(catComida,MATCH(D2833,catNom,0))&amp;"",""))</f>
        <v/>
      </c>
      <c r="N2833" s="19">
        <f>IF(I2833="","",IFERROR(INDEX(ctaMon,MATCH(E2833,ctaNom,0))&amp;"","DOP"))</f>
        <v/>
      </c>
      <c r="O2833" s="20">
        <f>IF(I2833="","",C2833*IF(N2833="USD",TasaUSD,1))</f>
        <v/>
      </c>
      <c r="P2833" s="20">
        <f>IF(I2833="","",IF(I2833="Gasto",O2833,0))</f>
        <v/>
      </c>
      <c r="Q2833" s="20">
        <f>IF(I2833="","",IF(I2833="Ingreso",O2833,0))</f>
        <v/>
      </c>
      <c r="R2833" s="20">
        <f>IF(I2833="","",IF(I2833="Trading",O2833,0))</f>
        <v/>
      </c>
      <c r="S2833" s="19">
        <f>IF(I2833="","",IF(AND(I2833="Gasto",K2833="Variable",J2833&lt;&gt;"Trading",O2833&gt;0,O2833&lt;=Umbral),1,0))</f>
        <v/>
      </c>
      <c r="T2833" s="20">
        <f>IF(OR(I2833="",E2833=""),"",IF(OR(I2833="Gasto",I2833="Transferencia",I2833="Pago tarjeta"),-1,1)*C2833)</f>
        <v/>
      </c>
      <c r="U2833" s="20">
        <f>IF(OR(G2833="",AND(I2833&lt;&gt;"Transferencia",I2833&lt;&gt;"Pago tarjeta")),"",IF(IFERROR(INDEX(ctaMon,MATCH(G2833,ctaNom,0))&amp;"","DOP")=N2833,C2833,IF(N2833="USD",C2833*TasaUSD,C2833/TasaUSD)))</f>
        <v/>
      </c>
      <c r="V2833" s="20">
        <f>IF(I2833="","",IF(IFERROR(INDEX(ctaLiq,MATCH(E2833,ctaNom,0))="Sí",FALSE),IF(OR(I2833="Gasto",I2833="Transferencia",I2833="Pago tarjeta"),-1,1)*O2833,0)+IF(AND(U2833&lt;&gt;"",IFERROR(INDEX(ctaLiq,MATCH(G2833,ctaNom,0))="Sí",FALSE)),O2833,0))</f>
        <v/>
      </c>
      <c r="W2833" s="19">
        <f>IF(OR(F2833="",I2833=""),"",IF(COUNTIFS(F$6:F2833,F2833,I$6:I2833,"?*")=1,MAX(W$5:W2832)+1,""))</f>
        <v/>
      </c>
    </row>
    <row r="2834">
      <c r="B2834" s="15" t="n"/>
      <c r="C2834" s="16" t="n"/>
      <c r="D2834" s="17" t="n"/>
      <c r="E2834" s="17" t="n"/>
      <c r="F2834" s="17" t="n"/>
      <c r="G2834" s="17" t="n"/>
      <c r="H2834" s="18">
        <f>IF(AND(B2834="",C2834="",D2834="",E2834=""),"",IF(B2834="","⚠ Falta fecha",IF(C2834="","⚠ Falta monto",IF(D2834="","⚠ Falta categoría",IF(ISNA(MATCH(D2834,catNom,0)),"⚠ Categoría no existe",IF(E2834="","⚠ Falta cuenta",IF(ISNA(MATCH(E2834,ctaNom,0)),"⚠ Cuenta no existe",IF(AND(OR(I2834="Transferencia",I2834="Pago tarjeta"),G2834=""),"⚠ Indica la cuenta «Hacia»",IF(AND(G2834&lt;&gt;"",G2834=E2834),"⚠ «Hacia» igual a la cuenta",IF(AND(G2834&lt;&gt;"",ISNA(MATCH(G2834,ctaNom,0))),"⚠ «Hacia» no existe",IF(AND(I2834="Pago tarjeta",IFERROR(INDEX(ctaTipo,MATCH(G2834,ctaNom,0)),"")&lt;&gt;"Tarjeta de crédito"),"⚠ «Hacia» debe ser la tarjeta",IF(AND(I2834="Trading",IFERROR(INDEX(ctaTipo,MATCH(E2834,ctaNom,0)),"")&lt;&gt;"Cuenta de trading"),"⚠ Usa la cuenta de trading","✓"))))))))))))</f>
        <v/>
      </c>
      <c r="I2834" s="19">
        <f>IF(OR(B2834="",C2834="",D2834=""),"",IFERROR(INDEX(catTipo,MATCH(D2834,catNom,0))&amp;"",""))</f>
        <v/>
      </c>
      <c r="J2834" s="19">
        <f>IF(I2834="","",IFERROR(INDEX(catGrupo,MATCH(D2834,catNom,0))&amp;"",""))</f>
        <v/>
      </c>
      <c r="K2834" s="19">
        <f>IF(I2834="Gasto",IF(IFERROR(INDEX(catClas,MATCH(D2834,catNom,0))&amp;"","")="","Variable",IFERROR(INDEX(catClas,MATCH(D2834,catNom,0))&amp;"","")),"")</f>
        <v/>
      </c>
      <c r="L2834" s="19">
        <f>IF(I2834="","",IFERROR(INDEX(catAlim,MATCH(D2834,catNom,0))&amp;"",""))</f>
        <v/>
      </c>
      <c r="M2834" s="19">
        <f>IF(I2834="","",IFERROR(INDEX(catComida,MATCH(D2834,catNom,0))&amp;"",""))</f>
        <v/>
      </c>
      <c r="N2834" s="19">
        <f>IF(I2834="","",IFERROR(INDEX(ctaMon,MATCH(E2834,ctaNom,0))&amp;"","DOP"))</f>
        <v/>
      </c>
      <c r="O2834" s="20">
        <f>IF(I2834="","",C2834*IF(N2834="USD",TasaUSD,1))</f>
        <v/>
      </c>
      <c r="P2834" s="20">
        <f>IF(I2834="","",IF(I2834="Gasto",O2834,0))</f>
        <v/>
      </c>
      <c r="Q2834" s="20">
        <f>IF(I2834="","",IF(I2834="Ingreso",O2834,0))</f>
        <v/>
      </c>
      <c r="R2834" s="20">
        <f>IF(I2834="","",IF(I2834="Trading",O2834,0))</f>
        <v/>
      </c>
      <c r="S2834" s="19">
        <f>IF(I2834="","",IF(AND(I2834="Gasto",K2834="Variable",J2834&lt;&gt;"Trading",O2834&gt;0,O2834&lt;=Umbral),1,0))</f>
        <v/>
      </c>
      <c r="T2834" s="20">
        <f>IF(OR(I2834="",E2834=""),"",IF(OR(I2834="Gasto",I2834="Transferencia",I2834="Pago tarjeta"),-1,1)*C2834)</f>
        <v/>
      </c>
      <c r="U2834" s="20">
        <f>IF(OR(G2834="",AND(I2834&lt;&gt;"Transferencia",I2834&lt;&gt;"Pago tarjeta")),"",IF(IFERROR(INDEX(ctaMon,MATCH(G2834,ctaNom,0))&amp;"","DOP")=N2834,C2834,IF(N2834="USD",C2834*TasaUSD,C2834/TasaUSD)))</f>
        <v/>
      </c>
      <c r="V2834" s="20">
        <f>IF(I2834="","",IF(IFERROR(INDEX(ctaLiq,MATCH(E2834,ctaNom,0))="Sí",FALSE),IF(OR(I2834="Gasto",I2834="Transferencia",I2834="Pago tarjeta"),-1,1)*O2834,0)+IF(AND(U2834&lt;&gt;"",IFERROR(INDEX(ctaLiq,MATCH(G2834,ctaNom,0))="Sí",FALSE)),O2834,0))</f>
        <v/>
      </c>
      <c r="W2834" s="19">
        <f>IF(OR(F2834="",I2834=""),"",IF(COUNTIFS(F$6:F2834,F2834,I$6:I2834,"?*")=1,MAX(W$5:W2833)+1,""))</f>
        <v/>
      </c>
    </row>
    <row r="2835">
      <c r="B2835" s="15" t="n"/>
      <c r="C2835" s="16" t="n"/>
      <c r="D2835" s="17" t="n"/>
      <c r="E2835" s="17" t="n"/>
      <c r="F2835" s="17" t="n"/>
      <c r="G2835" s="17" t="n"/>
      <c r="H2835" s="18">
        <f>IF(AND(B2835="",C2835="",D2835="",E2835=""),"",IF(B2835="","⚠ Falta fecha",IF(C2835="","⚠ Falta monto",IF(D2835="","⚠ Falta categoría",IF(ISNA(MATCH(D2835,catNom,0)),"⚠ Categoría no existe",IF(E2835="","⚠ Falta cuenta",IF(ISNA(MATCH(E2835,ctaNom,0)),"⚠ Cuenta no existe",IF(AND(OR(I2835="Transferencia",I2835="Pago tarjeta"),G2835=""),"⚠ Indica la cuenta «Hacia»",IF(AND(G2835&lt;&gt;"",G2835=E2835),"⚠ «Hacia» igual a la cuenta",IF(AND(G2835&lt;&gt;"",ISNA(MATCH(G2835,ctaNom,0))),"⚠ «Hacia» no existe",IF(AND(I2835="Pago tarjeta",IFERROR(INDEX(ctaTipo,MATCH(G2835,ctaNom,0)),"")&lt;&gt;"Tarjeta de crédito"),"⚠ «Hacia» debe ser la tarjeta",IF(AND(I2835="Trading",IFERROR(INDEX(ctaTipo,MATCH(E2835,ctaNom,0)),"")&lt;&gt;"Cuenta de trading"),"⚠ Usa la cuenta de trading","✓"))))))))))))</f>
        <v/>
      </c>
      <c r="I2835" s="19">
        <f>IF(OR(B2835="",C2835="",D2835=""),"",IFERROR(INDEX(catTipo,MATCH(D2835,catNom,0))&amp;"",""))</f>
        <v/>
      </c>
      <c r="J2835" s="19">
        <f>IF(I2835="","",IFERROR(INDEX(catGrupo,MATCH(D2835,catNom,0))&amp;"",""))</f>
        <v/>
      </c>
      <c r="K2835" s="19">
        <f>IF(I2835="Gasto",IF(IFERROR(INDEX(catClas,MATCH(D2835,catNom,0))&amp;"","")="","Variable",IFERROR(INDEX(catClas,MATCH(D2835,catNom,0))&amp;"","")),"")</f>
        <v/>
      </c>
      <c r="L2835" s="19">
        <f>IF(I2835="","",IFERROR(INDEX(catAlim,MATCH(D2835,catNom,0))&amp;"",""))</f>
        <v/>
      </c>
      <c r="M2835" s="19">
        <f>IF(I2835="","",IFERROR(INDEX(catComida,MATCH(D2835,catNom,0))&amp;"",""))</f>
        <v/>
      </c>
      <c r="N2835" s="19">
        <f>IF(I2835="","",IFERROR(INDEX(ctaMon,MATCH(E2835,ctaNom,0))&amp;"","DOP"))</f>
        <v/>
      </c>
      <c r="O2835" s="20">
        <f>IF(I2835="","",C2835*IF(N2835="USD",TasaUSD,1))</f>
        <v/>
      </c>
      <c r="P2835" s="20">
        <f>IF(I2835="","",IF(I2835="Gasto",O2835,0))</f>
        <v/>
      </c>
      <c r="Q2835" s="20">
        <f>IF(I2835="","",IF(I2835="Ingreso",O2835,0))</f>
        <v/>
      </c>
      <c r="R2835" s="20">
        <f>IF(I2835="","",IF(I2835="Trading",O2835,0))</f>
        <v/>
      </c>
      <c r="S2835" s="19">
        <f>IF(I2835="","",IF(AND(I2835="Gasto",K2835="Variable",J2835&lt;&gt;"Trading",O2835&gt;0,O2835&lt;=Umbral),1,0))</f>
        <v/>
      </c>
      <c r="T2835" s="20">
        <f>IF(OR(I2835="",E2835=""),"",IF(OR(I2835="Gasto",I2835="Transferencia",I2835="Pago tarjeta"),-1,1)*C2835)</f>
        <v/>
      </c>
      <c r="U2835" s="20">
        <f>IF(OR(G2835="",AND(I2835&lt;&gt;"Transferencia",I2835&lt;&gt;"Pago tarjeta")),"",IF(IFERROR(INDEX(ctaMon,MATCH(G2835,ctaNom,0))&amp;"","DOP")=N2835,C2835,IF(N2835="USD",C2835*TasaUSD,C2835/TasaUSD)))</f>
        <v/>
      </c>
      <c r="V2835" s="20">
        <f>IF(I2835="","",IF(IFERROR(INDEX(ctaLiq,MATCH(E2835,ctaNom,0))="Sí",FALSE),IF(OR(I2835="Gasto",I2835="Transferencia",I2835="Pago tarjeta"),-1,1)*O2835,0)+IF(AND(U2835&lt;&gt;"",IFERROR(INDEX(ctaLiq,MATCH(G2835,ctaNom,0))="Sí",FALSE)),O2835,0))</f>
        <v/>
      </c>
      <c r="W2835" s="19">
        <f>IF(OR(F2835="",I2835=""),"",IF(COUNTIFS(F$6:F2835,F2835,I$6:I2835,"?*")=1,MAX(W$5:W2834)+1,""))</f>
        <v/>
      </c>
    </row>
    <row r="2836">
      <c r="B2836" s="15" t="n"/>
      <c r="C2836" s="16" t="n"/>
      <c r="D2836" s="17" t="n"/>
      <c r="E2836" s="17" t="n"/>
      <c r="F2836" s="17" t="n"/>
      <c r="G2836" s="17" t="n"/>
      <c r="H2836" s="18">
        <f>IF(AND(B2836="",C2836="",D2836="",E2836=""),"",IF(B2836="","⚠ Falta fecha",IF(C2836="","⚠ Falta monto",IF(D2836="","⚠ Falta categoría",IF(ISNA(MATCH(D2836,catNom,0)),"⚠ Categoría no existe",IF(E2836="","⚠ Falta cuenta",IF(ISNA(MATCH(E2836,ctaNom,0)),"⚠ Cuenta no existe",IF(AND(OR(I2836="Transferencia",I2836="Pago tarjeta"),G2836=""),"⚠ Indica la cuenta «Hacia»",IF(AND(G2836&lt;&gt;"",G2836=E2836),"⚠ «Hacia» igual a la cuenta",IF(AND(G2836&lt;&gt;"",ISNA(MATCH(G2836,ctaNom,0))),"⚠ «Hacia» no existe",IF(AND(I2836="Pago tarjeta",IFERROR(INDEX(ctaTipo,MATCH(G2836,ctaNom,0)),"")&lt;&gt;"Tarjeta de crédito"),"⚠ «Hacia» debe ser la tarjeta",IF(AND(I2836="Trading",IFERROR(INDEX(ctaTipo,MATCH(E2836,ctaNom,0)),"")&lt;&gt;"Cuenta de trading"),"⚠ Usa la cuenta de trading","✓"))))))))))))</f>
        <v/>
      </c>
      <c r="I2836" s="19">
        <f>IF(OR(B2836="",C2836="",D2836=""),"",IFERROR(INDEX(catTipo,MATCH(D2836,catNom,0))&amp;"",""))</f>
        <v/>
      </c>
      <c r="J2836" s="19">
        <f>IF(I2836="","",IFERROR(INDEX(catGrupo,MATCH(D2836,catNom,0))&amp;"",""))</f>
        <v/>
      </c>
      <c r="K2836" s="19">
        <f>IF(I2836="Gasto",IF(IFERROR(INDEX(catClas,MATCH(D2836,catNom,0))&amp;"","")="","Variable",IFERROR(INDEX(catClas,MATCH(D2836,catNom,0))&amp;"","")),"")</f>
        <v/>
      </c>
      <c r="L2836" s="19">
        <f>IF(I2836="","",IFERROR(INDEX(catAlim,MATCH(D2836,catNom,0))&amp;"",""))</f>
        <v/>
      </c>
      <c r="M2836" s="19">
        <f>IF(I2836="","",IFERROR(INDEX(catComida,MATCH(D2836,catNom,0))&amp;"",""))</f>
        <v/>
      </c>
      <c r="N2836" s="19">
        <f>IF(I2836="","",IFERROR(INDEX(ctaMon,MATCH(E2836,ctaNom,0))&amp;"","DOP"))</f>
        <v/>
      </c>
      <c r="O2836" s="20">
        <f>IF(I2836="","",C2836*IF(N2836="USD",TasaUSD,1))</f>
        <v/>
      </c>
      <c r="P2836" s="20">
        <f>IF(I2836="","",IF(I2836="Gasto",O2836,0))</f>
        <v/>
      </c>
      <c r="Q2836" s="20">
        <f>IF(I2836="","",IF(I2836="Ingreso",O2836,0))</f>
        <v/>
      </c>
      <c r="R2836" s="20">
        <f>IF(I2836="","",IF(I2836="Trading",O2836,0))</f>
        <v/>
      </c>
      <c r="S2836" s="19">
        <f>IF(I2836="","",IF(AND(I2836="Gasto",K2836="Variable",J2836&lt;&gt;"Trading",O2836&gt;0,O2836&lt;=Umbral),1,0))</f>
        <v/>
      </c>
      <c r="T2836" s="20">
        <f>IF(OR(I2836="",E2836=""),"",IF(OR(I2836="Gasto",I2836="Transferencia",I2836="Pago tarjeta"),-1,1)*C2836)</f>
        <v/>
      </c>
      <c r="U2836" s="20">
        <f>IF(OR(G2836="",AND(I2836&lt;&gt;"Transferencia",I2836&lt;&gt;"Pago tarjeta")),"",IF(IFERROR(INDEX(ctaMon,MATCH(G2836,ctaNom,0))&amp;"","DOP")=N2836,C2836,IF(N2836="USD",C2836*TasaUSD,C2836/TasaUSD)))</f>
        <v/>
      </c>
      <c r="V2836" s="20">
        <f>IF(I2836="","",IF(IFERROR(INDEX(ctaLiq,MATCH(E2836,ctaNom,0))="Sí",FALSE),IF(OR(I2836="Gasto",I2836="Transferencia",I2836="Pago tarjeta"),-1,1)*O2836,0)+IF(AND(U2836&lt;&gt;"",IFERROR(INDEX(ctaLiq,MATCH(G2836,ctaNom,0))="Sí",FALSE)),O2836,0))</f>
        <v/>
      </c>
      <c r="W2836" s="19">
        <f>IF(OR(F2836="",I2836=""),"",IF(COUNTIFS(F$6:F2836,F2836,I$6:I2836,"?*")=1,MAX(W$5:W2835)+1,""))</f>
        <v/>
      </c>
    </row>
    <row r="2837">
      <c r="B2837" s="15" t="n"/>
      <c r="C2837" s="16" t="n"/>
      <c r="D2837" s="17" t="n"/>
      <c r="E2837" s="17" t="n"/>
      <c r="F2837" s="17" t="n"/>
      <c r="G2837" s="17" t="n"/>
      <c r="H2837" s="18">
        <f>IF(AND(B2837="",C2837="",D2837="",E2837=""),"",IF(B2837="","⚠ Falta fecha",IF(C2837="","⚠ Falta monto",IF(D2837="","⚠ Falta categoría",IF(ISNA(MATCH(D2837,catNom,0)),"⚠ Categoría no existe",IF(E2837="","⚠ Falta cuenta",IF(ISNA(MATCH(E2837,ctaNom,0)),"⚠ Cuenta no existe",IF(AND(OR(I2837="Transferencia",I2837="Pago tarjeta"),G2837=""),"⚠ Indica la cuenta «Hacia»",IF(AND(G2837&lt;&gt;"",G2837=E2837),"⚠ «Hacia» igual a la cuenta",IF(AND(G2837&lt;&gt;"",ISNA(MATCH(G2837,ctaNom,0))),"⚠ «Hacia» no existe",IF(AND(I2837="Pago tarjeta",IFERROR(INDEX(ctaTipo,MATCH(G2837,ctaNom,0)),"")&lt;&gt;"Tarjeta de crédito"),"⚠ «Hacia» debe ser la tarjeta",IF(AND(I2837="Trading",IFERROR(INDEX(ctaTipo,MATCH(E2837,ctaNom,0)),"")&lt;&gt;"Cuenta de trading"),"⚠ Usa la cuenta de trading","✓"))))))))))))</f>
        <v/>
      </c>
      <c r="I2837" s="19">
        <f>IF(OR(B2837="",C2837="",D2837=""),"",IFERROR(INDEX(catTipo,MATCH(D2837,catNom,0))&amp;"",""))</f>
        <v/>
      </c>
      <c r="J2837" s="19">
        <f>IF(I2837="","",IFERROR(INDEX(catGrupo,MATCH(D2837,catNom,0))&amp;"",""))</f>
        <v/>
      </c>
      <c r="K2837" s="19">
        <f>IF(I2837="Gasto",IF(IFERROR(INDEX(catClas,MATCH(D2837,catNom,0))&amp;"","")="","Variable",IFERROR(INDEX(catClas,MATCH(D2837,catNom,0))&amp;"","")),"")</f>
        <v/>
      </c>
      <c r="L2837" s="19">
        <f>IF(I2837="","",IFERROR(INDEX(catAlim,MATCH(D2837,catNom,0))&amp;"",""))</f>
        <v/>
      </c>
      <c r="M2837" s="19">
        <f>IF(I2837="","",IFERROR(INDEX(catComida,MATCH(D2837,catNom,0))&amp;"",""))</f>
        <v/>
      </c>
      <c r="N2837" s="19">
        <f>IF(I2837="","",IFERROR(INDEX(ctaMon,MATCH(E2837,ctaNom,0))&amp;"","DOP"))</f>
        <v/>
      </c>
      <c r="O2837" s="20">
        <f>IF(I2837="","",C2837*IF(N2837="USD",TasaUSD,1))</f>
        <v/>
      </c>
      <c r="P2837" s="20">
        <f>IF(I2837="","",IF(I2837="Gasto",O2837,0))</f>
        <v/>
      </c>
      <c r="Q2837" s="20">
        <f>IF(I2837="","",IF(I2837="Ingreso",O2837,0))</f>
        <v/>
      </c>
      <c r="R2837" s="20">
        <f>IF(I2837="","",IF(I2837="Trading",O2837,0))</f>
        <v/>
      </c>
      <c r="S2837" s="19">
        <f>IF(I2837="","",IF(AND(I2837="Gasto",K2837="Variable",J2837&lt;&gt;"Trading",O2837&gt;0,O2837&lt;=Umbral),1,0))</f>
        <v/>
      </c>
      <c r="T2837" s="20">
        <f>IF(OR(I2837="",E2837=""),"",IF(OR(I2837="Gasto",I2837="Transferencia",I2837="Pago tarjeta"),-1,1)*C2837)</f>
        <v/>
      </c>
      <c r="U2837" s="20">
        <f>IF(OR(G2837="",AND(I2837&lt;&gt;"Transferencia",I2837&lt;&gt;"Pago tarjeta")),"",IF(IFERROR(INDEX(ctaMon,MATCH(G2837,ctaNom,0))&amp;"","DOP")=N2837,C2837,IF(N2837="USD",C2837*TasaUSD,C2837/TasaUSD)))</f>
        <v/>
      </c>
      <c r="V2837" s="20">
        <f>IF(I2837="","",IF(IFERROR(INDEX(ctaLiq,MATCH(E2837,ctaNom,0))="Sí",FALSE),IF(OR(I2837="Gasto",I2837="Transferencia",I2837="Pago tarjeta"),-1,1)*O2837,0)+IF(AND(U2837&lt;&gt;"",IFERROR(INDEX(ctaLiq,MATCH(G2837,ctaNom,0))="Sí",FALSE)),O2837,0))</f>
        <v/>
      </c>
      <c r="W2837" s="19">
        <f>IF(OR(F2837="",I2837=""),"",IF(COUNTIFS(F$6:F2837,F2837,I$6:I2837,"?*")=1,MAX(W$5:W2836)+1,""))</f>
        <v/>
      </c>
    </row>
    <row r="2838">
      <c r="B2838" s="15" t="n"/>
      <c r="C2838" s="16" t="n"/>
      <c r="D2838" s="17" t="n"/>
      <c r="E2838" s="17" t="n"/>
      <c r="F2838" s="17" t="n"/>
      <c r="G2838" s="17" t="n"/>
      <c r="H2838" s="18">
        <f>IF(AND(B2838="",C2838="",D2838="",E2838=""),"",IF(B2838="","⚠ Falta fecha",IF(C2838="","⚠ Falta monto",IF(D2838="","⚠ Falta categoría",IF(ISNA(MATCH(D2838,catNom,0)),"⚠ Categoría no existe",IF(E2838="","⚠ Falta cuenta",IF(ISNA(MATCH(E2838,ctaNom,0)),"⚠ Cuenta no existe",IF(AND(OR(I2838="Transferencia",I2838="Pago tarjeta"),G2838=""),"⚠ Indica la cuenta «Hacia»",IF(AND(G2838&lt;&gt;"",G2838=E2838),"⚠ «Hacia» igual a la cuenta",IF(AND(G2838&lt;&gt;"",ISNA(MATCH(G2838,ctaNom,0))),"⚠ «Hacia» no existe",IF(AND(I2838="Pago tarjeta",IFERROR(INDEX(ctaTipo,MATCH(G2838,ctaNom,0)),"")&lt;&gt;"Tarjeta de crédito"),"⚠ «Hacia» debe ser la tarjeta",IF(AND(I2838="Trading",IFERROR(INDEX(ctaTipo,MATCH(E2838,ctaNom,0)),"")&lt;&gt;"Cuenta de trading"),"⚠ Usa la cuenta de trading","✓"))))))))))))</f>
        <v/>
      </c>
      <c r="I2838" s="19">
        <f>IF(OR(B2838="",C2838="",D2838=""),"",IFERROR(INDEX(catTipo,MATCH(D2838,catNom,0))&amp;"",""))</f>
        <v/>
      </c>
      <c r="J2838" s="19">
        <f>IF(I2838="","",IFERROR(INDEX(catGrupo,MATCH(D2838,catNom,0))&amp;"",""))</f>
        <v/>
      </c>
      <c r="K2838" s="19">
        <f>IF(I2838="Gasto",IF(IFERROR(INDEX(catClas,MATCH(D2838,catNom,0))&amp;"","")="","Variable",IFERROR(INDEX(catClas,MATCH(D2838,catNom,0))&amp;"","")),"")</f>
        <v/>
      </c>
      <c r="L2838" s="19">
        <f>IF(I2838="","",IFERROR(INDEX(catAlim,MATCH(D2838,catNom,0))&amp;"",""))</f>
        <v/>
      </c>
      <c r="M2838" s="19">
        <f>IF(I2838="","",IFERROR(INDEX(catComida,MATCH(D2838,catNom,0))&amp;"",""))</f>
        <v/>
      </c>
      <c r="N2838" s="19">
        <f>IF(I2838="","",IFERROR(INDEX(ctaMon,MATCH(E2838,ctaNom,0))&amp;"","DOP"))</f>
        <v/>
      </c>
      <c r="O2838" s="20">
        <f>IF(I2838="","",C2838*IF(N2838="USD",TasaUSD,1))</f>
        <v/>
      </c>
      <c r="P2838" s="20">
        <f>IF(I2838="","",IF(I2838="Gasto",O2838,0))</f>
        <v/>
      </c>
      <c r="Q2838" s="20">
        <f>IF(I2838="","",IF(I2838="Ingreso",O2838,0))</f>
        <v/>
      </c>
      <c r="R2838" s="20">
        <f>IF(I2838="","",IF(I2838="Trading",O2838,0))</f>
        <v/>
      </c>
      <c r="S2838" s="19">
        <f>IF(I2838="","",IF(AND(I2838="Gasto",K2838="Variable",J2838&lt;&gt;"Trading",O2838&gt;0,O2838&lt;=Umbral),1,0))</f>
        <v/>
      </c>
      <c r="T2838" s="20">
        <f>IF(OR(I2838="",E2838=""),"",IF(OR(I2838="Gasto",I2838="Transferencia",I2838="Pago tarjeta"),-1,1)*C2838)</f>
        <v/>
      </c>
      <c r="U2838" s="20">
        <f>IF(OR(G2838="",AND(I2838&lt;&gt;"Transferencia",I2838&lt;&gt;"Pago tarjeta")),"",IF(IFERROR(INDEX(ctaMon,MATCH(G2838,ctaNom,0))&amp;"","DOP")=N2838,C2838,IF(N2838="USD",C2838*TasaUSD,C2838/TasaUSD)))</f>
        <v/>
      </c>
      <c r="V2838" s="20">
        <f>IF(I2838="","",IF(IFERROR(INDEX(ctaLiq,MATCH(E2838,ctaNom,0))="Sí",FALSE),IF(OR(I2838="Gasto",I2838="Transferencia",I2838="Pago tarjeta"),-1,1)*O2838,0)+IF(AND(U2838&lt;&gt;"",IFERROR(INDEX(ctaLiq,MATCH(G2838,ctaNom,0))="Sí",FALSE)),O2838,0))</f>
        <v/>
      </c>
      <c r="W2838" s="19">
        <f>IF(OR(F2838="",I2838=""),"",IF(COUNTIFS(F$6:F2838,F2838,I$6:I2838,"?*")=1,MAX(W$5:W2837)+1,""))</f>
        <v/>
      </c>
    </row>
    <row r="2839">
      <c r="B2839" s="15" t="n"/>
      <c r="C2839" s="16" t="n"/>
      <c r="D2839" s="17" t="n"/>
      <c r="E2839" s="17" t="n"/>
      <c r="F2839" s="17" t="n"/>
      <c r="G2839" s="17" t="n"/>
      <c r="H2839" s="18">
        <f>IF(AND(B2839="",C2839="",D2839="",E2839=""),"",IF(B2839="","⚠ Falta fecha",IF(C2839="","⚠ Falta monto",IF(D2839="","⚠ Falta categoría",IF(ISNA(MATCH(D2839,catNom,0)),"⚠ Categoría no existe",IF(E2839="","⚠ Falta cuenta",IF(ISNA(MATCH(E2839,ctaNom,0)),"⚠ Cuenta no existe",IF(AND(OR(I2839="Transferencia",I2839="Pago tarjeta"),G2839=""),"⚠ Indica la cuenta «Hacia»",IF(AND(G2839&lt;&gt;"",G2839=E2839),"⚠ «Hacia» igual a la cuenta",IF(AND(G2839&lt;&gt;"",ISNA(MATCH(G2839,ctaNom,0))),"⚠ «Hacia» no existe",IF(AND(I2839="Pago tarjeta",IFERROR(INDEX(ctaTipo,MATCH(G2839,ctaNom,0)),"")&lt;&gt;"Tarjeta de crédito"),"⚠ «Hacia» debe ser la tarjeta",IF(AND(I2839="Trading",IFERROR(INDEX(ctaTipo,MATCH(E2839,ctaNom,0)),"")&lt;&gt;"Cuenta de trading"),"⚠ Usa la cuenta de trading","✓"))))))))))))</f>
        <v/>
      </c>
      <c r="I2839" s="19">
        <f>IF(OR(B2839="",C2839="",D2839=""),"",IFERROR(INDEX(catTipo,MATCH(D2839,catNom,0))&amp;"",""))</f>
        <v/>
      </c>
      <c r="J2839" s="19">
        <f>IF(I2839="","",IFERROR(INDEX(catGrupo,MATCH(D2839,catNom,0))&amp;"",""))</f>
        <v/>
      </c>
      <c r="K2839" s="19">
        <f>IF(I2839="Gasto",IF(IFERROR(INDEX(catClas,MATCH(D2839,catNom,0))&amp;"","")="","Variable",IFERROR(INDEX(catClas,MATCH(D2839,catNom,0))&amp;"","")),"")</f>
        <v/>
      </c>
      <c r="L2839" s="19">
        <f>IF(I2839="","",IFERROR(INDEX(catAlim,MATCH(D2839,catNom,0))&amp;"",""))</f>
        <v/>
      </c>
      <c r="M2839" s="19">
        <f>IF(I2839="","",IFERROR(INDEX(catComida,MATCH(D2839,catNom,0))&amp;"",""))</f>
        <v/>
      </c>
      <c r="N2839" s="19">
        <f>IF(I2839="","",IFERROR(INDEX(ctaMon,MATCH(E2839,ctaNom,0))&amp;"","DOP"))</f>
        <v/>
      </c>
      <c r="O2839" s="20">
        <f>IF(I2839="","",C2839*IF(N2839="USD",TasaUSD,1))</f>
        <v/>
      </c>
      <c r="P2839" s="20">
        <f>IF(I2839="","",IF(I2839="Gasto",O2839,0))</f>
        <v/>
      </c>
      <c r="Q2839" s="20">
        <f>IF(I2839="","",IF(I2839="Ingreso",O2839,0))</f>
        <v/>
      </c>
      <c r="R2839" s="20">
        <f>IF(I2839="","",IF(I2839="Trading",O2839,0))</f>
        <v/>
      </c>
      <c r="S2839" s="19">
        <f>IF(I2839="","",IF(AND(I2839="Gasto",K2839="Variable",J2839&lt;&gt;"Trading",O2839&gt;0,O2839&lt;=Umbral),1,0))</f>
        <v/>
      </c>
      <c r="T2839" s="20">
        <f>IF(OR(I2839="",E2839=""),"",IF(OR(I2839="Gasto",I2839="Transferencia",I2839="Pago tarjeta"),-1,1)*C2839)</f>
        <v/>
      </c>
      <c r="U2839" s="20">
        <f>IF(OR(G2839="",AND(I2839&lt;&gt;"Transferencia",I2839&lt;&gt;"Pago tarjeta")),"",IF(IFERROR(INDEX(ctaMon,MATCH(G2839,ctaNom,0))&amp;"","DOP")=N2839,C2839,IF(N2839="USD",C2839*TasaUSD,C2839/TasaUSD)))</f>
        <v/>
      </c>
      <c r="V2839" s="20">
        <f>IF(I2839="","",IF(IFERROR(INDEX(ctaLiq,MATCH(E2839,ctaNom,0))="Sí",FALSE),IF(OR(I2839="Gasto",I2839="Transferencia",I2839="Pago tarjeta"),-1,1)*O2839,0)+IF(AND(U2839&lt;&gt;"",IFERROR(INDEX(ctaLiq,MATCH(G2839,ctaNom,0))="Sí",FALSE)),O2839,0))</f>
        <v/>
      </c>
      <c r="W2839" s="19">
        <f>IF(OR(F2839="",I2839=""),"",IF(COUNTIFS(F$6:F2839,F2839,I$6:I2839,"?*")=1,MAX(W$5:W2838)+1,""))</f>
        <v/>
      </c>
    </row>
    <row r="2840">
      <c r="B2840" s="15" t="n"/>
      <c r="C2840" s="16" t="n"/>
      <c r="D2840" s="17" t="n"/>
      <c r="E2840" s="17" t="n"/>
      <c r="F2840" s="17" t="n"/>
      <c r="G2840" s="17" t="n"/>
      <c r="H2840" s="18">
        <f>IF(AND(B2840="",C2840="",D2840="",E2840=""),"",IF(B2840="","⚠ Falta fecha",IF(C2840="","⚠ Falta monto",IF(D2840="","⚠ Falta categoría",IF(ISNA(MATCH(D2840,catNom,0)),"⚠ Categoría no existe",IF(E2840="","⚠ Falta cuenta",IF(ISNA(MATCH(E2840,ctaNom,0)),"⚠ Cuenta no existe",IF(AND(OR(I2840="Transferencia",I2840="Pago tarjeta"),G2840=""),"⚠ Indica la cuenta «Hacia»",IF(AND(G2840&lt;&gt;"",G2840=E2840),"⚠ «Hacia» igual a la cuenta",IF(AND(G2840&lt;&gt;"",ISNA(MATCH(G2840,ctaNom,0))),"⚠ «Hacia» no existe",IF(AND(I2840="Pago tarjeta",IFERROR(INDEX(ctaTipo,MATCH(G2840,ctaNom,0)),"")&lt;&gt;"Tarjeta de crédito"),"⚠ «Hacia» debe ser la tarjeta",IF(AND(I2840="Trading",IFERROR(INDEX(ctaTipo,MATCH(E2840,ctaNom,0)),"")&lt;&gt;"Cuenta de trading"),"⚠ Usa la cuenta de trading","✓"))))))))))))</f>
        <v/>
      </c>
      <c r="I2840" s="19">
        <f>IF(OR(B2840="",C2840="",D2840=""),"",IFERROR(INDEX(catTipo,MATCH(D2840,catNom,0))&amp;"",""))</f>
        <v/>
      </c>
      <c r="J2840" s="19">
        <f>IF(I2840="","",IFERROR(INDEX(catGrupo,MATCH(D2840,catNom,0))&amp;"",""))</f>
        <v/>
      </c>
      <c r="K2840" s="19">
        <f>IF(I2840="Gasto",IF(IFERROR(INDEX(catClas,MATCH(D2840,catNom,0))&amp;"","")="","Variable",IFERROR(INDEX(catClas,MATCH(D2840,catNom,0))&amp;"","")),"")</f>
        <v/>
      </c>
      <c r="L2840" s="19">
        <f>IF(I2840="","",IFERROR(INDEX(catAlim,MATCH(D2840,catNom,0))&amp;"",""))</f>
        <v/>
      </c>
      <c r="M2840" s="19">
        <f>IF(I2840="","",IFERROR(INDEX(catComida,MATCH(D2840,catNom,0))&amp;"",""))</f>
        <v/>
      </c>
      <c r="N2840" s="19">
        <f>IF(I2840="","",IFERROR(INDEX(ctaMon,MATCH(E2840,ctaNom,0))&amp;"","DOP"))</f>
        <v/>
      </c>
      <c r="O2840" s="20">
        <f>IF(I2840="","",C2840*IF(N2840="USD",TasaUSD,1))</f>
        <v/>
      </c>
      <c r="P2840" s="20">
        <f>IF(I2840="","",IF(I2840="Gasto",O2840,0))</f>
        <v/>
      </c>
      <c r="Q2840" s="20">
        <f>IF(I2840="","",IF(I2840="Ingreso",O2840,0))</f>
        <v/>
      </c>
      <c r="R2840" s="20">
        <f>IF(I2840="","",IF(I2840="Trading",O2840,0))</f>
        <v/>
      </c>
      <c r="S2840" s="19">
        <f>IF(I2840="","",IF(AND(I2840="Gasto",K2840="Variable",J2840&lt;&gt;"Trading",O2840&gt;0,O2840&lt;=Umbral),1,0))</f>
        <v/>
      </c>
      <c r="T2840" s="20">
        <f>IF(OR(I2840="",E2840=""),"",IF(OR(I2840="Gasto",I2840="Transferencia",I2840="Pago tarjeta"),-1,1)*C2840)</f>
        <v/>
      </c>
      <c r="U2840" s="20">
        <f>IF(OR(G2840="",AND(I2840&lt;&gt;"Transferencia",I2840&lt;&gt;"Pago tarjeta")),"",IF(IFERROR(INDEX(ctaMon,MATCH(G2840,ctaNom,0))&amp;"","DOP")=N2840,C2840,IF(N2840="USD",C2840*TasaUSD,C2840/TasaUSD)))</f>
        <v/>
      </c>
      <c r="V2840" s="20">
        <f>IF(I2840="","",IF(IFERROR(INDEX(ctaLiq,MATCH(E2840,ctaNom,0))="Sí",FALSE),IF(OR(I2840="Gasto",I2840="Transferencia",I2840="Pago tarjeta"),-1,1)*O2840,0)+IF(AND(U2840&lt;&gt;"",IFERROR(INDEX(ctaLiq,MATCH(G2840,ctaNom,0))="Sí",FALSE)),O2840,0))</f>
        <v/>
      </c>
      <c r="W2840" s="19">
        <f>IF(OR(F2840="",I2840=""),"",IF(COUNTIFS(F$6:F2840,F2840,I$6:I2840,"?*")=1,MAX(W$5:W2839)+1,""))</f>
        <v/>
      </c>
    </row>
    <row r="2841">
      <c r="B2841" s="15" t="n"/>
      <c r="C2841" s="16" t="n"/>
      <c r="D2841" s="17" t="n"/>
      <c r="E2841" s="17" t="n"/>
      <c r="F2841" s="17" t="n"/>
      <c r="G2841" s="17" t="n"/>
      <c r="H2841" s="18">
        <f>IF(AND(B2841="",C2841="",D2841="",E2841=""),"",IF(B2841="","⚠ Falta fecha",IF(C2841="","⚠ Falta monto",IF(D2841="","⚠ Falta categoría",IF(ISNA(MATCH(D2841,catNom,0)),"⚠ Categoría no existe",IF(E2841="","⚠ Falta cuenta",IF(ISNA(MATCH(E2841,ctaNom,0)),"⚠ Cuenta no existe",IF(AND(OR(I2841="Transferencia",I2841="Pago tarjeta"),G2841=""),"⚠ Indica la cuenta «Hacia»",IF(AND(G2841&lt;&gt;"",G2841=E2841),"⚠ «Hacia» igual a la cuenta",IF(AND(G2841&lt;&gt;"",ISNA(MATCH(G2841,ctaNom,0))),"⚠ «Hacia» no existe",IF(AND(I2841="Pago tarjeta",IFERROR(INDEX(ctaTipo,MATCH(G2841,ctaNom,0)),"")&lt;&gt;"Tarjeta de crédito"),"⚠ «Hacia» debe ser la tarjeta",IF(AND(I2841="Trading",IFERROR(INDEX(ctaTipo,MATCH(E2841,ctaNom,0)),"")&lt;&gt;"Cuenta de trading"),"⚠ Usa la cuenta de trading","✓"))))))))))))</f>
        <v/>
      </c>
      <c r="I2841" s="19">
        <f>IF(OR(B2841="",C2841="",D2841=""),"",IFERROR(INDEX(catTipo,MATCH(D2841,catNom,0))&amp;"",""))</f>
        <v/>
      </c>
      <c r="J2841" s="19">
        <f>IF(I2841="","",IFERROR(INDEX(catGrupo,MATCH(D2841,catNom,0))&amp;"",""))</f>
        <v/>
      </c>
      <c r="K2841" s="19">
        <f>IF(I2841="Gasto",IF(IFERROR(INDEX(catClas,MATCH(D2841,catNom,0))&amp;"","")="","Variable",IFERROR(INDEX(catClas,MATCH(D2841,catNom,0))&amp;"","")),"")</f>
        <v/>
      </c>
      <c r="L2841" s="19">
        <f>IF(I2841="","",IFERROR(INDEX(catAlim,MATCH(D2841,catNom,0))&amp;"",""))</f>
        <v/>
      </c>
      <c r="M2841" s="19">
        <f>IF(I2841="","",IFERROR(INDEX(catComida,MATCH(D2841,catNom,0))&amp;"",""))</f>
        <v/>
      </c>
      <c r="N2841" s="19">
        <f>IF(I2841="","",IFERROR(INDEX(ctaMon,MATCH(E2841,ctaNom,0))&amp;"","DOP"))</f>
        <v/>
      </c>
      <c r="O2841" s="20">
        <f>IF(I2841="","",C2841*IF(N2841="USD",TasaUSD,1))</f>
        <v/>
      </c>
      <c r="P2841" s="20">
        <f>IF(I2841="","",IF(I2841="Gasto",O2841,0))</f>
        <v/>
      </c>
      <c r="Q2841" s="20">
        <f>IF(I2841="","",IF(I2841="Ingreso",O2841,0))</f>
        <v/>
      </c>
      <c r="R2841" s="20">
        <f>IF(I2841="","",IF(I2841="Trading",O2841,0))</f>
        <v/>
      </c>
      <c r="S2841" s="19">
        <f>IF(I2841="","",IF(AND(I2841="Gasto",K2841="Variable",J2841&lt;&gt;"Trading",O2841&gt;0,O2841&lt;=Umbral),1,0))</f>
        <v/>
      </c>
      <c r="T2841" s="20">
        <f>IF(OR(I2841="",E2841=""),"",IF(OR(I2841="Gasto",I2841="Transferencia",I2841="Pago tarjeta"),-1,1)*C2841)</f>
        <v/>
      </c>
      <c r="U2841" s="20">
        <f>IF(OR(G2841="",AND(I2841&lt;&gt;"Transferencia",I2841&lt;&gt;"Pago tarjeta")),"",IF(IFERROR(INDEX(ctaMon,MATCH(G2841,ctaNom,0))&amp;"","DOP")=N2841,C2841,IF(N2841="USD",C2841*TasaUSD,C2841/TasaUSD)))</f>
        <v/>
      </c>
      <c r="V2841" s="20">
        <f>IF(I2841="","",IF(IFERROR(INDEX(ctaLiq,MATCH(E2841,ctaNom,0))="Sí",FALSE),IF(OR(I2841="Gasto",I2841="Transferencia",I2841="Pago tarjeta"),-1,1)*O2841,0)+IF(AND(U2841&lt;&gt;"",IFERROR(INDEX(ctaLiq,MATCH(G2841,ctaNom,0))="Sí",FALSE)),O2841,0))</f>
        <v/>
      </c>
      <c r="W2841" s="19">
        <f>IF(OR(F2841="",I2841=""),"",IF(COUNTIFS(F$6:F2841,F2841,I$6:I2841,"?*")=1,MAX(W$5:W2840)+1,""))</f>
        <v/>
      </c>
    </row>
    <row r="2842">
      <c r="B2842" s="15" t="n"/>
      <c r="C2842" s="16" t="n"/>
      <c r="D2842" s="17" t="n"/>
      <c r="E2842" s="17" t="n"/>
      <c r="F2842" s="17" t="n"/>
      <c r="G2842" s="17" t="n"/>
      <c r="H2842" s="18">
        <f>IF(AND(B2842="",C2842="",D2842="",E2842=""),"",IF(B2842="","⚠ Falta fecha",IF(C2842="","⚠ Falta monto",IF(D2842="","⚠ Falta categoría",IF(ISNA(MATCH(D2842,catNom,0)),"⚠ Categoría no existe",IF(E2842="","⚠ Falta cuenta",IF(ISNA(MATCH(E2842,ctaNom,0)),"⚠ Cuenta no existe",IF(AND(OR(I2842="Transferencia",I2842="Pago tarjeta"),G2842=""),"⚠ Indica la cuenta «Hacia»",IF(AND(G2842&lt;&gt;"",G2842=E2842),"⚠ «Hacia» igual a la cuenta",IF(AND(G2842&lt;&gt;"",ISNA(MATCH(G2842,ctaNom,0))),"⚠ «Hacia» no existe",IF(AND(I2842="Pago tarjeta",IFERROR(INDEX(ctaTipo,MATCH(G2842,ctaNom,0)),"")&lt;&gt;"Tarjeta de crédito"),"⚠ «Hacia» debe ser la tarjeta",IF(AND(I2842="Trading",IFERROR(INDEX(ctaTipo,MATCH(E2842,ctaNom,0)),"")&lt;&gt;"Cuenta de trading"),"⚠ Usa la cuenta de trading","✓"))))))))))))</f>
        <v/>
      </c>
      <c r="I2842" s="19">
        <f>IF(OR(B2842="",C2842="",D2842=""),"",IFERROR(INDEX(catTipo,MATCH(D2842,catNom,0))&amp;"",""))</f>
        <v/>
      </c>
      <c r="J2842" s="19">
        <f>IF(I2842="","",IFERROR(INDEX(catGrupo,MATCH(D2842,catNom,0))&amp;"",""))</f>
        <v/>
      </c>
      <c r="K2842" s="19">
        <f>IF(I2842="Gasto",IF(IFERROR(INDEX(catClas,MATCH(D2842,catNom,0))&amp;"","")="","Variable",IFERROR(INDEX(catClas,MATCH(D2842,catNom,0))&amp;"","")),"")</f>
        <v/>
      </c>
      <c r="L2842" s="19">
        <f>IF(I2842="","",IFERROR(INDEX(catAlim,MATCH(D2842,catNom,0))&amp;"",""))</f>
        <v/>
      </c>
      <c r="M2842" s="19">
        <f>IF(I2842="","",IFERROR(INDEX(catComida,MATCH(D2842,catNom,0))&amp;"",""))</f>
        <v/>
      </c>
      <c r="N2842" s="19">
        <f>IF(I2842="","",IFERROR(INDEX(ctaMon,MATCH(E2842,ctaNom,0))&amp;"","DOP"))</f>
        <v/>
      </c>
      <c r="O2842" s="20">
        <f>IF(I2842="","",C2842*IF(N2842="USD",TasaUSD,1))</f>
        <v/>
      </c>
      <c r="P2842" s="20">
        <f>IF(I2842="","",IF(I2842="Gasto",O2842,0))</f>
        <v/>
      </c>
      <c r="Q2842" s="20">
        <f>IF(I2842="","",IF(I2842="Ingreso",O2842,0))</f>
        <v/>
      </c>
      <c r="R2842" s="20">
        <f>IF(I2842="","",IF(I2842="Trading",O2842,0))</f>
        <v/>
      </c>
      <c r="S2842" s="19">
        <f>IF(I2842="","",IF(AND(I2842="Gasto",K2842="Variable",J2842&lt;&gt;"Trading",O2842&gt;0,O2842&lt;=Umbral),1,0))</f>
        <v/>
      </c>
      <c r="T2842" s="20">
        <f>IF(OR(I2842="",E2842=""),"",IF(OR(I2842="Gasto",I2842="Transferencia",I2842="Pago tarjeta"),-1,1)*C2842)</f>
        <v/>
      </c>
      <c r="U2842" s="20">
        <f>IF(OR(G2842="",AND(I2842&lt;&gt;"Transferencia",I2842&lt;&gt;"Pago tarjeta")),"",IF(IFERROR(INDEX(ctaMon,MATCH(G2842,ctaNom,0))&amp;"","DOP")=N2842,C2842,IF(N2842="USD",C2842*TasaUSD,C2842/TasaUSD)))</f>
        <v/>
      </c>
      <c r="V2842" s="20">
        <f>IF(I2842="","",IF(IFERROR(INDEX(ctaLiq,MATCH(E2842,ctaNom,0))="Sí",FALSE),IF(OR(I2842="Gasto",I2842="Transferencia",I2842="Pago tarjeta"),-1,1)*O2842,0)+IF(AND(U2842&lt;&gt;"",IFERROR(INDEX(ctaLiq,MATCH(G2842,ctaNom,0))="Sí",FALSE)),O2842,0))</f>
        <v/>
      </c>
      <c r="W2842" s="19">
        <f>IF(OR(F2842="",I2842=""),"",IF(COUNTIFS(F$6:F2842,F2842,I$6:I2842,"?*")=1,MAX(W$5:W2841)+1,""))</f>
        <v/>
      </c>
    </row>
    <row r="2843">
      <c r="B2843" s="15" t="n"/>
      <c r="C2843" s="16" t="n"/>
      <c r="D2843" s="17" t="n"/>
      <c r="E2843" s="17" t="n"/>
      <c r="F2843" s="17" t="n"/>
      <c r="G2843" s="17" t="n"/>
      <c r="H2843" s="18">
        <f>IF(AND(B2843="",C2843="",D2843="",E2843=""),"",IF(B2843="","⚠ Falta fecha",IF(C2843="","⚠ Falta monto",IF(D2843="","⚠ Falta categoría",IF(ISNA(MATCH(D2843,catNom,0)),"⚠ Categoría no existe",IF(E2843="","⚠ Falta cuenta",IF(ISNA(MATCH(E2843,ctaNom,0)),"⚠ Cuenta no existe",IF(AND(OR(I2843="Transferencia",I2843="Pago tarjeta"),G2843=""),"⚠ Indica la cuenta «Hacia»",IF(AND(G2843&lt;&gt;"",G2843=E2843),"⚠ «Hacia» igual a la cuenta",IF(AND(G2843&lt;&gt;"",ISNA(MATCH(G2843,ctaNom,0))),"⚠ «Hacia» no existe",IF(AND(I2843="Pago tarjeta",IFERROR(INDEX(ctaTipo,MATCH(G2843,ctaNom,0)),"")&lt;&gt;"Tarjeta de crédito"),"⚠ «Hacia» debe ser la tarjeta",IF(AND(I2843="Trading",IFERROR(INDEX(ctaTipo,MATCH(E2843,ctaNom,0)),"")&lt;&gt;"Cuenta de trading"),"⚠ Usa la cuenta de trading","✓"))))))))))))</f>
        <v/>
      </c>
      <c r="I2843" s="19">
        <f>IF(OR(B2843="",C2843="",D2843=""),"",IFERROR(INDEX(catTipo,MATCH(D2843,catNom,0))&amp;"",""))</f>
        <v/>
      </c>
      <c r="J2843" s="19">
        <f>IF(I2843="","",IFERROR(INDEX(catGrupo,MATCH(D2843,catNom,0))&amp;"",""))</f>
        <v/>
      </c>
      <c r="K2843" s="19">
        <f>IF(I2843="Gasto",IF(IFERROR(INDEX(catClas,MATCH(D2843,catNom,0))&amp;"","")="","Variable",IFERROR(INDEX(catClas,MATCH(D2843,catNom,0))&amp;"","")),"")</f>
        <v/>
      </c>
      <c r="L2843" s="19">
        <f>IF(I2843="","",IFERROR(INDEX(catAlim,MATCH(D2843,catNom,0))&amp;"",""))</f>
        <v/>
      </c>
      <c r="M2843" s="19">
        <f>IF(I2843="","",IFERROR(INDEX(catComida,MATCH(D2843,catNom,0))&amp;"",""))</f>
        <v/>
      </c>
      <c r="N2843" s="19">
        <f>IF(I2843="","",IFERROR(INDEX(ctaMon,MATCH(E2843,ctaNom,0))&amp;"","DOP"))</f>
        <v/>
      </c>
      <c r="O2843" s="20">
        <f>IF(I2843="","",C2843*IF(N2843="USD",TasaUSD,1))</f>
        <v/>
      </c>
      <c r="P2843" s="20">
        <f>IF(I2843="","",IF(I2843="Gasto",O2843,0))</f>
        <v/>
      </c>
      <c r="Q2843" s="20">
        <f>IF(I2843="","",IF(I2843="Ingreso",O2843,0))</f>
        <v/>
      </c>
      <c r="R2843" s="20">
        <f>IF(I2843="","",IF(I2843="Trading",O2843,0))</f>
        <v/>
      </c>
      <c r="S2843" s="19">
        <f>IF(I2843="","",IF(AND(I2843="Gasto",K2843="Variable",J2843&lt;&gt;"Trading",O2843&gt;0,O2843&lt;=Umbral),1,0))</f>
        <v/>
      </c>
      <c r="T2843" s="20">
        <f>IF(OR(I2843="",E2843=""),"",IF(OR(I2843="Gasto",I2843="Transferencia",I2843="Pago tarjeta"),-1,1)*C2843)</f>
        <v/>
      </c>
      <c r="U2843" s="20">
        <f>IF(OR(G2843="",AND(I2843&lt;&gt;"Transferencia",I2843&lt;&gt;"Pago tarjeta")),"",IF(IFERROR(INDEX(ctaMon,MATCH(G2843,ctaNom,0))&amp;"","DOP")=N2843,C2843,IF(N2843="USD",C2843*TasaUSD,C2843/TasaUSD)))</f>
        <v/>
      </c>
      <c r="V2843" s="20">
        <f>IF(I2843="","",IF(IFERROR(INDEX(ctaLiq,MATCH(E2843,ctaNom,0))="Sí",FALSE),IF(OR(I2843="Gasto",I2843="Transferencia",I2843="Pago tarjeta"),-1,1)*O2843,0)+IF(AND(U2843&lt;&gt;"",IFERROR(INDEX(ctaLiq,MATCH(G2843,ctaNom,0))="Sí",FALSE)),O2843,0))</f>
        <v/>
      </c>
      <c r="W2843" s="19">
        <f>IF(OR(F2843="",I2843=""),"",IF(COUNTIFS(F$6:F2843,F2843,I$6:I2843,"?*")=1,MAX(W$5:W2842)+1,""))</f>
        <v/>
      </c>
    </row>
    <row r="2844">
      <c r="B2844" s="15" t="n"/>
      <c r="C2844" s="16" t="n"/>
      <c r="D2844" s="17" t="n"/>
      <c r="E2844" s="17" t="n"/>
      <c r="F2844" s="17" t="n"/>
      <c r="G2844" s="17" t="n"/>
      <c r="H2844" s="18">
        <f>IF(AND(B2844="",C2844="",D2844="",E2844=""),"",IF(B2844="","⚠ Falta fecha",IF(C2844="","⚠ Falta monto",IF(D2844="","⚠ Falta categoría",IF(ISNA(MATCH(D2844,catNom,0)),"⚠ Categoría no existe",IF(E2844="","⚠ Falta cuenta",IF(ISNA(MATCH(E2844,ctaNom,0)),"⚠ Cuenta no existe",IF(AND(OR(I2844="Transferencia",I2844="Pago tarjeta"),G2844=""),"⚠ Indica la cuenta «Hacia»",IF(AND(G2844&lt;&gt;"",G2844=E2844),"⚠ «Hacia» igual a la cuenta",IF(AND(G2844&lt;&gt;"",ISNA(MATCH(G2844,ctaNom,0))),"⚠ «Hacia» no existe",IF(AND(I2844="Pago tarjeta",IFERROR(INDEX(ctaTipo,MATCH(G2844,ctaNom,0)),"")&lt;&gt;"Tarjeta de crédito"),"⚠ «Hacia» debe ser la tarjeta",IF(AND(I2844="Trading",IFERROR(INDEX(ctaTipo,MATCH(E2844,ctaNom,0)),"")&lt;&gt;"Cuenta de trading"),"⚠ Usa la cuenta de trading","✓"))))))))))))</f>
        <v/>
      </c>
      <c r="I2844" s="19">
        <f>IF(OR(B2844="",C2844="",D2844=""),"",IFERROR(INDEX(catTipo,MATCH(D2844,catNom,0))&amp;"",""))</f>
        <v/>
      </c>
      <c r="J2844" s="19">
        <f>IF(I2844="","",IFERROR(INDEX(catGrupo,MATCH(D2844,catNom,0))&amp;"",""))</f>
        <v/>
      </c>
      <c r="K2844" s="19">
        <f>IF(I2844="Gasto",IF(IFERROR(INDEX(catClas,MATCH(D2844,catNom,0))&amp;"","")="","Variable",IFERROR(INDEX(catClas,MATCH(D2844,catNom,0))&amp;"","")),"")</f>
        <v/>
      </c>
      <c r="L2844" s="19">
        <f>IF(I2844="","",IFERROR(INDEX(catAlim,MATCH(D2844,catNom,0))&amp;"",""))</f>
        <v/>
      </c>
      <c r="M2844" s="19">
        <f>IF(I2844="","",IFERROR(INDEX(catComida,MATCH(D2844,catNom,0))&amp;"",""))</f>
        <v/>
      </c>
      <c r="N2844" s="19">
        <f>IF(I2844="","",IFERROR(INDEX(ctaMon,MATCH(E2844,ctaNom,0))&amp;"","DOP"))</f>
        <v/>
      </c>
      <c r="O2844" s="20">
        <f>IF(I2844="","",C2844*IF(N2844="USD",TasaUSD,1))</f>
        <v/>
      </c>
      <c r="P2844" s="20">
        <f>IF(I2844="","",IF(I2844="Gasto",O2844,0))</f>
        <v/>
      </c>
      <c r="Q2844" s="20">
        <f>IF(I2844="","",IF(I2844="Ingreso",O2844,0))</f>
        <v/>
      </c>
      <c r="R2844" s="20">
        <f>IF(I2844="","",IF(I2844="Trading",O2844,0))</f>
        <v/>
      </c>
      <c r="S2844" s="19">
        <f>IF(I2844="","",IF(AND(I2844="Gasto",K2844="Variable",J2844&lt;&gt;"Trading",O2844&gt;0,O2844&lt;=Umbral),1,0))</f>
        <v/>
      </c>
      <c r="T2844" s="20">
        <f>IF(OR(I2844="",E2844=""),"",IF(OR(I2844="Gasto",I2844="Transferencia",I2844="Pago tarjeta"),-1,1)*C2844)</f>
        <v/>
      </c>
      <c r="U2844" s="20">
        <f>IF(OR(G2844="",AND(I2844&lt;&gt;"Transferencia",I2844&lt;&gt;"Pago tarjeta")),"",IF(IFERROR(INDEX(ctaMon,MATCH(G2844,ctaNom,0))&amp;"","DOP")=N2844,C2844,IF(N2844="USD",C2844*TasaUSD,C2844/TasaUSD)))</f>
        <v/>
      </c>
      <c r="V2844" s="20">
        <f>IF(I2844="","",IF(IFERROR(INDEX(ctaLiq,MATCH(E2844,ctaNom,0))="Sí",FALSE),IF(OR(I2844="Gasto",I2844="Transferencia",I2844="Pago tarjeta"),-1,1)*O2844,0)+IF(AND(U2844&lt;&gt;"",IFERROR(INDEX(ctaLiq,MATCH(G2844,ctaNom,0))="Sí",FALSE)),O2844,0))</f>
        <v/>
      </c>
      <c r="W2844" s="19">
        <f>IF(OR(F2844="",I2844=""),"",IF(COUNTIFS(F$6:F2844,F2844,I$6:I2844,"?*")=1,MAX(W$5:W2843)+1,""))</f>
        <v/>
      </c>
    </row>
    <row r="2845">
      <c r="B2845" s="15" t="n"/>
      <c r="C2845" s="16" t="n"/>
      <c r="D2845" s="17" t="n"/>
      <c r="E2845" s="17" t="n"/>
      <c r="F2845" s="17" t="n"/>
      <c r="G2845" s="17" t="n"/>
      <c r="H2845" s="18">
        <f>IF(AND(B2845="",C2845="",D2845="",E2845=""),"",IF(B2845="","⚠ Falta fecha",IF(C2845="","⚠ Falta monto",IF(D2845="","⚠ Falta categoría",IF(ISNA(MATCH(D2845,catNom,0)),"⚠ Categoría no existe",IF(E2845="","⚠ Falta cuenta",IF(ISNA(MATCH(E2845,ctaNom,0)),"⚠ Cuenta no existe",IF(AND(OR(I2845="Transferencia",I2845="Pago tarjeta"),G2845=""),"⚠ Indica la cuenta «Hacia»",IF(AND(G2845&lt;&gt;"",G2845=E2845),"⚠ «Hacia» igual a la cuenta",IF(AND(G2845&lt;&gt;"",ISNA(MATCH(G2845,ctaNom,0))),"⚠ «Hacia» no existe",IF(AND(I2845="Pago tarjeta",IFERROR(INDEX(ctaTipo,MATCH(G2845,ctaNom,0)),"")&lt;&gt;"Tarjeta de crédito"),"⚠ «Hacia» debe ser la tarjeta",IF(AND(I2845="Trading",IFERROR(INDEX(ctaTipo,MATCH(E2845,ctaNom,0)),"")&lt;&gt;"Cuenta de trading"),"⚠ Usa la cuenta de trading","✓"))))))))))))</f>
        <v/>
      </c>
      <c r="I2845" s="19">
        <f>IF(OR(B2845="",C2845="",D2845=""),"",IFERROR(INDEX(catTipo,MATCH(D2845,catNom,0))&amp;"",""))</f>
        <v/>
      </c>
      <c r="J2845" s="19">
        <f>IF(I2845="","",IFERROR(INDEX(catGrupo,MATCH(D2845,catNom,0))&amp;"",""))</f>
        <v/>
      </c>
      <c r="K2845" s="19">
        <f>IF(I2845="Gasto",IF(IFERROR(INDEX(catClas,MATCH(D2845,catNom,0))&amp;"","")="","Variable",IFERROR(INDEX(catClas,MATCH(D2845,catNom,0))&amp;"","")),"")</f>
        <v/>
      </c>
      <c r="L2845" s="19">
        <f>IF(I2845="","",IFERROR(INDEX(catAlim,MATCH(D2845,catNom,0))&amp;"",""))</f>
        <v/>
      </c>
      <c r="M2845" s="19">
        <f>IF(I2845="","",IFERROR(INDEX(catComida,MATCH(D2845,catNom,0))&amp;"",""))</f>
        <v/>
      </c>
      <c r="N2845" s="19">
        <f>IF(I2845="","",IFERROR(INDEX(ctaMon,MATCH(E2845,ctaNom,0))&amp;"","DOP"))</f>
        <v/>
      </c>
      <c r="O2845" s="20">
        <f>IF(I2845="","",C2845*IF(N2845="USD",TasaUSD,1))</f>
        <v/>
      </c>
      <c r="P2845" s="20">
        <f>IF(I2845="","",IF(I2845="Gasto",O2845,0))</f>
        <v/>
      </c>
      <c r="Q2845" s="20">
        <f>IF(I2845="","",IF(I2845="Ingreso",O2845,0))</f>
        <v/>
      </c>
      <c r="R2845" s="20">
        <f>IF(I2845="","",IF(I2845="Trading",O2845,0))</f>
        <v/>
      </c>
      <c r="S2845" s="19">
        <f>IF(I2845="","",IF(AND(I2845="Gasto",K2845="Variable",J2845&lt;&gt;"Trading",O2845&gt;0,O2845&lt;=Umbral),1,0))</f>
        <v/>
      </c>
      <c r="T2845" s="20">
        <f>IF(OR(I2845="",E2845=""),"",IF(OR(I2845="Gasto",I2845="Transferencia",I2845="Pago tarjeta"),-1,1)*C2845)</f>
        <v/>
      </c>
      <c r="U2845" s="20">
        <f>IF(OR(G2845="",AND(I2845&lt;&gt;"Transferencia",I2845&lt;&gt;"Pago tarjeta")),"",IF(IFERROR(INDEX(ctaMon,MATCH(G2845,ctaNom,0))&amp;"","DOP")=N2845,C2845,IF(N2845="USD",C2845*TasaUSD,C2845/TasaUSD)))</f>
        <v/>
      </c>
      <c r="V2845" s="20">
        <f>IF(I2845="","",IF(IFERROR(INDEX(ctaLiq,MATCH(E2845,ctaNom,0))="Sí",FALSE),IF(OR(I2845="Gasto",I2845="Transferencia",I2845="Pago tarjeta"),-1,1)*O2845,0)+IF(AND(U2845&lt;&gt;"",IFERROR(INDEX(ctaLiq,MATCH(G2845,ctaNom,0))="Sí",FALSE)),O2845,0))</f>
        <v/>
      </c>
      <c r="W2845" s="19">
        <f>IF(OR(F2845="",I2845=""),"",IF(COUNTIFS(F$6:F2845,F2845,I$6:I2845,"?*")=1,MAX(W$5:W2844)+1,""))</f>
        <v/>
      </c>
    </row>
    <row r="2846">
      <c r="B2846" s="15" t="n"/>
      <c r="C2846" s="16" t="n"/>
      <c r="D2846" s="17" t="n"/>
      <c r="E2846" s="17" t="n"/>
      <c r="F2846" s="17" t="n"/>
      <c r="G2846" s="17" t="n"/>
      <c r="H2846" s="18">
        <f>IF(AND(B2846="",C2846="",D2846="",E2846=""),"",IF(B2846="","⚠ Falta fecha",IF(C2846="","⚠ Falta monto",IF(D2846="","⚠ Falta categoría",IF(ISNA(MATCH(D2846,catNom,0)),"⚠ Categoría no existe",IF(E2846="","⚠ Falta cuenta",IF(ISNA(MATCH(E2846,ctaNom,0)),"⚠ Cuenta no existe",IF(AND(OR(I2846="Transferencia",I2846="Pago tarjeta"),G2846=""),"⚠ Indica la cuenta «Hacia»",IF(AND(G2846&lt;&gt;"",G2846=E2846),"⚠ «Hacia» igual a la cuenta",IF(AND(G2846&lt;&gt;"",ISNA(MATCH(G2846,ctaNom,0))),"⚠ «Hacia» no existe",IF(AND(I2846="Pago tarjeta",IFERROR(INDEX(ctaTipo,MATCH(G2846,ctaNom,0)),"")&lt;&gt;"Tarjeta de crédito"),"⚠ «Hacia» debe ser la tarjeta",IF(AND(I2846="Trading",IFERROR(INDEX(ctaTipo,MATCH(E2846,ctaNom,0)),"")&lt;&gt;"Cuenta de trading"),"⚠ Usa la cuenta de trading","✓"))))))))))))</f>
        <v/>
      </c>
      <c r="I2846" s="19">
        <f>IF(OR(B2846="",C2846="",D2846=""),"",IFERROR(INDEX(catTipo,MATCH(D2846,catNom,0))&amp;"",""))</f>
        <v/>
      </c>
      <c r="J2846" s="19">
        <f>IF(I2846="","",IFERROR(INDEX(catGrupo,MATCH(D2846,catNom,0))&amp;"",""))</f>
        <v/>
      </c>
      <c r="K2846" s="19">
        <f>IF(I2846="Gasto",IF(IFERROR(INDEX(catClas,MATCH(D2846,catNom,0))&amp;"","")="","Variable",IFERROR(INDEX(catClas,MATCH(D2846,catNom,0))&amp;"","")),"")</f>
        <v/>
      </c>
      <c r="L2846" s="19">
        <f>IF(I2846="","",IFERROR(INDEX(catAlim,MATCH(D2846,catNom,0))&amp;"",""))</f>
        <v/>
      </c>
      <c r="M2846" s="19">
        <f>IF(I2846="","",IFERROR(INDEX(catComida,MATCH(D2846,catNom,0))&amp;"",""))</f>
        <v/>
      </c>
      <c r="N2846" s="19">
        <f>IF(I2846="","",IFERROR(INDEX(ctaMon,MATCH(E2846,ctaNom,0))&amp;"","DOP"))</f>
        <v/>
      </c>
      <c r="O2846" s="20">
        <f>IF(I2846="","",C2846*IF(N2846="USD",TasaUSD,1))</f>
        <v/>
      </c>
      <c r="P2846" s="20">
        <f>IF(I2846="","",IF(I2846="Gasto",O2846,0))</f>
        <v/>
      </c>
      <c r="Q2846" s="20">
        <f>IF(I2846="","",IF(I2846="Ingreso",O2846,0))</f>
        <v/>
      </c>
      <c r="R2846" s="20">
        <f>IF(I2846="","",IF(I2846="Trading",O2846,0))</f>
        <v/>
      </c>
      <c r="S2846" s="19">
        <f>IF(I2846="","",IF(AND(I2846="Gasto",K2846="Variable",J2846&lt;&gt;"Trading",O2846&gt;0,O2846&lt;=Umbral),1,0))</f>
        <v/>
      </c>
      <c r="T2846" s="20">
        <f>IF(OR(I2846="",E2846=""),"",IF(OR(I2846="Gasto",I2846="Transferencia",I2846="Pago tarjeta"),-1,1)*C2846)</f>
        <v/>
      </c>
      <c r="U2846" s="20">
        <f>IF(OR(G2846="",AND(I2846&lt;&gt;"Transferencia",I2846&lt;&gt;"Pago tarjeta")),"",IF(IFERROR(INDEX(ctaMon,MATCH(G2846,ctaNom,0))&amp;"","DOP")=N2846,C2846,IF(N2846="USD",C2846*TasaUSD,C2846/TasaUSD)))</f>
        <v/>
      </c>
      <c r="V2846" s="20">
        <f>IF(I2846="","",IF(IFERROR(INDEX(ctaLiq,MATCH(E2846,ctaNom,0))="Sí",FALSE),IF(OR(I2846="Gasto",I2846="Transferencia",I2846="Pago tarjeta"),-1,1)*O2846,0)+IF(AND(U2846&lt;&gt;"",IFERROR(INDEX(ctaLiq,MATCH(G2846,ctaNom,0))="Sí",FALSE)),O2846,0))</f>
        <v/>
      </c>
      <c r="W2846" s="19">
        <f>IF(OR(F2846="",I2846=""),"",IF(COUNTIFS(F$6:F2846,F2846,I$6:I2846,"?*")=1,MAX(W$5:W2845)+1,""))</f>
        <v/>
      </c>
    </row>
    <row r="2847">
      <c r="B2847" s="15" t="n"/>
      <c r="C2847" s="16" t="n"/>
      <c r="D2847" s="17" t="n"/>
      <c r="E2847" s="17" t="n"/>
      <c r="F2847" s="17" t="n"/>
      <c r="G2847" s="17" t="n"/>
      <c r="H2847" s="18">
        <f>IF(AND(B2847="",C2847="",D2847="",E2847=""),"",IF(B2847="","⚠ Falta fecha",IF(C2847="","⚠ Falta monto",IF(D2847="","⚠ Falta categoría",IF(ISNA(MATCH(D2847,catNom,0)),"⚠ Categoría no existe",IF(E2847="","⚠ Falta cuenta",IF(ISNA(MATCH(E2847,ctaNom,0)),"⚠ Cuenta no existe",IF(AND(OR(I2847="Transferencia",I2847="Pago tarjeta"),G2847=""),"⚠ Indica la cuenta «Hacia»",IF(AND(G2847&lt;&gt;"",G2847=E2847),"⚠ «Hacia» igual a la cuenta",IF(AND(G2847&lt;&gt;"",ISNA(MATCH(G2847,ctaNom,0))),"⚠ «Hacia» no existe",IF(AND(I2847="Pago tarjeta",IFERROR(INDEX(ctaTipo,MATCH(G2847,ctaNom,0)),"")&lt;&gt;"Tarjeta de crédito"),"⚠ «Hacia» debe ser la tarjeta",IF(AND(I2847="Trading",IFERROR(INDEX(ctaTipo,MATCH(E2847,ctaNom,0)),"")&lt;&gt;"Cuenta de trading"),"⚠ Usa la cuenta de trading","✓"))))))))))))</f>
        <v/>
      </c>
      <c r="I2847" s="19">
        <f>IF(OR(B2847="",C2847="",D2847=""),"",IFERROR(INDEX(catTipo,MATCH(D2847,catNom,0))&amp;"",""))</f>
        <v/>
      </c>
      <c r="J2847" s="19">
        <f>IF(I2847="","",IFERROR(INDEX(catGrupo,MATCH(D2847,catNom,0))&amp;"",""))</f>
        <v/>
      </c>
      <c r="K2847" s="19">
        <f>IF(I2847="Gasto",IF(IFERROR(INDEX(catClas,MATCH(D2847,catNom,0))&amp;"","")="","Variable",IFERROR(INDEX(catClas,MATCH(D2847,catNom,0))&amp;"","")),"")</f>
        <v/>
      </c>
      <c r="L2847" s="19">
        <f>IF(I2847="","",IFERROR(INDEX(catAlim,MATCH(D2847,catNom,0))&amp;"",""))</f>
        <v/>
      </c>
      <c r="M2847" s="19">
        <f>IF(I2847="","",IFERROR(INDEX(catComida,MATCH(D2847,catNom,0))&amp;"",""))</f>
        <v/>
      </c>
      <c r="N2847" s="19">
        <f>IF(I2847="","",IFERROR(INDEX(ctaMon,MATCH(E2847,ctaNom,0))&amp;"","DOP"))</f>
        <v/>
      </c>
      <c r="O2847" s="20">
        <f>IF(I2847="","",C2847*IF(N2847="USD",TasaUSD,1))</f>
        <v/>
      </c>
      <c r="P2847" s="20">
        <f>IF(I2847="","",IF(I2847="Gasto",O2847,0))</f>
        <v/>
      </c>
      <c r="Q2847" s="20">
        <f>IF(I2847="","",IF(I2847="Ingreso",O2847,0))</f>
        <v/>
      </c>
      <c r="R2847" s="20">
        <f>IF(I2847="","",IF(I2847="Trading",O2847,0))</f>
        <v/>
      </c>
      <c r="S2847" s="19">
        <f>IF(I2847="","",IF(AND(I2847="Gasto",K2847="Variable",J2847&lt;&gt;"Trading",O2847&gt;0,O2847&lt;=Umbral),1,0))</f>
        <v/>
      </c>
      <c r="T2847" s="20">
        <f>IF(OR(I2847="",E2847=""),"",IF(OR(I2847="Gasto",I2847="Transferencia",I2847="Pago tarjeta"),-1,1)*C2847)</f>
        <v/>
      </c>
      <c r="U2847" s="20">
        <f>IF(OR(G2847="",AND(I2847&lt;&gt;"Transferencia",I2847&lt;&gt;"Pago tarjeta")),"",IF(IFERROR(INDEX(ctaMon,MATCH(G2847,ctaNom,0))&amp;"","DOP")=N2847,C2847,IF(N2847="USD",C2847*TasaUSD,C2847/TasaUSD)))</f>
        <v/>
      </c>
      <c r="V2847" s="20">
        <f>IF(I2847="","",IF(IFERROR(INDEX(ctaLiq,MATCH(E2847,ctaNom,0))="Sí",FALSE),IF(OR(I2847="Gasto",I2847="Transferencia",I2847="Pago tarjeta"),-1,1)*O2847,0)+IF(AND(U2847&lt;&gt;"",IFERROR(INDEX(ctaLiq,MATCH(G2847,ctaNom,0))="Sí",FALSE)),O2847,0))</f>
        <v/>
      </c>
      <c r="W2847" s="19">
        <f>IF(OR(F2847="",I2847=""),"",IF(COUNTIFS(F$6:F2847,F2847,I$6:I2847,"?*")=1,MAX(W$5:W2846)+1,""))</f>
        <v/>
      </c>
    </row>
    <row r="2848">
      <c r="B2848" s="15" t="n"/>
      <c r="C2848" s="16" t="n"/>
      <c r="D2848" s="17" t="n"/>
      <c r="E2848" s="17" t="n"/>
      <c r="F2848" s="17" t="n"/>
      <c r="G2848" s="17" t="n"/>
      <c r="H2848" s="18">
        <f>IF(AND(B2848="",C2848="",D2848="",E2848=""),"",IF(B2848="","⚠ Falta fecha",IF(C2848="","⚠ Falta monto",IF(D2848="","⚠ Falta categoría",IF(ISNA(MATCH(D2848,catNom,0)),"⚠ Categoría no existe",IF(E2848="","⚠ Falta cuenta",IF(ISNA(MATCH(E2848,ctaNom,0)),"⚠ Cuenta no existe",IF(AND(OR(I2848="Transferencia",I2848="Pago tarjeta"),G2848=""),"⚠ Indica la cuenta «Hacia»",IF(AND(G2848&lt;&gt;"",G2848=E2848),"⚠ «Hacia» igual a la cuenta",IF(AND(G2848&lt;&gt;"",ISNA(MATCH(G2848,ctaNom,0))),"⚠ «Hacia» no existe",IF(AND(I2848="Pago tarjeta",IFERROR(INDEX(ctaTipo,MATCH(G2848,ctaNom,0)),"")&lt;&gt;"Tarjeta de crédito"),"⚠ «Hacia» debe ser la tarjeta",IF(AND(I2848="Trading",IFERROR(INDEX(ctaTipo,MATCH(E2848,ctaNom,0)),"")&lt;&gt;"Cuenta de trading"),"⚠ Usa la cuenta de trading","✓"))))))))))))</f>
        <v/>
      </c>
      <c r="I2848" s="19">
        <f>IF(OR(B2848="",C2848="",D2848=""),"",IFERROR(INDEX(catTipo,MATCH(D2848,catNom,0))&amp;"",""))</f>
        <v/>
      </c>
      <c r="J2848" s="19">
        <f>IF(I2848="","",IFERROR(INDEX(catGrupo,MATCH(D2848,catNom,0))&amp;"",""))</f>
        <v/>
      </c>
      <c r="K2848" s="19">
        <f>IF(I2848="Gasto",IF(IFERROR(INDEX(catClas,MATCH(D2848,catNom,0))&amp;"","")="","Variable",IFERROR(INDEX(catClas,MATCH(D2848,catNom,0))&amp;"","")),"")</f>
        <v/>
      </c>
      <c r="L2848" s="19">
        <f>IF(I2848="","",IFERROR(INDEX(catAlim,MATCH(D2848,catNom,0))&amp;"",""))</f>
        <v/>
      </c>
      <c r="M2848" s="19">
        <f>IF(I2848="","",IFERROR(INDEX(catComida,MATCH(D2848,catNom,0))&amp;"",""))</f>
        <v/>
      </c>
      <c r="N2848" s="19">
        <f>IF(I2848="","",IFERROR(INDEX(ctaMon,MATCH(E2848,ctaNom,0))&amp;"","DOP"))</f>
        <v/>
      </c>
      <c r="O2848" s="20">
        <f>IF(I2848="","",C2848*IF(N2848="USD",TasaUSD,1))</f>
        <v/>
      </c>
      <c r="P2848" s="20">
        <f>IF(I2848="","",IF(I2848="Gasto",O2848,0))</f>
        <v/>
      </c>
      <c r="Q2848" s="20">
        <f>IF(I2848="","",IF(I2848="Ingreso",O2848,0))</f>
        <v/>
      </c>
      <c r="R2848" s="20">
        <f>IF(I2848="","",IF(I2848="Trading",O2848,0))</f>
        <v/>
      </c>
      <c r="S2848" s="19">
        <f>IF(I2848="","",IF(AND(I2848="Gasto",K2848="Variable",J2848&lt;&gt;"Trading",O2848&gt;0,O2848&lt;=Umbral),1,0))</f>
        <v/>
      </c>
      <c r="T2848" s="20">
        <f>IF(OR(I2848="",E2848=""),"",IF(OR(I2848="Gasto",I2848="Transferencia",I2848="Pago tarjeta"),-1,1)*C2848)</f>
        <v/>
      </c>
      <c r="U2848" s="20">
        <f>IF(OR(G2848="",AND(I2848&lt;&gt;"Transferencia",I2848&lt;&gt;"Pago tarjeta")),"",IF(IFERROR(INDEX(ctaMon,MATCH(G2848,ctaNom,0))&amp;"","DOP")=N2848,C2848,IF(N2848="USD",C2848*TasaUSD,C2848/TasaUSD)))</f>
        <v/>
      </c>
      <c r="V2848" s="20">
        <f>IF(I2848="","",IF(IFERROR(INDEX(ctaLiq,MATCH(E2848,ctaNom,0))="Sí",FALSE),IF(OR(I2848="Gasto",I2848="Transferencia",I2848="Pago tarjeta"),-1,1)*O2848,0)+IF(AND(U2848&lt;&gt;"",IFERROR(INDEX(ctaLiq,MATCH(G2848,ctaNom,0))="Sí",FALSE)),O2848,0))</f>
        <v/>
      </c>
      <c r="W2848" s="19">
        <f>IF(OR(F2848="",I2848=""),"",IF(COUNTIFS(F$6:F2848,F2848,I$6:I2848,"?*")=1,MAX(W$5:W2847)+1,""))</f>
        <v/>
      </c>
    </row>
    <row r="2849">
      <c r="B2849" s="15" t="n"/>
      <c r="C2849" s="16" t="n"/>
      <c r="D2849" s="17" t="n"/>
      <c r="E2849" s="17" t="n"/>
      <c r="F2849" s="17" t="n"/>
      <c r="G2849" s="17" t="n"/>
      <c r="H2849" s="18">
        <f>IF(AND(B2849="",C2849="",D2849="",E2849=""),"",IF(B2849="","⚠ Falta fecha",IF(C2849="","⚠ Falta monto",IF(D2849="","⚠ Falta categoría",IF(ISNA(MATCH(D2849,catNom,0)),"⚠ Categoría no existe",IF(E2849="","⚠ Falta cuenta",IF(ISNA(MATCH(E2849,ctaNom,0)),"⚠ Cuenta no existe",IF(AND(OR(I2849="Transferencia",I2849="Pago tarjeta"),G2849=""),"⚠ Indica la cuenta «Hacia»",IF(AND(G2849&lt;&gt;"",G2849=E2849),"⚠ «Hacia» igual a la cuenta",IF(AND(G2849&lt;&gt;"",ISNA(MATCH(G2849,ctaNom,0))),"⚠ «Hacia» no existe",IF(AND(I2849="Pago tarjeta",IFERROR(INDEX(ctaTipo,MATCH(G2849,ctaNom,0)),"")&lt;&gt;"Tarjeta de crédito"),"⚠ «Hacia» debe ser la tarjeta",IF(AND(I2849="Trading",IFERROR(INDEX(ctaTipo,MATCH(E2849,ctaNom,0)),"")&lt;&gt;"Cuenta de trading"),"⚠ Usa la cuenta de trading","✓"))))))))))))</f>
        <v/>
      </c>
      <c r="I2849" s="19">
        <f>IF(OR(B2849="",C2849="",D2849=""),"",IFERROR(INDEX(catTipo,MATCH(D2849,catNom,0))&amp;"",""))</f>
        <v/>
      </c>
      <c r="J2849" s="19">
        <f>IF(I2849="","",IFERROR(INDEX(catGrupo,MATCH(D2849,catNom,0))&amp;"",""))</f>
        <v/>
      </c>
      <c r="K2849" s="19">
        <f>IF(I2849="Gasto",IF(IFERROR(INDEX(catClas,MATCH(D2849,catNom,0))&amp;"","")="","Variable",IFERROR(INDEX(catClas,MATCH(D2849,catNom,0))&amp;"","")),"")</f>
        <v/>
      </c>
      <c r="L2849" s="19">
        <f>IF(I2849="","",IFERROR(INDEX(catAlim,MATCH(D2849,catNom,0))&amp;"",""))</f>
        <v/>
      </c>
      <c r="M2849" s="19">
        <f>IF(I2849="","",IFERROR(INDEX(catComida,MATCH(D2849,catNom,0))&amp;"",""))</f>
        <v/>
      </c>
      <c r="N2849" s="19">
        <f>IF(I2849="","",IFERROR(INDEX(ctaMon,MATCH(E2849,ctaNom,0))&amp;"","DOP"))</f>
        <v/>
      </c>
      <c r="O2849" s="20">
        <f>IF(I2849="","",C2849*IF(N2849="USD",TasaUSD,1))</f>
        <v/>
      </c>
      <c r="P2849" s="20">
        <f>IF(I2849="","",IF(I2849="Gasto",O2849,0))</f>
        <v/>
      </c>
      <c r="Q2849" s="20">
        <f>IF(I2849="","",IF(I2849="Ingreso",O2849,0))</f>
        <v/>
      </c>
      <c r="R2849" s="20">
        <f>IF(I2849="","",IF(I2849="Trading",O2849,0))</f>
        <v/>
      </c>
      <c r="S2849" s="19">
        <f>IF(I2849="","",IF(AND(I2849="Gasto",K2849="Variable",J2849&lt;&gt;"Trading",O2849&gt;0,O2849&lt;=Umbral),1,0))</f>
        <v/>
      </c>
      <c r="T2849" s="20">
        <f>IF(OR(I2849="",E2849=""),"",IF(OR(I2849="Gasto",I2849="Transferencia",I2849="Pago tarjeta"),-1,1)*C2849)</f>
        <v/>
      </c>
      <c r="U2849" s="20">
        <f>IF(OR(G2849="",AND(I2849&lt;&gt;"Transferencia",I2849&lt;&gt;"Pago tarjeta")),"",IF(IFERROR(INDEX(ctaMon,MATCH(G2849,ctaNom,0))&amp;"","DOP")=N2849,C2849,IF(N2849="USD",C2849*TasaUSD,C2849/TasaUSD)))</f>
        <v/>
      </c>
      <c r="V2849" s="20">
        <f>IF(I2849="","",IF(IFERROR(INDEX(ctaLiq,MATCH(E2849,ctaNom,0))="Sí",FALSE),IF(OR(I2849="Gasto",I2849="Transferencia",I2849="Pago tarjeta"),-1,1)*O2849,0)+IF(AND(U2849&lt;&gt;"",IFERROR(INDEX(ctaLiq,MATCH(G2849,ctaNom,0))="Sí",FALSE)),O2849,0))</f>
        <v/>
      </c>
      <c r="W2849" s="19">
        <f>IF(OR(F2849="",I2849=""),"",IF(COUNTIFS(F$6:F2849,F2849,I$6:I2849,"?*")=1,MAX(W$5:W2848)+1,""))</f>
        <v/>
      </c>
    </row>
    <row r="2850">
      <c r="B2850" s="15" t="n"/>
      <c r="C2850" s="16" t="n"/>
      <c r="D2850" s="17" t="n"/>
      <c r="E2850" s="17" t="n"/>
      <c r="F2850" s="17" t="n"/>
      <c r="G2850" s="17" t="n"/>
      <c r="H2850" s="18">
        <f>IF(AND(B2850="",C2850="",D2850="",E2850=""),"",IF(B2850="","⚠ Falta fecha",IF(C2850="","⚠ Falta monto",IF(D2850="","⚠ Falta categoría",IF(ISNA(MATCH(D2850,catNom,0)),"⚠ Categoría no existe",IF(E2850="","⚠ Falta cuenta",IF(ISNA(MATCH(E2850,ctaNom,0)),"⚠ Cuenta no existe",IF(AND(OR(I2850="Transferencia",I2850="Pago tarjeta"),G2850=""),"⚠ Indica la cuenta «Hacia»",IF(AND(G2850&lt;&gt;"",G2850=E2850),"⚠ «Hacia» igual a la cuenta",IF(AND(G2850&lt;&gt;"",ISNA(MATCH(G2850,ctaNom,0))),"⚠ «Hacia» no existe",IF(AND(I2850="Pago tarjeta",IFERROR(INDEX(ctaTipo,MATCH(G2850,ctaNom,0)),"")&lt;&gt;"Tarjeta de crédito"),"⚠ «Hacia» debe ser la tarjeta",IF(AND(I2850="Trading",IFERROR(INDEX(ctaTipo,MATCH(E2850,ctaNom,0)),"")&lt;&gt;"Cuenta de trading"),"⚠ Usa la cuenta de trading","✓"))))))))))))</f>
        <v/>
      </c>
      <c r="I2850" s="19">
        <f>IF(OR(B2850="",C2850="",D2850=""),"",IFERROR(INDEX(catTipo,MATCH(D2850,catNom,0))&amp;"",""))</f>
        <v/>
      </c>
      <c r="J2850" s="19">
        <f>IF(I2850="","",IFERROR(INDEX(catGrupo,MATCH(D2850,catNom,0))&amp;"",""))</f>
        <v/>
      </c>
      <c r="K2850" s="19">
        <f>IF(I2850="Gasto",IF(IFERROR(INDEX(catClas,MATCH(D2850,catNom,0))&amp;"","")="","Variable",IFERROR(INDEX(catClas,MATCH(D2850,catNom,0))&amp;"","")),"")</f>
        <v/>
      </c>
      <c r="L2850" s="19">
        <f>IF(I2850="","",IFERROR(INDEX(catAlim,MATCH(D2850,catNom,0))&amp;"",""))</f>
        <v/>
      </c>
      <c r="M2850" s="19">
        <f>IF(I2850="","",IFERROR(INDEX(catComida,MATCH(D2850,catNom,0))&amp;"",""))</f>
        <v/>
      </c>
      <c r="N2850" s="19">
        <f>IF(I2850="","",IFERROR(INDEX(ctaMon,MATCH(E2850,ctaNom,0))&amp;"","DOP"))</f>
        <v/>
      </c>
      <c r="O2850" s="20">
        <f>IF(I2850="","",C2850*IF(N2850="USD",TasaUSD,1))</f>
        <v/>
      </c>
      <c r="P2850" s="20">
        <f>IF(I2850="","",IF(I2850="Gasto",O2850,0))</f>
        <v/>
      </c>
      <c r="Q2850" s="20">
        <f>IF(I2850="","",IF(I2850="Ingreso",O2850,0))</f>
        <v/>
      </c>
      <c r="R2850" s="20">
        <f>IF(I2850="","",IF(I2850="Trading",O2850,0))</f>
        <v/>
      </c>
      <c r="S2850" s="19">
        <f>IF(I2850="","",IF(AND(I2850="Gasto",K2850="Variable",J2850&lt;&gt;"Trading",O2850&gt;0,O2850&lt;=Umbral),1,0))</f>
        <v/>
      </c>
      <c r="T2850" s="20">
        <f>IF(OR(I2850="",E2850=""),"",IF(OR(I2850="Gasto",I2850="Transferencia",I2850="Pago tarjeta"),-1,1)*C2850)</f>
        <v/>
      </c>
      <c r="U2850" s="20">
        <f>IF(OR(G2850="",AND(I2850&lt;&gt;"Transferencia",I2850&lt;&gt;"Pago tarjeta")),"",IF(IFERROR(INDEX(ctaMon,MATCH(G2850,ctaNom,0))&amp;"","DOP")=N2850,C2850,IF(N2850="USD",C2850*TasaUSD,C2850/TasaUSD)))</f>
        <v/>
      </c>
      <c r="V2850" s="20">
        <f>IF(I2850="","",IF(IFERROR(INDEX(ctaLiq,MATCH(E2850,ctaNom,0))="Sí",FALSE),IF(OR(I2850="Gasto",I2850="Transferencia",I2850="Pago tarjeta"),-1,1)*O2850,0)+IF(AND(U2850&lt;&gt;"",IFERROR(INDEX(ctaLiq,MATCH(G2850,ctaNom,0))="Sí",FALSE)),O2850,0))</f>
        <v/>
      </c>
      <c r="W2850" s="19">
        <f>IF(OR(F2850="",I2850=""),"",IF(COUNTIFS(F$6:F2850,F2850,I$6:I2850,"?*")=1,MAX(W$5:W2849)+1,""))</f>
        <v/>
      </c>
    </row>
    <row r="2851">
      <c r="B2851" s="15" t="n"/>
      <c r="C2851" s="16" t="n"/>
      <c r="D2851" s="17" t="n"/>
      <c r="E2851" s="17" t="n"/>
      <c r="F2851" s="17" t="n"/>
      <c r="G2851" s="17" t="n"/>
      <c r="H2851" s="18">
        <f>IF(AND(B2851="",C2851="",D2851="",E2851=""),"",IF(B2851="","⚠ Falta fecha",IF(C2851="","⚠ Falta monto",IF(D2851="","⚠ Falta categoría",IF(ISNA(MATCH(D2851,catNom,0)),"⚠ Categoría no existe",IF(E2851="","⚠ Falta cuenta",IF(ISNA(MATCH(E2851,ctaNom,0)),"⚠ Cuenta no existe",IF(AND(OR(I2851="Transferencia",I2851="Pago tarjeta"),G2851=""),"⚠ Indica la cuenta «Hacia»",IF(AND(G2851&lt;&gt;"",G2851=E2851),"⚠ «Hacia» igual a la cuenta",IF(AND(G2851&lt;&gt;"",ISNA(MATCH(G2851,ctaNom,0))),"⚠ «Hacia» no existe",IF(AND(I2851="Pago tarjeta",IFERROR(INDEX(ctaTipo,MATCH(G2851,ctaNom,0)),"")&lt;&gt;"Tarjeta de crédito"),"⚠ «Hacia» debe ser la tarjeta",IF(AND(I2851="Trading",IFERROR(INDEX(ctaTipo,MATCH(E2851,ctaNom,0)),"")&lt;&gt;"Cuenta de trading"),"⚠ Usa la cuenta de trading","✓"))))))))))))</f>
        <v/>
      </c>
      <c r="I2851" s="19">
        <f>IF(OR(B2851="",C2851="",D2851=""),"",IFERROR(INDEX(catTipo,MATCH(D2851,catNom,0))&amp;"",""))</f>
        <v/>
      </c>
      <c r="J2851" s="19">
        <f>IF(I2851="","",IFERROR(INDEX(catGrupo,MATCH(D2851,catNom,0))&amp;"",""))</f>
        <v/>
      </c>
      <c r="K2851" s="19">
        <f>IF(I2851="Gasto",IF(IFERROR(INDEX(catClas,MATCH(D2851,catNom,0))&amp;"","")="","Variable",IFERROR(INDEX(catClas,MATCH(D2851,catNom,0))&amp;"","")),"")</f>
        <v/>
      </c>
      <c r="L2851" s="19">
        <f>IF(I2851="","",IFERROR(INDEX(catAlim,MATCH(D2851,catNom,0))&amp;"",""))</f>
        <v/>
      </c>
      <c r="M2851" s="19">
        <f>IF(I2851="","",IFERROR(INDEX(catComida,MATCH(D2851,catNom,0))&amp;"",""))</f>
        <v/>
      </c>
      <c r="N2851" s="19">
        <f>IF(I2851="","",IFERROR(INDEX(ctaMon,MATCH(E2851,ctaNom,0))&amp;"","DOP"))</f>
        <v/>
      </c>
      <c r="O2851" s="20">
        <f>IF(I2851="","",C2851*IF(N2851="USD",TasaUSD,1))</f>
        <v/>
      </c>
      <c r="P2851" s="20">
        <f>IF(I2851="","",IF(I2851="Gasto",O2851,0))</f>
        <v/>
      </c>
      <c r="Q2851" s="20">
        <f>IF(I2851="","",IF(I2851="Ingreso",O2851,0))</f>
        <v/>
      </c>
      <c r="R2851" s="20">
        <f>IF(I2851="","",IF(I2851="Trading",O2851,0))</f>
        <v/>
      </c>
      <c r="S2851" s="19">
        <f>IF(I2851="","",IF(AND(I2851="Gasto",K2851="Variable",J2851&lt;&gt;"Trading",O2851&gt;0,O2851&lt;=Umbral),1,0))</f>
        <v/>
      </c>
      <c r="T2851" s="20">
        <f>IF(OR(I2851="",E2851=""),"",IF(OR(I2851="Gasto",I2851="Transferencia",I2851="Pago tarjeta"),-1,1)*C2851)</f>
        <v/>
      </c>
      <c r="U2851" s="20">
        <f>IF(OR(G2851="",AND(I2851&lt;&gt;"Transferencia",I2851&lt;&gt;"Pago tarjeta")),"",IF(IFERROR(INDEX(ctaMon,MATCH(G2851,ctaNom,0))&amp;"","DOP")=N2851,C2851,IF(N2851="USD",C2851*TasaUSD,C2851/TasaUSD)))</f>
        <v/>
      </c>
      <c r="V2851" s="20">
        <f>IF(I2851="","",IF(IFERROR(INDEX(ctaLiq,MATCH(E2851,ctaNom,0))="Sí",FALSE),IF(OR(I2851="Gasto",I2851="Transferencia",I2851="Pago tarjeta"),-1,1)*O2851,0)+IF(AND(U2851&lt;&gt;"",IFERROR(INDEX(ctaLiq,MATCH(G2851,ctaNom,0))="Sí",FALSE)),O2851,0))</f>
        <v/>
      </c>
      <c r="W2851" s="19">
        <f>IF(OR(F2851="",I2851=""),"",IF(COUNTIFS(F$6:F2851,F2851,I$6:I2851,"?*")=1,MAX(W$5:W2850)+1,""))</f>
        <v/>
      </c>
    </row>
    <row r="2852">
      <c r="B2852" s="15" t="n"/>
      <c r="C2852" s="16" t="n"/>
      <c r="D2852" s="17" t="n"/>
      <c r="E2852" s="17" t="n"/>
      <c r="F2852" s="17" t="n"/>
      <c r="G2852" s="17" t="n"/>
      <c r="H2852" s="18">
        <f>IF(AND(B2852="",C2852="",D2852="",E2852=""),"",IF(B2852="","⚠ Falta fecha",IF(C2852="","⚠ Falta monto",IF(D2852="","⚠ Falta categoría",IF(ISNA(MATCH(D2852,catNom,0)),"⚠ Categoría no existe",IF(E2852="","⚠ Falta cuenta",IF(ISNA(MATCH(E2852,ctaNom,0)),"⚠ Cuenta no existe",IF(AND(OR(I2852="Transferencia",I2852="Pago tarjeta"),G2852=""),"⚠ Indica la cuenta «Hacia»",IF(AND(G2852&lt;&gt;"",G2852=E2852),"⚠ «Hacia» igual a la cuenta",IF(AND(G2852&lt;&gt;"",ISNA(MATCH(G2852,ctaNom,0))),"⚠ «Hacia» no existe",IF(AND(I2852="Pago tarjeta",IFERROR(INDEX(ctaTipo,MATCH(G2852,ctaNom,0)),"")&lt;&gt;"Tarjeta de crédito"),"⚠ «Hacia» debe ser la tarjeta",IF(AND(I2852="Trading",IFERROR(INDEX(ctaTipo,MATCH(E2852,ctaNom,0)),"")&lt;&gt;"Cuenta de trading"),"⚠ Usa la cuenta de trading","✓"))))))))))))</f>
        <v/>
      </c>
      <c r="I2852" s="19">
        <f>IF(OR(B2852="",C2852="",D2852=""),"",IFERROR(INDEX(catTipo,MATCH(D2852,catNom,0))&amp;"",""))</f>
        <v/>
      </c>
      <c r="J2852" s="19">
        <f>IF(I2852="","",IFERROR(INDEX(catGrupo,MATCH(D2852,catNom,0))&amp;"",""))</f>
        <v/>
      </c>
      <c r="K2852" s="19">
        <f>IF(I2852="Gasto",IF(IFERROR(INDEX(catClas,MATCH(D2852,catNom,0))&amp;"","")="","Variable",IFERROR(INDEX(catClas,MATCH(D2852,catNom,0))&amp;"","")),"")</f>
        <v/>
      </c>
      <c r="L2852" s="19">
        <f>IF(I2852="","",IFERROR(INDEX(catAlim,MATCH(D2852,catNom,0))&amp;"",""))</f>
        <v/>
      </c>
      <c r="M2852" s="19">
        <f>IF(I2852="","",IFERROR(INDEX(catComida,MATCH(D2852,catNom,0))&amp;"",""))</f>
        <v/>
      </c>
      <c r="N2852" s="19">
        <f>IF(I2852="","",IFERROR(INDEX(ctaMon,MATCH(E2852,ctaNom,0))&amp;"","DOP"))</f>
        <v/>
      </c>
      <c r="O2852" s="20">
        <f>IF(I2852="","",C2852*IF(N2852="USD",TasaUSD,1))</f>
        <v/>
      </c>
      <c r="P2852" s="20">
        <f>IF(I2852="","",IF(I2852="Gasto",O2852,0))</f>
        <v/>
      </c>
      <c r="Q2852" s="20">
        <f>IF(I2852="","",IF(I2852="Ingreso",O2852,0))</f>
        <v/>
      </c>
      <c r="R2852" s="20">
        <f>IF(I2852="","",IF(I2852="Trading",O2852,0))</f>
        <v/>
      </c>
      <c r="S2852" s="19">
        <f>IF(I2852="","",IF(AND(I2852="Gasto",K2852="Variable",J2852&lt;&gt;"Trading",O2852&gt;0,O2852&lt;=Umbral),1,0))</f>
        <v/>
      </c>
      <c r="T2852" s="20">
        <f>IF(OR(I2852="",E2852=""),"",IF(OR(I2852="Gasto",I2852="Transferencia",I2852="Pago tarjeta"),-1,1)*C2852)</f>
        <v/>
      </c>
      <c r="U2852" s="20">
        <f>IF(OR(G2852="",AND(I2852&lt;&gt;"Transferencia",I2852&lt;&gt;"Pago tarjeta")),"",IF(IFERROR(INDEX(ctaMon,MATCH(G2852,ctaNom,0))&amp;"","DOP")=N2852,C2852,IF(N2852="USD",C2852*TasaUSD,C2852/TasaUSD)))</f>
        <v/>
      </c>
      <c r="V2852" s="20">
        <f>IF(I2852="","",IF(IFERROR(INDEX(ctaLiq,MATCH(E2852,ctaNom,0))="Sí",FALSE),IF(OR(I2852="Gasto",I2852="Transferencia",I2852="Pago tarjeta"),-1,1)*O2852,0)+IF(AND(U2852&lt;&gt;"",IFERROR(INDEX(ctaLiq,MATCH(G2852,ctaNom,0))="Sí",FALSE)),O2852,0))</f>
        <v/>
      </c>
      <c r="W2852" s="19">
        <f>IF(OR(F2852="",I2852=""),"",IF(COUNTIFS(F$6:F2852,F2852,I$6:I2852,"?*")=1,MAX(W$5:W2851)+1,""))</f>
        <v/>
      </c>
    </row>
    <row r="2853">
      <c r="B2853" s="15" t="n"/>
      <c r="C2853" s="16" t="n"/>
      <c r="D2853" s="17" t="n"/>
      <c r="E2853" s="17" t="n"/>
      <c r="F2853" s="17" t="n"/>
      <c r="G2853" s="17" t="n"/>
      <c r="H2853" s="18">
        <f>IF(AND(B2853="",C2853="",D2853="",E2853=""),"",IF(B2853="","⚠ Falta fecha",IF(C2853="","⚠ Falta monto",IF(D2853="","⚠ Falta categoría",IF(ISNA(MATCH(D2853,catNom,0)),"⚠ Categoría no existe",IF(E2853="","⚠ Falta cuenta",IF(ISNA(MATCH(E2853,ctaNom,0)),"⚠ Cuenta no existe",IF(AND(OR(I2853="Transferencia",I2853="Pago tarjeta"),G2853=""),"⚠ Indica la cuenta «Hacia»",IF(AND(G2853&lt;&gt;"",G2853=E2853),"⚠ «Hacia» igual a la cuenta",IF(AND(G2853&lt;&gt;"",ISNA(MATCH(G2853,ctaNom,0))),"⚠ «Hacia» no existe",IF(AND(I2853="Pago tarjeta",IFERROR(INDEX(ctaTipo,MATCH(G2853,ctaNom,0)),"")&lt;&gt;"Tarjeta de crédito"),"⚠ «Hacia» debe ser la tarjeta",IF(AND(I2853="Trading",IFERROR(INDEX(ctaTipo,MATCH(E2853,ctaNom,0)),"")&lt;&gt;"Cuenta de trading"),"⚠ Usa la cuenta de trading","✓"))))))))))))</f>
        <v/>
      </c>
      <c r="I2853" s="19">
        <f>IF(OR(B2853="",C2853="",D2853=""),"",IFERROR(INDEX(catTipo,MATCH(D2853,catNom,0))&amp;"",""))</f>
        <v/>
      </c>
      <c r="J2853" s="19">
        <f>IF(I2853="","",IFERROR(INDEX(catGrupo,MATCH(D2853,catNom,0))&amp;"",""))</f>
        <v/>
      </c>
      <c r="K2853" s="19">
        <f>IF(I2853="Gasto",IF(IFERROR(INDEX(catClas,MATCH(D2853,catNom,0))&amp;"","")="","Variable",IFERROR(INDEX(catClas,MATCH(D2853,catNom,0))&amp;"","")),"")</f>
        <v/>
      </c>
      <c r="L2853" s="19">
        <f>IF(I2853="","",IFERROR(INDEX(catAlim,MATCH(D2853,catNom,0))&amp;"",""))</f>
        <v/>
      </c>
      <c r="M2853" s="19">
        <f>IF(I2853="","",IFERROR(INDEX(catComida,MATCH(D2853,catNom,0))&amp;"",""))</f>
        <v/>
      </c>
      <c r="N2853" s="19">
        <f>IF(I2853="","",IFERROR(INDEX(ctaMon,MATCH(E2853,ctaNom,0))&amp;"","DOP"))</f>
        <v/>
      </c>
      <c r="O2853" s="20">
        <f>IF(I2853="","",C2853*IF(N2853="USD",TasaUSD,1))</f>
        <v/>
      </c>
      <c r="P2853" s="20">
        <f>IF(I2853="","",IF(I2853="Gasto",O2853,0))</f>
        <v/>
      </c>
      <c r="Q2853" s="20">
        <f>IF(I2853="","",IF(I2853="Ingreso",O2853,0))</f>
        <v/>
      </c>
      <c r="R2853" s="20">
        <f>IF(I2853="","",IF(I2853="Trading",O2853,0))</f>
        <v/>
      </c>
      <c r="S2853" s="19">
        <f>IF(I2853="","",IF(AND(I2853="Gasto",K2853="Variable",J2853&lt;&gt;"Trading",O2853&gt;0,O2853&lt;=Umbral),1,0))</f>
        <v/>
      </c>
      <c r="T2853" s="20">
        <f>IF(OR(I2853="",E2853=""),"",IF(OR(I2853="Gasto",I2853="Transferencia",I2853="Pago tarjeta"),-1,1)*C2853)</f>
        <v/>
      </c>
      <c r="U2853" s="20">
        <f>IF(OR(G2853="",AND(I2853&lt;&gt;"Transferencia",I2853&lt;&gt;"Pago tarjeta")),"",IF(IFERROR(INDEX(ctaMon,MATCH(G2853,ctaNom,0))&amp;"","DOP")=N2853,C2853,IF(N2853="USD",C2853*TasaUSD,C2853/TasaUSD)))</f>
        <v/>
      </c>
      <c r="V2853" s="20">
        <f>IF(I2853="","",IF(IFERROR(INDEX(ctaLiq,MATCH(E2853,ctaNom,0))="Sí",FALSE),IF(OR(I2853="Gasto",I2853="Transferencia",I2853="Pago tarjeta"),-1,1)*O2853,0)+IF(AND(U2853&lt;&gt;"",IFERROR(INDEX(ctaLiq,MATCH(G2853,ctaNom,0))="Sí",FALSE)),O2853,0))</f>
        <v/>
      </c>
      <c r="W2853" s="19">
        <f>IF(OR(F2853="",I2853=""),"",IF(COUNTIFS(F$6:F2853,F2853,I$6:I2853,"?*")=1,MAX(W$5:W2852)+1,""))</f>
        <v/>
      </c>
    </row>
    <row r="2854">
      <c r="B2854" s="15" t="n"/>
      <c r="C2854" s="16" t="n"/>
      <c r="D2854" s="17" t="n"/>
      <c r="E2854" s="17" t="n"/>
      <c r="F2854" s="17" t="n"/>
      <c r="G2854" s="17" t="n"/>
      <c r="H2854" s="18">
        <f>IF(AND(B2854="",C2854="",D2854="",E2854=""),"",IF(B2854="","⚠ Falta fecha",IF(C2854="","⚠ Falta monto",IF(D2854="","⚠ Falta categoría",IF(ISNA(MATCH(D2854,catNom,0)),"⚠ Categoría no existe",IF(E2854="","⚠ Falta cuenta",IF(ISNA(MATCH(E2854,ctaNom,0)),"⚠ Cuenta no existe",IF(AND(OR(I2854="Transferencia",I2854="Pago tarjeta"),G2854=""),"⚠ Indica la cuenta «Hacia»",IF(AND(G2854&lt;&gt;"",G2854=E2854),"⚠ «Hacia» igual a la cuenta",IF(AND(G2854&lt;&gt;"",ISNA(MATCH(G2854,ctaNom,0))),"⚠ «Hacia» no existe",IF(AND(I2854="Pago tarjeta",IFERROR(INDEX(ctaTipo,MATCH(G2854,ctaNom,0)),"")&lt;&gt;"Tarjeta de crédito"),"⚠ «Hacia» debe ser la tarjeta",IF(AND(I2854="Trading",IFERROR(INDEX(ctaTipo,MATCH(E2854,ctaNom,0)),"")&lt;&gt;"Cuenta de trading"),"⚠ Usa la cuenta de trading","✓"))))))))))))</f>
        <v/>
      </c>
      <c r="I2854" s="19">
        <f>IF(OR(B2854="",C2854="",D2854=""),"",IFERROR(INDEX(catTipo,MATCH(D2854,catNom,0))&amp;"",""))</f>
        <v/>
      </c>
      <c r="J2854" s="19">
        <f>IF(I2854="","",IFERROR(INDEX(catGrupo,MATCH(D2854,catNom,0))&amp;"",""))</f>
        <v/>
      </c>
      <c r="K2854" s="19">
        <f>IF(I2854="Gasto",IF(IFERROR(INDEX(catClas,MATCH(D2854,catNom,0))&amp;"","")="","Variable",IFERROR(INDEX(catClas,MATCH(D2854,catNom,0))&amp;"","")),"")</f>
        <v/>
      </c>
      <c r="L2854" s="19">
        <f>IF(I2854="","",IFERROR(INDEX(catAlim,MATCH(D2854,catNom,0))&amp;"",""))</f>
        <v/>
      </c>
      <c r="M2854" s="19">
        <f>IF(I2854="","",IFERROR(INDEX(catComida,MATCH(D2854,catNom,0))&amp;"",""))</f>
        <v/>
      </c>
      <c r="N2854" s="19">
        <f>IF(I2854="","",IFERROR(INDEX(ctaMon,MATCH(E2854,ctaNom,0))&amp;"","DOP"))</f>
        <v/>
      </c>
      <c r="O2854" s="20">
        <f>IF(I2854="","",C2854*IF(N2854="USD",TasaUSD,1))</f>
        <v/>
      </c>
      <c r="P2854" s="20">
        <f>IF(I2854="","",IF(I2854="Gasto",O2854,0))</f>
        <v/>
      </c>
      <c r="Q2854" s="20">
        <f>IF(I2854="","",IF(I2854="Ingreso",O2854,0))</f>
        <v/>
      </c>
      <c r="R2854" s="20">
        <f>IF(I2854="","",IF(I2854="Trading",O2854,0))</f>
        <v/>
      </c>
      <c r="S2854" s="19">
        <f>IF(I2854="","",IF(AND(I2854="Gasto",K2854="Variable",J2854&lt;&gt;"Trading",O2854&gt;0,O2854&lt;=Umbral),1,0))</f>
        <v/>
      </c>
      <c r="T2854" s="20">
        <f>IF(OR(I2854="",E2854=""),"",IF(OR(I2854="Gasto",I2854="Transferencia",I2854="Pago tarjeta"),-1,1)*C2854)</f>
        <v/>
      </c>
      <c r="U2854" s="20">
        <f>IF(OR(G2854="",AND(I2854&lt;&gt;"Transferencia",I2854&lt;&gt;"Pago tarjeta")),"",IF(IFERROR(INDEX(ctaMon,MATCH(G2854,ctaNom,0))&amp;"","DOP")=N2854,C2854,IF(N2854="USD",C2854*TasaUSD,C2854/TasaUSD)))</f>
        <v/>
      </c>
      <c r="V2854" s="20">
        <f>IF(I2854="","",IF(IFERROR(INDEX(ctaLiq,MATCH(E2854,ctaNom,0))="Sí",FALSE),IF(OR(I2854="Gasto",I2854="Transferencia",I2854="Pago tarjeta"),-1,1)*O2854,0)+IF(AND(U2854&lt;&gt;"",IFERROR(INDEX(ctaLiq,MATCH(G2854,ctaNom,0))="Sí",FALSE)),O2854,0))</f>
        <v/>
      </c>
      <c r="W2854" s="19">
        <f>IF(OR(F2854="",I2854=""),"",IF(COUNTIFS(F$6:F2854,F2854,I$6:I2854,"?*")=1,MAX(W$5:W2853)+1,""))</f>
        <v/>
      </c>
    </row>
    <row r="2855">
      <c r="B2855" s="15" t="n"/>
      <c r="C2855" s="16" t="n"/>
      <c r="D2855" s="17" t="n"/>
      <c r="E2855" s="17" t="n"/>
      <c r="F2855" s="17" t="n"/>
      <c r="G2855" s="17" t="n"/>
      <c r="H2855" s="18">
        <f>IF(AND(B2855="",C2855="",D2855="",E2855=""),"",IF(B2855="","⚠ Falta fecha",IF(C2855="","⚠ Falta monto",IF(D2855="","⚠ Falta categoría",IF(ISNA(MATCH(D2855,catNom,0)),"⚠ Categoría no existe",IF(E2855="","⚠ Falta cuenta",IF(ISNA(MATCH(E2855,ctaNom,0)),"⚠ Cuenta no existe",IF(AND(OR(I2855="Transferencia",I2855="Pago tarjeta"),G2855=""),"⚠ Indica la cuenta «Hacia»",IF(AND(G2855&lt;&gt;"",G2855=E2855),"⚠ «Hacia» igual a la cuenta",IF(AND(G2855&lt;&gt;"",ISNA(MATCH(G2855,ctaNom,0))),"⚠ «Hacia» no existe",IF(AND(I2855="Pago tarjeta",IFERROR(INDEX(ctaTipo,MATCH(G2855,ctaNom,0)),"")&lt;&gt;"Tarjeta de crédito"),"⚠ «Hacia» debe ser la tarjeta",IF(AND(I2855="Trading",IFERROR(INDEX(ctaTipo,MATCH(E2855,ctaNom,0)),"")&lt;&gt;"Cuenta de trading"),"⚠ Usa la cuenta de trading","✓"))))))))))))</f>
        <v/>
      </c>
      <c r="I2855" s="19">
        <f>IF(OR(B2855="",C2855="",D2855=""),"",IFERROR(INDEX(catTipo,MATCH(D2855,catNom,0))&amp;"",""))</f>
        <v/>
      </c>
      <c r="J2855" s="19">
        <f>IF(I2855="","",IFERROR(INDEX(catGrupo,MATCH(D2855,catNom,0))&amp;"",""))</f>
        <v/>
      </c>
      <c r="K2855" s="19">
        <f>IF(I2855="Gasto",IF(IFERROR(INDEX(catClas,MATCH(D2855,catNom,0))&amp;"","")="","Variable",IFERROR(INDEX(catClas,MATCH(D2855,catNom,0))&amp;"","")),"")</f>
        <v/>
      </c>
      <c r="L2855" s="19">
        <f>IF(I2855="","",IFERROR(INDEX(catAlim,MATCH(D2855,catNom,0))&amp;"",""))</f>
        <v/>
      </c>
      <c r="M2855" s="19">
        <f>IF(I2855="","",IFERROR(INDEX(catComida,MATCH(D2855,catNom,0))&amp;"",""))</f>
        <v/>
      </c>
      <c r="N2855" s="19">
        <f>IF(I2855="","",IFERROR(INDEX(ctaMon,MATCH(E2855,ctaNom,0))&amp;"","DOP"))</f>
        <v/>
      </c>
      <c r="O2855" s="20">
        <f>IF(I2855="","",C2855*IF(N2855="USD",TasaUSD,1))</f>
        <v/>
      </c>
      <c r="P2855" s="20">
        <f>IF(I2855="","",IF(I2855="Gasto",O2855,0))</f>
        <v/>
      </c>
      <c r="Q2855" s="20">
        <f>IF(I2855="","",IF(I2855="Ingreso",O2855,0))</f>
        <v/>
      </c>
      <c r="R2855" s="20">
        <f>IF(I2855="","",IF(I2855="Trading",O2855,0))</f>
        <v/>
      </c>
      <c r="S2855" s="19">
        <f>IF(I2855="","",IF(AND(I2855="Gasto",K2855="Variable",J2855&lt;&gt;"Trading",O2855&gt;0,O2855&lt;=Umbral),1,0))</f>
        <v/>
      </c>
      <c r="T2855" s="20">
        <f>IF(OR(I2855="",E2855=""),"",IF(OR(I2855="Gasto",I2855="Transferencia",I2855="Pago tarjeta"),-1,1)*C2855)</f>
        <v/>
      </c>
      <c r="U2855" s="20">
        <f>IF(OR(G2855="",AND(I2855&lt;&gt;"Transferencia",I2855&lt;&gt;"Pago tarjeta")),"",IF(IFERROR(INDEX(ctaMon,MATCH(G2855,ctaNom,0))&amp;"","DOP")=N2855,C2855,IF(N2855="USD",C2855*TasaUSD,C2855/TasaUSD)))</f>
        <v/>
      </c>
      <c r="V2855" s="20">
        <f>IF(I2855="","",IF(IFERROR(INDEX(ctaLiq,MATCH(E2855,ctaNom,0))="Sí",FALSE),IF(OR(I2855="Gasto",I2855="Transferencia",I2855="Pago tarjeta"),-1,1)*O2855,0)+IF(AND(U2855&lt;&gt;"",IFERROR(INDEX(ctaLiq,MATCH(G2855,ctaNom,0))="Sí",FALSE)),O2855,0))</f>
        <v/>
      </c>
      <c r="W2855" s="19">
        <f>IF(OR(F2855="",I2855=""),"",IF(COUNTIFS(F$6:F2855,F2855,I$6:I2855,"?*")=1,MAX(W$5:W2854)+1,""))</f>
        <v/>
      </c>
    </row>
    <row r="2856">
      <c r="B2856" s="15" t="n"/>
      <c r="C2856" s="16" t="n"/>
      <c r="D2856" s="17" t="n"/>
      <c r="E2856" s="17" t="n"/>
      <c r="F2856" s="17" t="n"/>
      <c r="G2856" s="17" t="n"/>
      <c r="H2856" s="18">
        <f>IF(AND(B2856="",C2856="",D2856="",E2856=""),"",IF(B2856="","⚠ Falta fecha",IF(C2856="","⚠ Falta monto",IF(D2856="","⚠ Falta categoría",IF(ISNA(MATCH(D2856,catNom,0)),"⚠ Categoría no existe",IF(E2856="","⚠ Falta cuenta",IF(ISNA(MATCH(E2856,ctaNom,0)),"⚠ Cuenta no existe",IF(AND(OR(I2856="Transferencia",I2856="Pago tarjeta"),G2856=""),"⚠ Indica la cuenta «Hacia»",IF(AND(G2856&lt;&gt;"",G2856=E2856),"⚠ «Hacia» igual a la cuenta",IF(AND(G2856&lt;&gt;"",ISNA(MATCH(G2856,ctaNom,0))),"⚠ «Hacia» no existe",IF(AND(I2856="Pago tarjeta",IFERROR(INDEX(ctaTipo,MATCH(G2856,ctaNom,0)),"")&lt;&gt;"Tarjeta de crédito"),"⚠ «Hacia» debe ser la tarjeta",IF(AND(I2856="Trading",IFERROR(INDEX(ctaTipo,MATCH(E2856,ctaNom,0)),"")&lt;&gt;"Cuenta de trading"),"⚠ Usa la cuenta de trading","✓"))))))))))))</f>
        <v/>
      </c>
      <c r="I2856" s="19">
        <f>IF(OR(B2856="",C2856="",D2856=""),"",IFERROR(INDEX(catTipo,MATCH(D2856,catNom,0))&amp;"",""))</f>
        <v/>
      </c>
      <c r="J2856" s="19">
        <f>IF(I2856="","",IFERROR(INDEX(catGrupo,MATCH(D2856,catNom,0))&amp;"",""))</f>
        <v/>
      </c>
      <c r="K2856" s="19">
        <f>IF(I2856="Gasto",IF(IFERROR(INDEX(catClas,MATCH(D2856,catNom,0))&amp;"","")="","Variable",IFERROR(INDEX(catClas,MATCH(D2856,catNom,0))&amp;"","")),"")</f>
        <v/>
      </c>
      <c r="L2856" s="19">
        <f>IF(I2856="","",IFERROR(INDEX(catAlim,MATCH(D2856,catNom,0))&amp;"",""))</f>
        <v/>
      </c>
      <c r="M2856" s="19">
        <f>IF(I2856="","",IFERROR(INDEX(catComida,MATCH(D2856,catNom,0))&amp;"",""))</f>
        <v/>
      </c>
      <c r="N2856" s="19">
        <f>IF(I2856="","",IFERROR(INDEX(ctaMon,MATCH(E2856,ctaNom,0))&amp;"","DOP"))</f>
        <v/>
      </c>
      <c r="O2856" s="20">
        <f>IF(I2856="","",C2856*IF(N2856="USD",TasaUSD,1))</f>
        <v/>
      </c>
      <c r="P2856" s="20">
        <f>IF(I2856="","",IF(I2856="Gasto",O2856,0))</f>
        <v/>
      </c>
      <c r="Q2856" s="20">
        <f>IF(I2856="","",IF(I2856="Ingreso",O2856,0))</f>
        <v/>
      </c>
      <c r="R2856" s="20">
        <f>IF(I2856="","",IF(I2856="Trading",O2856,0))</f>
        <v/>
      </c>
      <c r="S2856" s="19">
        <f>IF(I2856="","",IF(AND(I2856="Gasto",K2856="Variable",J2856&lt;&gt;"Trading",O2856&gt;0,O2856&lt;=Umbral),1,0))</f>
        <v/>
      </c>
      <c r="T2856" s="20">
        <f>IF(OR(I2856="",E2856=""),"",IF(OR(I2856="Gasto",I2856="Transferencia",I2856="Pago tarjeta"),-1,1)*C2856)</f>
        <v/>
      </c>
      <c r="U2856" s="20">
        <f>IF(OR(G2856="",AND(I2856&lt;&gt;"Transferencia",I2856&lt;&gt;"Pago tarjeta")),"",IF(IFERROR(INDEX(ctaMon,MATCH(G2856,ctaNom,0))&amp;"","DOP")=N2856,C2856,IF(N2856="USD",C2856*TasaUSD,C2856/TasaUSD)))</f>
        <v/>
      </c>
      <c r="V2856" s="20">
        <f>IF(I2856="","",IF(IFERROR(INDEX(ctaLiq,MATCH(E2856,ctaNom,0))="Sí",FALSE),IF(OR(I2856="Gasto",I2856="Transferencia",I2856="Pago tarjeta"),-1,1)*O2856,0)+IF(AND(U2856&lt;&gt;"",IFERROR(INDEX(ctaLiq,MATCH(G2856,ctaNom,0))="Sí",FALSE)),O2856,0))</f>
        <v/>
      </c>
      <c r="W2856" s="19">
        <f>IF(OR(F2856="",I2856=""),"",IF(COUNTIFS(F$6:F2856,F2856,I$6:I2856,"?*")=1,MAX(W$5:W2855)+1,""))</f>
        <v/>
      </c>
    </row>
    <row r="2857">
      <c r="B2857" s="15" t="n"/>
      <c r="C2857" s="16" t="n"/>
      <c r="D2857" s="17" t="n"/>
      <c r="E2857" s="17" t="n"/>
      <c r="F2857" s="17" t="n"/>
      <c r="G2857" s="17" t="n"/>
      <c r="H2857" s="18">
        <f>IF(AND(B2857="",C2857="",D2857="",E2857=""),"",IF(B2857="","⚠ Falta fecha",IF(C2857="","⚠ Falta monto",IF(D2857="","⚠ Falta categoría",IF(ISNA(MATCH(D2857,catNom,0)),"⚠ Categoría no existe",IF(E2857="","⚠ Falta cuenta",IF(ISNA(MATCH(E2857,ctaNom,0)),"⚠ Cuenta no existe",IF(AND(OR(I2857="Transferencia",I2857="Pago tarjeta"),G2857=""),"⚠ Indica la cuenta «Hacia»",IF(AND(G2857&lt;&gt;"",G2857=E2857),"⚠ «Hacia» igual a la cuenta",IF(AND(G2857&lt;&gt;"",ISNA(MATCH(G2857,ctaNom,0))),"⚠ «Hacia» no existe",IF(AND(I2857="Pago tarjeta",IFERROR(INDEX(ctaTipo,MATCH(G2857,ctaNom,0)),"")&lt;&gt;"Tarjeta de crédito"),"⚠ «Hacia» debe ser la tarjeta",IF(AND(I2857="Trading",IFERROR(INDEX(ctaTipo,MATCH(E2857,ctaNom,0)),"")&lt;&gt;"Cuenta de trading"),"⚠ Usa la cuenta de trading","✓"))))))))))))</f>
        <v/>
      </c>
      <c r="I2857" s="19">
        <f>IF(OR(B2857="",C2857="",D2857=""),"",IFERROR(INDEX(catTipo,MATCH(D2857,catNom,0))&amp;"",""))</f>
        <v/>
      </c>
      <c r="J2857" s="19">
        <f>IF(I2857="","",IFERROR(INDEX(catGrupo,MATCH(D2857,catNom,0))&amp;"",""))</f>
        <v/>
      </c>
      <c r="K2857" s="19">
        <f>IF(I2857="Gasto",IF(IFERROR(INDEX(catClas,MATCH(D2857,catNom,0))&amp;"","")="","Variable",IFERROR(INDEX(catClas,MATCH(D2857,catNom,0))&amp;"","")),"")</f>
        <v/>
      </c>
      <c r="L2857" s="19">
        <f>IF(I2857="","",IFERROR(INDEX(catAlim,MATCH(D2857,catNom,0))&amp;"",""))</f>
        <v/>
      </c>
      <c r="M2857" s="19">
        <f>IF(I2857="","",IFERROR(INDEX(catComida,MATCH(D2857,catNom,0))&amp;"",""))</f>
        <v/>
      </c>
      <c r="N2857" s="19">
        <f>IF(I2857="","",IFERROR(INDEX(ctaMon,MATCH(E2857,ctaNom,0))&amp;"","DOP"))</f>
        <v/>
      </c>
      <c r="O2857" s="20">
        <f>IF(I2857="","",C2857*IF(N2857="USD",TasaUSD,1))</f>
        <v/>
      </c>
      <c r="P2857" s="20">
        <f>IF(I2857="","",IF(I2857="Gasto",O2857,0))</f>
        <v/>
      </c>
      <c r="Q2857" s="20">
        <f>IF(I2857="","",IF(I2857="Ingreso",O2857,0))</f>
        <v/>
      </c>
      <c r="R2857" s="20">
        <f>IF(I2857="","",IF(I2857="Trading",O2857,0))</f>
        <v/>
      </c>
      <c r="S2857" s="19">
        <f>IF(I2857="","",IF(AND(I2857="Gasto",K2857="Variable",J2857&lt;&gt;"Trading",O2857&gt;0,O2857&lt;=Umbral),1,0))</f>
        <v/>
      </c>
      <c r="T2857" s="20">
        <f>IF(OR(I2857="",E2857=""),"",IF(OR(I2857="Gasto",I2857="Transferencia",I2857="Pago tarjeta"),-1,1)*C2857)</f>
        <v/>
      </c>
      <c r="U2857" s="20">
        <f>IF(OR(G2857="",AND(I2857&lt;&gt;"Transferencia",I2857&lt;&gt;"Pago tarjeta")),"",IF(IFERROR(INDEX(ctaMon,MATCH(G2857,ctaNom,0))&amp;"","DOP")=N2857,C2857,IF(N2857="USD",C2857*TasaUSD,C2857/TasaUSD)))</f>
        <v/>
      </c>
      <c r="V2857" s="20">
        <f>IF(I2857="","",IF(IFERROR(INDEX(ctaLiq,MATCH(E2857,ctaNom,0))="Sí",FALSE),IF(OR(I2857="Gasto",I2857="Transferencia",I2857="Pago tarjeta"),-1,1)*O2857,0)+IF(AND(U2857&lt;&gt;"",IFERROR(INDEX(ctaLiq,MATCH(G2857,ctaNom,0))="Sí",FALSE)),O2857,0))</f>
        <v/>
      </c>
      <c r="W2857" s="19">
        <f>IF(OR(F2857="",I2857=""),"",IF(COUNTIFS(F$6:F2857,F2857,I$6:I2857,"?*")=1,MAX(W$5:W2856)+1,""))</f>
        <v/>
      </c>
    </row>
    <row r="2858">
      <c r="B2858" s="15" t="n"/>
      <c r="C2858" s="16" t="n"/>
      <c r="D2858" s="17" t="n"/>
      <c r="E2858" s="17" t="n"/>
      <c r="F2858" s="17" t="n"/>
      <c r="G2858" s="17" t="n"/>
      <c r="H2858" s="18">
        <f>IF(AND(B2858="",C2858="",D2858="",E2858=""),"",IF(B2858="","⚠ Falta fecha",IF(C2858="","⚠ Falta monto",IF(D2858="","⚠ Falta categoría",IF(ISNA(MATCH(D2858,catNom,0)),"⚠ Categoría no existe",IF(E2858="","⚠ Falta cuenta",IF(ISNA(MATCH(E2858,ctaNom,0)),"⚠ Cuenta no existe",IF(AND(OR(I2858="Transferencia",I2858="Pago tarjeta"),G2858=""),"⚠ Indica la cuenta «Hacia»",IF(AND(G2858&lt;&gt;"",G2858=E2858),"⚠ «Hacia» igual a la cuenta",IF(AND(G2858&lt;&gt;"",ISNA(MATCH(G2858,ctaNom,0))),"⚠ «Hacia» no existe",IF(AND(I2858="Pago tarjeta",IFERROR(INDEX(ctaTipo,MATCH(G2858,ctaNom,0)),"")&lt;&gt;"Tarjeta de crédito"),"⚠ «Hacia» debe ser la tarjeta",IF(AND(I2858="Trading",IFERROR(INDEX(ctaTipo,MATCH(E2858,ctaNom,0)),"")&lt;&gt;"Cuenta de trading"),"⚠ Usa la cuenta de trading","✓"))))))))))))</f>
        <v/>
      </c>
      <c r="I2858" s="19">
        <f>IF(OR(B2858="",C2858="",D2858=""),"",IFERROR(INDEX(catTipo,MATCH(D2858,catNom,0))&amp;"",""))</f>
        <v/>
      </c>
      <c r="J2858" s="19">
        <f>IF(I2858="","",IFERROR(INDEX(catGrupo,MATCH(D2858,catNom,0))&amp;"",""))</f>
        <v/>
      </c>
      <c r="K2858" s="19">
        <f>IF(I2858="Gasto",IF(IFERROR(INDEX(catClas,MATCH(D2858,catNom,0))&amp;"","")="","Variable",IFERROR(INDEX(catClas,MATCH(D2858,catNom,0))&amp;"","")),"")</f>
        <v/>
      </c>
      <c r="L2858" s="19">
        <f>IF(I2858="","",IFERROR(INDEX(catAlim,MATCH(D2858,catNom,0))&amp;"",""))</f>
        <v/>
      </c>
      <c r="M2858" s="19">
        <f>IF(I2858="","",IFERROR(INDEX(catComida,MATCH(D2858,catNom,0))&amp;"",""))</f>
        <v/>
      </c>
      <c r="N2858" s="19">
        <f>IF(I2858="","",IFERROR(INDEX(ctaMon,MATCH(E2858,ctaNom,0))&amp;"","DOP"))</f>
        <v/>
      </c>
      <c r="O2858" s="20">
        <f>IF(I2858="","",C2858*IF(N2858="USD",TasaUSD,1))</f>
        <v/>
      </c>
      <c r="P2858" s="20">
        <f>IF(I2858="","",IF(I2858="Gasto",O2858,0))</f>
        <v/>
      </c>
      <c r="Q2858" s="20">
        <f>IF(I2858="","",IF(I2858="Ingreso",O2858,0))</f>
        <v/>
      </c>
      <c r="R2858" s="20">
        <f>IF(I2858="","",IF(I2858="Trading",O2858,0))</f>
        <v/>
      </c>
      <c r="S2858" s="19">
        <f>IF(I2858="","",IF(AND(I2858="Gasto",K2858="Variable",J2858&lt;&gt;"Trading",O2858&gt;0,O2858&lt;=Umbral),1,0))</f>
        <v/>
      </c>
      <c r="T2858" s="20">
        <f>IF(OR(I2858="",E2858=""),"",IF(OR(I2858="Gasto",I2858="Transferencia",I2858="Pago tarjeta"),-1,1)*C2858)</f>
        <v/>
      </c>
      <c r="U2858" s="20">
        <f>IF(OR(G2858="",AND(I2858&lt;&gt;"Transferencia",I2858&lt;&gt;"Pago tarjeta")),"",IF(IFERROR(INDEX(ctaMon,MATCH(G2858,ctaNom,0))&amp;"","DOP")=N2858,C2858,IF(N2858="USD",C2858*TasaUSD,C2858/TasaUSD)))</f>
        <v/>
      </c>
      <c r="V2858" s="20">
        <f>IF(I2858="","",IF(IFERROR(INDEX(ctaLiq,MATCH(E2858,ctaNom,0))="Sí",FALSE),IF(OR(I2858="Gasto",I2858="Transferencia",I2858="Pago tarjeta"),-1,1)*O2858,0)+IF(AND(U2858&lt;&gt;"",IFERROR(INDEX(ctaLiq,MATCH(G2858,ctaNom,0))="Sí",FALSE)),O2858,0))</f>
        <v/>
      </c>
      <c r="W2858" s="19">
        <f>IF(OR(F2858="",I2858=""),"",IF(COUNTIFS(F$6:F2858,F2858,I$6:I2858,"?*")=1,MAX(W$5:W2857)+1,""))</f>
        <v/>
      </c>
    </row>
    <row r="2859">
      <c r="B2859" s="15" t="n"/>
      <c r="C2859" s="16" t="n"/>
      <c r="D2859" s="17" t="n"/>
      <c r="E2859" s="17" t="n"/>
      <c r="F2859" s="17" t="n"/>
      <c r="G2859" s="17" t="n"/>
      <c r="H2859" s="18">
        <f>IF(AND(B2859="",C2859="",D2859="",E2859=""),"",IF(B2859="","⚠ Falta fecha",IF(C2859="","⚠ Falta monto",IF(D2859="","⚠ Falta categoría",IF(ISNA(MATCH(D2859,catNom,0)),"⚠ Categoría no existe",IF(E2859="","⚠ Falta cuenta",IF(ISNA(MATCH(E2859,ctaNom,0)),"⚠ Cuenta no existe",IF(AND(OR(I2859="Transferencia",I2859="Pago tarjeta"),G2859=""),"⚠ Indica la cuenta «Hacia»",IF(AND(G2859&lt;&gt;"",G2859=E2859),"⚠ «Hacia» igual a la cuenta",IF(AND(G2859&lt;&gt;"",ISNA(MATCH(G2859,ctaNom,0))),"⚠ «Hacia» no existe",IF(AND(I2859="Pago tarjeta",IFERROR(INDEX(ctaTipo,MATCH(G2859,ctaNom,0)),"")&lt;&gt;"Tarjeta de crédito"),"⚠ «Hacia» debe ser la tarjeta",IF(AND(I2859="Trading",IFERROR(INDEX(ctaTipo,MATCH(E2859,ctaNom,0)),"")&lt;&gt;"Cuenta de trading"),"⚠ Usa la cuenta de trading","✓"))))))))))))</f>
        <v/>
      </c>
      <c r="I2859" s="19">
        <f>IF(OR(B2859="",C2859="",D2859=""),"",IFERROR(INDEX(catTipo,MATCH(D2859,catNom,0))&amp;"",""))</f>
        <v/>
      </c>
      <c r="J2859" s="19">
        <f>IF(I2859="","",IFERROR(INDEX(catGrupo,MATCH(D2859,catNom,0))&amp;"",""))</f>
        <v/>
      </c>
      <c r="K2859" s="19">
        <f>IF(I2859="Gasto",IF(IFERROR(INDEX(catClas,MATCH(D2859,catNom,0))&amp;"","")="","Variable",IFERROR(INDEX(catClas,MATCH(D2859,catNom,0))&amp;"","")),"")</f>
        <v/>
      </c>
      <c r="L2859" s="19">
        <f>IF(I2859="","",IFERROR(INDEX(catAlim,MATCH(D2859,catNom,0))&amp;"",""))</f>
        <v/>
      </c>
      <c r="M2859" s="19">
        <f>IF(I2859="","",IFERROR(INDEX(catComida,MATCH(D2859,catNom,0))&amp;"",""))</f>
        <v/>
      </c>
      <c r="N2859" s="19">
        <f>IF(I2859="","",IFERROR(INDEX(ctaMon,MATCH(E2859,ctaNom,0))&amp;"","DOP"))</f>
        <v/>
      </c>
      <c r="O2859" s="20">
        <f>IF(I2859="","",C2859*IF(N2859="USD",TasaUSD,1))</f>
        <v/>
      </c>
      <c r="P2859" s="20">
        <f>IF(I2859="","",IF(I2859="Gasto",O2859,0))</f>
        <v/>
      </c>
      <c r="Q2859" s="20">
        <f>IF(I2859="","",IF(I2859="Ingreso",O2859,0))</f>
        <v/>
      </c>
      <c r="R2859" s="20">
        <f>IF(I2859="","",IF(I2859="Trading",O2859,0))</f>
        <v/>
      </c>
      <c r="S2859" s="19">
        <f>IF(I2859="","",IF(AND(I2859="Gasto",K2859="Variable",J2859&lt;&gt;"Trading",O2859&gt;0,O2859&lt;=Umbral),1,0))</f>
        <v/>
      </c>
      <c r="T2859" s="20">
        <f>IF(OR(I2859="",E2859=""),"",IF(OR(I2859="Gasto",I2859="Transferencia",I2859="Pago tarjeta"),-1,1)*C2859)</f>
        <v/>
      </c>
      <c r="U2859" s="20">
        <f>IF(OR(G2859="",AND(I2859&lt;&gt;"Transferencia",I2859&lt;&gt;"Pago tarjeta")),"",IF(IFERROR(INDEX(ctaMon,MATCH(G2859,ctaNom,0))&amp;"","DOP")=N2859,C2859,IF(N2859="USD",C2859*TasaUSD,C2859/TasaUSD)))</f>
        <v/>
      </c>
      <c r="V2859" s="20">
        <f>IF(I2859="","",IF(IFERROR(INDEX(ctaLiq,MATCH(E2859,ctaNom,0))="Sí",FALSE),IF(OR(I2859="Gasto",I2859="Transferencia",I2859="Pago tarjeta"),-1,1)*O2859,0)+IF(AND(U2859&lt;&gt;"",IFERROR(INDEX(ctaLiq,MATCH(G2859,ctaNom,0))="Sí",FALSE)),O2859,0))</f>
        <v/>
      </c>
      <c r="W2859" s="19">
        <f>IF(OR(F2859="",I2859=""),"",IF(COUNTIFS(F$6:F2859,F2859,I$6:I2859,"?*")=1,MAX(W$5:W2858)+1,""))</f>
        <v/>
      </c>
    </row>
    <row r="2860">
      <c r="B2860" s="15" t="n"/>
      <c r="C2860" s="16" t="n"/>
      <c r="D2860" s="17" t="n"/>
      <c r="E2860" s="17" t="n"/>
      <c r="F2860" s="17" t="n"/>
      <c r="G2860" s="17" t="n"/>
      <c r="H2860" s="18">
        <f>IF(AND(B2860="",C2860="",D2860="",E2860=""),"",IF(B2860="","⚠ Falta fecha",IF(C2860="","⚠ Falta monto",IF(D2860="","⚠ Falta categoría",IF(ISNA(MATCH(D2860,catNom,0)),"⚠ Categoría no existe",IF(E2860="","⚠ Falta cuenta",IF(ISNA(MATCH(E2860,ctaNom,0)),"⚠ Cuenta no existe",IF(AND(OR(I2860="Transferencia",I2860="Pago tarjeta"),G2860=""),"⚠ Indica la cuenta «Hacia»",IF(AND(G2860&lt;&gt;"",G2860=E2860),"⚠ «Hacia» igual a la cuenta",IF(AND(G2860&lt;&gt;"",ISNA(MATCH(G2860,ctaNom,0))),"⚠ «Hacia» no existe",IF(AND(I2860="Pago tarjeta",IFERROR(INDEX(ctaTipo,MATCH(G2860,ctaNom,0)),"")&lt;&gt;"Tarjeta de crédito"),"⚠ «Hacia» debe ser la tarjeta",IF(AND(I2860="Trading",IFERROR(INDEX(ctaTipo,MATCH(E2860,ctaNom,0)),"")&lt;&gt;"Cuenta de trading"),"⚠ Usa la cuenta de trading","✓"))))))))))))</f>
        <v/>
      </c>
      <c r="I2860" s="19">
        <f>IF(OR(B2860="",C2860="",D2860=""),"",IFERROR(INDEX(catTipo,MATCH(D2860,catNom,0))&amp;"",""))</f>
        <v/>
      </c>
      <c r="J2860" s="19">
        <f>IF(I2860="","",IFERROR(INDEX(catGrupo,MATCH(D2860,catNom,0))&amp;"",""))</f>
        <v/>
      </c>
      <c r="K2860" s="19">
        <f>IF(I2860="Gasto",IF(IFERROR(INDEX(catClas,MATCH(D2860,catNom,0))&amp;"","")="","Variable",IFERROR(INDEX(catClas,MATCH(D2860,catNom,0))&amp;"","")),"")</f>
        <v/>
      </c>
      <c r="L2860" s="19">
        <f>IF(I2860="","",IFERROR(INDEX(catAlim,MATCH(D2860,catNom,0))&amp;"",""))</f>
        <v/>
      </c>
      <c r="M2860" s="19">
        <f>IF(I2860="","",IFERROR(INDEX(catComida,MATCH(D2860,catNom,0))&amp;"",""))</f>
        <v/>
      </c>
      <c r="N2860" s="19">
        <f>IF(I2860="","",IFERROR(INDEX(ctaMon,MATCH(E2860,ctaNom,0))&amp;"","DOP"))</f>
        <v/>
      </c>
      <c r="O2860" s="20">
        <f>IF(I2860="","",C2860*IF(N2860="USD",TasaUSD,1))</f>
        <v/>
      </c>
      <c r="P2860" s="20">
        <f>IF(I2860="","",IF(I2860="Gasto",O2860,0))</f>
        <v/>
      </c>
      <c r="Q2860" s="20">
        <f>IF(I2860="","",IF(I2860="Ingreso",O2860,0))</f>
        <v/>
      </c>
      <c r="R2860" s="20">
        <f>IF(I2860="","",IF(I2860="Trading",O2860,0))</f>
        <v/>
      </c>
      <c r="S2860" s="19">
        <f>IF(I2860="","",IF(AND(I2860="Gasto",K2860="Variable",J2860&lt;&gt;"Trading",O2860&gt;0,O2860&lt;=Umbral),1,0))</f>
        <v/>
      </c>
      <c r="T2860" s="20">
        <f>IF(OR(I2860="",E2860=""),"",IF(OR(I2860="Gasto",I2860="Transferencia",I2860="Pago tarjeta"),-1,1)*C2860)</f>
        <v/>
      </c>
      <c r="U2860" s="20">
        <f>IF(OR(G2860="",AND(I2860&lt;&gt;"Transferencia",I2860&lt;&gt;"Pago tarjeta")),"",IF(IFERROR(INDEX(ctaMon,MATCH(G2860,ctaNom,0))&amp;"","DOP")=N2860,C2860,IF(N2860="USD",C2860*TasaUSD,C2860/TasaUSD)))</f>
        <v/>
      </c>
      <c r="V2860" s="20">
        <f>IF(I2860="","",IF(IFERROR(INDEX(ctaLiq,MATCH(E2860,ctaNom,0))="Sí",FALSE),IF(OR(I2860="Gasto",I2860="Transferencia",I2860="Pago tarjeta"),-1,1)*O2860,0)+IF(AND(U2860&lt;&gt;"",IFERROR(INDEX(ctaLiq,MATCH(G2860,ctaNom,0))="Sí",FALSE)),O2860,0))</f>
        <v/>
      </c>
      <c r="W2860" s="19">
        <f>IF(OR(F2860="",I2860=""),"",IF(COUNTIFS(F$6:F2860,F2860,I$6:I2860,"?*")=1,MAX(W$5:W2859)+1,""))</f>
        <v/>
      </c>
    </row>
    <row r="2861">
      <c r="B2861" s="15" t="n"/>
      <c r="C2861" s="16" t="n"/>
      <c r="D2861" s="17" t="n"/>
      <c r="E2861" s="17" t="n"/>
      <c r="F2861" s="17" t="n"/>
      <c r="G2861" s="17" t="n"/>
      <c r="H2861" s="18">
        <f>IF(AND(B2861="",C2861="",D2861="",E2861=""),"",IF(B2861="","⚠ Falta fecha",IF(C2861="","⚠ Falta monto",IF(D2861="","⚠ Falta categoría",IF(ISNA(MATCH(D2861,catNom,0)),"⚠ Categoría no existe",IF(E2861="","⚠ Falta cuenta",IF(ISNA(MATCH(E2861,ctaNom,0)),"⚠ Cuenta no existe",IF(AND(OR(I2861="Transferencia",I2861="Pago tarjeta"),G2861=""),"⚠ Indica la cuenta «Hacia»",IF(AND(G2861&lt;&gt;"",G2861=E2861),"⚠ «Hacia» igual a la cuenta",IF(AND(G2861&lt;&gt;"",ISNA(MATCH(G2861,ctaNom,0))),"⚠ «Hacia» no existe",IF(AND(I2861="Pago tarjeta",IFERROR(INDEX(ctaTipo,MATCH(G2861,ctaNom,0)),"")&lt;&gt;"Tarjeta de crédito"),"⚠ «Hacia» debe ser la tarjeta",IF(AND(I2861="Trading",IFERROR(INDEX(ctaTipo,MATCH(E2861,ctaNom,0)),"")&lt;&gt;"Cuenta de trading"),"⚠ Usa la cuenta de trading","✓"))))))))))))</f>
        <v/>
      </c>
      <c r="I2861" s="19">
        <f>IF(OR(B2861="",C2861="",D2861=""),"",IFERROR(INDEX(catTipo,MATCH(D2861,catNom,0))&amp;"",""))</f>
        <v/>
      </c>
      <c r="J2861" s="19">
        <f>IF(I2861="","",IFERROR(INDEX(catGrupo,MATCH(D2861,catNom,0))&amp;"",""))</f>
        <v/>
      </c>
      <c r="K2861" s="19">
        <f>IF(I2861="Gasto",IF(IFERROR(INDEX(catClas,MATCH(D2861,catNom,0))&amp;"","")="","Variable",IFERROR(INDEX(catClas,MATCH(D2861,catNom,0))&amp;"","")),"")</f>
        <v/>
      </c>
      <c r="L2861" s="19">
        <f>IF(I2861="","",IFERROR(INDEX(catAlim,MATCH(D2861,catNom,0))&amp;"",""))</f>
        <v/>
      </c>
      <c r="M2861" s="19">
        <f>IF(I2861="","",IFERROR(INDEX(catComida,MATCH(D2861,catNom,0))&amp;"",""))</f>
        <v/>
      </c>
      <c r="N2861" s="19">
        <f>IF(I2861="","",IFERROR(INDEX(ctaMon,MATCH(E2861,ctaNom,0))&amp;"","DOP"))</f>
        <v/>
      </c>
      <c r="O2861" s="20">
        <f>IF(I2861="","",C2861*IF(N2861="USD",TasaUSD,1))</f>
        <v/>
      </c>
      <c r="P2861" s="20">
        <f>IF(I2861="","",IF(I2861="Gasto",O2861,0))</f>
        <v/>
      </c>
      <c r="Q2861" s="20">
        <f>IF(I2861="","",IF(I2861="Ingreso",O2861,0))</f>
        <v/>
      </c>
      <c r="R2861" s="20">
        <f>IF(I2861="","",IF(I2861="Trading",O2861,0))</f>
        <v/>
      </c>
      <c r="S2861" s="19">
        <f>IF(I2861="","",IF(AND(I2861="Gasto",K2861="Variable",J2861&lt;&gt;"Trading",O2861&gt;0,O2861&lt;=Umbral),1,0))</f>
        <v/>
      </c>
      <c r="T2861" s="20">
        <f>IF(OR(I2861="",E2861=""),"",IF(OR(I2861="Gasto",I2861="Transferencia",I2861="Pago tarjeta"),-1,1)*C2861)</f>
        <v/>
      </c>
      <c r="U2861" s="20">
        <f>IF(OR(G2861="",AND(I2861&lt;&gt;"Transferencia",I2861&lt;&gt;"Pago tarjeta")),"",IF(IFERROR(INDEX(ctaMon,MATCH(G2861,ctaNom,0))&amp;"","DOP")=N2861,C2861,IF(N2861="USD",C2861*TasaUSD,C2861/TasaUSD)))</f>
        <v/>
      </c>
      <c r="V2861" s="20">
        <f>IF(I2861="","",IF(IFERROR(INDEX(ctaLiq,MATCH(E2861,ctaNom,0))="Sí",FALSE),IF(OR(I2861="Gasto",I2861="Transferencia",I2861="Pago tarjeta"),-1,1)*O2861,0)+IF(AND(U2861&lt;&gt;"",IFERROR(INDEX(ctaLiq,MATCH(G2861,ctaNom,0))="Sí",FALSE)),O2861,0))</f>
        <v/>
      </c>
      <c r="W2861" s="19">
        <f>IF(OR(F2861="",I2861=""),"",IF(COUNTIFS(F$6:F2861,F2861,I$6:I2861,"?*")=1,MAX(W$5:W2860)+1,""))</f>
        <v/>
      </c>
    </row>
    <row r="2862">
      <c r="B2862" s="15" t="n"/>
      <c r="C2862" s="16" t="n"/>
      <c r="D2862" s="17" t="n"/>
      <c r="E2862" s="17" t="n"/>
      <c r="F2862" s="17" t="n"/>
      <c r="G2862" s="17" t="n"/>
      <c r="H2862" s="18">
        <f>IF(AND(B2862="",C2862="",D2862="",E2862=""),"",IF(B2862="","⚠ Falta fecha",IF(C2862="","⚠ Falta monto",IF(D2862="","⚠ Falta categoría",IF(ISNA(MATCH(D2862,catNom,0)),"⚠ Categoría no existe",IF(E2862="","⚠ Falta cuenta",IF(ISNA(MATCH(E2862,ctaNom,0)),"⚠ Cuenta no existe",IF(AND(OR(I2862="Transferencia",I2862="Pago tarjeta"),G2862=""),"⚠ Indica la cuenta «Hacia»",IF(AND(G2862&lt;&gt;"",G2862=E2862),"⚠ «Hacia» igual a la cuenta",IF(AND(G2862&lt;&gt;"",ISNA(MATCH(G2862,ctaNom,0))),"⚠ «Hacia» no existe",IF(AND(I2862="Pago tarjeta",IFERROR(INDEX(ctaTipo,MATCH(G2862,ctaNom,0)),"")&lt;&gt;"Tarjeta de crédito"),"⚠ «Hacia» debe ser la tarjeta",IF(AND(I2862="Trading",IFERROR(INDEX(ctaTipo,MATCH(E2862,ctaNom,0)),"")&lt;&gt;"Cuenta de trading"),"⚠ Usa la cuenta de trading","✓"))))))))))))</f>
        <v/>
      </c>
      <c r="I2862" s="19">
        <f>IF(OR(B2862="",C2862="",D2862=""),"",IFERROR(INDEX(catTipo,MATCH(D2862,catNom,0))&amp;"",""))</f>
        <v/>
      </c>
      <c r="J2862" s="19">
        <f>IF(I2862="","",IFERROR(INDEX(catGrupo,MATCH(D2862,catNom,0))&amp;"",""))</f>
        <v/>
      </c>
      <c r="K2862" s="19">
        <f>IF(I2862="Gasto",IF(IFERROR(INDEX(catClas,MATCH(D2862,catNom,0))&amp;"","")="","Variable",IFERROR(INDEX(catClas,MATCH(D2862,catNom,0))&amp;"","")),"")</f>
        <v/>
      </c>
      <c r="L2862" s="19">
        <f>IF(I2862="","",IFERROR(INDEX(catAlim,MATCH(D2862,catNom,0))&amp;"",""))</f>
        <v/>
      </c>
      <c r="M2862" s="19">
        <f>IF(I2862="","",IFERROR(INDEX(catComida,MATCH(D2862,catNom,0))&amp;"",""))</f>
        <v/>
      </c>
      <c r="N2862" s="19">
        <f>IF(I2862="","",IFERROR(INDEX(ctaMon,MATCH(E2862,ctaNom,0))&amp;"","DOP"))</f>
        <v/>
      </c>
      <c r="O2862" s="20">
        <f>IF(I2862="","",C2862*IF(N2862="USD",TasaUSD,1))</f>
        <v/>
      </c>
      <c r="P2862" s="20">
        <f>IF(I2862="","",IF(I2862="Gasto",O2862,0))</f>
        <v/>
      </c>
      <c r="Q2862" s="20">
        <f>IF(I2862="","",IF(I2862="Ingreso",O2862,0))</f>
        <v/>
      </c>
      <c r="R2862" s="20">
        <f>IF(I2862="","",IF(I2862="Trading",O2862,0))</f>
        <v/>
      </c>
      <c r="S2862" s="19">
        <f>IF(I2862="","",IF(AND(I2862="Gasto",K2862="Variable",J2862&lt;&gt;"Trading",O2862&gt;0,O2862&lt;=Umbral),1,0))</f>
        <v/>
      </c>
      <c r="T2862" s="20">
        <f>IF(OR(I2862="",E2862=""),"",IF(OR(I2862="Gasto",I2862="Transferencia",I2862="Pago tarjeta"),-1,1)*C2862)</f>
        <v/>
      </c>
      <c r="U2862" s="20">
        <f>IF(OR(G2862="",AND(I2862&lt;&gt;"Transferencia",I2862&lt;&gt;"Pago tarjeta")),"",IF(IFERROR(INDEX(ctaMon,MATCH(G2862,ctaNom,0))&amp;"","DOP")=N2862,C2862,IF(N2862="USD",C2862*TasaUSD,C2862/TasaUSD)))</f>
        <v/>
      </c>
      <c r="V2862" s="20">
        <f>IF(I2862="","",IF(IFERROR(INDEX(ctaLiq,MATCH(E2862,ctaNom,0))="Sí",FALSE),IF(OR(I2862="Gasto",I2862="Transferencia",I2862="Pago tarjeta"),-1,1)*O2862,0)+IF(AND(U2862&lt;&gt;"",IFERROR(INDEX(ctaLiq,MATCH(G2862,ctaNom,0))="Sí",FALSE)),O2862,0))</f>
        <v/>
      </c>
      <c r="W2862" s="19">
        <f>IF(OR(F2862="",I2862=""),"",IF(COUNTIFS(F$6:F2862,F2862,I$6:I2862,"?*")=1,MAX(W$5:W2861)+1,""))</f>
        <v/>
      </c>
    </row>
    <row r="2863">
      <c r="B2863" s="15" t="n"/>
      <c r="C2863" s="16" t="n"/>
      <c r="D2863" s="17" t="n"/>
      <c r="E2863" s="17" t="n"/>
      <c r="F2863" s="17" t="n"/>
      <c r="G2863" s="17" t="n"/>
      <c r="H2863" s="18">
        <f>IF(AND(B2863="",C2863="",D2863="",E2863=""),"",IF(B2863="","⚠ Falta fecha",IF(C2863="","⚠ Falta monto",IF(D2863="","⚠ Falta categoría",IF(ISNA(MATCH(D2863,catNom,0)),"⚠ Categoría no existe",IF(E2863="","⚠ Falta cuenta",IF(ISNA(MATCH(E2863,ctaNom,0)),"⚠ Cuenta no existe",IF(AND(OR(I2863="Transferencia",I2863="Pago tarjeta"),G2863=""),"⚠ Indica la cuenta «Hacia»",IF(AND(G2863&lt;&gt;"",G2863=E2863),"⚠ «Hacia» igual a la cuenta",IF(AND(G2863&lt;&gt;"",ISNA(MATCH(G2863,ctaNom,0))),"⚠ «Hacia» no existe",IF(AND(I2863="Pago tarjeta",IFERROR(INDEX(ctaTipo,MATCH(G2863,ctaNom,0)),"")&lt;&gt;"Tarjeta de crédito"),"⚠ «Hacia» debe ser la tarjeta",IF(AND(I2863="Trading",IFERROR(INDEX(ctaTipo,MATCH(E2863,ctaNom,0)),"")&lt;&gt;"Cuenta de trading"),"⚠ Usa la cuenta de trading","✓"))))))))))))</f>
        <v/>
      </c>
      <c r="I2863" s="19">
        <f>IF(OR(B2863="",C2863="",D2863=""),"",IFERROR(INDEX(catTipo,MATCH(D2863,catNom,0))&amp;"",""))</f>
        <v/>
      </c>
      <c r="J2863" s="19">
        <f>IF(I2863="","",IFERROR(INDEX(catGrupo,MATCH(D2863,catNom,0))&amp;"",""))</f>
        <v/>
      </c>
      <c r="K2863" s="19">
        <f>IF(I2863="Gasto",IF(IFERROR(INDEX(catClas,MATCH(D2863,catNom,0))&amp;"","")="","Variable",IFERROR(INDEX(catClas,MATCH(D2863,catNom,0))&amp;"","")),"")</f>
        <v/>
      </c>
      <c r="L2863" s="19">
        <f>IF(I2863="","",IFERROR(INDEX(catAlim,MATCH(D2863,catNom,0))&amp;"",""))</f>
        <v/>
      </c>
      <c r="M2863" s="19">
        <f>IF(I2863="","",IFERROR(INDEX(catComida,MATCH(D2863,catNom,0))&amp;"",""))</f>
        <v/>
      </c>
      <c r="N2863" s="19">
        <f>IF(I2863="","",IFERROR(INDEX(ctaMon,MATCH(E2863,ctaNom,0))&amp;"","DOP"))</f>
        <v/>
      </c>
      <c r="O2863" s="20">
        <f>IF(I2863="","",C2863*IF(N2863="USD",TasaUSD,1))</f>
        <v/>
      </c>
      <c r="P2863" s="20">
        <f>IF(I2863="","",IF(I2863="Gasto",O2863,0))</f>
        <v/>
      </c>
      <c r="Q2863" s="20">
        <f>IF(I2863="","",IF(I2863="Ingreso",O2863,0))</f>
        <v/>
      </c>
      <c r="R2863" s="20">
        <f>IF(I2863="","",IF(I2863="Trading",O2863,0))</f>
        <v/>
      </c>
      <c r="S2863" s="19">
        <f>IF(I2863="","",IF(AND(I2863="Gasto",K2863="Variable",J2863&lt;&gt;"Trading",O2863&gt;0,O2863&lt;=Umbral),1,0))</f>
        <v/>
      </c>
      <c r="T2863" s="20">
        <f>IF(OR(I2863="",E2863=""),"",IF(OR(I2863="Gasto",I2863="Transferencia",I2863="Pago tarjeta"),-1,1)*C2863)</f>
        <v/>
      </c>
      <c r="U2863" s="20">
        <f>IF(OR(G2863="",AND(I2863&lt;&gt;"Transferencia",I2863&lt;&gt;"Pago tarjeta")),"",IF(IFERROR(INDEX(ctaMon,MATCH(G2863,ctaNom,0))&amp;"","DOP")=N2863,C2863,IF(N2863="USD",C2863*TasaUSD,C2863/TasaUSD)))</f>
        <v/>
      </c>
      <c r="V2863" s="20">
        <f>IF(I2863="","",IF(IFERROR(INDEX(ctaLiq,MATCH(E2863,ctaNom,0))="Sí",FALSE),IF(OR(I2863="Gasto",I2863="Transferencia",I2863="Pago tarjeta"),-1,1)*O2863,0)+IF(AND(U2863&lt;&gt;"",IFERROR(INDEX(ctaLiq,MATCH(G2863,ctaNom,0))="Sí",FALSE)),O2863,0))</f>
        <v/>
      </c>
      <c r="W2863" s="19">
        <f>IF(OR(F2863="",I2863=""),"",IF(COUNTIFS(F$6:F2863,F2863,I$6:I2863,"?*")=1,MAX(W$5:W2862)+1,""))</f>
        <v/>
      </c>
    </row>
    <row r="2864">
      <c r="B2864" s="15" t="n"/>
      <c r="C2864" s="16" t="n"/>
      <c r="D2864" s="17" t="n"/>
      <c r="E2864" s="17" t="n"/>
      <c r="F2864" s="17" t="n"/>
      <c r="G2864" s="17" t="n"/>
      <c r="H2864" s="18">
        <f>IF(AND(B2864="",C2864="",D2864="",E2864=""),"",IF(B2864="","⚠ Falta fecha",IF(C2864="","⚠ Falta monto",IF(D2864="","⚠ Falta categoría",IF(ISNA(MATCH(D2864,catNom,0)),"⚠ Categoría no existe",IF(E2864="","⚠ Falta cuenta",IF(ISNA(MATCH(E2864,ctaNom,0)),"⚠ Cuenta no existe",IF(AND(OR(I2864="Transferencia",I2864="Pago tarjeta"),G2864=""),"⚠ Indica la cuenta «Hacia»",IF(AND(G2864&lt;&gt;"",G2864=E2864),"⚠ «Hacia» igual a la cuenta",IF(AND(G2864&lt;&gt;"",ISNA(MATCH(G2864,ctaNom,0))),"⚠ «Hacia» no existe",IF(AND(I2864="Pago tarjeta",IFERROR(INDEX(ctaTipo,MATCH(G2864,ctaNom,0)),"")&lt;&gt;"Tarjeta de crédito"),"⚠ «Hacia» debe ser la tarjeta",IF(AND(I2864="Trading",IFERROR(INDEX(ctaTipo,MATCH(E2864,ctaNom,0)),"")&lt;&gt;"Cuenta de trading"),"⚠ Usa la cuenta de trading","✓"))))))))))))</f>
        <v/>
      </c>
      <c r="I2864" s="19">
        <f>IF(OR(B2864="",C2864="",D2864=""),"",IFERROR(INDEX(catTipo,MATCH(D2864,catNom,0))&amp;"",""))</f>
        <v/>
      </c>
      <c r="J2864" s="19">
        <f>IF(I2864="","",IFERROR(INDEX(catGrupo,MATCH(D2864,catNom,0))&amp;"",""))</f>
        <v/>
      </c>
      <c r="K2864" s="19">
        <f>IF(I2864="Gasto",IF(IFERROR(INDEX(catClas,MATCH(D2864,catNom,0))&amp;"","")="","Variable",IFERROR(INDEX(catClas,MATCH(D2864,catNom,0))&amp;"","")),"")</f>
        <v/>
      </c>
      <c r="L2864" s="19">
        <f>IF(I2864="","",IFERROR(INDEX(catAlim,MATCH(D2864,catNom,0))&amp;"",""))</f>
        <v/>
      </c>
      <c r="M2864" s="19">
        <f>IF(I2864="","",IFERROR(INDEX(catComida,MATCH(D2864,catNom,0))&amp;"",""))</f>
        <v/>
      </c>
      <c r="N2864" s="19">
        <f>IF(I2864="","",IFERROR(INDEX(ctaMon,MATCH(E2864,ctaNom,0))&amp;"","DOP"))</f>
        <v/>
      </c>
      <c r="O2864" s="20">
        <f>IF(I2864="","",C2864*IF(N2864="USD",TasaUSD,1))</f>
        <v/>
      </c>
      <c r="P2864" s="20">
        <f>IF(I2864="","",IF(I2864="Gasto",O2864,0))</f>
        <v/>
      </c>
      <c r="Q2864" s="20">
        <f>IF(I2864="","",IF(I2864="Ingreso",O2864,0))</f>
        <v/>
      </c>
      <c r="R2864" s="20">
        <f>IF(I2864="","",IF(I2864="Trading",O2864,0))</f>
        <v/>
      </c>
      <c r="S2864" s="19">
        <f>IF(I2864="","",IF(AND(I2864="Gasto",K2864="Variable",J2864&lt;&gt;"Trading",O2864&gt;0,O2864&lt;=Umbral),1,0))</f>
        <v/>
      </c>
      <c r="T2864" s="20">
        <f>IF(OR(I2864="",E2864=""),"",IF(OR(I2864="Gasto",I2864="Transferencia",I2864="Pago tarjeta"),-1,1)*C2864)</f>
        <v/>
      </c>
      <c r="U2864" s="20">
        <f>IF(OR(G2864="",AND(I2864&lt;&gt;"Transferencia",I2864&lt;&gt;"Pago tarjeta")),"",IF(IFERROR(INDEX(ctaMon,MATCH(G2864,ctaNom,0))&amp;"","DOP")=N2864,C2864,IF(N2864="USD",C2864*TasaUSD,C2864/TasaUSD)))</f>
        <v/>
      </c>
      <c r="V2864" s="20">
        <f>IF(I2864="","",IF(IFERROR(INDEX(ctaLiq,MATCH(E2864,ctaNom,0))="Sí",FALSE),IF(OR(I2864="Gasto",I2864="Transferencia",I2864="Pago tarjeta"),-1,1)*O2864,0)+IF(AND(U2864&lt;&gt;"",IFERROR(INDEX(ctaLiq,MATCH(G2864,ctaNom,0))="Sí",FALSE)),O2864,0))</f>
        <v/>
      </c>
      <c r="W2864" s="19">
        <f>IF(OR(F2864="",I2864=""),"",IF(COUNTIFS(F$6:F2864,F2864,I$6:I2864,"?*")=1,MAX(W$5:W2863)+1,""))</f>
        <v/>
      </c>
    </row>
    <row r="2865">
      <c r="B2865" s="15" t="n"/>
      <c r="C2865" s="16" t="n"/>
      <c r="D2865" s="17" t="n"/>
      <c r="E2865" s="17" t="n"/>
      <c r="F2865" s="17" t="n"/>
      <c r="G2865" s="17" t="n"/>
      <c r="H2865" s="18">
        <f>IF(AND(B2865="",C2865="",D2865="",E2865=""),"",IF(B2865="","⚠ Falta fecha",IF(C2865="","⚠ Falta monto",IF(D2865="","⚠ Falta categoría",IF(ISNA(MATCH(D2865,catNom,0)),"⚠ Categoría no existe",IF(E2865="","⚠ Falta cuenta",IF(ISNA(MATCH(E2865,ctaNom,0)),"⚠ Cuenta no existe",IF(AND(OR(I2865="Transferencia",I2865="Pago tarjeta"),G2865=""),"⚠ Indica la cuenta «Hacia»",IF(AND(G2865&lt;&gt;"",G2865=E2865),"⚠ «Hacia» igual a la cuenta",IF(AND(G2865&lt;&gt;"",ISNA(MATCH(G2865,ctaNom,0))),"⚠ «Hacia» no existe",IF(AND(I2865="Pago tarjeta",IFERROR(INDEX(ctaTipo,MATCH(G2865,ctaNom,0)),"")&lt;&gt;"Tarjeta de crédito"),"⚠ «Hacia» debe ser la tarjeta",IF(AND(I2865="Trading",IFERROR(INDEX(ctaTipo,MATCH(E2865,ctaNom,0)),"")&lt;&gt;"Cuenta de trading"),"⚠ Usa la cuenta de trading","✓"))))))))))))</f>
        <v/>
      </c>
      <c r="I2865" s="19">
        <f>IF(OR(B2865="",C2865="",D2865=""),"",IFERROR(INDEX(catTipo,MATCH(D2865,catNom,0))&amp;"",""))</f>
        <v/>
      </c>
      <c r="J2865" s="19">
        <f>IF(I2865="","",IFERROR(INDEX(catGrupo,MATCH(D2865,catNom,0))&amp;"",""))</f>
        <v/>
      </c>
      <c r="K2865" s="19">
        <f>IF(I2865="Gasto",IF(IFERROR(INDEX(catClas,MATCH(D2865,catNom,0))&amp;"","")="","Variable",IFERROR(INDEX(catClas,MATCH(D2865,catNom,0))&amp;"","")),"")</f>
        <v/>
      </c>
      <c r="L2865" s="19">
        <f>IF(I2865="","",IFERROR(INDEX(catAlim,MATCH(D2865,catNom,0))&amp;"",""))</f>
        <v/>
      </c>
      <c r="M2865" s="19">
        <f>IF(I2865="","",IFERROR(INDEX(catComida,MATCH(D2865,catNom,0))&amp;"",""))</f>
        <v/>
      </c>
      <c r="N2865" s="19">
        <f>IF(I2865="","",IFERROR(INDEX(ctaMon,MATCH(E2865,ctaNom,0))&amp;"","DOP"))</f>
        <v/>
      </c>
      <c r="O2865" s="20">
        <f>IF(I2865="","",C2865*IF(N2865="USD",TasaUSD,1))</f>
        <v/>
      </c>
      <c r="P2865" s="20">
        <f>IF(I2865="","",IF(I2865="Gasto",O2865,0))</f>
        <v/>
      </c>
      <c r="Q2865" s="20">
        <f>IF(I2865="","",IF(I2865="Ingreso",O2865,0))</f>
        <v/>
      </c>
      <c r="R2865" s="20">
        <f>IF(I2865="","",IF(I2865="Trading",O2865,0))</f>
        <v/>
      </c>
      <c r="S2865" s="19">
        <f>IF(I2865="","",IF(AND(I2865="Gasto",K2865="Variable",J2865&lt;&gt;"Trading",O2865&gt;0,O2865&lt;=Umbral),1,0))</f>
        <v/>
      </c>
      <c r="T2865" s="20">
        <f>IF(OR(I2865="",E2865=""),"",IF(OR(I2865="Gasto",I2865="Transferencia",I2865="Pago tarjeta"),-1,1)*C2865)</f>
        <v/>
      </c>
      <c r="U2865" s="20">
        <f>IF(OR(G2865="",AND(I2865&lt;&gt;"Transferencia",I2865&lt;&gt;"Pago tarjeta")),"",IF(IFERROR(INDEX(ctaMon,MATCH(G2865,ctaNom,0))&amp;"","DOP")=N2865,C2865,IF(N2865="USD",C2865*TasaUSD,C2865/TasaUSD)))</f>
        <v/>
      </c>
      <c r="V2865" s="20">
        <f>IF(I2865="","",IF(IFERROR(INDEX(ctaLiq,MATCH(E2865,ctaNom,0))="Sí",FALSE),IF(OR(I2865="Gasto",I2865="Transferencia",I2865="Pago tarjeta"),-1,1)*O2865,0)+IF(AND(U2865&lt;&gt;"",IFERROR(INDEX(ctaLiq,MATCH(G2865,ctaNom,0))="Sí",FALSE)),O2865,0))</f>
        <v/>
      </c>
      <c r="W2865" s="19">
        <f>IF(OR(F2865="",I2865=""),"",IF(COUNTIFS(F$6:F2865,F2865,I$6:I2865,"?*")=1,MAX(W$5:W2864)+1,""))</f>
        <v/>
      </c>
    </row>
    <row r="2866">
      <c r="B2866" s="15" t="n"/>
      <c r="C2866" s="16" t="n"/>
      <c r="D2866" s="17" t="n"/>
      <c r="E2866" s="17" t="n"/>
      <c r="F2866" s="17" t="n"/>
      <c r="G2866" s="17" t="n"/>
      <c r="H2866" s="18">
        <f>IF(AND(B2866="",C2866="",D2866="",E2866=""),"",IF(B2866="","⚠ Falta fecha",IF(C2866="","⚠ Falta monto",IF(D2866="","⚠ Falta categoría",IF(ISNA(MATCH(D2866,catNom,0)),"⚠ Categoría no existe",IF(E2866="","⚠ Falta cuenta",IF(ISNA(MATCH(E2866,ctaNom,0)),"⚠ Cuenta no existe",IF(AND(OR(I2866="Transferencia",I2866="Pago tarjeta"),G2866=""),"⚠ Indica la cuenta «Hacia»",IF(AND(G2866&lt;&gt;"",G2866=E2866),"⚠ «Hacia» igual a la cuenta",IF(AND(G2866&lt;&gt;"",ISNA(MATCH(G2866,ctaNom,0))),"⚠ «Hacia» no existe",IF(AND(I2866="Pago tarjeta",IFERROR(INDEX(ctaTipo,MATCH(G2866,ctaNom,0)),"")&lt;&gt;"Tarjeta de crédito"),"⚠ «Hacia» debe ser la tarjeta",IF(AND(I2866="Trading",IFERROR(INDEX(ctaTipo,MATCH(E2866,ctaNom,0)),"")&lt;&gt;"Cuenta de trading"),"⚠ Usa la cuenta de trading","✓"))))))))))))</f>
        <v/>
      </c>
      <c r="I2866" s="19">
        <f>IF(OR(B2866="",C2866="",D2866=""),"",IFERROR(INDEX(catTipo,MATCH(D2866,catNom,0))&amp;"",""))</f>
        <v/>
      </c>
      <c r="J2866" s="19">
        <f>IF(I2866="","",IFERROR(INDEX(catGrupo,MATCH(D2866,catNom,0))&amp;"",""))</f>
        <v/>
      </c>
      <c r="K2866" s="19">
        <f>IF(I2866="Gasto",IF(IFERROR(INDEX(catClas,MATCH(D2866,catNom,0))&amp;"","")="","Variable",IFERROR(INDEX(catClas,MATCH(D2866,catNom,0))&amp;"","")),"")</f>
        <v/>
      </c>
      <c r="L2866" s="19">
        <f>IF(I2866="","",IFERROR(INDEX(catAlim,MATCH(D2866,catNom,0))&amp;"",""))</f>
        <v/>
      </c>
      <c r="M2866" s="19">
        <f>IF(I2866="","",IFERROR(INDEX(catComida,MATCH(D2866,catNom,0))&amp;"",""))</f>
        <v/>
      </c>
      <c r="N2866" s="19">
        <f>IF(I2866="","",IFERROR(INDEX(ctaMon,MATCH(E2866,ctaNom,0))&amp;"","DOP"))</f>
        <v/>
      </c>
      <c r="O2866" s="20">
        <f>IF(I2866="","",C2866*IF(N2866="USD",TasaUSD,1))</f>
        <v/>
      </c>
      <c r="P2866" s="20">
        <f>IF(I2866="","",IF(I2866="Gasto",O2866,0))</f>
        <v/>
      </c>
      <c r="Q2866" s="20">
        <f>IF(I2866="","",IF(I2866="Ingreso",O2866,0))</f>
        <v/>
      </c>
      <c r="R2866" s="20">
        <f>IF(I2866="","",IF(I2866="Trading",O2866,0))</f>
        <v/>
      </c>
      <c r="S2866" s="19">
        <f>IF(I2866="","",IF(AND(I2866="Gasto",K2866="Variable",J2866&lt;&gt;"Trading",O2866&gt;0,O2866&lt;=Umbral),1,0))</f>
        <v/>
      </c>
      <c r="T2866" s="20">
        <f>IF(OR(I2866="",E2866=""),"",IF(OR(I2866="Gasto",I2866="Transferencia",I2866="Pago tarjeta"),-1,1)*C2866)</f>
        <v/>
      </c>
      <c r="U2866" s="20">
        <f>IF(OR(G2866="",AND(I2866&lt;&gt;"Transferencia",I2866&lt;&gt;"Pago tarjeta")),"",IF(IFERROR(INDEX(ctaMon,MATCH(G2866,ctaNom,0))&amp;"","DOP")=N2866,C2866,IF(N2866="USD",C2866*TasaUSD,C2866/TasaUSD)))</f>
        <v/>
      </c>
      <c r="V2866" s="20">
        <f>IF(I2866="","",IF(IFERROR(INDEX(ctaLiq,MATCH(E2866,ctaNom,0))="Sí",FALSE),IF(OR(I2866="Gasto",I2866="Transferencia",I2866="Pago tarjeta"),-1,1)*O2866,0)+IF(AND(U2866&lt;&gt;"",IFERROR(INDEX(ctaLiq,MATCH(G2866,ctaNom,0))="Sí",FALSE)),O2866,0))</f>
        <v/>
      </c>
      <c r="W2866" s="19">
        <f>IF(OR(F2866="",I2866=""),"",IF(COUNTIFS(F$6:F2866,F2866,I$6:I2866,"?*")=1,MAX(W$5:W2865)+1,""))</f>
        <v/>
      </c>
    </row>
    <row r="2867">
      <c r="B2867" s="15" t="n"/>
      <c r="C2867" s="16" t="n"/>
      <c r="D2867" s="17" t="n"/>
      <c r="E2867" s="17" t="n"/>
      <c r="F2867" s="17" t="n"/>
      <c r="G2867" s="17" t="n"/>
      <c r="H2867" s="18">
        <f>IF(AND(B2867="",C2867="",D2867="",E2867=""),"",IF(B2867="","⚠ Falta fecha",IF(C2867="","⚠ Falta monto",IF(D2867="","⚠ Falta categoría",IF(ISNA(MATCH(D2867,catNom,0)),"⚠ Categoría no existe",IF(E2867="","⚠ Falta cuenta",IF(ISNA(MATCH(E2867,ctaNom,0)),"⚠ Cuenta no existe",IF(AND(OR(I2867="Transferencia",I2867="Pago tarjeta"),G2867=""),"⚠ Indica la cuenta «Hacia»",IF(AND(G2867&lt;&gt;"",G2867=E2867),"⚠ «Hacia» igual a la cuenta",IF(AND(G2867&lt;&gt;"",ISNA(MATCH(G2867,ctaNom,0))),"⚠ «Hacia» no existe",IF(AND(I2867="Pago tarjeta",IFERROR(INDEX(ctaTipo,MATCH(G2867,ctaNom,0)),"")&lt;&gt;"Tarjeta de crédito"),"⚠ «Hacia» debe ser la tarjeta",IF(AND(I2867="Trading",IFERROR(INDEX(ctaTipo,MATCH(E2867,ctaNom,0)),"")&lt;&gt;"Cuenta de trading"),"⚠ Usa la cuenta de trading","✓"))))))))))))</f>
        <v/>
      </c>
      <c r="I2867" s="19">
        <f>IF(OR(B2867="",C2867="",D2867=""),"",IFERROR(INDEX(catTipo,MATCH(D2867,catNom,0))&amp;"",""))</f>
        <v/>
      </c>
      <c r="J2867" s="19">
        <f>IF(I2867="","",IFERROR(INDEX(catGrupo,MATCH(D2867,catNom,0))&amp;"",""))</f>
        <v/>
      </c>
      <c r="K2867" s="19">
        <f>IF(I2867="Gasto",IF(IFERROR(INDEX(catClas,MATCH(D2867,catNom,0))&amp;"","")="","Variable",IFERROR(INDEX(catClas,MATCH(D2867,catNom,0))&amp;"","")),"")</f>
        <v/>
      </c>
      <c r="L2867" s="19">
        <f>IF(I2867="","",IFERROR(INDEX(catAlim,MATCH(D2867,catNom,0))&amp;"",""))</f>
        <v/>
      </c>
      <c r="M2867" s="19">
        <f>IF(I2867="","",IFERROR(INDEX(catComida,MATCH(D2867,catNom,0))&amp;"",""))</f>
        <v/>
      </c>
      <c r="N2867" s="19">
        <f>IF(I2867="","",IFERROR(INDEX(ctaMon,MATCH(E2867,ctaNom,0))&amp;"","DOP"))</f>
        <v/>
      </c>
      <c r="O2867" s="20">
        <f>IF(I2867="","",C2867*IF(N2867="USD",TasaUSD,1))</f>
        <v/>
      </c>
      <c r="P2867" s="20">
        <f>IF(I2867="","",IF(I2867="Gasto",O2867,0))</f>
        <v/>
      </c>
      <c r="Q2867" s="20">
        <f>IF(I2867="","",IF(I2867="Ingreso",O2867,0))</f>
        <v/>
      </c>
      <c r="R2867" s="20">
        <f>IF(I2867="","",IF(I2867="Trading",O2867,0))</f>
        <v/>
      </c>
      <c r="S2867" s="19">
        <f>IF(I2867="","",IF(AND(I2867="Gasto",K2867="Variable",J2867&lt;&gt;"Trading",O2867&gt;0,O2867&lt;=Umbral),1,0))</f>
        <v/>
      </c>
      <c r="T2867" s="20">
        <f>IF(OR(I2867="",E2867=""),"",IF(OR(I2867="Gasto",I2867="Transferencia",I2867="Pago tarjeta"),-1,1)*C2867)</f>
        <v/>
      </c>
      <c r="U2867" s="20">
        <f>IF(OR(G2867="",AND(I2867&lt;&gt;"Transferencia",I2867&lt;&gt;"Pago tarjeta")),"",IF(IFERROR(INDEX(ctaMon,MATCH(G2867,ctaNom,0))&amp;"","DOP")=N2867,C2867,IF(N2867="USD",C2867*TasaUSD,C2867/TasaUSD)))</f>
        <v/>
      </c>
      <c r="V2867" s="20">
        <f>IF(I2867="","",IF(IFERROR(INDEX(ctaLiq,MATCH(E2867,ctaNom,0))="Sí",FALSE),IF(OR(I2867="Gasto",I2867="Transferencia",I2867="Pago tarjeta"),-1,1)*O2867,0)+IF(AND(U2867&lt;&gt;"",IFERROR(INDEX(ctaLiq,MATCH(G2867,ctaNom,0))="Sí",FALSE)),O2867,0))</f>
        <v/>
      </c>
      <c r="W2867" s="19">
        <f>IF(OR(F2867="",I2867=""),"",IF(COUNTIFS(F$6:F2867,F2867,I$6:I2867,"?*")=1,MAX(W$5:W2866)+1,""))</f>
        <v/>
      </c>
    </row>
    <row r="2868">
      <c r="B2868" s="15" t="n"/>
      <c r="C2868" s="16" t="n"/>
      <c r="D2868" s="17" t="n"/>
      <c r="E2868" s="17" t="n"/>
      <c r="F2868" s="17" t="n"/>
      <c r="G2868" s="17" t="n"/>
      <c r="H2868" s="18">
        <f>IF(AND(B2868="",C2868="",D2868="",E2868=""),"",IF(B2868="","⚠ Falta fecha",IF(C2868="","⚠ Falta monto",IF(D2868="","⚠ Falta categoría",IF(ISNA(MATCH(D2868,catNom,0)),"⚠ Categoría no existe",IF(E2868="","⚠ Falta cuenta",IF(ISNA(MATCH(E2868,ctaNom,0)),"⚠ Cuenta no existe",IF(AND(OR(I2868="Transferencia",I2868="Pago tarjeta"),G2868=""),"⚠ Indica la cuenta «Hacia»",IF(AND(G2868&lt;&gt;"",G2868=E2868),"⚠ «Hacia» igual a la cuenta",IF(AND(G2868&lt;&gt;"",ISNA(MATCH(G2868,ctaNom,0))),"⚠ «Hacia» no existe",IF(AND(I2868="Pago tarjeta",IFERROR(INDEX(ctaTipo,MATCH(G2868,ctaNom,0)),"")&lt;&gt;"Tarjeta de crédito"),"⚠ «Hacia» debe ser la tarjeta",IF(AND(I2868="Trading",IFERROR(INDEX(ctaTipo,MATCH(E2868,ctaNom,0)),"")&lt;&gt;"Cuenta de trading"),"⚠ Usa la cuenta de trading","✓"))))))))))))</f>
        <v/>
      </c>
      <c r="I2868" s="19">
        <f>IF(OR(B2868="",C2868="",D2868=""),"",IFERROR(INDEX(catTipo,MATCH(D2868,catNom,0))&amp;"",""))</f>
        <v/>
      </c>
      <c r="J2868" s="19">
        <f>IF(I2868="","",IFERROR(INDEX(catGrupo,MATCH(D2868,catNom,0))&amp;"",""))</f>
        <v/>
      </c>
      <c r="K2868" s="19">
        <f>IF(I2868="Gasto",IF(IFERROR(INDEX(catClas,MATCH(D2868,catNom,0))&amp;"","")="","Variable",IFERROR(INDEX(catClas,MATCH(D2868,catNom,0))&amp;"","")),"")</f>
        <v/>
      </c>
      <c r="L2868" s="19">
        <f>IF(I2868="","",IFERROR(INDEX(catAlim,MATCH(D2868,catNom,0))&amp;"",""))</f>
        <v/>
      </c>
      <c r="M2868" s="19">
        <f>IF(I2868="","",IFERROR(INDEX(catComida,MATCH(D2868,catNom,0))&amp;"",""))</f>
        <v/>
      </c>
      <c r="N2868" s="19">
        <f>IF(I2868="","",IFERROR(INDEX(ctaMon,MATCH(E2868,ctaNom,0))&amp;"","DOP"))</f>
        <v/>
      </c>
      <c r="O2868" s="20">
        <f>IF(I2868="","",C2868*IF(N2868="USD",TasaUSD,1))</f>
        <v/>
      </c>
      <c r="P2868" s="20">
        <f>IF(I2868="","",IF(I2868="Gasto",O2868,0))</f>
        <v/>
      </c>
      <c r="Q2868" s="20">
        <f>IF(I2868="","",IF(I2868="Ingreso",O2868,0))</f>
        <v/>
      </c>
      <c r="R2868" s="20">
        <f>IF(I2868="","",IF(I2868="Trading",O2868,0))</f>
        <v/>
      </c>
      <c r="S2868" s="19">
        <f>IF(I2868="","",IF(AND(I2868="Gasto",K2868="Variable",J2868&lt;&gt;"Trading",O2868&gt;0,O2868&lt;=Umbral),1,0))</f>
        <v/>
      </c>
      <c r="T2868" s="20">
        <f>IF(OR(I2868="",E2868=""),"",IF(OR(I2868="Gasto",I2868="Transferencia",I2868="Pago tarjeta"),-1,1)*C2868)</f>
        <v/>
      </c>
      <c r="U2868" s="20">
        <f>IF(OR(G2868="",AND(I2868&lt;&gt;"Transferencia",I2868&lt;&gt;"Pago tarjeta")),"",IF(IFERROR(INDEX(ctaMon,MATCH(G2868,ctaNom,0))&amp;"","DOP")=N2868,C2868,IF(N2868="USD",C2868*TasaUSD,C2868/TasaUSD)))</f>
        <v/>
      </c>
      <c r="V2868" s="20">
        <f>IF(I2868="","",IF(IFERROR(INDEX(ctaLiq,MATCH(E2868,ctaNom,0))="Sí",FALSE),IF(OR(I2868="Gasto",I2868="Transferencia",I2868="Pago tarjeta"),-1,1)*O2868,0)+IF(AND(U2868&lt;&gt;"",IFERROR(INDEX(ctaLiq,MATCH(G2868,ctaNom,0))="Sí",FALSE)),O2868,0))</f>
        <v/>
      </c>
      <c r="W2868" s="19">
        <f>IF(OR(F2868="",I2868=""),"",IF(COUNTIFS(F$6:F2868,F2868,I$6:I2868,"?*")=1,MAX(W$5:W2867)+1,""))</f>
        <v/>
      </c>
    </row>
    <row r="2869">
      <c r="B2869" s="15" t="n"/>
      <c r="C2869" s="16" t="n"/>
      <c r="D2869" s="17" t="n"/>
      <c r="E2869" s="17" t="n"/>
      <c r="F2869" s="17" t="n"/>
      <c r="G2869" s="17" t="n"/>
      <c r="H2869" s="18">
        <f>IF(AND(B2869="",C2869="",D2869="",E2869=""),"",IF(B2869="","⚠ Falta fecha",IF(C2869="","⚠ Falta monto",IF(D2869="","⚠ Falta categoría",IF(ISNA(MATCH(D2869,catNom,0)),"⚠ Categoría no existe",IF(E2869="","⚠ Falta cuenta",IF(ISNA(MATCH(E2869,ctaNom,0)),"⚠ Cuenta no existe",IF(AND(OR(I2869="Transferencia",I2869="Pago tarjeta"),G2869=""),"⚠ Indica la cuenta «Hacia»",IF(AND(G2869&lt;&gt;"",G2869=E2869),"⚠ «Hacia» igual a la cuenta",IF(AND(G2869&lt;&gt;"",ISNA(MATCH(G2869,ctaNom,0))),"⚠ «Hacia» no existe",IF(AND(I2869="Pago tarjeta",IFERROR(INDEX(ctaTipo,MATCH(G2869,ctaNom,0)),"")&lt;&gt;"Tarjeta de crédito"),"⚠ «Hacia» debe ser la tarjeta",IF(AND(I2869="Trading",IFERROR(INDEX(ctaTipo,MATCH(E2869,ctaNom,0)),"")&lt;&gt;"Cuenta de trading"),"⚠ Usa la cuenta de trading","✓"))))))))))))</f>
        <v/>
      </c>
      <c r="I2869" s="19">
        <f>IF(OR(B2869="",C2869="",D2869=""),"",IFERROR(INDEX(catTipo,MATCH(D2869,catNom,0))&amp;"",""))</f>
        <v/>
      </c>
      <c r="J2869" s="19">
        <f>IF(I2869="","",IFERROR(INDEX(catGrupo,MATCH(D2869,catNom,0))&amp;"",""))</f>
        <v/>
      </c>
      <c r="K2869" s="19">
        <f>IF(I2869="Gasto",IF(IFERROR(INDEX(catClas,MATCH(D2869,catNom,0))&amp;"","")="","Variable",IFERROR(INDEX(catClas,MATCH(D2869,catNom,0))&amp;"","")),"")</f>
        <v/>
      </c>
      <c r="L2869" s="19">
        <f>IF(I2869="","",IFERROR(INDEX(catAlim,MATCH(D2869,catNom,0))&amp;"",""))</f>
        <v/>
      </c>
      <c r="M2869" s="19">
        <f>IF(I2869="","",IFERROR(INDEX(catComida,MATCH(D2869,catNom,0))&amp;"",""))</f>
        <v/>
      </c>
      <c r="N2869" s="19">
        <f>IF(I2869="","",IFERROR(INDEX(ctaMon,MATCH(E2869,ctaNom,0))&amp;"","DOP"))</f>
        <v/>
      </c>
      <c r="O2869" s="20">
        <f>IF(I2869="","",C2869*IF(N2869="USD",TasaUSD,1))</f>
        <v/>
      </c>
      <c r="P2869" s="20">
        <f>IF(I2869="","",IF(I2869="Gasto",O2869,0))</f>
        <v/>
      </c>
      <c r="Q2869" s="20">
        <f>IF(I2869="","",IF(I2869="Ingreso",O2869,0))</f>
        <v/>
      </c>
      <c r="R2869" s="20">
        <f>IF(I2869="","",IF(I2869="Trading",O2869,0))</f>
        <v/>
      </c>
      <c r="S2869" s="19">
        <f>IF(I2869="","",IF(AND(I2869="Gasto",K2869="Variable",J2869&lt;&gt;"Trading",O2869&gt;0,O2869&lt;=Umbral),1,0))</f>
        <v/>
      </c>
      <c r="T2869" s="20">
        <f>IF(OR(I2869="",E2869=""),"",IF(OR(I2869="Gasto",I2869="Transferencia",I2869="Pago tarjeta"),-1,1)*C2869)</f>
        <v/>
      </c>
      <c r="U2869" s="20">
        <f>IF(OR(G2869="",AND(I2869&lt;&gt;"Transferencia",I2869&lt;&gt;"Pago tarjeta")),"",IF(IFERROR(INDEX(ctaMon,MATCH(G2869,ctaNom,0))&amp;"","DOP")=N2869,C2869,IF(N2869="USD",C2869*TasaUSD,C2869/TasaUSD)))</f>
        <v/>
      </c>
      <c r="V2869" s="20">
        <f>IF(I2869="","",IF(IFERROR(INDEX(ctaLiq,MATCH(E2869,ctaNom,0))="Sí",FALSE),IF(OR(I2869="Gasto",I2869="Transferencia",I2869="Pago tarjeta"),-1,1)*O2869,0)+IF(AND(U2869&lt;&gt;"",IFERROR(INDEX(ctaLiq,MATCH(G2869,ctaNom,0))="Sí",FALSE)),O2869,0))</f>
        <v/>
      </c>
      <c r="W2869" s="19">
        <f>IF(OR(F2869="",I2869=""),"",IF(COUNTIFS(F$6:F2869,F2869,I$6:I2869,"?*")=1,MAX(W$5:W2868)+1,""))</f>
        <v/>
      </c>
    </row>
    <row r="2870">
      <c r="B2870" s="15" t="n"/>
      <c r="C2870" s="16" t="n"/>
      <c r="D2870" s="17" t="n"/>
      <c r="E2870" s="17" t="n"/>
      <c r="F2870" s="17" t="n"/>
      <c r="G2870" s="17" t="n"/>
      <c r="H2870" s="18">
        <f>IF(AND(B2870="",C2870="",D2870="",E2870=""),"",IF(B2870="","⚠ Falta fecha",IF(C2870="","⚠ Falta monto",IF(D2870="","⚠ Falta categoría",IF(ISNA(MATCH(D2870,catNom,0)),"⚠ Categoría no existe",IF(E2870="","⚠ Falta cuenta",IF(ISNA(MATCH(E2870,ctaNom,0)),"⚠ Cuenta no existe",IF(AND(OR(I2870="Transferencia",I2870="Pago tarjeta"),G2870=""),"⚠ Indica la cuenta «Hacia»",IF(AND(G2870&lt;&gt;"",G2870=E2870),"⚠ «Hacia» igual a la cuenta",IF(AND(G2870&lt;&gt;"",ISNA(MATCH(G2870,ctaNom,0))),"⚠ «Hacia» no existe",IF(AND(I2870="Pago tarjeta",IFERROR(INDEX(ctaTipo,MATCH(G2870,ctaNom,0)),"")&lt;&gt;"Tarjeta de crédito"),"⚠ «Hacia» debe ser la tarjeta",IF(AND(I2870="Trading",IFERROR(INDEX(ctaTipo,MATCH(E2870,ctaNom,0)),"")&lt;&gt;"Cuenta de trading"),"⚠ Usa la cuenta de trading","✓"))))))))))))</f>
        <v/>
      </c>
      <c r="I2870" s="19">
        <f>IF(OR(B2870="",C2870="",D2870=""),"",IFERROR(INDEX(catTipo,MATCH(D2870,catNom,0))&amp;"",""))</f>
        <v/>
      </c>
      <c r="J2870" s="19">
        <f>IF(I2870="","",IFERROR(INDEX(catGrupo,MATCH(D2870,catNom,0))&amp;"",""))</f>
        <v/>
      </c>
      <c r="K2870" s="19">
        <f>IF(I2870="Gasto",IF(IFERROR(INDEX(catClas,MATCH(D2870,catNom,0))&amp;"","")="","Variable",IFERROR(INDEX(catClas,MATCH(D2870,catNom,0))&amp;"","")),"")</f>
        <v/>
      </c>
      <c r="L2870" s="19">
        <f>IF(I2870="","",IFERROR(INDEX(catAlim,MATCH(D2870,catNom,0))&amp;"",""))</f>
        <v/>
      </c>
      <c r="M2870" s="19">
        <f>IF(I2870="","",IFERROR(INDEX(catComida,MATCH(D2870,catNom,0))&amp;"",""))</f>
        <v/>
      </c>
      <c r="N2870" s="19">
        <f>IF(I2870="","",IFERROR(INDEX(ctaMon,MATCH(E2870,ctaNom,0))&amp;"","DOP"))</f>
        <v/>
      </c>
      <c r="O2870" s="20">
        <f>IF(I2870="","",C2870*IF(N2870="USD",TasaUSD,1))</f>
        <v/>
      </c>
      <c r="P2870" s="20">
        <f>IF(I2870="","",IF(I2870="Gasto",O2870,0))</f>
        <v/>
      </c>
      <c r="Q2870" s="20">
        <f>IF(I2870="","",IF(I2870="Ingreso",O2870,0))</f>
        <v/>
      </c>
      <c r="R2870" s="20">
        <f>IF(I2870="","",IF(I2870="Trading",O2870,0))</f>
        <v/>
      </c>
      <c r="S2870" s="19">
        <f>IF(I2870="","",IF(AND(I2870="Gasto",K2870="Variable",J2870&lt;&gt;"Trading",O2870&gt;0,O2870&lt;=Umbral),1,0))</f>
        <v/>
      </c>
      <c r="T2870" s="20">
        <f>IF(OR(I2870="",E2870=""),"",IF(OR(I2870="Gasto",I2870="Transferencia",I2870="Pago tarjeta"),-1,1)*C2870)</f>
        <v/>
      </c>
      <c r="U2870" s="20">
        <f>IF(OR(G2870="",AND(I2870&lt;&gt;"Transferencia",I2870&lt;&gt;"Pago tarjeta")),"",IF(IFERROR(INDEX(ctaMon,MATCH(G2870,ctaNom,0))&amp;"","DOP")=N2870,C2870,IF(N2870="USD",C2870*TasaUSD,C2870/TasaUSD)))</f>
        <v/>
      </c>
      <c r="V2870" s="20">
        <f>IF(I2870="","",IF(IFERROR(INDEX(ctaLiq,MATCH(E2870,ctaNom,0))="Sí",FALSE),IF(OR(I2870="Gasto",I2870="Transferencia",I2870="Pago tarjeta"),-1,1)*O2870,0)+IF(AND(U2870&lt;&gt;"",IFERROR(INDEX(ctaLiq,MATCH(G2870,ctaNom,0))="Sí",FALSE)),O2870,0))</f>
        <v/>
      </c>
      <c r="W2870" s="19">
        <f>IF(OR(F2870="",I2870=""),"",IF(COUNTIFS(F$6:F2870,F2870,I$6:I2870,"?*")=1,MAX(W$5:W2869)+1,""))</f>
        <v/>
      </c>
    </row>
    <row r="2871">
      <c r="B2871" s="15" t="n"/>
      <c r="C2871" s="16" t="n"/>
      <c r="D2871" s="17" t="n"/>
      <c r="E2871" s="17" t="n"/>
      <c r="F2871" s="17" t="n"/>
      <c r="G2871" s="17" t="n"/>
      <c r="H2871" s="18">
        <f>IF(AND(B2871="",C2871="",D2871="",E2871=""),"",IF(B2871="","⚠ Falta fecha",IF(C2871="","⚠ Falta monto",IF(D2871="","⚠ Falta categoría",IF(ISNA(MATCH(D2871,catNom,0)),"⚠ Categoría no existe",IF(E2871="","⚠ Falta cuenta",IF(ISNA(MATCH(E2871,ctaNom,0)),"⚠ Cuenta no existe",IF(AND(OR(I2871="Transferencia",I2871="Pago tarjeta"),G2871=""),"⚠ Indica la cuenta «Hacia»",IF(AND(G2871&lt;&gt;"",G2871=E2871),"⚠ «Hacia» igual a la cuenta",IF(AND(G2871&lt;&gt;"",ISNA(MATCH(G2871,ctaNom,0))),"⚠ «Hacia» no existe",IF(AND(I2871="Pago tarjeta",IFERROR(INDEX(ctaTipo,MATCH(G2871,ctaNom,0)),"")&lt;&gt;"Tarjeta de crédito"),"⚠ «Hacia» debe ser la tarjeta",IF(AND(I2871="Trading",IFERROR(INDEX(ctaTipo,MATCH(E2871,ctaNom,0)),"")&lt;&gt;"Cuenta de trading"),"⚠ Usa la cuenta de trading","✓"))))))))))))</f>
        <v/>
      </c>
      <c r="I2871" s="19">
        <f>IF(OR(B2871="",C2871="",D2871=""),"",IFERROR(INDEX(catTipo,MATCH(D2871,catNom,0))&amp;"",""))</f>
        <v/>
      </c>
      <c r="J2871" s="19">
        <f>IF(I2871="","",IFERROR(INDEX(catGrupo,MATCH(D2871,catNom,0))&amp;"",""))</f>
        <v/>
      </c>
      <c r="K2871" s="19">
        <f>IF(I2871="Gasto",IF(IFERROR(INDEX(catClas,MATCH(D2871,catNom,0))&amp;"","")="","Variable",IFERROR(INDEX(catClas,MATCH(D2871,catNom,0))&amp;"","")),"")</f>
        <v/>
      </c>
      <c r="L2871" s="19">
        <f>IF(I2871="","",IFERROR(INDEX(catAlim,MATCH(D2871,catNom,0))&amp;"",""))</f>
        <v/>
      </c>
      <c r="M2871" s="19">
        <f>IF(I2871="","",IFERROR(INDEX(catComida,MATCH(D2871,catNom,0))&amp;"",""))</f>
        <v/>
      </c>
      <c r="N2871" s="19">
        <f>IF(I2871="","",IFERROR(INDEX(ctaMon,MATCH(E2871,ctaNom,0))&amp;"","DOP"))</f>
        <v/>
      </c>
      <c r="O2871" s="20">
        <f>IF(I2871="","",C2871*IF(N2871="USD",TasaUSD,1))</f>
        <v/>
      </c>
      <c r="P2871" s="20">
        <f>IF(I2871="","",IF(I2871="Gasto",O2871,0))</f>
        <v/>
      </c>
      <c r="Q2871" s="20">
        <f>IF(I2871="","",IF(I2871="Ingreso",O2871,0))</f>
        <v/>
      </c>
      <c r="R2871" s="20">
        <f>IF(I2871="","",IF(I2871="Trading",O2871,0))</f>
        <v/>
      </c>
      <c r="S2871" s="19">
        <f>IF(I2871="","",IF(AND(I2871="Gasto",K2871="Variable",J2871&lt;&gt;"Trading",O2871&gt;0,O2871&lt;=Umbral),1,0))</f>
        <v/>
      </c>
      <c r="T2871" s="20">
        <f>IF(OR(I2871="",E2871=""),"",IF(OR(I2871="Gasto",I2871="Transferencia",I2871="Pago tarjeta"),-1,1)*C2871)</f>
        <v/>
      </c>
      <c r="U2871" s="20">
        <f>IF(OR(G2871="",AND(I2871&lt;&gt;"Transferencia",I2871&lt;&gt;"Pago tarjeta")),"",IF(IFERROR(INDEX(ctaMon,MATCH(G2871,ctaNom,0))&amp;"","DOP")=N2871,C2871,IF(N2871="USD",C2871*TasaUSD,C2871/TasaUSD)))</f>
        <v/>
      </c>
      <c r="V2871" s="20">
        <f>IF(I2871="","",IF(IFERROR(INDEX(ctaLiq,MATCH(E2871,ctaNom,0))="Sí",FALSE),IF(OR(I2871="Gasto",I2871="Transferencia",I2871="Pago tarjeta"),-1,1)*O2871,0)+IF(AND(U2871&lt;&gt;"",IFERROR(INDEX(ctaLiq,MATCH(G2871,ctaNom,0))="Sí",FALSE)),O2871,0))</f>
        <v/>
      </c>
      <c r="W2871" s="19">
        <f>IF(OR(F2871="",I2871=""),"",IF(COUNTIFS(F$6:F2871,F2871,I$6:I2871,"?*")=1,MAX(W$5:W2870)+1,""))</f>
        <v/>
      </c>
    </row>
    <row r="2872">
      <c r="B2872" s="15" t="n"/>
      <c r="C2872" s="16" t="n"/>
      <c r="D2872" s="17" t="n"/>
      <c r="E2872" s="17" t="n"/>
      <c r="F2872" s="17" t="n"/>
      <c r="G2872" s="17" t="n"/>
      <c r="H2872" s="18">
        <f>IF(AND(B2872="",C2872="",D2872="",E2872=""),"",IF(B2872="","⚠ Falta fecha",IF(C2872="","⚠ Falta monto",IF(D2872="","⚠ Falta categoría",IF(ISNA(MATCH(D2872,catNom,0)),"⚠ Categoría no existe",IF(E2872="","⚠ Falta cuenta",IF(ISNA(MATCH(E2872,ctaNom,0)),"⚠ Cuenta no existe",IF(AND(OR(I2872="Transferencia",I2872="Pago tarjeta"),G2872=""),"⚠ Indica la cuenta «Hacia»",IF(AND(G2872&lt;&gt;"",G2872=E2872),"⚠ «Hacia» igual a la cuenta",IF(AND(G2872&lt;&gt;"",ISNA(MATCH(G2872,ctaNom,0))),"⚠ «Hacia» no existe",IF(AND(I2872="Pago tarjeta",IFERROR(INDEX(ctaTipo,MATCH(G2872,ctaNom,0)),"")&lt;&gt;"Tarjeta de crédito"),"⚠ «Hacia» debe ser la tarjeta",IF(AND(I2872="Trading",IFERROR(INDEX(ctaTipo,MATCH(E2872,ctaNom,0)),"")&lt;&gt;"Cuenta de trading"),"⚠ Usa la cuenta de trading","✓"))))))))))))</f>
        <v/>
      </c>
      <c r="I2872" s="19">
        <f>IF(OR(B2872="",C2872="",D2872=""),"",IFERROR(INDEX(catTipo,MATCH(D2872,catNom,0))&amp;"",""))</f>
        <v/>
      </c>
      <c r="J2872" s="19">
        <f>IF(I2872="","",IFERROR(INDEX(catGrupo,MATCH(D2872,catNom,0))&amp;"",""))</f>
        <v/>
      </c>
      <c r="K2872" s="19">
        <f>IF(I2872="Gasto",IF(IFERROR(INDEX(catClas,MATCH(D2872,catNom,0))&amp;"","")="","Variable",IFERROR(INDEX(catClas,MATCH(D2872,catNom,0))&amp;"","")),"")</f>
        <v/>
      </c>
      <c r="L2872" s="19">
        <f>IF(I2872="","",IFERROR(INDEX(catAlim,MATCH(D2872,catNom,0))&amp;"",""))</f>
        <v/>
      </c>
      <c r="M2872" s="19">
        <f>IF(I2872="","",IFERROR(INDEX(catComida,MATCH(D2872,catNom,0))&amp;"",""))</f>
        <v/>
      </c>
      <c r="N2872" s="19">
        <f>IF(I2872="","",IFERROR(INDEX(ctaMon,MATCH(E2872,ctaNom,0))&amp;"","DOP"))</f>
        <v/>
      </c>
      <c r="O2872" s="20">
        <f>IF(I2872="","",C2872*IF(N2872="USD",TasaUSD,1))</f>
        <v/>
      </c>
      <c r="P2872" s="20">
        <f>IF(I2872="","",IF(I2872="Gasto",O2872,0))</f>
        <v/>
      </c>
      <c r="Q2872" s="20">
        <f>IF(I2872="","",IF(I2872="Ingreso",O2872,0))</f>
        <v/>
      </c>
      <c r="R2872" s="20">
        <f>IF(I2872="","",IF(I2872="Trading",O2872,0))</f>
        <v/>
      </c>
      <c r="S2872" s="19">
        <f>IF(I2872="","",IF(AND(I2872="Gasto",K2872="Variable",J2872&lt;&gt;"Trading",O2872&gt;0,O2872&lt;=Umbral),1,0))</f>
        <v/>
      </c>
      <c r="T2872" s="20">
        <f>IF(OR(I2872="",E2872=""),"",IF(OR(I2872="Gasto",I2872="Transferencia",I2872="Pago tarjeta"),-1,1)*C2872)</f>
        <v/>
      </c>
      <c r="U2872" s="20">
        <f>IF(OR(G2872="",AND(I2872&lt;&gt;"Transferencia",I2872&lt;&gt;"Pago tarjeta")),"",IF(IFERROR(INDEX(ctaMon,MATCH(G2872,ctaNom,0))&amp;"","DOP")=N2872,C2872,IF(N2872="USD",C2872*TasaUSD,C2872/TasaUSD)))</f>
        <v/>
      </c>
      <c r="V2872" s="20">
        <f>IF(I2872="","",IF(IFERROR(INDEX(ctaLiq,MATCH(E2872,ctaNom,0))="Sí",FALSE),IF(OR(I2872="Gasto",I2872="Transferencia",I2872="Pago tarjeta"),-1,1)*O2872,0)+IF(AND(U2872&lt;&gt;"",IFERROR(INDEX(ctaLiq,MATCH(G2872,ctaNom,0))="Sí",FALSE)),O2872,0))</f>
        <v/>
      </c>
      <c r="W2872" s="19">
        <f>IF(OR(F2872="",I2872=""),"",IF(COUNTIFS(F$6:F2872,F2872,I$6:I2872,"?*")=1,MAX(W$5:W2871)+1,""))</f>
        <v/>
      </c>
    </row>
    <row r="2873">
      <c r="B2873" s="15" t="n"/>
      <c r="C2873" s="16" t="n"/>
      <c r="D2873" s="17" t="n"/>
      <c r="E2873" s="17" t="n"/>
      <c r="F2873" s="17" t="n"/>
      <c r="G2873" s="17" t="n"/>
      <c r="H2873" s="18">
        <f>IF(AND(B2873="",C2873="",D2873="",E2873=""),"",IF(B2873="","⚠ Falta fecha",IF(C2873="","⚠ Falta monto",IF(D2873="","⚠ Falta categoría",IF(ISNA(MATCH(D2873,catNom,0)),"⚠ Categoría no existe",IF(E2873="","⚠ Falta cuenta",IF(ISNA(MATCH(E2873,ctaNom,0)),"⚠ Cuenta no existe",IF(AND(OR(I2873="Transferencia",I2873="Pago tarjeta"),G2873=""),"⚠ Indica la cuenta «Hacia»",IF(AND(G2873&lt;&gt;"",G2873=E2873),"⚠ «Hacia» igual a la cuenta",IF(AND(G2873&lt;&gt;"",ISNA(MATCH(G2873,ctaNom,0))),"⚠ «Hacia» no existe",IF(AND(I2873="Pago tarjeta",IFERROR(INDEX(ctaTipo,MATCH(G2873,ctaNom,0)),"")&lt;&gt;"Tarjeta de crédito"),"⚠ «Hacia» debe ser la tarjeta",IF(AND(I2873="Trading",IFERROR(INDEX(ctaTipo,MATCH(E2873,ctaNom,0)),"")&lt;&gt;"Cuenta de trading"),"⚠ Usa la cuenta de trading","✓"))))))))))))</f>
        <v/>
      </c>
      <c r="I2873" s="19">
        <f>IF(OR(B2873="",C2873="",D2873=""),"",IFERROR(INDEX(catTipo,MATCH(D2873,catNom,0))&amp;"",""))</f>
        <v/>
      </c>
      <c r="J2873" s="19">
        <f>IF(I2873="","",IFERROR(INDEX(catGrupo,MATCH(D2873,catNom,0))&amp;"",""))</f>
        <v/>
      </c>
      <c r="K2873" s="19">
        <f>IF(I2873="Gasto",IF(IFERROR(INDEX(catClas,MATCH(D2873,catNom,0))&amp;"","")="","Variable",IFERROR(INDEX(catClas,MATCH(D2873,catNom,0))&amp;"","")),"")</f>
        <v/>
      </c>
      <c r="L2873" s="19">
        <f>IF(I2873="","",IFERROR(INDEX(catAlim,MATCH(D2873,catNom,0))&amp;"",""))</f>
        <v/>
      </c>
      <c r="M2873" s="19">
        <f>IF(I2873="","",IFERROR(INDEX(catComida,MATCH(D2873,catNom,0))&amp;"",""))</f>
        <v/>
      </c>
      <c r="N2873" s="19">
        <f>IF(I2873="","",IFERROR(INDEX(ctaMon,MATCH(E2873,ctaNom,0))&amp;"","DOP"))</f>
        <v/>
      </c>
      <c r="O2873" s="20">
        <f>IF(I2873="","",C2873*IF(N2873="USD",TasaUSD,1))</f>
        <v/>
      </c>
      <c r="P2873" s="20">
        <f>IF(I2873="","",IF(I2873="Gasto",O2873,0))</f>
        <v/>
      </c>
      <c r="Q2873" s="20">
        <f>IF(I2873="","",IF(I2873="Ingreso",O2873,0))</f>
        <v/>
      </c>
      <c r="R2873" s="20">
        <f>IF(I2873="","",IF(I2873="Trading",O2873,0))</f>
        <v/>
      </c>
      <c r="S2873" s="19">
        <f>IF(I2873="","",IF(AND(I2873="Gasto",K2873="Variable",J2873&lt;&gt;"Trading",O2873&gt;0,O2873&lt;=Umbral),1,0))</f>
        <v/>
      </c>
      <c r="T2873" s="20">
        <f>IF(OR(I2873="",E2873=""),"",IF(OR(I2873="Gasto",I2873="Transferencia",I2873="Pago tarjeta"),-1,1)*C2873)</f>
        <v/>
      </c>
      <c r="U2873" s="20">
        <f>IF(OR(G2873="",AND(I2873&lt;&gt;"Transferencia",I2873&lt;&gt;"Pago tarjeta")),"",IF(IFERROR(INDEX(ctaMon,MATCH(G2873,ctaNom,0))&amp;"","DOP")=N2873,C2873,IF(N2873="USD",C2873*TasaUSD,C2873/TasaUSD)))</f>
        <v/>
      </c>
      <c r="V2873" s="20">
        <f>IF(I2873="","",IF(IFERROR(INDEX(ctaLiq,MATCH(E2873,ctaNom,0))="Sí",FALSE),IF(OR(I2873="Gasto",I2873="Transferencia",I2873="Pago tarjeta"),-1,1)*O2873,0)+IF(AND(U2873&lt;&gt;"",IFERROR(INDEX(ctaLiq,MATCH(G2873,ctaNom,0))="Sí",FALSE)),O2873,0))</f>
        <v/>
      </c>
      <c r="W2873" s="19">
        <f>IF(OR(F2873="",I2873=""),"",IF(COUNTIFS(F$6:F2873,F2873,I$6:I2873,"?*")=1,MAX(W$5:W2872)+1,""))</f>
        <v/>
      </c>
    </row>
    <row r="2874">
      <c r="B2874" s="15" t="n"/>
      <c r="C2874" s="16" t="n"/>
      <c r="D2874" s="17" t="n"/>
      <c r="E2874" s="17" t="n"/>
      <c r="F2874" s="17" t="n"/>
      <c r="G2874" s="17" t="n"/>
      <c r="H2874" s="18">
        <f>IF(AND(B2874="",C2874="",D2874="",E2874=""),"",IF(B2874="","⚠ Falta fecha",IF(C2874="","⚠ Falta monto",IF(D2874="","⚠ Falta categoría",IF(ISNA(MATCH(D2874,catNom,0)),"⚠ Categoría no existe",IF(E2874="","⚠ Falta cuenta",IF(ISNA(MATCH(E2874,ctaNom,0)),"⚠ Cuenta no existe",IF(AND(OR(I2874="Transferencia",I2874="Pago tarjeta"),G2874=""),"⚠ Indica la cuenta «Hacia»",IF(AND(G2874&lt;&gt;"",G2874=E2874),"⚠ «Hacia» igual a la cuenta",IF(AND(G2874&lt;&gt;"",ISNA(MATCH(G2874,ctaNom,0))),"⚠ «Hacia» no existe",IF(AND(I2874="Pago tarjeta",IFERROR(INDEX(ctaTipo,MATCH(G2874,ctaNom,0)),"")&lt;&gt;"Tarjeta de crédito"),"⚠ «Hacia» debe ser la tarjeta",IF(AND(I2874="Trading",IFERROR(INDEX(ctaTipo,MATCH(E2874,ctaNom,0)),"")&lt;&gt;"Cuenta de trading"),"⚠ Usa la cuenta de trading","✓"))))))))))))</f>
        <v/>
      </c>
      <c r="I2874" s="19">
        <f>IF(OR(B2874="",C2874="",D2874=""),"",IFERROR(INDEX(catTipo,MATCH(D2874,catNom,0))&amp;"",""))</f>
        <v/>
      </c>
      <c r="J2874" s="19">
        <f>IF(I2874="","",IFERROR(INDEX(catGrupo,MATCH(D2874,catNom,0))&amp;"",""))</f>
        <v/>
      </c>
      <c r="K2874" s="19">
        <f>IF(I2874="Gasto",IF(IFERROR(INDEX(catClas,MATCH(D2874,catNom,0))&amp;"","")="","Variable",IFERROR(INDEX(catClas,MATCH(D2874,catNom,0))&amp;"","")),"")</f>
        <v/>
      </c>
      <c r="L2874" s="19">
        <f>IF(I2874="","",IFERROR(INDEX(catAlim,MATCH(D2874,catNom,0))&amp;"",""))</f>
        <v/>
      </c>
      <c r="M2874" s="19">
        <f>IF(I2874="","",IFERROR(INDEX(catComida,MATCH(D2874,catNom,0))&amp;"",""))</f>
        <v/>
      </c>
      <c r="N2874" s="19">
        <f>IF(I2874="","",IFERROR(INDEX(ctaMon,MATCH(E2874,ctaNom,0))&amp;"","DOP"))</f>
        <v/>
      </c>
      <c r="O2874" s="20">
        <f>IF(I2874="","",C2874*IF(N2874="USD",TasaUSD,1))</f>
        <v/>
      </c>
      <c r="P2874" s="20">
        <f>IF(I2874="","",IF(I2874="Gasto",O2874,0))</f>
        <v/>
      </c>
      <c r="Q2874" s="20">
        <f>IF(I2874="","",IF(I2874="Ingreso",O2874,0))</f>
        <v/>
      </c>
      <c r="R2874" s="20">
        <f>IF(I2874="","",IF(I2874="Trading",O2874,0))</f>
        <v/>
      </c>
      <c r="S2874" s="19">
        <f>IF(I2874="","",IF(AND(I2874="Gasto",K2874="Variable",J2874&lt;&gt;"Trading",O2874&gt;0,O2874&lt;=Umbral),1,0))</f>
        <v/>
      </c>
      <c r="T2874" s="20">
        <f>IF(OR(I2874="",E2874=""),"",IF(OR(I2874="Gasto",I2874="Transferencia",I2874="Pago tarjeta"),-1,1)*C2874)</f>
        <v/>
      </c>
      <c r="U2874" s="20">
        <f>IF(OR(G2874="",AND(I2874&lt;&gt;"Transferencia",I2874&lt;&gt;"Pago tarjeta")),"",IF(IFERROR(INDEX(ctaMon,MATCH(G2874,ctaNom,0))&amp;"","DOP")=N2874,C2874,IF(N2874="USD",C2874*TasaUSD,C2874/TasaUSD)))</f>
        <v/>
      </c>
      <c r="V2874" s="20">
        <f>IF(I2874="","",IF(IFERROR(INDEX(ctaLiq,MATCH(E2874,ctaNom,0))="Sí",FALSE),IF(OR(I2874="Gasto",I2874="Transferencia",I2874="Pago tarjeta"),-1,1)*O2874,0)+IF(AND(U2874&lt;&gt;"",IFERROR(INDEX(ctaLiq,MATCH(G2874,ctaNom,0))="Sí",FALSE)),O2874,0))</f>
        <v/>
      </c>
      <c r="W2874" s="19">
        <f>IF(OR(F2874="",I2874=""),"",IF(COUNTIFS(F$6:F2874,F2874,I$6:I2874,"?*")=1,MAX(W$5:W2873)+1,""))</f>
        <v/>
      </c>
    </row>
    <row r="2875">
      <c r="B2875" s="15" t="n"/>
      <c r="C2875" s="16" t="n"/>
      <c r="D2875" s="17" t="n"/>
      <c r="E2875" s="17" t="n"/>
      <c r="F2875" s="17" t="n"/>
      <c r="G2875" s="17" t="n"/>
      <c r="H2875" s="18">
        <f>IF(AND(B2875="",C2875="",D2875="",E2875=""),"",IF(B2875="","⚠ Falta fecha",IF(C2875="","⚠ Falta monto",IF(D2875="","⚠ Falta categoría",IF(ISNA(MATCH(D2875,catNom,0)),"⚠ Categoría no existe",IF(E2875="","⚠ Falta cuenta",IF(ISNA(MATCH(E2875,ctaNom,0)),"⚠ Cuenta no existe",IF(AND(OR(I2875="Transferencia",I2875="Pago tarjeta"),G2875=""),"⚠ Indica la cuenta «Hacia»",IF(AND(G2875&lt;&gt;"",G2875=E2875),"⚠ «Hacia» igual a la cuenta",IF(AND(G2875&lt;&gt;"",ISNA(MATCH(G2875,ctaNom,0))),"⚠ «Hacia» no existe",IF(AND(I2875="Pago tarjeta",IFERROR(INDEX(ctaTipo,MATCH(G2875,ctaNom,0)),"")&lt;&gt;"Tarjeta de crédito"),"⚠ «Hacia» debe ser la tarjeta",IF(AND(I2875="Trading",IFERROR(INDEX(ctaTipo,MATCH(E2875,ctaNom,0)),"")&lt;&gt;"Cuenta de trading"),"⚠ Usa la cuenta de trading","✓"))))))))))))</f>
        <v/>
      </c>
      <c r="I2875" s="19">
        <f>IF(OR(B2875="",C2875="",D2875=""),"",IFERROR(INDEX(catTipo,MATCH(D2875,catNom,0))&amp;"",""))</f>
        <v/>
      </c>
      <c r="J2875" s="19">
        <f>IF(I2875="","",IFERROR(INDEX(catGrupo,MATCH(D2875,catNom,0))&amp;"",""))</f>
        <v/>
      </c>
      <c r="K2875" s="19">
        <f>IF(I2875="Gasto",IF(IFERROR(INDEX(catClas,MATCH(D2875,catNom,0))&amp;"","")="","Variable",IFERROR(INDEX(catClas,MATCH(D2875,catNom,0))&amp;"","")),"")</f>
        <v/>
      </c>
      <c r="L2875" s="19">
        <f>IF(I2875="","",IFERROR(INDEX(catAlim,MATCH(D2875,catNom,0))&amp;"",""))</f>
        <v/>
      </c>
      <c r="M2875" s="19">
        <f>IF(I2875="","",IFERROR(INDEX(catComida,MATCH(D2875,catNom,0))&amp;"",""))</f>
        <v/>
      </c>
      <c r="N2875" s="19">
        <f>IF(I2875="","",IFERROR(INDEX(ctaMon,MATCH(E2875,ctaNom,0))&amp;"","DOP"))</f>
        <v/>
      </c>
      <c r="O2875" s="20">
        <f>IF(I2875="","",C2875*IF(N2875="USD",TasaUSD,1))</f>
        <v/>
      </c>
      <c r="P2875" s="20">
        <f>IF(I2875="","",IF(I2875="Gasto",O2875,0))</f>
        <v/>
      </c>
      <c r="Q2875" s="20">
        <f>IF(I2875="","",IF(I2875="Ingreso",O2875,0))</f>
        <v/>
      </c>
      <c r="R2875" s="20">
        <f>IF(I2875="","",IF(I2875="Trading",O2875,0))</f>
        <v/>
      </c>
      <c r="S2875" s="19">
        <f>IF(I2875="","",IF(AND(I2875="Gasto",K2875="Variable",J2875&lt;&gt;"Trading",O2875&gt;0,O2875&lt;=Umbral),1,0))</f>
        <v/>
      </c>
      <c r="T2875" s="20">
        <f>IF(OR(I2875="",E2875=""),"",IF(OR(I2875="Gasto",I2875="Transferencia",I2875="Pago tarjeta"),-1,1)*C2875)</f>
        <v/>
      </c>
      <c r="U2875" s="20">
        <f>IF(OR(G2875="",AND(I2875&lt;&gt;"Transferencia",I2875&lt;&gt;"Pago tarjeta")),"",IF(IFERROR(INDEX(ctaMon,MATCH(G2875,ctaNom,0))&amp;"","DOP")=N2875,C2875,IF(N2875="USD",C2875*TasaUSD,C2875/TasaUSD)))</f>
        <v/>
      </c>
      <c r="V2875" s="20">
        <f>IF(I2875="","",IF(IFERROR(INDEX(ctaLiq,MATCH(E2875,ctaNom,0))="Sí",FALSE),IF(OR(I2875="Gasto",I2875="Transferencia",I2875="Pago tarjeta"),-1,1)*O2875,0)+IF(AND(U2875&lt;&gt;"",IFERROR(INDEX(ctaLiq,MATCH(G2875,ctaNom,0))="Sí",FALSE)),O2875,0))</f>
        <v/>
      </c>
      <c r="W2875" s="19">
        <f>IF(OR(F2875="",I2875=""),"",IF(COUNTIFS(F$6:F2875,F2875,I$6:I2875,"?*")=1,MAX(W$5:W2874)+1,""))</f>
        <v/>
      </c>
    </row>
    <row r="2876">
      <c r="B2876" s="15" t="n"/>
      <c r="C2876" s="16" t="n"/>
      <c r="D2876" s="17" t="n"/>
      <c r="E2876" s="17" t="n"/>
      <c r="F2876" s="17" t="n"/>
      <c r="G2876" s="17" t="n"/>
      <c r="H2876" s="18">
        <f>IF(AND(B2876="",C2876="",D2876="",E2876=""),"",IF(B2876="","⚠ Falta fecha",IF(C2876="","⚠ Falta monto",IF(D2876="","⚠ Falta categoría",IF(ISNA(MATCH(D2876,catNom,0)),"⚠ Categoría no existe",IF(E2876="","⚠ Falta cuenta",IF(ISNA(MATCH(E2876,ctaNom,0)),"⚠ Cuenta no existe",IF(AND(OR(I2876="Transferencia",I2876="Pago tarjeta"),G2876=""),"⚠ Indica la cuenta «Hacia»",IF(AND(G2876&lt;&gt;"",G2876=E2876),"⚠ «Hacia» igual a la cuenta",IF(AND(G2876&lt;&gt;"",ISNA(MATCH(G2876,ctaNom,0))),"⚠ «Hacia» no existe",IF(AND(I2876="Pago tarjeta",IFERROR(INDEX(ctaTipo,MATCH(G2876,ctaNom,0)),"")&lt;&gt;"Tarjeta de crédito"),"⚠ «Hacia» debe ser la tarjeta",IF(AND(I2876="Trading",IFERROR(INDEX(ctaTipo,MATCH(E2876,ctaNom,0)),"")&lt;&gt;"Cuenta de trading"),"⚠ Usa la cuenta de trading","✓"))))))))))))</f>
        <v/>
      </c>
      <c r="I2876" s="19">
        <f>IF(OR(B2876="",C2876="",D2876=""),"",IFERROR(INDEX(catTipo,MATCH(D2876,catNom,0))&amp;"",""))</f>
        <v/>
      </c>
      <c r="J2876" s="19">
        <f>IF(I2876="","",IFERROR(INDEX(catGrupo,MATCH(D2876,catNom,0))&amp;"",""))</f>
        <v/>
      </c>
      <c r="K2876" s="19">
        <f>IF(I2876="Gasto",IF(IFERROR(INDEX(catClas,MATCH(D2876,catNom,0))&amp;"","")="","Variable",IFERROR(INDEX(catClas,MATCH(D2876,catNom,0))&amp;"","")),"")</f>
        <v/>
      </c>
      <c r="L2876" s="19">
        <f>IF(I2876="","",IFERROR(INDEX(catAlim,MATCH(D2876,catNom,0))&amp;"",""))</f>
        <v/>
      </c>
      <c r="M2876" s="19">
        <f>IF(I2876="","",IFERROR(INDEX(catComida,MATCH(D2876,catNom,0))&amp;"",""))</f>
        <v/>
      </c>
      <c r="N2876" s="19">
        <f>IF(I2876="","",IFERROR(INDEX(ctaMon,MATCH(E2876,ctaNom,0))&amp;"","DOP"))</f>
        <v/>
      </c>
      <c r="O2876" s="20">
        <f>IF(I2876="","",C2876*IF(N2876="USD",TasaUSD,1))</f>
        <v/>
      </c>
      <c r="P2876" s="20">
        <f>IF(I2876="","",IF(I2876="Gasto",O2876,0))</f>
        <v/>
      </c>
      <c r="Q2876" s="20">
        <f>IF(I2876="","",IF(I2876="Ingreso",O2876,0))</f>
        <v/>
      </c>
      <c r="R2876" s="20">
        <f>IF(I2876="","",IF(I2876="Trading",O2876,0))</f>
        <v/>
      </c>
      <c r="S2876" s="19">
        <f>IF(I2876="","",IF(AND(I2876="Gasto",K2876="Variable",J2876&lt;&gt;"Trading",O2876&gt;0,O2876&lt;=Umbral),1,0))</f>
        <v/>
      </c>
      <c r="T2876" s="20">
        <f>IF(OR(I2876="",E2876=""),"",IF(OR(I2876="Gasto",I2876="Transferencia",I2876="Pago tarjeta"),-1,1)*C2876)</f>
        <v/>
      </c>
      <c r="U2876" s="20">
        <f>IF(OR(G2876="",AND(I2876&lt;&gt;"Transferencia",I2876&lt;&gt;"Pago tarjeta")),"",IF(IFERROR(INDEX(ctaMon,MATCH(G2876,ctaNom,0))&amp;"","DOP")=N2876,C2876,IF(N2876="USD",C2876*TasaUSD,C2876/TasaUSD)))</f>
        <v/>
      </c>
      <c r="V2876" s="20">
        <f>IF(I2876="","",IF(IFERROR(INDEX(ctaLiq,MATCH(E2876,ctaNom,0))="Sí",FALSE),IF(OR(I2876="Gasto",I2876="Transferencia",I2876="Pago tarjeta"),-1,1)*O2876,0)+IF(AND(U2876&lt;&gt;"",IFERROR(INDEX(ctaLiq,MATCH(G2876,ctaNom,0))="Sí",FALSE)),O2876,0))</f>
        <v/>
      </c>
      <c r="W2876" s="19">
        <f>IF(OR(F2876="",I2876=""),"",IF(COUNTIFS(F$6:F2876,F2876,I$6:I2876,"?*")=1,MAX(W$5:W2875)+1,""))</f>
        <v/>
      </c>
    </row>
    <row r="2877">
      <c r="B2877" s="15" t="n"/>
      <c r="C2877" s="16" t="n"/>
      <c r="D2877" s="17" t="n"/>
      <c r="E2877" s="17" t="n"/>
      <c r="F2877" s="17" t="n"/>
      <c r="G2877" s="17" t="n"/>
      <c r="H2877" s="18">
        <f>IF(AND(B2877="",C2877="",D2877="",E2877=""),"",IF(B2877="","⚠ Falta fecha",IF(C2877="","⚠ Falta monto",IF(D2877="","⚠ Falta categoría",IF(ISNA(MATCH(D2877,catNom,0)),"⚠ Categoría no existe",IF(E2877="","⚠ Falta cuenta",IF(ISNA(MATCH(E2877,ctaNom,0)),"⚠ Cuenta no existe",IF(AND(OR(I2877="Transferencia",I2877="Pago tarjeta"),G2877=""),"⚠ Indica la cuenta «Hacia»",IF(AND(G2877&lt;&gt;"",G2877=E2877),"⚠ «Hacia» igual a la cuenta",IF(AND(G2877&lt;&gt;"",ISNA(MATCH(G2877,ctaNom,0))),"⚠ «Hacia» no existe",IF(AND(I2877="Pago tarjeta",IFERROR(INDEX(ctaTipo,MATCH(G2877,ctaNom,0)),"")&lt;&gt;"Tarjeta de crédito"),"⚠ «Hacia» debe ser la tarjeta",IF(AND(I2877="Trading",IFERROR(INDEX(ctaTipo,MATCH(E2877,ctaNom,0)),"")&lt;&gt;"Cuenta de trading"),"⚠ Usa la cuenta de trading","✓"))))))))))))</f>
        <v/>
      </c>
      <c r="I2877" s="19">
        <f>IF(OR(B2877="",C2877="",D2877=""),"",IFERROR(INDEX(catTipo,MATCH(D2877,catNom,0))&amp;"",""))</f>
        <v/>
      </c>
      <c r="J2877" s="19">
        <f>IF(I2877="","",IFERROR(INDEX(catGrupo,MATCH(D2877,catNom,0))&amp;"",""))</f>
        <v/>
      </c>
      <c r="K2877" s="19">
        <f>IF(I2877="Gasto",IF(IFERROR(INDEX(catClas,MATCH(D2877,catNom,0))&amp;"","")="","Variable",IFERROR(INDEX(catClas,MATCH(D2877,catNom,0))&amp;"","")),"")</f>
        <v/>
      </c>
      <c r="L2877" s="19">
        <f>IF(I2877="","",IFERROR(INDEX(catAlim,MATCH(D2877,catNom,0))&amp;"",""))</f>
        <v/>
      </c>
      <c r="M2877" s="19">
        <f>IF(I2877="","",IFERROR(INDEX(catComida,MATCH(D2877,catNom,0))&amp;"",""))</f>
        <v/>
      </c>
      <c r="N2877" s="19">
        <f>IF(I2877="","",IFERROR(INDEX(ctaMon,MATCH(E2877,ctaNom,0))&amp;"","DOP"))</f>
        <v/>
      </c>
      <c r="O2877" s="20">
        <f>IF(I2877="","",C2877*IF(N2877="USD",TasaUSD,1))</f>
        <v/>
      </c>
      <c r="P2877" s="20">
        <f>IF(I2877="","",IF(I2877="Gasto",O2877,0))</f>
        <v/>
      </c>
      <c r="Q2877" s="20">
        <f>IF(I2877="","",IF(I2877="Ingreso",O2877,0))</f>
        <v/>
      </c>
      <c r="R2877" s="20">
        <f>IF(I2877="","",IF(I2877="Trading",O2877,0))</f>
        <v/>
      </c>
      <c r="S2877" s="19">
        <f>IF(I2877="","",IF(AND(I2877="Gasto",K2877="Variable",J2877&lt;&gt;"Trading",O2877&gt;0,O2877&lt;=Umbral),1,0))</f>
        <v/>
      </c>
      <c r="T2877" s="20">
        <f>IF(OR(I2877="",E2877=""),"",IF(OR(I2877="Gasto",I2877="Transferencia",I2877="Pago tarjeta"),-1,1)*C2877)</f>
        <v/>
      </c>
      <c r="U2877" s="20">
        <f>IF(OR(G2877="",AND(I2877&lt;&gt;"Transferencia",I2877&lt;&gt;"Pago tarjeta")),"",IF(IFERROR(INDEX(ctaMon,MATCH(G2877,ctaNom,0))&amp;"","DOP")=N2877,C2877,IF(N2877="USD",C2877*TasaUSD,C2877/TasaUSD)))</f>
        <v/>
      </c>
      <c r="V2877" s="20">
        <f>IF(I2877="","",IF(IFERROR(INDEX(ctaLiq,MATCH(E2877,ctaNom,0))="Sí",FALSE),IF(OR(I2877="Gasto",I2877="Transferencia",I2877="Pago tarjeta"),-1,1)*O2877,0)+IF(AND(U2877&lt;&gt;"",IFERROR(INDEX(ctaLiq,MATCH(G2877,ctaNom,0))="Sí",FALSE)),O2877,0))</f>
        <v/>
      </c>
      <c r="W2877" s="19">
        <f>IF(OR(F2877="",I2877=""),"",IF(COUNTIFS(F$6:F2877,F2877,I$6:I2877,"?*")=1,MAX(W$5:W2876)+1,""))</f>
        <v/>
      </c>
    </row>
    <row r="2878">
      <c r="B2878" s="15" t="n"/>
      <c r="C2878" s="16" t="n"/>
      <c r="D2878" s="17" t="n"/>
      <c r="E2878" s="17" t="n"/>
      <c r="F2878" s="17" t="n"/>
      <c r="G2878" s="17" t="n"/>
      <c r="H2878" s="18">
        <f>IF(AND(B2878="",C2878="",D2878="",E2878=""),"",IF(B2878="","⚠ Falta fecha",IF(C2878="","⚠ Falta monto",IF(D2878="","⚠ Falta categoría",IF(ISNA(MATCH(D2878,catNom,0)),"⚠ Categoría no existe",IF(E2878="","⚠ Falta cuenta",IF(ISNA(MATCH(E2878,ctaNom,0)),"⚠ Cuenta no existe",IF(AND(OR(I2878="Transferencia",I2878="Pago tarjeta"),G2878=""),"⚠ Indica la cuenta «Hacia»",IF(AND(G2878&lt;&gt;"",G2878=E2878),"⚠ «Hacia» igual a la cuenta",IF(AND(G2878&lt;&gt;"",ISNA(MATCH(G2878,ctaNom,0))),"⚠ «Hacia» no existe",IF(AND(I2878="Pago tarjeta",IFERROR(INDEX(ctaTipo,MATCH(G2878,ctaNom,0)),"")&lt;&gt;"Tarjeta de crédito"),"⚠ «Hacia» debe ser la tarjeta",IF(AND(I2878="Trading",IFERROR(INDEX(ctaTipo,MATCH(E2878,ctaNom,0)),"")&lt;&gt;"Cuenta de trading"),"⚠ Usa la cuenta de trading","✓"))))))))))))</f>
        <v/>
      </c>
      <c r="I2878" s="19">
        <f>IF(OR(B2878="",C2878="",D2878=""),"",IFERROR(INDEX(catTipo,MATCH(D2878,catNom,0))&amp;"",""))</f>
        <v/>
      </c>
      <c r="J2878" s="19">
        <f>IF(I2878="","",IFERROR(INDEX(catGrupo,MATCH(D2878,catNom,0))&amp;"",""))</f>
        <v/>
      </c>
      <c r="K2878" s="19">
        <f>IF(I2878="Gasto",IF(IFERROR(INDEX(catClas,MATCH(D2878,catNom,0))&amp;"","")="","Variable",IFERROR(INDEX(catClas,MATCH(D2878,catNom,0))&amp;"","")),"")</f>
        <v/>
      </c>
      <c r="L2878" s="19">
        <f>IF(I2878="","",IFERROR(INDEX(catAlim,MATCH(D2878,catNom,0))&amp;"",""))</f>
        <v/>
      </c>
      <c r="M2878" s="19">
        <f>IF(I2878="","",IFERROR(INDEX(catComida,MATCH(D2878,catNom,0))&amp;"",""))</f>
        <v/>
      </c>
      <c r="N2878" s="19">
        <f>IF(I2878="","",IFERROR(INDEX(ctaMon,MATCH(E2878,ctaNom,0))&amp;"","DOP"))</f>
        <v/>
      </c>
      <c r="O2878" s="20">
        <f>IF(I2878="","",C2878*IF(N2878="USD",TasaUSD,1))</f>
        <v/>
      </c>
      <c r="P2878" s="20">
        <f>IF(I2878="","",IF(I2878="Gasto",O2878,0))</f>
        <v/>
      </c>
      <c r="Q2878" s="20">
        <f>IF(I2878="","",IF(I2878="Ingreso",O2878,0))</f>
        <v/>
      </c>
      <c r="R2878" s="20">
        <f>IF(I2878="","",IF(I2878="Trading",O2878,0))</f>
        <v/>
      </c>
      <c r="S2878" s="19">
        <f>IF(I2878="","",IF(AND(I2878="Gasto",K2878="Variable",J2878&lt;&gt;"Trading",O2878&gt;0,O2878&lt;=Umbral),1,0))</f>
        <v/>
      </c>
      <c r="T2878" s="20">
        <f>IF(OR(I2878="",E2878=""),"",IF(OR(I2878="Gasto",I2878="Transferencia",I2878="Pago tarjeta"),-1,1)*C2878)</f>
        <v/>
      </c>
      <c r="U2878" s="20">
        <f>IF(OR(G2878="",AND(I2878&lt;&gt;"Transferencia",I2878&lt;&gt;"Pago tarjeta")),"",IF(IFERROR(INDEX(ctaMon,MATCH(G2878,ctaNom,0))&amp;"","DOP")=N2878,C2878,IF(N2878="USD",C2878*TasaUSD,C2878/TasaUSD)))</f>
        <v/>
      </c>
      <c r="V2878" s="20">
        <f>IF(I2878="","",IF(IFERROR(INDEX(ctaLiq,MATCH(E2878,ctaNom,0))="Sí",FALSE),IF(OR(I2878="Gasto",I2878="Transferencia",I2878="Pago tarjeta"),-1,1)*O2878,0)+IF(AND(U2878&lt;&gt;"",IFERROR(INDEX(ctaLiq,MATCH(G2878,ctaNom,0))="Sí",FALSE)),O2878,0))</f>
        <v/>
      </c>
      <c r="W2878" s="19">
        <f>IF(OR(F2878="",I2878=""),"",IF(COUNTIFS(F$6:F2878,F2878,I$6:I2878,"?*")=1,MAX(W$5:W2877)+1,""))</f>
        <v/>
      </c>
    </row>
    <row r="2879">
      <c r="B2879" s="15" t="n"/>
      <c r="C2879" s="16" t="n"/>
      <c r="D2879" s="17" t="n"/>
      <c r="E2879" s="17" t="n"/>
      <c r="F2879" s="17" t="n"/>
      <c r="G2879" s="17" t="n"/>
      <c r="H2879" s="18">
        <f>IF(AND(B2879="",C2879="",D2879="",E2879=""),"",IF(B2879="","⚠ Falta fecha",IF(C2879="","⚠ Falta monto",IF(D2879="","⚠ Falta categoría",IF(ISNA(MATCH(D2879,catNom,0)),"⚠ Categoría no existe",IF(E2879="","⚠ Falta cuenta",IF(ISNA(MATCH(E2879,ctaNom,0)),"⚠ Cuenta no existe",IF(AND(OR(I2879="Transferencia",I2879="Pago tarjeta"),G2879=""),"⚠ Indica la cuenta «Hacia»",IF(AND(G2879&lt;&gt;"",G2879=E2879),"⚠ «Hacia» igual a la cuenta",IF(AND(G2879&lt;&gt;"",ISNA(MATCH(G2879,ctaNom,0))),"⚠ «Hacia» no existe",IF(AND(I2879="Pago tarjeta",IFERROR(INDEX(ctaTipo,MATCH(G2879,ctaNom,0)),"")&lt;&gt;"Tarjeta de crédito"),"⚠ «Hacia» debe ser la tarjeta",IF(AND(I2879="Trading",IFERROR(INDEX(ctaTipo,MATCH(E2879,ctaNom,0)),"")&lt;&gt;"Cuenta de trading"),"⚠ Usa la cuenta de trading","✓"))))))))))))</f>
        <v/>
      </c>
      <c r="I2879" s="19">
        <f>IF(OR(B2879="",C2879="",D2879=""),"",IFERROR(INDEX(catTipo,MATCH(D2879,catNom,0))&amp;"",""))</f>
        <v/>
      </c>
      <c r="J2879" s="19">
        <f>IF(I2879="","",IFERROR(INDEX(catGrupo,MATCH(D2879,catNom,0))&amp;"",""))</f>
        <v/>
      </c>
      <c r="K2879" s="19">
        <f>IF(I2879="Gasto",IF(IFERROR(INDEX(catClas,MATCH(D2879,catNom,0))&amp;"","")="","Variable",IFERROR(INDEX(catClas,MATCH(D2879,catNom,0))&amp;"","")),"")</f>
        <v/>
      </c>
      <c r="L2879" s="19">
        <f>IF(I2879="","",IFERROR(INDEX(catAlim,MATCH(D2879,catNom,0))&amp;"",""))</f>
        <v/>
      </c>
      <c r="M2879" s="19">
        <f>IF(I2879="","",IFERROR(INDEX(catComida,MATCH(D2879,catNom,0))&amp;"",""))</f>
        <v/>
      </c>
      <c r="N2879" s="19">
        <f>IF(I2879="","",IFERROR(INDEX(ctaMon,MATCH(E2879,ctaNom,0))&amp;"","DOP"))</f>
        <v/>
      </c>
      <c r="O2879" s="20">
        <f>IF(I2879="","",C2879*IF(N2879="USD",TasaUSD,1))</f>
        <v/>
      </c>
      <c r="P2879" s="20">
        <f>IF(I2879="","",IF(I2879="Gasto",O2879,0))</f>
        <v/>
      </c>
      <c r="Q2879" s="20">
        <f>IF(I2879="","",IF(I2879="Ingreso",O2879,0))</f>
        <v/>
      </c>
      <c r="R2879" s="20">
        <f>IF(I2879="","",IF(I2879="Trading",O2879,0))</f>
        <v/>
      </c>
      <c r="S2879" s="19">
        <f>IF(I2879="","",IF(AND(I2879="Gasto",K2879="Variable",J2879&lt;&gt;"Trading",O2879&gt;0,O2879&lt;=Umbral),1,0))</f>
        <v/>
      </c>
      <c r="T2879" s="20">
        <f>IF(OR(I2879="",E2879=""),"",IF(OR(I2879="Gasto",I2879="Transferencia",I2879="Pago tarjeta"),-1,1)*C2879)</f>
        <v/>
      </c>
      <c r="U2879" s="20">
        <f>IF(OR(G2879="",AND(I2879&lt;&gt;"Transferencia",I2879&lt;&gt;"Pago tarjeta")),"",IF(IFERROR(INDEX(ctaMon,MATCH(G2879,ctaNom,0))&amp;"","DOP")=N2879,C2879,IF(N2879="USD",C2879*TasaUSD,C2879/TasaUSD)))</f>
        <v/>
      </c>
      <c r="V2879" s="20">
        <f>IF(I2879="","",IF(IFERROR(INDEX(ctaLiq,MATCH(E2879,ctaNom,0))="Sí",FALSE),IF(OR(I2879="Gasto",I2879="Transferencia",I2879="Pago tarjeta"),-1,1)*O2879,0)+IF(AND(U2879&lt;&gt;"",IFERROR(INDEX(ctaLiq,MATCH(G2879,ctaNom,0))="Sí",FALSE)),O2879,0))</f>
        <v/>
      </c>
      <c r="W2879" s="19">
        <f>IF(OR(F2879="",I2879=""),"",IF(COUNTIFS(F$6:F2879,F2879,I$6:I2879,"?*")=1,MAX(W$5:W2878)+1,""))</f>
        <v/>
      </c>
    </row>
    <row r="2880">
      <c r="B2880" s="15" t="n"/>
      <c r="C2880" s="16" t="n"/>
      <c r="D2880" s="17" t="n"/>
      <c r="E2880" s="17" t="n"/>
      <c r="F2880" s="17" t="n"/>
      <c r="G2880" s="17" t="n"/>
      <c r="H2880" s="18">
        <f>IF(AND(B2880="",C2880="",D2880="",E2880=""),"",IF(B2880="","⚠ Falta fecha",IF(C2880="","⚠ Falta monto",IF(D2880="","⚠ Falta categoría",IF(ISNA(MATCH(D2880,catNom,0)),"⚠ Categoría no existe",IF(E2880="","⚠ Falta cuenta",IF(ISNA(MATCH(E2880,ctaNom,0)),"⚠ Cuenta no existe",IF(AND(OR(I2880="Transferencia",I2880="Pago tarjeta"),G2880=""),"⚠ Indica la cuenta «Hacia»",IF(AND(G2880&lt;&gt;"",G2880=E2880),"⚠ «Hacia» igual a la cuenta",IF(AND(G2880&lt;&gt;"",ISNA(MATCH(G2880,ctaNom,0))),"⚠ «Hacia» no existe",IF(AND(I2880="Pago tarjeta",IFERROR(INDEX(ctaTipo,MATCH(G2880,ctaNom,0)),"")&lt;&gt;"Tarjeta de crédito"),"⚠ «Hacia» debe ser la tarjeta",IF(AND(I2880="Trading",IFERROR(INDEX(ctaTipo,MATCH(E2880,ctaNom,0)),"")&lt;&gt;"Cuenta de trading"),"⚠ Usa la cuenta de trading","✓"))))))))))))</f>
        <v/>
      </c>
      <c r="I2880" s="19">
        <f>IF(OR(B2880="",C2880="",D2880=""),"",IFERROR(INDEX(catTipo,MATCH(D2880,catNom,0))&amp;"",""))</f>
        <v/>
      </c>
      <c r="J2880" s="19">
        <f>IF(I2880="","",IFERROR(INDEX(catGrupo,MATCH(D2880,catNom,0))&amp;"",""))</f>
        <v/>
      </c>
      <c r="K2880" s="19">
        <f>IF(I2880="Gasto",IF(IFERROR(INDEX(catClas,MATCH(D2880,catNom,0))&amp;"","")="","Variable",IFERROR(INDEX(catClas,MATCH(D2880,catNom,0))&amp;"","")),"")</f>
        <v/>
      </c>
      <c r="L2880" s="19">
        <f>IF(I2880="","",IFERROR(INDEX(catAlim,MATCH(D2880,catNom,0))&amp;"",""))</f>
        <v/>
      </c>
      <c r="M2880" s="19">
        <f>IF(I2880="","",IFERROR(INDEX(catComida,MATCH(D2880,catNom,0))&amp;"",""))</f>
        <v/>
      </c>
      <c r="N2880" s="19">
        <f>IF(I2880="","",IFERROR(INDEX(ctaMon,MATCH(E2880,ctaNom,0))&amp;"","DOP"))</f>
        <v/>
      </c>
      <c r="O2880" s="20">
        <f>IF(I2880="","",C2880*IF(N2880="USD",TasaUSD,1))</f>
        <v/>
      </c>
      <c r="P2880" s="20">
        <f>IF(I2880="","",IF(I2880="Gasto",O2880,0))</f>
        <v/>
      </c>
      <c r="Q2880" s="20">
        <f>IF(I2880="","",IF(I2880="Ingreso",O2880,0))</f>
        <v/>
      </c>
      <c r="R2880" s="20">
        <f>IF(I2880="","",IF(I2880="Trading",O2880,0))</f>
        <v/>
      </c>
      <c r="S2880" s="19">
        <f>IF(I2880="","",IF(AND(I2880="Gasto",K2880="Variable",J2880&lt;&gt;"Trading",O2880&gt;0,O2880&lt;=Umbral),1,0))</f>
        <v/>
      </c>
      <c r="T2880" s="20">
        <f>IF(OR(I2880="",E2880=""),"",IF(OR(I2880="Gasto",I2880="Transferencia",I2880="Pago tarjeta"),-1,1)*C2880)</f>
        <v/>
      </c>
      <c r="U2880" s="20">
        <f>IF(OR(G2880="",AND(I2880&lt;&gt;"Transferencia",I2880&lt;&gt;"Pago tarjeta")),"",IF(IFERROR(INDEX(ctaMon,MATCH(G2880,ctaNom,0))&amp;"","DOP")=N2880,C2880,IF(N2880="USD",C2880*TasaUSD,C2880/TasaUSD)))</f>
        <v/>
      </c>
      <c r="V2880" s="20">
        <f>IF(I2880="","",IF(IFERROR(INDEX(ctaLiq,MATCH(E2880,ctaNom,0))="Sí",FALSE),IF(OR(I2880="Gasto",I2880="Transferencia",I2880="Pago tarjeta"),-1,1)*O2880,0)+IF(AND(U2880&lt;&gt;"",IFERROR(INDEX(ctaLiq,MATCH(G2880,ctaNom,0))="Sí",FALSE)),O2880,0))</f>
        <v/>
      </c>
      <c r="W2880" s="19">
        <f>IF(OR(F2880="",I2880=""),"",IF(COUNTIFS(F$6:F2880,F2880,I$6:I2880,"?*")=1,MAX(W$5:W2879)+1,""))</f>
        <v/>
      </c>
    </row>
    <row r="2881">
      <c r="B2881" s="15" t="n"/>
      <c r="C2881" s="16" t="n"/>
      <c r="D2881" s="17" t="n"/>
      <c r="E2881" s="17" t="n"/>
      <c r="F2881" s="17" t="n"/>
      <c r="G2881" s="17" t="n"/>
      <c r="H2881" s="18">
        <f>IF(AND(B2881="",C2881="",D2881="",E2881=""),"",IF(B2881="","⚠ Falta fecha",IF(C2881="","⚠ Falta monto",IF(D2881="","⚠ Falta categoría",IF(ISNA(MATCH(D2881,catNom,0)),"⚠ Categoría no existe",IF(E2881="","⚠ Falta cuenta",IF(ISNA(MATCH(E2881,ctaNom,0)),"⚠ Cuenta no existe",IF(AND(OR(I2881="Transferencia",I2881="Pago tarjeta"),G2881=""),"⚠ Indica la cuenta «Hacia»",IF(AND(G2881&lt;&gt;"",G2881=E2881),"⚠ «Hacia» igual a la cuenta",IF(AND(G2881&lt;&gt;"",ISNA(MATCH(G2881,ctaNom,0))),"⚠ «Hacia» no existe",IF(AND(I2881="Pago tarjeta",IFERROR(INDEX(ctaTipo,MATCH(G2881,ctaNom,0)),"")&lt;&gt;"Tarjeta de crédito"),"⚠ «Hacia» debe ser la tarjeta",IF(AND(I2881="Trading",IFERROR(INDEX(ctaTipo,MATCH(E2881,ctaNom,0)),"")&lt;&gt;"Cuenta de trading"),"⚠ Usa la cuenta de trading","✓"))))))))))))</f>
        <v/>
      </c>
      <c r="I2881" s="19">
        <f>IF(OR(B2881="",C2881="",D2881=""),"",IFERROR(INDEX(catTipo,MATCH(D2881,catNom,0))&amp;"",""))</f>
        <v/>
      </c>
      <c r="J2881" s="19">
        <f>IF(I2881="","",IFERROR(INDEX(catGrupo,MATCH(D2881,catNom,0))&amp;"",""))</f>
        <v/>
      </c>
      <c r="K2881" s="19">
        <f>IF(I2881="Gasto",IF(IFERROR(INDEX(catClas,MATCH(D2881,catNom,0))&amp;"","")="","Variable",IFERROR(INDEX(catClas,MATCH(D2881,catNom,0))&amp;"","")),"")</f>
        <v/>
      </c>
      <c r="L2881" s="19">
        <f>IF(I2881="","",IFERROR(INDEX(catAlim,MATCH(D2881,catNom,0))&amp;"",""))</f>
        <v/>
      </c>
      <c r="M2881" s="19">
        <f>IF(I2881="","",IFERROR(INDEX(catComida,MATCH(D2881,catNom,0))&amp;"",""))</f>
        <v/>
      </c>
      <c r="N2881" s="19">
        <f>IF(I2881="","",IFERROR(INDEX(ctaMon,MATCH(E2881,ctaNom,0))&amp;"","DOP"))</f>
        <v/>
      </c>
      <c r="O2881" s="20">
        <f>IF(I2881="","",C2881*IF(N2881="USD",TasaUSD,1))</f>
        <v/>
      </c>
      <c r="P2881" s="20">
        <f>IF(I2881="","",IF(I2881="Gasto",O2881,0))</f>
        <v/>
      </c>
      <c r="Q2881" s="20">
        <f>IF(I2881="","",IF(I2881="Ingreso",O2881,0))</f>
        <v/>
      </c>
      <c r="R2881" s="20">
        <f>IF(I2881="","",IF(I2881="Trading",O2881,0))</f>
        <v/>
      </c>
      <c r="S2881" s="19">
        <f>IF(I2881="","",IF(AND(I2881="Gasto",K2881="Variable",J2881&lt;&gt;"Trading",O2881&gt;0,O2881&lt;=Umbral),1,0))</f>
        <v/>
      </c>
      <c r="T2881" s="20">
        <f>IF(OR(I2881="",E2881=""),"",IF(OR(I2881="Gasto",I2881="Transferencia",I2881="Pago tarjeta"),-1,1)*C2881)</f>
        <v/>
      </c>
      <c r="U2881" s="20">
        <f>IF(OR(G2881="",AND(I2881&lt;&gt;"Transferencia",I2881&lt;&gt;"Pago tarjeta")),"",IF(IFERROR(INDEX(ctaMon,MATCH(G2881,ctaNom,0))&amp;"","DOP")=N2881,C2881,IF(N2881="USD",C2881*TasaUSD,C2881/TasaUSD)))</f>
        <v/>
      </c>
      <c r="V2881" s="20">
        <f>IF(I2881="","",IF(IFERROR(INDEX(ctaLiq,MATCH(E2881,ctaNom,0))="Sí",FALSE),IF(OR(I2881="Gasto",I2881="Transferencia",I2881="Pago tarjeta"),-1,1)*O2881,0)+IF(AND(U2881&lt;&gt;"",IFERROR(INDEX(ctaLiq,MATCH(G2881,ctaNom,0))="Sí",FALSE)),O2881,0))</f>
        <v/>
      </c>
      <c r="W2881" s="19">
        <f>IF(OR(F2881="",I2881=""),"",IF(COUNTIFS(F$6:F2881,F2881,I$6:I2881,"?*")=1,MAX(W$5:W2880)+1,""))</f>
        <v/>
      </c>
    </row>
    <row r="2882">
      <c r="B2882" s="15" t="n"/>
      <c r="C2882" s="16" t="n"/>
      <c r="D2882" s="17" t="n"/>
      <c r="E2882" s="17" t="n"/>
      <c r="F2882" s="17" t="n"/>
      <c r="G2882" s="17" t="n"/>
      <c r="H2882" s="18">
        <f>IF(AND(B2882="",C2882="",D2882="",E2882=""),"",IF(B2882="","⚠ Falta fecha",IF(C2882="","⚠ Falta monto",IF(D2882="","⚠ Falta categoría",IF(ISNA(MATCH(D2882,catNom,0)),"⚠ Categoría no existe",IF(E2882="","⚠ Falta cuenta",IF(ISNA(MATCH(E2882,ctaNom,0)),"⚠ Cuenta no existe",IF(AND(OR(I2882="Transferencia",I2882="Pago tarjeta"),G2882=""),"⚠ Indica la cuenta «Hacia»",IF(AND(G2882&lt;&gt;"",G2882=E2882),"⚠ «Hacia» igual a la cuenta",IF(AND(G2882&lt;&gt;"",ISNA(MATCH(G2882,ctaNom,0))),"⚠ «Hacia» no existe",IF(AND(I2882="Pago tarjeta",IFERROR(INDEX(ctaTipo,MATCH(G2882,ctaNom,0)),"")&lt;&gt;"Tarjeta de crédito"),"⚠ «Hacia» debe ser la tarjeta",IF(AND(I2882="Trading",IFERROR(INDEX(ctaTipo,MATCH(E2882,ctaNom,0)),"")&lt;&gt;"Cuenta de trading"),"⚠ Usa la cuenta de trading","✓"))))))))))))</f>
        <v/>
      </c>
      <c r="I2882" s="19">
        <f>IF(OR(B2882="",C2882="",D2882=""),"",IFERROR(INDEX(catTipo,MATCH(D2882,catNom,0))&amp;"",""))</f>
        <v/>
      </c>
      <c r="J2882" s="19">
        <f>IF(I2882="","",IFERROR(INDEX(catGrupo,MATCH(D2882,catNom,0))&amp;"",""))</f>
        <v/>
      </c>
      <c r="K2882" s="19">
        <f>IF(I2882="Gasto",IF(IFERROR(INDEX(catClas,MATCH(D2882,catNom,0))&amp;"","")="","Variable",IFERROR(INDEX(catClas,MATCH(D2882,catNom,0))&amp;"","")),"")</f>
        <v/>
      </c>
      <c r="L2882" s="19">
        <f>IF(I2882="","",IFERROR(INDEX(catAlim,MATCH(D2882,catNom,0))&amp;"",""))</f>
        <v/>
      </c>
      <c r="M2882" s="19">
        <f>IF(I2882="","",IFERROR(INDEX(catComida,MATCH(D2882,catNom,0))&amp;"",""))</f>
        <v/>
      </c>
      <c r="N2882" s="19">
        <f>IF(I2882="","",IFERROR(INDEX(ctaMon,MATCH(E2882,ctaNom,0))&amp;"","DOP"))</f>
        <v/>
      </c>
      <c r="O2882" s="20">
        <f>IF(I2882="","",C2882*IF(N2882="USD",TasaUSD,1))</f>
        <v/>
      </c>
      <c r="P2882" s="20">
        <f>IF(I2882="","",IF(I2882="Gasto",O2882,0))</f>
        <v/>
      </c>
      <c r="Q2882" s="20">
        <f>IF(I2882="","",IF(I2882="Ingreso",O2882,0))</f>
        <v/>
      </c>
      <c r="R2882" s="20">
        <f>IF(I2882="","",IF(I2882="Trading",O2882,0))</f>
        <v/>
      </c>
      <c r="S2882" s="19">
        <f>IF(I2882="","",IF(AND(I2882="Gasto",K2882="Variable",J2882&lt;&gt;"Trading",O2882&gt;0,O2882&lt;=Umbral),1,0))</f>
        <v/>
      </c>
      <c r="T2882" s="20">
        <f>IF(OR(I2882="",E2882=""),"",IF(OR(I2882="Gasto",I2882="Transferencia",I2882="Pago tarjeta"),-1,1)*C2882)</f>
        <v/>
      </c>
      <c r="U2882" s="20">
        <f>IF(OR(G2882="",AND(I2882&lt;&gt;"Transferencia",I2882&lt;&gt;"Pago tarjeta")),"",IF(IFERROR(INDEX(ctaMon,MATCH(G2882,ctaNom,0))&amp;"","DOP")=N2882,C2882,IF(N2882="USD",C2882*TasaUSD,C2882/TasaUSD)))</f>
        <v/>
      </c>
      <c r="V2882" s="20">
        <f>IF(I2882="","",IF(IFERROR(INDEX(ctaLiq,MATCH(E2882,ctaNom,0))="Sí",FALSE),IF(OR(I2882="Gasto",I2882="Transferencia",I2882="Pago tarjeta"),-1,1)*O2882,0)+IF(AND(U2882&lt;&gt;"",IFERROR(INDEX(ctaLiq,MATCH(G2882,ctaNom,0))="Sí",FALSE)),O2882,0))</f>
        <v/>
      </c>
      <c r="W2882" s="19">
        <f>IF(OR(F2882="",I2882=""),"",IF(COUNTIFS(F$6:F2882,F2882,I$6:I2882,"?*")=1,MAX(W$5:W2881)+1,""))</f>
        <v/>
      </c>
    </row>
    <row r="2883">
      <c r="B2883" s="15" t="n"/>
      <c r="C2883" s="16" t="n"/>
      <c r="D2883" s="17" t="n"/>
      <c r="E2883" s="17" t="n"/>
      <c r="F2883" s="17" t="n"/>
      <c r="G2883" s="17" t="n"/>
      <c r="H2883" s="18">
        <f>IF(AND(B2883="",C2883="",D2883="",E2883=""),"",IF(B2883="","⚠ Falta fecha",IF(C2883="","⚠ Falta monto",IF(D2883="","⚠ Falta categoría",IF(ISNA(MATCH(D2883,catNom,0)),"⚠ Categoría no existe",IF(E2883="","⚠ Falta cuenta",IF(ISNA(MATCH(E2883,ctaNom,0)),"⚠ Cuenta no existe",IF(AND(OR(I2883="Transferencia",I2883="Pago tarjeta"),G2883=""),"⚠ Indica la cuenta «Hacia»",IF(AND(G2883&lt;&gt;"",G2883=E2883),"⚠ «Hacia» igual a la cuenta",IF(AND(G2883&lt;&gt;"",ISNA(MATCH(G2883,ctaNom,0))),"⚠ «Hacia» no existe",IF(AND(I2883="Pago tarjeta",IFERROR(INDEX(ctaTipo,MATCH(G2883,ctaNom,0)),"")&lt;&gt;"Tarjeta de crédito"),"⚠ «Hacia» debe ser la tarjeta",IF(AND(I2883="Trading",IFERROR(INDEX(ctaTipo,MATCH(E2883,ctaNom,0)),"")&lt;&gt;"Cuenta de trading"),"⚠ Usa la cuenta de trading","✓"))))))))))))</f>
        <v/>
      </c>
      <c r="I2883" s="19">
        <f>IF(OR(B2883="",C2883="",D2883=""),"",IFERROR(INDEX(catTipo,MATCH(D2883,catNom,0))&amp;"",""))</f>
        <v/>
      </c>
      <c r="J2883" s="19">
        <f>IF(I2883="","",IFERROR(INDEX(catGrupo,MATCH(D2883,catNom,0))&amp;"",""))</f>
        <v/>
      </c>
      <c r="K2883" s="19">
        <f>IF(I2883="Gasto",IF(IFERROR(INDEX(catClas,MATCH(D2883,catNom,0))&amp;"","")="","Variable",IFERROR(INDEX(catClas,MATCH(D2883,catNom,0))&amp;"","")),"")</f>
        <v/>
      </c>
      <c r="L2883" s="19">
        <f>IF(I2883="","",IFERROR(INDEX(catAlim,MATCH(D2883,catNom,0))&amp;"",""))</f>
        <v/>
      </c>
      <c r="M2883" s="19">
        <f>IF(I2883="","",IFERROR(INDEX(catComida,MATCH(D2883,catNom,0))&amp;"",""))</f>
        <v/>
      </c>
      <c r="N2883" s="19">
        <f>IF(I2883="","",IFERROR(INDEX(ctaMon,MATCH(E2883,ctaNom,0))&amp;"","DOP"))</f>
        <v/>
      </c>
      <c r="O2883" s="20">
        <f>IF(I2883="","",C2883*IF(N2883="USD",TasaUSD,1))</f>
        <v/>
      </c>
      <c r="P2883" s="20">
        <f>IF(I2883="","",IF(I2883="Gasto",O2883,0))</f>
        <v/>
      </c>
      <c r="Q2883" s="20">
        <f>IF(I2883="","",IF(I2883="Ingreso",O2883,0))</f>
        <v/>
      </c>
      <c r="R2883" s="20">
        <f>IF(I2883="","",IF(I2883="Trading",O2883,0))</f>
        <v/>
      </c>
      <c r="S2883" s="19">
        <f>IF(I2883="","",IF(AND(I2883="Gasto",K2883="Variable",J2883&lt;&gt;"Trading",O2883&gt;0,O2883&lt;=Umbral),1,0))</f>
        <v/>
      </c>
      <c r="T2883" s="20">
        <f>IF(OR(I2883="",E2883=""),"",IF(OR(I2883="Gasto",I2883="Transferencia",I2883="Pago tarjeta"),-1,1)*C2883)</f>
        <v/>
      </c>
      <c r="U2883" s="20">
        <f>IF(OR(G2883="",AND(I2883&lt;&gt;"Transferencia",I2883&lt;&gt;"Pago tarjeta")),"",IF(IFERROR(INDEX(ctaMon,MATCH(G2883,ctaNom,0))&amp;"","DOP")=N2883,C2883,IF(N2883="USD",C2883*TasaUSD,C2883/TasaUSD)))</f>
        <v/>
      </c>
      <c r="V2883" s="20">
        <f>IF(I2883="","",IF(IFERROR(INDEX(ctaLiq,MATCH(E2883,ctaNom,0))="Sí",FALSE),IF(OR(I2883="Gasto",I2883="Transferencia",I2883="Pago tarjeta"),-1,1)*O2883,0)+IF(AND(U2883&lt;&gt;"",IFERROR(INDEX(ctaLiq,MATCH(G2883,ctaNom,0))="Sí",FALSE)),O2883,0))</f>
        <v/>
      </c>
      <c r="W2883" s="19">
        <f>IF(OR(F2883="",I2883=""),"",IF(COUNTIFS(F$6:F2883,F2883,I$6:I2883,"?*")=1,MAX(W$5:W2882)+1,""))</f>
        <v/>
      </c>
    </row>
    <row r="2884">
      <c r="B2884" s="15" t="n"/>
      <c r="C2884" s="16" t="n"/>
      <c r="D2884" s="17" t="n"/>
      <c r="E2884" s="17" t="n"/>
      <c r="F2884" s="17" t="n"/>
      <c r="G2884" s="17" t="n"/>
      <c r="H2884" s="18">
        <f>IF(AND(B2884="",C2884="",D2884="",E2884=""),"",IF(B2884="","⚠ Falta fecha",IF(C2884="","⚠ Falta monto",IF(D2884="","⚠ Falta categoría",IF(ISNA(MATCH(D2884,catNom,0)),"⚠ Categoría no existe",IF(E2884="","⚠ Falta cuenta",IF(ISNA(MATCH(E2884,ctaNom,0)),"⚠ Cuenta no existe",IF(AND(OR(I2884="Transferencia",I2884="Pago tarjeta"),G2884=""),"⚠ Indica la cuenta «Hacia»",IF(AND(G2884&lt;&gt;"",G2884=E2884),"⚠ «Hacia» igual a la cuenta",IF(AND(G2884&lt;&gt;"",ISNA(MATCH(G2884,ctaNom,0))),"⚠ «Hacia» no existe",IF(AND(I2884="Pago tarjeta",IFERROR(INDEX(ctaTipo,MATCH(G2884,ctaNom,0)),"")&lt;&gt;"Tarjeta de crédito"),"⚠ «Hacia» debe ser la tarjeta",IF(AND(I2884="Trading",IFERROR(INDEX(ctaTipo,MATCH(E2884,ctaNom,0)),"")&lt;&gt;"Cuenta de trading"),"⚠ Usa la cuenta de trading","✓"))))))))))))</f>
        <v/>
      </c>
      <c r="I2884" s="19">
        <f>IF(OR(B2884="",C2884="",D2884=""),"",IFERROR(INDEX(catTipo,MATCH(D2884,catNom,0))&amp;"",""))</f>
        <v/>
      </c>
      <c r="J2884" s="19">
        <f>IF(I2884="","",IFERROR(INDEX(catGrupo,MATCH(D2884,catNom,0))&amp;"",""))</f>
        <v/>
      </c>
      <c r="K2884" s="19">
        <f>IF(I2884="Gasto",IF(IFERROR(INDEX(catClas,MATCH(D2884,catNom,0))&amp;"","")="","Variable",IFERROR(INDEX(catClas,MATCH(D2884,catNom,0))&amp;"","")),"")</f>
        <v/>
      </c>
      <c r="L2884" s="19">
        <f>IF(I2884="","",IFERROR(INDEX(catAlim,MATCH(D2884,catNom,0))&amp;"",""))</f>
        <v/>
      </c>
      <c r="M2884" s="19">
        <f>IF(I2884="","",IFERROR(INDEX(catComida,MATCH(D2884,catNom,0))&amp;"",""))</f>
        <v/>
      </c>
      <c r="N2884" s="19">
        <f>IF(I2884="","",IFERROR(INDEX(ctaMon,MATCH(E2884,ctaNom,0))&amp;"","DOP"))</f>
        <v/>
      </c>
      <c r="O2884" s="20">
        <f>IF(I2884="","",C2884*IF(N2884="USD",TasaUSD,1))</f>
        <v/>
      </c>
      <c r="P2884" s="20">
        <f>IF(I2884="","",IF(I2884="Gasto",O2884,0))</f>
        <v/>
      </c>
      <c r="Q2884" s="20">
        <f>IF(I2884="","",IF(I2884="Ingreso",O2884,0))</f>
        <v/>
      </c>
      <c r="R2884" s="20">
        <f>IF(I2884="","",IF(I2884="Trading",O2884,0))</f>
        <v/>
      </c>
      <c r="S2884" s="19">
        <f>IF(I2884="","",IF(AND(I2884="Gasto",K2884="Variable",J2884&lt;&gt;"Trading",O2884&gt;0,O2884&lt;=Umbral),1,0))</f>
        <v/>
      </c>
      <c r="T2884" s="20">
        <f>IF(OR(I2884="",E2884=""),"",IF(OR(I2884="Gasto",I2884="Transferencia",I2884="Pago tarjeta"),-1,1)*C2884)</f>
        <v/>
      </c>
      <c r="U2884" s="20">
        <f>IF(OR(G2884="",AND(I2884&lt;&gt;"Transferencia",I2884&lt;&gt;"Pago tarjeta")),"",IF(IFERROR(INDEX(ctaMon,MATCH(G2884,ctaNom,0))&amp;"","DOP")=N2884,C2884,IF(N2884="USD",C2884*TasaUSD,C2884/TasaUSD)))</f>
        <v/>
      </c>
      <c r="V2884" s="20">
        <f>IF(I2884="","",IF(IFERROR(INDEX(ctaLiq,MATCH(E2884,ctaNom,0))="Sí",FALSE),IF(OR(I2884="Gasto",I2884="Transferencia",I2884="Pago tarjeta"),-1,1)*O2884,0)+IF(AND(U2884&lt;&gt;"",IFERROR(INDEX(ctaLiq,MATCH(G2884,ctaNom,0))="Sí",FALSE)),O2884,0))</f>
        <v/>
      </c>
      <c r="W2884" s="19">
        <f>IF(OR(F2884="",I2884=""),"",IF(COUNTIFS(F$6:F2884,F2884,I$6:I2884,"?*")=1,MAX(W$5:W2883)+1,""))</f>
        <v/>
      </c>
    </row>
    <row r="2885">
      <c r="B2885" s="15" t="n"/>
      <c r="C2885" s="16" t="n"/>
      <c r="D2885" s="17" t="n"/>
      <c r="E2885" s="17" t="n"/>
      <c r="F2885" s="17" t="n"/>
      <c r="G2885" s="17" t="n"/>
      <c r="H2885" s="18">
        <f>IF(AND(B2885="",C2885="",D2885="",E2885=""),"",IF(B2885="","⚠ Falta fecha",IF(C2885="","⚠ Falta monto",IF(D2885="","⚠ Falta categoría",IF(ISNA(MATCH(D2885,catNom,0)),"⚠ Categoría no existe",IF(E2885="","⚠ Falta cuenta",IF(ISNA(MATCH(E2885,ctaNom,0)),"⚠ Cuenta no existe",IF(AND(OR(I2885="Transferencia",I2885="Pago tarjeta"),G2885=""),"⚠ Indica la cuenta «Hacia»",IF(AND(G2885&lt;&gt;"",G2885=E2885),"⚠ «Hacia» igual a la cuenta",IF(AND(G2885&lt;&gt;"",ISNA(MATCH(G2885,ctaNom,0))),"⚠ «Hacia» no existe",IF(AND(I2885="Pago tarjeta",IFERROR(INDEX(ctaTipo,MATCH(G2885,ctaNom,0)),"")&lt;&gt;"Tarjeta de crédito"),"⚠ «Hacia» debe ser la tarjeta",IF(AND(I2885="Trading",IFERROR(INDEX(ctaTipo,MATCH(E2885,ctaNom,0)),"")&lt;&gt;"Cuenta de trading"),"⚠ Usa la cuenta de trading","✓"))))))))))))</f>
        <v/>
      </c>
      <c r="I2885" s="19">
        <f>IF(OR(B2885="",C2885="",D2885=""),"",IFERROR(INDEX(catTipo,MATCH(D2885,catNom,0))&amp;"",""))</f>
        <v/>
      </c>
      <c r="J2885" s="19">
        <f>IF(I2885="","",IFERROR(INDEX(catGrupo,MATCH(D2885,catNom,0))&amp;"",""))</f>
        <v/>
      </c>
      <c r="K2885" s="19">
        <f>IF(I2885="Gasto",IF(IFERROR(INDEX(catClas,MATCH(D2885,catNom,0))&amp;"","")="","Variable",IFERROR(INDEX(catClas,MATCH(D2885,catNom,0))&amp;"","")),"")</f>
        <v/>
      </c>
      <c r="L2885" s="19">
        <f>IF(I2885="","",IFERROR(INDEX(catAlim,MATCH(D2885,catNom,0))&amp;"",""))</f>
        <v/>
      </c>
      <c r="M2885" s="19">
        <f>IF(I2885="","",IFERROR(INDEX(catComida,MATCH(D2885,catNom,0))&amp;"",""))</f>
        <v/>
      </c>
      <c r="N2885" s="19">
        <f>IF(I2885="","",IFERROR(INDEX(ctaMon,MATCH(E2885,ctaNom,0))&amp;"","DOP"))</f>
        <v/>
      </c>
      <c r="O2885" s="20">
        <f>IF(I2885="","",C2885*IF(N2885="USD",TasaUSD,1))</f>
        <v/>
      </c>
      <c r="P2885" s="20">
        <f>IF(I2885="","",IF(I2885="Gasto",O2885,0))</f>
        <v/>
      </c>
      <c r="Q2885" s="20">
        <f>IF(I2885="","",IF(I2885="Ingreso",O2885,0))</f>
        <v/>
      </c>
      <c r="R2885" s="20">
        <f>IF(I2885="","",IF(I2885="Trading",O2885,0))</f>
        <v/>
      </c>
      <c r="S2885" s="19">
        <f>IF(I2885="","",IF(AND(I2885="Gasto",K2885="Variable",J2885&lt;&gt;"Trading",O2885&gt;0,O2885&lt;=Umbral),1,0))</f>
        <v/>
      </c>
      <c r="T2885" s="20">
        <f>IF(OR(I2885="",E2885=""),"",IF(OR(I2885="Gasto",I2885="Transferencia",I2885="Pago tarjeta"),-1,1)*C2885)</f>
        <v/>
      </c>
      <c r="U2885" s="20">
        <f>IF(OR(G2885="",AND(I2885&lt;&gt;"Transferencia",I2885&lt;&gt;"Pago tarjeta")),"",IF(IFERROR(INDEX(ctaMon,MATCH(G2885,ctaNom,0))&amp;"","DOP")=N2885,C2885,IF(N2885="USD",C2885*TasaUSD,C2885/TasaUSD)))</f>
        <v/>
      </c>
      <c r="V2885" s="20">
        <f>IF(I2885="","",IF(IFERROR(INDEX(ctaLiq,MATCH(E2885,ctaNom,0))="Sí",FALSE),IF(OR(I2885="Gasto",I2885="Transferencia",I2885="Pago tarjeta"),-1,1)*O2885,0)+IF(AND(U2885&lt;&gt;"",IFERROR(INDEX(ctaLiq,MATCH(G2885,ctaNom,0))="Sí",FALSE)),O2885,0))</f>
        <v/>
      </c>
      <c r="W2885" s="19">
        <f>IF(OR(F2885="",I2885=""),"",IF(COUNTIFS(F$6:F2885,F2885,I$6:I2885,"?*")=1,MAX(W$5:W2884)+1,""))</f>
        <v/>
      </c>
    </row>
    <row r="2886">
      <c r="B2886" s="15" t="n"/>
      <c r="C2886" s="16" t="n"/>
      <c r="D2886" s="17" t="n"/>
      <c r="E2886" s="17" t="n"/>
      <c r="F2886" s="17" t="n"/>
      <c r="G2886" s="17" t="n"/>
      <c r="H2886" s="18">
        <f>IF(AND(B2886="",C2886="",D2886="",E2886=""),"",IF(B2886="","⚠ Falta fecha",IF(C2886="","⚠ Falta monto",IF(D2886="","⚠ Falta categoría",IF(ISNA(MATCH(D2886,catNom,0)),"⚠ Categoría no existe",IF(E2886="","⚠ Falta cuenta",IF(ISNA(MATCH(E2886,ctaNom,0)),"⚠ Cuenta no existe",IF(AND(OR(I2886="Transferencia",I2886="Pago tarjeta"),G2886=""),"⚠ Indica la cuenta «Hacia»",IF(AND(G2886&lt;&gt;"",G2886=E2886),"⚠ «Hacia» igual a la cuenta",IF(AND(G2886&lt;&gt;"",ISNA(MATCH(G2886,ctaNom,0))),"⚠ «Hacia» no existe",IF(AND(I2886="Pago tarjeta",IFERROR(INDEX(ctaTipo,MATCH(G2886,ctaNom,0)),"")&lt;&gt;"Tarjeta de crédito"),"⚠ «Hacia» debe ser la tarjeta",IF(AND(I2886="Trading",IFERROR(INDEX(ctaTipo,MATCH(E2886,ctaNom,0)),"")&lt;&gt;"Cuenta de trading"),"⚠ Usa la cuenta de trading","✓"))))))))))))</f>
        <v/>
      </c>
      <c r="I2886" s="19">
        <f>IF(OR(B2886="",C2886="",D2886=""),"",IFERROR(INDEX(catTipo,MATCH(D2886,catNom,0))&amp;"",""))</f>
        <v/>
      </c>
      <c r="J2886" s="19">
        <f>IF(I2886="","",IFERROR(INDEX(catGrupo,MATCH(D2886,catNom,0))&amp;"",""))</f>
        <v/>
      </c>
      <c r="K2886" s="19">
        <f>IF(I2886="Gasto",IF(IFERROR(INDEX(catClas,MATCH(D2886,catNom,0))&amp;"","")="","Variable",IFERROR(INDEX(catClas,MATCH(D2886,catNom,0))&amp;"","")),"")</f>
        <v/>
      </c>
      <c r="L2886" s="19">
        <f>IF(I2886="","",IFERROR(INDEX(catAlim,MATCH(D2886,catNom,0))&amp;"",""))</f>
        <v/>
      </c>
      <c r="M2886" s="19">
        <f>IF(I2886="","",IFERROR(INDEX(catComida,MATCH(D2886,catNom,0))&amp;"",""))</f>
        <v/>
      </c>
      <c r="N2886" s="19">
        <f>IF(I2886="","",IFERROR(INDEX(ctaMon,MATCH(E2886,ctaNom,0))&amp;"","DOP"))</f>
        <v/>
      </c>
      <c r="O2886" s="20">
        <f>IF(I2886="","",C2886*IF(N2886="USD",TasaUSD,1))</f>
        <v/>
      </c>
      <c r="P2886" s="20">
        <f>IF(I2886="","",IF(I2886="Gasto",O2886,0))</f>
        <v/>
      </c>
      <c r="Q2886" s="20">
        <f>IF(I2886="","",IF(I2886="Ingreso",O2886,0))</f>
        <v/>
      </c>
      <c r="R2886" s="20">
        <f>IF(I2886="","",IF(I2886="Trading",O2886,0))</f>
        <v/>
      </c>
      <c r="S2886" s="19">
        <f>IF(I2886="","",IF(AND(I2886="Gasto",K2886="Variable",J2886&lt;&gt;"Trading",O2886&gt;0,O2886&lt;=Umbral),1,0))</f>
        <v/>
      </c>
      <c r="T2886" s="20">
        <f>IF(OR(I2886="",E2886=""),"",IF(OR(I2886="Gasto",I2886="Transferencia",I2886="Pago tarjeta"),-1,1)*C2886)</f>
        <v/>
      </c>
      <c r="U2886" s="20">
        <f>IF(OR(G2886="",AND(I2886&lt;&gt;"Transferencia",I2886&lt;&gt;"Pago tarjeta")),"",IF(IFERROR(INDEX(ctaMon,MATCH(G2886,ctaNom,0))&amp;"","DOP")=N2886,C2886,IF(N2886="USD",C2886*TasaUSD,C2886/TasaUSD)))</f>
        <v/>
      </c>
      <c r="V2886" s="20">
        <f>IF(I2886="","",IF(IFERROR(INDEX(ctaLiq,MATCH(E2886,ctaNom,0))="Sí",FALSE),IF(OR(I2886="Gasto",I2886="Transferencia",I2886="Pago tarjeta"),-1,1)*O2886,0)+IF(AND(U2886&lt;&gt;"",IFERROR(INDEX(ctaLiq,MATCH(G2886,ctaNom,0))="Sí",FALSE)),O2886,0))</f>
        <v/>
      </c>
      <c r="W2886" s="19">
        <f>IF(OR(F2886="",I2886=""),"",IF(COUNTIFS(F$6:F2886,F2886,I$6:I2886,"?*")=1,MAX(W$5:W2885)+1,""))</f>
        <v/>
      </c>
    </row>
    <row r="2887">
      <c r="B2887" s="15" t="n"/>
      <c r="C2887" s="16" t="n"/>
      <c r="D2887" s="17" t="n"/>
      <c r="E2887" s="17" t="n"/>
      <c r="F2887" s="17" t="n"/>
      <c r="G2887" s="17" t="n"/>
      <c r="H2887" s="18">
        <f>IF(AND(B2887="",C2887="",D2887="",E2887=""),"",IF(B2887="","⚠ Falta fecha",IF(C2887="","⚠ Falta monto",IF(D2887="","⚠ Falta categoría",IF(ISNA(MATCH(D2887,catNom,0)),"⚠ Categoría no existe",IF(E2887="","⚠ Falta cuenta",IF(ISNA(MATCH(E2887,ctaNom,0)),"⚠ Cuenta no existe",IF(AND(OR(I2887="Transferencia",I2887="Pago tarjeta"),G2887=""),"⚠ Indica la cuenta «Hacia»",IF(AND(G2887&lt;&gt;"",G2887=E2887),"⚠ «Hacia» igual a la cuenta",IF(AND(G2887&lt;&gt;"",ISNA(MATCH(G2887,ctaNom,0))),"⚠ «Hacia» no existe",IF(AND(I2887="Pago tarjeta",IFERROR(INDEX(ctaTipo,MATCH(G2887,ctaNom,0)),"")&lt;&gt;"Tarjeta de crédito"),"⚠ «Hacia» debe ser la tarjeta",IF(AND(I2887="Trading",IFERROR(INDEX(ctaTipo,MATCH(E2887,ctaNom,0)),"")&lt;&gt;"Cuenta de trading"),"⚠ Usa la cuenta de trading","✓"))))))))))))</f>
        <v/>
      </c>
      <c r="I2887" s="19">
        <f>IF(OR(B2887="",C2887="",D2887=""),"",IFERROR(INDEX(catTipo,MATCH(D2887,catNom,0))&amp;"",""))</f>
        <v/>
      </c>
      <c r="J2887" s="19">
        <f>IF(I2887="","",IFERROR(INDEX(catGrupo,MATCH(D2887,catNom,0))&amp;"",""))</f>
        <v/>
      </c>
      <c r="K2887" s="19">
        <f>IF(I2887="Gasto",IF(IFERROR(INDEX(catClas,MATCH(D2887,catNom,0))&amp;"","")="","Variable",IFERROR(INDEX(catClas,MATCH(D2887,catNom,0))&amp;"","")),"")</f>
        <v/>
      </c>
      <c r="L2887" s="19">
        <f>IF(I2887="","",IFERROR(INDEX(catAlim,MATCH(D2887,catNom,0))&amp;"",""))</f>
        <v/>
      </c>
      <c r="M2887" s="19">
        <f>IF(I2887="","",IFERROR(INDEX(catComida,MATCH(D2887,catNom,0))&amp;"",""))</f>
        <v/>
      </c>
      <c r="N2887" s="19">
        <f>IF(I2887="","",IFERROR(INDEX(ctaMon,MATCH(E2887,ctaNom,0))&amp;"","DOP"))</f>
        <v/>
      </c>
      <c r="O2887" s="20">
        <f>IF(I2887="","",C2887*IF(N2887="USD",TasaUSD,1))</f>
        <v/>
      </c>
      <c r="P2887" s="20">
        <f>IF(I2887="","",IF(I2887="Gasto",O2887,0))</f>
        <v/>
      </c>
      <c r="Q2887" s="20">
        <f>IF(I2887="","",IF(I2887="Ingreso",O2887,0))</f>
        <v/>
      </c>
      <c r="R2887" s="20">
        <f>IF(I2887="","",IF(I2887="Trading",O2887,0))</f>
        <v/>
      </c>
      <c r="S2887" s="19">
        <f>IF(I2887="","",IF(AND(I2887="Gasto",K2887="Variable",J2887&lt;&gt;"Trading",O2887&gt;0,O2887&lt;=Umbral),1,0))</f>
        <v/>
      </c>
      <c r="T2887" s="20">
        <f>IF(OR(I2887="",E2887=""),"",IF(OR(I2887="Gasto",I2887="Transferencia",I2887="Pago tarjeta"),-1,1)*C2887)</f>
        <v/>
      </c>
      <c r="U2887" s="20">
        <f>IF(OR(G2887="",AND(I2887&lt;&gt;"Transferencia",I2887&lt;&gt;"Pago tarjeta")),"",IF(IFERROR(INDEX(ctaMon,MATCH(G2887,ctaNom,0))&amp;"","DOP")=N2887,C2887,IF(N2887="USD",C2887*TasaUSD,C2887/TasaUSD)))</f>
        <v/>
      </c>
      <c r="V2887" s="20">
        <f>IF(I2887="","",IF(IFERROR(INDEX(ctaLiq,MATCH(E2887,ctaNom,0))="Sí",FALSE),IF(OR(I2887="Gasto",I2887="Transferencia",I2887="Pago tarjeta"),-1,1)*O2887,0)+IF(AND(U2887&lt;&gt;"",IFERROR(INDEX(ctaLiq,MATCH(G2887,ctaNom,0))="Sí",FALSE)),O2887,0))</f>
        <v/>
      </c>
      <c r="W2887" s="19">
        <f>IF(OR(F2887="",I2887=""),"",IF(COUNTIFS(F$6:F2887,F2887,I$6:I2887,"?*")=1,MAX(W$5:W2886)+1,""))</f>
        <v/>
      </c>
    </row>
    <row r="2888">
      <c r="B2888" s="15" t="n"/>
      <c r="C2888" s="16" t="n"/>
      <c r="D2888" s="17" t="n"/>
      <c r="E2888" s="17" t="n"/>
      <c r="F2888" s="17" t="n"/>
      <c r="G2888" s="17" t="n"/>
      <c r="H2888" s="18">
        <f>IF(AND(B2888="",C2888="",D2888="",E2888=""),"",IF(B2888="","⚠ Falta fecha",IF(C2888="","⚠ Falta monto",IF(D2888="","⚠ Falta categoría",IF(ISNA(MATCH(D2888,catNom,0)),"⚠ Categoría no existe",IF(E2888="","⚠ Falta cuenta",IF(ISNA(MATCH(E2888,ctaNom,0)),"⚠ Cuenta no existe",IF(AND(OR(I2888="Transferencia",I2888="Pago tarjeta"),G2888=""),"⚠ Indica la cuenta «Hacia»",IF(AND(G2888&lt;&gt;"",G2888=E2888),"⚠ «Hacia» igual a la cuenta",IF(AND(G2888&lt;&gt;"",ISNA(MATCH(G2888,ctaNom,0))),"⚠ «Hacia» no existe",IF(AND(I2888="Pago tarjeta",IFERROR(INDEX(ctaTipo,MATCH(G2888,ctaNom,0)),"")&lt;&gt;"Tarjeta de crédito"),"⚠ «Hacia» debe ser la tarjeta",IF(AND(I2888="Trading",IFERROR(INDEX(ctaTipo,MATCH(E2888,ctaNom,0)),"")&lt;&gt;"Cuenta de trading"),"⚠ Usa la cuenta de trading","✓"))))))))))))</f>
        <v/>
      </c>
      <c r="I2888" s="19">
        <f>IF(OR(B2888="",C2888="",D2888=""),"",IFERROR(INDEX(catTipo,MATCH(D2888,catNom,0))&amp;"",""))</f>
        <v/>
      </c>
      <c r="J2888" s="19">
        <f>IF(I2888="","",IFERROR(INDEX(catGrupo,MATCH(D2888,catNom,0))&amp;"",""))</f>
        <v/>
      </c>
      <c r="K2888" s="19">
        <f>IF(I2888="Gasto",IF(IFERROR(INDEX(catClas,MATCH(D2888,catNom,0))&amp;"","")="","Variable",IFERROR(INDEX(catClas,MATCH(D2888,catNom,0))&amp;"","")),"")</f>
        <v/>
      </c>
      <c r="L2888" s="19">
        <f>IF(I2888="","",IFERROR(INDEX(catAlim,MATCH(D2888,catNom,0))&amp;"",""))</f>
        <v/>
      </c>
      <c r="M2888" s="19">
        <f>IF(I2888="","",IFERROR(INDEX(catComida,MATCH(D2888,catNom,0))&amp;"",""))</f>
        <v/>
      </c>
      <c r="N2888" s="19">
        <f>IF(I2888="","",IFERROR(INDEX(ctaMon,MATCH(E2888,ctaNom,0))&amp;"","DOP"))</f>
        <v/>
      </c>
      <c r="O2888" s="20">
        <f>IF(I2888="","",C2888*IF(N2888="USD",TasaUSD,1))</f>
        <v/>
      </c>
      <c r="P2888" s="20">
        <f>IF(I2888="","",IF(I2888="Gasto",O2888,0))</f>
        <v/>
      </c>
      <c r="Q2888" s="20">
        <f>IF(I2888="","",IF(I2888="Ingreso",O2888,0))</f>
        <v/>
      </c>
      <c r="R2888" s="20">
        <f>IF(I2888="","",IF(I2888="Trading",O2888,0))</f>
        <v/>
      </c>
      <c r="S2888" s="19">
        <f>IF(I2888="","",IF(AND(I2888="Gasto",K2888="Variable",J2888&lt;&gt;"Trading",O2888&gt;0,O2888&lt;=Umbral),1,0))</f>
        <v/>
      </c>
      <c r="T2888" s="20">
        <f>IF(OR(I2888="",E2888=""),"",IF(OR(I2888="Gasto",I2888="Transferencia",I2888="Pago tarjeta"),-1,1)*C2888)</f>
        <v/>
      </c>
      <c r="U2888" s="20">
        <f>IF(OR(G2888="",AND(I2888&lt;&gt;"Transferencia",I2888&lt;&gt;"Pago tarjeta")),"",IF(IFERROR(INDEX(ctaMon,MATCH(G2888,ctaNom,0))&amp;"","DOP")=N2888,C2888,IF(N2888="USD",C2888*TasaUSD,C2888/TasaUSD)))</f>
        <v/>
      </c>
      <c r="V2888" s="20">
        <f>IF(I2888="","",IF(IFERROR(INDEX(ctaLiq,MATCH(E2888,ctaNom,0))="Sí",FALSE),IF(OR(I2888="Gasto",I2888="Transferencia",I2888="Pago tarjeta"),-1,1)*O2888,0)+IF(AND(U2888&lt;&gt;"",IFERROR(INDEX(ctaLiq,MATCH(G2888,ctaNom,0))="Sí",FALSE)),O2888,0))</f>
        <v/>
      </c>
      <c r="W2888" s="19">
        <f>IF(OR(F2888="",I2888=""),"",IF(COUNTIFS(F$6:F2888,F2888,I$6:I2888,"?*")=1,MAX(W$5:W2887)+1,""))</f>
        <v/>
      </c>
    </row>
    <row r="2889">
      <c r="B2889" s="15" t="n"/>
      <c r="C2889" s="16" t="n"/>
      <c r="D2889" s="17" t="n"/>
      <c r="E2889" s="17" t="n"/>
      <c r="F2889" s="17" t="n"/>
      <c r="G2889" s="17" t="n"/>
      <c r="H2889" s="18">
        <f>IF(AND(B2889="",C2889="",D2889="",E2889=""),"",IF(B2889="","⚠ Falta fecha",IF(C2889="","⚠ Falta monto",IF(D2889="","⚠ Falta categoría",IF(ISNA(MATCH(D2889,catNom,0)),"⚠ Categoría no existe",IF(E2889="","⚠ Falta cuenta",IF(ISNA(MATCH(E2889,ctaNom,0)),"⚠ Cuenta no existe",IF(AND(OR(I2889="Transferencia",I2889="Pago tarjeta"),G2889=""),"⚠ Indica la cuenta «Hacia»",IF(AND(G2889&lt;&gt;"",G2889=E2889),"⚠ «Hacia» igual a la cuenta",IF(AND(G2889&lt;&gt;"",ISNA(MATCH(G2889,ctaNom,0))),"⚠ «Hacia» no existe",IF(AND(I2889="Pago tarjeta",IFERROR(INDEX(ctaTipo,MATCH(G2889,ctaNom,0)),"")&lt;&gt;"Tarjeta de crédito"),"⚠ «Hacia» debe ser la tarjeta",IF(AND(I2889="Trading",IFERROR(INDEX(ctaTipo,MATCH(E2889,ctaNom,0)),"")&lt;&gt;"Cuenta de trading"),"⚠ Usa la cuenta de trading","✓"))))))))))))</f>
        <v/>
      </c>
      <c r="I2889" s="19">
        <f>IF(OR(B2889="",C2889="",D2889=""),"",IFERROR(INDEX(catTipo,MATCH(D2889,catNom,0))&amp;"",""))</f>
        <v/>
      </c>
      <c r="J2889" s="19">
        <f>IF(I2889="","",IFERROR(INDEX(catGrupo,MATCH(D2889,catNom,0))&amp;"",""))</f>
        <v/>
      </c>
      <c r="K2889" s="19">
        <f>IF(I2889="Gasto",IF(IFERROR(INDEX(catClas,MATCH(D2889,catNom,0))&amp;"","")="","Variable",IFERROR(INDEX(catClas,MATCH(D2889,catNom,0))&amp;"","")),"")</f>
        <v/>
      </c>
      <c r="L2889" s="19">
        <f>IF(I2889="","",IFERROR(INDEX(catAlim,MATCH(D2889,catNom,0))&amp;"",""))</f>
        <v/>
      </c>
      <c r="M2889" s="19">
        <f>IF(I2889="","",IFERROR(INDEX(catComida,MATCH(D2889,catNom,0))&amp;"",""))</f>
        <v/>
      </c>
      <c r="N2889" s="19">
        <f>IF(I2889="","",IFERROR(INDEX(ctaMon,MATCH(E2889,ctaNom,0))&amp;"","DOP"))</f>
        <v/>
      </c>
      <c r="O2889" s="20">
        <f>IF(I2889="","",C2889*IF(N2889="USD",TasaUSD,1))</f>
        <v/>
      </c>
      <c r="P2889" s="20">
        <f>IF(I2889="","",IF(I2889="Gasto",O2889,0))</f>
        <v/>
      </c>
      <c r="Q2889" s="20">
        <f>IF(I2889="","",IF(I2889="Ingreso",O2889,0))</f>
        <v/>
      </c>
      <c r="R2889" s="20">
        <f>IF(I2889="","",IF(I2889="Trading",O2889,0))</f>
        <v/>
      </c>
      <c r="S2889" s="19">
        <f>IF(I2889="","",IF(AND(I2889="Gasto",K2889="Variable",J2889&lt;&gt;"Trading",O2889&gt;0,O2889&lt;=Umbral),1,0))</f>
        <v/>
      </c>
      <c r="T2889" s="20">
        <f>IF(OR(I2889="",E2889=""),"",IF(OR(I2889="Gasto",I2889="Transferencia",I2889="Pago tarjeta"),-1,1)*C2889)</f>
        <v/>
      </c>
      <c r="U2889" s="20">
        <f>IF(OR(G2889="",AND(I2889&lt;&gt;"Transferencia",I2889&lt;&gt;"Pago tarjeta")),"",IF(IFERROR(INDEX(ctaMon,MATCH(G2889,ctaNom,0))&amp;"","DOP")=N2889,C2889,IF(N2889="USD",C2889*TasaUSD,C2889/TasaUSD)))</f>
        <v/>
      </c>
      <c r="V2889" s="20">
        <f>IF(I2889="","",IF(IFERROR(INDEX(ctaLiq,MATCH(E2889,ctaNom,0))="Sí",FALSE),IF(OR(I2889="Gasto",I2889="Transferencia",I2889="Pago tarjeta"),-1,1)*O2889,0)+IF(AND(U2889&lt;&gt;"",IFERROR(INDEX(ctaLiq,MATCH(G2889,ctaNom,0))="Sí",FALSE)),O2889,0))</f>
        <v/>
      </c>
      <c r="W2889" s="19">
        <f>IF(OR(F2889="",I2889=""),"",IF(COUNTIFS(F$6:F2889,F2889,I$6:I2889,"?*")=1,MAX(W$5:W2888)+1,""))</f>
        <v/>
      </c>
    </row>
    <row r="2890">
      <c r="B2890" s="15" t="n"/>
      <c r="C2890" s="16" t="n"/>
      <c r="D2890" s="17" t="n"/>
      <c r="E2890" s="17" t="n"/>
      <c r="F2890" s="17" t="n"/>
      <c r="G2890" s="17" t="n"/>
      <c r="H2890" s="18">
        <f>IF(AND(B2890="",C2890="",D2890="",E2890=""),"",IF(B2890="","⚠ Falta fecha",IF(C2890="","⚠ Falta monto",IF(D2890="","⚠ Falta categoría",IF(ISNA(MATCH(D2890,catNom,0)),"⚠ Categoría no existe",IF(E2890="","⚠ Falta cuenta",IF(ISNA(MATCH(E2890,ctaNom,0)),"⚠ Cuenta no existe",IF(AND(OR(I2890="Transferencia",I2890="Pago tarjeta"),G2890=""),"⚠ Indica la cuenta «Hacia»",IF(AND(G2890&lt;&gt;"",G2890=E2890),"⚠ «Hacia» igual a la cuenta",IF(AND(G2890&lt;&gt;"",ISNA(MATCH(G2890,ctaNom,0))),"⚠ «Hacia» no existe",IF(AND(I2890="Pago tarjeta",IFERROR(INDEX(ctaTipo,MATCH(G2890,ctaNom,0)),"")&lt;&gt;"Tarjeta de crédito"),"⚠ «Hacia» debe ser la tarjeta",IF(AND(I2890="Trading",IFERROR(INDEX(ctaTipo,MATCH(E2890,ctaNom,0)),"")&lt;&gt;"Cuenta de trading"),"⚠ Usa la cuenta de trading","✓"))))))))))))</f>
        <v/>
      </c>
      <c r="I2890" s="19">
        <f>IF(OR(B2890="",C2890="",D2890=""),"",IFERROR(INDEX(catTipo,MATCH(D2890,catNom,0))&amp;"",""))</f>
        <v/>
      </c>
      <c r="J2890" s="19">
        <f>IF(I2890="","",IFERROR(INDEX(catGrupo,MATCH(D2890,catNom,0))&amp;"",""))</f>
        <v/>
      </c>
      <c r="K2890" s="19">
        <f>IF(I2890="Gasto",IF(IFERROR(INDEX(catClas,MATCH(D2890,catNom,0))&amp;"","")="","Variable",IFERROR(INDEX(catClas,MATCH(D2890,catNom,0))&amp;"","")),"")</f>
        <v/>
      </c>
      <c r="L2890" s="19">
        <f>IF(I2890="","",IFERROR(INDEX(catAlim,MATCH(D2890,catNom,0))&amp;"",""))</f>
        <v/>
      </c>
      <c r="M2890" s="19">
        <f>IF(I2890="","",IFERROR(INDEX(catComida,MATCH(D2890,catNom,0))&amp;"",""))</f>
        <v/>
      </c>
      <c r="N2890" s="19">
        <f>IF(I2890="","",IFERROR(INDEX(ctaMon,MATCH(E2890,ctaNom,0))&amp;"","DOP"))</f>
        <v/>
      </c>
      <c r="O2890" s="20">
        <f>IF(I2890="","",C2890*IF(N2890="USD",TasaUSD,1))</f>
        <v/>
      </c>
      <c r="P2890" s="20">
        <f>IF(I2890="","",IF(I2890="Gasto",O2890,0))</f>
        <v/>
      </c>
      <c r="Q2890" s="20">
        <f>IF(I2890="","",IF(I2890="Ingreso",O2890,0))</f>
        <v/>
      </c>
      <c r="R2890" s="20">
        <f>IF(I2890="","",IF(I2890="Trading",O2890,0))</f>
        <v/>
      </c>
      <c r="S2890" s="19">
        <f>IF(I2890="","",IF(AND(I2890="Gasto",K2890="Variable",J2890&lt;&gt;"Trading",O2890&gt;0,O2890&lt;=Umbral),1,0))</f>
        <v/>
      </c>
      <c r="T2890" s="20">
        <f>IF(OR(I2890="",E2890=""),"",IF(OR(I2890="Gasto",I2890="Transferencia",I2890="Pago tarjeta"),-1,1)*C2890)</f>
        <v/>
      </c>
      <c r="U2890" s="20">
        <f>IF(OR(G2890="",AND(I2890&lt;&gt;"Transferencia",I2890&lt;&gt;"Pago tarjeta")),"",IF(IFERROR(INDEX(ctaMon,MATCH(G2890,ctaNom,0))&amp;"","DOP")=N2890,C2890,IF(N2890="USD",C2890*TasaUSD,C2890/TasaUSD)))</f>
        <v/>
      </c>
      <c r="V2890" s="20">
        <f>IF(I2890="","",IF(IFERROR(INDEX(ctaLiq,MATCH(E2890,ctaNom,0))="Sí",FALSE),IF(OR(I2890="Gasto",I2890="Transferencia",I2890="Pago tarjeta"),-1,1)*O2890,0)+IF(AND(U2890&lt;&gt;"",IFERROR(INDEX(ctaLiq,MATCH(G2890,ctaNom,0))="Sí",FALSE)),O2890,0))</f>
        <v/>
      </c>
      <c r="W2890" s="19">
        <f>IF(OR(F2890="",I2890=""),"",IF(COUNTIFS(F$6:F2890,F2890,I$6:I2890,"?*")=1,MAX(W$5:W2889)+1,""))</f>
        <v/>
      </c>
    </row>
    <row r="2891">
      <c r="B2891" s="15" t="n"/>
      <c r="C2891" s="16" t="n"/>
      <c r="D2891" s="17" t="n"/>
      <c r="E2891" s="17" t="n"/>
      <c r="F2891" s="17" t="n"/>
      <c r="G2891" s="17" t="n"/>
      <c r="H2891" s="18">
        <f>IF(AND(B2891="",C2891="",D2891="",E2891=""),"",IF(B2891="","⚠ Falta fecha",IF(C2891="","⚠ Falta monto",IF(D2891="","⚠ Falta categoría",IF(ISNA(MATCH(D2891,catNom,0)),"⚠ Categoría no existe",IF(E2891="","⚠ Falta cuenta",IF(ISNA(MATCH(E2891,ctaNom,0)),"⚠ Cuenta no existe",IF(AND(OR(I2891="Transferencia",I2891="Pago tarjeta"),G2891=""),"⚠ Indica la cuenta «Hacia»",IF(AND(G2891&lt;&gt;"",G2891=E2891),"⚠ «Hacia» igual a la cuenta",IF(AND(G2891&lt;&gt;"",ISNA(MATCH(G2891,ctaNom,0))),"⚠ «Hacia» no existe",IF(AND(I2891="Pago tarjeta",IFERROR(INDEX(ctaTipo,MATCH(G2891,ctaNom,0)),"")&lt;&gt;"Tarjeta de crédito"),"⚠ «Hacia» debe ser la tarjeta",IF(AND(I2891="Trading",IFERROR(INDEX(ctaTipo,MATCH(E2891,ctaNom,0)),"")&lt;&gt;"Cuenta de trading"),"⚠ Usa la cuenta de trading","✓"))))))))))))</f>
        <v/>
      </c>
      <c r="I2891" s="19">
        <f>IF(OR(B2891="",C2891="",D2891=""),"",IFERROR(INDEX(catTipo,MATCH(D2891,catNom,0))&amp;"",""))</f>
        <v/>
      </c>
      <c r="J2891" s="19">
        <f>IF(I2891="","",IFERROR(INDEX(catGrupo,MATCH(D2891,catNom,0))&amp;"",""))</f>
        <v/>
      </c>
      <c r="K2891" s="19">
        <f>IF(I2891="Gasto",IF(IFERROR(INDEX(catClas,MATCH(D2891,catNom,0))&amp;"","")="","Variable",IFERROR(INDEX(catClas,MATCH(D2891,catNom,0))&amp;"","")),"")</f>
        <v/>
      </c>
      <c r="L2891" s="19">
        <f>IF(I2891="","",IFERROR(INDEX(catAlim,MATCH(D2891,catNom,0))&amp;"",""))</f>
        <v/>
      </c>
      <c r="M2891" s="19">
        <f>IF(I2891="","",IFERROR(INDEX(catComida,MATCH(D2891,catNom,0))&amp;"",""))</f>
        <v/>
      </c>
      <c r="N2891" s="19">
        <f>IF(I2891="","",IFERROR(INDEX(ctaMon,MATCH(E2891,ctaNom,0))&amp;"","DOP"))</f>
        <v/>
      </c>
      <c r="O2891" s="20">
        <f>IF(I2891="","",C2891*IF(N2891="USD",TasaUSD,1))</f>
        <v/>
      </c>
      <c r="P2891" s="20">
        <f>IF(I2891="","",IF(I2891="Gasto",O2891,0))</f>
        <v/>
      </c>
      <c r="Q2891" s="20">
        <f>IF(I2891="","",IF(I2891="Ingreso",O2891,0))</f>
        <v/>
      </c>
      <c r="R2891" s="20">
        <f>IF(I2891="","",IF(I2891="Trading",O2891,0))</f>
        <v/>
      </c>
      <c r="S2891" s="19">
        <f>IF(I2891="","",IF(AND(I2891="Gasto",K2891="Variable",J2891&lt;&gt;"Trading",O2891&gt;0,O2891&lt;=Umbral),1,0))</f>
        <v/>
      </c>
      <c r="T2891" s="20">
        <f>IF(OR(I2891="",E2891=""),"",IF(OR(I2891="Gasto",I2891="Transferencia",I2891="Pago tarjeta"),-1,1)*C2891)</f>
        <v/>
      </c>
      <c r="U2891" s="20">
        <f>IF(OR(G2891="",AND(I2891&lt;&gt;"Transferencia",I2891&lt;&gt;"Pago tarjeta")),"",IF(IFERROR(INDEX(ctaMon,MATCH(G2891,ctaNom,0))&amp;"","DOP")=N2891,C2891,IF(N2891="USD",C2891*TasaUSD,C2891/TasaUSD)))</f>
        <v/>
      </c>
      <c r="V2891" s="20">
        <f>IF(I2891="","",IF(IFERROR(INDEX(ctaLiq,MATCH(E2891,ctaNom,0))="Sí",FALSE),IF(OR(I2891="Gasto",I2891="Transferencia",I2891="Pago tarjeta"),-1,1)*O2891,0)+IF(AND(U2891&lt;&gt;"",IFERROR(INDEX(ctaLiq,MATCH(G2891,ctaNom,0))="Sí",FALSE)),O2891,0))</f>
        <v/>
      </c>
      <c r="W2891" s="19">
        <f>IF(OR(F2891="",I2891=""),"",IF(COUNTIFS(F$6:F2891,F2891,I$6:I2891,"?*")=1,MAX(W$5:W2890)+1,""))</f>
        <v/>
      </c>
    </row>
    <row r="2892">
      <c r="B2892" s="15" t="n"/>
      <c r="C2892" s="16" t="n"/>
      <c r="D2892" s="17" t="n"/>
      <c r="E2892" s="17" t="n"/>
      <c r="F2892" s="17" t="n"/>
      <c r="G2892" s="17" t="n"/>
      <c r="H2892" s="18">
        <f>IF(AND(B2892="",C2892="",D2892="",E2892=""),"",IF(B2892="","⚠ Falta fecha",IF(C2892="","⚠ Falta monto",IF(D2892="","⚠ Falta categoría",IF(ISNA(MATCH(D2892,catNom,0)),"⚠ Categoría no existe",IF(E2892="","⚠ Falta cuenta",IF(ISNA(MATCH(E2892,ctaNom,0)),"⚠ Cuenta no existe",IF(AND(OR(I2892="Transferencia",I2892="Pago tarjeta"),G2892=""),"⚠ Indica la cuenta «Hacia»",IF(AND(G2892&lt;&gt;"",G2892=E2892),"⚠ «Hacia» igual a la cuenta",IF(AND(G2892&lt;&gt;"",ISNA(MATCH(G2892,ctaNom,0))),"⚠ «Hacia» no existe",IF(AND(I2892="Pago tarjeta",IFERROR(INDEX(ctaTipo,MATCH(G2892,ctaNom,0)),"")&lt;&gt;"Tarjeta de crédito"),"⚠ «Hacia» debe ser la tarjeta",IF(AND(I2892="Trading",IFERROR(INDEX(ctaTipo,MATCH(E2892,ctaNom,0)),"")&lt;&gt;"Cuenta de trading"),"⚠ Usa la cuenta de trading","✓"))))))))))))</f>
        <v/>
      </c>
      <c r="I2892" s="19">
        <f>IF(OR(B2892="",C2892="",D2892=""),"",IFERROR(INDEX(catTipo,MATCH(D2892,catNom,0))&amp;"",""))</f>
        <v/>
      </c>
      <c r="J2892" s="19">
        <f>IF(I2892="","",IFERROR(INDEX(catGrupo,MATCH(D2892,catNom,0))&amp;"",""))</f>
        <v/>
      </c>
      <c r="K2892" s="19">
        <f>IF(I2892="Gasto",IF(IFERROR(INDEX(catClas,MATCH(D2892,catNom,0))&amp;"","")="","Variable",IFERROR(INDEX(catClas,MATCH(D2892,catNom,0))&amp;"","")),"")</f>
        <v/>
      </c>
      <c r="L2892" s="19">
        <f>IF(I2892="","",IFERROR(INDEX(catAlim,MATCH(D2892,catNom,0))&amp;"",""))</f>
        <v/>
      </c>
      <c r="M2892" s="19">
        <f>IF(I2892="","",IFERROR(INDEX(catComida,MATCH(D2892,catNom,0))&amp;"",""))</f>
        <v/>
      </c>
      <c r="N2892" s="19">
        <f>IF(I2892="","",IFERROR(INDEX(ctaMon,MATCH(E2892,ctaNom,0))&amp;"","DOP"))</f>
        <v/>
      </c>
      <c r="O2892" s="20">
        <f>IF(I2892="","",C2892*IF(N2892="USD",TasaUSD,1))</f>
        <v/>
      </c>
      <c r="P2892" s="20">
        <f>IF(I2892="","",IF(I2892="Gasto",O2892,0))</f>
        <v/>
      </c>
      <c r="Q2892" s="20">
        <f>IF(I2892="","",IF(I2892="Ingreso",O2892,0))</f>
        <v/>
      </c>
      <c r="R2892" s="20">
        <f>IF(I2892="","",IF(I2892="Trading",O2892,0))</f>
        <v/>
      </c>
      <c r="S2892" s="19">
        <f>IF(I2892="","",IF(AND(I2892="Gasto",K2892="Variable",J2892&lt;&gt;"Trading",O2892&gt;0,O2892&lt;=Umbral),1,0))</f>
        <v/>
      </c>
      <c r="T2892" s="20">
        <f>IF(OR(I2892="",E2892=""),"",IF(OR(I2892="Gasto",I2892="Transferencia",I2892="Pago tarjeta"),-1,1)*C2892)</f>
        <v/>
      </c>
      <c r="U2892" s="20">
        <f>IF(OR(G2892="",AND(I2892&lt;&gt;"Transferencia",I2892&lt;&gt;"Pago tarjeta")),"",IF(IFERROR(INDEX(ctaMon,MATCH(G2892,ctaNom,0))&amp;"","DOP")=N2892,C2892,IF(N2892="USD",C2892*TasaUSD,C2892/TasaUSD)))</f>
        <v/>
      </c>
      <c r="V2892" s="20">
        <f>IF(I2892="","",IF(IFERROR(INDEX(ctaLiq,MATCH(E2892,ctaNom,0))="Sí",FALSE),IF(OR(I2892="Gasto",I2892="Transferencia",I2892="Pago tarjeta"),-1,1)*O2892,0)+IF(AND(U2892&lt;&gt;"",IFERROR(INDEX(ctaLiq,MATCH(G2892,ctaNom,0))="Sí",FALSE)),O2892,0))</f>
        <v/>
      </c>
      <c r="W2892" s="19">
        <f>IF(OR(F2892="",I2892=""),"",IF(COUNTIFS(F$6:F2892,F2892,I$6:I2892,"?*")=1,MAX(W$5:W2891)+1,""))</f>
        <v/>
      </c>
    </row>
    <row r="2893">
      <c r="B2893" s="15" t="n"/>
      <c r="C2893" s="16" t="n"/>
      <c r="D2893" s="17" t="n"/>
      <c r="E2893" s="17" t="n"/>
      <c r="F2893" s="17" t="n"/>
      <c r="G2893" s="17" t="n"/>
      <c r="H2893" s="18">
        <f>IF(AND(B2893="",C2893="",D2893="",E2893=""),"",IF(B2893="","⚠ Falta fecha",IF(C2893="","⚠ Falta monto",IF(D2893="","⚠ Falta categoría",IF(ISNA(MATCH(D2893,catNom,0)),"⚠ Categoría no existe",IF(E2893="","⚠ Falta cuenta",IF(ISNA(MATCH(E2893,ctaNom,0)),"⚠ Cuenta no existe",IF(AND(OR(I2893="Transferencia",I2893="Pago tarjeta"),G2893=""),"⚠ Indica la cuenta «Hacia»",IF(AND(G2893&lt;&gt;"",G2893=E2893),"⚠ «Hacia» igual a la cuenta",IF(AND(G2893&lt;&gt;"",ISNA(MATCH(G2893,ctaNom,0))),"⚠ «Hacia» no existe",IF(AND(I2893="Pago tarjeta",IFERROR(INDEX(ctaTipo,MATCH(G2893,ctaNom,0)),"")&lt;&gt;"Tarjeta de crédito"),"⚠ «Hacia» debe ser la tarjeta",IF(AND(I2893="Trading",IFERROR(INDEX(ctaTipo,MATCH(E2893,ctaNom,0)),"")&lt;&gt;"Cuenta de trading"),"⚠ Usa la cuenta de trading","✓"))))))))))))</f>
        <v/>
      </c>
      <c r="I2893" s="19">
        <f>IF(OR(B2893="",C2893="",D2893=""),"",IFERROR(INDEX(catTipo,MATCH(D2893,catNom,0))&amp;"",""))</f>
        <v/>
      </c>
      <c r="J2893" s="19">
        <f>IF(I2893="","",IFERROR(INDEX(catGrupo,MATCH(D2893,catNom,0))&amp;"",""))</f>
        <v/>
      </c>
      <c r="K2893" s="19">
        <f>IF(I2893="Gasto",IF(IFERROR(INDEX(catClas,MATCH(D2893,catNom,0))&amp;"","")="","Variable",IFERROR(INDEX(catClas,MATCH(D2893,catNom,0))&amp;"","")),"")</f>
        <v/>
      </c>
      <c r="L2893" s="19">
        <f>IF(I2893="","",IFERROR(INDEX(catAlim,MATCH(D2893,catNom,0))&amp;"",""))</f>
        <v/>
      </c>
      <c r="M2893" s="19">
        <f>IF(I2893="","",IFERROR(INDEX(catComida,MATCH(D2893,catNom,0))&amp;"",""))</f>
        <v/>
      </c>
      <c r="N2893" s="19">
        <f>IF(I2893="","",IFERROR(INDEX(ctaMon,MATCH(E2893,ctaNom,0))&amp;"","DOP"))</f>
        <v/>
      </c>
      <c r="O2893" s="20">
        <f>IF(I2893="","",C2893*IF(N2893="USD",TasaUSD,1))</f>
        <v/>
      </c>
      <c r="P2893" s="20">
        <f>IF(I2893="","",IF(I2893="Gasto",O2893,0))</f>
        <v/>
      </c>
      <c r="Q2893" s="20">
        <f>IF(I2893="","",IF(I2893="Ingreso",O2893,0))</f>
        <v/>
      </c>
      <c r="R2893" s="20">
        <f>IF(I2893="","",IF(I2893="Trading",O2893,0))</f>
        <v/>
      </c>
      <c r="S2893" s="19">
        <f>IF(I2893="","",IF(AND(I2893="Gasto",K2893="Variable",J2893&lt;&gt;"Trading",O2893&gt;0,O2893&lt;=Umbral),1,0))</f>
        <v/>
      </c>
      <c r="T2893" s="20">
        <f>IF(OR(I2893="",E2893=""),"",IF(OR(I2893="Gasto",I2893="Transferencia",I2893="Pago tarjeta"),-1,1)*C2893)</f>
        <v/>
      </c>
      <c r="U2893" s="20">
        <f>IF(OR(G2893="",AND(I2893&lt;&gt;"Transferencia",I2893&lt;&gt;"Pago tarjeta")),"",IF(IFERROR(INDEX(ctaMon,MATCH(G2893,ctaNom,0))&amp;"","DOP")=N2893,C2893,IF(N2893="USD",C2893*TasaUSD,C2893/TasaUSD)))</f>
        <v/>
      </c>
      <c r="V2893" s="20">
        <f>IF(I2893="","",IF(IFERROR(INDEX(ctaLiq,MATCH(E2893,ctaNom,0))="Sí",FALSE),IF(OR(I2893="Gasto",I2893="Transferencia",I2893="Pago tarjeta"),-1,1)*O2893,0)+IF(AND(U2893&lt;&gt;"",IFERROR(INDEX(ctaLiq,MATCH(G2893,ctaNom,0))="Sí",FALSE)),O2893,0))</f>
        <v/>
      </c>
      <c r="W2893" s="19">
        <f>IF(OR(F2893="",I2893=""),"",IF(COUNTIFS(F$6:F2893,F2893,I$6:I2893,"?*")=1,MAX(W$5:W2892)+1,""))</f>
        <v/>
      </c>
    </row>
    <row r="2894">
      <c r="B2894" s="15" t="n"/>
      <c r="C2894" s="16" t="n"/>
      <c r="D2894" s="17" t="n"/>
      <c r="E2894" s="17" t="n"/>
      <c r="F2894" s="17" t="n"/>
      <c r="G2894" s="17" t="n"/>
      <c r="H2894" s="18">
        <f>IF(AND(B2894="",C2894="",D2894="",E2894=""),"",IF(B2894="","⚠ Falta fecha",IF(C2894="","⚠ Falta monto",IF(D2894="","⚠ Falta categoría",IF(ISNA(MATCH(D2894,catNom,0)),"⚠ Categoría no existe",IF(E2894="","⚠ Falta cuenta",IF(ISNA(MATCH(E2894,ctaNom,0)),"⚠ Cuenta no existe",IF(AND(OR(I2894="Transferencia",I2894="Pago tarjeta"),G2894=""),"⚠ Indica la cuenta «Hacia»",IF(AND(G2894&lt;&gt;"",G2894=E2894),"⚠ «Hacia» igual a la cuenta",IF(AND(G2894&lt;&gt;"",ISNA(MATCH(G2894,ctaNom,0))),"⚠ «Hacia» no existe",IF(AND(I2894="Pago tarjeta",IFERROR(INDEX(ctaTipo,MATCH(G2894,ctaNom,0)),"")&lt;&gt;"Tarjeta de crédito"),"⚠ «Hacia» debe ser la tarjeta",IF(AND(I2894="Trading",IFERROR(INDEX(ctaTipo,MATCH(E2894,ctaNom,0)),"")&lt;&gt;"Cuenta de trading"),"⚠ Usa la cuenta de trading","✓"))))))))))))</f>
        <v/>
      </c>
      <c r="I2894" s="19">
        <f>IF(OR(B2894="",C2894="",D2894=""),"",IFERROR(INDEX(catTipo,MATCH(D2894,catNom,0))&amp;"",""))</f>
        <v/>
      </c>
      <c r="J2894" s="19">
        <f>IF(I2894="","",IFERROR(INDEX(catGrupo,MATCH(D2894,catNom,0))&amp;"",""))</f>
        <v/>
      </c>
      <c r="K2894" s="19">
        <f>IF(I2894="Gasto",IF(IFERROR(INDEX(catClas,MATCH(D2894,catNom,0))&amp;"","")="","Variable",IFERROR(INDEX(catClas,MATCH(D2894,catNom,0))&amp;"","")),"")</f>
        <v/>
      </c>
      <c r="L2894" s="19">
        <f>IF(I2894="","",IFERROR(INDEX(catAlim,MATCH(D2894,catNom,0))&amp;"",""))</f>
        <v/>
      </c>
      <c r="M2894" s="19">
        <f>IF(I2894="","",IFERROR(INDEX(catComida,MATCH(D2894,catNom,0))&amp;"",""))</f>
        <v/>
      </c>
      <c r="N2894" s="19">
        <f>IF(I2894="","",IFERROR(INDEX(ctaMon,MATCH(E2894,ctaNom,0))&amp;"","DOP"))</f>
        <v/>
      </c>
      <c r="O2894" s="20">
        <f>IF(I2894="","",C2894*IF(N2894="USD",TasaUSD,1))</f>
        <v/>
      </c>
      <c r="P2894" s="20">
        <f>IF(I2894="","",IF(I2894="Gasto",O2894,0))</f>
        <v/>
      </c>
      <c r="Q2894" s="20">
        <f>IF(I2894="","",IF(I2894="Ingreso",O2894,0))</f>
        <v/>
      </c>
      <c r="R2894" s="20">
        <f>IF(I2894="","",IF(I2894="Trading",O2894,0))</f>
        <v/>
      </c>
      <c r="S2894" s="19">
        <f>IF(I2894="","",IF(AND(I2894="Gasto",K2894="Variable",J2894&lt;&gt;"Trading",O2894&gt;0,O2894&lt;=Umbral),1,0))</f>
        <v/>
      </c>
      <c r="T2894" s="20">
        <f>IF(OR(I2894="",E2894=""),"",IF(OR(I2894="Gasto",I2894="Transferencia",I2894="Pago tarjeta"),-1,1)*C2894)</f>
        <v/>
      </c>
      <c r="U2894" s="20">
        <f>IF(OR(G2894="",AND(I2894&lt;&gt;"Transferencia",I2894&lt;&gt;"Pago tarjeta")),"",IF(IFERROR(INDEX(ctaMon,MATCH(G2894,ctaNom,0))&amp;"","DOP")=N2894,C2894,IF(N2894="USD",C2894*TasaUSD,C2894/TasaUSD)))</f>
        <v/>
      </c>
      <c r="V2894" s="20">
        <f>IF(I2894="","",IF(IFERROR(INDEX(ctaLiq,MATCH(E2894,ctaNom,0))="Sí",FALSE),IF(OR(I2894="Gasto",I2894="Transferencia",I2894="Pago tarjeta"),-1,1)*O2894,0)+IF(AND(U2894&lt;&gt;"",IFERROR(INDEX(ctaLiq,MATCH(G2894,ctaNom,0))="Sí",FALSE)),O2894,0))</f>
        <v/>
      </c>
      <c r="W2894" s="19">
        <f>IF(OR(F2894="",I2894=""),"",IF(COUNTIFS(F$6:F2894,F2894,I$6:I2894,"?*")=1,MAX(W$5:W2893)+1,""))</f>
        <v/>
      </c>
    </row>
    <row r="2895">
      <c r="B2895" s="15" t="n"/>
      <c r="C2895" s="16" t="n"/>
      <c r="D2895" s="17" t="n"/>
      <c r="E2895" s="17" t="n"/>
      <c r="F2895" s="17" t="n"/>
      <c r="G2895" s="17" t="n"/>
      <c r="H2895" s="18">
        <f>IF(AND(B2895="",C2895="",D2895="",E2895=""),"",IF(B2895="","⚠ Falta fecha",IF(C2895="","⚠ Falta monto",IF(D2895="","⚠ Falta categoría",IF(ISNA(MATCH(D2895,catNom,0)),"⚠ Categoría no existe",IF(E2895="","⚠ Falta cuenta",IF(ISNA(MATCH(E2895,ctaNom,0)),"⚠ Cuenta no existe",IF(AND(OR(I2895="Transferencia",I2895="Pago tarjeta"),G2895=""),"⚠ Indica la cuenta «Hacia»",IF(AND(G2895&lt;&gt;"",G2895=E2895),"⚠ «Hacia» igual a la cuenta",IF(AND(G2895&lt;&gt;"",ISNA(MATCH(G2895,ctaNom,0))),"⚠ «Hacia» no existe",IF(AND(I2895="Pago tarjeta",IFERROR(INDEX(ctaTipo,MATCH(G2895,ctaNom,0)),"")&lt;&gt;"Tarjeta de crédito"),"⚠ «Hacia» debe ser la tarjeta",IF(AND(I2895="Trading",IFERROR(INDEX(ctaTipo,MATCH(E2895,ctaNom,0)),"")&lt;&gt;"Cuenta de trading"),"⚠ Usa la cuenta de trading","✓"))))))))))))</f>
        <v/>
      </c>
      <c r="I2895" s="19">
        <f>IF(OR(B2895="",C2895="",D2895=""),"",IFERROR(INDEX(catTipo,MATCH(D2895,catNom,0))&amp;"",""))</f>
        <v/>
      </c>
      <c r="J2895" s="19">
        <f>IF(I2895="","",IFERROR(INDEX(catGrupo,MATCH(D2895,catNom,0))&amp;"",""))</f>
        <v/>
      </c>
      <c r="K2895" s="19">
        <f>IF(I2895="Gasto",IF(IFERROR(INDEX(catClas,MATCH(D2895,catNom,0))&amp;"","")="","Variable",IFERROR(INDEX(catClas,MATCH(D2895,catNom,0))&amp;"","")),"")</f>
        <v/>
      </c>
      <c r="L2895" s="19">
        <f>IF(I2895="","",IFERROR(INDEX(catAlim,MATCH(D2895,catNom,0))&amp;"",""))</f>
        <v/>
      </c>
      <c r="M2895" s="19">
        <f>IF(I2895="","",IFERROR(INDEX(catComida,MATCH(D2895,catNom,0))&amp;"",""))</f>
        <v/>
      </c>
      <c r="N2895" s="19">
        <f>IF(I2895="","",IFERROR(INDEX(ctaMon,MATCH(E2895,ctaNom,0))&amp;"","DOP"))</f>
        <v/>
      </c>
      <c r="O2895" s="20">
        <f>IF(I2895="","",C2895*IF(N2895="USD",TasaUSD,1))</f>
        <v/>
      </c>
      <c r="P2895" s="20">
        <f>IF(I2895="","",IF(I2895="Gasto",O2895,0))</f>
        <v/>
      </c>
      <c r="Q2895" s="20">
        <f>IF(I2895="","",IF(I2895="Ingreso",O2895,0))</f>
        <v/>
      </c>
      <c r="R2895" s="20">
        <f>IF(I2895="","",IF(I2895="Trading",O2895,0))</f>
        <v/>
      </c>
      <c r="S2895" s="19">
        <f>IF(I2895="","",IF(AND(I2895="Gasto",K2895="Variable",J2895&lt;&gt;"Trading",O2895&gt;0,O2895&lt;=Umbral),1,0))</f>
        <v/>
      </c>
      <c r="T2895" s="20">
        <f>IF(OR(I2895="",E2895=""),"",IF(OR(I2895="Gasto",I2895="Transferencia",I2895="Pago tarjeta"),-1,1)*C2895)</f>
        <v/>
      </c>
      <c r="U2895" s="20">
        <f>IF(OR(G2895="",AND(I2895&lt;&gt;"Transferencia",I2895&lt;&gt;"Pago tarjeta")),"",IF(IFERROR(INDEX(ctaMon,MATCH(G2895,ctaNom,0))&amp;"","DOP")=N2895,C2895,IF(N2895="USD",C2895*TasaUSD,C2895/TasaUSD)))</f>
        <v/>
      </c>
      <c r="V2895" s="20">
        <f>IF(I2895="","",IF(IFERROR(INDEX(ctaLiq,MATCH(E2895,ctaNom,0))="Sí",FALSE),IF(OR(I2895="Gasto",I2895="Transferencia",I2895="Pago tarjeta"),-1,1)*O2895,0)+IF(AND(U2895&lt;&gt;"",IFERROR(INDEX(ctaLiq,MATCH(G2895,ctaNom,0))="Sí",FALSE)),O2895,0))</f>
        <v/>
      </c>
      <c r="W2895" s="19">
        <f>IF(OR(F2895="",I2895=""),"",IF(COUNTIFS(F$6:F2895,F2895,I$6:I2895,"?*")=1,MAX(W$5:W2894)+1,""))</f>
        <v/>
      </c>
    </row>
    <row r="2896">
      <c r="B2896" s="15" t="n"/>
      <c r="C2896" s="16" t="n"/>
      <c r="D2896" s="17" t="n"/>
      <c r="E2896" s="17" t="n"/>
      <c r="F2896" s="17" t="n"/>
      <c r="G2896" s="17" t="n"/>
      <c r="H2896" s="18">
        <f>IF(AND(B2896="",C2896="",D2896="",E2896=""),"",IF(B2896="","⚠ Falta fecha",IF(C2896="","⚠ Falta monto",IF(D2896="","⚠ Falta categoría",IF(ISNA(MATCH(D2896,catNom,0)),"⚠ Categoría no existe",IF(E2896="","⚠ Falta cuenta",IF(ISNA(MATCH(E2896,ctaNom,0)),"⚠ Cuenta no existe",IF(AND(OR(I2896="Transferencia",I2896="Pago tarjeta"),G2896=""),"⚠ Indica la cuenta «Hacia»",IF(AND(G2896&lt;&gt;"",G2896=E2896),"⚠ «Hacia» igual a la cuenta",IF(AND(G2896&lt;&gt;"",ISNA(MATCH(G2896,ctaNom,0))),"⚠ «Hacia» no existe",IF(AND(I2896="Pago tarjeta",IFERROR(INDEX(ctaTipo,MATCH(G2896,ctaNom,0)),"")&lt;&gt;"Tarjeta de crédito"),"⚠ «Hacia» debe ser la tarjeta",IF(AND(I2896="Trading",IFERROR(INDEX(ctaTipo,MATCH(E2896,ctaNom,0)),"")&lt;&gt;"Cuenta de trading"),"⚠ Usa la cuenta de trading","✓"))))))))))))</f>
        <v/>
      </c>
      <c r="I2896" s="19">
        <f>IF(OR(B2896="",C2896="",D2896=""),"",IFERROR(INDEX(catTipo,MATCH(D2896,catNom,0))&amp;"",""))</f>
        <v/>
      </c>
      <c r="J2896" s="19">
        <f>IF(I2896="","",IFERROR(INDEX(catGrupo,MATCH(D2896,catNom,0))&amp;"",""))</f>
        <v/>
      </c>
      <c r="K2896" s="19">
        <f>IF(I2896="Gasto",IF(IFERROR(INDEX(catClas,MATCH(D2896,catNom,0))&amp;"","")="","Variable",IFERROR(INDEX(catClas,MATCH(D2896,catNom,0))&amp;"","")),"")</f>
        <v/>
      </c>
      <c r="L2896" s="19">
        <f>IF(I2896="","",IFERROR(INDEX(catAlim,MATCH(D2896,catNom,0))&amp;"",""))</f>
        <v/>
      </c>
      <c r="M2896" s="19">
        <f>IF(I2896="","",IFERROR(INDEX(catComida,MATCH(D2896,catNom,0))&amp;"",""))</f>
        <v/>
      </c>
      <c r="N2896" s="19">
        <f>IF(I2896="","",IFERROR(INDEX(ctaMon,MATCH(E2896,ctaNom,0))&amp;"","DOP"))</f>
        <v/>
      </c>
      <c r="O2896" s="20">
        <f>IF(I2896="","",C2896*IF(N2896="USD",TasaUSD,1))</f>
        <v/>
      </c>
      <c r="P2896" s="20">
        <f>IF(I2896="","",IF(I2896="Gasto",O2896,0))</f>
        <v/>
      </c>
      <c r="Q2896" s="20">
        <f>IF(I2896="","",IF(I2896="Ingreso",O2896,0))</f>
        <v/>
      </c>
      <c r="R2896" s="20">
        <f>IF(I2896="","",IF(I2896="Trading",O2896,0))</f>
        <v/>
      </c>
      <c r="S2896" s="19">
        <f>IF(I2896="","",IF(AND(I2896="Gasto",K2896="Variable",J2896&lt;&gt;"Trading",O2896&gt;0,O2896&lt;=Umbral),1,0))</f>
        <v/>
      </c>
      <c r="T2896" s="20">
        <f>IF(OR(I2896="",E2896=""),"",IF(OR(I2896="Gasto",I2896="Transferencia",I2896="Pago tarjeta"),-1,1)*C2896)</f>
        <v/>
      </c>
      <c r="U2896" s="20">
        <f>IF(OR(G2896="",AND(I2896&lt;&gt;"Transferencia",I2896&lt;&gt;"Pago tarjeta")),"",IF(IFERROR(INDEX(ctaMon,MATCH(G2896,ctaNom,0))&amp;"","DOP")=N2896,C2896,IF(N2896="USD",C2896*TasaUSD,C2896/TasaUSD)))</f>
        <v/>
      </c>
      <c r="V2896" s="20">
        <f>IF(I2896="","",IF(IFERROR(INDEX(ctaLiq,MATCH(E2896,ctaNom,0))="Sí",FALSE),IF(OR(I2896="Gasto",I2896="Transferencia",I2896="Pago tarjeta"),-1,1)*O2896,0)+IF(AND(U2896&lt;&gt;"",IFERROR(INDEX(ctaLiq,MATCH(G2896,ctaNom,0))="Sí",FALSE)),O2896,0))</f>
        <v/>
      </c>
      <c r="W2896" s="19">
        <f>IF(OR(F2896="",I2896=""),"",IF(COUNTIFS(F$6:F2896,F2896,I$6:I2896,"?*")=1,MAX(W$5:W2895)+1,""))</f>
        <v/>
      </c>
    </row>
    <row r="2897">
      <c r="B2897" s="15" t="n"/>
      <c r="C2897" s="16" t="n"/>
      <c r="D2897" s="17" t="n"/>
      <c r="E2897" s="17" t="n"/>
      <c r="F2897" s="17" t="n"/>
      <c r="G2897" s="17" t="n"/>
      <c r="H2897" s="18">
        <f>IF(AND(B2897="",C2897="",D2897="",E2897=""),"",IF(B2897="","⚠ Falta fecha",IF(C2897="","⚠ Falta monto",IF(D2897="","⚠ Falta categoría",IF(ISNA(MATCH(D2897,catNom,0)),"⚠ Categoría no existe",IF(E2897="","⚠ Falta cuenta",IF(ISNA(MATCH(E2897,ctaNom,0)),"⚠ Cuenta no existe",IF(AND(OR(I2897="Transferencia",I2897="Pago tarjeta"),G2897=""),"⚠ Indica la cuenta «Hacia»",IF(AND(G2897&lt;&gt;"",G2897=E2897),"⚠ «Hacia» igual a la cuenta",IF(AND(G2897&lt;&gt;"",ISNA(MATCH(G2897,ctaNom,0))),"⚠ «Hacia» no existe",IF(AND(I2897="Pago tarjeta",IFERROR(INDEX(ctaTipo,MATCH(G2897,ctaNom,0)),"")&lt;&gt;"Tarjeta de crédito"),"⚠ «Hacia» debe ser la tarjeta",IF(AND(I2897="Trading",IFERROR(INDEX(ctaTipo,MATCH(E2897,ctaNom,0)),"")&lt;&gt;"Cuenta de trading"),"⚠ Usa la cuenta de trading","✓"))))))))))))</f>
        <v/>
      </c>
      <c r="I2897" s="19">
        <f>IF(OR(B2897="",C2897="",D2897=""),"",IFERROR(INDEX(catTipo,MATCH(D2897,catNom,0))&amp;"",""))</f>
        <v/>
      </c>
      <c r="J2897" s="19">
        <f>IF(I2897="","",IFERROR(INDEX(catGrupo,MATCH(D2897,catNom,0))&amp;"",""))</f>
        <v/>
      </c>
      <c r="K2897" s="19">
        <f>IF(I2897="Gasto",IF(IFERROR(INDEX(catClas,MATCH(D2897,catNom,0))&amp;"","")="","Variable",IFERROR(INDEX(catClas,MATCH(D2897,catNom,0))&amp;"","")),"")</f>
        <v/>
      </c>
      <c r="L2897" s="19">
        <f>IF(I2897="","",IFERROR(INDEX(catAlim,MATCH(D2897,catNom,0))&amp;"",""))</f>
        <v/>
      </c>
      <c r="M2897" s="19">
        <f>IF(I2897="","",IFERROR(INDEX(catComida,MATCH(D2897,catNom,0))&amp;"",""))</f>
        <v/>
      </c>
      <c r="N2897" s="19">
        <f>IF(I2897="","",IFERROR(INDEX(ctaMon,MATCH(E2897,ctaNom,0))&amp;"","DOP"))</f>
        <v/>
      </c>
      <c r="O2897" s="20">
        <f>IF(I2897="","",C2897*IF(N2897="USD",TasaUSD,1))</f>
        <v/>
      </c>
      <c r="P2897" s="20">
        <f>IF(I2897="","",IF(I2897="Gasto",O2897,0))</f>
        <v/>
      </c>
      <c r="Q2897" s="20">
        <f>IF(I2897="","",IF(I2897="Ingreso",O2897,0))</f>
        <v/>
      </c>
      <c r="R2897" s="20">
        <f>IF(I2897="","",IF(I2897="Trading",O2897,0))</f>
        <v/>
      </c>
      <c r="S2897" s="19">
        <f>IF(I2897="","",IF(AND(I2897="Gasto",K2897="Variable",J2897&lt;&gt;"Trading",O2897&gt;0,O2897&lt;=Umbral),1,0))</f>
        <v/>
      </c>
      <c r="T2897" s="20">
        <f>IF(OR(I2897="",E2897=""),"",IF(OR(I2897="Gasto",I2897="Transferencia",I2897="Pago tarjeta"),-1,1)*C2897)</f>
        <v/>
      </c>
      <c r="U2897" s="20">
        <f>IF(OR(G2897="",AND(I2897&lt;&gt;"Transferencia",I2897&lt;&gt;"Pago tarjeta")),"",IF(IFERROR(INDEX(ctaMon,MATCH(G2897,ctaNom,0))&amp;"","DOP")=N2897,C2897,IF(N2897="USD",C2897*TasaUSD,C2897/TasaUSD)))</f>
        <v/>
      </c>
      <c r="V2897" s="20">
        <f>IF(I2897="","",IF(IFERROR(INDEX(ctaLiq,MATCH(E2897,ctaNom,0))="Sí",FALSE),IF(OR(I2897="Gasto",I2897="Transferencia",I2897="Pago tarjeta"),-1,1)*O2897,0)+IF(AND(U2897&lt;&gt;"",IFERROR(INDEX(ctaLiq,MATCH(G2897,ctaNom,0))="Sí",FALSE)),O2897,0))</f>
        <v/>
      </c>
      <c r="W2897" s="19">
        <f>IF(OR(F2897="",I2897=""),"",IF(COUNTIFS(F$6:F2897,F2897,I$6:I2897,"?*")=1,MAX(W$5:W2896)+1,""))</f>
        <v/>
      </c>
    </row>
    <row r="2898">
      <c r="B2898" s="15" t="n"/>
      <c r="C2898" s="16" t="n"/>
      <c r="D2898" s="17" t="n"/>
      <c r="E2898" s="17" t="n"/>
      <c r="F2898" s="17" t="n"/>
      <c r="G2898" s="17" t="n"/>
      <c r="H2898" s="18">
        <f>IF(AND(B2898="",C2898="",D2898="",E2898=""),"",IF(B2898="","⚠ Falta fecha",IF(C2898="","⚠ Falta monto",IF(D2898="","⚠ Falta categoría",IF(ISNA(MATCH(D2898,catNom,0)),"⚠ Categoría no existe",IF(E2898="","⚠ Falta cuenta",IF(ISNA(MATCH(E2898,ctaNom,0)),"⚠ Cuenta no existe",IF(AND(OR(I2898="Transferencia",I2898="Pago tarjeta"),G2898=""),"⚠ Indica la cuenta «Hacia»",IF(AND(G2898&lt;&gt;"",G2898=E2898),"⚠ «Hacia» igual a la cuenta",IF(AND(G2898&lt;&gt;"",ISNA(MATCH(G2898,ctaNom,0))),"⚠ «Hacia» no existe",IF(AND(I2898="Pago tarjeta",IFERROR(INDEX(ctaTipo,MATCH(G2898,ctaNom,0)),"")&lt;&gt;"Tarjeta de crédito"),"⚠ «Hacia» debe ser la tarjeta",IF(AND(I2898="Trading",IFERROR(INDEX(ctaTipo,MATCH(E2898,ctaNom,0)),"")&lt;&gt;"Cuenta de trading"),"⚠ Usa la cuenta de trading","✓"))))))))))))</f>
        <v/>
      </c>
      <c r="I2898" s="19">
        <f>IF(OR(B2898="",C2898="",D2898=""),"",IFERROR(INDEX(catTipo,MATCH(D2898,catNom,0))&amp;"",""))</f>
        <v/>
      </c>
      <c r="J2898" s="19">
        <f>IF(I2898="","",IFERROR(INDEX(catGrupo,MATCH(D2898,catNom,0))&amp;"",""))</f>
        <v/>
      </c>
      <c r="K2898" s="19">
        <f>IF(I2898="Gasto",IF(IFERROR(INDEX(catClas,MATCH(D2898,catNom,0))&amp;"","")="","Variable",IFERROR(INDEX(catClas,MATCH(D2898,catNom,0))&amp;"","")),"")</f>
        <v/>
      </c>
      <c r="L2898" s="19">
        <f>IF(I2898="","",IFERROR(INDEX(catAlim,MATCH(D2898,catNom,0))&amp;"",""))</f>
        <v/>
      </c>
      <c r="M2898" s="19">
        <f>IF(I2898="","",IFERROR(INDEX(catComida,MATCH(D2898,catNom,0))&amp;"",""))</f>
        <v/>
      </c>
      <c r="N2898" s="19">
        <f>IF(I2898="","",IFERROR(INDEX(ctaMon,MATCH(E2898,ctaNom,0))&amp;"","DOP"))</f>
        <v/>
      </c>
      <c r="O2898" s="20">
        <f>IF(I2898="","",C2898*IF(N2898="USD",TasaUSD,1))</f>
        <v/>
      </c>
      <c r="P2898" s="20">
        <f>IF(I2898="","",IF(I2898="Gasto",O2898,0))</f>
        <v/>
      </c>
      <c r="Q2898" s="20">
        <f>IF(I2898="","",IF(I2898="Ingreso",O2898,0))</f>
        <v/>
      </c>
      <c r="R2898" s="20">
        <f>IF(I2898="","",IF(I2898="Trading",O2898,0))</f>
        <v/>
      </c>
      <c r="S2898" s="19">
        <f>IF(I2898="","",IF(AND(I2898="Gasto",K2898="Variable",J2898&lt;&gt;"Trading",O2898&gt;0,O2898&lt;=Umbral),1,0))</f>
        <v/>
      </c>
      <c r="T2898" s="20">
        <f>IF(OR(I2898="",E2898=""),"",IF(OR(I2898="Gasto",I2898="Transferencia",I2898="Pago tarjeta"),-1,1)*C2898)</f>
        <v/>
      </c>
      <c r="U2898" s="20">
        <f>IF(OR(G2898="",AND(I2898&lt;&gt;"Transferencia",I2898&lt;&gt;"Pago tarjeta")),"",IF(IFERROR(INDEX(ctaMon,MATCH(G2898,ctaNom,0))&amp;"","DOP")=N2898,C2898,IF(N2898="USD",C2898*TasaUSD,C2898/TasaUSD)))</f>
        <v/>
      </c>
      <c r="V2898" s="20">
        <f>IF(I2898="","",IF(IFERROR(INDEX(ctaLiq,MATCH(E2898,ctaNom,0))="Sí",FALSE),IF(OR(I2898="Gasto",I2898="Transferencia",I2898="Pago tarjeta"),-1,1)*O2898,0)+IF(AND(U2898&lt;&gt;"",IFERROR(INDEX(ctaLiq,MATCH(G2898,ctaNom,0))="Sí",FALSE)),O2898,0))</f>
        <v/>
      </c>
      <c r="W2898" s="19">
        <f>IF(OR(F2898="",I2898=""),"",IF(COUNTIFS(F$6:F2898,F2898,I$6:I2898,"?*")=1,MAX(W$5:W2897)+1,""))</f>
        <v/>
      </c>
    </row>
    <row r="2899">
      <c r="B2899" s="15" t="n"/>
      <c r="C2899" s="16" t="n"/>
      <c r="D2899" s="17" t="n"/>
      <c r="E2899" s="17" t="n"/>
      <c r="F2899" s="17" t="n"/>
      <c r="G2899" s="17" t="n"/>
      <c r="H2899" s="18">
        <f>IF(AND(B2899="",C2899="",D2899="",E2899=""),"",IF(B2899="","⚠ Falta fecha",IF(C2899="","⚠ Falta monto",IF(D2899="","⚠ Falta categoría",IF(ISNA(MATCH(D2899,catNom,0)),"⚠ Categoría no existe",IF(E2899="","⚠ Falta cuenta",IF(ISNA(MATCH(E2899,ctaNom,0)),"⚠ Cuenta no existe",IF(AND(OR(I2899="Transferencia",I2899="Pago tarjeta"),G2899=""),"⚠ Indica la cuenta «Hacia»",IF(AND(G2899&lt;&gt;"",G2899=E2899),"⚠ «Hacia» igual a la cuenta",IF(AND(G2899&lt;&gt;"",ISNA(MATCH(G2899,ctaNom,0))),"⚠ «Hacia» no existe",IF(AND(I2899="Pago tarjeta",IFERROR(INDEX(ctaTipo,MATCH(G2899,ctaNom,0)),"")&lt;&gt;"Tarjeta de crédito"),"⚠ «Hacia» debe ser la tarjeta",IF(AND(I2899="Trading",IFERROR(INDEX(ctaTipo,MATCH(E2899,ctaNom,0)),"")&lt;&gt;"Cuenta de trading"),"⚠ Usa la cuenta de trading","✓"))))))))))))</f>
        <v/>
      </c>
      <c r="I2899" s="19">
        <f>IF(OR(B2899="",C2899="",D2899=""),"",IFERROR(INDEX(catTipo,MATCH(D2899,catNom,0))&amp;"",""))</f>
        <v/>
      </c>
      <c r="J2899" s="19">
        <f>IF(I2899="","",IFERROR(INDEX(catGrupo,MATCH(D2899,catNom,0))&amp;"",""))</f>
        <v/>
      </c>
      <c r="K2899" s="19">
        <f>IF(I2899="Gasto",IF(IFERROR(INDEX(catClas,MATCH(D2899,catNom,0))&amp;"","")="","Variable",IFERROR(INDEX(catClas,MATCH(D2899,catNom,0))&amp;"","")),"")</f>
        <v/>
      </c>
      <c r="L2899" s="19">
        <f>IF(I2899="","",IFERROR(INDEX(catAlim,MATCH(D2899,catNom,0))&amp;"",""))</f>
        <v/>
      </c>
      <c r="M2899" s="19">
        <f>IF(I2899="","",IFERROR(INDEX(catComida,MATCH(D2899,catNom,0))&amp;"",""))</f>
        <v/>
      </c>
      <c r="N2899" s="19">
        <f>IF(I2899="","",IFERROR(INDEX(ctaMon,MATCH(E2899,ctaNom,0))&amp;"","DOP"))</f>
        <v/>
      </c>
      <c r="O2899" s="20">
        <f>IF(I2899="","",C2899*IF(N2899="USD",TasaUSD,1))</f>
        <v/>
      </c>
      <c r="P2899" s="20">
        <f>IF(I2899="","",IF(I2899="Gasto",O2899,0))</f>
        <v/>
      </c>
      <c r="Q2899" s="20">
        <f>IF(I2899="","",IF(I2899="Ingreso",O2899,0))</f>
        <v/>
      </c>
      <c r="R2899" s="20">
        <f>IF(I2899="","",IF(I2899="Trading",O2899,0))</f>
        <v/>
      </c>
      <c r="S2899" s="19">
        <f>IF(I2899="","",IF(AND(I2899="Gasto",K2899="Variable",J2899&lt;&gt;"Trading",O2899&gt;0,O2899&lt;=Umbral),1,0))</f>
        <v/>
      </c>
      <c r="T2899" s="20">
        <f>IF(OR(I2899="",E2899=""),"",IF(OR(I2899="Gasto",I2899="Transferencia",I2899="Pago tarjeta"),-1,1)*C2899)</f>
        <v/>
      </c>
      <c r="U2899" s="20">
        <f>IF(OR(G2899="",AND(I2899&lt;&gt;"Transferencia",I2899&lt;&gt;"Pago tarjeta")),"",IF(IFERROR(INDEX(ctaMon,MATCH(G2899,ctaNom,0))&amp;"","DOP")=N2899,C2899,IF(N2899="USD",C2899*TasaUSD,C2899/TasaUSD)))</f>
        <v/>
      </c>
      <c r="V2899" s="20">
        <f>IF(I2899="","",IF(IFERROR(INDEX(ctaLiq,MATCH(E2899,ctaNom,0))="Sí",FALSE),IF(OR(I2899="Gasto",I2899="Transferencia",I2899="Pago tarjeta"),-1,1)*O2899,0)+IF(AND(U2899&lt;&gt;"",IFERROR(INDEX(ctaLiq,MATCH(G2899,ctaNom,0))="Sí",FALSE)),O2899,0))</f>
        <v/>
      </c>
      <c r="W2899" s="19">
        <f>IF(OR(F2899="",I2899=""),"",IF(COUNTIFS(F$6:F2899,F2899,I$6:I2899,"?*")=1,MAX(W$5:W2898)+1,""))</f>
        <v/>
      </c>
    </row>
    <row r="2900">
      <c r="B2900" s="15" t="n"/>
      <c r="C2900" s="16" t="n"/>
      <c r="D2900" s="17" t="n"/>
      <c r="E2900" s="17" t="n"/>
      <c r="F2900" s="17" t="n"/>
      <c r="G2900" s="17" t="n"/>
      <c r="H2900" s="18">
        <f>IF(AND(B2900="",C2900="",D2900="",E2900=""),"",IF(B2900="","⚠ Falta fecha",IF(C2900="","⚠ Falta monto",IF(D2900="","⚠ Falta categoría",IF(ISNA(MATCH(D2900,catNom,0)),"⚠ Categoría no existe",IF(E2900="","⚠ Falta cuenta",IF(ISNA(MATCH(E2900,ctaNom,0)),"⚠ Cuenta no existe",IF(AND(OR(I2900="Transferencia",I2900="Pago tarjeta"),G2900=""),"⚠ Indica la cuenta «Hacia»",IF(AND(G2900&lt;&gt;"",G2900=E2900),"⚠ «Hacia» igual a la cuenta",IF(AND(G2900&lt;&gt;"",ISNA(MATCH(G2900,ctaNom,0))),"⚠ «Hacia» no existe",IF(AND(I2900="Pago tarjeta",IFERROR(INDEX(ctaTipo,MATCH(G2900,ctaNom,0)),"")&lt;&gt;"Tarjeta de crédito"),"⚠ «Hacia» debe ser la tarjeta",IF(AND(I2900="Trading",IFERROR(INDEX(ctaTipo,MATCH(E2900,ctaNom,0)),"")&lt;&gt;"Cuenta de trading"),"⚠ Usa la cuenta de trading","✓"))))))))))))</f>
        <v/>
      </c>
      <c r="I2900" s="19">
        <f>IF(OR(B2900="",C2900="",D2900=""),"",IFERROR(INDEX(catTipo,MATCH(D2900,catNom,0))&amp;"",""))</f>
        <v/>
      </c>
      <c r="J2900" s="19">
        <f>IF(I2900="","",IFERROR(INDEX(catGrupo,MATCH(D2900,catNom,0))&amp;"",""))</f>
        <v/>
      </c>
      <c r="K2900" s="19">
        <f>IF(I2900="Gasto",IF(IFERROR(INDEX(catClas,MATCH(D2900,catNom,0))&amp;"","")="","Variable",IFERROR(INDEX(catClas,MATCH(D2900,catNom,0))&amp;"","")),"")</f>
        <v/>
      </c>
      <c r="L2900" s="19">
        <f>IF(I2900="","",IFERROR(INDEX(catAlim,MATCH(D2900,catNom,0))&amp;"",""))</f>
        <v/>
      </c>
      <c r="M2900" s="19">
        <f>IF(I2900="","",IFERROR(INDEX(catComida,MATCH(D2900,catNom,0))&amp;"",""))</f>
        <v/>
      </c>
      <c r="N2900" s="19">
        <f>IF(I2900="","",IFERROR(INDEX(ctaMon,MATCH(E2900,ctaNom,0))&amp;"","DOP"))</f>
        <v/>
      </c>
      <c r="O2900" s="20">
        <f>IF(I2900="","",C2900*IF(N2900="USD",TasaUSD,1))</f>
        <v/>
      </c>
      <c r="P2900" s="20">
        <f>IF(I2900="","",IF(I2900="Gasto",O2900,0))</f>
        <v/>
      </c>
      <c r="Q2900" s="20">
        <f>IF(I2900="","",IF(I2900="Ingreso",O2900,0))</f>
        <v/>
      </c>
      <c r="R2900" s="20">
        <f>IF(I2900="","",IF(I2900="Trading",O2900,0))</f>
        <v/>
      </c>
      <c r="S2900" s="19">
        <f>IF(I2900="","",IF(AND(I2900="Gasto",K2900="Variable",J2900&lt;&gt;"Trading",O2900&gt;0,O2900&lt;=Umbral),1,0))</f>
        <v/>
      </c>
      <c r="T2900" s="20">
        <f>IF(OR(I2900="",E2900=""),"",IF(OR(I2900="Gasto",I2900="Transferencia",I2900="Pago tarjeta"),-1,1)*C2900)</f>
        <v/>
      </c>
      <c r="U2900" s="20">
        <f>IF(OR(G2900="",AND(I2900&lt;&gt;"Transferencia",I2900&lt;&gt;"Pago tarjeta")),"",IF(IFERROR(INDEX(ctaMon,MATCH(G2900,ctaNom,0))&amp;"","DOP")=N2900,C2900,IF(N2900="USD",C2900*TasaUSD,C2900/TasaUSD)))</f>
        <v/>
      </c>
      <c r="V2900" s="20">
        <f>IF(I2900="","",IF(IFERROR(INDEX(ctaLiq,MATCH(E2900,ctaNom,0))="Sí",FALSE),IF(OR(I2900="Gasto",I2900="Transferencia",I2900="Pago tarjeta"),-1,1)*O2900,0)+IF(AND(U2900&lt;&gt;"",IFERROR(INDEX(ctaLiq,MATCH(G2900,ctaNom,0))="Sí",FALSE)),O2900,0))</f>
        <v/>
      </c>
      <c r="W2900" s="19">
        <f>IF(OR(F2900="",I2900=""),"",IF(COUNTIFS(F$6:F2900,F2900,I$6:I2900,"?*")=1,MAX(W$5:W2899)+1,""))</f>
        <v/>
      </c>
    </row>
    <row r="2901">
      <c r="B2901" s="15" t="n"/>
      <c r="C2901" s="16" t="n"/>
      <c r="D2901" s="17" t="n"/>
      <c r="E2901" s="17" t="n"/>
      <c r="F2901" s="17" t="n"/>
      <c r="G2901" s="17" t="n"/>
      <c r="H2901" s="18">
        <f>IF(AND(B2901="",C2901="",D2901="",E2901=""),"",IF(B2901="","⚠ Falta fecha",IF(C2901="","⚠ Falta monto",IF(D2901="","⚠ Falta categoría",IF(ISNA(MATCH(D2901,catNom,0)),"⚠ Categoría no existe",IF(E2901="","⚠ Falta cuenta",IF(ISNA(MATCH(E2901,ctaNom,0)),"⚠ Cuenta no existe",IF(AND(OR(I2901="Transferencia",I2901="Pago tarjeta"),G2901=""),"⚠ Indica la cuenta «Hacia»",IF(AND(G2901&lt;&gt;"",G2901=E2901),"⚠ «Hacia» igual a la cuenta",IF(AND(G2901&lt;&gt;"",ISNA(MATCH(G2901,ctaNom,0))),"⚠ «Hacia» no existe",IF(AND(I2901="Pago tarjeta",IFERROR(INDEX(ctaTipo,MATCH(G2901,ctaNom,0)),"")&lt;&gt;"Tarjeta de crédito"),"⚠ «Hacia» debe ser la tarjeta",IF(AND(I2901="Trading",IFERROR(INDEX(ctaTipo,MATCH(E2901,ctaNom,0)),"")&lt;&gt;"Cuenta de trading"),"⚠ Usa la cuenta de trading","✓"))))))))))))</f>
        <v/>
      </c>
      <c r="I2901" s="19">
        <f>IF(OR(B2901="",C2901="",D2901=""),"",IFERROR(INDEX(catTipo,MATCH(D2901,catNom,0))&amp;"",""))</f>
        <v/>
      </c>
      <c r="J2901" s="19">
        <f>IF(I2901="","",IFERROR(INDEX(catGrupo,MATCH(D2901,catNom,0))&amp;"",""))</f>
        <v/>
      </c>
      <c r="K2901" s="19">
        <f>IF(I2901="Gasto",IF(IFERROR(INDEX(catClas,MATCH(D2901,catNom,0))&amp;"","")="","Variable",IFERROR(INDEX(catClas,MATCH(D2901,catNom,0))&amp;"","")),"")</f>
        <v/>
      </c>
      <c r="L2901" s="19">
        <f>IF(I2901="","",IFERROR(INDEX(catAlim,MATCH(D2901,catNom,0))&amp;"",""))</f>
        <v/>
      </c>
      <c r="M2901" s="19">
        <f>IF(I2901="","",IFERROR(INDEX(catComida,MATCH(D2901,catNom,0))&amp;"",""))</f>
        <v/>
      </c>
      <c r="N2901" s="19">
        <f>IF(I2901="","",IFERROR(INDEX(ctaMon,MATCH(E2901,ctaNom,0))&amp;"","DOP"))</f>
        <v/>
      </c>
      <c r="O2901" s="20">
        <f>IF(I2901="","",C2901*IF(N2901="USD",TasaUSD,1))</f>
        <v/>
      </c>
      <c r="P2901" s="20">
        <f>IF(I2901="","",IF(I2901="Gasto",O2901,0))</f>
        <v/>
      </c>
      <c r="Q2901" s="20">
        <f>IF(I2901="","",IF(I2901="Ingreso",O2901,0))</f>
        <v/>
      </c>
      <c r="R2901" s="20">
        <f>IF(I2901="","",IF(I2901="Trading",O2901,0))</f>
        <v/>
      </c>
      <c r="S2901" s="19">
        <f>IF(I2901="","",IF(AND(I2901="Gasto",K2901="Variable",J2901&lt;&gt;"Trading",O2901&gt;0,O2901&lt;=Umbral),1,0))</f>
        <v/>
      </c>
      <c r="T2901" s="20">
        <f>IF(OR(I2901="",E2901=""),"",IF(OR(I2901="Gasto",I2901="Transferencia",I2901="Pago tarjeta"),-1,1)*C2901)</f>
        <v/>
      </c>
      <c r="U2901" s="20">
        <f>IF(OR(G2901="",AND(I2901&lt;&gt;"Transferencia",I2901&lt;&gt;"Pago tarjeta")),"",IF(IFERROR(INDEX(ctaMon,MATCH(G2901,ctaNom,0))&amp;"","DOP")=N2901,C2901,IF(N2901="USD",C2901*TasaUSD,C2901/TasaUSD)))</f>
        <v/>
      </c>
      <c r="V2901" s="20">
        <f>IF(I2901="","",IF(IFERROR(INDEX(ctaLiq,MATCH(E2901,ctaNom,0))="Sí",FALSE),IF(OR(I2901="Gasto",I2901="Transferencia",I2901="Pago tarjeta"),-1,1)*O2901,0)+IF(AND(U2901&lt;&gt;"",IFERROR(INDEX(ctaLiq,MATCH(G2901,ctaNom,0))="Sí",FALSE)),O2901,0))</f>
        <v/>
      </c>
      <c r="W2901" s="19">
        <f>IF(OR(F2901="",I2901=""),"",IF(COUNTIFS(F$6:F2901,F2901,I$6:I2901,"?*")=1,MAX(W$5:W2900)+1,""))</f>
        <v/>
      </c>
    </row>
    <row r="2902">
      <c r="B2902" s="15" t="n"/>
      <c r="C2902" s="16" t="n"/>
      <c r="D2902" s="17" t="n"/>
      <c r="E2902" s="17" t="n"/>
      <c r="F2902" s="17" t="n"/>
      <c r="G2902" s="17" t="n"/>
      <c r="H2902" s="18">
        <f>IF(AND(B2902="",C2902="",D2902="",E2902=""),"",IF(B2902="","⚠ Falta fecha",IF(C2902="","⚠ Falta monto",IF(D2902="","⚠ Falta categoría",IF(ISNA(MATCH(D2902,catNom,0)),"⚠ Categoría no existe",IF(E2902="","⚠ Falta cuenta",IF(ISNA(MATCH(E2902,ctaNom,0)),"⚠ Cuenta no existe",IF(AND(OR(I2902="Transferencia",I2902="Pago tarjeta"),G2902=""),"⚠ Indica la cuenta «Hacia»",IF(AND(G2902&lt;&gt;"",G2902=E2902),"⚠ «Hacia» igual a la cuenta",IF(AND(G2902&lt;&gt;"",ISNA(MATCH(G2902,ctaNom,0))),"⚠ «Hacia» no existe",IF(AND(I2902="Pago tarjeta",IFERROR(INDEX(ctaTipo,MATCH(G2902,ctaNom,0)),"")&lt;&gt;"Tarjeta de crédito"),"⚠ «Hacia» debe ser la tarjeta",IF(AND(I2902="Trading",IFERROR(INDEX(ctaTipo,MATCH(E2902,ctaNom,0)),"")&lt;&gt;"Cuenta de trading"),"⚠ Usa la cuenta de trading","✓"))))))))))))</f>
        <v/>
      </c>
      <c r="I2902" s="19">
        <f>IF(OR(B2902="",C2902="",D2902=""),"",IFERROR(INDEX(catTipo,MATCH(D2902,catNom,0))&amp;"",""))</f>
        <v/>
      </c>
      <c r="J2902" s="19">
        <f>IF(I2902="","",IFERROR(INDEX(catGrupo,MATCH(D2902,catNom,0))&amp;"",""))</f>
        <v/>
      </c>
      <c r="K2902" s="19">
        <f>IF(I2902="Gasto",IF(IFERROR(INDEX(catClas,MATCH(D2902,catNom,0))&amp;"","")="","Variable",IFERROR(INDEX(catClas,MATCH(D2902,catNom,0))&amp;"","")),"")</f>
        <v/>
      </c>
      <c r="L2902" s="19">
        <f>IF(I2902="","",IFERROR(INDEX(catAlim,MATCH(D2902,catNom,0))&amp;"",""))</f>
        <v/>
      </c>
      <c r="M2902" s="19">
        <f>IF(I2902="","",IFERROR(INDEX(catComida,MATCH(D2902,catNom,0))&amp;"",""))</f>
        <v/>
      </c>
      <c r="N2902" s="19">
        <f>IF(I2902="","",IFERROR(INDEX(ctaMon,MATCH(E2902,ctaNom,0))&amp;"","DOP"))</f>
        <v/>
      </c>
      <c r="O2902" s="20">
        <f>IF(I2902="","",C2902*IF(N2902="USD",TasaUSD,1))</f>
        <v/>
      </c>
      <c r="P2902" s="20">
        <f>IF(I2902="","",IF(I2902="Gasto",O2902,0))</f>
        <v/>
      </c>
      <c r="Q2902" s="20">
        <f>IF(I2902="","",IF(I2902="Ingreso",O2902,0))</f>
        <v/>
      </c>
      <c r="R2902" s="20">
        <f>IF(I2902="","",IF(I2902="Trading",O2902,0))</f>
        <v/>
      </c>
      <c r="S2902" s="19">
        <f>IF(I2902="","",IF(AND(I2902="Gasto",K2902="Variable",J2902&lt;&gt;"Trading",O2902&gt;0,O2902&lt;=Umbral),1,0))</f>
        <v/>
      </c>
      <c r="T2902" s="20">
        <f>IF(OR(I2902="",E2902=""),"",IF(OR(I2902="Gasto",I2902="Transferencia",I2902="Pago tarjeta"),-1,1)*C2902)</f>
        <v/>
      </c>
      <c r="U2902" s="20">
        <f>IF(OR(G2902="",AND(I2902&lt;&gt;"Transferencia",I2902&lt;&gt;"Pago tarjeta")),"",IF(IFERROR(INDEX(ctaMon,MATCH(G2902,ctaNom,0))&amp;"","DOP")=N2902,C2902,IF(N2902="USD",C2902*TasaUSD,C2902/TasaUSD)))</f>
        <v/>
      </c>
      <c r="V2902" s="20">
        <f>IF(I2902="","",IF(IFERROR(INDEX(ctaLiq,MATCH(E2902,ctaNom,0))="Sí",FALSE),IF(OR(I2902="Gasto",I2902="Transferencia",I2902="Pago tarjeta"),-1,1)*O2902,0)+IF(AND(U2902&lt;&gt;"",IFERROR(INDEX(ctaLiq,MATCH(G2902,ctaNom,0))="Sí",FALSE)),O2902,0))</f>
        <v/>
      </c>
      <c r="W2902" s="19">
        <f>IF(OR(F2902="",I2902=""),"",IF(COUNTIFS(F$6:F2902,F2902,I$6:I2902,"?*")=1,MAX(W$5:W2901)+1,""))</f>
        <v/>
      </c>
    </row>
    <row r="2903">
      <c r="B2903" s="15" t="n"/>
      <c r="C2903" s="16" t="n"/>
      <c r="D2903" s="17" t="n"/>
      <c r="E2903" s="17" t="n"/>
      <c r="F2903" s="17" t="n"/>
      <c r="G2903" s="17" t="n"/>
      <c r="H2903" s="18">
        <f>IF(AND(B2903="",C2903="",D2903="",E2903=""),"",IF(B2903="","⚠ Falta fecha",IF(C2903="","⚠ Falta monto",IF(D2903="","⚠ Falta categoría",IF(ISNA(MATCH(D2903,catNom,0)),"⚠ Categoría no existe",IF(E2903="","⚠ Falta cuenta",IF(ISNA(MATCH(E2903,ctaNom,0)),"⚠ Cuenta no existe",IF(AND(OR(I2903="Transferencia",I2903="Pago tarjeta"),G2903=""),"⚠ Indica la cuenta «Hacia»",IF(AND(G2903&lt;&gt;"",G2903=E2903),"⚠ «Hacia» igual a la cuenta",IF(AND(G2903&lt;&gt;"",ISNA(MATCH(G2903,ctaNom,0))),"⚠ «Hacia» no existe",IF(AND(I2903="Pago tarjeta",IFERROR(INDEX(ctaTipo,MATCH(G2903,ctaNom,0)),"")&lt;&gt;"Tarjeta de crédito"),"⚠ «Hacia» debe ser la tarjeta",IF(AND(I2903="Trading",IFERROR(INDEX(ctaTipo,MATCH(E2903,ctaNom,0)),"")&lt;&gt;"Cuenta de trading"),"⚠ Usa la cuenta de trading","✓"))))))))))))</f>
        <v/>
      </c>
      <c r="I2903" s="19">
        <f>IF(OR(B2903="",C2903="",D2903=""),"",IFERROR(INDEX(catTipo,MATCH(D2903,catNom,0))&amp;"",""))</f>
        <v/>
      </c>
      <c r="J2903" s="19">
        <f>IF(I2903="","",IFERROR(INDEX(catGrupo,MATCH(D2903,catNom,0))&amp;"",""))</f>
        <v/>
      </c>
      <c r="K2903" s="19">
        <f>IF(I2903="Gasto",IF(IFERROR(INDEX(catClas,MATCH(D2903,catNom,0))&amp;"","")="","Variable",IFERROR(INDEX(catClas,MATCH(D2903,catNom,0))&amp;"","")),"")</f>
        <v/>
      </c>
      <c r="L2903" s="19">
        <f>IF(I2903="","",IFERROR(INDEX(catAlim,MATCH(D2903,catNom,0))&amp;"",""))</f>
        <v/>
      </c>
      <c r="M2903" s="19">
        <f>IF(I2903="","",IFERROR(INDEX(catComida,MATCH(D2903,catNom,0))&amp;"",""))</f>
        <v/>
      </c>
      <c r="N2903" s="19">
        <f>IF(I2903="","",IFERROR(INDEX(ctaMon,MATCH(E2903,ctaNom,0))&amp;"","DOP"))</f>
        <v/>
      </c>
      <c r="O2903" s="20">
        <f>IF(I2903="","",C2903*IF(N2903="USD",TasaUSD,1))</f>
        <v/>
      </c>
      <c r="P2903" s="20">
        <f>IF(I2903="","",IF(I2903="Gasto",O2903,0))</f>
        <v/>
      </c>
      <c r="Q2903" s="20">
        <f>IF(I2903="","",IF(I2903="Ingreso",O2903,0))</f>
        <v/>
      </c>
      <c r="R2903" s="20">
        <f>IF(I2903="","",IF(I2903="Trading",O2903,0))</f>
        <v/>
      </c>
      <c r="S2903" s="19">
        <f>IF(I2903="","",IF(AND(I2903="Gasto",K2903="Variable",J2903&lt;&gt;"Trading",O2903&gt;0,O2903&lt;=Umbral),1,0))</f>
        <v/>
      </c>
      <c r="T2903" s="20">
        <f>IF(OR(I2903="",E2903=""),"",IF(OR(I2903="Gasto",I2903="Transferencia",I2903="Pago tarjeta"),-1,1)*C2903)</f>
        <v/>
      </c>
      <c r="U2903" s="20">
        <f>IF(OR(G2903="",AND(I2903&lt;&gt;"Transferencia",I2903&lt;&gt;"Pago tarjeta")),"",IF(IFERROR(INDEX(ctaMon,MATCH(G2903,ctaNom,0))&amp;"","DOP")=N2903,C2903,IF(N2903="USD",C2903*TasaUSD,C2903/TasaUSD)))</f>
        <v/>
      </c>
      <c r="V2903" s="20">
        <f>IF(I2903="","",IF(IFERROR(INDEX(ctaLiq,MATCH(E2903,ctaNom,0))="Sí",FALSE),IF(OR(I2903="Gasto",I2903="Transferencia",I2903="Pago tarjeta"),-1,1)*O2903,0)+IF(AND(U2903&lt;&gt;"",IFERROR(INDEX(ctaLiq,MATCH(G2903,ctaNom,0))="Sí",FALSE)),O2903,0))</f>
        <v/>
      </c>
      <c r="W2903" s="19">
        <f>IF(OR(F2903="",I2903=""),"",IF(COUNTIFS(F$6:F2903,F2903,I$6:I2903,"?*")=1,MAX(W$5:W2902)+1,""))</f>
        <v/>
      </c>
    </row>
    <row r="2904">
      <c r="B2904" s="15" t="n"/>
      <c r="C2904" s="16" t="n"/>
      <c r="D2904" s="17" t="n"/>
      <c r="E2904" s="17" t="n"/>
      <c r="F2904" s="17" t="n"/>
      <c r="G2904" s="17" t="n"/>
      <c r="H2904" s="18">
        <f>IF(AND(B2904="",C2904="",D2904="",E2904=""),"",IF(B2904="","⚠ Falta fecha",IF(C2904="","⚠ Falta monto",IF(D2904="","⚠ Falta categoría",IF(ISNA(MATCH(D2904,catNom,0)),"⚠ Categoría no existe",IF(E2904="","⚠ Falta cuenta",IF(ISNA(MATCH(E2904,ctaNom,0)),"⚠ Cuenta no existe",IF(AND(OR(I2904="Transferencia",I2904="Pago tarjeta"),G2904=""),"⚠ Indica la cuenta «Hacia»",IF(AND(G2904&lt;&gt;"",G2904=E2904),"⚠ «Hacia» igual a la cuenta",IF(AND(G2904&lt;&gt;"",ISNA(MATCH(G2904,ctaNom,0))),"⚠ «Hacia» no existe",IF(AND(I2904="Pago tarjeta",IFERROR(INDEX(ctaTipo,MATCH(G2904,ctaNom,0)),"")&lt;&gt;"Tarjeta de crédito"),"⚠ «Hacia» debe ser la tarjeta",IF(AND(I2904="Trading",IFERROR(INDEX(ctaTipo,MATCH(E2904,ctaNom,0)),"")&lt;&gt;"Cuenta de trading"),"⚠ Usa la cuenta de trading","✓"))))))))))))</f>
        <v/>
      </c>
      <c r="I2904" s="19">
        <f>IF(OR(B2904="",C2904="",D2904=""),"",IFERROR(INDEX(catTipo,MATCH(D2904,catNom,0))&amp;"",""))</f>
        <v/>
      </c>
      <c r="J2904" s="19">
        <f>IF(I2904="","",IFERROR(INDEX(catGrupo,MATCH(D2904,catNom,0))&amp;"",""))</f>
        <v/>
      </c>
      <c r="K2904" s="19">
        <f>IF(I2904="Gasto",IF(IFERROR(INDEX(catClas,MATCH(D2904,catNom,0))&amp;"","")="","Variable",IFERROR(INDEX(catClas,MATCH(D2904,catNom,0))&amp;"","")),"")</f>
        <v/>
      </c>
      <c r="L2904" s="19">
        <f>IF(I2904="","",IFERROR(INDEX(catAlim,MATCH(D2904,catNom,0))&amp;"",""))</f>
        <v/>
      </c>
      <c r="M2904" s="19">
        <f>IF(I2904="","",IFERROR(INDEX(catComida,MATCH(D2904,catNom,0))&amp;"",""))</f>
        <v/>
      </c>
      <c r="N2904" s="19">
        <f>IF(I2904="","",IFERROR(INDEX(ctaMon,MATCH(E2904,ctaNom,0))&amp;"","DOP"))</f>
        <v/>
      </c>
      <c r="O2904" s="20">
        <f>IF(I2904="","",C2904*IF(N2904="USD",TasaUSD,1))</f>
        <v/>
      </c>
      <c r="P2904" s="20">
        <f>IF(I2904="","",IF(I2904="Gasto",O2904,0))</f>
        <v/>
      </c>
      <c r="Q2904" s="20">
        <f>IF(I2904="","",IF(I2904="Ingreso",O2904,0))</f>
        <v/>
      </c>
      <c r="R2904" s="20">
        <f>IF(I2904="","",IF(I2904="Trading",O2904,0))</f>
        <v/>
      </c>
      <c r="S2904" s="19">
        <f>IF(I2904="","",IF(AND(I2904="Gasto",K2904="Variable",J2904&lt;&gt;"Trading",O2904&gt;0,O2904&lt;=Umbral),1,0))</f>
        <v/>
      </c>
      <c r="T2904" s="20">
        <f>IF(OR(I2904="",E2904=""),"",IF(OR(I2904="Gasto",I2904="Transferencia",I2904="Pago tarjeta"),-1,1)*C2904)</f>
        <v/>
      </c>
      <c r="U2904" s="20">
        <f>IF(OR(G2904="",AND(I2904&lt;&gt;"Transferencia",I2904&lt;&gt;"Pago tarjeta")),"",IF(IFERROR(INDEX(ctaMon,MATCH(G2904,ctaNom,0))&amp;"","DOP")=N2904,C2904,IF(N2904="USD",C2904*TasaUSD,C2904/TasaUSD)))</f>
        <v/>
      </c>
      <c r="V2904" s="20">
        <f>IF(I2904="","",IF(IFERROR(INDEX(ctaLiq,MATCH(E2904,ctaNom,0))="Sí",FALSE),IF(OR(I2904="Gasto",I2904="Transferencia",I2904="Pago tarjeta"),-1,1)*O2904,0)+IF(AND(U2904&lt;&gt;"",IFERROR(INDEX(ctaLiq,MATCH(G2904,ctaNom,0))="Sí",FALSE)),O2904,0))</f>
        <v/>
      </c>
      <c r="W2904" s="19">
        <f>IF(OR(F2904="",I2904=""),"",IF(COUNTIFS(F$6:F2904,F2904,I$6:I2904,"?*")=1,MAX(W$5:W2903)+1,""))</f>
        <v/>
      </c>
    </row>
    <row r="2905">
      <c r="B2905" s="15" t="n"/>
      <c r="C2905" s="16" t="n"/>
      <c r="D2905" s="17" t="n"/>
      <c r="E2905" s="17" t="n"/>
      <c r="F2905" s="17" t="n"/>
      <c r="G2905" s="17" t="n"/>
      <c r="H2905" s="18">
        <f>IF(AND(B2905="",C2905="",D2905="",E2905=""),"",IF(B2905="","⚠ Falta fecha",IF(C2905="","⚠ Falta monto",IF(D2905="","⚠ Falta categoría",IF(ISNA(MATCH(D2905,catNom,0)),"⚠ Categoría no existe",IF(E2905="","⚠ Falta cuenta",IF(ISNA(MATCH(E2905,ctaNom,0)),"⚠ Cuenta no existe",IF(AND(OR(I2905="Transferencia",I2905="Pago tarjeta"),G2905=""),"⚠ Indica la cuenta «Hacia»",IF(AND(G2905&lt;&gt;"",G2905=E2905),"⚠ «Hacia» igual a la cuenta",IF(AND(G2905&lt;&gt;"",ISNA(MATCH(G2905,ctaNom,0))),"⚠ «Hacia» no existe",IF(AND(I2905="Pago tarjeta",IFERROR(INDEX(ctaTipo,MATCH(G2905,ctaNom,0)),"")&lt;&gt;"Tarjeta de crédito"),"⚠ «Hacia» debe ser la tarjeta",IF(AND(I2905="Trading",IFERROR(INDEX(ctaTipo,MATCH(E2905,ctaNom,0)),"")&lt;&gt;"Cuenta de trading"),"⚠ Usa la cuenta de trading","✓"))))))))))))</f>
        <v/>
      </c>
      <c r="I2905" s="19">
        <f>IF(OR(B2905="",C2905="",D2905=""),"",IFERROR(INDEX(catTipo,MATCH(D2905,catNom,0))&amp;"",""))</f>
        <v/>
      </c>
      <c r="J2905" s="19">
        <f>IF(I2905="","",IFERROR(INDEX(catGrupo,MATCH(D2905,catNom,0))&amp;"",""))</f>
        <v/>
      </c>
      <c r="K2905" s="19">
        <f>IF(I2905="Gasto",IF(IFERROR(INDEX(catClas,MATCH(D2905,catNom,0))&amp;"","")="","Variable",IFERROR(INDEX(catClas,MATCH(D2905,catNom,0))&amp;"","")),"")</f>
        <v/>
      </c>
      <c r="L2905" s="19">
        <f>IF(I2905="","",IFERROR(INDEX(catAlim,MATCH(D2905,catNom,0))&amp;"",""))</f>
        <v/>
      </c>
      <c r="M2905" s="19">
        <f>IF(I2905="","",IFERROR(INDEX(catComida,MATCH(D2905,catNom,0))&amp;"",""))</f>
        <v/>
      </c>
      <c r="N2905" s="19">
        <f>IF(I2905="","",IFERROR(INDEX(ctaMon,MATCH(E2905,ctaNom,0))&amp;"","DOP"))</f>
        <v/>
      </c>
      <c r="O2905" s="20">
        <f>IF(I2905="","",C2905*IF(N2905="USD",TasaUSD,1))</f>
        <v/>
      </c>
      <c r="P2905" s="20">
        <f>IF(I2905="","",IF(I2905="Gasto",O2905,0))</f>
        <v/>
      </c>
      <c r="Q2905" s="20">
        <f>IF(I2905="","",IF(I2905="Ingreso",O2905,0))</f>
        <v/>
      </c>
      <c r="R2905" s="20">
        <f>IF(I2905="","",IF(I2905="Trading",O2905,0))</f>
        <v/>
      </c>
      <c r="S2905" s="19">
        <f>IF(I2905="","",IF(AND(I2905="Gasto",K2905="Variable",J2905&lt;&gt;"Trading",O2905&gt;0,O2905&lt;=Umbral),1,0))</f>
        <v/>
      </c>
      <c r="T2905" s="20">
        <f>IF(OR(I2905="",E2905=""),"",IF(OR(I2905="Gasto",I2905="Transferencia",I2905="Pago tarjeta"),-1,1)*C2905)</f>
        <v/>
      </c>
      <c r="U2905" s="20">
        <f>IF(OR(G2905="",AND(I2905&lt;&gt;"Transferencia",I2905&lt;&gt;"Pago tarjeta")),"",IF(IFERROR(INDEX(ctaMon,MATCH(G2905,ctaNom,0))&amp;"","DOP")=N2905,C2905,IF(N2905="USD",C2905*TasaUSD,C2905/TasaUSD)))</f>
        <v/>
      </c>
      <c r="V2905" s="20">
        <f>IF(I2905="","",IF(IFERROR(INDEX(ctaLiq,MATCH(E2905,ctaNom,0))="Sí",FALSE),IF(OR(I2905="Gasto",I2905="Transferencia",I2905="Pago tarjeta"),-1,1)*O2905,0)+IF(AND(U2905&lt;&gt;"",IFERROR(INDEX(ctaLiq,MATCH(G2905,ctaNom,0))="Sí",FALSE)),O2905,0))</f>
        <v/>
      </c>
      <c r="W2905" s="19">
        <f>IF(OR(F2905="",I2905=""),"",IF(COUNTIFS(F$6:F2905,F2905,I$6:I2905,"?*")=1,MAX(W$5:W2904)+1,""))</f>
        <v/>
      </c>
    </row>
    <row r="2906">
      <c r="B2906" s="15" t="n"/>
      <c r="C2906" s="16" t="n"/>
      <c r="D2906" s="17" t="n"/>
      <c r="E2906" s="17" t="n"/>
      <c r="F2906" s="17" t="n"/>
      <c r="G2906" s="17" t="n"/>
      <c r="H2906" s="18">
        <f>IF(AND(B2906="",C2906="",D2906="",E2906=""),"",IF(B2906="","⚠ Falta fecha",IF(C2906="","⚠ Falta monto",IF(D2906="","⚠ Falta categoría",IF(ISNA(MATCH(D2906,catNom,0)),"⚠ Categoría no existe",IF(E2906="","⚠ Falta cuenta",IF(ISNA(MATCH(E2906,ctaNom,0)),"⚠ Cuenta no existe",IF(AND(OR(I2906="Transferencia",I2906="Pago tarjeta"),G2906=""),"⚠ Indica la cuenta «Hacia»",IF(AND(G2906&lt;&gt;"",G2906=E2906),"⚠ «Hacia» igual a la cuenta",IF(AND(G2906&lt;&gt;"",ISNA(MATCH(G2906,ctaNom,0))),"⚠ «Hacia» no existe",IF(AND(I2906="Pago tarjeta",IFERROR(INDEX(ctaTipo,MATCH(G2906,ctaNom,0)),"")&lt;&gt;"Tarjeta de crédito"),"⚠ «Hacia» debe ser la tarjeta",IF(AND(I2906="Trading",IFERROR(INDEX(ctaTipo,MATCH(E2906,ctaNom,0)),"")&lt;&gt;"Cuenta de trading"),"⚠ Usa la cuenta de trading","✓"))))))))))))</f>
        <v/>
      </c>
      <c r="I2906" s="19">
        <f>IF(OR(B2906="",C2906="",D2906=""),"",IFERROR(INDEX(catTipo,MATCH(D2906,catNom,0))&amp;"",""))</f>
        <v/>
      </c>
      <c r="J2906" s="19">
        <f>IF(I2906="","",IFERROR(INDEX(catGrupo,MATCH(D2906,catNom,0))&amp;"",""))</f>
        <v/>
      </c>
      <c r="K2906" s="19">
        <f>IF(I2906="Gasto",IF(IFERROR(INDEX(catClas,MATCH(D2906,catNom,0))&amp;"","")="","Variable",IFERROR(INDEX(catClas,MATCH(D2906,catNom,0))&amp;"","")),"")</f>
        <v/>
      </c>
      <c r="L2906" s="19">
        <f>IF(I2906="","",IFERROR(INDEX(catAlim,MATCH(D2906,catNom,0))&amp;"",""))</f>
        <v/>
      </c>
      <c r="M2906" s="19">
        <f>IF(I2906="","",IFERROR(INDEX(catComida,MATCH(D2906,catNom,0))&amp;"",""))</f>
        <v/>
      </c>
      <c r="N2906" s="19">
        <f>IF(I2906="","",IFERROR(INDEX(ctaMon,MATCH(E2906,ctaNom,0))&amp;"","DOP"))</f>
        <v/>
      </c>
      <c r="O2906" s="20">
        <f>IF(I2906="","",C2906*IF(N2906="USD",TasaUSD,1))</f>
        <v/>
      </c>
      <c r="P2906" s="20">
        <f>IF(I2906="","",IF(I2906="Gasto",O2906,0))</f>
        <v/>
      </c>
      <c r="Q2906" s="20">
        <f>IF(I2906="","",IF(I2906="Ingreso",O2906,0))</f>
        <v/>
      </c>
      <c r="R2906" s="20">
        <f>IF(I2906="","",IF(I2906="Trading",O2906,0))</f>
        <v/>
      </c>
      <c r="S2906" s="19">
        <f>IF(I2906="","",IF(AND(I2906="Gasto",K2906="Variable",J2906&lt;&gt;"Trading",O2906&gt;0,O2906&lt;=Umbral),1,0))</f>
        <v/>
      </c>
      <c r="T2906" s="20">
        <f>IF(OR(I2906="",E2906=""),"",IF(OR(I2906="Gasto",I2906="Transferencia",I2906="Pago tarjeta"),-1,1)*C2906)</f>
        <v/>
      </c>
      <c r="U2906" s="20">
        <f>IF(OR(G2906="",AND(I2906&lt;&gt;"Transferencia",I2906&lt;&gt;"Pago tarjeta")),"",IF(IFERROR(INDEX(ctaMon,MATCH(G2906,ctaNom,0))&amp;"","DOP")=N2906,C2906,IF(N2906="USD",C2906*TasaUSD,C2906/TasaUSD)))</f>
        <v/>
      </c>
      <c r="V2906" s="20">
        <f>IF(I2906="","",IF(IFERROR(INDEX(ctaLiq,MATCH(E2906,ctaNom,0))="Sí",FALSE),IF(OR(I2906="Gasto",I2906="Transferencia",I2906="Pago tarjeta"),-1,1)*O2906,0)+IF(AND(U2906&lt;&gt;"",IFERROR(INDEX(ctaLiq,MATCH(G2906,ctaNom,0))="Sí",FALSE)),O2906,0))</f>
        <v/>
      </c>
      <c r="W2906" s="19">
        <f>IF(OR(F2906="",I2906=""),"",IF(COUNTIFS(F$6:F2906,F2906,I$6:I2906,"?*")=1,MAX(W$5:W2905)+1,""))</f>
        <v/>
      </c>
    </row>
    <row r="2907">
      <c r="B2907" s="15" t="n"/>
      <c r="C2907" s="16" t="n"/>
      <c r="D2907" s="17" t="n"/>
      <c r="E2907" s="17" t="n"/>
      <c r="F2907" s="17" t="n"/>
      <c r="G2907" s="17" t="n"/>
      <c r="H2907" s="18">
        <f>IF(AND(B2907="",C2907="",D2907="",E2907=""),"",IF(B2907="","⚠ Falta fecha",IF(C2907="","⚠ Falta monto",IF(D2907="","⚠ Falta categoría",IF(ISNA(MATCH(D2907,catNom,0)),"⚠ Categoría no existe",IF(E2907="","⚠ Falta cuenta",IF(ISNA(MATCH(E2907,ctaNom,0)),"⚠ Cuenta no existe",IF(AND(OR(I2907="Transferencia",I2907="Pago tarjeta"),G2907=""),"⚠ Indica la cuenta «Hacia»",IF(AND(G2907&lt;&gt;"",G2907=E2907),"⚠ «Hacia» igual a la cuenta",IF(AND(G2907&lt;&gt;"",ISNA(MATCH(G2907,ctaNom,0))),"⚠ «Hacia» no existe",IF(AND(I2907="Pago tarjeta",IFERROR(INDEX(ctaTipo,MATCH(G2907,ctaNom,0)),"")&lt;&gt;"Tarjeta de crédito"),"⚠ «Hacia» debe ser la tarjeta",IF(AND(I2907="Trading",IFERROR(INDEX(ctaTipo,MATCH(E2907,ctaNom,0)),"")&lt;&gt;"Cuenta de trading"),"⚠ Usa la cuenta de trading","✓"))))))))))))</f>
        <v/>
      </c>
      <c r="I2907" s="19">
        <f>IF(OR(B2907="",C2907="",D2907=""),"",IFERROR(INDEX(catTipo,MATCH(D2907,catNom,0))&amp;"",""))</f>
        <v/>
      </c>
      <c r="J2907" s="19">
        <f>IF(I2907="","",IFERROR(INDEX(catGrupo,MATCH(D2907,catNom,0))&amp;"",""))</f>
        <v/>
      </c>
      <c r="K2907" s="19">
        <f>IF(I2907="Gasto",IF(IFERROR(INDEX(catClas,MATCH(D2907,catNom,0))&amp;"","")="","Variable",IFERROR(INDEX(catClas,MATCH(D2907,catNom,0))&amp;"","")),"")</f>
        <v/>
      </c>
      <c r="L2907" s="19">
        <f>IF(I2907="","",IFERROR(INDEX(catAlim,MATCH(D2907,catNom,0))&amp;"",""))</f>
        <v/>
      </c>
      <c r="M2907" s="19">
        <f>IF(I2907="","",IFERROR(INDEX(catComida,MATCH(D2907,catNom,0))&amp;"",""))</f>
        <v/>
      </c>
      <c r="N2907" s="19">
        <f>IF(I2907="","",IFERROR(INDEX(ctaMon,MATCH(E2907,ctaNom,0))&amp;"","DOP"))</f>
        <v/>
      </c>
      <c r="O2907" s="20">
        <f>IF(I2907="","",C2907*IF(N2907="USD",TasaUSD,1))</f>
        <v/>
      </c>
      <c r="P2907" s="20">
        <f>IF(I2907="","",IF(I2907="Gasto",O2907,0))</f>
        <v/>
      </c>
      <c r="Q2907" s="20">
        <f>IF(I2907="","",IF(I2907="Ingreso",O2907,0))</f>
        <v/>
      </c>
      <c r="R2907" s="20">
        <f>IF(I2907="","",IF(I2907="Trading",O2907,0))</f>
        <v/>
      </c>
      <c r="S2907" s="19">
        <f>IF(I2907="","",IF(AND(I2907="Gasto",K2907="Variable",J2907&lt;&gt;"Trading",O2907&gt;0,O2907&lt;=Umbral),1,0))</f>
        <v/>
      </c>
      <c r="T2907" s="20">
        <f>IF(OR(I2907="",E2907=""),"",IF(OR(I2907="Gasto",I2907="Transferencia",I2907="Pago tarjeta"),-1,1)*C2907)</f>
        <v/>
      </c>
      <c r="U2907" s="20">
        <f>IF(OR(G2907="",AND(I2907&lt;&gt;"Transferencia",I2907&lt;&gt;"Pago tarjeta")),"",IF(IFERROR(INDEX(ctaMon,MATCH(G2907,ctaNom,0))&amp;"","DOP")=N2907,C2907,IF(N2907="USD",C2907*TasaUSD,C2907/TasaUSD)))</f>
        <v/>
      </c>
      <c r="V2907" s="20">
        <f>IF(I2907="","",IF(IFERROR(INDEX(ctaLiq,MATCH(E2907,ctaNom,0))="Sí",FALSE),IF(OR(I2907="Gasto",I2907="Transferencia",I2907="Pago tarjeta"),-1,1)*O2907,0)+IF(AND(U2907&lt;&gt;"",IFERROR(INDEX(ctaLiq,MATCH(G2907,ctaNom,0))="Sí",FALSE)),O2907,0))</f>
        <v/>
      </c>
      <c r="W2907" s="19">
        <f>IF(OR(F2907="",I2907=""),"",IF(COUNTIFS(F$6:F2907,F2907,I$6:I2907,"?*")=1,MAX(W$5:W2906)+1,""))</f>
        <v/>
      </c>
    </row>
    <row r="2908">
      <c r="B2908" s="15" t="n"/>
      <c r="C2908" s="16" t="n"/>
      <c r="D2908" s="17" t="n"/>
      <c r="E2908" s="17" t="n"/>
      <c r="F2908" s="17" t="n"/>
      <c r="G2908" s="17" t="n"/>
      <c r="H2908" s="18">
        <f>IF(AND(B2908="",C2908="",D2908="",E2908=""),"",IF(B2908="","⚠ Falta fecha",IF(C2908="","⚠ Falta monto",IF(D2908="","⚠ Falta categoría",IF(ISNA(MATCH(D2908,catNom,0)),"⚠ Categoría no existe",IF(E2908="","⚠ Falta cuenta",IF(ISNA(MATCH(E2908,ctaNom,0)),"⚠ Cuenta no existe",IF(AND(OR(I2908="Transferencia",I2908="Pago tarjeta"),G2908=""),"⚠ Indica la cuenta «Hacia»",IF(AND(G2908&lt;&gt;"",G2908=E2908),"⚠ «Hacia» igual a la cuenta",IF(AND(G2908&lt;&gt;"",ISNA(MATCH(G2908,ctaNom,0))),"⚠ «Hacia» no existe",IF(AND(I2908="Pago tarjeta",IFERROR(INDEX(ctaTipo,MATCH(G2908,ctaNom,0)),"")&lt;&gt;"Tarjeta de crédito"),"⚠ «Hacia» debe ser la tarjeta",IF(AND(I2908="Trading",IFERROR(INDEX(ctaTipo,MATCH(E2908,ctaNom,0)),"")&lt;&gt;"Cuenta de trading"),"⚠ Usa la cuenta de trading","✓"))))))))))))</f>
        <v/>
      </c>
      <c r="I2908" s="19">
        <f>IF(OR(B2908="",C2908="",D2908=""),"",IFERROR(INDEX(catTipo,MATCH(D2908,catNom,0))&amp;"",""))</f>
        <v/>
      </c>
      <c r="J2908" s="19">
        <f>IF(I2908="","",IFERROR(INDEX(catGrupo,MATCH(D2908,catNom,0))&amp;"",""))</f>
        <v/>
      </c>
      <c r="K2908" s="19">
        <f>IF(I2908="Gasto",IF(IFERROR(INDEX(catClas,MATCH(D2908,catNom,0))&amp;"","")="","Variable",IFERROR(INDEX(catClas,MATCH(D2908,catNom,0))&amp;"","")),"")</f>
        <v/>
      </c>
      <c r="L2908" s="19">
        <f>IF(I2908="","",IFERROR(INDEX(catAlim,MATCH(D2908,catNom,0))&amp;"",""))</f>
        <v/>
      </c>
      <c r="M2908" s="19">
        <f>IF(I2908="","",IFERROR(INDEX(catComida,MATCH(D2908,catNom,0))&amp;"",""))</f>
        <v/>
      </c>
      <c r="N2908" s="19">
        <f>IF(I2908="","",IFERROR(INDEX(ctaMon,MATCH(E2908,ctaNom,0))&amp;"","DOP"))</f>
        <v/>
      </c>
      <c r="O2908" s="20">
        <f>IF(I2908="","",C2908*IF(N2908="USD",TasaUSD,1))</f>
        <v/>
      </c>
      <c r="P2908" s="20">
        <f>IF(I2908="","",IF(I2908="Gasto",O2908,0))</f>
        <v/>
      </c>
      <c r="Q2908" s="20">
        <f>IF(I2908="","",IF(I2908="Ingreso",O2908,0))</f>
        <v/>
      </c>
      <c r="R2908" s="20">
        <f>IF(I2908="","",IF(I2908="Trading",O2908,0))</f>
        <v/>
      </c>
      <c r="S2908" s="19">
        <f>IF(I2908="","",IF(AND(I2908="Gasto",K2908="Variable",J2908&lt;&gt;"Trading",O2908&gt;0,O2908&lt;=Umbral),1,0))</f>
        <v/>
      </c>
      <c r="T2908" s="20">
        <f>IF(OR(I2908="",E2908=""),"",IF(OR(I2908="Gasto",I2908="Transferencia",I2908="Pago tarjeta"),-1,1)*C2908)</f>
        <v/>
      </c>
      <c r="U2908" s="20">
        <f>IF(OR(G2908="",AND(I2908&lt;&gt;"Transferencia",I2908&lt;&gt;"Pago tarjeta")),"",IF(IFERROR(INDEX(ctaMon,MATCH(G2908,ctaNom,0))&amp;"","DOP")=N2908,C2908,IF(N2908="USD",C2908*TasaUSD,C2908/TasaUSD)))</f>
        <v/>
      </c>
      <c r="V2908" s="20">
        <f>IF(I2908="","",IF(IFERROR(INDEX(ctaLiq,MATCH(E2908,ctaNom,0))="Sí",FALSE),IF(OR(I2908="Gasto",I2908="Transferencia",I2908="Pago tarjeta"),-1,1)*O2908,0)+IF(AND(U2908&lt;&gt;"",IFERROR(INDEX(ctaLiq,MATCH(G2908,ctaNom,0))="Sí",FALSE)),O2908,0))</f>
        <v/>
      </c>
      <c r="W2908" s="19">
        <f>IF(OR(F2908="",I2908=""),"",IF(COUNTIFS(F$6:F2908,F2908,I$6:I2908,"?*")=1,MAX(W$5:W2907)+1,""))</f>
        <v/>
      </c>
    </row>
    <row r="2909">
      <c r="B2909" s="15" t="n"/>
      <c r="C2909" s="16" t="n"/>
      <c r="D2909" s="17" t="n"/>
      <c r="E2909" s="17" t="n"/>
      <c r="F2909" s="17" t="n"/>
      <c r="G2909" s="17" t="n"/>
      <c r="H2909" s="18">
        <f>IF(AND(B2909="",C2909="",D2909="",E2909=""),"",IF(B2909="","⚠ Falta fecha",IF(C2909="","⚠ Falta monto",IF(D2909="","⚠ Falta categoría",IF(ISNA(MATCH(D2909,catNom,0)),"⚠ Categoría no existe",IF(E2909="","⚠ Falta cuenta",IF(ISNA(MATCH(E2909,ctaNom,0)),"⚠ Cuenta no existe",IF(AND(OR(I2909="Transferencia",I2909="Pago tarjeta"),G2909=""),"⚠ Indica la cuenta «Hacia»",IF(AND(G2909&lt;&gt;"",G2909=E2909),"⚠ «Hacia» igual a la cuenta",IF(AND(G2909&lt;&gt;"",ISNA(MATCH(G2909,ctaNom,0))),"⚠ «Hacia» no existe",IF(AND(I2909="Pago tarjeta",IFERROR(INDEX(ctaTipo,MATCH(G2909,ctaNom,0)),"")&lt;&gt;"Tarjeta de crédito"),"⚠ «Hacia» debe ser la tarjeta",IF(AND(I2909="Trading",IFERROR(INDEX(ctaTipo,MATCH(E2909,ctaNom,0)),"")&lt;&gt;"Cuenta de trading"),"⚠ Usa la cuenta de trading","✓"))))))))))))</f>
        <v/>
      </c>
      <c r="I2909" s="19">
        <f>IF(OR(B2909="",C2909="",D2909=""),"",IFERROR(INDEX(catTipo,MATCH(D2909,catNom,0))&amp;"",""))</f>
        <v/>
      </c>
      <c r="J2909" s="19">
        <f>IF(I2909="","",IFERROR(INDEX(catGrupo,MATCH(D2909,catNom,0))&amp;"",""))</f>
        <v/>
      </c>
      <c r="K2909" s="19">
        <f>IF(I2909="Gasto",IF(IFERROR(INDEX(catClas,MATCH(D2909,catNom,0))&amp;"","")="","Variable",IFERROR(INDEX(catClas,MATCH(D2909,catNom,0))&amp;"","")),"")</f>
        <v/>
      </c>
      <c r="L2909" s="19">
        <f>IF(I2909="","",IFERROR(INDEX(catAlim,MATCH(D2909,catNom,0))&amp;"",""))</f>
        <v/>
      </c>
      <c r="M2909" s="19">
        <f>IF(I2909="","",IFERROR(INDEX(catComida,MATCH(D2909,catNom,0))&amp;"",""))</f>
        <v/>
      </c>
      <c r="N2909" s="19">
        <f>IF(I2909="","",IFERROR(INDEX(ctaMon,MATCH(E2909,ctaNom,0))&amp;"","DOP"))</f>
        <v/>
      </c>
      <c r="O2909" s="20">
        <f>IF(I2909="","",C2909*IF(N2909="USD",TasaUSD,1))</f>
        <v/>
      </c>
      <c r="P2909" s="20">
        <f>IF(I2909="","",IF(I2909="Gasto",O2909,0))</f>
        <v/>
      </c>
      <c r="Q2909" s="20">
        <f>IF(I2909="","",IF(I2909="Ingreso",O2909,0))</f>
        <v/>
      </c>
      <c r="R2909" s="20">
        <f>IF(I2909="","",IF(I2909="Trading",O2909,0))</f>
        <v/>
      </c>
      <c r="S2909" s="19">
        <f>IF(I2909="","",IF(AND(I2909="Gasto",K2909="Variable",J2909&lt;&gt;"Trading",O2909&gt;0,O2909&lt;=Umbral),1,0))</f>
        <v/>
      </c>
      <c r="T2909" s="20">
        <f>IF(OR(I2909="",E2909=""),"",IF(OR(I2909="Gasto",I2909="Transferencia",I2909="Pago tarjeta"),-1,1)*C2909)</f>
        <v/>
      </c>
      <c r="U2909" s="20">
        <f>IF(OR(G2909="",AND(I2909&lt;&gt;"Transferencia",I2909&lt;&gt;"Pago tarjeta")),"",IF(IFERROR(INDEX(ctaMon,MATCH(G2909,ctaNom,0))&amp;"","DOP")=N2909,C2909,IF(N2909="USD",C2909*TasaUSD,C2909/TasaUSD)))</f>
        <v/>
      </c>
      <c r="V2909" s="20">
        <f>IF(I2909="","",IF(IFERROR(INDEX(ctaLiq,MATCH(E2909,ctaNom,0))="Sí",FALSE),IF(OR(I2909="Gasto",I2909="Transferencia",I2909="Pago tarjeta"),-1,1)*O2909,0)+IF(AND(U2909&lt;&gt;"",IFERROR(INDEX(ctaLiq,MATCH(G2909,ctaNom,0))="Sí",FALSE)),O2909,0))</f>
        <v/>
      </c>
      <c r="W2909" s="19">
        <f>IF(OR(F2909="",I2909=""),"",IF(COUNTIFS(F$6:F2909,F2909,I$6:I2909,"?*")=1,MAX(W$5:W2908)+1,""))</f>
        <v/>
      </c>
    </row>
    <row r="2910">
      <c r="B2910" s="15" t="n"/>
      <c r="C2910" s="16" t="n"/>
      <c r="D2910" s="17" t="n"/>
      <c r="E2910" s="17" t="n"/>
      <c r="F2910" s="17" t="n"/>
      <c r="G2910" s="17" t="n"/>
      <c r="H2910" s="18">
        <f>IF(AND(B2910="",C2910="",D2910="",E2910=""),"",IF(B2910="","⚠ Falta fecha",IF(C2910="","⚠ Falta monto",IF(D2910="","⚠ Falta categoría",IF(ISNA(MATCH(D2910,catNom,0)),"⚠ Categoría no existe",IF(E2910="","⚠ Falta cuenta",IF(ISNA(MATCH(E2910,ctaNom,0)),"⚠ Cuenta no existe",IF(AND(OR(I2910="Transferencia",I2910="Pago tarjeta"),G2910=""),"⚠ Indica la cuenta «Hacia»",IF(AND(G2910&lt;&gt;"",G2910=E2910),"⚠ «Hacia» igual a la cuenta",IF(AND(G2910&lt;&gt;"",ISNA(MATCH(G2910,ctaNom,0))),"⚠ «Hacia» no existe",IF(AND(I2910="Pago tarjeta",IFERROR(INDEX(ctaTipo,MATCH(G2910,ctaNom,0)),"")&lt;&gt;"Tarjeta de crédito"),"⚠ «Hacia» debe ser la tarjeta",IF(AND(I2910="Trading",IFERROR(INDEX(ctaTipo,MATCH(E2910,ctaNom,0)),"")&lt;&gt;"Cuenta de trading"),"⚠ Usa la cuenta de trading","✓"))))))))))))</f>
        <v/>
      </c>
      <c r="I2910" s="19">
        <f>IF(OR(B2910="",C2910="",D2910=""),"",IFERROR(INDEX(catTipo,MATCH(D2910,catNom,0))&amp;"",""))</f>
        <v/>
      </c>
      <c r="J2910" s="19">
        <f>IF(I2910="","",IFERROR(INDEX(catGrupo,MATCH(D2910,catNom,0))&amp;"",""))</f>
        <v/>
      </c>
      <c r="K2910" s="19">
        <f>IF(I2910="Gasto",IF(IFERROR(INDEX(catClas,MATCH(D2910,catNom,0))&amp;"","")="","Variable",IFERROR(INDEX(catClas,MATCH(D2910,catNom,0))&amp;"","")),"")</f>
        <v/>
      </c>
      <c r="L2910" s="19">
        <f>IF(I2910="","",IFERROR(INDEX(catAlim,MATCH(D2910,catNom,0))&amp;"",""))</f>
        <v/>
      </c>
      <c r="M2910" s="19">
        <f>IF(I2910="","",IFERROR(INDEX(catComida,MATCH(D2910,catNom,0))&amp;"",""))</f>
        <v/>
      </c>
      <c r="N2910" s="19">
        <f>IF(I2910="","",IFERROR(INDEX(ctaMon,MATCH(E2910,ctaNom,0))&amp;"","DOP"))</f>
        <v/>
      </c>
      <c r="O2910" s="20">
        <f>IF(I2910="","",C2910*IF(N2910="USD",TasaUSD,1))</f>
        <v/>
      </c>
      <c r="P2910" s="20">
        <f>IF(I2910="","",IF(I2910="Gasto",O2910,0))</f>
        <v/>
      </c>
      <c r="Q2910" s="20">
        <f>IF(I2910="","",IF(I2910="Ingreso",O2910,0))</f>
        <v/>
      </c>
      <c r="R2910" s="20">
        <f>IF(I2910="","",IF(I2910="Trading",O2910,0))</f>
        <v/>
      </c>
      <c r="S2910" s="19">
        <f>IF(I2910="","",IF(AND(I2910="Gasto",K2910="Variable",J2910&lt;&gt;"Trading",O2910&gt;0,O2910&lt;=Umbral),1,0))</f>
        <v/>
      </c>
      <c r="T2910" s="20">
        <f>IF(OR(I2910="",E2910=""),"",IF(OR(I2910="Gasto",I2910="Transferencia",I2910="Pago tarjeta"),-1,1)*C2910)</f>
        <v/>
      </c>
      <c r="U2910" s="20">
        <f>IF(OR(G2910="",AND(I2910&lt;&gt;"Transferencia",I2910&lt;&gt;"Pago tarjeta")),"",IF(IFERROR(INDEX(ctaMon,MATCH(G2910,ctaNom,0))&amp;"","DOP")=N2910,C2910,IF(N2910="USD",C2910*TasaUSD,C2910/TasaUSD)))</f>
        <v/>
      </c>
      <c r="V2910" s="20">
        <f>IF(I2910="","",IF(IFERROR(INDEX(ctaLiq,MATCH(E2910,ctaNom,0))="Sí",FALSE),IF(OR(I2910="Gasto",I2910="Transferencia",I2910="Pago tarjeta"),-1,1)*O2910,0)+IF(AND(U2910&lt;&gt;"",IFERROR(INDEX(ctaLiq,MATCH(G2910,ctaNom,0))="Sí",FALSE)),O2910,0))</f>
        <v/>
      </c>
      <c r="W2910" s="19">
        <f>IF(OR(F2910="",I2910=""),"",IF(COUNTIFS(F$6:F2910,F2910,I$6:I2910,"?*")=1,MAX(W$5:W2909)+1,""))</f>
        <v/>
      </c>
    </row>
    <row r="2911">
      <c r="B2911" s="15" t="n"/>
      <c r="C2911" s="16" t="n"/>
      <c r="D2911" s="17" t="n"/>
      <c r="E2911" s="17" t="n"/>
      <c r="F2911" s="17" t="n"/>
      <c r="G2911" s="17" t="n"/>
      <c r="H2911" s="18">
        <f>IF(AND(B2911="",C2911="",D2911="",E2911=""),"",IF(B2911="","⚠ Falta fecha",IF(C2911="","⚠ Falta monto",IF(D2911="","⚠ Falta categoría",IF(ISNA(MATCH(D2911,catNom,0)),"⚠ Categoría no existe",IF(E2911="","⚠ Falta cuenta",IF(ISNA(MATCH(E2911,ctaNom,0)),"⚠ Cuenta no existe",IF(AND(OR(I2911="Transferencia",I2911="Pago tarjeta"),G2911=""),"⚠ Indica la cuenta «Hacia»",IF(AND(G2911&lt;&gt;"",G2911=E2911),"⚠ «Hacia» igual a la cuenta",IF(AND(G2911&lt;&gt;"",ISNA(MATCH(G2911,ctaNom,0))),"⚠ «Hacia» no existe",IF(AND(I2911="Pago tarjeta",IFERROR(INDEX(ctaTipo,MATCH(G2911,ctaNom,0)),"")&lt;&gt;"Tarjeta de crédito"),"⚠ «Hacia» debe ser la tarjeta",IF(AND(I2911="Trading",IFERROR(INDEX(ctaTipo,MATCH(E2911,ctaNom,0)),"")&lt;&gt;"Cuenta de trading"),"⚠ Usa la cuenta de trading","✓"))))))))))))</f>
        <v/>
      </c>
      <c r="I2911" s="19">
        <f>IF(OR(B2911="",C2911="",D2911=""),"",IFERROR(INDEX(catTipo,MATCH(D2911,catNom,0))&amp;"",""))</f>
        <v/>
      </c>
      <c r="J2911" s="19">
        <f>IF(I2911="","",IFERROR(INDEX(catGrupo,MATCH(D2911,catNom,0))&amp;"",""))</f>
        <v/>
      </c>
      <c r="K2911" s="19">
        <f>IF(I2911="Gasto",IF(IFERROR(INDEX(catClas,MATCH(D2911,catNom,0))&amp;"","")="","Variable",IFERROR(INDEX(catClas,MATCH(D2911,catNom,0))&amp;"","")),"")</f>
        <v/>
      </c>
      <c r="L2911" s="19">
        <f>IF(I2911="","",IFERROR(INDEX(catAlim,MATCH(D2911,catNom,0))&amp;"",""))</f>
        <v/>
      </c>
      <c r="M2911" s="19">
        <f>IF(I2911="","",IFERROR(INDEX(catComida,MATCH(D2911,catNom,0))&amp;"",""))</f>
        <v/>
      </c>
      <c r="N2911" s="19">
        <f>IF(I2911="","",IFERROR(INDEX(ctaMon,MATCH(E2911,ctaNom,0))&amp;"","DOP"))</f>
        <v/>
      </c>
      <c r="O2911" s="20">
        <f>IF(I2911="","",C2911*IF(N2911="USD",TasaUSD,1))</f>
        <v/>
      </c>
      <c r="P2911" s="20">
        <f>IF(I2911="","",IF(I2911="Gasto",O2911,0))</f>
        <v/>
      </c>
      <c r="Q2911" s="20">
        <f>IF(I2911="","",IF(I2911="Ingreso",O2911,0))</f>
        <v/>
      </c>
      <c r="R2911" s="20">
        <f>IF(I2911="","",IF(I2911="Trading",O2911,0))</f>
        <v/>
      </c>
      <c r="S2911" s="19">
        <f>IF(I2911="","",IF(AND(I2911="Gasto",K2911="Variable",J2911&lt;&gt;"Trading",O2911&gt;0,O2911&lt;=Umbral),1,0))</f>
        <v/>
      </c>
      <c r="T2911" s="20">
        <f>IF(OR(I2911="",E2911=""),"",IF(OR(I2911="Gasto",I2911="Transferencia",I2911="Pago tarjeta"),-1,1)*C2911)</f>
        <v/>
      </c>
      <c r="U2911" s="20">
        <f>IF(OR(G2911="",AND(I2911&lt;&gt;"Transferencia",I2911&lt;&gt;"Pago tarjeta")),"",IF(IFERROR(INDEX(ctaMon,MATCH(G2911,ctaNom,0))&amp;"","DOP")=N2911,C2911,IF(N2911="USD",C2911*TasaUSD,C2911/TasaUSD)))</f>
        <v/>
      </c>
      <c r="V2911" s="20">
        <f>IF(I2911="","",IF(IFERROR(INDEX(ctaLiq,MATCH(E2911,ctaNom,0))="Sí",FALSE),IF(OR(I2911="Gasto",I2911="Transferencia",I2911="Pago tarjeta"),-1,1)*O2911,0)+IF(AND(U2911&lt;&gt;"",IFERROR(INDEX(ctaLiq,MATCH(G2911,ctaNom,0))="Sí",FALSE)),O2911,0))</f>
        <v/>
      </c>
      <c r="W2911" s="19">
        <f>IF(OR(F2911="",I2911=""),"",IF(COUNTIFS(F$6:F2911,F2911,I$6:I2911,"?*")=1,MAX(W$5:W2910)+1,""))</f>
        <v/>
      </c>
    </row>
    <row r="2912">
      <c r="B2912" s="15" t="n"/>
      <c r="C2912" s="16" t="n"/>
      <c r="D2912" s="17" t="n"/>
      <c r="E2912" s="17" t="n"/>
      <c r="F2912" s="17" t="n"/>
      <c r="G2912" s="17" t="n"/>
      <c r="H2912" s="18">
        <f>IF(AND(B2912="",C2912="",D2912="",E2912=""),"",IF(B2912="","⚠ Falta fecha",IF(C2912="","⚠ Falta monto",IF(D2912="","⚠ Falta categoría",IF(ISNA(MATCH(D2912,catNom,0)),"⚠ Categoría no existe",IF(E2912="","⚠ Falta cuenta",IF(ISNA(MATCH(E2912,ctaNom,0)),"⚠ Cuenta no existe",IF(AND(OR(I2912="Transferencia",I2912="Pago tarjeta"),G2912=""),"⚠ Indica la cuenta «Hacia»",IF(AND(G2912&lt;&gt;"",G2912=E2912),"⚠ «Hacia» igual a la cuenta",IF(AND(G2912&lt;&gt;"",ISNA(MATCH(G2912,ctaNom,0))),"⚠ «Hacia» no existe",IF(AND(I2912="Pago tarjeta",IFERROR(INDEX(ctaTipo,MATCH(G2912,ctaNom,0)),"")&lt;&gt;"Tarjeta de crédito"),"⚠ «Hacia» debe ser la tarjeta",IF(AND(I2912="Trading",IFERROR(INDEX(ctaTipo,MATCH(E2912,ctaNom,0)),"")&lt;&gt;"Cuenta de trading"),"⚠ Usa la cuenta de trading","✓"))))))))))))</f>
        <v/>
      </c>
      <c r="I2912" s="19">
        <f>IF(OR(B2912="",C2912="",D2912=""),"",IFERROR(INDEX(catTipo,MATCH(D2912,catNom,0))&amp;"",""))</f>
        <v/>
      </c>
      <c r="J2912" s="19">
        <f>IF(I2912="","",IFERROR(INDEX(catGrupo,MATCH(D2912,catNom,0))&amp;"",""))</f>
        <v/>
      </c>
      <c r="K2912" s="19">
        <f>IF(I2912="Gasto",IF(IFERROR(INDEX(catClas,MATCH(D2912,catNom,0))&amp;"","")="","Variable",IFERROR(INDEX(catClas,MATCH(D2912,catNom,0))&amp;"","")),"")</f>
        <v/>
      </c>
      <c r="L2912" s="19">
        <f>IF(I2912="","",IFERROR(INDEX(catAlim,MATCH(D2912,catNom,0))&amp;"",""))</f>
        <v/>
      </c>
      <c r="M2912" s="19">
        <f>IF(I2912="","",IFERROR(INDEX(catComida,MATCH(D2912,catNom,0))&amp;"",""))</f>
        <v/>
      </c>
      <c r="N2912" s="19">
        <f>IF(I2912="","",IFERROR(INDEX(ctaMon,MATCH(E2912,ctaNom,0))&amp;"","DOP"))</f>
        <v/>
      </c>
      <c r="O2912" s="20">
        <f>IF(I2912="","",C2912*IF(N2912="USD",TasaUSD,1))</f>
        <v/>
      </c>
      <c r="P2912" s="20">
        <f>IF(I2912="","",IF(I2912="Gasto",O2912,0))</f>
        <v/>
      </c>
      <c r="Q2912" s="20">
        <f>IF(I2912="","",IF(I2912="Ingreso",O2912,0))</f>
        <v/>
      </c>
      <c r="R2912" s="20">
        <f>IF(I2912="","",IF(I2912="Trading",O2912,0))</f>
        <v/>
      </c>
      <c r="S2912" s="19">
        <f>IF(I2912="","",IF(AND(I2912="Gasto",K2912="Variable",J2912&lt;&gt;"Trading",O2912&gt;0,O2912&lt;=Umbral),1,0))</f>
        <v/>
      </c>
      <c r="T2912" s="20">
        <f>IF(OR(I2912="",E2912=""),"",IF(OR(I2912="Gasto",I2912="Transferencia",I2912="Pago tarjeta"),-1,1)*C2912)</f>
        <v/>
      </c>
      <c r="U2912" s="20">
        <f>IF(OR(G2912="",AND(I2912&lt;&gt;"Transferencia",I2912&lt;&gt;"Pago tarjeta")),"",IF(IFERROR(INDEX(ctaMon,MATCH(G2912,ctaNom,0))&amp;"","DOP")=N2912,C2912,IF(N2912="USD",C2912*TasaUSD,C2912/TasaUSD)))</f>
        <v/>
      </c>
      <c r="V2912" s="20">
        <f>IF(I2912="","",IF(IFERROR(INDEX(ctaLiq,MATCH(E2912,ctaNom,0))="Sí",FALSE),IF(OR(I2912="Gasto",I2912="Transferencia",I2912="Pago tarjeta"),-1,1)*O2912,0)+IF(AND(U2912&lt;&gt;"",IFERROR(INDEX(ctaLiq,MATCH(G2912,ctaNom,0))="Sí",FALSE)),O2912,0))</f>
        <v/>
      </c>
      <c r="W2912" s="19">
        <f>IF(OR(F2912="",I2912=""),"",IF(COUNTIFS(F$6:F2912,F2912,I$6:I2912,"?*")=1,MAX(W$5:W2911)+1,""))</f>
        <v/>
      </c>
    </row>
    <row r="2913">
      <c r="B2913" s="15" t="n"/>
      <c r="C2913" s="16" t="n"/>
      <c r="D2913" s="17" t="n"/>
      <c r="E2913" s="17" t="n"/>
      <c r="F2913" s="17" t="n"/>
      <c r="G2913" s="17" t="n"/>
      <c r="H2913" s="18">
        <f>IF(AND(B2913="",C2913="",D2913="",E2913=""),"",IF(B2913="","⚠ Falta fecha",IF(C2913="","⚠ Falta monto",IF(D2913="","⚠ Falta categoría",IF(ISNA(MATCH(D2913,catNom,0)),"⚠ Categoría no existe",IF(E2913="","⚠ Falta cuenta",IF(ISNA(MATCH(E2913,ctaNom,0)),"⚠ Cuenta no existe",IF(AND(OR(I2913="Transferencia",I2913="Pago tarjeta"),G2913=""),"⚠ Indica la cuenta «Hacia»",IF(AND(G2913&lt;&gt;"",G2913=E2913),"⚠ «Hacia» igual a la cuenta",IF(AND(G2913&lt;&gt;"",ISNA(MATCH(G2913,ctaNom,0))),"⚠ «Hacia» no existe",IF(AND(I2913="Pago tarjeta",IFERROR(INDEX(ctaTipo,MATCH(G2913,ctaNom,0)),"")&lt;&gt;"Tarjeta de crédito"),"⚠ «Hacia» debe ser la tarjeta",IF(AND(I2913="Trading",IFERROR(INDEX(ctaTipo,MATCH(E2913,ctaNom,0)),"")&lt;&gt;"Cuenta de trading"),"⚠ Usa la cuenta de trading","✓"))))))))))))</f>
        <v/>
      </c>
      <c r="I2913" s="19">
        <f>IF(OR(B2913="",C2913="",D2913=""),"",IFERROR(INDEX(catTipo,MATCH(D2913,catNom,0))&amp;"",""))</f>
        <v/>
      </c>
      <c r="J2913" s="19">
        <f>IF(I2913="","",IFERROR(INDEX(catGrupo,MATCH(D2913,catNom,0))&amp;"",""))</f>
        <v/>
      </c>
      <c r="K2913" s="19">
        <f>IF(I2913="Gasto",IF(IFERROR(INDEX(catClas,MATCH(D2913,catNom,0))&amp;"","")="","Variable",IFERROR(INDEX(catClas,MATCH(D2913,catNom,0))&amp;"","")),"")</f>
        <v/>
      </c>
      <c r="L2913" s="19">
        <f>IF(I2913="","",IFERROR(INDEX(catAlim,MATCH(D2913,catNom,0))&amp;"",""))</f>
        <v/>
      </c>
      <c r="M2913" s="19">
        <f>IF(I2913="","",IFERROR(INDEX(catComida,MATCH(D2913,catNom,0))&amp;"",""))</f>
        <v/>
      </c>
      <c r="N2913" s="19">
        <f>IF(I2913="","",IFERROR(INDEX(ctaMon,MATCH(E2913,ctaNom,0))&amp;"","DOP"))</f>
        <v/>
      </c>
      <c r="O2913" s="20">
        <f>IF(I2913="","",C2913*IF(N2913="USD",TasaUSD,1))</f>
        <v/>
      </c>
      <c r="P2913" s="20">
        <f>IF(I2913="","",IF(I2913="Gasto",O2913,0))</f>
        <v/>
      </c>
      <c r="Q2913" s="20">
        <f>IF(I2913="","",IF(I2913="Ingreso",O2913,0))</f>
        <v/>
      </c>
      <c r="R2913" s="20">
        <f>IF(I2913="","",IF(I2913="Trading",O2913,0))</f>
        <v/>
      </c>
      <c r="S2913" s="19">
        <f>IF(I2913="","",IF(AND(I2913="Gasto",K2913="Variable",J2913&lt;&gt;"Trading",O2913&gt;0,O2913&lt;=Umbral),1,0))</f>
        <v/>
      </c>
      <c r="T2913" s="20">
        <f>IF(OR(I2913="",E2913=""),"",IF(OR(I2913="Gasto",I2913="Transferencia",I2913="Pago tarjeta"),-1,1)*C2913)</f>
        <v/>
      </c>
      <c r="U2913" s="20">
        <f>IF(OR(G2913="",AND(I2913&lt;&gt;"Transferencia",I2913&lt;&gt;"Pago tarjeta")),"",IF(IFERROR(INDEX(ctaMon,MATCH(G2913,ctaNom,0))&amp;"","DOP")=N2913,C2913,IF(N2913="USD",C2913*TasaUSD,C2913/TasaUSD)))</f>
        <v/>
      </c>
      <c r="V2913" s="20">
        <f>IF(I2913="","",IF(IFERROR(INDEX(ctaLiq,MATCH(E2913,ctaNom,0))="Sí",FALSE),IF(OR(I2913="Gasto",I2913="Transferencia",I2913="Pago tarjeta"),-1,1)*O2913,0)+IF(AND(U2913&lt;&gt;"",IFERROR(INDEX(ctaLiq,MATCH(G2913,ctaNom,0))="Sí",FALSE)),O2913,0))</f>
        <v/>
      </c>
      <c r="W2913" s="19">
        <f>IF(OR(F2913="",I2913=""),"",IF(COUNTIFS(F$6:F2913,F2913,I$6:I2913,"?*")=1,MAX(W$5:W2912)+1,""))</f>
        <v/>
      </c>
    </row>
    <row r="2914">
      <c r="B2914" s="15" t="n"/>
      <c r="C2914" s="16" t="n"/>
      <c r="D2914" s="17" t="n"/>
      <c r="E2914" s="17" t="n"/>
      <c r="F2914" s="17" t="n"/>
      <c r="G2914" s="17" t="n"/>
      <c r="H2914" s="18">
        <f>IF(AND(B2914="",C2914="",D2914="",E2914=""),"",IF(B2914="","⚠ Falta fecha",IF(C2914="","⚠ Falta monto",IF(D2914="","⚠ Falta categoría",IF(ISNA(MATCH(D2914,catNom,0)),"⚠ Categoría no existe",IF(E2914="","⚠ Falta cuenta",IF(ISNA(MATCH(E2914,ctaNom,0)),"⚠ Cuenta no existe",IF(AND(OR(I2914="Transferencia",I2914="Pago tarjeta"),G2914=""),"⚠ Indica la cuenta «Hacia»",IF(AND(G2914&lt;&gt;"",G2914=E2914),"⚠ «Hacia» igual a la cuenta",IF(AND(G2914&lt;&gt;"",ISNA(MATCH(G2914,ctaNom,0))),"⚠ «Hacia» no existe",IF(AND(I2914="Pago tarjeta",IFERROR(INDEX(ctaTipo,MATCH(G2914,ctaNom,0)),"")&lt;&gt;"Tarjeta de crédito"),"⚠ «Hacia» debe ser la tarjeta",IF(AND(I2914="Trading",IFERROR(INDEX(ctaTipo,MATCH(E2914,ctaNom,0)),"")&lt;&gt;"Cuenta de trading"),"⚠ Usa la cuenta de trading","✓"))))))))))))</f>
        <v/>
      </c>
      <c r="I2914" s="19">
        <f>IF(OR(B2914="",C2914="",D2914=""),"",IFERROR(INDEX(catTipo,MATCH(D2914,catNom,0))&amp;"",""))</f>
        <v/>
      </c>
      <c r="J2914" s="19">
        <f>IF(I2914="","",IFERROR(INDEX(catGrupo,MATCH(D2914,catNom,0))&amp;"",""))</f>
        <v/>
      </c>
      <c r="K2914" s="19">
        <f>IF(I2914="Gasto",IF(IFERROR(INDEX(catClas,MATCH(D2914,catNom,0))&amp;"","")="","Variable",IFERROR(INDEX(catClas,MATCH(D2914,catNom,0))&amp;"","")),"")</f>
        <v/>
      </c>
      <c r="L2914" s="19">
        <f>IF(I2914="","",IFERROR(INDEX(catAlim,MATCH(D2914,catNom,0))&amp;"",""))</f>
        <v/>
      </c>
      <c r="M2914" s="19">
        <f>IF(I2914="","",IFERROR(INDEX(catComida,MATCH(D2914,catNom,0))&amp;"",""))</f>
        <v/>
      </c>
      <c r="N2914" s="19">
        <f>IF(I2914="","",IFERROR(INDEX(ctaMon,MATCH(E2914,ctaNom,0))&amp;"","DOP"))</f>
        <v/>
      </c>
      <c r="O2914" s="20">
        <f>IF(I2914="","",C2914*IF(N2914="USD",TasaUSD,1))</f>
        <v/>
      </c>
      <c r="P2914" s="20">
        <f>IF(I2914="","",IF(I2914="Gasto",O2914,0))</f>
        <v/>
      </c>
      <c r="Q2914" s="20">
        <f>IF(I2914="","",IF(I2914="Ingreso",O2914,0))</f>
        <v/>
      </c>
      <c r="R2914" s="20">
        <f>IF(I2914="","",IF(I2914="Trading",O2914,0))</f>
        <v/>
      </c>
      <c r="S2914" s="19">
        <f>IF(I2914="","",IF(AND(I2914="Gasto",K2914="Variable",J2914&lt;&gt;"Trading",O2914&gt;0,O2914&lt;=Umbral),1,0))</f>
        <v/>
      </c>
      <c r="T2914" s="20">
        <f>IF(OR(I2914="",E2914=""),"",IF(OR(I2914="Gasto",I2914="Transferencia",I2914="Pago tarjeta"),-1,1)*C2914)</f>
        <v/>
      </c>
      <c r="U2914" s="20">
        <f>IF(OR(G2914="",AND(I2914&lt;&gt;"Transferencia",I2914&lt;&gt;"Pago tarjeta")),"",IF(IFERROR(INDEX(ctaMon,MATCH(G2914,ctaNom,0))&amp;"","DOP")=N2914,C2914,IF(N2914="USD",C2914*TasaUSD,C2914/TasaUSD)))</f>
        <v/>
      </c>
      <c r="V2914" s="20">
        <f>IF(I2914="","",IF(IFERROR(INDEX(ctaLiq,MATCH(E2914,ctaNom,0))="Sí",FALSE),IF(OR(I2914="Gasto",I2914="Transferencia",I2914="Pago tarjeta"),-1,1)*O2914,0)+IF(AND(U2914&lt;&gt;"",IFERROR(INDEX(ctaLiq,MATCH(G2914,ctaNom,0))="Sí",FALSE)),O2914,0))</f>
        <v/>
      </c>
      <c r="W2914" s="19">
        <f>IF(OR(F2914="",I2914=""),"",IF(COUNTIFS(F$6:F2914,F2914,I$6:I2914,"?*")=1,MAX(W$5:W2913)+1,""))</f>
        <v/>
      </c>
    </row>
    <row r="2915">
      <c r="B2915" s="15" t="n"/>
      <c r="C2915" s="16" t="n"/>
      <c r="D2915" s="17" t="n"/>
      <c r="E2915" s="17" t="n"/>
      <c r="F2915" s="17" t="n"/>
      <c r="G2915" s="17" t="n"/>
      <c r="H2915" s="18">
        <f>IF(AND(B2915="",C2915="",D2915="",E2915=""),"",IF(B2915="","⚠ Falta fecha",IF(C2915="","⚠ Falta monto",IF(D2915="","⚠ Falta categoría",IF(ISNA(MATCH(D2915,catNom,0)),"⚠ Categoría no existe",IF(E2915="","⚠ Falta cuenta",IF(ISNA(MATCH(E2915,ctaNom,0)),"⚠ Cuenta no existe",IF(AND(OR(I2915="Transferencia",I2915="Pago tarjeta"),G2915=""),"⚠ Indica la cuenta «Hacia»",IF(AND(G2915&lt;&gt;"",G2915=E2915),"⚠ «Hacia» igual a la cuenta",IF(AND(G2915&lt;&gt;"",ISNA(MATCH(G2915,ctaNom,0))),"⚠ «Hacia» no existe",IF(AND(I2915="Pago tarjeta",IFERROR(INDEX(ctaTipo,MATCH(G2915,ctaNom,0)),"")&lt;&gt;"Tarjeta de crédito"),"⚠ «Hacia» debe ser la tarjeta",IF(AND(I2915="Trading",IFERROR(INDEX(ctaTipo,MATCH(E2915,ctaNom,0)),"")&lt;&gt;"Cuenta de trading"),"⚠ Usa la cuenta de trading","✓"))))))))))))</f>
        <v/>
      </c>
      <c r="I2915" s="19">
        <f>IF(OR(B2915="",C2915="",D2915=""),"",IFERROR(INDEX(catTipo,MATCH(D2915,catNom,0))&amp;"",""))</f>
        <v/>
      </c>
      <c r="J2915" s="19">
        <f>IF(I2915="","",IFERROR(INDEX(catGrupo,MATCH(D2915,catNom,0))&amp;"",""))</f>
        <v/>
      </c>
      <c r="K2915" s="19">
        <f>IF(I2915="Gasto",IF(IFERROR(INDEX(catClas,MATCH(D2915,catNom,0))&amp;"","")="","Variable",IFERROR(INDEX(catClas,MATCH(D2915,catNom,0))&amp;"","")),"")</f>
        <v/>
      </c>
      <c r="L2915" s="19">
        <f>IF(I2915="","",IFERROR(INDEX(catAlim,MATCH(D2915,catNom,0))&amp;"",""))</f>
        <v/>
      </c>
      <c r="M2915" s="19">
        <f>IF(I2915="","",IFERROR(INDEX(catComida,MATCH(D2915,catNom,0))&amp;"",""))</f>
        <v/>
      </c>
      <c r="N2915" s="19">
        <f>IF(I2915="","",IFERROR(INDEX(ctaMon,MATCH(E2915,ctaNom,0))&amp;"","DOP"))</f>
        <v/>
      </c>
      <c r="O2915" s="20">
        <f>IF(I2915="","",C2915*IF(N2915="USD",TasaUSD,1))</f>
        <v/>
      </c>
      <c r="P2915" s="20">
        <f>IF(I2915="","",IF(I2915="Gasto",O2915,0))</f>
        <v/>
      </c>
      <c r="Q2915" s="20">
        <f>IF(I2915="","",IF(I2915="Ingreso",O2915,0))</f>
        <v/>
      </c>
      <c r="R2915" s="20">
        <f>IF(I2915="","",IF(I2915="Trading",O2915,0))</f>
        <v/>
      </c>
      <c r="S2915" s="19">
        <f>IF(I2915="","",IF(AND(I2915="Gasto",K2915="Variable",J2915&lt;&gt;"Trading",O2915&gt;0,O2915&lt;=Umbral),1,0))</f>
        <v/>
      </c>
      <c r="T2915" s="20">
        <f>IF(OR(I2915="",E2915=""),"",IF(OR(I2915="Gasto",I2915="Transferencia",I2915="Pago tarjeta"),-1,1)*C2915)</f>
        <v/>
      </c>
      <c r="U2915" s="20">
        <f>IF(OR(G2915="",AND(I2915&lt;&gt;"Transferencia",I2915&lt;&gt;"Pago tarjeta")),"",IF(IFERROR(INDEX(ctaMon,MATCH(G2915,ctaNom,0))&amp;"","DOP")=N2915,C2915,IF(N2915="USD",C2915*TasaUSD,C2915/TasaUSD)))</f>
        <v/>
      </c>
      <c r="V2915" s="20">
        <f>IF(I2915="","",IF(IFERROR(INDEX(ctaLiq,MATCH(E2915,ctaNom,0))="Sí",FALSE),IF(OR(I2915="Gasto",I2915="Transferencia",I2915="Pago tarjeta"),-1,1)*O2915,0)+IF(AND(U2915&lt;&gt;"",IFERROR(INDEX(ctaLiq,MATCH(G2915,ctaNom,0))="Sí",FALSE)),O2915,0))</f>
        <v/>
      </c>
      <c r="W2915" s="19">
        <f>IF(OR(F2915="",I2915=""),"",IF(COUNTIFS(F$6:F2915,F2915,I$6:I2915,"?*")=1,MAX(W$5:W2914)+1,""))</f>
        <v/>
      </c>
    </row>
    <row r="2916">
      <c r="B2916" s="15" t="n"/>
      <c r="C2916" s="16" t="n"/>
      <c r="D2916" s="17" t="n"/>
      <c r="E2916" s="17" t="n"/>
      <c r="F2916" s="17" t="n"/>
      <c r="G2916" s="17" t="n"/>
      <c r="H2916" s="18">
        <f>IF(AND(B2916="",C2916="",D2916="",E2916=""),"",IF(B2916="","⚠ Falta fecha",IF(C2916="","⚠ Falta monto",IF(D2916="","⚠ Falta categoría",IF(ISNA(MATCH(D2916,catNom,0)),"⚠ Categoría no existe",IF(E2916="","⚠ Falta cuenta",IF(ISNA(MATCH(E2916,ctaNom,0)),"⚠ Cuenta no existe",IF(AND(OR(I2916="Transferencia",I2916="Pago tarjeta"),G2916=""),"⚠ Indica la cuenta «Hacia»",IF(AND(G2916&lt;&gt;"",G2916=E2916),"⚠ «Hacia» igual a la cuenta",IF(AND(G2916&lt;&gt;"",ISNA(MATCH(G2916,ctaNom,0))),"⚠ «Hacia» no existe",IF(AND(I2916="Pago tarjeta",IFERROR(INDEX(ctaTipo,MATCH(G2916,ctaNom,0)),"")&lt;&gt;"Tarjeta de crédito"),"⚠ «Hacia» debe ser la tarjeta",IF(AND(I2916="Trading",IFERROR(INDEX(ctaTipo,MATCH(E2916,ctaNom,0)),"")&lt;&gt;"Cuenta de trading"),"⚠ Usa la cuenta de trading","✓"))))))))))))</f>
        <v/>
      </c>
      <c r="I2916" s="19">
        <f>IF(OR(B2916="",C2916="",D2916=""),"",IFERROR(INDEX(catTipo,MATCH(D2916,catNom,0))&amp;"",""))</f>
        <v/>
      </c>
      <c r="J2916" s="19">
        <f>IF(I2916="","",IFERROR(INDEX(catGrupo,MATCH(D2916,catNom,0))&amp;"",""))</f>
        <v/>
      </c>
      <c r="K2916" s="19">
        <f>IF(I2916="Gasto",IF(IFERROR(INDEX(catClas,MATCH(D2916,catNom,0))&amp;"","")="","Variable",IFERROR(INDEX(catClas,MATCH(D2916,catNom,0))&amp;"","")),"")</f>
        <v/>
      </c>
      <c r="L2916" s="19">
        <f>IF(I2916="","",IFERROR(INDEX(catAlim,MATCH(D2916,catNom,0))&amp;"",""))</f>
        <v/>
      </c>
      <c r="M2916" s="19">
        <f>IF(I2916="","",IFERROR(INDEX(catComida,MATCH(D2916,catNom,0))&amp;"",""))</f>
        <v/>
      </c>
      <c r="N2916" s="19">
        <f>IF(I2916="","",IFERROR(INDEX(ctaMon,MATCH(E2916,ctaNom,0))&amp;"","DOP"))</f>
        <v/>
      </c>
      <c r="O2916" s="20">
        <f>IF(I2916="","",C2916*IF(N2916="USD",TasaUSD,1))</f>
        <v/>
      </c>
      <c r="P2916" s="20">
        <f>IF(I2916="","",IF(I2916="Gasto",O2916,0))</f>
        <v/>
      </c>
      <c r="Q2916" s="20">
        <f>IF(I2916="","",IF(I2916="Ingreso",O2916,0))</f>
        <v/>
      </c>
      <c r="R2916" s="20">
        <f>IF(I2916="","",IF(I2916="Trading",O2916,0))</f>
        <v/>
      </c>
      <c r="S2916" s="19">
        <f>IF(I2916="","",IF(AND(I2916="Gasto",K2916="Variable",J2916&lt;&gt;"Trading",O2916&gt;0,O2916&lt;=Umbral),1,0))</f>
        <v/>
      </c>
      <c r="T2916" s="20">
        <f>IF(OR(I2916="",E2916=""),"",IF(OR(I2916="Gasto",I2916="Transferencia",I2916="Pago tarjeta"),-1,1)*C2916)</f>
        <v/>
      </c>
      <c r="U2916" s="20">
        <f>IF(OR(G2916="",AND(I2916&lt;&gt;"Transferencia",I2916&lt;&gt;"Pago tarjeta")),"",IF(IFERROR(INDEX(ctaMon,MATCH(G2916,ctaNom,0))&amp;"","DOP")=N2916,C2916,IF(N2916="USD",C2916*TasaUSD,C2916/TasaUSD)))</f>
        <v/>
      </c>
      <c r="V2916" s="20">
        <f>IF(I2916="","",IF(IFERROR(INDEX(ctaLiq,MATCH(E2916,ctaNom,0))="Sí",FALSE),IF(OR(I2916="Gasto",I2916="Transferencia",I2916="Pago tarjeta"),-1,1)*O2916,0)+IF(AND(U2916&lt;&gt;"",IFERROR(INDEX(ctaLiq,MATCH(G2916,ctaNom,0))="Sí",FALSE)),O2916,0))</f>
        <v/>
      </c>
      <c r="W2916" s="19">
        <f>IF(OR(F2916="",I2916=""),"",IF(COUNTIFS(F$6:F2916,F2916,I$6:I2916,"?*")=1,MAX(W$5:W2915)+1,""))</f>
        <v/>
      </c>
    </row>
    <row r="2917">
      <c r="B2917" s="15" t="n"/>
      <c r="C2917" s="16" t="n"/>
      <c r="D2917" s="17" t="n"/>
      <c r="E2917" s="17" t="n"/>
      <c r="F2917" s="17" t="n"/>
      <c r="G2917" s="17" t="n"/>
      <c r="H2917" s="18">
        <f>IF(AND(B2917="",C2917="",D2917="",E2917=""),"",IF(B2917="","⚠ Falta fecha",IF(C2917="","⚠ Falta monto",IF(D2917="","⚠ Falta categoría",IF(ISNA(MATCH(D2917,catNom,0)),"⚠ Categoría no existe",IF(E2917="","⚠ Falta cuenta",IF(ISNA(MATCH(E2917,ctaNom,0)),"⚠ Cuenta no existe",IF(AND(OR(I2917="Transferencia",I2917="Pago tarjeta"),G2917=""),"⚠ Indica la cuenta «Hacia»",IF(AND(G2917&lt;&gt;"",G2917=E2917),"⚠ «Hacia» igual a la cuenta",IF(AND(G2917&lt;&gt;"",ISNA(MATCH(G2917,ctaNom,0))),"⚠ «Hacia» no existe",IF(AND(I2917="Pago tarjeta",IFERROR(INDEX(ctaTipo,MATCH(G2917,ctaNom,0)),"")&lt;&gt;"Tarjeta de crédito"),"⚠ «Hacia» debe ser la tarjeta",IF(AND(I2917="Trading",IFERROR(INDEX(ctaTipo,MATCH(E2917,ctaNom,0)),"")&lt;&gt;"Cuenta de trading"),"⚠ Usa la cuenta de trading","✓"))))))))))))</f>
        <v/>
      </c>
      <c r="I2917" s="19">
        <f>IF(OR(B2917="",C2917="",D2917=""),"",IFERROR(INDEX(catTipo,MATCH(D2917,catNom,0))&amp;"",""))</f>
        <v/>
      </c>
      <c r="J2917" s="19">
        <f>IF(I2917="","",IFERROR(INDEX(catGrupo,MATCH(D2917,catNom,0))&amp;"",""))</f>
        <v/>
      </c>
      <c r="K2917" s="19">
        <f>IF(I2917="Gasto",IF(IFERROR(INDEX(catClas,MATCH(D2917,catNom,0))&amp;"","")="","Variable",IFERROR(INDEX(catClas,MATCH(D2917,catNom,0))&amp;"","")),"")</f>
        <v/>
      </c>
      <c r="L2917" s="19">
        <f>IF(I2917="","",IFERROR(INDEX(catAlim,MATCH(D2917,catNom,0))&amp;"",""))</f>
        <v/>
      </c>
      <c r="M2917" s="19">
        <f>IF(I2917="","",IFERROR(INDEX(catComida,MATCH(D2917,catNom,0))&amp;"",""))</f>
        <v/>
      </c>
      <c r="N2917" s="19">
        <f>IF(I2917="","",IFERROR(INDEX(ctaMon,MATCH(E2917,ctaNom,0))&amp;"","DOP"))</f>
        <v/>
      </c>
      <c r="O2917" s="20">
        <f>IF(I2917="","",C2917*IF(N2917="USD",TasaUSD,1))</f>
        <v/>
      </c>
      <c r="P2917" s="20">
        <f>IF(I2917="","",IF(I2917="Gasto",O2917,0))</f>
        <v/>
      </c>
      <c r="Q2917" s="20">
        <f>IF(I2917="","",IF(I2917="Ingreso",O2917,0))</f>
        <v/>
      </c>
      <c r="R2917" s="20">
        <f>IF(I2917="","",IF(I2917="Trading",O2917,0))</f>
        <v/>
      </c>
      <c r="S2917" s="19">
        <f>IF(I2917="","",IF(AND(I2917="Gasto",K2917="Variable",J2917&lt;&gt;"Trading",O2917&gt;0,O2917&lt;=Umbral),1,0))</f>
        <v/>
      </c>
      <c r="T2917" s="20">
        <f>IF(OR(I2917="",E2917=""),"",IF(OR(I2917="Gasto",I2917="Transferencia",I2917="Pago tarjeta"),-1,1)*C2917)</f>
        <v/>
      </c>
      <c r="U2917" s="20">
        <f>IF(OR(G2917="",AND(I2917&lt;&gt;"Transferencia",I2917&lt;&gt;"Pago tarjeta")),"",IF(IFERROR(INDEX(ctaMon,MATCH(G2917,ctaNom,0))&amp;"","DOP")=N2917,C2917,IF(N2917="USD",C2917*TasaUSD,C2917/TasaUSD)))</f>
        <v/>
      </c>
      <c r="V2917" s="20">
        <f>IF(I2917="","",IF(IFERROR(INDEX(ctaLiq,MATCH(E2917,ctaNom,0))="Sí",FALSE),IF(OR(I2917="Gasto",I2917="Transferencia",I2917="Pago tarjeta"),-1,1)*O2917,0)+IF(AND(U2917&lt;&gt;"",IFERROR(INDEX(ctaLiq,MATCH(G2917,ctaNom,0))="Sí",FALSE)),O2917,0))</f>
        <v/>
      </c>
      <c r="W2917" s="19">
        <f>IF(OR(F2917="",I2917=""),"",IF(COUNTIFS(F$6:F2917,F2917,I$6:I2917,"?*")=1,MAX(W$5:W2916)+1,""))</f>
        <v/>
      </c>
    </row>
    <row r="2918">
      <c r="B2918" s="15" t="n"/>
      <c r="C2918" s="16" t="n"/>
      <c r="D2918" s="17" t="n"/>
      <c r="E2918" s="17" t="n"/>
      <c r="F2918" s="17" t="n"/>
      <c r="G2918" s="17" t="n"/>
      <c r="H2918" s="18">
        <f>IF(AND(B2918="",C2918="",D2918="",E2918=""),"",IF(B2918="","⚠ Falta fecha",IF(C2918="","⚠ Falta monto",IF(D2918="","⚠ Falta categoría",IF(ISNA(MATCH(D2918,catNom,0)),"⚠ Categoría no existe",IF(E2918="","⚠ Falta cuenta",IF(ISNA(MATCH(E2918,ctaNom,0)),"⚠ Cuenta no existe",IF(AND(OR(I2918="Transferencia",I2918="Pago tarjeta"),G2918=""),"⚠ Indica la cuenta «Hacia»",IF(AND(G2918&lt;&gt;"",G2918=E2918),"⚠ «Hacia» igual a la cuenta",IF(AND(G2918&lt;&gt;"",ISNA(MATCH(G2918,ctaNom,0))),"⚠ «Hacia» no existe",IF(AND(I2918="Pago tarjeta",IFERROR(INDEX(ctaTipo,MATCH(G2918,ctaNom,0)),"")&lt;&gt;"Tarjeta de crédito"),"⚠ «Hacia» debe ser la tarjeta",IF(AND(I2918="Trading",IFERROR(INDEX(ctaTipo,MATCH(E2918,ctaNom,0)),"")&lt;&gt;"Cuenta de trading"),"⚠ Usa la cuenta de trading","✓"))))))))))))</f>
        <v/>
      </c>
      <c r="I2918" s="19">
        <f>IF(OR(B2918="",C2918="",D2918=""),"",IFERROR(INDEX(catTipo,MATCH(D2918,catNom,0))&amp;"",""))</f>
        <v/>
      </c>
      <c r="J2918" s="19">
        <f>IF(I2918="","",IFERROR(INDEX(catGrupo,MATCH(D2918,catNom,0))&amp;"",""))</f>
        <v/>
      </c>
      <c r="K2918" s="19">
        <f>IF(I2918="Gasto",IF(IFERROR(INDEX(catClas,MATCH(D2918,catNom,0))&amp;"","")="","Variable",IFERROR(INDEX(catClas,MATCH(D2918,catNom,0))&amp;"","")),"")</f>
        <v/>
      </c>
      <c r="L2918" s="19">
        <f>IF(I2918="","",IFERROR(INDEX(catAlim,MATCH(D2918,catNom,0))&amp;"",""))</f>
        <v/>
      </c>
      <c r="M2918" s="19">
        <f>IF(I2918="","",IFERROR(INDEX(catComida,MATCH(D2918,catNom,0))&amp;"",""))</f>
        <v/>
      </c>
      <c r="N2918" s="19">
        <f>IF(I2918="","",IFERROR(INDEX(ctaMon,MATCH(E2918,ctaNom,0))&amp;"","DOP"))</f>
        <v/>
      </c>
      <c r="O2918" s="20">
        <f>IF(I2918="","",C2918*IF(N2918="USD",TasaUSD,1))</f>
        <v/>
      </c>
      <c r="P2918" s="20">
        <f>IF(I2918="","",IF(I2918="Gasto",O2918,0))</f>
        <v/>
      </c>
      <c r="Q2918" s="20">
        <f>IF(I2918="","",IF(I2918="Ingreso",O2918,0))</f>
        <v/>
      </c>
      <c r="R2918" s="20">
        <f>IF(I2918="","",IF(I2918="Trading",O2918,0))</f>
        <v/>
      </c>
      <c r="S2918" s="19">
        <f>IF(I2918="","",IF(AND(I2918="Gasto",K2918="Variable",J2918&lt;&gt;"Trading",O2918&gt;0,O2918&lt;=Umbral),1,0))</f>
        <v/>
      </c>
      <c r="T2918" s="20">
        <f>IF(OR(I2918="",E2918=""),"",IF(OR(I2918="Gasto",I2918="Transferencia",I2918="Pago tarjeta"),-1,1)*C2918)</f>
        <v/>
      </c>
      <c r="U2918" s="20">
        <f>IF(OR(G2918="",AND(I2918&lt;&gt;"Transferencia",I2918&lt;&gt;"Pago tarjeta")),"",IF(IFERROR(INDEX(ctaMon,MATCH(G2918,ctaNom,0))&amp;"","DOP")=N2918,C2918,IF(N2918="USD",C2918*TasaUSD,C2918/TasaUSD)))</f>
        <v/>
      </c>
      <c r="V2918" s="20">
        <f>IF(I2918="","",IF(IFERROR(INDEX(ctaLiq,MATCH(E2918,ctaNom,0))="Sí",FALSE),IF(OR(I2918="Gasto",I2918="Transferencia",I2918="Pago tarjeta"),-1,1)*O2918,0)+IF(AND(U2918&lt;&gt;"",IFERROR(INDEX(ctaLiq,MATCH(G2918,ctaNom,0))="Sí",FALSE)),O2918,0))</f>
        <v/>
      </c>
      <c r="W2918" s="19">
        <f>IF(OR(F2918="",I2918=""),"",IF(COUNTIFS(F$6:F2918,F2918,I$6:I2918,"?*")=1,MAX(W$5:W2917)+1,""))</f>
        <v/>
      </c>
    </row>
    <row r="2919">
      <c r="B2919" s="15" t="n"/>
      <c r="C2919" s="16" t="n"/>
      <c r="D2919" s="17" t="n"/>
      <c r="E2919" s="17" t="n"/>
      <c r="F2919" s="17" t="n"/>
      <c r="G2919" s="17" t="n"/>
      <c r="H2919" s="18">
        <f>IF(AND(B2919="",C2919="",D2919="",E2919=""),"",IF(B2919="","⚠ Falta fecha",IF(C2919="","⚠ Falta monto",IF(D2919="","⚠ Falta categoría",IF(ISNA(MATCH(D2919,catNom,0)),"⚠ Categoría no existe",IF(E2919="","⚠ Falta cuenta",IF(ISNA(MATCH(E2919,ctaNom,0)),"⚠ Cuenta no existe",IF(AND(OR(I2919="Transferencia",I2919="Pago tarjeta"),G2919=""),"⚠ Indica la cuenta «Hacia»",IF(AND(G2919&lt;&gt;"",G2919=E2919),"⚠ «Hacia» igual a la cuenta",IF(AND(G2919&lt;&gt;"",ISNA(MATCH(G2919,ctaNom,0))),"⚠ «Hacia» no existe",IF(AND(I2919="Pago tarjeta",IFERROR(INDEX(ctaTipo,MATCH(G2919,ctaNom,0)),"")&lt;&gt;"Tarjeta de crédito"),"⚠ «Hacia» debe ser la tarjeta",IF(AND(I2919="Trading",IFERROR(INDEX(ctaTipo,MATCH(E2919,ctaNom,0)),"")&lt;&gt;"Cuenta de trading"),"⚠ Usa la cuenta de trading","✓"))))))))))))</f>
        <v/>
      </c>
      <c r="I2919" s="19">
        <f>IF(OR(B2919="",C2919="",D2919=""),"",IFERROR(INDEX(catTipo,MATCH(D2919,catNom,0))&amp;"",""))</f>
        <v/>
      </c>
      <c r="J2919" s="19">
        <f>IF(I2919="","",IFERROR(INDEX(catGrupo,MATCH(D2919,catNom,0))&amp;"",""))</f>
        <v/>
      </c>
      <c r="K2919" s="19">
        <f>IF(I2919="Gasto",IF(IFERROR(INDEX(catClas,MATCH(D2919,catNom,0))&amp;"","")="","Variable",IFERROR(INDEX(catClas,MATCH(D2919,catNom,0))&amp;"","")),"")</f>
        <v/>
      </c>
      <c r="L2919" s="19">
        <f>IF(I2919="","",IFERROR(INDEX(catAlim,MATCH(D2919,catNom,0))&amp;"",""))</f>
        <v/>
      </c>
      <c r="M2919" s="19">
        <f>IF(I2919="","",IFERROR(INDEX(catComida,MATCH(D2919,catNom,0))&amp;"",""))</f>
        <v/>
      </c>
      <c r="N2919" s="19">
        <f>IF(I2919="","",IFERROR(INDEX(ctaMon,MATCH(E2919,ctaNom,0))&amp;"","DOP"))</f>
        <v/>
      </c>
      <c r="O2919" s="20">
        <f>IF(I2919="","",C2919*IF(N2919="USD",TasaUSD,1))</f>
        <v/>
      </c>
      <c r="P2919" s="20">
        <f>IF(I2919="","",IF(I2919="Gasto",O2919,0))</f>
        <v/>
      </c>
      <c r="Q2919" s="20">
        <f>IF(I2919="","",IF(I2919="Ingreso",O2919,0))</f>
        <v/>
      </c>
      <c r="R2919" s="20">
        <f>IF(I2919="","",IF(I2919="Trading",O2919,0))</f>
        <v/>
      </c>
      <c r="S2919" s="19">
        <f>IF(I2919="","",IF(AND(I2919="Gasto",K2919="Variable",J2919&lt;&gt;"Trading",O2919&gt;0,O2919&lt;=Umbral),1,0))</f>
        <v/>
      </c>
      <c r="T2919" s="20">
        <f>IF(OR(I2919="",E2919=""),"",IF(OR(I2919="Gasto",I2919="Transferencia",I2919="Pago tarjeta"),-1,1)*C2919)</f>
        <v/>
      </c>
      <c r="U2919" s="20">
        <f>IF(OR(G2919="",AND(I2919&lt;&gt;"Transferencia",I2919&lt;&gt;"Pago tarjeta")),"",IF(IFERROR(INDEX(ctaMon,MATCH(G2919,ctaNom,0))&amp;"","DOP")=N2919,C2919,IF(N2919="USD",C2919*TasaUSD,C2919/TasaUSD)))</f>
        <v/>
      </c>
      <c r="V2919" s="20">
        <f>IF(I2919="","",IF(IFERROR(INDEX(ctaLiq,MATCH(E2919,ctaNom,0))="Sí",FALSE),IF(OR(I2919="Gasto",I2919="Transferencia",I2919="Pago tarjeta"),-1,1)*O2919,0)+IF(AND(U2919&lt;&gt;"",IFERROR(INDEX(ctaLiq,MATCH(G2919,ctaNom,0))="Sí",FALSE)),O2919,0))</f>
        <v/>
      </c>
      <c r="W2919" s="19">
        <f>IF(OR(F2919="",I2919=""),"",IF(COUNTIFS(F$6:F2919,F2919,I$6:I2919,"?*")=1,MAX(W$5:W2918)+1,""))</f>
        <v/>
      </c>
    </row>
    <row r="2920">
      <c r="B2920" s="15" t="n"/>
      <c r="C2920" s="16" t="n"/>
      <c r="D2920" s="17" t="n"/>
      <c r="E2920" s="17" t="n"/>
      <c r="F2920" s="17" t="n"/>
      <c r="G2920" s="17" t="n"/>
      <c r="H2920" s="18">
        <f>IF(AND(B2920="",C2920="",D2920="",E2920=""),"",IF(B2920="","⚠ Falta fecha",IF(C2920="","⚠ Falta monto",IF(D2920="","⚠ Falta categoría",IF(ISNA(MATCH(D2920,catNom,0)),"⚠ Categoría no existe",IF(E2920="","⚠ Falta cuenta",IF(ISNA(MATCH(E2920,ctaNom,0)),"⚠ Cuenta no existe",IF(AND(OR(I2920="Transferencia",I2920="Pago tarjeta"),G2920=""),"⚠ Indica la cuenta «Hacia»",IF(AND(G2920&lt;&gt;"",G2920=E2920),"⚠ «Hacia» igual a la cuenta",IF(AND(G2920&lt;&gt;"",ISNA(MATCH(G2920,ctaNom,0))),"⚠ «Hacia» no existe",IF(AND(I2920="Pago tarjeta",IFERROR(INDEX(ctaTipo,MATCH(G2920,ctaNom,0)),"")&lt;&gt;"Tarjeta de crédito"),"⚠ «Hacia» debe ser la tarjeta",IF(AND(I2920="Trading",IFERROR(INDEX(ctaTipo,MATCH(E2920,ctaNom,0)),"")&lt;&gt;"Cuenta de trading"),"⚠ Usa la cuenta de trading","✓"))))))))))))</f>
        <v/>
      </c>
      <c r="I2920" s="19">
        <f>IF(OR(B2920="",C2920="",D2920=""),"",IFERROR(INDEX(catTipo,MATCH(D2920,catNom,0))&amp;"",""))</f>
        <v/>
      </c>
      <c r="J2920" s="19">
        <f>IF(I2920="","",IFERROR(INDEX(catGrupo,MATCH(D2920,catNom,0))&amp;"",""))</f>
        <v/>
      </c>
      <c r="K2920" s="19">
        <f>IF(I2920="Gasto",IF(IFERROR(INDEX(catClas,MATCH(D2920,catNom,0))&amp;"","")="","Variable",IFERROR(INDEX(catClas,MATCH(D2920,catNom,0))&amp;"","")),"")</f>
        <v/>
      </c>
      <c r="L2920" s="19">
        <f>IF(I2920="","",IFERROR(INDEX(catAlim,MATCH(D2920,catNom,0))&amp;"",""))</f>
        <v/>
      </c>
      <c r="M2920" s="19">
        <f>IF(I2920="","",IFERROR(INDEX(catComida,MATCH(D2920,catNom,0))&amp;"",""))</f>
        <v/>
      </c>
      <c r="N2920" s="19">
        <f>IF(I2920="","",IFERROR(INDEX(ctaMon,MATCH(E2920,ctaNom,0))&amp;"","DOP"))</f>
        <v/>
      </c>
      <c r="O2920" s="20">
        <f>IF(I2920="","",C2920*IF(N2920="USD",TasaUSD,1))</f>
        <v/>
      </c>
      <c r="P2920" s="20">
        <f>IF(I2920="","",IF(I2920="Gasto",O2920,0))</f>
        <v/>
      </c>
      <c r="Q2920" s="20">
        <f>IF(I2920="","",IF(I2920="Ingreso",O2920,0))</f>
        <v/>
      </c>
      <c r="R2920" s="20">
        <f>IF(I2920="","",IF(I2920="Trading",O2920,0))</f>
        <v/>
      </c>
      <c r="S2920" s="19">
        <f>IF(I2920="","",IF(AND(I2920="Gasto",K2920="Variable",J2920&lt;&gt;"Trading",O2920&gt;0,O2920&lt;=Umbral),1,0))</f>
        <v/>
      </c>
      <c r="T2920" s="20">
        <f>IF(OR(I2920="",E2920=""),"",IF(OR(I2920="Gasto",I2920="Transferencia",I2920="Pago tarjeta"),-1,1)*C2920)</f>
        <v/>
      </c>
      <c r="U2920" s="20">
        <f>IF(OR(G2920="",AND(I2920&lt;&gt;"Transferencia",I2920&lt;&gt;"Pago tarjeta")),"",IF(IFERROR(INDEX(ctaMon,MATCH(G2920,ctaNom,0))&amp;"","DOP")=N2920,C2920,IF(N2920="USD",C2920*TasaUSD,C2920/TasaUSD)))</f>
        <v/>
      </c>
      <c r="V2920" s="20">
        <f>IF(I2920="","",IF(IFERROR(INDEX(ctaLiq,MATCH(E2920,ctaNom,0))="Sí",FALSE),IF(OR(I2920="Gasto",I2920="Transferencia",I2920="Pago tarjeta"),-1,1)*O2920,0)+IF(AND(U2920&lt;&gt;"",IFERROR(INDEX(ctaLiq,MATCH(G2920,ctaNom,0))="Sí",FALSE)),O2920,0))</f>
        <v/>
      </c>
      <c r="W2920" s="19">
        <f>IF(OR(F2920="",I2920=""),"",IF(COUNTIFS(F$6:F2920,F2920,I$6:I2920,"?*")=1,MAX(W$5:W2919)+1,""))</f>
        <v/>
      </c>
    </row>
    <row r="2921">
      <c r="B2921" s="15" t="n"/>
      <c r="C2921" s="16" t="n"/>
      <c r="D2921" s="17" t="n"/>
      <c r="E2921" s="17" t="n"/>
      <c r="F2921" s="17" t="n"/>
      <c r="G2921" s="17" t="n"/>
      <c r="H2921" s="18">
        <f>IF(AND(B2921="",C2921="",D2921="",E2921=""),"",IF(B2921="","⚠ Falta fecha",IF(C2921="","⚠ Falta monto",IF(D2921="","⚠ Falta categoría",IF(ISNA(MATCH(D2921,catNom,0)),"⚠ Categoría no existe",IF(E2921="","⚠ Falta cuenta",IF(ISNA(MATCH(E2921,ctaNom,0)),"⚠ Cuenta no existe",IF(AND(OR(I2921="Transferencia",I2921="Pago tarjeta"),G2921=""),"⚠ Indica la cuenta «Hacia»",IF(AND(G2921&lt;&gt;"",G2921=E2921),"⚠ «Hacia» igual a la cuenta",IF(AND(G2921&lt;&gt;"",ISNA(MATCH(G2921,ctaNom,0))),"⚠ «Hacia» no existe",IF(AND(I2921="Pago tarjeta",IFERROR(INDEX(ctaTipo,MATCH(G2921,ctaNom,0)),"")&lt;&gt;"Tarjeta de crédito"),"⚠ «Hacia» debe ser la tarjeta",IF(AND(I2921="Trading",IFERROR(INDEX(ctaTipo,MATCH(E2921,ctaNom,0)),"")&lt;&gt;"Cuenta de trading"),"⚠ Usa la cuenta de trading","✓"))))))))))))</f>
        <v/>
      </c>
      <c r="I2921" s="19">
        <f>IF(OR(B2921="",C2921="",D2921=""),"",IFERROR(INDEX(catTipo,MATCH(D2921,catNom,0))&amp;"",""))</f>
        <v/>
      </c>
      <c r="J2921" s="19">
        <f>IF(I2921="","",IFERROR(INDEX(catGrupo,MATCH(D2921,catNom,0))&amp;"",""))</f>
        <v/>
      </c>
      <c r="K2921" s="19">
        <f>IF(I2921="Gasto",IF(IFERROR(INDEX(catClas,MATCH(D2921,catNom,0))&amp;"","")="","Variable",IFERROR(INDEX(catClas,MATCH(D2921,catNom,0))&amp;"","")),"")</f>
        <v/>
      </c>
      <c r="L2921" s="19">
        <f>IF(I2921="","",IFERROR(INDEX(catAlim,MATCH(D2921,catNom,0))&amp;"",""))</f>
        <v/>
      </c>
      <c r="M2921" s="19">
        <f>IF(I2921="","",IFERROR(INDEX(catComida,MATCH(D2921,catNom,0))&amp;"",""))</f>
        <v/>
      </c>
      <c r="N2921" s="19">
        <f>IF(I2921="","",IFERROR(INDEX(ctaMon,MATCH(E2921,ctaNom,0))&amp;"","DOP"))</f>
        <v/>
      </c>
      <c r="O2921" s="20">
        <f>IF(I2921="","",C2921*IF(N2921="USD",TasaUSD,1))</f>
        <v/>
      </c>
      <c r="P2921" s="20">
        <f>IF(I2921="","",IF(I2921="Gasto",O2921,0))</f>
        <v/>
      </c>
      <c r="Q2921" s="20">
        <f>IF(I2921="","",IF(I2921="Ingreso",O2921,0))</f>
        <v/>
      </c>
      <c r="R2921" s="20">
        <f>IF(I2921="","",IF(I2921="Trading",O2921,0))</f>
        <v/>
      </c>
      <c r="S2921" s="19">
        <f>IF(I2921="","",IF(AND(I2921="Gasto",K2921="Variable",J2921&lt;&gt;"Trading",O2921&gt;0,O2921&lt;=Umbral),1,0))</f>
        <v/>
      </c>
      <c r="T2921" s="20">
        <f>IF(OR(I2921="",E2921=""),"",IF(OR(I2921="Gasto",I2921="Transferencia",I2921="Pago tarjeta"),-1,1)*C2921)</f>
        <v/>
      </c>
      <c r="U2921" s="20">
        <f>IF(OR(G2921="",AND(I2921&lt;&gt;"Transferencia",I2921&lt;&gt;"Pago tarjeta")),"",IF(IFERROR(INDEX(ctaMon,MATCH(G2921,ctaNom,0))&amp;"","DOP")=N2921,C2921,IF(N2921="USD",C2921*TasaUSD,C2921/TasaUSD)))</f>
        <v/>
      </c>
      <c r="V2921" s="20">
        <f>IF(I2921="","",IF(IFERROR(INDEX(ctaLiq,MATCH(E2921,ctaNom,0))="Sí",FALSE),IF(OR(I2921="Gasto",I2921="Transferencia",I2921="Pago tarjeta"),-1,1)*O2921,0)+IF(AND(U2921&lt;&gt;"",IFERROR(INDEX(ctaLiq,MATCH(G2921,ctaNom,0))="Sí",FALSE)),O2921,0))</f>
        <v/>
      </c>
      <c r="W2921" s="19">
        <f>IF(OR(F2921="",I2921=""),"",IF(COUNTIFS(F$6:F2921,F2921,I$6:I2921,"?*")=1,MAX(W$5:W2920)+1,""))</f>
        <v/>
      </c>
    </row>
    <row r="2922">
      <c r="B2922" s="15" t="n"/>
      <c r="C2922" s="16" t="n"/>
      <c r="D2922" s="17" t="n"/>
      <c r="E2922" s="17" t="n"/>
      <c r="F2922" s="17" t="n"/>
      <c r="G2922" s="17" t="n"/>
      <c r="H2922" s="18">
        <f>IF(AND(B2922="",C2922="",D2922="",E2922=""),"",IF(B2922="","⚠ Falta fecha",IF(C2922="","⚠ Falta monto",IF(D2922="","⚠ Falta categoría",IF(ISNA(MATCH(D2922,catNom,0)),"⚠ Categoría no existe",IF(E2922="","⚠ Falta cuenta",IF(ISNA(MATCH(E2922,ctaNom,0)),"⚠ Cuenta no existe",IF(AND(OR(I2922="Transferencia",I2922="Pago tarjeta"),G2922=""),"⚠ Indica la cuenta «Hacia»",IF(AND(G2922&lt;&gt;"",G2922=E2922),"⚠ «Hacia» igual a la cuenta",IF(AND(G2922&lt;&gt;"",ISNA(MATCH(G2922,ctaNom,0))),"⚠ «Hacia» no existe",IF(AND(I2922="Pago tarjeta",IFERROR(INDEX(ctaTipo,MATCH(G2922,ctaNom,0)),"")&lt;&gt;"Tarjeta de crédito"),"⚠ «Hacia» debe ser la tarjeta",IF(AND(I2922="Trading",IFERROR(INDEX(ctaTipo,MATCH(E2922,ctaNom,0)),"")&lt;&gt;"Cuenta de trading"),"⚠ Usa la cuenta de trading","✓"))))))))))))</f>
        <v/>
      </c>
      <c r="I2922" s="19">
        <f>IF(OR(B2922="",C2922="",D2922=""),"",IFERROR(INDEX(catTipo,MATCH(D2922,catNom,0))&amp;"",""))</f>
        <v/>
      </c>
      <c r="J2922" s="19">
        <f>IF(I2922="","",IFERROR(INDEX(catGrupo,MATCH(D2922,catNom,0))&amp;"",""))</f>
        <v/>
      </c>
      <c r="K2922" s="19">
        <f>IF(I2922="Gasto",IF(IFERROR(INDEX(catClas,MATCH(D2922,catNom,0))&amp;"","")="","Variable",IFERROR(INDEX(catClas,MATCH(D2922,catNom,0))&amp;"","")),"")</f>
        <v/>
      </c>
      <c r="L2922" s="19">
        <f>IF(I2922="","",IFERROR(INDEX(catAlim,MATCH(D2922,catNom,0))&amp;"",""))</f>
        <v/>
      </c>
      <c r="M2922" s="19">
        <f>IF(I2922="","",IFERROR(INDEX(catComida,MATCH(D2922,catNom,0))&amp;"",""))</f>
        <v/>
      </c>
      <c r="N2922" s="19">
        <f>IF(I2922="","",IFERROR(INDEX(ctaMon,MATCH(E2922,ctaNom,0))&amp;"","DOP"))</f>
        <v/>
      </c>
      <c r="O2922" s="20">
        <f>IF(I2922="","",C2922*IF(N2922="USD",TasaUSD,1))</f>
        <v/>
      </c>
      <c r="P2922" s="20">
        <f>IF(I2922="","",IF(I2922="Gasto",O2922,0))</f>
        <v/>
      </c>
      <c r="Q2922" s="20">
        <f>IF(I2922="","",IF(I2922="Ingreso",O2922,0))</f>
        <v/>
      </c>
      <c r="R2922" s="20">
        <f>IF(I2922="","",IF(I2922="Trading",O2922,0))</f>
        <v/>
      </c>
      <c r="S2922" s="19">
        <f>IF(I2922="","",IF(AND(I2922="Gasto",K2922="Variable",J2922&lt;&gt;"Trading",O2922&gt;0,O2922&lt;=Umbral),1,0))</f>
        <v/>
      </c>
      <c r="T2922" s="20">
        <f>IF(OR(I2922="",E2922=""),"",IF(OR(I2922="Gasto",I2922="Transferencia",I2922="Pago tarjeta"),-1,1)*C2922)</f>
        <v/>
      </c>
      <c r="U2922" s="20">
        <f>IF(OR(G2922="",AND(I2922&lt;&gt;"Transferencia",I2922&lt;&gt;"Pago tarjeta")),"",IF(IFERROR(INDEX(ctaMon,MATCH(G2922,ctaNom,0))&amp;"","DOP")=N2922,C2922,IF(N2922="USD",C2922*TasaUSD,C2922/TasaUSD)))</f>
        <v/>
      </c>
      <c r="V2922" s="20">
        <f>IF(I2922="","",IF(IFERROR(INDEX(ctaLiq,MATCH(E2922,ctaNom,0))="Sí",FALSE),IF(OR(I2922="Gasto",I2922="Transferencia",I2922="Pago tarjeta"),-1,1)*O2922,0)+IF(AND(U2922&lt;&gt;"",IFERROR(INDEX(ctaLiq,MATCH(G2922,ctaNom,0))="Sí",FALSE)),O2922,0))</f>
        <v/>
      </c>
      <c r="W2922" s="19">
        <f>IF(OR(F2922="",I2922=""),"",IF(COUNTIFS(F$6:F2922,F2922,I$6:I2922,"?*")=1,MAX(W$5:W2921)+1,""))</f>
        <v/>
      </c>
    </row>
    <row r="2923">
      <c r="B2923" s="15" t="n"/>
      <c r="C2923" s="16" t="n"/>
      <c r="D2923" s="17" t="n"/>
      <c r="E2923" s="17" t="n"/>
      <c r="F2923" s="17" t="n"/>
      <c r="G2923" s="17" t="n"/>
      <c r="H2923" s="18">
        <f>IF(AND(B2923="",C2923="",D2923="",E2923=""),"",IF(B2923="","⚠ Falta fecha",IF(C2923="","⚠ Falta monto",IF(D2923="","⚠ Falta categoría",IF(ISNA(MATCH(D2923,catNom,0)),"⚠ Categoría no existe",IF(E2923="","⚠ Falta cuenta",IF(ISNA(MATCH(E2923,ctaNom,0)),"⚠ Cuenta no existe",IF(AND(OR(I2923="Transferencia",I2923="Pago tarjeta"),G2923=""),"⚠ Indica la cuenta «Hacia»",IF(AND(G2923&lt;&gt;"",G2923=E2923),"⚠ «Hacia» igual a la cuenta",IF(AND(G2923&lt;&gt;"",ISNA(MATCH(G2923,ctaNom,0))),"⚠ «Hacia» no existe",IF(AND(I2923="Pago tarjeta",IFERROR(INDEX(ctaTipo,MATCH(G2923,ctaNom,0)),"")&lt;&gt;"Tarjeta de crédito"),"⚠ «Hacia» debe ser la tarjeta",IF(AND(I2923="Trading",IFERROR(INDEX(ctaTipo,MATCH(E2923,ctaNom,0)),"")&lt;&gt;"Cuenta de trading"),"⚠ Usa la cuenta de trading","✓"))))))))))))</f>
        <v/>
      </c>
      <c r="I2923" s="19">
        <f>IF(OR(B2923="",C2923="",D2923=""),"",IFERROR(INDEX(catTipo,MATCH(D2923,catNom,0))&amp;"",""))</f>
        <v/>
      </c>
      <c r="J2923" s="19">
        <f>IF(I2923="","",IFERROR(INDEX(catGrupo,MATCH(D2923,catNom,0))&amp;"",""))</f>
        <v/>
      </c>
      <c r="K2923" s="19">
        <f>IF(I2923="Gasto",IF(IFERROR(INDEX(catClas,MATCH(D2923,catNom,0))&amp;"","")="","Variable",IFERROR(INDEX(catClas,MATCH(D2923,catNom,0))&amp;"","")),"")</f>
        <v/>
      </c>
      <c r="L2923" s="19">
        <f>IF(I2923="","",IFERROR(INDEX(catAlim,MATCH(D2923,catNom,0))&amp;"",""))</f>
        <v/>
      </c>
      <c r="M2923" s="19">
        <f>IF(I2923="","",IFERROR(INDEX(catComida,MATCH(D2923,catNom,0))&amp;"",""))</f>
        <v/>
      </c>
      <c r="N2923" s="19">
        <f>IF(I2923="","",IFERROR(INDEX(ctaMon,MATCH(E2923,ctaNom,0))&amp;"","DOP"))</f>
        <v/>
      </c>
      <c r="O2923" s="20">
        <f>IF(I2923="","",C2923*IF(N2923="USD",TasaUSD,1))</f>
        <v/>
      </c>
      <c r="P2923" s="20">
        <f>IF(I2923="","",IF(I2923="Gasto",O2923,0))</f>
        <v/>
      </c>
      <c r="Q2923" s="20">
        <f>IF(I2923="","",IF(I2923="Ingreso",O2923,0))</f>
        <v/>
      </c>
      <c r="R2923" s="20">
        <f>IF(I2923="","",IF(I2923="Trading",O2923,0))</f>
        <v/>
      </c>
      <c r="S2923" s="19">
        <f>IF(I2923="","",IF(AND(I2923="Gasto",K2923="Variable",J2923&lt;&gt;"Trading",O2923&gt;0,O2923&lt;=Umbral),1,0))</f>
        <v/>
      </c>
      <c r="T2923" s="20">
        <f>IF(OR(I2923="",E2923=""),"",IF(OR(I2923="Gasto",I2923="Transferencia",I2923="Pago tarjeta"),-1,1)*C2923)</f>
        <v/>
      </c>
      <c r="U2923" s="20">
        <f>IF(OR(G2923="",AND(I2923&lt;&gt;"Transferencia",I2923&lt;&gt;"Pago tarjeta")),"",IF(IFERROR(INDEX(ctaMon,MATCH(G2923,ctaNom,0))&amp;"","DOP")=N2923,C2923,IF(N2923="USD",C2923*TasaUSD,C2923/TasaUSD)))</f>
        <v/>
      </c>
      <c r="V2923" s="20">
        <f>IF(I2923="","",IF(IFERROR(INDEX(ctaLiq,MATCH(E2923,ctaNom,0))="Sí",FALSE),IF(OR(I2923="Gasto",I2923="Transferencia",I2923="Pago tarjeta"),-1,1)*O2923,0)+IF(AND(U2923&lt;&gt;"",IFERROR(INDEX(ctaLiq,MATCH(G2923,ctaNom,0))="Sí",FALSE)),O2923,0))</f>
        <v/>
      </c>
      <c r="W2923" s="19">
        <f>IF(OR(F2923="",I2923=""),"",IF(COUNTIFS(F$6:F2923,F2923,I$6:I2923,"?*")=1,MAX(W$5:W2922)+1,""))</f>
        <v/>
      </c>
    </row>
    <row r="2924">
      <c r="B2924" s="15" t="n"/>
      <c r="C2924" s="16" t="n"/>
      <c r="D2924" s="17" t="n"/>
      <c r="E2924" s="17" t="n"/>
      <c r="F2924" s="17" t="n"/>
      <c r="G2924" s="17" t="n"/>
      <c r="H2924" s="18">
        <f>IF(AND(B2924="",C2924="",D2924="",E2924=""),"",IF(B2924="","⚠ Falta fecha",IF(C2924="","⚠ Falta monto",IF(D2924="","⚠ Falta categoría",IF(ISNA(MATCH(D2924,catNom,0)),"⚠ Categoría no existe",IF(E2924="","⚠ Falta cuenta",IF(ISNA(MATCH(E2924,ctaNom,0)),"⚠ Cuenta no existe",IF(AND(OR(I2924="Transferencia",I2924="Pago tarjeta"),G2924=""),"⚠ Indica la cuenta «Hacia»",IF(AND(G2924&lt;&gt;"",G2924=E2924),"⚠ «Hacia» igual a la cuenta",IF(AND(G2924&lt;&gt;"",ISNA(MATCH(G2924,ctaNom,0))),"⚠ «Hacia» no existe",IF(AND(I2924="Pago tarjeta",IFERROR(INDEX(ctaTipo,MATCH(G2924,ctaNom,0)),"")&lt;&gt;"Tarjeta de crédito"),"⚠ «Hacia» debe ser la tarjeta",IF(AND(I2924="Trading",IFERROR(INDEX(ctaTipo,MATCH(E2924,ctaNom,0)),"")&lt;&gt;"Cuenta de trading"),"⚠ Usa la cuenta de trading","✓"))))))))))))</f>
        <v/>
      </c>
      <c r="I2924" s="19">
        <f>IF(OR(B2924="",C2924="",D2924=""),"",IFERROR(INDEX(catTipo,MATCH(D2924,catNom,0))&amp;"",""))</f>
        <v/>
      </c>
      <c r="J2924" s="19">
        <f>IF(I2924="","",IFERROR(INDEX(catGrupo,MATCH(D2924,catNom,0))&amp;"",""))</f>
        <v/>
      </c>
      <c r="K2924" s="19">
        <f>IF(I2924="Gasto",IF(IFERROR(INDEX(catClas,MATCH(D2924,catNom,0))&amp;"","")="","Variable",IFERROR(INDEX(catClas,MATCH(D2924,catNom,0))&amp;"","")),"")</f>
        <v/>
      </c>
      <c r="L2924" s="19">
        <f>IF(I2924="","",IFERROR(INDEX(catAlim,MATCH(D2924,catNom,0))&amp;"",""))</f>
        <v/>
      </c>
      <c r="M2924" s="19">
        <f>IF(I2924="","",IFERROR(INDEX(catComida,MATCH(D2924,catNom,0))&amp;"",""))</f>
        <v/>
      </c>
      <c r="N2924" s="19">
        <f>IF(I2924="","",IFERROR(INDEX(ctaMon,MATCH(E2924,ctaNom,0))&amp;"","DOP"))</f>
        <v/>
      </c>
      <c r="O2924" s="20">
        <f>IF(I2924="","",C2924*IF(N2924="USD",TasaUSD,1))</f>
        <v/>
      </c>
      <c r="P2924" s="20">
        <f>IF(I2924="","",IF(I2924="Gasto",O2924,0))</f>
        <v/>
      </c>
      <c r="Q2924" s="20">
        <f>IF(I2924="","",IF(I2924="Ingreso",O2924,0))</f>
        <v/>
      </c>
      <c r="R2924" s="20">
        <f>IF(I2924="","",IF(I2924="Trading",O2924,0))</f>
        <v/>
      </c>
      <c r="S2924" s="19">
        <f>IF(I2924="","",IF(AND(I2924="Gasto",K2924="Variable",J2924&lt;&gt;"Trading",O2924&gt;0,O2924&lt;=Umbral),1,0))</f>
        <v/>
      </c>
      <c r="T2924" s="20">
        <f>IF(OR(I2924="",E2924=""),"",IF(OR(I2924="Gasto",I2924="Transferencia",I2924="Pago tarjeta"),-1,1)*C2924)</f>
        <v/>
      </c>
      <c r="U2924" s="20">
        <f>IF(OR(G2924="",AND(I2924&lt;&gt;"Transferencia",I2924&lt;&gt;"Pago tarjeta")),"",IF(IFERROR(INDEX(ctaMon,MATCH(G2924,ctaNom,0))&amp;"","DOP")=N2924,C2924,IF(N2924="USD",C2924*TasaUSD,C2924/TasaUSD)))</f>
        <v/>
      </c>
      <c r="V2924" s="20">
        <f>IF(I2924="","",IF(IFERROR(INDEX(ctaLiq,MATCH(E2924,ctaNom,0))="Sí",FALSE),IF(OR(I2924="Gasto",I2924="Transferencia",I2924="Pago tarjeta"),-1,1)*O2924,0)+IF(AND(U2924&lt;&gt;"",IFERROR(INDEX(ctaLiq,MATCH(G2924,ctaNom,0))="Sí",FALSE)),O2924,0))</f>
        <v/>
      </c>
      <c r="W2924" s="19">
        <f>IF(OR(F2924="",I2924=""),"",IF(COUNTIFS(F$6:F2924,F2924,I$6:I2924,"?*")=1,MAX(W$5:W2923)+1,""))</f>
        <v/>
      </c>
    </row>
    <row r="2925">
      <c r="B2925" s="15" t="n"/>
      <c r="C2925" s="16" t="n"/>
      <c r="D2925" s="17" t="n"/>
      <c r="E2925" s="17" t="n"/>
      <c r="F2925" s="17" t="n"/>
      <c r="G2925" s="17" t="n"/>
      <c r="H2925" s="18">
        <f>IF(AND(B2925="",C2925="",D2925="",E2925=""),"",IF(B2925="","⚠ Falta fecha",IF(C2925="","⚠ Falta monto",IF(D2925="","⚠ Falta categoría",IF(ISNA(MATCH(D2925,catNom,0)),"⚠ Categoría no existe",IF(E2925="","⚠ Falta cuenta",IF(ISNA(MATCH(E2925,ctaNom,0)),"⚠ Cuenta no existe",IF(AND(OR(I2925="Transferencia",I2925="Pago tarjeta"),G2925=""),"⚠ Indica la cuenta «Hacia»",IF(AND(G2925&lt;&gt;"",G2925=E2925),"⚠ «Hacia» igual a la cuenta",IF(AND(G2925&lt;&gt;"",ISNA(MATCH(G2925,ctaNom,0))),"⚠ «Hacia» no existe",IF(AND(I2925="Pago tarjeta",IFERROR(INDEX(ctaTipo,MATCH(G2925,ctaNom,0)),"")&lt;&gt;"Tarjeta de crédito"),"⚠ «Hacia» debe ser la tarjeta",IF(AND(I2925="Trading",IFERROR(INDEX(ctaTipo,MATCH(E2925,ctaNom,0)),"")&lt;&gt;"Cuenta de trading"),"⚠ Usa la cuenta de trading","✓"))))))))))))</f>
        <v/>
      </c>
      <c r="I2925" s="19">
        <f>IF(OR(B2925="",C2925="",D2925=""),"",IFERROR(INDEX(catTipo,MATCH(D2925,catNom,0))&amp;"",""))</f>
        <v/>
      </c>
      <c r="J2925" s="19">
        <f>IF(I2925="","",IFERROR(INDEX(catGrupo,MATCH(D2925,catNom,0))&amp;"",""))</f>
        <v/>
      </c>
      <c r="K2925" s="19">
        <f>IF(I2925="Gasto",IF(IFERROR(INDEX(catClas,MATCH(D2925,catNom,0))&amp;"","")="","Variable",IFERROR(INDEX(catClas,MATCH(D2925,catNom,0))&amp;"","")),"")</f>
        <v/>
      </c>
      <c r="L2925" s="19">
        <f>IF(I2925="","",IFERROR(INDEX(catAlim,MATCH(D2925,catNom,0))&amp;"",""))</f>
        <v/>
      </c>
      <c r="M2925" s="19">
        <f>IF(I2925="","",IFERROR(INDEX(catComida,MATCH(D2925,catNom,0))&amp;"",""))</f>
        <v/>
      </c>
      <c r="N2925" s="19">
        <f>IF(I2925="","",IFERROR(INDEX(ctaMon,MATCH(E2925,ctaNom,0))&amp;"","DOP"))</f>
        <v/>
      </c>
      <c r="O2925" s="20">
        <f>IF(I2925="","",C2925*IF(N2925="USD",TasaUSD,1))</f>
        <v/>
      </c>
      <c r="P2925" s="20">
        <f>IF(I2925="","",IF(I2925="Gasto",O2925,0))</f>
        <v/>
      </c>
      <c r="Q2925" s="20">
        <f>IF(I2925="","",IF(I2925="Ingreso",O2925,0))</f>
        <v/>
      </c>
      <c r="R2925" s="20">
        <f>IF(I2925="","",IF(I2925="Trading",O2925,0))</f>
        <v/>
      </c>
      <c r="S2925" s="19">
        <f>IF(I2925="","",IF(AND(I2925="Gasto",K2925="Variable",J2925&lt;&gt;"Trading",O2925&gt;0,O2925&lt;=Umbral),1,0))</f>
        <v/>
      </c>
      <c r="T2925" s="20">
        <f>IF(OR(I2925="",E2925=""),"",IF(OR(I2925="Gasto",I2925="Transferencia",I2925="Pago tarjeta"),-1,1)*C2925)</f>
        <v/>
      </c>
      <c r="U2925" s="20">
        <f>IF(OR(G2925="",AND(I2925&lt;&gt;"Transferencia",I2925&lt;&gt;"Pago tarjeta")),"",IF(IFERROR(INDEX(ctaMon,MATCH(G2925,ctaNom,0))&amp;"","DOP")=N2925,C2925,IF(N2925="USD",C2925*TasaUSD,C2925/TasaUSD)))</f>
        <v/>
      </c>
      <c r="V2925" s="20">
        <f>IF(I2925="","",IF(IFERROR(INDEX(ctaLiq,MATCH(E2925,ctaNom,0))="Sí",FALSE),IF(OR(I2925="Gasto",I2925="Transferencia",I2925="Pago tarjeta"),-1,1)*O2925,0)+IF(AND(U2925&lt;&gt;"",IFERROR(INDEX(ctaLiq,MATCH(G2925,ctaNom,0))="Sí",FALSE)),O2925,0))</f>
        <v/>
      </c>
      <c r="W2925" s="19">
        <f>IF(OR(F2925="",I2925=""),"",IF(COUNTIFS(F$6:F2925,F2925,I$6:I2925,"?*")=1,MAX(W$5:W2924)+1,""))</f>
        <v/>
      </c>
    </row>
    <row r="2926">
      <c r="B2926" s="15" t="n"/>
      <c r="C2926" s="16" t="n"/>
      <c r="D2926" s="17" t="n"/>
      <c r="E2926" s="17" t="n"/>
      <c r="F2926" s="17" t="n"/>
      <c r="G2926" s="17" t="n"/>
      <c r="H2926" s="18">
        <f>IF(AND(B2926="",C2926="",D2926="",E2926=""),"",IF(B2926="","⚠ Falta fecha",IF(C2926="","⚠ Falta monto",IF(D2926="","⚠ Falta categoría",IF(ISNA(MATCH(D2926,catNom,0)),"⚠ Categoría no existe",IF(E2926="","⚠ Falta cuenta",IF(ISNA(MATCH(E2926,ctaNom,0)),"⚠ Cuenta no existe",IF(AND(OR(I2926="Transferencia",I2926="Pago tarjeta"),G2926=""),"⚠ Indica la cuenta «Hacia»",IF(AND(G2926&lt;&gt;"",G2926=E2926),"⚠ «Hacia» igual a la cuenta",IF(AND(G2926&lt;&gt;"",ISNA(MATCH(G2926,ctaNom,0))),"⚠ «Hacia» no existe",IF(AND(I2926="Pago tarjeta",IFERROR(INDEX(ctaTipo,MATCH(G2926,ctaNom,0)),"")&lt;&gt;"Tarjeta de crédito"),"⚠ «Hacia» debe ser la tarjeta",IF(AND(I2926="Trading",IFERROR(INDEX(ctaTipo,MATCH(E2926,ctaNom,0)),"")&lt;&gt;"Cuenta de trading"),"⚠ Usa la cuenta de trading","✓"))))))))))))</f>
        <v/>
      </c>
      <c r="I2926" s="19">
        <f>IF(OR(B2926="",C2926="",D2926=""),"",IFERROR(INDEX(catTipo,MATCH(D2926,catNom,0))&amp;"",""))</f>
        <v/>
      </c>
      <c r="J2926" s="19">
        <f>IF(I2926="","",IFERROR(INDEX(catGrupo,MATCH(D2926,catNom,0))&amp;"",""))</f>
        <v/>
      </c>
      <c r="K2926" s="19">
        <f>IF(I2926="Gasto",IF(IFERROR(INDEX(catClas,MATCH(D2926,catNom,0))&amp;"","")="","Variable",IFERROR(INDEX(catClas,MATCH(D2926,catNom,0))&amp;"","")),"")</f>
        <v/>
      </c>
      <c r="L2926" s="19">
        <f>IF(I2926="","",IFERROR(INDEX(catAlim,MATCH(D2926,catNom,0))&amp;"",""))</f>
        <v/>
      </c>
      <c r="M2926" s="19">
        <f>IF(I2926="","",IFERROR(INDEX(catComida,MATCH(D2926,catNom,0))&amp;"",""))</f>
        <v/>
      </c>
      <c r="N2926" s="19">
        <f>IF(I2926="","",IFERROR(INDEX(ctaMon,MATCH(E2926,ctaNom,0))&amp;"","DOP"))</f>
        <v/>
      </c>
      <c r="O2926" s="20">
        <f>IF(I2926="","",C2926*IF(N2926="USD",TasaUSD,1))</f>
        <v/>
      </c>
      <c r="P2926" s="20">
        <f>IF(I2926="","",IF(I2926="Gasto",O2926,0))</f>
        <v/>
      </c>
      <c r="Q2926" s="20">
        <f>IF(I2926="","",IF(I2926="Ingreso",O2926,0))</f>
        <v/>
      </c>
      <c r="R2926" s="20">
        <f>IF(I2926="","",IF(I2926="Trading",O2926,0))</f>
        <v/>
      </c>
      <c r="S2926" s="19">
        <f>IF(I2926="","",IF(AND(I2926="Gasto",K2926="Variable",J2926&lt;&gt;"Trading",O2926&gt;0,O2926&lt;=Umbral),1,0))</f>
        <v/>
      </c>
      <c r="T2926" s="20">
        <f>IF(OR(I2926="",E2926=""),"",IF(OR(I2926="Gasto",I2926="Transferencia",I2926="Pago tarjeta"),-1,1)*C2926)</f>
        <v/>
      </c>
      <c r="U2926" s="20">
        <f>IF(OR(G2926="",AND(I2926&lt;&gt;"Transferencia",I2926&lt;&gt;"Pago tarjeta")),"",IF(IFERROR(INDEX(ctaMon,MATCH(G2926,ctaNom,0))&amp;"","DOP")=N2926,C2926,IF(N2926="USD",C2926*TasaUSD,C2926/TasaUSD)))</f>
        <v/>
      </c>
      <c r="V2926" s="20">
        <f>IF(I2926="","",IF(IFERROR(INDEX(ctaLiq,MATCH(E2926,ctaNom,0))="Sí",FALSE),IF(OR(I2926="Gasto",I2926="Transferencia",I2926="Pago tarjeta"),-1,1)*O2926,0)+IF(AND(U2926&lt;&gt;"",IFERROR(INDEX(ctaLiq,MATCH(G2926,ctaNom,0))="Sí",FALSE)),O2926,0))</f>
        <v/>
      </c>
      <c r="W2926" s="19">
        <f>IF(OR(F2926="",I2926=""),"",IF(COUNTIFS(F$6:F2926,F2926,I$6:I2926,"?*")=1,MAX(W$5:W2925)+1,""))</f>
        <v/>
      </c>
    </row>
    <row r="2927">
      <c r="B2927" s="15" t="n"/>
      <c r="C2927" s="16" t="n"/>
      <c r="D2927" s="17" t="n"/>
      <c r="E2927" s="17" t="n"/>
      <c r="F2927" s="17" t="n"/>
      <c r="G2927" s="17" t="n"/>
      <c r="H2927" s="18">
        <f>IF(AND(B2927="",C2927="",D2927="",E2927=""),"",IF(B2927="","⚠ Falta fecha",IF(C2927="","⚠ Falta monto",IF(D2927="","⚠ Falta categoría",IF(ISNA(MATCH(D2927,catNom,0)),"⚠ Categoría no existe",IF(E2927="","⚠ Falta cuenta",IF(ISNA(MATCH(E2927,ctaNom,0)),"⚠ Cuenta no existe",IF(AND(OR(I2927="Transferencia",I2927="Pago tarjeta"),G2927=""),"⚠ Indica la cuenta «Hacia»",IF(AND(G2927&lt;&gt;"",G2927=E2927),"⚠ «Hacia» igual a la cuenta",IF(AND(G2927&lt;&gt;"",ISNA(MATCH(G2927,ctaNom,0))),"⚠ «Hacia» no existe",IF(AND(I2927="Pago tarjeta",IFERROR(INDEX(ctaTipo,MATCH(G2927,ctaNom,0)),"")&lt;&gt;"Tarjeta de crédito"),"⚠ «Hacia» debe ser la tarjeta",IF(AND(I2927="Trading",IFERROR(INDEX(ctaTipo,MATCH(E2927,ctaNom,0)),"")&lt;&gt;"Cuenta de trading"),"⚠ Usa la cuenta de trading","✓"))))))))))))</f>
        <v/>
      </c>
      <c r="I2927" s="19">
        <f>IF(OR(B2927="",C2927="",D2927=""),"",IFERROR(INDEX(catTipo,MATCH(D2927,catNom,0))&amp;"",""))</f>
        <v/>
      </c>
      <c r="J2927" s="19">
        <f>IF(I2927="","",IFERROR(INDEX(catGrupo,MATCH(D2927,catNom,0))&amp;"",""))</f>
        <v/>
      </c>
      <c r="K2927" s="19">
        <f>IF(I2927="Gasto",IF(IFERROR(INDEX(catClas,MATCH(D2927,catNom,0))&amp;"","")="","Variable",IFERROR(INDEX(catClas,MATCH(D2927,catNom,0))&amp;"","")),"")</f>
        <v/>
      </c>
      <c r="L2927" s="19">
        <f>IF(I2927="","",IFERROR(INDEX(catAlim,MATCH(D2927,catNom,0))&amp;"",""))</f>
        <v/>
      </c>
      <c r="M2927" s="19">
        <f>IF(I2927="","",IFERROR(INDEX(catComida,MATCH(D2927,catNom,0))&amp;"",""))</f>
        <v/>
      </c>
      <c r="N2927" s="19">
        <f>IF(I2927="","",IFERROR(INDEX(ctaMon,MATCH(E2927,ctaNom,0))&amp;"","DOP"))</f>
        <v/>
      </c>
      <c r="O2927" s="20">
        <f>IF(I2927="","",C2927*IF(N2927="USD",TasaUSD,1))</f>
        <v/>
      </c>
      <c r="P2927" s="20">
        <f>IF(I2927="","",IF(I2927="Gasto",O2927,0))</f>
        <v/>
      </c>
      <c r="Q2927" s="20">
        <f>IF(I2927="","",IF(I2927="Ingreso",O2927,0))</f>
        <v/>
      </c>
      <c r="R2927" s="20">
        <f>IF(I2927="","",IF(I2927="Trading",O2927,0))</f>
        <v/>
      </c>
      <c r="S2927" s="19">
        <f>IF(I2927="","",IF(AND(I2927="Gasto",K2927="Variable",J2927&lt;&gt;"Trading",O2927&gt;0,O2927&lt;=Umbral),1,0))</f>
        <v/>
      </c>
      <c r="T2927" s="20">
        <f>IF(OR(I2927="",E2927=""),"",IF(OR(I2927="Gasto",I2927="Transferencia",I2927="Pago tarjeta"),-1,1)*C2927)</f>
        <v/>
      </c>
      <c r="U2927" s="20">
        <f>IF(OR(G2927="",AND(I2927&lt;&gt;"Transferencia",I2927&lt;&gt;"Pago tarjeta")),"",IF(IFERROR(INDEX(ctaMon,MATCH(G2927,ctaNom,0))&amp;"","DOP")=N2927,C2927,IF(N2927="USD",C2927*TasaUSD,C2927/TasaUSD)))</f>
        <v/>
      </c>
      <c r="V2927" s="20">
        <f>IF(I2927="","",IF(IFERROR(INDEX(ctaLiq,MATCH(E2927,ctaNom,0))="Sí",FALSE),IF(OR(I2927="Gasto",I2927="Transferencia",I2927="Pago tarjeta"),-1,1)*O2927,0)+IF(AND(U2927&lt;&gt;"",IFERROR(INDEX(ctaLiq,MATCH(G2927,ctaNom,0))="Sí",FALSE)),O2927,0))</f>
        <v/>
      </c>
      <c r="W2927" s="19">
        <f>IF(OR(F2927="",I2927=""),"",IF(COUNTIFS(F$6:F2927,F2927,I$6:I2927,"?*")=1,MAX(W$5:W2926)+1,""))</f>
        <v/>
      </c>
    </row>
    <row r="2928">
      <c r="B2928" s="15" t="n"/>
      <c r="C2928" s="16" t="n"/>
      <c r="D2928" s="17" t="n"/>
      <c r="E2928" s="17" t="n"/>
      <c r="F2928" s="17" t="n"/>
      <c r="G2928" s="17" t="n"/>
      <c r="H2928" s="18">
        <f>IF(AND(B2928="",C2928="",D2928="",E2928=""),"",IF(B2928="","⚠ Falta fecha",IF(C2928="","⚠ Falta monto",IF(D2928="","⚠ Falta categoría",IF(ISNA(MATCH(D2928,catNom,0)),"⚠ Categoría no existe",IF(E2928="","⚠ Falta cuenta",IF(ISNA(MATCH(E2928,ctaNom,0)),"⚠ Cuenta no existe",IF(AND(OR(I2928="Transferencia",I2928="Pago tarjeta"),G2928=""),"⚠ Indica la cuenta «Hacia»",IF(AND(G2928&lt;&gt;"",G2928=E2928),"⚠ «Hacia» igual a la cuenta",IF(AND(G2928&lt;&gt;"",ISNA(MATCH(G2928,ctaNom,0))),"⚠ «Hacia» no existe",IF(AND(I2928="Pago tarjeta",IFERROR(INDEX(ctaTipo,MATCH(G2928,ctaNom,0)),"")&lt;&gt;"Tarjeta de crédito"),"⚠ «Hacia» debe ser la tarjeta",IF(AND(I2928="Trading",IFERROR(INDEX(ctaTipo,MATCH(E2928,ctaNom,0)),"")&lt;&gt;"Cuenta de trading"),"⚠ Usa la cuenta de trading","✓"))))))))))))</f>
        <v/>
      </c>
      <c r="I2928" s="19">
        <f>IF(OR(B2928="",C2928="",D2928=""),"",IFERROR(INDEX(catTipo,MATCH(D2928,catNom,0))&amp;"",""))</f>
        <v/>
      </c>
      <c r="J2928" s="19">
        <f>IF(I2928="","",IFERROR(INDEX(catGrupo,MATCH(D2928,catNom,0))&amp;"",""))</f>
        <v/>
      </c>
      <c r="K2928" s="19">
        <f>IF(I2928="Gasto",IF(IFERROR(INDEX(catClas,MATCH(D2928,catNom,0))&amp;"","")="","Variable",IFERROR(INDEX(catClas,MATCH(D2928,catNom,0))&amp;"","")),"")</f>
        <v/>
      </c>
      <c r="L2928" s="19">
        <f>IF(I2928="","",IFERROR(INDEX(catAlim,MATCH(D2928,catNom,0))&amp;"",""))</f>
        <v/>
      </c>
      <c r="M2928" s="19">
        <f>IF(I2928="","",IFERROR(INDEX(catComida,MATCH(D2928,catNom,0))&amp;"",""))</f>
        <v/>
      </c>
      <c r="N2928" s="19">
        <f>IF(I2928="","",IFERROR(INDEX(ctaMon,MATCH(E2928,ctaNom,0))&amp;"","DOP"))</f>
        <v/>
      </c>
      <c r="O2928" s="20">
        <f>IF(I2928="","",C2928*IF(N2928="USD",TasaUSD,1))</f>
        <v/>
      </c>
      <c r="P2928" s="20">
        <f>IF(I2928="","",IF(I2928="Gasto",O2928,0))</f>
        <v/>
      </c>
      <c r="Q2928" s="20">
        <f>IF(I2928="","",IF(I2928="Ingreso",O2928,0))</f>
        <v/>
      </c>
      <c r="R2928" s="20">
        <f>IF(I2928="","",IF(I2928="Trading",O2928,0))</f>
        <v/>
      </c>
      <c r="S2928" s="19">
        <f>IF(I2928="","",IF(AND(I2928="Gasto",K2928="Variable",J2928&lt;&gt;"Trading",O2928&gt;0,O2928&lt;=Umbral),1,0))</f>
        <v/>
      </c>
      <c r="T2928" s="20">
        <f>IF(OR(I2928="",E2928=""),"",IF(OR(I2928="Gasto",I2928="Transferencia",I2928="Pago tarjeta"),-1,1)*C2928)</f>
        <v/>
      </c>
      <c r="U2928" s="20">
        <f>IF(OR(G2928="",AND(I2928&lt;&gt;"Transferencia",I2928&lt;&gt;"Pago tarjeta")),"",IF(IFERROR(INDEX(ctaMon,MATCH(G2928,ctaNom,0))&amp;"","DOP")=N2928,C2928,IF(N2928="USD",C2928*TasaUSD,C2928/TasaUSD)))</f>
        <v/>
      </c>
      <c r="V2928" s="20">
        <f>IF(I2928="","",IF(IFERROR(INDEX(ctaLiq,MATCH(E2928,ctaNom,0))="Sí",FALSE),IF(OR(I2928="Gasto",I2928="Transferencia",I2928="Pago tarjeta"),-1,1)*O2928,0)+IF(AND(U2928&lt;&gt;"",IFERROR(INDEX(ctaLiq,MATCH(G2928,ctaNom,0))="Sí",FALSE)),O2928,0))</f>
        <v/>
      </c>
      <c r="W2928" s="19">
        <f>IF(OR(F2928="",I2928=""),"",IF(COUNTIFS(F$6:F2928,F2928,I$6:I2928,"?*")=1,MAX(W$5:W2927)+1,""))</f>
        <v/>
      </c>
    </row>
    <row r="2929">
      <c r="B2929" s="15" t="n"/>
      <c r="C2929" s="16" t="n"/>
      <c r="D2929" s="17" t="n"/>
      <c r="E2929" s="17" t="n"/>
      <c r="F2929" s="17" t="n"/>
      <c r="G2929" s="17" t="n"/>
      <c r="H2929" s="18">
        <f>IF(AND(B2929="",C2929="",D2929="",E2929=""),"",IF(B2929="","⚠ Falta fecha",IF(C2929="","⚠ Falta monto",IF(D2929="","⚠ Falta categoría",IF(ISNA(MATCH(D2929,catNom,0)),"⚠ Categoría no existe",IF(E2929="","⚠ Falta cuenta",IF(ISNA(MATCH(E2929,ctaNom,0)),"⚠ Cuenta no existe",IF(AND(OR(I2929="Transferencia",I2929="Pago tarjeta"),G2929=""),"⚠ Indica la cuenta «Hacia»",IF(AND(G2929&lt;&gt;"",G2929=E2929),"⚠ «Hacia» igual a la cuenta",IF(AND(G2929&lt;&gt;"",ISNA(MATCH(G2929,ctaNom,0))),"⚠ «Hacia» no existe",IF(AND(I2929="Pago tarjeta",IFERROR(INDEX(ctaTipo,MATCH(G2929,ctaNom,0)),"")&lt;&gt;"Tarjeta de crédito"),"⚠ «Hacia» debe ser la tarjeta",IF(AND(I2929="Trading",IFERROR(INDEX(ctaTipo,MATCH(E2929,ctaNom,0)),"")&lt;&gt;"Cuenta de trading"),"⚠ Usa la cuenta de trading","✓"))))))))))))</f>
        <v/>
      </c>
      <c r="I2929" s="19">
        <f>IF(OR(B2929="",C2929="",D2929=""),"",IFERROR(INDEX(catTipo,MATCH(D2929,catNom,0))&amp;"",""))</f>
        <v/>
      </c>
      <c r="J2929" s="19">
        <f>IF(I2929="","",IFERROR(INDEX(catGrupo,MATCH(D2929,catNom,0))&amp;"",""))</f>
        <v/>
      </c>
      <c r="K2929" s="19">
        <f>IF(I2929="Gasto",IF(IFERROR(INDEX(catClas,MATCH(D2929,catNom,0))&amp;"","")="","Variable",IFERROR(INDEX(catClas,MATCH(D2929,catNom,0))&amp;"","")),"")</f>
        <v/>
      </c>
      <c r="L2929" s="19">
        <f>IF(I2929="","",IFERROR(INDEX(catAlim,MATCH(D2929,catNom,0))&amp;"",""))</f>
        <v/>
      </c>
      <c r="M2929" s="19">
        <f>IF(I2929="","",IFERROR(INDEX(catComida,MATCH(D2929,catNom,0))&amp;"",""))</f>
        <v/>
      </c>
      <c r="N2929" s="19">
        <f>IF(I2929="","",IFERROR(INDEX(ctaMon,MATCH(E2929,ctaNom,0))&amp;"","DOP"))</f>
        <v/>
      </c>
      <c r="O2929" s="20">
        <f>IF(I2929="","",C2929*IF(N2929="USD",TasaUSD,1))</f>
        <v/>
      </c>
      <c r="P2929" s="20">
        <f>IF(I2929="","",IF(I2929="Gasto",O2929,0))</f>
        <v/>
      </c>
      <c r="Q2929" s="20">
        <f>IF(I2929="","",IF(I2929="Ingreso",O2929,0))</f>
        <v/>
      </c>
      <c r="R2929" s="20">
        <f>IF(I2929="","",IF(I2929="Trading",O2929,0))</f>
        <v/>
      </c>
      <c r="S2929" s="19">
        <f>IF(I2929="","",IF(AND(I2929="Gasto",K2929="Variable",J2929&lt;&gt;"Trading",O2929&gt;0,O2929&lt;=Umbral),1,0))</f>
        <v/>
      </c>
      <c r="T2929" s="20">
        <f>IF(OR(I2929="",E2929=""),"",IF(OR(I2929="Gasto",I2929="Transferencia",I2929="Pago tarjeta"),-1,1)*C2929)</f>
        <v/>
      </c>
      <c r="U2929" s="20">
        <f>IF(OR(G2929="",AND(I2929&lt;&gt;"Transferencia",I2929&lt;&gt;"Pago tarjeta")),"",IF(IFERROR(INDEX(ctaMon,MATCH(G2929,ctaNom,0))&amp;"","DOP")=N2929,C2929,IF(N2929="USD",C2929*TasaUSD,C2929/TasaUSD)))</f>
        <v/>
      </c>
      <c r="V2929" s="20">
        <f>IF(I2929="","",IF(IFERROR(INDEX(ctaLiq,MATCH(E2929,ctaNom,0))="Sí",FALSE),IF(OR(I2929="Gasto",I2929="Transferencia",I2929="Pago tarjeta"),-1,1)*O2929,0)+IF(AND(U2929&lt;&gt;"",IFERROR(INDEX(ctaLiq,MATCH(G2929,ctaNom,0))="Sí",FALSE)),O2929,0))</f>
        <v/>
      </c>
      <c r="W2929" s="19">
        <f>IF(OR(F2929="",I2929=""),"",IF(COUNTIFS(F$6:F2929,F2929,I$6:I2929,"?*")=1,MAX(W$5:W2928)+1,""))</f>
        <v/>
      </c>
    </row>
    <row r="2930">
      <c r="B2930" s="15" t="n"/>
      <c r="C2930" s="16" t="n"/>
      <c r="D2930" s="17" t="n"/>
      <c r="E2930" s="17" t="n"/>
      <c r="F2930" s="17" t="n"/>
      <c r="G2930" s="17" t="n"/>
      <c r="H2930" s="18">
        <f>IF(AND(B2930="",C2930="",D2930="",E2930=""),"",IF(B2930="","⚠ Falta fecha",IF(C2930="","⚠ Falta monto",IF(D2930="","⚠ Falta categoría",IF(ISNA(MATCH(D2930,catNom,0)),"⚠ Categoría no existe",IF(E2930="","⚠ Falta cuenta",IF(ISNA(MATCH(E2930,ctaNom,0)),"⚠ Cuenta no existe",IF(AND(OR(I2930="Transferencia",I2930="Pago tarjeta"),G2930=""),"⚠ Indica la cuenta «Hacia»",IF(AND(G2930&lt;&gt;"",G2930=E2930),"⚠ «Hacia» igual a la cuenta",IF(AND(G2930&lt;&gt;"",ISNA(MATCH(G2930,ctaNom,0))),"⚠ «Hacia» no existe",IF(AND(I2930="Pago tarjeta",IFERROR(INDEX(ctaTipo,MATCH(G2930,ctaNom,0)),"")&lt;&gt;"Tarjeta de crédito"),"⚠ «Hacia» debe ser la tarjeta",IF(AND(I2930="Trading",IFERROR(INDEX(ctaTipo,MATCH(E2930,ctaNom,0)),"")&lt;&gt;"Cuenta de trading"),"⚠ Usa la cuenta de trading","✓"))))))))))))</f>
        <v/>
      </c>
      <c r="I2930" s="19">
        <f>IF(OR(B2930="",C2930="",D2930=""),"",IFERROR(INDEX(catTipo,MATCH(D2930,catNom,0))&amp;"",""))</f>
        <v/>
      </c>
      <c r="J2930" s="19">
        <f>IF(I2930="","",IFERROR(INDEX(catGrupo,MATCH(D2930,catNom,0))&amp;"",""))</f>
        <v/>
      </c>
      <c r="K2930" s="19">
        <f>IF(I2930="Gasto",IF(IFERROR(INDEX(catClas,MATCH(D2930,catNom,0))&amp;"","")="","Variable",IFERROR(INDEX(catClas,MATCH(D2930,catNom,0))&amp;"","")),"")</f>
        <v/>
      </c>
      <c r="L2930" s="19">
        <f>IF(I2930="","",IFERROR(INDEX(catAlim,MATCH(D2930,catNom,0))&amp;"",""))</f>
        <v/>
      </c>
      <c r="M2930" s="19">
        <f>IF(I2930="","",IFERROR(INDEX(catComida,MATCH(D2930,catNom,0))&amp;"",""))</f>
        <v/>
      </c>
      <c r="N2930" s="19">
        <f>IF(I2930="","",IFERROR(INDEX(ctaMon,MATCH(E2930,ctaNom,0))&amp;"","DOP"))</f>
        <v/>
      </c>
      <c r="O2930" s="20">
        <f>IF(I2930="","",C2930*IF(N2930="USD",TasaUSD,1))</f>
        <v/>
      </c>
      <c r="P2930" s="20">
        <f>IF(I2930="","",IF(I2930="Gasto",O2930,0))</f>
        <v/>
      </c>
      <c r="Q2930" s="20">
        <f>IF(I2930="","",IF(I2930="Ingreso",O2930,0))</f>
        <v/>
      </c>
      <c r="R2930" s="20">
        <f>IF(I2930="","",IF(I2930="Trading",O2930,0))</f>
        <v/>
      </c>
      <c r="S2930" s="19">
        <f>IF(I2930="","",IF(AND(I2930="Gasto",K2930="Variable",J2930&lt;&gt;"Trading",O2930&gt;0,O2930&lt;=Umbral),1,0))</f>
        <v/>
      </c>
      <c r="T2930" s="20">
        <f>IF(OR(I2930="",E2930=""),"",IF(OR(I2930="Gasto",I2930="Transferencia",I2930="Pago tarjeta"),-1,1)*C2930)</f>
        <v/>
      </c>
      <c r="U2930" s="20">
        <f>IF(OR(G2930="",AND(I2930&lt;&gt;"Transferencia",I2930&lt;&gt;"Pago tarjeta")),"",IF(IFERROR(INDEX(ctaMon,MATCH(G2930,ctaNom,0))&amp;"","DOP")=N2930,C2930,IF(N2930="USD",C2930*TasaUSD,C2930/TasaUSD)))</f>
        <v/>
      </c>
      <c r="V2930" s="20">
        <f>IF(I2930="","",IF(IFERROR(INDEX(ctaLiq,MATCH(E2930,ctaNom,0))="Sí",FALSE),IF(OR(I2930="Gasto",I2930="Transferencia",I2930="Pago tarjeta"),-1,1)*O2930,0)+IF(AND(U2930&lt;&gt;"",IFERROR(INDEX(ctaLiq,MATCH(G2930,ctaNom,0))="Sí",FALSE)),O2930,0))</f>
        <v/>
      </c>
      <c r="W2930" s="19">
        <f>IF(OR(F2930="",I2930=""),"",IF(COUNTIFS(F$6:F2930,F2930,I$6:I2930,"?*")=1,MAX(W$5:W2929)+1,""))</f>
        <v/>
      </c>
    </row>
    <row r="2931">
      <c r="B2931" s="15" t="n"/>
      <c r="C2931" s="16" t="n"/>
      <c r="D2931" s="17" t="n"/>
      <c r="E2931" s="17" t="n"/>
      <c r="F2931" s="17" t="n"/>
      <c r="G2931" s="17" t="n"/>
      <c r="H2931" s="18">
        <f>IF(AND(B2931="",C2931="",D2931="",E2931=""),"",IF(B2931="","⚠ Falta fecha",IF(C2931="","⚠ Falta monto",IF(D2931="","⚠ Falta categoría",IF(ISNA(MATCH(D2931,catNom,0)),"⚠ Categoría no existe",IF(E2931="","⚠ Falta cuenta",IF(ISNA(MATCH(E2931,ctaNom,0)),"⚠ Cuenta no existe",IF(AND(OR(I2931="Transferencia",I2931="Pago tarjeta"),G2931=""),"⚠ Indica la cuenta «Hacia»",IF(AND(G2931&lt;&gt;"",G2931=E2931),"⚠ «Hacia» igual a la cuenta",IF(AND(G2931&lt;&gt;"",ISNA(MATCH(G2931,ctaNom,0))),"⚠ «Hacia» no existe",IF(AND(I2931="Pago tarjeta",IFERROR(INDEX(ctaTipo,MATCH(G2931,ctaNom,0)),"")&lt;&gt;"Tarjeta de crédito"),"⚠ «Hacia» debe ser la tarjeta",IF(AND(I2931="Trading",IFERROR(INDEX(ctaTipo,MATCH(E2931,ctaNom,0)),"")&lt;&gt;"Cuenta de trading"),"⚠ Usa la cuenta de trading","✓"))))))))))))</f>
        <v/>
      </c>
      <c r="I2931" s="19">
        <f>IF(OR(B2931="",C2931="",D2931=""),"",IFERROR(INDEX(catTipo,MATCH(D2931,catNom,0))&amp;"",""))</f>
        <v/>
      </c>
      <c r="J2931" s="19">
        <f>IF(I2931="","",IFERROR(INDEX(catGrupo,MATCH(D2931,catNom,0))&amp;"",""))</f>
        <v/>
      </c>
      <c r="K2931" s="19">
        <f>IF(I2931="Gasto",IF(IFERROR(INDEX(catClas,MATCH(D2931,catNom,0))&amp;"","")="","Variable",IFERROR(INDEX(catClas,MATCH(D2931,catNom,0))&amp;"","")),"")</f>
        <v/>
      </c>
      <c r="L2931" s="19">
        <f>IF(I2931="","",IFERROR(INDEX(catAlim,MATCH(D2931,catNom,0))&amp;"",""))</f>
        <v/>
      </c>
      <c r="M2931" s="19">
        <f>IF(I2931="","",IFERROR(INDEX(catComida,MATCH(D2931,catNom,0))&amp;"",""))</f>
        <v/>
      </c>
      <c r="N2931" s="19">
        <f>IF(I2931="","",IFERROR(INDEX(ctaMon,MATCH(E2931,ctaNom,0))&amp;"","DOP"))</f>
        <v/>
      </c>
      <c r="O2931" s="20">
        <f>IF(I2931="","",C2931*IF(N2931="USD",TasaUSD,1))</f>
        <v/>
      </c>
      <c r="P2931" s="20">
        <f>IF(I2931="","",IF(I2931="Gasto",O2931,0))</f>
        <v/>
      </c>
      <c r="Q2931" s="20">
        <f>IF(I2931="","",IF(I2931="Ingreso",O2931,0))</f>
        <v/>
      </c>
      <c r="R2931" s="20">
        <f>IF(I2931="","",IF(I2931="Trading",O2931,0))</f>
        <v/>
      </c>
      <c r="S2931" s="19">
        <f>IF(I2931="","",IF(AND(I2931="Gasto",K2931="Variable",J2931&lt;&gt;"Trading",O2931&gt;0,O2931&lt;=Umbral),1,0))</f>
        <v/>
      </c>
      <c r="T2931" s="20">
        <f>IF(OR(I2931="",E2931=""),"",IF(OR(I2931="Gasto",I2931="Transferencia",I2931="Pago tarjeta"),-1,1)*C2931)</f>
        <v/>
      </c>
      <c r="U2931" s="20">
        <f>IF(OR(G2931="",AND(I2931&lt;&gt;"Transferencia",I2931&lt;&gt;"Pago tarjeta")),"",IF(IFERROR(INDEX(ctaMon,MATCH(G2931,ctaNom,0))&amp;"","DOP")=N2931,C2931,IF(N2931="USD",C2931*TasaUSD,C2931/TasaUSD)))</f>
        <v/>
      </c>
      <c r="V2931" s="20">
        <f>IF(I2931="","",IF(IFERROR(INDEX(ctaLiq,MATCH(E2931,ctaNom,0))="Sí",FALSE),IF(OR(I2931="Gasto",I2931="Transferencia",I2931="Pago tarjeta"),-1,1)*O2931,0)+IF(AND(U2931&lt;&gt;"",IFERROR(INDEX(ctaLiq,MATCH(G2931,ctaNom,0))="Sí",FALSE)),O2931,0))</f>
        <v/>
      </c>
      <c r="W2931" s="19">
        <f>IF(OR(F2931="",I2931=""),"",IF(COUNTIFS(F$6:F2931,F2931,I$6:I2931,"?*")=1,MAX(W$5:W2930)+1,""))</f>
        <v/>
      </c>
    </row>
    <row r="2932">
      <c r="B2932" s="15" t="n"/>
      <c r="C2932" s="16" t="n"/>
      <c r="D2932" s="17" t="n"/>
      <c r="E2932" s="17" t="n"/>
      <c r="F2932" s="17" t="n"/>
      <c r="G2932" s="17" t="n"/>
      <c r="H2932" s="18">
        <f>IF(AND(B2932="",C2932="",D2932="",E2932=""),"",IF(B2932="","⚠ Falta fecha",IF(C2932="","⚠ Falta monto",IF(D2932="","⚠ Falta categoría",IF(ISNA(MATCH(D2932,catNom,0)),"⚠ Categoría no existe",IF(E2932="","⚠ Falta cuenta",IF(ISNA(MATCH(E2932,ctaNom,0)),"⚠ Cuenta no existe",IF(AND(OR(I2932="Transferencia",I2932="Pago tarjeta"),G2932=""),"⚠ Indica la cuenta «Hacia»",IF(AND(G2932&lt;&gt;"",G2932=E2932),"⚠ «Hacia» igual a la cuenta",IF(AND(G2932&lt;&gt;"",ISNA(MATCH(G2932,ctaNom,0))),"⚠ «Hacia» no existe",IF(AND(I2932="Pago tarjeta",IFERROR(INDEX(ctaTipo,MATCH(G2932,ctaNom,0)),"")&lt;&gt;"Tarjeta de crédito"),"⚠ «Hacia» debe ser la tarjeta",IF(AND(I2932="Trading",IFERROR(INDEX(ctaTipo,MATCH(E2932,ctaNom,0)),"")&lt;&gt;"Cuenta de trading"),"⚠ Usa la cuenta de trading","✓"))))))))))))</f>
        <v/>
      </c>
      <c r="I2932" s="19">
        <f>IF(OR(B2932="",C2932="",D2932=""),"",IFERROR(INDEX(catTipo,MATCH(D2932,catNom,0))&amp;"",""))</f>
        <v/>
      </c>
      <c r="J2932" s="19">
        <f>IF(I2932="","",IFERROR(INDEX(catGrupo,MATCH(D2932,catNom,0))&amp;"",""))</f>
        <v/>
      </c>
      <c r="K2932" s="19">
        <f>IF(I2932="Gasto",IF(IFERROR(INDEX(catClas,MATCH(D2932,catNom,0))&amp;"","")="","Variable",IFERROR(INDEX(catClas,MATCH(D2932,catNom,0))&amp;"","")),"")</f>
        <v/>
      </c>
      <c r="L2932" s="19">
        <f>IF(I2932="","",IFERROR(INDEX(catAlim,MATCH(D2932,catNom,0))&amp;"",""))</f>
        <v/>
      </c>
      <c r="M2932" s="19">
        <f>IF(I2932="","",IFERROR(INDEX(catComida,MATCH(D2932,catNom,0))&amp;"",""))</f>
        <v/>
      </c>
      <c r="N2932" s="19">
        <f>IF(I2932="","",IFERROR(INDEX(ctaMon,MATCH(E2932,ctaNom,0))&amp;"","DOP"))</f>
        <v/>
      </c>
      <c r="O2932" s="20">
        <f>IF(I2932="","",C2932*IF(N2932="USD",TasaUSD,1))</f>
        <v/>
      </c>
      <c r="P2932" s="20">
        <f>IF(I2932="","",IF(I2932="Gasto",O2932,0))</f>
        <v/>
      </c>
      <c r="Q2932" s="20">
        <f>IF(I2932="","",IF(I2932="Ingreso",O2932,0))</f>
        <v/>
      </c>
      <c r="R2932" s="20">
        <f>IF(I2932="","",IF(I2932="Trading",O2932,0))</f>
        <v/>
      </c>
      <c r="S2932" s="19">
        <f>IF(I2932="","",IF(AND(I2932="Gasto",K2932="Variable",J2932&lt;&gt;"Trading",O2932&gt;0,O2932&lt;=Umbral),1,0))</f>
        <v/>
      </c>
      <c r="T2932" s="20">
        <f>IF(OR(I2932="",E2932=""),"",IF(OR(I2932="Gasto",I2932="Transferencia",I2932="Pago tarjeta"),-1,1)*C2932)</f>
        <v/>
      </c>
      <c r="U2932" s="20">
        <f>IF(OR(G2932="",AND(I2932&lt;&gt;"Transferencia",I2932&lt;&gt;"Pago tarjeta")),"",IF(IFERROR(INDEX(ctaMon,MATCH(G2932,ctaNom,0))&amp;"","DOP")=N2932,C2932,IF(N2932="USD",C2932*TasaUSD,C2932/TasaUSD)))</f>
        <v/>
      </c>
      <c r="V2932" s="20">
        <f>IF(I2932="","",IF(IFERROR(INDEX(ctaLiq,MATCH(E2932,ctaNom,0))="Sí",FALSE),IF(OR(I2932="Gasto",I2932="Transferencia",I2932="Pago tarjeta"),-1,1)*O2932,0)+IF(AND(U2932&lt;&gt;"",IFERROR(INDEX(ctaLiq,MATCH(G2932,ctaNom,0))="Sí",FALSE)),O2932,0))</f>
        <v/>
      </c>
      <c r="W2932" s="19">
        <f>IF(OR(F2932="",I2932=""),"",IF(COUNTIFS(F$6:F2932,F2932,I$6:I2932,"?*")=1,MAX(W$5:W2931)+1,""))</f>
        <v/>
      </c>
    </row>
    <row r="2933">
      <c r="B2933" s="15" t="n"/>
      <c r="C2933" s="16" t="n"/>
      <c r="D2933" s="17" t="n"/>
      <c r="E2933" s="17" t="n"/>
      <c r="F2933" s="17" t="n"/>
      <c r="G2933" s="17" t="n"/>
      <c r="H2933" s="18">
        <f>IF(AND(B2933="",C2933="",D2933="",E2933=""),"",IF(B2933="","⚠ Falta fecha",IF(C2933="","⚠ Falta monto",IF(D2933="","⚠ Falta categoría",IF(ISNA(MATCH(D2933,catNom,0)),"⚠ Categoría no existe",IF(E2933="","⚠ Falta cuenta",IF(ISNA(MATCH(E2933,ctaNom,0)),"⚠ Cuenta no existe",IF(AND(OR(I2933="Transferencia",I2933="Pago tarjeta"),G2933=""),"⚠ Indica la cuenta «Hacia»",IF(AND(G2933&lt;&gt;"",G2933=E2933),"⚠ «Hacia» igual a la cuenta",IF(AND(G2933&lt;&gt;"",ISNA(MATCH(G2933,ctaNom,0))),"⚠ «Hacia» no existe",IF(AND(I2933="Pago tarjeta",IFERROR(INDEX(ctaTipo,MATCH(G2933,ctaNom,0)),"")&lt;&gt;"Tarjeta de crédito"),"⚠ «Hacia» debe ser la tarjeta",IF(AND(I2933="Trading",IFERROR(INDEX(ctaTipo,MATCH(E2933,ctaNom,0)),"")&lt;&gt;"Cuenta de trading"),"⚠ Usa la cuenta de trading","✓"))))))))))))</f>
        <v/>
      </c>
      <c r="I2933" s="19">
        <f>IF(OR(B2933="",C2933="",D2933=""),"",IFERROR(INDEX(catTipo,MATCH(D2933,catNom,0))&amp;"",""))</f>
        <v/>
      </c>
      <c r="J2933" s="19">
        <f>IF(I2933="","",IFERROR(INDEX(catGrupo,MATCH(D2933,catNom,0))&amp;"",""))</f>
        <v/>
      </c>
      <c r="K2933" s="19">
        <f>IF(I2933="Gasto",IF(IFERROR(INDEX(catClas,MATCH(D2933,catNom,0))&amp;"","")="","Variable",IFERROR(INDEX(catClas,MATCH(D2933,catNom,0))&amp;"","")),"")</f>
        <v/>
      </c>
      <c r="L2933" s="19">
        <f>IF(I2933="","",IFERROR(INDEX(catAlim,MATCH(D2933,catNom,0))&amp;"",""))</f>
        <v/>
      </c>
      <c r="M2933" s="19">
        <f>IF(I2933="","",IFERROR(INDEX(catComida,MATCH(D2933,catNom,0))&amp;"",""))</f>
        <v/>
      </c>
      <c r="N2933" s="19">
        <f>IF(I2933="","",IFERROR(INDEX(ctaMon,MATCH(E2933,ctaNom,0))&amp;"","DOP"))</f>
        <v/>
      </c>
      <c r="O2933" s="20">
        <f>IF(I2933="","",C2933*IF(N2933="USD",TasaUSD,1))</f>
        <v/>
      </c>
      <c r="P2933" s="20">
        <f>IF(I2933="","",IF(I2933="Gasto",O2933,0))</f>
        <v/>
      </c>
      <c r="Q2933" s="20">
        <f>IF(I2933="","",IF(I2933="Ingreso",O2933,0))</f>
        <v/>
      </c>
      <c r="R2933" s="20">
        <f>IF(I2933="","",IF(I2933="Trading",O2933,0))</f>
        <v/>
      </c>
      <c r="S2933" s="19">
        <f>IF(I2933="","",IF(AND(I2933="Gasto",K2933="Variable",J2933&lt;&gt;"Trading",O2933&gt;0,O2933&lt;=Umbral),1,0))</f>
        <v/>
      </c>
      <c r="T2933" s="20">
        <f>IF(OR(I2933="",E2933=""),"",IF(OR(I2933="Gasto",I2933="Transferencia",I2933="Pago tarjeta"),-1,1)*C2933)</f>
        <v/>
      </c>
      <c r="U2933" s="20">
        <f>IF(OR(G2933="",AND(I2933&lt;&gt;"Transferencia",I2933&lt;&gt;"Pago tarjeta")),"",IF(IFERROR(INDEX(ctaMon,MATCH(G2933,ctaNom,0))&amp;"","DOP")=N2933,C2933,IF(N2933="USD",C2933*TasaUSD,C2933/TasaUSD)))</f>
        <v/>
      </c>
      <c r="V2933" s="20">
        <f>IF(I2933="","",IF(IFERROR(INDEX(ctaLiq,MATCH(E2933,ctaNom,0))="Sí",FALSE),IF(OR(I2933="Gasto",I2933="Transferencia",I2933="Pago tarjeta"),-1,1)*O2933,0)+IF(AND(U2933&lt;&gt;"",IFERROR(INDEX(ctaLiq,MATCH(G2933,ctaNom,0))="Sí",FALSE)),O2933,0))</f>
        <v/>
      </c>
      <c r="W2933" s="19">
        <f>IF(OR(F2933="",I2933=""),"",IF(COUNTIFS(F$6:F2933,F2933,I$6:I2933,"?*")=1,MAX(W$5:W2932)+1,""))</f>
        <v/>
      </c>
    </row>
    <row r="2934">
      <c r="B2934" s="15" t="n"/>
      <c r="C2934" s="16" t="n"/>
      <c r="D2934" s="17" t="n"/>
      <c r="E2934" s="17" t="n"/>
      <c r="F2934" s="17" t="n"/>
      <c r="G2934" s="17" t="n"/>
      <c r="H2934" s="18">
        <f>IF(AND(B2934="",C2934="",D2934="",E2934=""),"",IF(B2934="","⚠ Falta fecha",IF(C2934="","⚠ Falta monto",IF(D2934="","⚠ Falta categoría",IF(ISNA(MATCH(D2934,catNom,0)),"⚠ Categoría no existe",IF(E2934="","⚠ Falta cuenta",IF(ISNA(MATCH(E2934,ctaNom,0)),"⚠ Cuenta no existe",IF(AND(OR(I2934="Transferencia",I2934="Pago tarjeta"),G2934=""),"⚠ Indica la cuenta «Hacia»",IF(AND(G2934&lt;&gt;"",G2934=E2934),"⚠ «Hacia» igual a la cuenta",IF(AND(G2934&lt;&gt;"",ISNA(MATCH(G2934,ctaNom,0))),"⚠ «Hacia» no existe",IF(AND(I2934="Pago tarjeta",IFERROR(INDEX(ctaTipo,MATCH(G2934,ctaNom,0)),"")&lt;&gt;"Tarjeta de crédito"),"⚠ «Hacia» debe ser la tarjeta",IF(AND(I2934="Trading",IFERROR(INDEX(ctaTipo,MATCH(E2934,ctaNom,0)),"")&lt;&gt;"Cuenta de trading"),"⚠ Usa la cuenta de trading","✓"))))))))))))</f>
        <v/>
      </c>
      <c r="I2934" s="19">
        <f>IF(OR(B2934="",C2934="",D2934=""),"",IFERROR(INDEX(catTipo,MATCH(D2934,catNom,0))&amp;"",""))</f>
        <v/>
      </c>
      <c r="J2934" s="19">
        <f>IF(I2934="","",IFERROR(INDEX(catGrupo,MATCH(D2934,catNom,0))&amp;"",""))</f>
        <v/>
      </c>
      <c r="K2934" s="19">
        <f>IF(I2934="Gasto",IF(IFERROR(INDEX(catClas,MATCH(D2934,catNom,0))&amp;"","")="","Variable",IFERROR(INDEX(catClas,MATCH(D2934,catNom,0))&amp;"","")),"")</f>
        <v/>
      </c>
      <c r="L2934" s="19">
        <f>IF(I2934="","",IFERROR(INDEX(catAlim,MATCH(D2934,catNom,0))&amp;"",""))</f>
        <v/>
      </c>
      <c r="M2934" s="19">
        <f>IF(I2934="","",IFERROR(INDEX(catComida,MATCH(D2934,catNom,0))&amp;"",""))</f>
        <v/>
      </c>
      <c r="N2934" s="19">
        <f>IF(I2934="","",IFERROR(INDEX(ctaMon,MATCH(E2934,ctaNom,0))&amp;"","DOP"))</f>
        <v/>
      </c>
      <c r="O2934" s="20">
        <f>IF(I2934="","",C2934*IF(N2934="USD",TasaUSD,1))</f>
        <v/>
      </c>
      <c r="P2934" s="20">
        <f>IF(I2934="","",IF(I2934="Gasto",O2934,0))</f>
        <v/>
      </c>
      <c r="Q2934" s="20">
        <f>IF(I2934="","",IF(I2934="Ingreso",O2934,0))</f>
        <v/>
      </c>
      <c r="R2934" s="20">
        <f>IF(I2934="","",IF(I2934="Trading",O2934,0))</f>
        <v/>
      </c>
      <c r="S2934" s="19">
        <f>IF(I2934="","",IF(AND(I2934="Gasto",K2934="Variable",J2934&lt;&gt;"Trading",O2934&gt;0,O2934&lt;=Umbral),1,0))</f>
        <v/>
      </c>
      <c r="T2934" s="20">
        <f>IF(OR(I2934="",E2934=""),"",IF(OR(I2934="Gasto",I2934="Transferencia",I2934="Pago tarjeta"),-1,1)*C2934)</f>
        <v/>
      </c>
      <c r="U2934" s="20">
        <f>IF(OR(G2934="",AND(I2934&lt;&gt;"Transferencia",I2934&lt;&gt;"Pago tarjeta")),"",IF(IFERROR(INDEX(ctaMon,MATCH(G2934,ctaNom,0))&amp;"","DOP")=N2934,C2934,IF(N2934="USD",C2934*TasaUSD,C2934/TasaUSD)))</f>
        <v/>
      </c>
      <c r="V2934" s="20">
        <f>IF(I2934="","",IF(IFERROR(INDEX(ctaLiq,MATCH(E2934,ctaNom,0))="Sí",FALSE),IF(OR(I2934="Gasto",I2934="Transferencia",I2934="Pago tarjeta"),-1,1)*O2934,0)+IF(AND(U2934&lt;&gt;"",IFERROR(INDEX(ctaLiq,MATCH(G2934,ctaNom,0))="Sí",FALSE)),O2934,0))</f>
        <v/>
      </c>
      <c r="W2934" s="19">
        <f>IF(OR(F2934="",I2934=""),"",IF(COUNTIFS(F$6:F2934,F2934,I$6:I2934,"?*")=1,MAX(W$5:W2933)+1,""))</f>
        <v/>
      </c>
    </row>
    <row r="2935">
      <c r="B2935" s="15" t="n"/>
      <c r="C2935" s="16" t="n"/>
      <c r="D2935" s="17" t="n"/>
      <c r="E2935" s="17" t="n"/>
      <c r="F2935" s="17" t="n"/>
      <c r="G2935" s="17" t="n"/>
      <c r="H2935" s="18">
        <f>IF(AND(B2935="",C2935="",D2935="",E2935=""),"",IF(B2935="","⚠ Falta fecha",IF(C2935="","⚠ Falta monto",IF(D2935="","⚠ Falta categoría",IF(ISNA(MATCH(D2935,catNom,0)),"⚠ Categoría no existe",IF(E2935="","⚠ Falta cuenta",IF(ISNA(MATCH(E2935,ctaNom,0)),"⚠ Cuenta no existe",IF(AND(OR(I2935="Transferencia",I2935="Pago tarjeta"),G2935=""),"⚠ Indica la cuenta «Hacia»",IF(AND(G2935&lt;&gt;"",G2935=E2935),"⚠ «Hacia» igual a la cuenta",IF(AND(G2935&lt;&gt;"",ISNA(MATCH(G2935,ctaNom,0))),"⚠ «Hacia» no existe",IF(AND(I2935="Pago tarjeta",IFERROR(INDEX(ctaTipo,MATCH(G2935,ctaNom,0)),"")&lt;&gt;"Tarjeta de crédito"),"⚠ «Hacia» debe ser la tarjeta",IF(AND(I2935="Trading",IFERROR(INDEX(ctaTipo,MATCH(E2935,ctaNom,0)),"")&lt;&gt;"Cuenta de trading"),"⚠ Usa la cuenta de trading","✓"))))))))))))</f>
        <v/>
      </c>
      <c r="I2935" s="19">
        <f>IF(OR(B2935="",C2935="",D2935=""),"",IFERROR(INDEX(catTipo,MATCH(D2935,catNom,0))&amp;"",""))</f>
        <v/>
      </c>
      <c r="J2935" s="19">
        <f>IF(I2935="","",IFERROR(INDEX(catGrupo,MATCH(D2935,catNom,0))&amp;"",""))</f>
        <v/>
      </c>
      <c r="K2935" s="19">
        <f>IF(I2935="Gasto",IF(IFERROR(INDEX(catClas,MATCH(D2935,catNom,0))&amp;"","")="","Variable",IFERROR(INDEX(catClas,MATCH(D2935,catNom,0))&amp;"","")),"")</f>
        <v/>
      </c>
      <c r="L2935" s="19">
        <f>IF(I2935="","",IFERROR(INDEX(catAlim,MATCH(D2935,catNom,0))&amp;"",""))</f>
        <v/>
      </c>
      <c r="M2935" s="19">
        <f>IF(I2935="","",IFERROR(INDEX(catComida,MATCH(D2935,catNom,0))&amp;"",""))</f>
        <v/>
      </c>
      <c r="N2935" s="19">
        <f>IF(I2935="","",IFERROR(INDEX(ctaMon,MATCH(E2935,ctaNom,0))&amp;"","DOP"))</f>
        <v/>
      </c>
      <c r="O2935" s="20">
        <f>IF(I2935="","",C2935*IF(N2935="USD",TasaUSD,1))</f>
        <v/>
      </c>
      <c r="P2935" s="20">
        <f>IF(I2935="","",IF(I2935="Gasto",O2935,0))</f>
        <v/>
      </c>
      <c r="Q2935" s="20">
        <f>IF(I2935="","",IF(I2935="Ingreso",O2935,0))</f>
        <v/>
      </c>
      <c r="R2935" s="20">
        <f>IF(I2935="","",IF(I2935="Trading",O2935,0))</f>
        <v/>
      </c>
      <c r="S2935" s="19">
        <f>IF(I2935="","",IF(AND(I2935="Gasto",K2935="Variable",J2935&lt;&gt;"Trading",O2935&gt;0,O2935&lt;=Umbral),1,0))</f>
        <v/>
      </c>
      <c r="T2935" s="20">
        <f>IF(OR(I2935="",E2935=""),"",IF(OR(I2935="Gasto",I2935="Transferencia",I2935="Pago tarjeta"),-1,1)*C2935)</f>
        <v/>
      </c>
      <c r="U2935" s="20">
        <f>IF(OR(G2935="",AND(I2935&lt;&gt;"Transferencia",I2935&lt;&gt;"Pago tarjeta")),"",IF(IFERROR(INDEX(ctaMon,MATCH(G2935,ctaNom,0))&amp;"","DOP")=N2935,C2935,IF(N2935="USD",C2935*TasaUSD,C2935/TasaUSD)))</f>
        <v/>
      </c>
      <c r="V2935" s="20">
        <f>IF(I2935="","",IF(IFERROR(INDEX(ctaLiq,MATCH(E2935,ctaNom,0))="Sí",FALSE),IF(OR(I2935="Gasto",I2935="Transferencia",I2935="Pago tarjeta"),-1,1)*O2935,0)+IF(AND(U2935&lt;&gt;"",IFERROR(INDEX(ctaLiq,MATCH(G2935,ctaNom,0))="Sí",FALSE)),O2935,0))</f>
        <v/>
      </c>
      <c r="W2935" s="19">
        <f>IF(OR(F2935="",I2935=""),"",IF(COUNTIFS(F$6:F2935,F2935,I$6:I2935,"?*")=1,MAX(W$5:W2934)+1,""))</f>
        <v/>
      </c>
    </row>
    <row r="2936">
      <c r="B2936" s="15" t="n"/>
      <c r="C2936" s="16" t="n"/>
      <c r="D2936" s="17" t="n"/>
      <c r="E2936" s="17" t="n"/>
      <c r="F2936" s="17" t="n"/>
      <c r="G2936" s="17" t="n"/>
      <c r="H2936" s="18">
        <f>IF(AND(B2936="",C2936="",D2936="",E2936=""),"",IF(B2936="","⚠ Falta fecha",IF(C2936="","⚠ Falta monto",IF(D2936="","⚠ Falta categoría",IF(ISNA(MATCH(D2936,catNom,0)),"⚠ Categoría no existe",IF(E2936="","⚠ Falta cuenta",IF(ISNA(MATCH(E2936,ctaNom,0)),"⚠ Cuenta no existe",IF(AND(OR(I2936="Transferencia",I2936="Pago tarjeta"),G2936=""),"⚠ Indica la cuenta «Hacia»",IF(AND(G2936&lt;&gt;"",G2936=E2936),"⚠ «Hacia» igual a la cuenta",IF(AND(G2936&lt;&gt;"",ISNA(MATCH(G2936,ctaNom,0))),"⚠ «Hacia» no existe",IF(AND(I2936="Pago tarjeta",IFERROR(INDEX(ctaTipo,MATCH(G2936,ctaNom,0)),"")&lt;&gt;"Tarjeta de crédito"),"⚠ «Hacia» debe ser la tarjeta",IF(AND(I2936="Trading",IFERROR(INDEX(ctaTipo,MATCH(E2936,ctaNom,0)),"")&lt;&gt;"Cuenta de trading"),"⚠ Usa la cuenta de trading","✓"))))))))))))</f>
        <v/>
      </c>
      <c r="I2936" s="19">
        <f>IF(OR(B2936="",C2936="",D2936=""),"",IFERROR(INDEX(catTipo,MATCH(D2936,catNom,0))&amp;"",""))</f>
        <v/>
      </c>
      <c r="J2936" s="19">
        <f>IF(I2936="","",IFERROR(INDEX(catGrupo,MATCH(D2936,catNom,0))&amp;"",""))</f>
        <v/>
      </c>
      <c r="K2936" s="19">
        <f>IF(I2936="Gasto",IF(IFERROR(INDEX(catClas,MATCH(D2936,catNom,0))&amp;"","")="","Variable",IFERROR(INDEX(catClas,MATCH(D2936,catNom,0))&amp;"","")),"")</f>
        <v/>
      </c>
      <c r="L2936" s="19">
        <f>IF(I2936="","",IFERROR(INDEX(catAlim,MATCH(D2936,catNom,0))&amp;"",""))</f>
        <v/>
      </c>
      <c r="M2936" s="19">
        <f>IF(I2936="","",IFERROR(INDEX(catComida,MATCH(D2936,catNom,0))&amp;"",""))</f>
        <v/>
      </c>
      <c r="N2936" s="19">
        <f>IF(I2936="","",IFERROR(INDEX(ctaMon,MATCH(E2936,ctaNom,0))&amp;"","DOP"))</f>
        <v/>
      </c>
      <c r="O2936" s="20">
        <f>IF(I2936="","",C2936*IF(N2936="USD",TasaUSD,1))</f>
        <v/>
      </c>
      <c r="P2936" s="20">
        <f>IF(I2936="","",IF(I2936="Gasto",O2936,0))</f>
        <v/>
      </c>
      <c r="Q2936" s="20">
        <f>IF(I2936="","",IF(I2936="Ingreso",O2936,0))</f>
        <v/>
      </c>
      <c r="R2936" s="20">
        <f>IF(I2936="","",IF(I2936="Trading",O2936,0))</f>
        <v/>
      </c>
      <c r="S2936" s="19">
        <f>IF(I2936="","",IF(AND(I2936="Gasto",K2936="Variable",J2936&lt;&gt;"Trading",O2936&gt;0,O2936&lt;=Umbral),1,0))</f>
        <v/>
      </c>
      <c r="T2936" s="20">
        <f>IF(OR(I2936="",E2936=""),"",IF(OR(I2936="Gasto",I2936="Transferencia",I2936="Pago tarjeta"),-1,1)*C2936)</f>
        <v/>
      </c>
      <c r="U2936" s="20">
        <f>IF(OR(G2936="",AND(I2936&lt;&gt;"Transferencia",I2936&lt;&gt;"Pago tarjeta")),"",IF(IFERROR(INDEX(ctaMon,MATCH(G2936,ctaNom,0))&amp;"","DOP")=N2936,C2936,IF(N2936="USD",C2936*TasaUSD,C2936/TasaUSD)))</f>
        <v/>
      </c>
      <c r="V2936" s="20">
        <f>IF(I2936="","",IF(IFERROR(INDEX(ctaLiq,MATCH(E2936,ctaNom,0))="Sí",FALSE),IF(OR(I2936="Gasto",I2936="Transferencia",I2936="Pago tarjeta"),-1,1)*O2936,0)+IF(AND(U2936&lt;&gt;"",IFERROR(INDEX(ctaLiq,MATCH(G2936,ctaNom,0))="Sí",FALSE)),O2936,0))</f>
        <v/>
      </c>
      <c r="W2936" s="19">
        <f>IF(OR(F2936="",I2936=""),"",IF(COUNTIFS(F$6:F2936,F2936,I$6:I2936,"?*")=1,MAX(W$5:W2935)+1,""))</f>
        <v/>
      </c>
    </row>
    <row r="2937">
      <c r="B2937" s="15" t="n"/>
      <c r="C2937" s="16" t="n"/>
      <c r="D2937" s="17" t="n"/>
      <c r="E2937" s="17" t="n"/>
      <c r="F2937" s="17" t="n"/>
      <c r="G2937" s="17" t="n"/>
      <c r="H2937" s="18">
        <f>IF(AND(B2937="",C2937="",D2937="",E2937=""),"",IF(B2937="","⚠ Falta fecha",IF(C2937="","⚠ Falta monto",IF(D2937="","⚠ Falta categoría",IF(ISNA(MATCH(D2937,catNom,0)),"⚠ Categoría no existe",IF(E2937="","⚠ Falta cuenta",IF(ISNA(MATCH(E2937,ctaNom,0)),"⚠ Cuenta no existe",IF(AND(OR(I2937="Transferencia",I2937="Pago tarjeta"),G2937=""),"⚠ Indica la cuenta «Hacia»",IF(AND(G2937&lt;&gt;"",G2937=E2937),"⚠ «Hacia» igual a la cuenta",IF(AND(G2937&lt;&gt;"",ISNA(MATCH(G2937,ctaNom,0))),"⚠ «Hacia» no existe",IF(AND(I2937="Pago tarjeta",IFERROR(INDEX(ctaTipo,MATCH(G2937,ctaNom,0)),"")&lt;&gt;"Tarjeta de crédito"),"⚠ «Hacia» debe ser la tarjeta",IF(AND(I2937="Trading",IFERROR(INDEX(ctaTipo,MATCH(E2937,ctaNom,0)),"")&lt;&gt;"Cuenta de trading"),"⚠ Usa la cuenta de trading","✓"))))))))))))</f>
        <v/>
      </c>
      <c r="I2937" s="19">
        <f>IF(OR(B2937="",C2937="",D2937=""),"",IFERROR(INDEX(catTipo,MATCH(D2937,catNom,0))&amp;"",""))</f>
        <v/>
      </c>
      <c r="J2937" s="19">
        <f>IF(I2937="","",IFERROR(INDEX(catGrupo,MATCH(D2937,catNom,0))&amp;"",""))</f>
        <v/>
      </c>
      <c r="K2937" s="19">
        <f>IF(I2937="Gasto",IF(IFERROR(INDEX(catClas,MATCH(D2937,catNom,0))&amp;"","")="","Variable",IFERROR(INDEX(catClas,MATCH(D2937,catNom,0))&amp;"","")),"")</f>
        <v/>
      </c>
      <c r="L2937" s="19">
        <f>IF(I2937="","",IFERROR(INDEX(catAlim,MATCH(D2937,catNom,0))&amp;"",""))</f>
        <v/>
      </c>
      <c r="M2937" s="19">
        <f>IF(I2937="","",IFERROR(INDEX(catComida,MATCH(D2937,catNom,0))&amp;"",""))</f>
        <v/>
      </c>
      <c r="N2937" s="19">
        <f>IF(I2937="","",IFERROR(INDEX(ctaMon,MATCH(E2937,ctaNom,0))&amp;"","DOP"))</f>
        <v/>
      </c>
      <c r="O2937" s="20">
        <f>IF(I2937="","",C2937*IF(N2937="USD",TasaUSD,1))</f>
        <v/>
      </c>
      <c r="P2937" s="20">
        <f>IF(I2937="","",IF(I2937="Gasto",O2937,0))</f>
        <v/>
      </c>
      <c r="Q2937" s="20">
        <f>IF(I2937="","",IF(I2937="Ingreso",O2937,0))</f>
        <v/>
      </c>
      <c r="R2937" s="20">
        <f>IF(I2937="","",IF(I2937="Trading",O2937,0))</f>
        <v/>
      </c>
      <c r="S2937" s="19">
        <f>IF(I2937="","",IF(AND(I2937="Gasto",K2937="Variable",J2937&lt;&gt;"Trading",O2937&gt;0,O2937&lt;=Umbral),1,0))</f>
        <v/>
      </c>
      <c r="T2937" s="20">
        <f>IF(OR(I2937="",E2937=""),"",IF(OR(I2937="Gasto",I2937="Transferencia",I2937="Pago tarjeta"),-1,1)*C2937)</f>
        <v/>
      </c>
      <c r="U2937" s="20">
        <f>IF(OR(G2937="",AND(I2937&lt;&gt;"Transferencia",I2937&lt;&gt;"Pago tarjeta")),"",IF(IFERROR(INDEX(ctaMon,MATCH(G2937,ctaNom,0))&amp;"","DOP")=N2937,C2937,IF(N2937="USD",C2937*TasaUSD,C2937/TasaUSD)))</f>
        <v/>
      </c>
      <c r="V2937" s="20">
        <f>IF(I2937="","",IF(IFERROR(INDEX(ctaLiq,MATCH(E2937,ctaNom,0))="Sí",FALSE),IF(OR(I2937="Gasto",I2937="Transferencia",I2937="Pago tarjeta"),-1,1)*O2937,0)+IF(AND(U2937&lt;&gt;"",IFERROR(INDEX(ctaLiq,MATCH(G2937,ctaNom,0))="Sí",FALSE)),O2937,0))</f>
        <v/>
      </c>
      <c r="W2937" s="19">
        <f>IF(OR(F2937="",I2937=""),"",IF(COUNTIFS(F$6:F2937,F2937,I$6:I2937,"?*")=1,MAX(W$5:W2936)+1,""))</f>
        <v/>
      </c>
    </row>
    <row r="2938">
      <c r="B2938" s="15" t="n"/>
      <c r="C2938" s="16" t="n"/>
      <c r="D2938" s="17" t="n"/>
      <c r="E2938" s="17" t="n"/>
      <c r="F2938" s="17" t="n"/>
      <c r="G2938" s="17" t="n"/>
      <c r="H2938" s="18">
        <f>IF(AND(B2938="",C2938="",D2938="",E2938=""),"",IF(B2938="","⚠ Falta fecha",IF(C2938="","⚠ Falta monto",IF(D2938="","⚠ Falta categoría",IF(ISNA(MATCH(D2938,catNom,0)),"⚠ Categoría no existe",IF(E2938="","⚠ Falta cuenta",IF(ISNA(MATCH(E2938,ctaNom,0)),"⚠ Cuenta no existe",IF(AND(OR(I2938="Transferencia",I2938="Pago tarjeta"),G2938=""),"⚠ Indica la cuenta «Hacia»",IF(AND(G2938&lt;&gt;"",G2938=E2938),"⚠ «Hacia» igual a la cuenta",IF(AND(G2938&lt;&gt;"",ISNA(MATCH(G2938,ctaNom,0))),"⚠ «Hacia» no existe",IF(AND(I2938="Pago tarjeta",IFERROR(INDEX(ctaTipo,MATCH(G2938,ctaNom,0)),"")&lt;&gt;"Tarjeta de crédito"),"⚠ «Hacia» debe ser la tarjeta",IF(AND(I2938="Trading",IFERROR(INDEX(ctaTipo,MATCH(E2938,ctaNom,0)),"")&lt;&gt;"Cuenta de trading"),"⚠ Usa la cuenta de trading","✓"))))))))))))</f>
        <v/>
      </c>
      <c r="I2938" s="19">
        <f>IF(OR(B2938="",C2938="",D2938=""),"",IFERROR(INDEX(catTipo,MATCH(D2938,catNom,0))&amp;"",""))</f>
        <v/>
      </c>
      <c r="J2938" s="19">
        <f>IF(I2938="","",IFERROR(INDEX(catGrupo,MATCH(D2938,catNom,0))&amp;"",""))</f>
        <v/>
      </c>
      <c r="K2938" s="19">
        <f>IF(I2938="Gasto",IF(IFERROR(INDEX(catClas,MATCH(D2938,catNom,0))&amp;"","")="","Variable",IFERROR(INDEX(catClas,MATCH(D2938,catNom,0))&amp;"","")),"")</f>
        <v/>
      </c>
      <c r="L2938" s="19">
        <f>IF(I2938="","",IFERROR(INDEX(catAlim,MATCH(D2938,catNom,0))&amp;"",""))</f>
        <v/>
      </c>
      <c r="M2938" s="19">
        <f>IF(I2938="","",IFERROR(INDEX(catComida,MATCH(D2938,catNom,0))&amp;"",""))</f>
        <v/>
      </c>
      <c r="N2938" s="19">
        <f>IF(I2938="","",IFERROR(INDEX(ctaMon,MATCH(E2938,ctaNom,0))&amp;"","DOP"))</f>
        <v/>
      </c>
      <c r="O2938" s="20">
        <f>IF(I2938="","",C2938*IF(N2938="USD",TasaUSD,1))</f>
        <v/>
      </c>
      <c r="P2938" s="20">
        <f>IF(I2938="","",IF(I2938="Gasto",O2938,0))</f>
        <v/>
      </c>
      <c r="Q2938" s="20">
        <f>IF(I2938="","",IF(I2938="Ingreso",O2938,0))</f>
        <v/>
      </c>
      <c r="R2938" s="20">
        <f>IF(I2938="","",IF(I2938="Trading",O2938,0))</f>
        <v/>
      </c>
      <c r="S2938" s="19">
        <f>IF(I2938="","",IF(AND(I2938="Gasto",K2938="Variable",J2938&lt;&gt;"Trading",O2938&gt;0,O2938&lt;=Umbral),1,0))</f>
        <v/>
      </c>
      <c r="T2938" s="20">
        <f>IF(OR(I2938="",E2938=""),"",IF(OR(I2938="Gasto",I2938="Transferencia",I2938="Pago tarjeta"),-1,1)*C2938)</f>
        <v/>
      </c>
      <c r="U2938" s="20">
        <f>IF(OR(G2938="",AND(I2938&lt;&gt;"Transferencia",I2938&lt;&gt;"Pago tarjeta")),"",IF(IFERROR(INDEX(ctaMon,MATCH(G2938,ctaNom,0))&amp;"","DOP")=N2938,C2938,IF(N2938="USD",C2938*TasaUSD,C2938/TasaUSD)))</f>
        <v/>
      </c>
      <c r="V2938" s="20">
        <f>IF(I2938="","",IF(IFERROR(INDEX(ctaLiq,MATCH(E2938,ctaNom,0))="Sí",FALSE),IF(OR(I2938="Gasto",I2938="Transferencia",I2938="Pago tarjeta"),-1,1)*O2938,0)+IF(AND(U2938&lt;&gt;"",IFERROR(INDEX(ctaLiq,MATCH(G2938,ctaNom,0))="Sí",FALSE)),O2938,0))</f>
        <v/>
      </c>
      <c r="W2938" s="19">
        <f>IF(OR(F2938="",I2938=""),"",IF(COUNTIFS(F$6:F2938,F2938,I$6:I2938,"?*")=1,MAX(W$5:W2937)+1,""))</f>
        <v/>
      </c>
    </row>
    <row r="2939">
      <c r="B2939" s="15" t="n"/>
      <c r="C2939" s="16" t="n"/>
      <c r="D2939" s="17" t="n"/>
      <c r="E2939" s="17" t="n"/>
      <c r="F2939" s="17" t="n"/>
      <c r="G2939" s="17" t="n"/>
      <c r="H2939" s="18">
        <f>IF(AND(B2939="",C2939="",D2939="",E2939=""),"",IF(B2939="","⚠ Falta fecha",IF(C2939="","⚠ Falta monto",IF(D2939="","⚠ Falta categoría",IF(ISNA(MATCH(D2939,catNom,0)),"⚠ Categoría no existe",IF(E2939="","⚠ Falta cuenta",IF(ISNA(MATCH(E2939,ctaNom,0)),"⚠ Cuenta no existe",IF(AND(OR(I2939="Transferencia",I2939="Pago tarjeta"),G2939=""),"⚠ Indica la cuenta «Hacia»",IF(AND(G2939&lt;&gt;"",G2939=E2939),"⚠ «Hacia» igual a la cuenta",IF(AND(G2939&lt;&gt;"",ISNA(MATCH(G2939,ctaNom,0))),"⚠ «Hacia» no existe",IF(AND(I2939="Pago tarjeta",IFERROR(INDEX(ctaTipo,MATCH(G2939,ctaNom,0)),"")&lt;&gt;"Tarjeta de crédito"),"⚠ «Hacia» debe ser la tarjeta",IF(AND(I2939="Trading",IFERROR(INDEX(ctaTipo,MATCH(E2939,ctaNom,0)),"")&lt;&gt;"Cuenta de trading"),"⚠ Usa la cuenta de trading","✓"))))))))))))</f>
        <v/>
      </c>
      <c r="I2939" s="19">
        <f>IF(OR(B2939="",C2939="",D2939=""),"",IFERROR(INDEX(catTipo,MATCH(D2939,catNom,0))&amp;"",""))</f>
        <v/>
      </c>
      <c r="J2939" s="19">
        <f>IF(I2939="","",IFERROR(INDEX(catGrupo,MATCH(D2939,catNom,0))&amp;"",""))</f>
        <v/>
      </c>
      <c r="K2939" s="19">
        <f>IF(I2939="Gasto",IF(IFERROR(INDEX(catClas,MATCH(D2939,catNom,0))&amp;"","")="","Variable",IFERROR(INDEX(catClas,MATCH(D2939,catNom,0))&amp;"","")),"")</f>
        <v/>
      </c>
      <c r="L2939" s="19">
        <f>IF(I2939="","",IFERROR(INDEX(catAlim,MATCH(D2939,catNom,0))&amp;"",""))</f>
        <v/>
      </c>
      <c r="M2939" s="19">
        <f>IF(I2939="","",IFERROR(INDEX(catComida,MATCH(D2939,catNom,0))&amp;"",""))</f>
        <v/>
      </c>
      <c r="N2939" s="19">
        <f>IF(I2939="","",IFERROR(INDEX(ctaMon,MATCH(E2939,ctaNom,0))&amp;"","DOP"))</f>
        <v/>
      </c>
      <c r="O2939" s="20">
        <f>IF(I2939="","",C2939*IF(N2939="USD",TasaUSD,1))</f>
        <v/>
      </c>
      <c r="P2939" s="20">
        <f>IF(I2939="","",IF(I2939="Gasto",O2939,0))</f>
        <v/>
      </c>
      <c r="Q2939" s="20">
        <f>IF(I2939="","",IF(I2939="Ingreso",O2939,0))</f>
        <v/>
      </c>
      <c r="R2939" s="20">
        <f>IF(I2939="","",IF(I2939="Trading",O2939,0))</f>
        <v/>
      </c>
      <c r="S2939" s="19">
        <f>IF(I2939="","",IF(AND(I2939="Gasto",K2939="Variable",J2939&lt;&gt;"Trading",O2939&gt;0,O2939&lt;=Umbral),1,0))</f>
        <v/>
      </c>
      <c r="T2939" s="20">
        <f>IF(OR(I2939="",E2939=""),"",IF(OR(I2939="Gasto",I2939="Transferencia",I2939="Pago tarjeta"),-1,1)*C2939)</f>
        <v/>
      </c>
      <c r="U2939" s="20">
        <f>IF(OR(G2939="",AND(I2939&lt;&gt;"Transferencia",I2939&lt;&gt;"Pago tarjeta")),"",IF(IFERROR(INDEX(ctaMon,MATCH(G2939,ctaNom,0))&amp;"","DOP")=N2939,C2939,IF(N2939="USD",C2939*TasaUSD,C2939/TasaUSD)))</f>
        <v/>
      </c>
      <c r="V2939" s="20">
        <f>IF(I2939="","",IF(IFERROR(INDEX(ctaLiq,MATCH(E2939,ctaNom,0))="Sí",FALSE),IF(OR(I2939="Gasto",I2939="Transferencia",I2939="Pago tarjeta"),-1,1)*O2939,0)+IF(AND(U2939&lt;&gt;"",IFERROR(INDEX(ctaLiq,MATCH(G2939,ctaNom,0))="Sí",FALSE)),O2939,0))</f>
        <v/>
      </c>
      <c r="W2939" s="19">
        <f>IF(OR(F2939="",I2939=""),"",IF(COUNTIFS(F$6:F2939,F2939,I$6:I2939,"?*")=1,MAX(W$5:W2938)+1,""))</f>
        <v/>
      </c>
    </row>
    <row r="2940">
      <c r="B2940" s="15" t="n"/>
      <c r="C2940" s="16" t="n"/>
      <c r="D2940" s="17" t="n"/>
      <c r="E2940" s="17" t="n"/>
      <c r="F2940" s="17" t="n"/>
      <c r="G2940" s="17" t="n"/>
      <c r="H2940" s="18">
        <f>IF(AND(B2940="",C2940="",D2940="",E2940=""),"",IF(B2940="","⚠ Falta fecha",IF(C2940="","⚠ Falta monto",IF(D2940="","⚠ Falta categoría",IF(ISNA(MATCH(D2940,catNom,0)),"⚠ Categoría no existe",IF(E2940="","⚠ Falta cuenta",IF(ISNA(MATCH(E2940,ctaNom,0)),"⚠ Cuenta no existe",IF(AND(OR(I2940="Transferencia",I2940="Pago tarjeta"),G2940=""),"⚠ Indica la cuenta «Hacia»",IF(AND(G2940&lt;&gt;"",G2940=E2940),"⚠ «Hacia» igual a la cuenta",IF(AND(G2940&lt;&gt;"",ISNA(MATCH(G2940,ctaNom,0))),"⚠ «Hacia» no existe",IF(AND(I2940="Pago tarjeta",IFERROR(INDEX(ctaTipo,MATCH(G2940,ctaNom,0)),"")&lt;&gt;"Tarjeta de crédito"),"⚠ «Hacia» debe ser la tarjeta",IF(AND(I2940="Trading",IFERROR(INDEX(ctaTipo,MATCH(E2940,ctaNom,0)),"")&lt;&gt;"Cuenta de trading"),"⚠ Usa la cuenta de trading","✓"))))))))))))</f>
        <v/>
      </c>
      <c r="I2940" s="19">
        <f>IF(OR(B2940="",C2940="",D2940=""),"",IFERROR(INDEX(catTipo,MATCH(D2940,catNom,0))&amp;"",""))</f>
        <v/>
      </c>
      <c r="J2940" s="19">
        <f>IF(I2940="","",IFERROR(INDEX(catGrupo,MATCH(D2940,catNom,0))&amp;"",""))</f>
        <v/>
      </c>
      <c r="K2940" s="19">
        <f>IF(I2940="Gasto",IF(IFERROR(INDEX(catClas,MATCH(D2940,catNom,0))&amp;"","")="","Variable",IFERROR(INDEX(catClas,MATCH(D2940,catNom,0))&amp;"","")),"")</f>
        <v/>
      </c>
      <c r="L2940" s="19">
        <f>IF(I2940="","",IFERROR(INDEX(catAlim,MATCH(D2940,catNom,0))&amp;"",""))</f>
        <v/>
      </c>
      <c r="M2940" s="19">
        <f>IF(I2940="","",IFERROR(INDEX(catComida,MATCH(D2940,catNom,0))&amp;"",""))</f>
        <v/>
      </c>
      <c r="N2940" s="19">
        <f>IF(I2940="","",IFERROR(INDEX(ctaMon,MATCH(E2940,ctaNom,0))&amp;"","DOP"))</f>
        <v/>
      </c>
      <c r="O2940" s="20">
        <f>IF(I2940="","",C2940*IF(N2940="USD",TasaUSD,1))</f>
        <v/>
      </c>
      <c r="P2940" s="20">
        <f>IF(I2940="","",IF(I2940="Gasto",O2940,0))</f>
        <v/>
      </c>
      <c r="Q2940" s="20">
        <f>IF(I2940="","",IF(I2940="Ingreso",O2940,0))</f>
        <v/>
      </c>
      <c r="R2940" s="20">
        <f>IF(I2940="","",IF(I2940="Trading",O2940,0))</f>
        <v/>
      </c>
      <c r="S2940" s="19">
        <f>IF(I2940="","",IF(AND(I2940="Gasto",K2940="Variable",J2940&lt;&gt;"Trading",O2940&gt;0,O2940&lt;=Umbral),1,0))</f>
        <v/>
      </c>
      <c r="T2940" s="20">
        <f>IF(OR(I2940="",E2940=""),"",IF(OR(I2940="Gasto",I2940="Transferencia",I2940="Pago tarjeta"),-1,1)*C2940)</f>
        <v/>
      </c>
      <c r="U2940" s="20">
        <f>IF(OR(G2940="",AND(I2940&lt;&gt;"Transferencia",I2940&lt;&gt;"Pago tarjeta")),"",IF(IFERROR(INDEX(ctaMon,MATCH(G2940,ctaNom,0))&amp;"","DOP")=N2940,C2940,IF(N2940="USD",C2940*TasaUSD,C2940/TasaUSD)))</f>
        <v/>
      </c>
      <c r="V2940" s="20">
        <f>IF(I2940="","",IF(IFERROR(INDEX(ctaLiq,MATCH(E2940,ctaNom,0))="Sí",FALSE),IF(OR(I2940="Gasto",I2940="Transferencia",I2940="Pago tarjeta"),-1,1)*O2940,0)+IF(AND(U2940&lt;&gt;"",IFERROR(INDEX(ctaLiq,MATCH(G2940,ctaNom,0))="Sí",FALSE)),O2940,0))</f>
        <v/>
      </c>
      <c r="W2940" s="19">
        <f>IF(OR(F2940="",I2940=""),"",IF(COUNTIFS(F$6:F2940,F2940,I$6:I2940,"?*")=1,MAX(W$5:W2939)+1,""))</f>
        <v/>
      </c>
    </row>
    <row r="2941">
      <c r="B2941" s="15" t="n"/>
      <c r="C2941" s="16" t="n"/>
      <c r="D2941" s="17" t="n"/>
      <c r="E2941" s="17" t="n"/>
      <c r="F2941" s="17" t="n"/>
      <c r="G2941" s="17" t="n"/>
      <c r="H2941" s="18">
        <f>IF(AND(B2941="",C2941="",D2941="",E2941=""),"",IF(B2941="","⚠ Falta fecha",IF(C2941="","⚠ Falta monto",IF(D2941="","⚠ Falta categoría",IF(ISNA(MATCH(D2941,catNom,0)),"⚠ Categoría no existe",IF(E2941="","⚠ Falta cuenta",IF(ISNA(MATCH(E2941,ctaNom,0)),"⚠ Cuenta no existe",IF(AND(OR(I2941="Transferencia",I2941="Pago tarjeta"),G2941=""),"⚠ Indica la cuenta «Hacia»",IF(AND(G2941&lt;&gt;"",G2941=E2941),"⚠ «Hacia» igual a la cuenta",IF(AND(G2941&lt;&gt;"",ISNA(MATCH(G2941,ctaNom,0))),"⚠ «Hacia» no existe",IF(AND(I2941="Pago tarjeta",IFERROR(INDEX(ctaTipo,MATCH(G2941,ctaNom,0)),"")&lt;&gt;"Tarjeta de crédito"),"⚠ «Hacia» debe ser la tarjeta",IF(AND(I2941="Trading",IFERROR(INDEX(ctaTipo,MATCH(E2941,ctaNom,0)),"")&lt;&gt;"Cuenta de trading"),"⚠ Usa la cuenta de trading","✓"))))))))))))</f>
        <v/>
      </c>
      <c r="I2941" s="19">
        <f>IF(OR(B2941="",C2941="",D2941=""),"",IFERROR(INDEX(catTipo,MATCH(D2941,catNom,0))&amp;"",""))</f>
        <v/>
      </c>
      <c r="J2941" s="19">
        <f>IF(I2941="","",IFERROR(INDEX(catGrupo,MATCH(D2941,catNom,0))&amp;"",""))</f>
        <v/>
      </c>
      <c r="K2941" s="19">
        <f>IF(I2941="Gasto",IF(IFERROR(INDEX(catClas,MATCH(D2941,catNom,0))&amp;"","")="","Variable",IFERROR(INDEX(catClas,MATCH(D2941,catNom,0))&amp;"","")),"")</f>
        <v/>
      </c>
      <c r="L2941" s="19">
        <f>IF(I2941="","",IFERROR(INDEX(catAlim,MATCH(D2941,catNom,0))&amp;"",""))</f>
        <v/>
      </c>
      <c r="M2941" s="19">
        <f>IF(I2941="","",IFERROR(INDEX(catComida,MATCH(D2941,catNom,0))&amp;"",""))</f>
        <v/>
      </c>
      <c r="N2941" s="19">
        <f>IF(I2941="","",IFERROR(INDEX(ctaMon,MATCH(E2941,ctaNom,0))&amp;"","DOP"))</f>
        <v/>
      </c>
      <c r="O2941" s="20">
        <f>IF(I2941="","",C2941*IF(N2941="USD",TasaUSD,1))</f>
        <v/>
      </c>
      <c r="P2941" s="20">
        <f>IF(I2941="","",IF(I2941="Gasto",O2941,0))</f>
        <v/>
      </c>
      <c r="Q2941" s="20">
        <f>IF(I2941="","",IF(I2941="Ingreso",O2941,0))</f>
        <v/>
      </c>
      <c r="R2941" s="20">
        <f>IF(I2941="","",IF(I2941="Trading",O2941,0))</f>
        <v/>
      </c>
      <c r="S2941" s="19">
        <f>IF(I2941="","",IF(AND(I2941="Gasto",K2941="Variable",J2941&lt;&gt;"Trading",O2941&gt;0,O2941&lt;=Umbral),1,0))</f>
        <v/>
      </c>
      <c r="T2941" s="20">
        <f>IF(OR(I2941="",E2941=""),"",IF(OR(I2941="Gasto",I2941="Transferencia",I2941="Pago tarjeta"),-1,1)*C2941)</f>
        <v/>
      </c>
      <c r="U2941" s="20">
        <f>IF(OR(G2941="",AND(I2941&lt;&gt;"Transferencia",I2941&lt;&gt;"Pago tarjeta")),"",IF(IFERROR(INDEX(ctaMon,MATCH(G2941,ctaNom,0))&amp;"","DOP")=N2941,C2941,IF(N2941="USD",C2941*TasaUSD,C2941/TasaUSD)))</f>
        <v/>
      </c>
      <c r="V2941" s="20">
        <f>IF(I2941="","",IF(IFERROR(INDEX(ctaLiq,MATCH(E2941,ctaNom,0))="Sí",FALSE),IF(OR(I2941="Gasto",I2941="Transferencia",I2941="Pago tarjeta"),-1,1)*O2941,0)+IF(AND(U2941&lt;&gt;"",IFERROR(INDEX(ctaLiq,MATCH(G2941,ctaNom,0))="Sí",FALSE)),O2941,0))</f>
        <v/>
      </c>
      <c r="W2941" s="19">
        <f>IF(OR(F2941="",I2941=""),"",IF(COUNTIFS(F$6:F2941,F2941,I$6:I2941,"?*")=1,MAX(W$5:W2940)+1,""))</f>
        <v/>
      </c>
    </row>
    <row r="2942">
      <c r="B2942" s="15" t="n"/>
      <c r="C2942" s="16" t="n"/>
      <c r="D2942" s="17" t="n"/>
      <c r="E2942" s="17" t="n"/>
      <c r="F2942" s="17" t="n"/>
      <c r="G2942" s="17" t="n"/>
      <c r="H2942" s="18">
        <f>IF(AND(B2942="",C2942="",D2942="",E2942=""),"",IF(B2942="","⚠ Falta fecha",IF(C2942="","⚠ Falta monto",IF(D2942="","⚠ Falta categoría",IF(ISNA(MATCH(D2942,catNom,0)),"⚠ Categoría no existe",IF(E2942="","⚠ Falta cuenta",IF(ISNA(MATCH(E2942,ctaNom,0)),"⚠ Cuenta no existe",IF(AND(OR(I2942="Transferencia",I2942="Pago tarjeta"),G2942=""),"⚠ Indica la cuenta «Hacia»",IF(AND(G2942&lt;&gt;"",G2942=E2942),"⚠ «Hacia» igual a la cuenta",IF(AND(G2942&lt;&gt;"",ISNA(MATCH(G2942,ctaNom,0))),"⚠ «Hacia» no existe",IF(AND(I2942="Pago tarjeta",IFERROR(INDEX(ctaTipo,MATCH(G2942,ctaNom,0)),"")&lt;&gt;"Tarjeta de crédito"),"⚠ «Hacia» debe ser la tarjeta",IF(AND(I2942="Trading",IFERROR(INDEX(ctaTipo,MATCH(E2942,ctaNom,0)),"")&lt;&gt;"Cuenta de trading"),"⚠ Usa la cuenta de trading","✓"))))))))))))</f>
        <v/>
      </c>
      <c r="I2942" s="19">
        <f>IF(OR(B2942="",C2942="",D2942=""),"",IFERROR(INDEX(catTipo,MATCH(D2942,catNom,0))&amp;"",""))</f>
        <v/>
      </c>
      <c r="J2942" s="19">
        <f>IF(I2942="","",IFERROR(INDEX(catGrupo,MATCH(D2942,catNom,0))&amp;"",""))</f>
        <v/>
      </c>
      <c r="K2942" s="19">
        <f>IF(I2942="Gasto",IF(IFERROR(INDEX(catClas,MATCH(D2942,catNom,0))&amp;"","")="","Variable",IFERROR(INDEX(catClas,MATCH(D2942,catNom,0))&amp;"","")),"")</f>
        <v/>
      </c>
      <c r="L2942" s="19">
        <f>IF(I2942="","",IFERROR(INDEX(catAlim,MATCH(D2942,catNom,0))&amp;"",""))</f>
        <v/>
      </c>
      <c r="M2942" s="19">
        <f>IF(I2942="","",IFERROR(INDEX(catComida,MATCH(D2942,catNom,0))&amp;"",""))</f>
        <v/>
      </c>
      <c r="N2942" s="19">
        <f>IF(I2942="","",IFERROR(INDEX(ctaMon,MATCH(E2942,ctaNom,0))&amp;"","DOP"))</f>
        <v/>
      </c>
      <c r="O2942" s="20">
        <f>IF(I2942="","",C2942*IF(N2942="USD",TasaUSD,1))</f>
        <v/>
      </c>
      <c r="P2942" s="20">
        <f>IF(I2942="","",IF(I2942="Gasto",O2942,0))</f>
        <v/>
      </c>
      <c r="Q2942" s="20">
        <f>IF(I2942="","",IF(I2942="Ingreso",O2942,0))</f>
        <v/>
      </c>
      <c r="R2942" s="20">
        <f>IF(I2942="","",IF(I2942="Trading",O2942,0))</f>
        <v/>
      </c>
      <c r="S2942" s="19">
        <f>IF(I2942="","",IF(AND(I2942="Gasto",K2942="Variable",J2942&lt;&gt;"Trading",O2942&gt;0,O2942&lt;=Umbral),1,0))</f>
        <v/>
      </c>
      <c r="T2942" s="20">
        <f>IF(OR(I2942="",E2942=""),"",IF(OR(I2942="Gasto",I2942="Transferencia",I2942="Pago tarjeta"),-1,1)*C2942)</f>
        <v/>
      </c>
      <c r="U2942" s="20">
        <f>IF(OR(G2942="",AND(I2942&lt;&gt;"Transferencia",I2942&lt;&gt;"Pago tarjeta")),"",IF(IFERROR(INDEX(ctaMon,MATCH(G2942,ctaNom,0))&amp;"","DOP")=N2942,C2942,IF(N2942="USD",C2942*TasaUSD,C2942/TasaUSD)))</f>
        <v/>
      </c>
      <c r="V2942" s="20">
        <f>IF(I2942="","",IF(IFERROR(INDEX(ctaLiq,MATCH(E2942,ctaNom,0))="Sí",FALSE),IF(OR(I2942="Gasto",I2942="Transferencia",I2942="Pago tarjeta"),-1,1)*O2942,0)+IF(AND(U2942&lt;&gt;"",IFERROR(INDEX(ctaLiq,MATCH(G2942,ctaNom,0))="Sí",FALSE)),O2942,0))</f>
        <v/>
      </c>
      <c r="W2942" s="19">
        <f>IF(OR(F2942="",I2942=""),"",IF(COUNTIFS(F$6:F2942,F2942,I$6:I2942,"?*")=1,MAX(W$5:W2941)+1,""))</f>
        <v/>
      </c>
    </row>
    <row r="2943">
      <c r="B2943" s="15" t="n"/>
      <c r="C2943" s="16" t="n"/>
      <c r="D2943" s="17" t="n"/>
      <c r="E2943" s="17" t="n"/>
      <c r="F2943" s="17" t="n"/>
      <c r="G2943" s="17" t="n"/>
      <c r="H2943" s="18">
        <f>IF(AND(B2943="",C2943="",D2943="",E2943=""),"",IF(B2943="","⚠ Falta fecha",IF(C2943="","⚠ Falta monto",IF(D2943="","⚠ Falta categoría",IF(ISNA(MATCH(D2943,catNom,0)),"⚠ Categoría no existe",IF(E2943="","⚠ Falta cuenta",IF(ISNA(MATCH(E2943,ctaNom,0)),"⚠ Cuenta no existe",IF(AND(OR(I2943="Transferencia",I2943="Pago tarjeta"),G2943=""),"⚠ Indica la cuenta «Hacia»",IF(AND(G2943&lt;&gt;"",G2943=E2943),"⚠ «Hacia» igual a la cuenta",IF(AND(G2943&lt;&gt;"",ISNA(MATCH(G2943,ctaNom,0))),"⚠ «Hacia» no existe",IF(AND(I2943="Pago tarjeta",IFERROR(INDEX(ctaTipo,MATCH(G2943,ctaNom,0)),"")&lt;&gt;"Tarjeta de crédito"),"⚠ «Hacia» debe ser la tarjeta",IF(AND(I2943="Trading",IFERROR(INDEX(ctaTipo,MATCH(E2943,ctaNom,0)),"")&lt;&gt;"Cuenta de trading"),"⚠ Usa la cuenta de trading","✓"))))))))))))</f>
        <v/>
      </c>
      <c r="I2943" s="19">
        <f>IF(OR(B2943="",C2943="",D2943=""),"",IFERROR(INDEX(catTipo,MATCH(D2943,catNom,0))&amp;"",""))</f>
        <v/>
      </c>
      <c r="J2943" s="19">
        <f>IF(I2943="","",IFERROR(INDEX(catGrupo,MATCH(D2943,catNom,0))&amp;"",""))</f>
        <v/>
      </c>
      <c r="K2943" s="19">
        <f>IF(I2943="Gasto",IF(IFERROR(INDEX(catClas,MATCH(D2943,catNom,0))&amp;"","")="","Variable",IFERROR(INDEX(catClas,MATCH(D2943,catNom,0))&amp;"","")),"")</f>
        <v/>
      </c>
      <c r="L2943" s="19">
        <f>IF(I2943="","",IFERROR(INDEX(catAlim,MATCH(D2943,catNom,0))&amp;"",""))</f>
        <v/>
      </c>
      <c r="M2943" s="19">
        <f>IF(I2943="","",IFERROR(INDEX(catComida,MATCH(D2943,catNom,0))&amp;"",""))</f>
        <v/>
      </c>
      <c r="N2943" s="19">
        <f>IF(I2943="","",IFERROR(INDEX(ctaMon,MATCH(E2943,ctaNom,0))&amp;"","DOP"))</f>
        <v/>
      </c>
      <c r="O2943" s="20">
        <f>IF(I2943="","",C2943*IF(N2943="USD",TasaUSD,1))</f>
        <v/>
      </c>
      <c r="P2943" s="20">
        <f>IF(I2943="","",IF(I2943="Gasto",O2943,0))</f>
        <v/>
      </c>
      <c r="Q2943" s="20">
        <f>IF(I2943="","",IF(I2943="Ingreso",O2943,0))</f>
        <v/>
      </c>
      <c r="R2943" s="20">
        <f>IF(I2943="","",IF(I2943="Trading",O2943,0))</f>
        <v/>
      </c>
      <c r="S2943" s="19">
        <f>IF(I2943="","",IF(AND(I2943="Gasto",K2943="Variable",J2943&lt;&gt;"Trading",O2943&gt;0,O2943&lt;=Umbral),1,0))</f>
        <v/>
      </c>
      <c r="T2943" s="20">
        <f>IF(OR(I2943="",E2943=""),"",IF(OR(I2943="Gasto",I2943="Transferencia",I2943="Pago tarjeta"),-1,1)*C2943)</f>
        <v/>
      </c>
      <c r="U2943" s="20">
        <f>IF(OR(G2943="",AND(I2943&lt;&gt;"Transferencia",I2943&lt;&gt;"Pago tarjeta")),"",IF(IFERROR(INDEX(ctaMon,MATCH(G2943,ctaNom,0))&amp;"","DOP")=N2943,C2943,IF(N2943="USD",C2943*TasaUSD,C2943/TasaUSD)))</f>
        <v/>
      </c>
      <c r="V2943" s="20">
        <f>IF(I2943="","",IF(IFERROR(INDEX(ctaLiq,MATCH(E2943,ctaNom,0))="Sí",FALSE),IF(OR(I2943="Gasto",I2943="Transferencia",I2943="Pago tarjeta"),-1,1)*O2943,0)+IF(AND(U2943&lt;&gt;"",IFERROR(INDEX(ctaLiq,MATCH(G2943,ctaNom,0))="Sí",FALSE)),O2943,0))</f>
        <v/>
      </c>
      <c r="W2943" s="19">
        <f>IF(OR(F2943="",I2943=""),"",IF(COUNTIFS(F$6:F2943,F2943,I$6:I2943,"?*")=1,MAX(W$5:W2942)+1,""))</f>
        <v/>
      </c>
    </row>
    <row r="2944">
      <c r="B2944" s="15" t="n"/>
      <c r="C2944" s="16" t="n"/>
      <c r="D2944" s="17" t="n"/>
      <c r="E2944" s="17" t="n"/>
      <c r="F2944" s="17" t="n"/>
      <c r="G2944" s="17" t="n"/>
      <c r="H2944" s="18">
        <f>IF(AND(B2944="",C2944="",D2944="",E2944=""),"",IF(B2944="","⚠ Falta fecha",IF(C2944="","⚠ Falta monto",IF(D2944="","⚠ Falta categoría",IF(ISNA(MATCH(D2944,catNom,0)),"⚠ Categoría no existe",IF(E2944="","⚠ Falta cuenta",IF(ISNA(MATCH(E2944,ctaNom,0)),"⚠ Cuenta no existe",IF(AND(OR(I2944="Transferencia",I2944="Pago tarjeta"),G2944=""),"⚠ Indica la cuenta «Hacia»",IF(AND(G2944&lt;&gt;"",G2944=E2944),"⚠ «Hacia» igual a la cuenta",IF(AND(G2944&lt;&gt;"",ISNA(MATCH(G2944,ctaNom,0))),"⚠ «Hacia» no existe",IF(AND(I2944="Pago tarjeta",IFERROR(INDEX(ctaTipo,MATCH(G2944,ctaNom,0)),"")&lt;&gt;"Tarjeta de crédito"),"⚠ «Hacia» debe ser la tarjeta",IF(AND(I2944="Trading",IFERROR(INDEX(ctaTipo,MATCH(E2944,ctaNom,0)),"")&lt;&gt;"Cuenta de trading"),"⚠ Usa la cuenta de trading","✓"))))))))))))</f>
        <v/>
      </c>
      <c r="I2944" s="19">
        <f>IF(OR(B2944="",C2944="",D2944=""),"",IFERROR(INDEX(catTipo,MATCH(D2944,catNom,0))&amp;"",""))</f>
        <v/>
      </c>
      <c r="J2944" s="19">
        <f>IF(I2944="","",IFERROR(INDEX(catGrupo,MATCH(D2944,catNom,0))&amp;"",""))</f>
        <v/>
      </c>
      <c r="K2944" s="19">
        <f>IF(I2944="Gasto",IF(IFERROR(INDEX(catClas,MATCH(D2944,catNom,0))&amp;"","")="","Variable",IFERROR(INDEX(catClas,MATCH(D2944,catNom,0))&amp;"","")),"")</f>
        <v/>
      </c>
      <c r="L2944" s="19">
        <f>IF(I2944="","",IFERROR(INDEX(catAlim,MATCH(D2944,catNom,0))&amp;"",""))</f>
        <v/>
      </c>
      <c r="M2944" s="19">
        <f>IF(I2944="","",IFERROR(INDEX(catComida,MATCH(D2944,catNom,0))&amp;"",""))</f>
        <v/>
      </c>
      <c r="N2944" s="19">
        <f>IF(I2944="","",IFERROR(INDEX(ctaMon,MATCH(E2944,ctaNom,0))&amp;"","DOP"))</f>
        <v/>
      </c>
      <c r="O2944" s="20">
        <f>IF(I2944="","",C2944*IF(N2944="USD",TasaUSD,1))</f>
        <v/>
      </c>
      <c r="P2944" s="20">
        <f>IF(I2944="","",IF(I2944="Gasto",O2944,0))</f>
        <v/>
      </c>
      <c r="Q2944" s="20">
        <f>IF(I2944="","",IF(I2944="Ingreso",O2944,0))</f>
        <v/>
      </c>
      <c r="R2944" s="20">
        <f>IF(I2944="","",IF(I2944="Trading",O2944,0))</f>
        <v/>
      </c>
      <c r="S2944" s="19">
        <f>IF(I2944="","",IF(AND(I2944="Gasto",K2944="Variable",J2944&lt;&gt;"Trading",O2944&gt;0,O2944&lt;=Umbral),1,0))</f>
        <v/>
      </c>
      <c r="T2944" s="20">
        <f>IF(OR(I2944="",E2944=""),"",IF(OR(I2944="Gasto",I2944="Transferencia",I2944="Pago tarjeta"),-1,1)*C2944)</f>
        <v/>
      </c>
      <c r="U2944" s="20">
        <f>IF(OR(G2944="",AND(I2944&lt;&gt;"Transferencia",I2944&lt;&gt;"Pago tarjeta")),"",IF(IFERROR(INDEX(ctaMon,MATCH(G2944,ctaNom,0))&amp;"","DOP")=N2944,C2944,IF(N2944="USD",C2944*TasaUSD,C2944/TasaUSD)))</f>
        <v/>
      </c>
      <c r="V2944" s="20">
        <f>IF(I2944="","",IF(IFERROR(INDEX(ctaLiq,MATCH(E2944,ctaNom,0))="Sí",FALSE),IF(OR(I2944="Gasto",I2944="Transferencia",I2944="Pago tarjeta"),-1,1)*O2944,0)+IF(AND(U2944&lt;&gt;"",IFERROR(INDEX(ctaLiq,MATCH(G2944,ctaNom,0))="Sí",FALSE)),O2944,0))</f>
        <v/>
      </c>
      <c r="W2944" s="19">
        <f>IF(OR(F2944="",I2944=""),"",IF(COUNTIFS(F$6:F2944,F2944,I$6:I2944,"?*")=1,MAX(W$5:W2943)+1,""))</f>
        <v/>
      </c>
    </row>
    <row r="2945">
      <c r="B2945" s="15" t="n"/>
      <c r="C2945" s="16" t="n"/>
      <c r="D2945" s="17" t="n"/>
      <c r="E2945" s="17" t="n"/>
      <c r="F2945" s="17" t="n"/>
      <c r="G2945" s="17" t="n"/>
      <c r="H2945" s="18">
        <f>IF(AND(B2945="",C2945="",D2945="",E2945=""),"",IF(B2945="","⚠ Falta fecha",IF(C2945="","⚠ Falta monto",IF(D2945="","⚠ Falta categoría",IF(ISNA(MATCH(D2945,catNom,0)),"⚠ Categoría no existe",IF(E2945="","⚠ Falta cuenta",IF(ISNA(MATCH(E2945,ctaNom,0)),"⚠ Cuenta no existe",IF(AND(OR(I2945="Transferencia",I2945="Pago tarjeta"),G2945=""),"⚠ Indica la cuenta «Hacia»",IF(AND(G2945&lt;&gt;"",G2945=E2945),"⚠ «Hacia» igual a la cuenta",IF(AND(G2945&lt;&gt;"",ISNA(MATCH(G2945,ctaNom,0))),"⚠ «Hacia» no existe",IF(AND(I2945="Pago tarjeta",IFERROR(INDEX(ctaTipo,MATCH(G2945,ctaNom,0)),"")&lt;&gt;"Tarjeta de crédito"),"⚠ «Hacia» debe ser la tarjeta",IF(AND(I2945="Trading",IFERROR(INDEX(ctaTipo,MATCH(E2945,ctaNom,0)),"")&lt;&gt;"Cuenta de trading"),"⚠ Usa la cuenta de trading","✓"))))))))))))</f>
        <v/>
      </c>
      <c r="I2945" s="19">
        <f>IF(OR(B2945="",C2945="",D2945=""),"",IFERROR(INDEX(catTipo,MATCH(D2945,catNom,0))&amp;"",""))</f>
        <v/>
      </c>
      <c r="J2945" s="19">
        <f>IF(I2945="","",IFERROR(INDEX(catGrupo,MATCH(D2945,catNom,0))&amp;"",""))</f>
        <v/>
      </c>
      <c r="K2945" s="19">
        <f>IF(I2945="Gasto",IF(IFERROR(INDEX(catClas,MATCH(D2945,catNom,0))&amp;"","")="","Variable",IFERROR(INDEX(catClas,MATCH(D2945,catNom,0))&amp;"","")),"")</f>
        <v/>
      </c>
      <c r="L2945" s="19">
        <f>IF(I2945="","",IFERROR(INDEX(catAlim,MATCH(D2945,catNom,0))&amp;"",""))</f>
        <v/>
      </c>
      <c r="M2945" s="19">
        <f>IF(I2945="","",IFERROR(INDEX(catComida,MATCH(D2945,catNom,0))&amp;"",""))</f>
        <v/>
      </c>
      <c r="N2945" s="19">
        <f>IF(I2945="","",IFERROR(INDEX(ctaMon,MATCH(E2945,ctaNom,0))&amp;"","DOP"))</f>
        <v/>
      </c>
      <c r="O2945" s="20">
        <f>IF(I2945="","",C2945*IF(N2945="USD",TasaUSD,1))</f>
        <v/>
      </c>
      <c r="P2945" s="20">
        <f>IF(I2945="","",IF(I2945="Gasto",O2945,0))</f>
        <v/>
      </c>
      <c r="Q2945" s="20">
        <f>IF(I2945="","",IF(I2945="Ingreso",O2945,0))</f>
        <v/>
      </c>
      <c r="R2945" s="20">
        <f>IF(I2945="","",IF(I2945="Trading",O2945,0))</f>
        <v/>
      </c>
      <c r="S2945" s="19">
        <f>IF(I2945="","",IF(AND(I2945="Gasto",K2945="Variable",J2945&lt;&gt;"Trading",O2945&gt;0,O2945&lt;=Umbral),1,0))</f>
        <v/>
      </c>
      <c r="T2945" s="20">
        <f>IF(OR(I2945="",E2945=""),"",IF(OR(I2945="Gasto",I2945="Transferencia",I2945="Pago tarjeta"),-1,1)*C2945)</f>
        <v/>
      </c>
      <c r="U2945" s="20">
        <f>IF(OR(G2945="",AND(I2945&lt;&gt;"Transferencia",I2945&lt;&gt;"Pago tarjeta")),"",IF(IFERROR(INDEX(ctaMon,MATCH(G2945,ctaNom,0))&amp;"","DOP")=N2945,C2945,IF(N2945="USD",C2945*TasaUSD,C2945/TasaUSD)))</f>
        <v/>
      </c>
      <c r="V2945" s="20">
        <f>IF(I2945="","",IF(IFERROR(INDEX(ctaLiq,MATCH(E2945,ctaNom,0))="Sí",FALSE),IF(OR(I2945="Gasto",I2945="Transferencia",I2945="Pago tarjeta"),-1,1)*O2945,0)+IF(AND(U2945&lt;&gt;"",IFERROR(INDEX(ctaLiq,MATCH(G2945,ctaNom,0))="Sí",FALSE)),O2945,0))</f>
        <v/>
      </c>
      <c r="W2945" s="19">
        <f>IF(OR(F2945="",I2945=""),"",IF(COUNTIFS(F$6:F2945,F2945,I$6:I2945,"?*")=1,MAX(W$5:W2944)+1,""))</f>
        <v/>
      </c>
    </row>
    <row r="2946">
      <c r="B2946" s="15" t="n"/>
      <c r="C2946" s="16" t="n"/>
      <c r="D2946" s="17" t="n"/>
      <c r="E2946" s="17" t="n"/>
      <c r="F2946" s="17" t="n"/>
      <c r="G2946" s="17" t="n"/>
      <c r="H2946" s="18">
        <f>IF(AND(B2946="",C2946="",D2946="",E2946=""),"",IF(B2946="","⚠ Falta fecha",IF(C2946="","⚠ Falta monto",IF(D2946="","⚠ Falta categoría",IF(ISNA(MATCH(D2946,catNom,0)),"⚠ Categoría no existe",IF(E2946="","⚠ Falta cuenta",IF(ISNA(MATCH(E2946,ctaNom,0)),"⚠ Cuenta no existe",IF(AND(OR(I2946="Transferencia",I2946="Pago tarjeta"),G2946=""),"⚠ Indica la cuenta «Hacia»",IF(AND(G2946&lt;&gt;"",G2946=E2946),"⚠ «Hacia» igual a la cuenta",IF(AND(G2946&lt;&gt;"",ISNA(MATCH(G2946,ctaNom,0))),"⚠ «Hacia» no existe",IF(AND(I2946="Pago tarjeta",IFERROR(INDEX(ctaTipo,MATCH(G2946,ctaNom,0)),"")&lt;&gt;"Tarjeta de crédito"),"⚠ «Hacia» debe ser la tarjeta",IF(AND(I2946="Trading",IFERROR(INDEX(ctaTipo,MATCH(E2946,ctaNom,0)),"")&lt;&gt;"Cuenta de trading"),"⚠ Usa la cuenta de trading","✓"))))))))))))</f>
        <v/>
      </c>
      <c r="I2946" s="19">
        <f>IF(OR(B2946="",C2946="",D2946=""),"",IFERROR(INDEX(catTipo,MATCH(D2946,catNom,0))&amp;"",""))</f>
        <v/>
      </c>
      <c r="J2946" s="19">
        <f>IF(I2946="","",IFERROR(INDEX(catGrupo,MATCH(D2946,catNom,0))&amp;"",""))</f>
        <v/>
      </c>
      <c r="K2946" s="19">
        <f>IF(I2946="Gasto",IF(IFERROR(INDEX(catClas,MATCH(D2946,catNom,0))&amp;"","")="","Variable",IFERROR(INDEX(catClas,MATCH(D2946,catNom,0))&amp;"","")),"")</f>
        <v/>
      </c>
      <c r="L2946" s="19">
        <f>IF(I2946="","",IFERROR(INDEX(catAlim,MATCH(D2946,catNom,0))&amp;"",""))</f>
        <v/>
      </c>
      <c r="M2946" s="19">
        <f>IF(I2946="","",IFERROR(INDEX(catComida,MATCH(D2946,catNom,0))&amp;"",""))</f>
        <v/>
      </c>
      <c r="N2946" s="19">
        <f>IF(I2946="","",IFERROR(INDEX(ctaMon,MATCH(E2946,ctaNom,0))&amp;"","DOP"))</f>
        <v/>
      </c>
      <c r="O2946" s="20">
        <f>IF(I2946="","",C2946*IF(N2946="USD",TasaUSD,1))</f>
        <v/>
      </c>
      <c r="P2946" s="20">
        <f>IF(I2946="","",IF(I2946="Gasto",O2946,0))</f>
        <v/>
      </c>
      <c r="Q2946" s="20">
        <f>IF(I2946="","",IF(I2946="Ingreso",O2946,0))</f>
        <v/>
      </c>
      <c r="R2946" s="20">
        <f>IF(I2946="","",IF(I2946="Trading",O2946,0))</f>
        <v/>
      </c>
      <c r="S2946" s="19">
        <f>IF(I2946="","",IF(AND(I2946="Gasto",K2946="Variable",J2946&lt;&gt;"Trading",O2946&gt;0,O2946&lt;=Umbral),1,0))</f>
        <v/>
      </c>
      <c r="T2946" s="20">
        <f>IF(OR(I2946="",E2946=""),"",IF(OR(I2946="Gasto",I2946="Transferencia",I2946="Pago tarjeta"),-1,1)*C2946)</f>
        <v/>
      </c>
      <c r="U2946" s="20">
        <f>IF(OR(G2946="",AND(I2946&lt;&gt;"Transferencia",I2946&lt;&gt;"Pago tarjeta")),"",IF(IFERROR(INDEX(ctaMon,MATCH(G2946,ctaNom,0))&amp;"","DOP")=N2946,C2946,IF(N2946="USD",C2946*TasaUSD,C2946/TasaUSD)))</f>
        <v/>
      </c>
      <c r="V2946" s="20">
        <f>IF(I2946="","",IF(IFERROR(INDEX(ctaLiq,MATCH(E2946,ctaNom,0))="Sí",FALSE),IF(OR(I2946="Gasto",I2946="Transferencia",I2946="Pago tarjeta"),-1,1)*O2946,0)+IF(AND(U2946&lt;&gt;"",IFERROR(INDEX(ctaLiq,MATCH(G2946,ctaNom,0))="Sí",FALSE)),O2946,0))</f>
        <v/>
      </c>
      <c r="W2946" s="19">
        <f>IF(OR(F2946="",I2946=""),"",IF(COUNTIFS(F$6:F2946,F2946,I$6:I2946,"?*")=1,MAX(W$5:W2945)+1,""))</f>
        <v/>
      </c>
    </row>
    <row r="2947">
      <c r="B2947" s="15" t="n"/>
      <c r="C2947" s="16" t="n"/>
      <c r="D2947" s="17" t="n"/>
      <c r="E2947" s="17" t="n"/>
      <c r="F2947" s="17" t="n"/>
      <c r="G2947" s="17" t="n"/>
      <c r="H2947" s="18">
        <f>IF(AND(B2947="",C2947="",D2947="",E2947=""),"",IF(B2947="","⚠ Falta fecha",IF(C2947="","⚠ Falta monto",IF(D2947="","⚠ Falta categoría",IF(ISNA(MATCH(D2947,catNom,0)),"⚠ Categoría no existe",IF(E2947="","⚠ Falta cuenta",IF(ISNA(MATCH(E2947,ctaNom,0)),"⚠ Cuenta no existe",IF(AND(OR(I2947="Transferencia",I2947="Pago tarjeta"),G2947=""),"⚠ Indica la cuenta «Hacia»",IF(AND(G2947&lt;&gt;"",G2947=E2947),"⚠ «Hacia» igual a la cuenta",IF(AND(G2947&lt;&gt;"",ISNA(MATCH(G2947,ctaNom,0))),"⚠ «Hacia» no existe",IF(AND(I2947="Pago tarjeta",IFERROR(INDEX(ctaTipo,MATCH(G2947,ctaNom,0)),"")&lt;&gt;"Tarjeta de crédito"),"⚠ «Hacia» debe ser la tarjeta",IF(AND(I2947="Trading",IFERROR(INDEX(ctaTipo,MATCH(E2947,ctaNom,0)),"")&lt;&gt;"Cuenta de trading"),"⚠ Usa la cuenta de trading","✓"))))))))))))</f>
        <v/>
      </c>
      <c r="I2947" s="19">
        <f>IF(OR(B2947="",C2947="",D2947=""),"",IFERROR(INDEX(catTipo,MATCH(D2947,catNom,0))&amp;"",""))</f>
        <v/>
      </c>
      <c r="J2947" s="19">
        <f>IF(I2947="","",IFERROR(INDEX(catGrupo,MATCH(D2947,catNom,0))&amp;"",""))</f>
        <v/>
      </c>
      <c r="K2947" s="19">
        <f>IF(I2947="Gasto",IF(IFERROR(INDEX(catClas,MATCH(D2947,catNom,0))&amp;"","")="","Variable",IFERROR(INDEX(catClas,MATCH(D2947,catNom,0))&amp;"","")),"")</f>
        <v/>
      </c>
      <c r="L2947" s="19">
        <f>IF(I2947="","",IFERROR(INDEX(catAlim,MATCH(D2947,catNom,0))&amp;"",""))</f>
        <v/>
      </c>
      <c r="M2947" s="19">
        <f>IF(I2947="","",IFERROR(INDEX(catComida,MATCH(D2947,catNom,0))&amp;"",""))</f>
        <v/>
      </c>
      <c r="N2947" s="19">
        <f>IF(I2947="","",IFERROR(INDEX(ctaMon,MATCH(E2947,ctaNom,0))&amp;"","DOP"))</f>
        <v/>
      </c>
      <c r="O2947" s="20">
        <f>IF(I2947="","",C2947*IF(N2947="USD",TasaUSD,1))</f>
        <v/>
      </c>
      <c r="P2947" s="20">
        <f>IF(I2947="","",IF(I2947="Gasto",O2947,0))</f>
        <v/>
      </c>
      <c r="Q2947" s="20">
        <f>IF(I2947="","",IF(I2947="Ingreso",O2947,0))</f>
        <v/>
      </c>
      <c r="R2947" s="20">
        <f>IF(I2947="","",IF(I2947="Trading",O2947,0))</f>
        <v/>
      </c>
      <c r="S2947" s="19">
        <f>IF(I2947="","",IF(AND(I2947="Gasto",K2947="Variable",J2947&lt;&gt;"Trading",O2947&gt;0,O2947&lt;=Umbral),1,0))</f>
        <v/>
      </c>
      <c r="T2947" s="20">
        <f>IF(OR(I2947="",E2947=""),"",IF(OR(I2947="Gasto",I2947="Transferencia",I2947="Pago tarjeta"),-1,1)*C2947)</f>
        <v/>
      </c>
      <c r="U2947" s="20">
        <f>IF(OR(G2947="",AND(I2947&lt;&gt;"Transferencia",I2947&lt;&gt;"Pago tarjeta")),"",IF(IFERROR(INDEX(ctaMon,MATCH(G2947,ctaNom,0))&amp;"","DOP")=N2947,C2947,IF(N2947="USD",C2947*TasaUSD,C2947/TasaUSD)))</f>
        <v/>
      </c>
      <c r="V2947" s="20">
        <f>IF(I2947="","",IF(IFERROR(INDEX(ctaLiq,MATCH(E2947,ctaNom,0))="Sí",FALSE),IF(OR(I2947="Gasto",I2947="Transferencia",I2947="Pago tarjeta"),-1,1)*O2947,0)+IF(AND(U2947&lt;&gt;"",IFERROR(INDEX(ctaLiq,MATCH(G2947,ctaNom,0))="Sí",FALSE)),O2947,0))</f>
        <v/>
      </c>
      <c r="W2947" s="19">
        <f>IF(OR(F2947="",I2947=""),"",IF(COUNTIFS(F$6:F2947,F2947,I$6:I2947,"?*")=1,MAX(W$5:W2946)+1,""))</f>
        <v/>
      </c>
    </row>
    <row r="2948">
      <c r="B2948" s="15" t="n"/>
      <c r="C2948" s="16" t="n"/>
      <c r="D2948" s="17" t="n"/>
      <c r="E2948" s="17" t="n"/>
      <c r="F2948" s="17" t="n"/>
      <c r="G2948" s="17" t="n"/>
      <c r="H2948" s="18">
        <f>IF(AND(B2948="",C2948="",D2948="",E2948=""),"",IF(B2948="","⚠ Falta fecha",IF(C2948="","⚠ Falta monto",IF(D2948="","⚠ Falta categoría",IF(ISNA(MATCH(D2948,catNom,0)),"⚠ Categoría no existe",IF(E2948="","⚠ Falta cuenta",IF(ISNA(MATCH(E2948,ctaNom,0)),"⚠ Cuenta no existe",IF(AND(OR(I2948="Transferencia",I2948="Pago tarjeta"),G2948=""),"⚠ Indica la cuenta «Hacia»",IF(AND(G2948&lt;&gt;"",G2948=E2948),"⚠ «Hacia» igual a la cuenta",IF(AND(G2948&lt;&gt;"",ISNA(MATCH(G2948,ctaNom,0))),"⚠ «Hacia» no existe",IF(AND(I2948="Pago tarjeta",IFERROR(INDEX(ctaTipo,MATCH(G2948,ctaNom,0)),"")&lt;&gt;"Tarjeta de crédito"),"⚠ «Hacia» debe ser la tarjeta",IF(AND(I2948="Trading",IFERROR(INDEX(ctaTipo,MATCH(E2948,ctaNom,0)),"")&lt;&gt;"Cuenta de trading"),"⚠ Usa la cuenta de trading","✓"))))))))))))</f>
        <v/>
      </c>
      <c r="I2948" s="19">
        <f>IF(OR(B2948="",C2948="",D2948=""),"",IFERROR(INDEX(catTipo,MATCH(D2948,catNom,0))&amp;"",""))</f>
        <v/>
      </c>
      <c r="J2948" s="19">
        <f>IF(I2948="","",IFERROR(INDEX(catGrupo,MATCH(D2948,catNom,0))&amp;"",""))</f>
        <v/>
      </c>
      <c r="K2948" s="19">
        <f>IF(I2948="Gasto",IF(IFERROR(INDEX(catClas,MATCH(D2948,catNom,0))&amp;"","")="","Variable",IFERROR(INDEX(catClas,MATCH(D2948,catNom,0))&amp;"","")),"")</f>
        <v/>
      </c>
      <c r="L2948" s="19">
        <f>IF(I2948="","",IFERROR(INDEX(catAlim,MATCH(D2948,catNom,0))&amp;"",""))</f>
        <v/>
      </c>
      <c r="M2948" s="19">
        <f>IF(I2948="","",IFERROR(INDEX(catComida,MATCH(D2948,catNom,0))&amp;"",""))</f>
        <v/>
      </c>
      <c r="N2948" s="19">
        <f>IF(I2948="","",IFERROR(INDEX(ctaMon,MATCH(E2948,ctaNom,0))&amp;"","DOP"))</f>
        <v/>
      </c>
      <c r="O2948" s="20">
        <f>IF(I2948="","",C2948*IF(N2948="USD",TasaUSD,1))</f>
        <v/>
      </c>
      <c r="P2948" s="20">
        <f>IF(I2948="","",IF(I2948="Gasto",O2948,0))</f>
        <v/>
      </c>
      <c r="Q2948" s="20">
        <f>IF(I2948="","",IF(I2948="Ingreso",O2948,0))</f>
        <v/>
      </c>
      <c r="R2948" s="20">
        <f>IF(I2948="","",IF(I2948="Trading",O2948,0))</f>
        <v/>
      </c>
      <c r="S2948" s="19">
        <f>IF(I2948="","",IF(AND(I2948="Gasto",K2948="Variable",J2948&lt;&gt;"Trading",O2948&gt;0,O2948&lt;=Umbral),1,0))</f>
        <v/>
      </c>
      <c r="T2948" s="20">
        <f>IF(OR(I2948="",E2948=""),"",IF(OR(I2948="Gasto",I2948="Transferencia",I2948="Pago tarjeta"),-1,1)*C2948)</f>
        <v/>
      </c>
      <c r="U2948" s="20">
        <f>IF(OR(G2948="",AND(I2948&lt;&gt;"Transferencia",I2948&lt;&gt;"Pago tarjeta")),"",IF(IFERROR(INDEX(ctaMon,MATCH(G2948,ctaNom,0))&amp;"","DOP")=N2948,C2948,IF(N2948="USD",C2948*TasaUSD,C2948/TasaUSD)))</f>
        <v/>
      </c>
      <c r="V2948" s="20">
        <f>IF(I2948="","",IF(IFERROR(INDEX(ctaLiq,MATCH(E2948,ctaNom,0))="Sí",FALSE),IF(OR(I2948="Gasto",I2948="Transferencia",I2948="Pago tarjeta"),-1,1)*O2948,0)+IF(AND(U2948&lt;&gt;"",IFERROR(INDEX(ctaLiq,MATCH(G2948,ctaNom,0))="Sí",FALSE)),O2948,0))</f>
        <v/>
      </c>
      <c r="W2948" s="19">
        <f>IF(OR(F2948="",I2948=""),"",IF(COUNTIFS(F$6:F2948,F2948,I$6:I2948,"?*")=1,MAX(W$5:W2947)+1,""))</f>
        <v/>
      </c>
    </row>
    <row r="2949">
      <c r="B2949" s="15" t="n"/>
      <c r="C2949" s="16" t="n"/>
      <c r="D2949" s="17" t="n"/>
      <c r="E2949" s="17" t="n"/>
      <c r="F2949" s="17" t="n"/>
      <c r="G2949" s="17" t="n"/>
      <c r="H2949" s="18">
        <f>IF(AND(B2949="",C2949="",D2949="",E2949=""),"",IF(B2949="","⚠ Falta fecha",IF(C2949="","⚠ Falta monto",IF(D2949="","⚠ Falta categoría",IF(ISNA(MATCH(D2949,catNom,0)),"⚠ Categoría no existe",IF(E2949="","⚠ Falta cuenta",IF(ISNA(MATCH(E2949,ctaNom,0)),"⚠ Cuenta no existe",IF(AND(OR(I2949="Transferencia",I2949="Pago tarjeta"),G2949=""),"⚠ Indica la cuenta «Hacia»",IF(AND(G2949&lt;&gt;"",G2949=E2949),"⚠ «Hacia» igual a la cuenta",IF(AND(G2949&lt;&gt;"",ISNA(MATCH(G2949,ctaNom,0))),"⚠ «Hacia» no existe",IF(AND(I2949="Pago tarjeta",IFERROR(INDEX(ctaTipo,MATCH(G2949,ctaNom,0)),"")&lt;&gt;"Tarjeta de crédito"),"⚠ «Hacia» debe ser la tarjeta",IF(AND(I2949="Trading",IFERROR(INDEX(ctaTipo,MATCH(E2949,ctaNom,0)),"")&lt;&gt;"Cuenta de trading"),"⚠ Usa la cuenta de trading","✓"))))))))))))</f>
        <v/>
      </c>
      <c r="I2949" s="19">
        <f>IF(OR(B2949="",C2949="",D2949=""),"",IFERROR(INDEX(catTipo,MATCH(D2949,catNom,0))&amp;"",""))</f>
        <v/>
      </c>
      <c r="J2949" s="19">
        <f>IF(I2949="","",IFERROR(INDEX(catGrupo,MATCH(D2949,catNom,0))&amp;"",""))</f>
        <v/>
      </c>
      <c r="K2949" s="19">
        <f>IF(I2949="Gasto",IF(IFERROR(INDEX(catClas,MATCH(D2949,catNom,0))&amp;"","")="","Variable",IFERROR(INDEX(catClas,MATCH(D2949,catNom,0))&amp;"","")),"")</f>
        <v/>
      </c>
      <c r="L2949" s="19">
        <f>IF(I2949="","",IFERROR(INDEX(catAlim,MATCH(D2949,catNom,0))&amp;"",""))</f>
        <v/>
      </c>
      <c r="M2949" s="19">
        <f>IF(I2949="","",IFERROR(INDEX(catComida,MATCH(D2949,catNom,0))&amp;"",""))</f>
        <v/>
      </c>
      <c r="N2949" s="19">
        <f>IF(I2949="","",IFERROR(INDEX(ctaMon,MATCH(E2949,ctaNom,0))&amp;"","DOP"))</f>
        <v/>
      </c>
      <c r="O2949" s="20">
        <f>IF(I2949="","",C2949*IF(N2949="USD",TasaUSD,1))</f>
        <v/>
      </c>
      <c r="P2949" s="20">
        <f>IF(I2949="","",IF(I2949="Gasto",O2949,0))</f>
        <v/>
      </c>
      <c r="Q2949" s="20">
        <f>IF(I2949="","",IF(I2949="Ingreso",O2949,0))</f>
        <v/>
      </c>
      <c r="R2949" s="20">
        <f>IF(I2949="","",IF(I2949="Trading",O2949,0))</f>
        <v/>
      </c>
      <c r="S2949" s="19">
        <f>IF(I2949="","",IF(AND(I2949="Gasto",K2949="Variable",J2949&lt;&gt;"Trading",O2949&gt;0,O2949&lt;=Umbral),1,0))</f>
        <v/>
      </c>
      <c r="T2949" s="20">
        <f>IF(OR(I2949="",E2949=""),"",IF(OR(I2949="Gasto",I2949="Transferencia",I2949="Pago tarjeta"),-1,1)*C2949)</f>
        <v/>
      </c>
      <c r="U2949" s="20">
        <f>IF(OR(G2949="",AND(I2949&lt;&gt;"Transferencia",I2949&lt;&gt;"Pago tarjeta")),"",IF(IFERROR(INDEX(ctaMon,MATCH(G2949,ctaNom,0))&amp;"","DOP")=N2949,C2949,IF(N2949="USD",C2949*TasaUSD,C2949/TasaUSD)))</f>
        <v/>
      </c>
      <c r="V2949" s="20">
        <f>IF(I2949="","",IF(IFERROR(INDEX(ctaLiq,MATCH(E2949,ctaNom,0))="Sí",FALSE),IF(OR(I2949="Gasto",I2949="Transferencia",I2949="Pago tarjeta"),-1,1)*O2949,0)+IF(AND(U2949&lt;&gt;"",IFERROR(INDEX(ctaLiq,MATCH(G2949,ctaNom,0))="Sí",FALSE)),O2949,0))</f>
        <v/>
      </c>
      <c r="W2949" s="19">
        <f>IF(OR(F2949="",I2949=""),"",IF(COUNTIFS(F$6:F2949,F2949,I$6:I2949,"?*")=1,MAX(W$5:W2948)+1,""))</f>
        <v/>
      </c>
    </row>
    <row r="2950">
      <c r="B2950" s="15" t="n"/>
      <c r="C2950" s="16" t="n"/>
      <c r="D2950" s="17" t="n"/>
      <c r="E2950" s="17" t="n"/>
      <c r="F2950" s="17" t="n"/>
      <c r="G2950" s="17" t="n"/>
      <c r="H2950" s="18">
        <f>IF(AND(B2950="",C2950="",D2950="",E2950=""),"",IF(B2950="","⚠ Falta fecha",IF(C2950="","⚠ Falta monto",IF(D2950="","⚠ Falta categoría",IF(ISNA(MATCH(D2950,catNom,0)),"⚠ Categoría no existe",IF(E2950="","⚠ Falta cuenta",IF(ISNA(MATCH(E2950,ctaNom,0)),"⚠ Cuenta no existe",IF(AND(OR(I2950="Transferencia",I2950="Pago tarjeta"),G2950=""),"⚠ Indica la cuenta «Hacia»",IF(AND(G2950&lt;&gt;"",G2950=E2950),"⚠ «Hacia» igual a la cuenta",IF(AND(G2950&lt;&gt;"",ISNA(MATCH(G2950,ctaNom,0))),"⚠ «Hacia» no existe",IF(AND(I2950="Pago tarjeta",IFERROR(INDEX(ctaTipo,MATCH(G2950,ctaNom,0)),"")&lt;&gt;"Tarjeta de crédito"),"⚠ «Hacia» debe ser la tarjeta",IF(AND(I2950="Trading",IFERROR(INDEX(ctaTipo,MATCH(E2950,ctaNom,0)),"")&lt;&gt;"Cuenta de trading"),"⚠ Usa la cuenta de trading","✓"))))))))))))</f>
        <v/>
      </c>
      <c r="I2950" s="19">
        <f>IF(OR(B2950="",C2950="",D2950=""),"",IFERROR(INDEX(catTipo,MATCH(D2950,catNom,0))&amp;"",""))</f>
        <v/>
      </c>
      <c r="J2950" s="19">
        <f>IF(I2950="","",IFERROR(INDEX(catGrupo,MATCH(D2950,catNom,0))&amp;"",""))</f>
        <v/>
      </c>
      <c r="K2950" s="19">
        <f>IF(I2950="Gasto",IF(IFERROR(INDEX(catClas,MATCH(D2950,catNom,0))&amp;"","")="","Variable",IFERROR(INDEX(catClas,MATCH(D2950,catNom,0))&amp;"","")),"")</f>
        <v/>
      </c>
      <c r="L2950" s="19">
        <f>IF(I2950="","",IFERROR(INDEX(catAlim,MATCH(D2950,catNom,0))&amp;"",""))</f>
        <v/>
      </c>
      <c r="M2950" s="19">
        <f>IF(I2950="","",IFERROR(INDEX(catComida,MATCH(D2950,catNom,0))&amp;"",""))</f>
        <v/>
      </c>
      <c r="N2950" s="19">
        <f>IF(I2950="","",IFERROR(INDEX(ctaMon,MATCH(E2950,ctaNom,0))&amp;"","DOP"))</f>
        <v/>
      </c>
      <c r="O2950" s="20">
        <f>IF(I2950="","",C2950*IF(N2950="USD",TasaUSD,1))</f>
        <v/>
      </c>
      <c r="P2950" s="20">
        <f>IF(I2950="","",IF(I2950="Gasto",O2950,0))</f>
        <v/>
      </c>
      <c r="Q2950" s="20">
        <f>IF(I2950="","",IF(I2950="Ingreso",O2950,0))</f>
        <v/>
      </c>
      <c r="R2950" s="20">
        <f>IF(I2950="","",IF(I2950="Trading",O2950,0))</f>
        <v/>
      </c>
      <c r="S2950" s="19">
        <f>IF(I2950="","",IF(AND(I2950="Gasto",K2950="Variable",J2950&lt;&gt;"Trading",O2950&gt;0,O2950&lt;=Umbral),1,0))</f>
        <v/>
      </c>
      <c r="T2950" s="20">
        <f>IF(OR(I2950="",E2950=""),"",IF(OR(I2950="Gasto",I2950="Transferencia",I2950="Pago tarjeta"),-1,1)*C2950)</f>
        <v/>
      </c>
      <c r="U2950" s="20">
        <f>IF(OR(G2950="",AND(I2950&lt;&gt;"Transferencia",I2950&lt;&gt;"Pago tarjeta")),"",IF(IFERROR(INDEX(ctaMon,MATCH(G2950,ctaNom,0))&amp;"","DOP")=N2950,C2950,IF(N2950="USD",C2950*TasaUSD,C2950/TasaUSD)))</f>
        <v/>
      </c>
      <c r="V2950" s="20">
        <f>IF(I2950="","",IF(IFERROR(INDEX(ctaLiq,MATCH(E2950,ctaNom,0))="Sí",FALSE),IF(OR(I2950="Gasto",I2950="Transferencia",I2950="Pago tarjeta"),-1,1)*O2950,0)+IF(AND(U2950&lt;&gt;"",IFERROR(INDEX(ctaLiq,MATCH(G2950,ctaNom,0))="Sí",FALSE)),O2950,0))</f>
        <v/>
      </c>
      <c r="W2950" s="19">
        <f>IF(OR(F2950="",I2950=""),"",IF(COUNTIFS(F$6:F2950,F2950,I$6:I2950,"?*")=1,MAX(W$5:W2949)+1,""))</f>
        <v/>
      </c>
    </row>
    <row r="2951">
      <c r="B2951" s="15" t="n"/>
      <c r="C2951" s="16" t="n"/>
      <c r="D2951" s="17" t="n"/>
      <c r="E2951" s="17" t="n"/>
      <c r="F2951" s="17" t="n"/>
      <c r="G2951" s="17" t="n"/>
      <c r="H2951" s="18">
        <f>IF(AND(B2951="",C2951="",D2951="",E2951=""),"",IF(B2951="","⚠ Falta fecha",IF(C2951="","⚠ Falta monto",IF(D2951="","⚠ Falta categoría",IF(ISNA(MATCH(D2951,catNom,0)),"⚠ Categoría no existe",IF(E2951="","⚠ Falta cuenta",IF(ISNA(MATCH(E2951,ctaNom,0)),"⚠ Cuenta no existe",IF(AND(OR(I2951="Transferencia",I2951="Pago tarjeta"),G2951=""),"⚠ Indica la cuenta «Hacia»",IF(AND(G2951&lt;&gt;"",G2951=E2951),"⚠ «Hacia» igual a la cuenta",IF(AND(G2951&lt;&gt;"",ISNA(MATCH(G2951,ctaNom,0))),"⚠ «Hacia» no existe",IF(AND(I2951="Pago tarjeta",IFERROR(INDEX(ctaTipo,MATCH(G2951,ctaNom,0)),"")&lt;&gt;"Tarjeta de crédito"),"⚠ «Hacia» debe ser la tarjeta",IF(AND(I2951="Trading",IFERROR(INDEX(ctaTipo,MATCH(E2951,ctaNom,0)),"")&lt;&gt;"Cuenta de trading"),"⚠ Usa la cuenta de trading","✓"))))))))))))</f>
        <v/>
      </c>
      <c r="I2951" s="19">
        <f>IF(OR(B2951="",C2951="",D2951=""),"",IFERROR(INDEX(catTipo,MATCH(D2951,catNom,0))&amp;"",""))</f>
        <v/>
      </c>
      <c r="J2951" s="19">
        <f>IF(I2951="","",IFERROR(INDEX(catGrupo,MATCH(D2951,catNom,0))&amp;"",""))</f>
        <v/>
      </c>
      <c r="K2951" s="19">
        <f>IF(I2951="Gasto",IF(IFERROR(INDEX(catClas,MATCH(D2951,catNom,0))&amp;"","")="","Variable",IFERROR(INDEX(catClas,MATCH(D2951,catNom,0))&amp;"","")),"")</f>
        <v/>
      </c>
      <c r="L2951" s="19">
        <f>IF(I2951="","",IFERROR(INDEX(catAlim,MATCH(D2951,catNom,0))&amp;"",""))</f>
        <v/>
      </c>
      <c r="M2951" s="19">
        <f>IF(I2951="","",IFERROR(INDEX(catComida,MATCH(D2951,catNom,0))&amp;"",""))</f>
        <v/>
      </c>
      <c r="N2951" s="19">
        <f>IF(I2951="","",IFERROR(INDEX(ctaMon,MATCH(E2951,ctaNom,0))&amp;"","DOP"))</f>
        <v/>
      </c>
      <c r="O2951" s="20">
        <f>IF(I2951="","",C2951*IF(N2951="USD",TasaUSD,1))</f>
        <v/>
      </c>
      <c r="P2951" s="20">
        <f>IF(I2951="","",IF(I2951="Gasto",O2951,0))</f>
        <v/>
      </c>
      <c r="Q2951" s="20">
        <f>IF(I2951="","",IF(I2951="Ingreso",O2951,0))</f>
        <v/>
      </c>
      <c r="R2951" s="20">
        <f>IF(I2951="","",IF(I2951="Trading",O2951,0))</f>
        <v/>
      </c>
      <c r="S2951" s="19">
        <f>IF(I2951="","",IF(AND(I2951="Gasto",K2951="Variable",J2951&lt;&gt;"Trading",O2951&gt;0,O2951&lt;=Umbral),1,0))</f>
        <v/>
      </c>
      <c r="T2951" s="20">
        <f>IF(OR(I2951="",E2951=""),"",IF(OR(I2951="Gasto",I2951="Transferencia",I2951="Pago tarjeta"),-1,1)*C2951)</f>
        <v/>
      </c>
      <c r="U2951" s="20">
        <f>IF(OR(G2951="",AND(I2951&lt;&gt;"Transferencia",I2951&lt;&gt;"Pago tarjeta")),"",IF(IFERROR(INDEX(ctaMon,MATCH(G2951,ctaNom,0))&amp;"","DOP")=N2951,C2951,IF(N2951="USD",C2951*TasaUSD,C2951/TasaUSD)))</f>
        <v/>
      </c>
      <c r="V2951" s="20">
        <f>IF(I2951="","",IF(IFERROR(INDEX(ctaLiq,MATCH(E2951,ctaNom,0))="Sí",FALSE),IF(OR(I2951="Gasto",I2951="Transferencia",I2951="Pago tarjeta"),-1,1)*O2951,0)+IF(AND(U2951&lt;&gt;"",IFERROR(INDEX(ctaLiq,MATCH(G2951,ctaNom,0))="Sí",FALSE)),O2951,0))</f>
        <v/>
      </c>
      <c r="W2951" s="19">
        <f>IF(OR(F2951="",I2951=""),"",IF(COUNTIFS(F$6:F2951,F2951,I$6:I2951,"?*")=1,MAX(W$5:W2950)+1,""))</f>
        <v/>
      </c>
    </row>
    <row r="2952">
      <c r="B2952" s="15" t="n"/>
      <c r="C2952" s="16" t="n"/>
      <c r="D2952" s="17" t="n"/>
      <c r="E2952" s="17" t="n"/>
      <c r="F2952" s="17" t="n"/>
      <c r="G2952" s="17" t="n"/>
      <c r="H2952" s="18">
        <f>IF(AND(B2952="",C2952="",D2952="",E2952=""),"",IF(B2952="","⚠ Falta fecha",IF(C2952="","⚠ Falta monto",IF(D2952="","⚠ Falta categoría",IF(ISNA(MATCH(D2952,catNom,0)),"⚠ Categoría no existe",IF(E2952="","⚠ Falta cuenta",IF(ISNA(MATCH(E2952,ctaNom,0)),"⚠ Cuenta no existe",IF(AND(OR(I2952="Transferencia",I2952="Pago tarjeta"),G2952=""),"⚠ Indica la cuenta «Hacia»",IF(AND(G2952&lt;&gt;"",G2952=E2952),"⚠ «Hacia» igual a la cuenta",IF(AND(G2952&lt;&gt;"",ISNA(MATCH(G2952,ctaNom,0))),"⚠ «Hacia» no existe",IF(AND(I2952="Pago tarjeta",IFERROR(INDEX(ctaTipo,MATCH(G2952,ctaNom,0)),"")&lt;&gt;"Tarjeta de crédito"),"⚠ «Hacia» debe ser la tarjeta",IF(AND(I2952="Trading",IFERROR(INDEX(ctaTipo,MATCH(E2952,ctaNom,0)),"")&lt;&gt;"Cuenta de trading"),"⚠ Usa la cuenta de trading","✓"))))))))))))</f>
        <v/>
      </c>
      <c r="I2952" s="19">
        <f>IF(OR(B2952="",C2952="",D2952=""),"",IFERROR(INDEX(catTipo,MATCH(D2952,catNom,0))&amp;"",""))</f>
        <v/>
      </c>
      <c r="J2952" s="19">
        <f>IF(I2952="","",IFERROR(INDEX(catGrupo,MATCH(D2952,catNom,0))&amp;"",""))</f>
        <v/>
      </c>
      <c r="K2952" s="19">
        <f>IF(I2952="Gasto",IF(IFERROR(INDEX(catClas,MATCH(D2952,catNom,0))&amp;"","")="","Variable",IFERROR(INDEX(catClas,MATCH(D2952,catNom,0))&amp;"","")),"")</f>
        <v/>
      </c>
      <c r="L2952" s="19">
        <f>IF(I2952="","",IFERROR(INDEX(catAlim,MATCH(D2952,catNom,0))&amp;"",""))</f>
        <v/>
      </c>
      <c r="M2952" s="19">
        <f>IF(I2952="","",IFERROR(INDEX(catComida,MATCH(D2952,catNom,0))&amp;"",""))</f>
        <v/>
      </c>
      <c r="N2952" s="19">
        <f>IF(I2952="","",IFERROR(INDEX(ctaMon,MATCH(E2952,ctaNom,0))&amp;"","DOP"))</f>
        <v/>
      </c>
      <c r="O2952" s="20">
        <f>IF(I2952="","",C2952*IF(N2952="USD",TasaUSD,1))</f>
        <v/>
      </c>
      <c r="P2952" s="20">
        <f>IF(I2952="","",IF(I2952="Gasto",O2952,0))</f>
        <v/>
      </c>
      <c r="Q2952" s="20">
        <f>IF(I2952="","",IF(I2952="Ingreso",O2952,0))</f>
        <v/>
      </c>
      <c r="R2952" s="20">
        <f>IF(I2952="","",IF(I2952="Trading",O2952,0))</f>
        <v/>
      </c>
      <c r="S2952" s="19">
        <f>IF(I2952="","",IF(AND(I2952="Gasto",K2952="Variable",J2952&lt;&gt;"Trading",O2952&gt;0,O2952&lt;=Umbral),1,0))</f>
        <v/>
      </c>
      <c r="T2952" s="20">
        <f>IF(OR(I2952="",E2952=""),"",IF(OR(I2952="Gasto",I2952="Transferencia",I2952="Pago tarjeta"),-1,1)*C2952)</f>
        <v/>
      </c>
      <c r="U2952" s="20">
        <f>IF(OR(G2952="",AND(I2952&lt;&gt;"Transferencia",I2952&lt;&gt;"Pago tarjeta")),"",IF(IFERROR(INDEX(ctaMon,MATCH(G2952,ctaNom,0))&amp;"","DOP")=N2952,C2952,IF(N2952="USD",C2952*TasaUSD,C2952/TasaUSD)))</f>
        <v/>
      </c>
      <c r="V2952" s="20">
        <f>IF(I2952="","",IF(IFERROR(INDEX(ctaLiq,MATCH(E2952,ctaNom,0))="Sí",FALSE),IF(OR(I2952="Gasto",I2952="Transferencia",I2952="Pago tarjeta"),-1,1)*O2952,0)+IF(AND(U2952&lt;&gt;"",IFERROR(INDEX(ctaLiq,MATCH(G2952,ctaNom,0))="Sí",FALSE)),O2952,0))</f>
        <v/>
      </c>
      <c r="W2952" s="19">
        <f>IF(OR(F2952="",I2952=""),"",IF(COUNTIFS(F$6:F2952,F2952,I$6:I2952,"?*")=1,MAX(W$5:W2951)+1,""))</f>
        <v/>
      </c>
    </row>
    <row r="2953">
      <c r="B2953" s="15" t="n"/>
      <c r="C2953" s="16" t="n"/>
      <c r="D2953" s="17" t="n"/>
      <c r="E2953" s="17" t="n"/>
      <c r="F2953" s="17" t="n"/>
      <c r="G2953" s="17" t="n"/>
      <c r="H2953" s="18">
        <f>IF(AND(B2953="",C2953="",D2953="",E2953=""),"",IF(B2953="","⚠ Falta fecha",IF(C2953="","⚠ Falta monto",IF(D2953="","⚠ Falta categoría",IF(ISNA(MATCH(D2953,catNom,0)),"⚠ Categoría no existe",IF(E2953="","⚠ Falta cuenta",IF(ISNA(MATCH(E2953,ctaNom,0)),"⚠ Cuenta no existe",IF(AND(OR(I2953="Transferencia",I2953="Pago tarjeta"),G2953=""),"⚠ Indica la cuenta «Hacia»",IF(AND(G2953&lt;&gt;"",G2953=E2953),"⚠ «Hacia» igual a la cuenta",IF(AND(G2953&lt;&gt;"",ISNA(MATCH(G2953,ctaNom,0))),"⚠ «Hacia» no existe",IF(AND(I2953="Pago tarjeta",IFERROR(INDEX(ctaTipo,MATCH(G2953,ctaNom,0)),"")&lt;&gt;"Tarjeta de crédito"),"⚠ «Hacia» debe ser la tarjeta",IF(AND(I2953="Trading",IFERROR(INDEX(ctaTipo,MATCH(E2953,ctaNom,0)),"")&lt;&gt;"Cuenta de trading"),"⚠ Usa la cuenta de trading","✓"))))))))))))</f>
        <v/>
      </c>
      <c r="I2953" s="19">
        <f>IF(OR(B2953="",C2953="",D2953=""),"",IFERROR(INDEX(catTipo,MATCH(D2953,catNom,0))&amp;"",""))</f>
        <v/>
      </c>
      <c r="J2953" s="19">
        <f>IF(I2953="","",IFERROR(INDEX(catGrupo,MATCH(D2953,catNom,0))&amp;"",""))</f>
        <v/>
      </c>
      <c r="K2953" s="19">
        <f>IF(I2953="Gasto",IF(IFERROR(INDEX(catClas,MATCH(D2953,catNom,0))&amp;"","")="","Variable",IFERROR(INDEX(catClas,MATCH(D2953,catNom,0))&amp;"","")),"")</f>
        <v/>
      </c>
      <c r="L2953" s="19">
        <f>IF(I2953="","",IFERROR(INDEX(catAlim,MATCH(D2953,catNom,0))&amp;"",""))</f>
        <v/>
      </c>
      <c r="M2953" s="19">
        <f>IF(I2953="","",IFERROR(INDEX(catComida,MATCH(D2953,catNom,0))&amp;"",""))</f>
        <v/>
      </c>
      <c r="N2953" s="19">
        <f>IF(I2953="","",IFERROR(INDEX(ctaMon,MATCH(E2953,ctaNom,0))&amp;"","DOP"))</f>
        <v/>
      </c>
      <c r="O2953" s="20">
        <f>IF(I2953="","",C2953*IF(N2953="USD",TasaUSD,1))</f>
        <v/>
      </c>
      <c r="P2953" s="20">
        <f>IF(I2953="","",IF(I2953="Gasto",O2953,0))</f>
        <v/>
      </c>
      <c r="Q2953" s="20">
        <f>IF(I2953="","",IF(I2953="Ingreso",O2953,0))</f>
        <v/>
      </c>
      <c r="R2953" s="20">
        <f>IF(I2953="","",IF(I2953="Trading",O2953,0))</f>
        <v/>
      </c>
      <c r="S2953" s="19">
        <f>IF(I2953="","",IF(AND(I2953="Gasto",K2953="Variable",J2953&lt;&gt;"Trading",O2953&gt;0,O2953&lt;=Umbral),1,0))</f>
        <v/>
      </c>
      <c r="T2953" s="20">
        <f>IF(OR(I2953="",E2953=""),"",IF(OR(I2953="Gasto",I2953="Transferencia",I2953="Pago tarjeta"),-1,1)*C2953)</f>
        <v/>
      </c>
      <c r="U2953" s="20">
        <f>IF(OR(G2953="",AND(I2953&lt;&gt;"Transferencia",I2953&lt;&gt;"Pago tarjeta")),"",IF(IFERROR(INDEX(ctaMon,MATCH(G2953,ctaNom,0))&amp;"","DOP")=N2953,C2953,IF(N2953="USD",C2953*TasaUSD,C2953/TasaUSD)))</f>
        <v/>
      </c>
      <c r="V2953" s="20">
        <f>IF(I2953="","",IF(IFERROR(INDEX(ctaLiq,MATCH(E2953,ctaNom,0))="Sí",FALSE),IF(OR(I2953="Gasto",I2953="Transferencia",I2953="Pago tarjeta"),-1,1)*O2953,0)+IF(AND(U2953&lt;&gt;"",IFERROR(INDEX(ctaLiq,MATCH(G2953,ctaNom,0))="Sí",FALSE)),O2953,0))</f>
        <v/>
      </c>
      <c r="W2953" s="19">
        <f>IF(OR(F2953="",I2953=""),"",IF(COUNTIFS(F$6:F2953,F2953,I$6:I2953,"?*")=1,MAX(W$5:W2952)+1,""))</f>
        <v/>
      </c>
    </row>
    <row r="2954">
      <c r="B2954" s="15" t="n"/>
      <c r="C2954" s="16" t="n"/>
      <c r="D2954" s="17" t="n"/>
      <c r="E2954" s="17" t="n"/>
      <c r="F2954" s="17" t="n"/>
      <c r="G2954" s="17" t="n"/>
      <c r="H2954" s="18">
        <f>IF(AND(B2954="",C2954="",D2954="",E2954=""),"",IF(B2954="","⚠ Falta fecha",IF(C2954="","⚠ Falta monto",IF(D2954="","⚠ Falta categoría",IF(ISNA(MATCH(D2954,catNom,0)),"⚠ Categoría no existe",IF(E2954="","⚠ Falta cuenta",IF(ISNA(MATCH(E2954,ctaNom,0)),"⚠ Cuenta no existe",IF(AND(OR(I2954="Transferencia",I2954="Pago tarjeta"),G2954=""),"⚠ Indica la cuenta «Hacia»",IF(AND(G2954&lt;&gt;"",G2954=E2954),"⚠ «Hacia» igual a la cuenta",IF(AND(G2954&lt;&gt;"",ISNA(MATCH(G2954,ctaNom,0))),"⚠ «Hacia» no existe",IF(AND(I2954="Pago tarjeta",IFERROR(INDEX(ctaTipo,MATCH(G2954,ctaNom,0)),"")&lt;&gt;"Tarjeta de crédito"),"⚠ «Hacia» debe ser la tarjeta",IF(AND(I2954="Trading",IFERROR(INDEX(ctaTipo,MATCH(E2954,ctaNom,0)),"")&lt;&gt;"Cuenta de trading"),"⚠ Usa la cuenta de trading","✓"))))))))))))</f>
        <v/>
      </c>
      <c r="I2954" s="19">
        <f>IF(OR(B2954="",C2954="",D2954=""),"",IFERROR(INDEX(catTipo,MATCH(D2954,catNom,0))&amp;"",""))</f>
        <v/>
      </c>
      <c r="J2954" s="19">
        <f>IF(I2954="","",IFERROR(INDEX(catGrupo,MATCH(D2954,catNom,0))&amp;"",""))</f>
        <v/>
      </c>
      <c r="K2954" s="19">
        <f>IF(I2954="Gasto",IF(IFERROR(INDEX(catClas,MATCH(D2954,catNom,0))&amp;"","")="","Variable",IFERROR(INDEX(catClas,MATCH(D2954,catNom,0))&amp;"","")),"")</f>
        <v/>
      </c>
      <c r="L2954" s="19">
        <f>IF(I2954="","",IFERROR(INDEX(catAlim,MATCH(D2954,catNom,0))&amp;"",""))</f>
        <v/>
      </c>
      <c r="M2954" s="19">
        <f>IF(I2954="","",IFERROR(INDEX(catComida,MATCH(D2954,catNom,0))&amp;"",""))</f>
        <v/>
      </c>
      <c r="N2954" s="19">
        <f>IF(I2954="","",IFERROR(INDEX(ctaMon,MATCH(E2954,ctaNom,0))&amp;"","DOP"))</f>
        <v/>
      </c>
      <c r="O2954" s="20">
        <f>IF(I2954="","",C2954*IF(N2954="USD",TasaUSD,1))</f>
        <v/>
      </c>
      <c r="P2954" s="20">
        <f>IF(I2954="","",IF(I2954="Gasto",O2954,0))</f>
        <v/>
      </c>
      <c r="Q2954" s="20">
        <f>IF(I2954="","",IF(I2954="Ingreso",O2954,0))</f>
        <v/>
      </c>
      <c r="R2954" s="20">
        <f>IF(I2954="","",IF(I2954="Trading",O2954,0))</f>
        <v/>
      </c>
      <c r="S2954" s="19">
        <f>IF(I2954="","",IF(AND(I2954="Gasto",K2954="Variable",J2954&lt;&gt;"Trading",O2954&gt;0,O2954&lt;=Umbral),1,0))</f>
        <v/>
      </c>
      <c r="T2954" s="20">
        <f>IF(OR(I2954="",E2954=""),"",IF(OR(I2954="Gasto",I2954="Transferencia",I2954="Pago tarjeta"),-1,1)*C2954)</f>
        <v/>
      </c>
      <c r="U2954" s="20">
        <f>IF(OR(G2954="",AND(I2954&lt;&gt;"Transferencia",I2954&lt;&gt;"Pago tarjeta")),"",IF(IFERROR(INDEX(ctaMon,MATCH(G2954,ctaNom,0))&amp;"","DOP")=N2954,C2954,IF(N2954="USD",C2954*TasaUSD,C2954/TasaUSD)))</f>
        <v/>
      </c>
      <c r="V2954" s="20">
        <f>IF(I2954="","",IF(IFERROR(INDEX(ctaLiq,MATCH(E2954,ctaNom,0))="Sí",FALSE),IF(OR(I2954="Gasto",I2954="Transferencia",I2954="Pago tarjeta"),-1,1)*O2954,0)+IF(AND(U2954&lt;&gt;"",IFERROR(INDEX(ctaLiq,MATCH(G2954,ctaNom,0))="Sí",FALSE)),O2954,0))</f>
        <v/>
      </c>
      <c r="W2954" s="19">
        <f>IF(OR(F2954="",I2954=""),"",IF(COUNTIFS(F$6:F2954,F2954,I$6:I2954,"?*")=1,MAX(W$5:W2953)+1,""))</f>
        <v/>
      </c>
    </row>
    <row r="2955">
      <c r="B2955" s="15" t="n"/>
      <c r="C2955" s="16" t="n"/>
      <c r="D2955" s="17" t="n"/>
      <c r="E2955" s="17" t="n"/>
      <c r="F2955" s="17" t="n"/>
      <c r="G2955" s="17" t="n"/>
      <c r="H2955" s="18">
        <f>IF(AND(B2955="",C2955="",D2955="",E2955=""),"",IF(B2955="","⚠ Falta fecha",IF(C2955="","⚠ Falta monto",IF(D2955="","⚠ Falta categoría",IF(ISNA(MATCH(D2955,catNom,0)),"⚠ Categoría no existe",IF(E2955="","⚠ Falta cuenta",IF(ISNA(MATCH(E2955,ctaNom,0)),"⚠ Cuenta no existe",IF(AND(OR(I2955="Transferencia",I2955="Pago tarjeta"),G2955=""),"⚠ Indica la cuenta «Hacia»",IF(AND(G2955&lt;&gt;"",G2955=E2955),"⚠ «Hacia» igual a la cuenta",IF(AND(G2955&lt;&gt;"",ISNA(MATCH(G2955,ctaNom,0))),"⚠ «Hacia» no existe",IF(AND(I2955="Pago tarjeta",IFERROR(INDEX(ctaTipo,MATCH(G2955,ctaNom,0)),"")&lt;&gt;"Tarjeta de crédito"),"⚠ «Hacia» debe ser la tarjeta",IF(AND(I2955="Trading",IFERROR(INDEX(ctaTipo,MATCH(E2955,ctaNom,0)),"")&lt;&gt;"Cuenta de trading"),"⚠ Usa la cuenta de trading","✓"))))))))))))</f>
        <v/>
      </c>
      <c r="I2955" s="19">
        <f>IF(OR(B2955="",C2955="",D2955=""),"",IFERROR(INDEX(catTipo,MATCH(D2955,catNom,0))&amp;"",""))</f>
        <v/>
      </c>
      <c r="J2955" s="19">
        <f>IF(I2955="","",IFERROR(INDEX(catGrupo,MATCH(D2955,catNom,0))&amp;"",""))</f>
        <v/>
      </c>
      <c r="K2955" s="19">
        <f>IF(I2955="Gasto",IF(IFERROR(INDEX(catClas,MATCH(D2955,catNom,0))&amp;"","")="","Variable",IFERROR(INDEX(catClas,MATCH(D2955,catNom,0))&amp;"","")),"")</f>
        <v/>
      </c>
      <c r="L2955" s="19">
        <f>IF(I2955="","",IFERROR(INDEX(catAlim,MATCH(D2955,catNom,0))&amp;"",""))</f>
        <v/>
      </c>
      <c r="M2955" s="19">
        <f>IF(I2955="","",IFERROR(INDEX(catComida,MATCH(D2955,catNom,0))&amp;"",""))</f>
        <v/>
      </c>
      <c r="N2955" s="19">
        <f>IF(I2955="","",IFERROR(INDEX(ctaMon,MATCH(E2955,ctaNom,0))&amp;"","DOP"))</f>
        <v/>
      </c>
      <c r="O2955" s="20">
        <f>IF(I2955="","",C2955*IF(N2955="USD",TasaUSD,1))</f>
        <v/>
      </c>
      <c r="P2955" s="20">
        <f>IF(I2955="","",IF(I2955="Gasto",O2955,0))</f>
        <v/>
      </c>
      <c r="Q2955" s="20">
        <f>IF(I2955="","",IF(I2955="Ingreso",O2955,0))</f>
        <v/>
      </c>
      <c r="R2955" s="20">
        <f>IF(I2955="","",IF(I2955="Trading",O2955,0))</f>
        <v/>
      </c>
      <c r="S2955" s="19">
        <f>IF(I2955="","",IF(AND(I2955="Gasto",K2955="Variable",J2955&lt;&gt;"Trading",O2955&gt;0,O2955&lt;=Umbral),1,0))</f>
        <v/>
      </c>
      <c r="T2955" s="20">
        <f>IF(OR(I2955="",E2955=""),"",IF(OR(I2955="Gasto",I2955="Transferencia",I2955="Pago tarjeta"),-1,1)*C2955)</f>
        <v/>
      </c>
      <c r="U2955" s="20">
        <f>IF(OR(G2955="",AND(I2955&lt;&gt;"Transferencia",I2955&lt;&gt;"Pago tarjeta")),"",IF(IFERROR(INDEX(ctaMon,MATCH(G2955,ctaNom,0))&amp;"","DOP")=N2955,C2955,IF(N2955="USD",C2955*TasaUSD,C2955/TasaUSD)))</f>
        <v/>
      </c>
      <c r="V2955" s="20">
        <f>IF(I2955="","",IF(IFERROR(INDEX(ctaLiq,MATCH(E2955,ctaNom,0))="Sí",FALSE),IF(OR(I2955="Gasto",I2955="Transferencia",I2955="Pago tarjeta"),-1,1)*O2955,0)+IF(AND(U2955&lt;&gt;"",IFERROR(INDEX(ctaLiq,MATCH(G2955,ctaNom,0))="Sí",FALSE)),O2955,0))</f>
        <v/>
      </c>
      <c r="W2955" s="19">
        <f>IF(OR(F2955="",I2955=""),"",IF(COUNTIFS(F$6:F2955,F2955,I$6:I2955,"?*")=1,MAX(W$5:W2954)+1,""))</f>
        <v/>
      </c>
    </row>
    <row r="2956">
      <c r="B2956" s="15" t="n"/>
      <c r="C2956" s="16" t="n"/>
      <c r="D2956" s="17" t="n"/>
      <c r="E2956" s="17" t="n"/>
      <c r="F2956" s="17" t="n"/>
      <c r="G2956" s="17" t="n"/>
      <c r="H2956" s="18">
        <f>IF(AND(B2956="",C2956="",D2956="",E2956=""),"",IF(B2956="","⚠ Falta fecha",IF(C2956="","⚠ Falta monto",IF(D2956="","⚠ Falta categoría",IF(ISNA(MATCH(D2956,catNom,0)),"⚠ Categoría no existe",IF(E2956="","⚠ Falta cuenta",IF(ISNA(MATCH(E2956,ctaNom,0)),"⚠ Cuenta no existe",IF(AND(OR(I2956="Transferencia",I2956="Pago tarjeta"),G2956=""),"⚠ Indica la cuenta «Hacia»",IF(AND(G2956&lt;&gt;"",G2956=E2956),"⚠ «Hacia» igual a la cuenta",IF(AND(G2956&lt;&gt;"",ISNA(MATCH(G2956,ctaNom,0))),"⚠ «Hacia» no existe",IF(AND(I2956="Pago tarjeta",IFERROR(INDEX(ctaTipo,MATCH(G2956,ctaNom,0)),"")&lt;&gt;"Tarjeta de crédito"),"⚠ «Hacia» debe ser la tarjeta",IF(AND(I2956="Trading",IFERROR(INDEX(ctaTipo,MATCH(E2956,ctaNom,0)),"")&lt;&gt;"Cuenta de trading"),"⚠ Usa la cuenta de trading","✓"))))))))))))</f>
        <v/>
      </c>
      <c r="I2956" s="19">
        <f>IF(OR(B2956="",C2956="",D2956=""),"",IFERROR(INDEX(catTipo,MATCH(D2956,catNom,0))&amp;"",""))</f>
        <v/>
      </c>
      <c r="J2956" s="19">
        <f>IF(I2956="","",IFERROR(INDEX(catGrupo,MATCH(D2956,catNom,0))&amp;"",""))</f>
        <v/>
      </c>
      <c r="K2956" s="19">
        <f>IF(I2956="Gasto",IF(IFERROR(INDEX(catClas,MATCH(D2956,catNom,0))&amp;"","")="","Variable",IFERROR(INDEX(catClas,MATCH(D2956,catNom,0))&amp;"","")),"")</f>
        <v/>
      </c>
      <c r="L2956" s="19">
        <f>IF(I2956="","",IFERROR(INDEX(catAlim,MATCH(D2956,catNom,0))&amp;"",""))</f>
        <v/>
      </c>
      <c r="M2956" s="19">
        <f>IF(I2956="","",IFERROR(INDEX(catComida,MATCH(D2956,catNom,0))&amp;"",""))</f>
        <v/>
      </c>
      <c r="N2956" s="19">
        <f>IF(I2956="","",IFERROR(INDEX(ctaMon,MATCH(E2956,ctaNom,0))&amp;"","DOP"))</f>
        <v/>
      </c>
      <c r="O2956" s="20">
        <f>IF(I2956="","",C2956*IF(N2956="USD",TasaUSD,1))</f>
        <v/>
      </c>
      <c r="P2956" s="20">
        <f>IF(I2956="","",IF(I2956="Gasto",O2956,0))</f>
        <v/>
      </c>
      <c r="Q2956" s="20">
        <f>IF(I2956="","",IF(I2956="Ingreso",O2956,0))</f>
        <v/>
      </c>
      <c r="R2956" s="20">
        <f>IF(I2956="","",IF(I2956="Trading",O2956,0))</f>
        <v/>
      </c>
      <c r="S2956" s="19">
        <f>IF(I2956="","",IF(AND(I2956="Gasto",K2956="Variable",J2956&lt;&gt;"Trading",O2956&gt;0,O2956&lt;=Umbral),1,0))</f>
        <v/>
      </c>
      <c r="T2956" s="20">
        <f>IF(OR(I2956="",E2956=""),"",IF(OR(I2956="Gasto",I2956="Transferencia",I2956="Pago tarjeta"),-1,1)*C2956)</f>
        <v/>
      </c>
      <c r="U2956" s="20">
        <f>IF(OR(G2956="",AND(I2956&lt;&gt;"Transferencia",I2956&lt;&gt;"Pago tarjeta")),"",IF(IFERROR(INDEX(ctaMon,MATCH(G2956,ctaNom,0))&amp;"","DOP")=N2956,C2956,IF(N2956="USD",C2956*TasaUSD,C2956/TasaUSD)))</f>
        <v/>
      </c>
      <c r="V2956" s="20">
        <f>IF(I2956="","",IF(IFERROR(INDEX(ctaLiq,MATCH(E2956,ctaNom,0))="Sí",FALSE),IF(OR(I2956="Gasto",I2956="Transferencia",I2956="Pago tarjeta"),-1,1)*O2956,0)+IF(AND(U2956&lt;&gt;"",IFERROR(INDEX(ctaLiq,MATCH(G2956,ctaNom,0))="Sí",FALSE)),O2956,0))</f>
        <v/>
      </c>
      <c r="W2956" s="19">
        <f>IF(OR(F2956="",I2956=""),"",IF(COUNTIFS(F$6:F2956,F2956,I$6:I2956,"?*")=1,MAX(W$5:W2955)+1,""))</f>
        <v/>
      </c>
    </row>
    <row r="2957">
      <c r="B2957" s="15" t="n"/>
      <c r="C2957" s="16" t="n"/>
      <c r="D2957" s="17" t="n"/>
      <c r="E2957" s="17" t="n"/>
      <c r="F2957" s="17" t="n"/>
      <c r="G2957" s="17" t="n"/>
      <c r="H2957" s="18">
        <f>IF(AND(B2957="",C2957="",D2957="",E2957=""),"",IF(B2957="","⚠ Falta fecha",IF(C2957="","⚠ Falta monto",IF(D2957="","⚠ Falta categoría",IF(ISNA(MATCH(D2957,catNom,0)),"⚠ Categoría no existe",IF(E2957="","⚠ Falta cuenta",IF(ISNA(MATCH(E2957,ctaNom,0)),"⚠ Cuenta no existe",IF(AND(OR(I2957="Transferencia",I2957="Pago tarjeta"),G2957=""),"⚠ Indica la cuenta «Hacia»",IF(AND(G2957&lt;&gt;"",G2957=E2957),"⚠ «Hacia» igual a la cuenta",IF(AND(G2957&lt;&gt;"",ISNA(MATCH(G2957,ctaNom,0))),"⚠ «Hacia» no existe",IF(AND(I2957="Pago tarjeta",IFERROR(INDEX(ctaTipo,MATCH(G2957,ctaNom,0)),"")&lt;&gt;"Tarjeta de crédito"),"⚠ «Hacia» debe ser la tarjeta",IF(AND(I2957="Trading",IFERROR(INDEX(ctaTipo,MATCH(E2957,ctaNom,0)),"")&lt;&gt;"Cuenta de trading"),"⚠ Usa la cuenta de trading","✓"))))))))))))</f>
        <v/>
      </c>
      <c r="I2957" s="19">
        <f>IF(OR(B2957="",C2957="",D2957=""),"",IFERROR(INDEX(catTipo,MATCH(D2957,catNom,0))&amp;"",""))</f>
        <v/>
      </c>
      <c r="J2957" s="19">
        <f>IF(I2957="","",IFERROR(INDEX(catGrupo,MATCH(D2957,catNom,0))&amp;"",""))</f>
        <v/>
      </c>
      <c r="K2957" s="19">
        <f>IF(I2957="Gasto",IF(IFERROR(INDEX(catClas,MATCH(D2957,catNom,0))&amp;"","")="","Variable",IFERROR(INDEX(catClas,MATCH(D2957,catNom,0))&amp;"","")),"")</f>
        <v/>
      </c>
      <c r="L2957" s="19">
        <f>IF(I2957="","",IFERROR(INDEX(catAlim,MATCH(D2957,catNom,0))&amp;"",""))</f>
        <v/>
      </c>
      <c r="M2957" s="19">
        <f>IF(I2957="","",IFERROR(INDEX(catComida,MATCH(D2957,catNom,0))&amp;"",""))</f>
        <v/>
      </c>
      <c r="N2957" s="19">
        <f>IF(I2957="","",IFERROR(INDEX(ctaMon,MATCH(E2957,ctaNom,0))&amp;"","DOP"))</f>
        <v/>
      </c>
      <c r="O2957" s="20">
        <f>IF(I2957="","",C2957*IF(N2957="USD",TasaUSD,1))</f>
        <v/>
      </c>
      <c r="P2957" s="20">
        <f>IF(I2957="","",IF(I2957="Gasto",O2957,0))</f>
        <v/>
      </c>
      <c r="Q2957" s="20">
        <f>IF(I2957="","",IF(I2957="Ingreso",O2957,0))</f>
        <v/>
      </c>
      <c r="R2957" s="20">
        <f>IF(I2957="","",IF(I2957="Trading",O2957,0))</f>
        <v/>
      </c>
      <c r="S2957" s="19">
        <f>IF(I2957="","",IF(AND(I2957="Gasto",K2957="Variable",J2957&lt;&gt;"Trading",O2957&gt;0,O2957&lt;=Umbral),1,0))</f>
        <v/>
      </c>
      <c r="T2957" s="20">
        <f>IF(OR(I2957="",E2957=""),"",IF(OR(I2957="Gasto",I2957="Transferencia",I2957="Pago tarjeta"),-1,1)*C2957)</f>
        <v/>
      </c>
      <c r="U2957" s="20">
        <f>IF(OR(G2957="",AND(I2957&lt;&gt;"Transferencia",I2957&lt;&gt;"Pago tarjeta")),"",IF(IFERROR(INDEX(ctaMon,MATCH(G2957,ctaNom,0))&amp;"","DOP")=N2957,C2957,IF(N2957="USD",C2957*TasaUSD,C2957/TasaUSD)))</f>
        <v/>
      </c>
      <c r="V2957" s="20">
        <f>IF(I2957="","",IF(IFERROR(INDEX(ctaLiq,MATCH(E2957,ctaNom,0))="Sí",FALSE),IF(OR(I2957="Gasto",I2957="Transferencia",I2957="Pago tarjeta"),-1,1)*O2957,0)+IF(AND(U2957&lt;&gt;"",IFERROR(INDEX(ctaLiq,MATCH(G2957,ctaNom,0))="Sí",FALSE)),O2957,0))</f>
        <v/>
      </c>
      <c r="W2957" s="19">
        <f>IF(OR(F2957="",I2957=""),"",IF(COUNTIFS(F$6:F2957,F2957,I$6:I2957,"?*")=1,MAX(W$5:W2956)+1,""))</f>
        <v/>
      </c>
    </row>
    <row r="2958">
      <c r="B2958" s="15" t="n"/>
      <c r="C2958" s="16" t="n"/>
      <c r="D2958" s="17" t="n"/>
      <c r="E2958" s="17" t="n"/>
      <c r="F2958" s="17" t="n"/>
      <c r="G2958" s="17" t="n"/>
      <c r="H2958" s="18">
        <f>IF(AND(B2958="",C2958="",D2958="",E2958=""),"",IF(B2958="","⚠ Falta fecha",IF(C2958="","⚠ Falta monto",IF(D2958="","⚠ Falta categoría",IF(ISNA(MATCH(D2958,catNom,0)),"⚠ Categoría no existe",IF(E2958="","⚠ Falta cuenta",IF(ISNA(MATCH(E2958,ctaNom,0)),"⚠ Cuenta no existe",IF(AND(OR(I2958="Transferencia",I2958="Pago tarjeta"),G2958=""),"⚠ Indica la cuenta «Hacia»",IF(AND(G2958&lt;&gt;"",G2958=E2958),"⚠ «Hacia» igual a la cuenta",IF(AND(G2958&lt;&gt;"",ISNA(MATCH(G2958,ctaNom,0))),"⚠ «Hacia» no existe",IF(AND(I2958="Pago tarjeta",IFERROR(INDEX(ctaTipo,MATCH(G2958,ctaNom,0)),"")&lt;&gt;"Tarjeta de crédito"),"⚠ «Hacia» debe ser la tarjeta",IF(AND(I2958="Trading",IFERROR(INDEX(ctaTipo,MATCH(E2958,ctaNom,0)),"")&lt;&gt;"Cuenta de trading"),"⚠ Usa la cuenta de trading","✓"))))))))))))</f>
        <v/>
      </c>
      <c r="I2958" s="19">
        <f>IF(OR(B2958="",C2958="",D2958=""),"",IFERROR(INDEX(catTipo,MATCH(D2958,catNom,0))&amp;"",""))</f>
        <v/>
      </c>
      <c r="J2958" s="19">
        <f>IF(I2958="","",IFERROR(INDEX(catGrupo,MATCH(D2958,catNom,0))&amp;"",""))</f>
        <v/>
      </c>
      <c r="K2958" s="19">
        <f>IF(I2958="Gasto",IF(IFERROR(INDEX(catClas,MATCH(D2958,catNom,0))&amp;"","")="","Variable",IFERROR(INDEX(catClas,MATCH(D2958,catNom,0))&amp;"","")),"")</f>
        <v/>
      </c>
      <c r="L2958" s="19">
        <f>IF(I2958="","",IFERROR(INDEX(catAlim,MATCH(D2958,catNom,0))&amp;"",""))</f>
        <v/>
      </c>
      <c r="M2958" s="19">
        <f>IF(I2958="","",IFERROR(INDEX(catComida,MATCH(D2958,catNom,0))&amp;"",""))</f>
        <v/>
      </c>
      <c r="N2958" s="19">
        <f>IF(I2958="","",IFERROR(INDEX(ctaMon,MATCH(E2958,ctaNom,0))&amp;"","DOP"))</f>
        <v/>
      </c>
      <c r="O2958" s="20">
        <f>IF(I2958="","",C2958*IF(N2958="USD",TasaUSD,1))</f>
        <v/>
      </c>
      <c r="P2958" s="20">
        <f>IF(I2958="","",IF(I2958="Gasto",O2958,0))</f>
        <v/>
      </c>
      <c r="Q2958" s="20">
        <f>IF(I2958="","",IF(I2958="Ingreso",O2958,0))</f>
        <v/>
      </c>
      <c r="R2958" s="20">
        <f>IF(I2958="","",IF(I2958="Trading",O2958,0))</f>
        <v/>
      </c>
      <c r="S2958" s="19">
        <f>IF(I2958="","",IF(AND(I2958="Gasto",K2958="Variable",J2958&lt;&gt;"Trading",O2958&gt;0,O2958&lt;=Umbral),1,0))</f>
        <v/>
      </c>
      <c r="T2958" s="20">
        <f>IF(OR(I2958="",E2958=""),"",IF(OR(I2958="Gasto",I2958="Transferencia",I2958="Pago tarjeta"),-1,1)*C2958)</f>
        <v/>
      </c>
      <c r="U2958" s="20">
        <f>IF(OR(G2958="",AND(I2958&lt;&gt;"Transferencia",I2958&lt;&gt;"Pago tarjeta")),"",IF(IFERROR(INDEX(ctaMon,MATCH(G2958,ctaNom,0))&amp;"","DOP")=N2958,C2958,IF(N2958="USD",C2958*TasaUSD,C2958/TasaUSD)))</f>
        <v/>
      </c>
      <c r="V2958" s="20">
        <f>IF(I2958="","",IF(IFERROR(INDEX(ctaLiq,MATCH(E2958,ctaNom,0))="Sí",FALSE),IF(OR(I2958="Gasto",I2958="Transferencia",I2958="Pago tarjeta"),-1,1)*O2958,0)+IF(AND(U2958&lt;&gt;"",IFERROR(INDEX(ctaLiq,MATCH(G2958,ctaNom,0))="Sí",FALSE)),O2958,0))</f>
        <v/>
      </c>
      <c r="W2958" s="19">
        <f>IF(OR(F2958="",I2958=""),"",IF(COUNTIFS(F$6:F2958,F2958,I$6:I2958,"?*")=1,MAX(W$5:W2957)+1,""))</f>
        <v/>
      </c>
    </row>
    <row r="2959">
      <c r="B2959" s="15" t="n"/>
      <c r="C2959" s="16" t="n"/>
      <c r="D2959" s="17" t="n"/>
      <c r="E2959" s="17" t="n"/>
      <c r="F2959" s="17" t="n"/>
      <c r="G2959" s="17" t="n"/>
      <c r="H2959" s="18">
        <f>IF(AND(B2959="",C2959="",D2959="",E2959=""),"",IF(B2959="","⚠ Falta fecha",IF(C2959="","⚠ Falta monto",IF(D2959="","⚠ Falta categoría",IF(ISNA(MATCH(D2959,catNom,0)),"⚠ Categoría no existe",IF(E2959="","⚠ Falta cuenta",IF(ISNA(MATCH(E2959,ctaNom,0)),"⚠ Cuenta no existe",IF(AND(OR(I2959="Transferencia",I2959="Pago tarjeta"),G2959=""),"⚠ Indica la cuenta «Hacia»",IF(AND(G2959&lt;&gt;"",G2959=E2959),"⚠ «Hacia» igual a la cuenta",IF(AND(G2959&lt;&gt;"",ISNA(MATCH(G2959,ctaNom,0))),"⚠ «Hacia» no existe",IF(AND(I2959="Pago tarjeta",IFERROR(INDEX(ctaTipo,MATCH(G2959,ctaNom,0)),"")&lt;&gt;"Tarjeta de crédito"),"⚠ «Hacia» debe ser la tarjeta",IF(AND(I2959="Trading",IFERROR(INDEX(ctaTipo,MATCH(E2959,ctaNom,0)),"")&lt;&gt;"Cuenta de trading"),"⚠ Usa la cuenta de trading","✓"))))))))))))</f>
        <v/>
      </c>
      <c r="I2959" s="19">
        <f>IF(OR(B2959="",C2959="",D2959=""),"",IFERROR(INDEX(catTipo,MATCH(D2959,catNom,0))&amp;"",""))</f>
        <v/>
      </c>
      <c r="J2959" s="19">
        <f>IF(I2959="","",IFERROR(INDEX(catGrupo,MATCH(D2959,catNom,0))&amp;"",""))</f>
        <v/>
      </c>
      <c r="K2959" s="19">
        <f>IF(I2959="Gasto",IF(IFERROR(INDEX(catClas,MATCH(D2959,catNom,0))&amp;"","")="","Variable",IFERROR(INDEX(catClas,MATCH(D2959,catNom,0))&amp;"","")),"")</f>
        <v/>
      </c>
      <c r="L2959" s="19">
        <f>IF(I2959="","",IFERROR(INDEX(catAlim,MATCH(D2959,catNom,0))&amp;"",""))</f>
        <v/>
      </c>
      <c r="M2959" s="19">
        <f>IF(I2959="","",IFERROR(INDEX(catComida,MATCH(D2959,catNom,0))&amp;"",""))</f>
        <v/>
      </c>
      <c r="N2959" s="19">
        <f>IF(I2959="","",IFERROR(INDEX(ctaMon,MATCH(E2959,ctaNom,0))&amp;"","DOP"))</f>
        <v/>
      </c>
      <c r="O2959" s="20">
        <f>IF(I2959="","",C2959*IF(N2959="USD",TasaUSD,1))</f>
        <v/>
      </c>
      <c r="P2959" s="20">
        <f>IF(I2959="","",IF(I2959="Gasto",O2959,0))</f>
        <v/>
      </c>
      <c r="Q2959" s="20">
        <f>IF(I2959="","",IF(I2959="Ingreso",O2959,0))</f>
        <v/>
      </c>
      <c r="R2959" s="20">
        <f>IF(I2959="","",IF(I2959="Trading",O2959,0))</f>
        <v/>
      </c>
      <c r="S2959" s="19">
        <f>IF(I2959="","",IF(AND(I2959="Gasto",K2959="Variable",J2959&lt;&gt;"Trading",O2959&gt;0,O2959&lt;=Umbral),1,0))</f>
        <v/>
      </c>
      <c r="T2959" s="20">
        <f>IF(OR(I2959="",E2959=""),"",IF(OR(I2959="Gasto",I2959="Transferencia",I2959="Pago tarjeta"),-1,1)*C2959)</f>
        <v/>
      </c>
      <c r="U2959" s="20">
        <f>IF(OR(G2959="",AND(I2959&lt;&gt;"Transferencia",I2959&lt;&gt;"Pago tarjeta")),"",IF(IFERROR(INDEX(ctaMon,MATCH(G2959,ctaNom,0))&amp;"","DOP")=N2959,C2959,IF(N2959="USD",C2959*TasaUSD,C2959/TasaUSD)))</f>
        <v/>
      </c>
      <c r="V2959" s="20">
        <f>IF(I2959="","",IF(IFERROR(INDEX(ctaLiq,MATCH(E2959,ctaNom,0))="Sí",FALSE),IF(OR(I2959="Gasto",I2959="Transferencia",I2959="Pago tarjeta"),-1,1)*O2959,0)+IF(AND(U2959&lt;&gt;"",IFERROR(INDEX(ctaLiq,MATCH(G2959,ctaNom,0))="Sí",FALSE)),O2959,0))</f>
        <v/>
      </c>
      <c r="W2959" s="19">
        <f>IF(OR(F2959="",I2959=""),"",IF(COUNTIFS(F$6:F2959,F2959,I$6:I2959,"?*")=1,MAX(W$5:W2958)+1,""))</f>
        <v/>
      </c>
    </row>
    <row r="2960">
      <c r="B2960" s="15" t="n"/>
      <c r="C2960" s="16" t="n"/>
      <c r="D2960" s="17" t="n"/>
      <c r="E2960" s="17" t="n"/>
      <c r="F2960" s="17" t="n"/>
      <c r="G2960" s="17" t="n"/>
      <c r="H2960" s="18">
        <f>IF(AND(B2960="",C2960="",D2960="",E2960=""),"",IF(B2960="","⚠ Falta fecha",IF(C2960="","⚠ Falta monto",IF(D2960="","⚠ Falta categoría",IF(ISNA(MATCH(D2960,catNom,0)),"⚠ Categoría no existe",IF(E2960="","⚠ Falta cuenta",IF(ISNA(MATCH(E2960,ctaNom,0)),"⚠ Cuenta no existe",IF(AND(OR(I2960="Transferencia",I2960="Pago tarjeta"),G2960=""),"⚠ Indica la cuenta «Hacia»",IF(AND(G2960&lt;&gt;"",G2960=E2960),"⚠ «Hacia» igual a la cuenta",IF(AND(G2960&lt;&gt;"",ISNA(MATCH(G2960,ctaNom,0))),"⚠ «Hacia» no existe",IF(AND(I2960="Pago tarjeta",IFERROR(INDEX(ctaTipo,MATCH(G2960,ctaNom,0)),"")&lt;&gt;"Tarjeta de crédito"),"⚠ «Hacia» debe ser la tarjeta",IF(AND(I2960="Trading",IFERROR(INDEX(ctaTipo,MATCH(E2960,ctaNom,0)),"")&lt;&gt;"Cuenta de trading"),"⚠ Usa la cuenta de trading","✓"))))))))))))</f>
        <v/>
      </c>
      <c r="I2960" s="19">
        <f>IF(OR(B2960="",C2960="",D2960=""),"",IFERROR(INDEX(catTipo,MATCH(D2960,catNom,0))&amp;"",""))</f>
        <v/>
      </c>
      <c r="J2960" s="19">
        <f>IF(I2960="","",IFERROR(INDEX(catGrupo,MATCH(D2960,catNom,0))&amp;"",""))</f>
        <v/>
      </c>
      <c r="K2960" s="19">
        <f>IF(I2960="Gasto",IF(IFERROR(INDEX(catClas,MATCH(D2960,catNom,0))&amp;"","")="","Variable",IFERROR(INDEX(catClas,MATCH(D2960,catNom,0))&amp;"","")),"")</f>
        <v/>
      </c>
      <c r="L2960" s="19">
        <f>IF(I2960="","",IFERROR(INDEX(catAlim,MATCH(D2960,catNom,0))&amp;"",""))</f>
        <v/>
      </c>
      <c r="M2960" s="19">
        <f>IF(I2960="","",IFERROR(INDEX(catComida,MATCH(D2960,catNom,0))&amp;"",""))</f>
        <v/>
      </c>
      <c r="N2960" s="19">
        <f>IF(I2960="","",IFERROR(INDEX(ctaMon,MATCH(E2960,ctaNom,0))&amp;"","DOP"))</f>
        <v/>
      </c>
      <c r="O2960" s="20">
        <f>IF(I2960="","",C2960*IF(N2960="USD",TasaUSD,1))</f>
        <v/>
      </c>
      <c r="P2960" s="20">
        <f>IF(I2960="","",IF(I2960="Gasto",O2960,0))</f>
        <v/>
      </c>
      <c r="Q2960" s="20">
        <f>IF(I2960="","",IF(I2960="Ingreso",O2960,0))</f>
        <v/>
      </c>
      <c r="R2960" s="20">
        <f>IF(I2960="","",IF(I2960="Trading",O2960,0))</f>
        <v/>
      </c>
      <c r="S2960" s="19">
        <f>IF(I2960="","",IF(AND(I2960="Gasto",K2960="Variable",J2960&lt;&gt;"Trading",O2960&gt;0,O2960&lt;=Umbral),1,0))</f>
        <v/>
      </c>
      <c r="T2960" s="20">
        <f>IF(OR(I2960="",E2960=""),"",IF(OR(I2960="Gasto",I2960="Transferencia",I2960="Pago tarjeta"),-1,1)*C2960)</f>
        <v/>
      </c>
      <c r="U2960" s="20">
        <f>IF(OR(G2960="",AND(I2960&lt;&gt;"Transferencia",I2960&lt;&gt;"Pago tarjeta")),"",IF(IFERROR(INDEX(ctaMon,MATCH(G2960,ctaNom,0))&amp;"","DOP")=N2960,C2960,IF(N2960="USD",C2960*TasaUSD,C2960/TasaUSD)))</f>
        <v/>
      </c>
      <c r="V2960" s="20">
        <f>IF(I2960="","",IF(IFERROR(INDEX(ctaLiq,MATCH(E2960,ctaNom,0))="Sí",FALSE),IF(OR(I2960="Gasto",I2960="Transferencia",I2960="Pago tarjeta"),-1,1)*O2960,0)+IF(AND(U2960&lt;&gt;"",IFERROR(INDEX(ctaLiq,MATCH(G2960,ctaNom,0))="Sí",FALSE)),O2960,0))</f>
        <v/>
      </c>
      <c r="W2960" s="19">
        <f>IF(OR(F2960="",I2960=""),"",IF(COUNTIFS(F$6:F2960,F2960,I$6:I2960,"?*")=1,MAX(W$5:W2959)+1,""))</f>
        <v/>
      </c>
    </row>
    <row r="2961">
      <c r="B2961" s="15" t="n"/>
      <c r="C2961" s="16" t="n"/>
      <c r="D2961" s="17" t="n"/>
      <c r="E2961" s="17" t="n"/>
      <c r="F2961" s="17" t="n"/>
      <c r="G2961" s="17" t="n"/>
      <c r="H2961" s="18">
        <f>IF(AND(B2961="",C2961="",D2961="",E2961=""),"",IF(B2961="","⚠ Falta fecha",IF(C2961="","⚠ Falta monto",IF(D2961="","⚠ Falta categoría",IF(ISNA(MATCH(D2961,catNom,0)),"⚠ Categoría no existe",IF(E2961="","⚠ Falta cuenta",IF(ISNA(MATCH(E2961,ctaNom,0)),"⚠ Cuenta no existe",IF(AND(OR(I2961="Transferencia",I2961="Pago tarjeta"),G2961=""),"⚠ Indica la cuenta «Hacia»",IF(AND(G2961&lt;&gt;"",G2961=E2961),"⚠ «Hacia» igual a la cuenta",IF(AND(G2961&lt;&gt;"",ISNA(MATCH(G2961,ctaNom,0))),"⚠ «Hacia» no existe",IF(AND(I2961="Pago tarjeta",IFERROR(INDEX(ctaTipo,MATCH(G2961,ctaNom,0)),"")&lt;&gt;"Tarjeta de crédito"),"⚠ «Hacia» debe ser la tarjeta",IF(AND(I2961="Trading",IFERROR(INDEX(ctaTipo,MATCH(E2961,ctaNom,0)),"")&lt;&gt;"Cuenta de trading"),"⚠ Usa la cuenta de trading","✓"))))))))))))</f>
        <v/>
      </c>
      <c r="I2961" s="19">
        <f>IF(OR(B2961="",C2961="",D2961=""),"",IFERROR(INDEX(catTipo,MATCH(D2961,catNom,0))&amp;"",""))</f>
        <v/>
      </c>
      <c r="J2961" s="19">
        <f>IF(I2961="","",IFERROR(INDEX(catGrupo,MATCH(D2961,catNom,0))&amp;"",""))</f>
        <v/>
      </c>
      <c r="K2961" s="19">
        <f>IF(I2961="Gasto",IF(IFERROR(INDEX(catClas,MATCH(D2961,catNom,0))&amp;"","")="","Variable",IFERROR(INDEX(catClas,MATCH(D2961,catNom,0))&amp;"","")),"")</f>
        <v/>
      </c>
      <c r="L2961" s="19">
        <f>IF(I2961="","",IFERROR(INDEX(catAlim,MATCH(D2961,catNom,0))&amp;"",""))</f>
        <v/>
      </c>
      <c r="M2961" s="19">
        <f>IF(I2961="","",IFERROR(INDEX(catComida,MATCH(D2961,catNom,0))&amp;"",""))</f>
        <v/>
      </c>
      <c r="N2961" s="19">
        <f>IF(I2961="","",IFERROR(INDEX(ctaMon,MATCH(E2961,ctaNom,0))&amp;"","DOP"))</f>
        <v/>
      </c>
      <c r="O2961" s="20">
        <f>IF(I2961="","",C2961*IF(N2961="USD",TasaUSD,1))</f>
        <v/>
      </c>
      <c r="P2961" s="20">
        <f>IF(I2961="","",IF(I2961="Gasto",O2961,0))</f>
        <v/>
      </c>
      <c r="Q2961" s="20">
        <f>IF(I2961="","",IF(I2961="Ingreso",O2961,0))</f>
        <v/>
      </c>
      <c r="R2961" s="20">
        <f>IF(I2961="","",IF(I2961="Trading",O2961,0))</f>
        <v/>
      </c>
      <c r="S2961" s="19">
        <f>IF(I2961="","",IF(AND(I2961="Gasto",K2961="Variable",J2961&lt;&gt;"Trading",O2961&gt;0,O2961&lt;=Umbral),1,0))</f>
        <v/>
      </c>
      <c r="T2961" s="20">
        <f>IF(OR(I2961="",E2961=""),"",IF(OR(I2961="Gasto",I2961="Transferencia",I2961="Pago tarjeta"),-1,1)*C2961)</f>
        <v/>
      </c>
      <c r="U2961" s="20">
        <f>IF(OR(G2961="",AND(I2961&lt;&gt;"Transferencia",I2961&lt;&gt;"Pago tarjeta")),"",IF(IFERROR(INDEX(ctaMon,MATCH(G2961,ctaNom,0))&amp;"","DOP")=N2961,C2961,IF(N2961="USD",C2961*TasaUSD,C2961/TasaUSD)))</f>
        <v/>
      </c>
      <c r="V2961" s="20">
        <f>IF(I2961="","",IF(IFERROR(INDEX(ctaLiq,MATCH(E2961,ctaNom,0))="Sí",FALSE),IF(OR(I2961="Gasto",I2961="Transferencia",I2961="Pago tarjeta"),-1,1)*O2961,0)+IF(AND(U2961&lt;&gt;"",IFERROR(INDEX(ctaLiq,MATCH(G2961,ctaNom,0))="Sí",FALSE)),O2961,0))</f>
        <v/>
      </c>
      <c r="W2961" s="19">
        <f>IF(OR(F2961="",I2961=""),"",IF(COUNTIFS(F$6:F2961,F2961,I$6:I2961,"?*")=1,MAX(W$5:W2960)+1,""))</f>
        <v/>
      </c>
    </row>
    <row r="2962">
      <c r="B2962" s="15" t="n"/>
      <c r="C2962" s="16" t="n"/>
      <c r="D2962" s="17" t="n"/>
      <c r="E2962" s="17" t="n"/>
      <c r="F2962" s="17" t="n"/>
      <c r="G2962" s="17" t="n"/>
      <c r="H2962" s="18">
        <f>IF(AND(B2962="",C2962="",D2962="",E2962=""),"",IF(B2962="","⚠ Falta fecha",IF(C2962="","⚠ Falta monto",IF(D2962="","⚠ Falta categoría",IF(ISNA(MATCH(D2962,catNom,0)),"⚠ Categoría no existe",IF(E2962="","⚠ Falta cuenta",IF(ISNA(MATCH(E2962,ctaNom,0)),"⚠ Cuenta no existe",IF(AND(OR(I2962="Transferencia",I2962="Pago tarjeta"),G2962=""),"⚠ Indica la cuenta «Hacia»",IF(AND(G2962&lt;&gt;"",G2962=E2962),"⚠ «Hacia» igual a la cuenta",IF(AND(G2962&lt;&gt;"",ISNA(MATCH(G2962,ctaNom,0))),"⚠ «Hacia» no existe",IF(AND(I2962="Pago tarjeta",IFERROR(INDEX(ctaTipo,MATCH(G2962,ctaNom,0)),"")&lt;&gt;"Tarjeta de crédito"),"⚠ «Hacia» debe ser la tarjeta",IF(AND(I2962="Trading",IFERROR(INDEX(ctaTipo,MATCH(E2962,ctaNom,0)),"")&lt;&gt;"Cuenta de trading"),"⚠ Usa la cuenta de trading","✓"))))))))))))</f>
        <v/>
      </c>
      <c r="I2962" s="19">
        <f>IF(OR(B2962="",C2962="",D2962=""),"",IFERROR(INDEX(catTipo,MATCH(D2962,catNom,0))&amp;"",""))</f>
        <v/>
      </c>
      <c r="J2962" s="19">
        <f>IF(I2962="","",IFERROR(INDEX(catGrupo,MATCH(D2962,catNom,0))&amp;"",""))</f>
        <v/>
      </c>
      <c r="K2962" s="19">
        <f>IF(I2962="Gasto",IF(IFERROR(INDEX(catClas,MATCH(D2962,catNom,0))&amp;"","")="","Variable",IFERROR(INDEX(catClas,MATCH(D2962,catNom,0))&amp;"","")),"")</f>
        <v/>
      </c>
      <c r="L2962" s="19">
        <f>IF(I2962="","",IFERROR(INDEX(catAlim,MATCH(D2962,catNom,0))&amp;"",""))</f>
        <v/>
      </c>
      <c r="M2962" s="19">
        <f>IF(I2962="","",IFERROR(INDEX(catComida,MATCH(D2962,catNom,0))&amp;"",""))</f>
        <v/>
      </c>
      <c r="N2962" s="19">
        <f>IF(I2962="","",IFERROR(INDEX(ctaMon,MATCH(E2962,ctaNom,0))&amp;"","DOP"))</f>
        <v/>
      </c>
      <c r="O2962" s="20">
        <f>IF(I2962="","",C2962*IF(N2962="USD",TasaUSD,1))</f>
        <v/>
      </c>
      <c r="P2962" s="20">
        <f>IF(I2962="","",IF(I2962="Gasto",O2962,0))</f>
        <v/>
      </c>
      <c r="Q2962" s="20">
        <f>IF(I2962="","",IF(I2962="Ingreso",O2962,0))</f>
        <v/>
      </c>
      <c r="R2962" s="20">
        <f>IF(I2962="","",IF(I2962="Trading",O2962,0))</f>
        <v/>
      </c>
      <c r="S2962" s="19">
        <f>IF(I2962="","",IF(AND(I2962="Gasto",K2962="Variable",J2962&lt;&gt;"Trading",O2962&gt;0,O2962&lt;=Umbral),1,0))</f>
        <v/>
      </c>
      <c r="T2962" s="20">
        <f>IF(OR(I2962="",E2962=""),"",IF(OR(I2962="Gasto",I2962="Transferencia",I2962="Pago tarjeta"),-1,1)*C2962)</f>
        <v/>
      </c>
      <c r="U2962" s="20">
        <f>IF(OR(G2962="",AND(I2962&lt;&gt;"Transferencia",I2962&lt;&gt;"Pago tarjeta")),"",IF(IFERROR(INDEX(ctaMon,MATCH(G2962,ctaNom,0))&amp;"","DOP")=N2962,C2962,IF(N2962="USD",C2962*TasaUSD,C2962/TasaUSD)))</f>
        <v/>
      </c>
      <c r="V2962" s="20">
        <f>IF(I2962="","",IF(IFERROR(INDEX(ctaLiq,MATCH(E2962,ctaNom,0))="Sí",FALSE),IF(OR(I2962="Gasto",I2962="Transferencia",I2962="Pago tarjeta"),-1,1)*O2962,0)+IF(AND(U2962&lt;&gt;"",IFERROR(INDEX(ctaLiq,MATCH(G2962,ctaNom,0))="Sí",FALSE)),O2962,0))</f>
        <v/>
      </c>
      <c r="W2962" s="19">
        <f>IF(OR(F2962="",I2962=""),"",IF(COUNTIFS(F$6:F2962,F2962,I$6:I2962,"?*")=1,MAX(W$5:W2961)+1,""))</f>
        <v/>
      </c>
    </row>
    <row r="2963">
      <c r="B2963" s="15" t="n"/>
      <c r="C2963" s="16" t="n"/>
      <c r="D2963" s="17" t="n"/>
      <c r="E2963" s="17" t="n"/>
      <c r="F2963" s="17" t="n"/>
      <c r="G2963" s="17" t="n"/>
      <c r="H2963" s="18">
        <f>IF(AND(B2963="",C2963="",D2963="",E2963=""),"",IF(B2963="","⚠ Falta fecha",IF(C2963="","⚠ Falta monto",IF(D2963="","⚠ Falta categoría",IF(ISNA(MATCH(D2963,catNom,0)),"⚠ Categoría no existe",IF(E2963="","⚠ Falta cuenta",IF(ISNA(MATCH(E2963,ctaNom,0)),"⚠ Cuenta no existe",IF(AND(OR(I2963="Transferencia",I2963="Pago tarjeta"),G2963=""),"⚠ Indica la cuenta «Hacia»",IF(AND(G2963&lt;&gt;"",G2963=E2963),"⚠ «Hacia» igual a la cuenta",IF(AND(G2963&lt;&gt;"",ISNA(MATCH(G2963,ctaNom,0))),"⚠ «Hacia» no existe",IF(AND(I2963="Pago tarjeta",IFERROR(INDEX(ctaTipo,MATCH(G2963,ctaNom,0)),"")&lt;&gt;"Tarjeta de crédito"),"⚠ «Hacia» debe ser la tarjeta",IF(AND(I2963="Trading",IFERROR(INDEX(ctaTipo,MATCH(E2963,ctaNom,0)),"")&lt;&gt;"Cuenta de trading"),"⚠ Usa la cuenta de trading","✓"))))))))))))</f>
        <v/>
      </c>
      <c r="I2963" s="19">
        <f>IF(OR(B2963="",C2963="",D2963=""),"",IFERROR(INDEX(catTipo,MATCH(D2963,catNom,0))&amp;"",""))</f>
        <v/>
      </c>
      <c r="J2963" s="19">
        <f>IF(I2963="","",IFERROR(INDEX(catGrupo,MATCH(D2963,catNom,0))&amp;"",""))</f>
        <v/>
      </c>
      <c r="K2963" s="19">
        <f>IF(I2963="Gasto",IF(IFERROR(INDEX(catClas,MATCH(D2963,catNom,0))&amp;"","")="","Variable",IFERROR(INDEX(catClas,MATCH(D2963,catNom,0))&amp;"","")),"")</f>
        <v/>
      </c>
      <c r="L2963" s="19">
        <f>IF(I2963="","",IFERROR(INDEX(catAlim,MATCH(D2963,catNom,0))&amp;"",""))</f>
        <v/>
      </c>
      <c r="M2963" s="19">
        <f>IF(I2963="","",IFERROR(INDEX(catComida,MATCH(D2963,catNom,0))&amp;"",""))</f>
        <v/>
      </c>
      <c r="N2963" s="19">
        <f>IF(I2963="","",IFERROR(INDEX(ctaMon,MATCH(E2963,ctaNom,0))&amp;"","DOP"))</f>
        <v/>
      </c>
      <c r="O2963" s="20">
        <f>IF(I2963="","",C2963*IF(N2963="USD",TasaUSD,1))</f>
        <v/>
      </c>
      <c r="P2963" s="20">
        <f>IF(I2963="","",IF(I2963="Gasto",O2963,0))</f>
        <v/>
      </c>
      <c r="Q2963" s="20">
        <f>IF(I2963="","",IF(I2963="Ingreso",O2963,0))</f>
        <v/>
      </c>
      <c r="R2963" s="20">
        <f>IF(I2963="","",IF(I2963="Trading",O2963,0))</f>
        <v/>
      </c>
      <c r="S2963" s="19">
        <f>IF(I2963="","",IF(AND(I2963="Gasto",K2963="Variable",J2963&lt;&gt;"Trading",O2963&gt;0,O2963&lt;=Umbral),1,0))</f>
        <v/>
      </c>
      <c r="T2963" s="20">
        <f>IF(OR(I2963="",E2963=""),"",IF(OR(I2963="Gasto",I2963="Transferencia",I2963="Pago tarjeta"),-1,1)*C2963)</f>
        <v/>
      </c>
      <c r="U2963" s="20">
        <f>IF(OR(G2963="",AND(I2963&lt;&gt;"Transferencia",I2963&lt;&gt;"Pago tarjeta")),"",IF(IFERROR(INDEX(ctaMon,MATCH(G2963,ctaNom,0))&amp;"","DOP")=N2963,C2963,IF(N2963="USD",C2963*TasaUSD,C2963/TasaUSD)))</f>
        <v/>
      </c>
      <c r="V2963" s="20">
        <f>IF(I2963="","",IF(IFERROR(INDEX(ctaLiq,MATCH(E2963,ctaNom,0))="Sí",FALSE),IF(OR(I2963="Gasto",I2963="Transferencia",I2963="Pago tarjeta"),-1,1)*O2963,0)+IF(AND(U2963&lt;&gt;"",IFERROR(INDEX(ctaLiq,MATCH(G2963,ctaNom,0))="Sí",FALSE)),O2963,0))</f>
        <v/>
      </c>
      <c r="W2963" s="19">
        <f>IF(OR(F2963="",I2963=""),"",IF(COUNTIFS(F$6:F2963,F2963,I$6:I2963,"?*")=1,MAX(W$5:W2962)+1,""))</f>
        <v/>
      </c>
    </row>
    <row r="2964">
      <c r="B2964" s="15" t="n"/>
      <c r="C2964" s="16" t="n"/>
      <c r="D2964" s="17" t="n"/>
      <c r="E2964" s="17" t="n"/>
      <c r="F2964" s="17" t="n"/>
      <c r="G2964" s="17" t="n"/>
      <c r="H2964" s="18">
        <f>IF(AND(B2964="",C2964="",D2964="",E2964=""),"",IF(B2964="","⚠ Falta fecha",IF(C2964="","⚠ Falta monto",IF(D2964="","⚠ Falta categoría",IF(ISNA(MATCH(D2964,catNom,0)),"⚠ Categoría no existe",IF(E2964="","⚠ Falta cuenta",IF(ISNA(MATCH(E2964,ctaNom,0)),"⚠ Cuenta no existe",IF(AND(OR(I2964="Transferencia",I2964="Pago tarjeta"),G2964=""),"⚠ Indica la cuenta «Hacia»",IF(AND(G2964&lt;&gt;"",G2964=E2964),"⚠ «Hacia» igual a la cuenta",IF(AND(G2964&lt;&gt;"",ISNA(MATCH(G2964,ctaNom,0))),"⚠ «Hacia» no existe",IF(AND(I2964="Pago tarjeta",IFERROR(INDEX(ctaTipo,MATCH(G2964,ctaNom,0)),"")&lt;&gt;"Tarjeta de crédito"),"⚠ «Hacia» debe ser la tarjeta",IF(AND(I2964="Trading",IFERROR(INDEX(ctaTipo,MATCH(E2964,ctaNom,0)),"")&lt;&gt;"Cuenta de trading"),"⚠ Usa la cuenta de trading","✓"))))))))))))</f>
        <v/>
      </c>
      <c r="I2964" s="19">
        <f>IF(OR(B2964="",C2964="",D2964=""),"",IFERROR(INDEX(catTipo,MATCH(D2964,catNom,0))&amp;"",""))</f>
        <v/>
      </c>
      <c r="J2964" s="19">
        <f>IF(I2964="","",IFERROR(INDEX(catGrupo,MATCH(D2964,catNom,0))&amp;"",""))</f>
        <v/>
      </c>
      <c r="K2964" s="19">
        <f>IF(I2964="Gasto",IF(IFERROR(INDEX(catClas,MATCH(D2964,catNom,0))&amp;"","")="","Variable",IFERROR(INDEX(catClas,MATCH(D2964,catNom,0))&amp;"","")),"")</f>
        <v/>
      </c>
      <c r="L2964" s="19">
        <f>IF(I2964="","",IFERROR(INDEX(catAlim,MATCH(D2964,catNom,0))&amp;"",""))</f>
        <v/>
      </c>
      <c r="M2964" s="19">
        <f>IF(I2964="","",IFERROR(INDEX(catComida,MATCH(D2964,catNom,0))&amp;"",""))</f>
        <v/>
      </c>
      <c r="N2964" s="19">
        <f>IF(I2964="","",IFERROR(INDEX(ctaMon,MATCH(E2964,ctaNom,0))&amp;"","DOP"))</f>
        <v/>
      </c>
      <c r="O2964" s="20">
        <f>IF(I2964="","",C2964*IF(N2964="USD",TasaUSD,1))</f>
        <v/>
      </c>
      <c r="P2964" s="20">
        <f>IF(I2964="","",IF(I2964="Gasto",O2964,0))</f>
        <v/>
      </c>
      <c r="Q2964" s="20">
        <f>IF(I2964="","",IF(I2964="Ingreso",O2964,0))</f>
        <v/>
      </c>
      <c r="R2964" s="20">
        <f>IF(I2964="","",IF(I2964="Trading",O2964,0))</f>
        <v/>
      </c>
      <c r="S2964" s="19">
        <f>IF(I2964="","",IF(AND(I2964="Gasto",K2964="Variable",J2964&lt;&gt;"Trading",O2964&gt;0,O2964&lt;=Umbral),1,0))</f>
        <v/>
      </c>
      <c r="T2964" s="20">
        <f>IF(OR(I2964="",E2964=""),"",IF(OR(I2964="Gasto",I2964="Transferencia",I2964="Pago tarjeta"),-1,1)*C2964)</f>
        <v/>
      </c>
      <c r="U2964" s="20">
        <f>IF(OR(G2964="",AND(I2964&lt;&gt;"Transferencia",I2964&lt;&gt;"Pago tarjeta")),"",IF(IFERROR(INDEX(ctaMon,MATCH(G2964,ctaNom,0))&amp;"","DOP")=N2964,C2964,IF(N2964="USD",C2964*TasaUSD,C2964/TasaUSD)))</f>
        <v/>
      </c>
      <c r="V2964" s="20">
        <f>IF(I2964="","",IF(IFERROR(INDEX(ctaLiq,MATCH(E2964,ctaNom,0))="Sí",FALSE),IF(OR(I2964="Gasto",I2964="Transferencia",I2964="Pago tarjeta"),-1,1)*O2964,0)+IF(AND(U2964&lt;&gt;"",IFERROR(INDEX(ctaLiq,MATCH(G2964,ctaNom,0))="Sí",FALSE)),O2964,0))</f>
        <v/>
      </c>
      <c r="W2964" s="19">
        <f>IF(OR(F2964="",I2964=""),"",IF(COUNTIFS(F$6:F2964,F2964,I$6:I2964,"?*")=1,MAX(W$5:W2963)+1,""))</f>
        <v/>
      </c>
    </row>
    <row r="2965">
      <c r="B2965" s="15" t="n"/>
      <c r="C2965" s="16" t="n"/>
      <c r="D2965" s="17" t="n"/>
      <c r="E2965" s="17" t="n"/>
      <c r="F2965" s="17" t="n"/>
      <c r="G2965" s="17" t="n"/>
      <c r="H2965" s="18">
        <f>IF(AND(B2965="",C2965="",D2965="",E2965=""),"",IF(B2965="","⚠ Falta fecha",IF(C2965="","⚠ Falta monto",IF(D2965="","⚠ Falta categoría",IF(ISNA(MATCH(D2965,catNom,0)),"⚠ Categoría no existe",IF(E2965="","⚠ Falta cuenta",IF(ISNA(MATCH(E2965,ctaNom,0)),"⚠ Cuenta no existe",IF(AND(OR(I2965="Transferencia",I2965="Pago tarjeta"),G2965=""),"⚠ Indica la cuenta «Hacia»",IF(AND(G2965&lt;&gt;"",G2965=E2965),"⚠ «Hacia» igual a la cuenta",IF(AND(G2965&lt;&gt;"",ISNA(MATCH(G2965,ctaNom,0))),"⚠ «Hacia» no existe",IF(AND(I2965="Pago tarjeta",IFERROR(INDEX(ctaTipo,MATCH(G2965,ctaNom,0)),"")&lt;&gt;"Tarjeta de crédito"),"⚠ «Hacia» debe ser la tarjeta",IF(AND(I2965="Trading",IFERROR(INDEX(ctaTipo,MATCH(E2965,ctaNom,0)),"")&lt;&gt;"Cuenta de trading"),"⚠ Usa la cuenta de trading","✓"))))))))))))</f>
        <v/>
      </c>
      <c r="I2965" s="19">
        <f>IF(OR(B2965="",C2965="",D2965=""),"",IFERROR(INDEX(catTipo,MATCH(D2965,catNom,0))&amp;"",""))</f>
        <v/>
      </c>
      <c r="J2965" s="19">
        <f>IF(I2965="","",IFERROR(INDEX(catGrupo,MATCH(D2965,catNom,0))&amp;"",""))</f>
        <v/>
      </c>
      <c r="K2965" s="19">
        <f>IF(I2965="Gasto",IF(IFERROR(INDEX(catClas,MATCH(D2965,catNom,0))&amp;"","")="","Variable",IFERROR(INDEX(catClas,MATCH(D2965,catNom,0))&amp;"","")),"")</f>
        <v/>
      </c>
      <c r="L2965" s="19">
        <f>IF(I2965="","",IFERROR(INDEX(catAlim,MATCH(D2965,catNom,0))&amp;"",""))</f>
        <v/>
      </c>
      <c r="M2965" s="19">
        <f>IF(I2965="","",IFERROR(INDEX(catComida,MATCH(D2965,catNom,0))&amp;"",""))</f>
        <v/>
      </c>
      <c r="N2965" s="19">
        <f>IF(I2965="","",IFERROR(INDEX(ctaMon,MATCH(E2965,ctaNom,0))&amp;"","DOP"))</f>
        <v/>
      </c>
      <c r="O2965" s="20">
        <f>IF(I2965="","",C2965*IF(N2965="USD",TasaUSD,1))</f>
        <v/>
      </c>
      <c r="P2965" s="20">
        <f>IF(I2965="","",IF(I2965="Gasto",O2965,0))</f>
        <v/>
      </c>
      <c r="Q2965" s="20">
        <f>IF(I2965="","",IF(I2965="Ingreso",O2965,0))</f>
        <v/>
      </c>
      <c r="R2965" s="20">
        <f>IF(I2965="","",IF(I2965="Trading",O2965,0))</f>
        <v/>
      </c>
      <c r="S2965" s="19">
        <f>IF(I2965="","",IF(AND(I2965="Gasto",K2965="Variable",J2965&lt;&gt;"Trading",O2965&gt;0,O2965&lt;=Umbral),1,0))</f>
        <v/>
      </c>
      <c r="T2965" s="20">
        <f>IF(OR(I2965="",E2965=""),"",IF(OR(I2965="Gasto",I2965="Transferencia",I2965="Pago tarjeta"),-1,1)*C2965)</f>
        <v/>
      </c>
      <c r="U2965" s="20">
        <f>IF(OR(G2965="",AND(I2965&lt;&gt;"Transferencia",I2965&lt;&gt;"Pago tarjeta")),"",IF(IFERROR(INDEX(ctaMon,MATCH(G2965,ctaNom,0))&amp;"","DOP")=N2965,C2965,IF(N2965="USD",C2965*TasaUSD,C2965/TasaUSD)))</f>
        <v/>
      </c>
      <c r="V2965" s="20">
        <f>IF(I2965="","",IF(IFERROR(INDEX(ctaLiq,MATCH(E2965,ctaNom,0))="Sí",FALSE),IF(OR(I2965="Gasto",I2965="Transferencia",I2965="Pago tarjeta"),-1,1)*O2965,0)+IF(AND(U2965&lt;&gt;"",IFERROR(INDEX(ctaLiq,MATCH(G2965,ctaNom,0))="Sí",FALSE)),O2965,0))</f>
        <v/>
      </c>
      <c r="W2965" s="19">
        <f>IF(OR(F2965="",I2965=""),"",IF(COUNTIFS(F$6:F2965,F2965,I$6:I2965,"?*")=1,MAX(W$5:W2964)+1,""))</f>
        <v/>
      </c>
    </row>
    <row r="2966">
      <c r="B2966" s="15" t="n"/>
      <c r="C2966" s="16" t="n"/>
      <c r="D2966" s="17" t="n"/>
      <c r="E2966" s="17" t="n"/>
      <c r="F2966" s="17" t="n"/>
      <c r="G2966" s="17" t="n"/>
      <c r="H2966" s="18">
        <f>IF(AND(B2966="",C2966="",D2966="",E2966=""),"",IF(B2966="","⚠ Falta fecha",IF(C2966="","⚠ Falta monto",IF(D2966="","⚠ Falta categoría",IF(ISNA(MATCH(D2966,catNom,0)),"⚠ Categoría no existe",IF(E2966="","⚠ Falta cuenta",IF(ISNA(MATCH(E2966,ctaNom,0)),"⚠ Cuenta no existe",IF(AND(OR(I2966="Transferencia",I2966="Pago tarjeta"),G2966=""),"⚠ Indica la cuenta «Hacia»",IF(AND(G2966&lt;&gt;"",G2966=E2966),"⚠ «Hacia» igual a la cuenta",IF(AND(G2966&lt;&gt;"",ISNA(MATCH(G2966,ctaNom,0))),"⚠ «Hacia» no existe",IF(AND(I2966="Pago tarjeta",IFERROR(INDEX(ctaTipo,MATCH(G2966,ctaNom,0)),"")&lt;&gt;"Tarjeta de crédito"),"⚠ «Hacia» debe ser la tarjeta",IF(AND(I2966="Trading",IFERROR(INDEX(ctaTipo,MATCH(E2966,ctaNom,0)),"")&lt;&gt;"Cuenta de trading"),"⚠ Usa la cuenta de trading","✓"))))))))))))</f>
        <v/>
      </c>
      <c r="I2966" s="19">
        <f>IF(OR(B2966="",C2966="",D2966=""),"",IFERROR(INDEX(catTipo,MATCH(D2966,catNom,0))&amp;"",""))</f>
        <v/>
      </c>
      <c r="J2966" s="19">
        <f>IF(I2966="","",IFERROR(INDEX(catGrupo,MATCH(D2966,catNom,0))&amp;"",""))</f>
        <v/>
      </c>
      <c r="K2966" s="19">
        <f>IF(I2966="Gasto",IF(IFERROR(INDEX(catClas,MATCH(D2966,catNom,0))&amp;"","")="","Variable",IFERROR(INDEX(catClas,MATCH(D2966,catNom,0))&amp;"","")),"")</f>
        <v/>
      </c>
      <c r="L2966" s="19">
        <f>IF(I2966="","",IFERROR(INDEX(catAlim,MATCH(D2966,catNom,0))&amp;"",""))</f>
        <v/>
      </c>
      <c r="M2966" s="19">
        <f>IF(I2966="","",IFERROR(INDEX(catComida,MATCH(D2966,catNom,0))&amp;"",""))</f>
        <v/>
      </c>
      <c r="N2966" s="19">
        <f>IF(I2966="","",IFERROR(INDEX(ctaMon,MATCH(E2966,ctaNom,0))&amp;"","DOP"))</f>
        <v/>
      </c>
      <c r="O2966" s="20">
        <f>IF(I2966="","",C2966*IF(N2966="USD",TasaUSD,1))</f>
        <v/>
      </c>
      <c r="P2966" s="20">
        <f>IF(I2966="","",IF(I2966="Gasto",O2966,0))</f>
        <v/>
      </c>
      <c r="Q2966" s="20">
        <f>IF(I2966="","",IF(I2966="Ingreso",O2966,0))</f>
        <v/>
      </c>
      <c r="R2966" s="20">
        <f>IF(I2966="","",IF(I2966="Trading",O2966,0))</f>
        <v/>
      </c>
      <c r="S2966" s="19">
        <f>IF(I2966="","",IF(AND(I2966="Gasto",K2966="Variable",J2966&lt;&gt;"Trading",O2966&gt;0,O2966&lt;=Umbral),1,0))</f>
        <v/>
      </c>
      <c r="T2966" s="20">
        <f>IF(OR(I2966="",E2966=""),"",IF(OR(I2966="Gasto",I2966="Transferencia",I2966="Pago tarjeta"),-1,1)*C2966)</f>
        <v/>
      </c>
      <c r="U2966" s="20">
        <f>IF(OR(G2966="",AND(I2966&lt;&gt;"Transferencia",I2966&lt;&gt;"Pago tarjeta")),"",IF(IFERROR(INDEX(ctaMon,MATCH(G2966,ctaNom,0))&amp;"","DOP")=N2966,C2966,IF(N2966="USD",C2966*TasaUSD,C2966/TasaUSD)))</f>
        <v/>
      </c>
      <c r="V2966" s="20">
        <f>IF(I2966="","",IF(IFERROR(INDEX(ctaLiq,MATCH(E2966,ctaNom,0))="Sí",FALSE),IF(OR(I2966="Gasto",I2966="Transferencia",I2966="Pago tarjeta"),-1,1)*O2966,0)+IF(AND(U2966&lt;&gt;"",IFERROR(INDEX(ctaLiq,MATCH(G2966,ctaNom,0))="Sí",FALSE)),O2966,0))</f>
        <v/>
      </c>
      <c r="W2966" s="19">
        <f>IF(OR(F2966="",I2966=""),"",IF(COUNTIFS(F$6:F2966,F2966,I$6:I2966,"?*")=1,MAX(W$5:W2965)+1,""))</f>
        <v/>
      </c>
    </row>
    <row r="2967">
      <c r="B2967" s="15" t="n"/>
      <c r="C2967" s="16" t="n"/>
      <c r="D2967" s="17" t="n"/>
      <c r="E2967" s="17" t="n"/>
      <c r="F2967" s="17" t="n"/>
      <c r="G2967" s="17" t="n"/>
      <c r="H2967" s="18">
        <f>IF(AND(B2967="",C2967="",D2967="",E2967=""),"",IF(B2967="","⚠ Falta fecha",IF(C2967="","⚠ Falta monto",IF(D2967="","⚠ Falta categoría",IF(ISNA(MATCH(D2967,catNom,0)),"⚠ Categoría no existe",IF(E2967="","⚠ Falta cuenta",IF(ISNA(MATCH(E2967,ctaNom,0)),"⚠ Cuenta no existe",IF(AND(OR(I2967="Transferencia",I2967="Pago tarjeta"),G2967=""),"⚠ Indica la cuenta «Hacia»",IF(AND(G2967&lt;&gt;"",G2967=E2967),"⚠ «Hacia» igual a la cuenta",IF(AND(G2967&lt;&gt;"",ISNA(MATCH(G2967,ctaNom,0))),"⚠ «Hacia» no existe",IF(AND(I2967="Pago tarjeta",IFERROR(INDEX(ctaTipo,MATCH(G2967,ctaNom,0)),"")&lt;&gt;"Tarjeta de crédito"),"⚠ «Hacia» debe ser la tarjeta",IF(AND(I2967="Trading",IFERROR(INDEX(ctaTipo,MATCH(E2967,ctaNom,0)),"")&lt;&gt;"Cuenta de trading"),"⚠ Usa la cuenta de trading","✓"))))))))))))</f>
        <v/>
      </c>
      <c r="I2967" s="19">
        <f>IF(OR(B2967="",C2967="",D2967=""),"",IFERROR(INDEX(catTipo,MATCH(D2967,catNom,0))&amp;"",""))</f>
        <v/>
      </c>
      <c r="J2967" s="19">
        <f>IF(I2967="","",IFERROR(INDEX(catGrupo,MATCH(D2967,catNom,0))&amp;"",""))</f>
        <v/>
      </c>
      <c r="K2967" s="19">
        <f>IF(I2967="Gasto",IF(IFERROR(INDEX(catClas,MATCH(D2967,catNom,0))&amp;"","")="","Variable",IFERROR(INDEX(catClas,MATCH(D2967,catNom,0))&amp;"","")),"")</f>
        <v/>
      </c>
      <c r="L2967" s="19">
        <f>IF(I2967="","",IFERROR(INDEX(catAlim,MATCH(D2967,catNom,0))&amp;"",""))</f>
        <v/>
      </c>
      <c r="M2967" s="19">
        <f>IF(I2967="","",IFERROR(INDEX(catComida,MATCH(D2967,catNom,0))&amp;"",""))</f>
        <v/>
      </c>
      <c r="N2967" s="19">
        <f>IF(I2967="","",IFERROR(INDEX(ctaMon,MATCH(E2967,ctaNom,0))&amp;"","DOP"))</f>
        <v/>
      </c>
      <c r="O2967" s="20">
        <f>IF(I2967="","",C2967*IF(N2967="USD",TasaUSD,1))</f>
        <v/>
      </c>
      <c r="P2967" s="20">
        <f>IF(I2967="","",IF(I2967="Gasto",O2967,0))</f>
        <v/>
      </c>
      <c r="Q2967" s="20">
        <f>IF(I2967="","",IF(I2967="Ingreso",O2967,0))</f>
        <v/>
      </c>
      <c r="R2967" s="20">
        <f>IF(I2967="","",IF(I2967="Trading",O2967,0))</f>
        <v/>
      </c>
      <c r="S2967" s="19">
        <f>IF(I2967="","",IF(AND(I2967="Gasto",K2967="Variable",J2967&lt;&gt;"Trading",O2967&gt;0,O2967&lt;=Umbral),1,0))</f>
        <v/>
      </c>
      <c r="T2967" s="20">
        <f>IF(OR(I2967="",E2967=""),"",IF(OR(I2967="Gasto",I2967="Transferencia",I2967="Pago tarjeta"),-1,1)*C2967)</f>
        <v/>
      </c>
      <c r="U2967" s="20">
        <f>IF(OR(G2967="",AND(I2967&lt;&gt;"Transferencia",I2967&lt;&gt;"Pago tarjeta")),"",IF(IFERROR(INDEX(ctaMon,MATCH(G2967,ctaNom,0))&amp;"","DOP")=N2967,C2967,IF(N2967="USD",C2967*TasaUSD,C2967/TasaUSD)))</f>
        <v/>
      </c>
      <c r="V2967" s="20">
        <f>IF(I2967="","",IF(IFERROR(INDEX(ctaLiq,MATCH(E2967,ctaNom,0))="Sí",FALSE),IF(OR(I2967="Gasto",I2967="Transferencia",I2967="Pago tarjeta"),-1,1)*O2967,0)+IF(AND(U2967&lt;&gt;"",IFERROR(INDEX(ctaLiq,MATCH(G2967,ctaNom,0))="Sí",FALSE)),O2967,0))</f>
        <v/>
      </c>
      <c r="W2967" s="19">
        <f>IF(OR(F2967="",I2967=""),"",IF(COUNTIFS(F$6:F2967,F2967,I$6:I2967,"?*")=1,MAX(W$5:W2966)+1,""))</f>
        <v/>
      </c>
    </row>
    <row r="2968">
      <c r="B2968" s="15" t="n"/>
      <c r="C2968" s="16" t="n"/>
      <c r="D2968" s="17" t="n"/>
      <c r="E2968" s="17" t="n"/>
      <c r="F2968" s="17" t="n"/>
      <c r="G2968" s="17" t="n"/>
      <c r="H2968" s="18">
        <f>IF(AND(B2968="",C2968="",D2968="",E2968=""),"",IF(B2968="","⚠ Falta fecha",IF(C2968="","⚠ Falta monto",IF(D2968="","⚠ Falta categoría",IF(ISNA(MATCH(D2968,catNom,0)),"⚠ Categoría no existe",IF(E2968="","⚠ Falta cuenta",IF(ISNA(MATCH(E2968,ctaNom,0)),"⚠ Cuenta no existe",IF(AND(OR(I2968="Transferencia",I2968="Pago tarjeta"),G2968=""),"⚠ Indica la cuenta «Hacia»",IF(AND(G2968&lt;&gt;"",G2968=E2968),"⚠ «Hacia» igual a la cuenta",IF(AND(G2968&lt;&gt;"",ISNA(MATCH(G2968,ctaNom,0))),"⚠ «Hacia» no existe",IF(AND(I2968="Pago tarjeta",IFERROR(INDEX(ctaTipo,MATCH(G2968,ctaNom,0)),"")&lt;&gt;"Tarjeta de crédito"),"⚠ «Hacia» debe ser la tarjeta",IF(AND(I2968="Trading",IFERROR(INDEX(ctaTipo,MATCH(E2968,ctaNom,0)),"")&lt;&gt;"Cuenta de trading"),"⚠ Usa la cuenta de trading","✓"))))))))))))</f>
        <v/>
      </c>
      <c r="I2968" s="19">
        <f>IF(OR(B2968="",C2968="",D2968=""),"",IFERROR(INDEX(catTipo,MATCH(D2968,catNom,0))&amp;"",""))</f>
        <v/>
      </c>
      <c r="J2968" s="19">
        <f>IF(I2968="","",IFERROR(INDEX(catGrupo,MATCH(D2968,catNom,0))&amp;"",""))</f>
        <v/>
      </c>
      <c r="K2968" s="19">
        <f>IF(I2968="Gasto",IF(IFERROR(INDEX(catClas,MATCH(D2968,catNom,0))&amp;"","")="","Variable",IFERROR(INDEX(catClas,MATCH(D2968,catNom,0))&amp;"","")),"")</f>
        <v/>
      </c>
      <c r="L2968" s="19">
        <f>IF(I2968="","",IFERROR(INDEX(catAlim,MATCH(D2968,catNom,0))&amp;"",""))</f>
        <v/>
      </c>
      <c r="M2968" s="19">
        <f>IF(I2968="","",IFERROR(INDEX(catComida,MATCH(D2968,catNom,0))&amp;"",""))</f>
        <v/>
      </c>
      <c r="N2968" s="19">
        <f>IF(I2968="","",IFERROR(INDEX(ctaMon,MATCH(E2968,ctaNom,0))&amp;"","DOP"))</f>
        <v/>
      </c>
      <c r="O2968" s="20">
        <f>IF(I2968="","",C2968*IF(N2968="USD",TasaUSD,1))</f>
        <v/>
      </c>
      <c r="P2968" s="20">
        <f>IF(I2968="","",IF(I2968="Gasto",O2968,0))</f>
        <v/>
      </c>
      <c r="Q2968" s="20">
        <f>IF(I2968="","",IF(I2968="Ingreso",O2968,0))</f>
        <v/>
      </c>
      <c r="R2968" s="20">
        <f>IF(I2968="","",IF(I2968="Trading",O2968,0))</f>
        <v/>
      </c>
      <c r="S2968" s="19">
        <f>IF(I2968="","",IF(AND(I2968="Gasto",K2968="Variable",J2968&lt;&gt;"Trading",O2968&gt;0,O2968&lt;=Umbral),1,0))</f>
        <v/>
      </c>
      <c r="T2968" s="20">
        <f>IF(OR(I2968="",E2968=""),"",IF(OR(I2968="Gasto",I2968="Transferencia",I2968="Pago tarjeta"),-1,1)*C2968)</f>
        <v/>
      </c>
      <c r="U2968" s="20">
        <f>IF(OR(G2968="",AND(I2968&lt;&gt;"Transferencia",I2968&lt;&gt;"Pago tarjeta")),"",IF(IFERROR(INDEX(ctaMon,MATCH(G2968,ctaNom,0))&amp;"","DOP")=N2968,C2968,IF(N2968="USD",C2968*TasaUSD,C2968/TasaUSD)))</f>
        <v/>
      </c>
      <c r="V2968" s="20">
        <f>IF(I2968="","",IF(IFERROR(INDEX(ctaLiq,MATCH(E2968,ctaNom,0))="Sí",FALSE),IF(OR(I2968="Gasto",I2968="Transferencia",I2968="Pago tarjeta"),-1,1)*O2968,0)+IF(AND(U2968&lt;&gt;"",IFERROR(INDEX(ctaLiq,MATCH(G2968,ctaNom,0))="Sí",FALSE)),O2968,0))</f>
        <v/>
      </c>
      <c r="W2968" s="19">
        <f>IF(OR(F2968="",I2968=""),"",IF(COUNTIFS(F$6:F2968,F2968,I$6:I2968,"?*")=1,MAX(W$5:W2967)+1,""))</f>
        <v/>
      </c>
    </row>
    <row r="2969">
      <c r="B2969" s="15" t="n"/>
      <c r="C2969" s="16" t="n"/>
      <c r="D2969" s="17" t="n"/>
      <c r="E2969" s="17" t="n"/>
      <c r="F2969" s="17" t="n"/>
      <c r="G2969" s="17" t="n"/>
      <c r="H2969" s="18">
        <f>IF(AND(B2969="",C2969="",D2969="",E2969=""),"",IF(B2969="","⚠ Falta fecha",IF(C2969="","⚠ Falta monto",IF(D2969="","⚠ Falta categoría",IF(ISNA(MATCH(D2969,catNom,0)),"⚠ Categoría no existe",IF(E2969="","⚠ Falta cuenta",IF(ISNA(MATCH(E2969,ctaNom,0)),"⚠ Cuenta no existe",IF(AND(OR(I2969="Transferencia",I2969="Pago tarjeta"),G2969=""),"⚠ Indica la cuenta «Hacia»",IF(AND(G2969&lt;&gt;"",G2969=E2969),"⚠ «Hacia» igual a la cuenta",IF(AND(G2969&lt;&gt;"",ISNA(MATCH(G2969,ctaNom,0))),"⚠ «Hacia» no existe",IF(AND(I2969="Pago tarjeta",IFERROR(INDEX(ctaTipo,MATCH(G2969,ctaNom,0)),"")&lt;&gt;"Tarjeta de crédito"),"⚠ «Hacia» debe ser la tarjeta",IF(AND(I2969="Trading",IFERROR(INDEX(ctaTipo,MATCH(E2969,ctaNom,0)),"")&lt;&gt;"Cuenta de trading"),"⚠ Usa la cuenta de trading","✓"))))))))))))</f>
        <v/>
      </c>
      <c r="I2969" s="19">
        <f>IF(OR(B2969="",C2969="",D2969=""),"",IFERROR(INDEX(catTipo,MATCH(D2969,catNom,0))&amp;"",""))</f>
        <v/>
      </c>
      <c r="J2969" s="19">
        <f>IF(I2969="","",IFERROR(INDEX(catGrupo,MATCH(D2969,catNom,0))&amp;"",""))</f>
        <v/>
      </c>
      <c r="K2969" s="19">
        <f>IF(I2969="Gasto",IF(IFERROR(INDEX(catClas,MATCH(D2969,catNom,0))&amp;"","")="","Variable",IFERROR(INDEX(catClas,MATCH(D2969,catNom,0))&amp;"","")),"")</f>
        <v/>
      </c>
      <c r="L2969" s="19">
        <f>IF(I2969="","",IFERROR(INDEX(catAlim,MATCH(D2969,catNom,0))&amp;"",""))</f>
        <v/>
      </c>
      <c r="M2969" s="19">
        <f>IF(I2969="","",IFERROR(INDEX(catComida,MATCH(D2969,catNom,0))&amp;"",""))</f>
        <v/>
      </c>
      <c r="N2969" s="19">
        <f>IF(I2969="","",IFERROR(INDEX(ctaMon,MATCH(E2969,ctaNom,0))&amp;"","DOP"))</f>
        <v/>
      </c>
      <c r="O2969" s="20">
        <f>IF(I2969="","",C2969*IF(N2969="USD",TasaUSD,1))</f>
        <v/>
      </c>
      <c r="P2969" s="20">
        <f>IF(I2969="","",IF(I2969="Gasto",O2969,0))</f>
        <v/>
      </c>
      <c r="Q2969" s="20">
        <f>IF(I2969="","",IF(I2969="Ingreso",O2969,0))</f>
        <v/>
      </c>
      <c r="R2969" s="20">
        <f>IF(I2969="","",IF(I2969="Trading",O2969,0))</f>
        <v/>
      </c>
      <c r="S2969" s="19">
        <f>IF(I2969="","",IF(AND(I2969="Gasto",K2969="Variable",J2969&lt;&gt;"Trading",O2969&gt;0,O2969&lt;=Umbral),1,0))</f>
        <v/>
      </c>
      <c r="T2969" s="20">
        <f>IF(OR(I2969="",E2969=""),"",IF(OR(I2969="Gasto",I2969="Transferencia",I2969="Pago tarjeta"),-1,1)*C2969)</f>
        <v/>
      </c>
      <c r="U2969" s="20">
        <f>IF(OR(G2969="",AND(I2969&lt;&gt;"Transferencia",I2969&lt;&gt;"Pago tarjeta")),"",IF(IFERROR(INDEX(ctaMon,MATCH(G2969,ctaNom,0))&amp;"","DOP")=N2969,C2969,IF(N2969="USD",C2969*TasaUSD,C2969/TasaUSD)))</f>
        <v/>
      </c>
      <c r="V2969" s="20">
        <f>IF(I2969="","",IF(IFERROR(INDEX(ctaLiq,MATCH(E2969,ctaNom,0))="Sí",FALSE),IF(OR(I2969="Gasto",I2969="Transferencia",I2969="Pago tarjeta"),-1,1)*O2969,0)+IF(AND(U2969&lt;&gt;"",IFERROR(INDEX(ctaLiq,MATCH(G2969,ctaNom,0))="Sí",FALSE)),O2969,0))</f>
        <v/>
      </c>
      <c r="W2969" s="19">
        <f>IF(OR(F2969="",I2969=""),"",IF(COUNTIFS(F$6:F2969,F2969,I$6:I2969,"?*")=1,MAX(W$5:W2968)+1,""))</f>
        <v/>
      </c>
    </row>
    <row r="2970">
      <c r="B2970" s="15" t="n"/>
      <c r="C2970" s="16" t="n"/>
      <c r="D2970" s="17" t="n"/>
      <c r="E2970" s="17" t="n"/>
      <c r="F2970" s="17" t="n"/>
      <c r="G2970" s="17" t="n"/>
      <c r="H2970" s="18">
        <f>IF(AND(B2970="",C2970="",D2970="",E2970=""),"",IF(B2970="","⚠ Falta fecha",IF(C2970="","⚠ Falta monto",IF(D2970="","⚠ Falta categoría",IF(ISNA(MATCH(D2970,catNom,0)),"⚠ Categoría no existe",IF(E2970="","⚠ Falta cuenta",IF(ISNA(MATCH(E2970,ctaNom,0)),"⚠ Cuenta no existe",IF(AND(OR(I2970="Transferencia",I2970="Pago tarjeta"),G2970=""),"⚠ Indica la cuenta «Hacia»",IF(AND(G2970&lt;&gt;"",G2970=E2970),"⚠ «Hacia» igual a la cuenta",IF(AND(G2970&lt;&gt;"",ISNA(MATCH(G2970,ctaNom,0))),"⚠ «Hacia» no existe",IF(AND(I2970="Pago tarjeta",IFERROR(INDEX(ctaTipo,MATCH(G2970,ctaNom,0)),"")&lt;&gt;"Tarjeta de crédito"),"⚠ «Hacia» debe ser la tarjeta",IF(AND(I2970="Trading",IFERROR(INDEX(ctaTipo,MATCH(E2970,ctaNom,0)),"")&lt;&gt;"Cuenta de trading"),"⚠ Usa la cuenta de trading","✓"))))))))))))</f>
        <v/>
      </c>
      <c r="I2970" s="19">
        <f>IF(OR(B2970="",C2970="",D2970=""),"",IFERROR(INDEX(catTipo,MATCH(D2970,catNom,0))&amp;"",""))</f>
        <v/>
      </c>
      <c r="J2970" s="19">
        <f>IF(I2970="","",IFERROR(INDEX(catGrupo,MATCH(D2970,catNom,0))&amp;"",""))</f>
        <v/>
      </c>
      <c r="K2970" s="19">
        <f>IF(I2970="Gasto",IF(IFERROR(INDEX(catClas,MATCH(D2970,catNom,0))&amp;"","")="","Variable",IFERROR(INDEX(catClas,MATCH(D2970,catNom,0))&amp;"","")),"")</f>
        <v/>
      </c>
      <c r="L2970" s="19">
        <f>IF(I2970="","",IFERROR(INDEX(catAlim,MATCH(D2970,catNom,0))&amp;"",""))</f>
        <v/>
      </c>
      <c r="M2970" s="19">
        <f>IF(I2970="","",IFERROR(INDEX(catComida,MATCH(D2970,catNom,0))&amp;"",""))</f>
        <v/>
      </c>
      <c r="N2970" s="19">
        <f>IF(I2970="","",IFERROR(INDEX(ctaMon,MATCH(E2970,ctaNom,0))&amp;"","DOP"))</f>
        <v/>
      </c>
      <c r="O2970" s="20">
        <f>IF(I2970="","",C2970*IF(N2970="USD",TasaUSD,1))</f>
        <v/>
      </c>
      <c r="P2970" s="20">
        <f>IF(I2970="","",IF(I2970="Gasto",O2970,0))</f>
        <v/>
      </c>
      <c r="Q2970" s="20">
        <f>IF(I2970="","",IF(I2970="Ingreso",O2970,0))</f>
        <v/>
      </c>
      <c r="R2970" s="20">
        <f>IF(I2970="","",IF(I2970="Trading",O2970,0))</f>
        <v/>
      </c>
      <c r="S2970" s="19">
        <f>IF(I2970="","",IF(AND(I2970="Gasto",K2970="Variable",J2970&lt;&gt;"Trading",O2970&gt;0,O2970&lt;=Umbral),1,0))</f>
        <v/>
      </c>
      <c r="T2970" s="20">
        <f>IF(OR(I2970="",E2970=""),"",IF(OR(I2970="Gasto",I2970="Transferencia",I2970="Pago tarjeta"),-1,1)*C2970)</f>
        <v/>
      </c>
      <c r="U2970" s="20">
        <f>IF(OR(G2970="",AND(I2970&lt;&gt;"Transferencia",I2970&lt;&gt;"Pago tarjeta")),"",IF(IFERROR(INDEX(ctaMon,MATCH(G2970,ctaNom,0))&amp;"","DOP")=N2970,C2970,IF(N2970="USD",C2970*TasaUSD,C2970/TasaUSD)))</f>
        <v/>
      </c>
      <c r="V2970" s="20">
        <f>IF(I2970="","",IF(IFERROR(INDEX(ctaLiq,MATCH(E2970,ctaNom,0))="Sí",FALSE),IF(OR(I2970="Gasto",I2970="Transferencia",I2970="Pago tarjeta"),-1,1)*O2970,0)+IF(AND(U2970&lt;&gt;"",IFERROR(INDEX(ctaLiq,MATCH(G2970,ctaNom,0))="Sí",FALSE)),O2970,0))</f>
        <v/>
      </c>
      <c r="W2970" s="19">
        <f>IF(OR(F2970="",I2970=""),"",IF(COUNTIFS(F$6:F2970,F2970,I$6:I2970,"?*")=1,MAX(W$5:W2969)+1,""))</f>
        <v/>
      </c>
    </row>
    <row r="2971">
      <c r="B2971" s="15" t="n"/>
      <c r="C2971" s="16" t="n"/>
      <c r="D2971" s="17" t="n"/>
      <c r="E2971" s="17" t="n"/>
      <c r="F2971" s="17" t="n"/>
      <c r="G2971" s="17" t="n"/>
      <c r="H2971" s="18">
        <f>IF(AND(B2971="",C2971="",D2971="",E2971=""),"",IF(B2971="","⚠ Falta fecha",IF(C2971="","⚠ Falta monto",IF(D2971="","⚠ Falta categoría",IF(ISNA(MATCH(D2971,catNom,0)),"⚠ Categoría no existe",IF(E2971="","⚠ Falta cuenta",IF(ISNA(MATCH(E2971,ctaNom,0)),"⚠ Cuenta no existe",IF(AND(OR(I2971="Transferencia",I2971="Pago tarjeta"),G2971=""),"⚠ Indica la cuenta «Hacia»",IF(AND(G2971&lt;&gt;"",G2971=E2971),"⚠ «Hacia» igual a la cuenta",IF(AND(G2971&lt;&gt;"",ISNA(MATCH(G2971,ctaNom,0))),"⚠ «Hacia» no existe",IF(AND(I2971="Pago tarjeta",IFERROR(INDEX(ctaTipo,MATCH(G2971,ctaNom,0)),"")&lt;&gt;"Tarjeta de crédito"),"⚠ «Hacia» debe ser la tarjeta",IF(AND(I2971="Trading",IFERROR(INDEX(ctaTipo,MATCH(E2971,ctaNom,0)),"")&lt;&gt;"Cuenta de trading"),"⚠ Usa la cuenta de trading","✓"))))))))))))</f>
        <v/>
      </c>
      <c r="I2971" s="19">
        <f>IF(OR(B2971="",C2971="",D2971=""),"",IFERROR(INDEX(catTipo,MATCH(D2971,catNom,0))&amp;"",""))</f>
        <v/>
      </c>
      <c r="J2971" s="19">
        <f>IF(I2971="","",IFERROR(INDEX(catGrupo,MATCH(D2971,catNom,0))&amp;"",""))</f>
        <v/>
      </c>
      <c r="K2971" s="19">
        <f>IF(I2971="Gasto",IF(IFERROR(INDEX(catClas,MATCH(D2971,catNom,0))&amp;"","")="","Variable",IFERROR(INDEX(catClas,MATCH(D2971,catNom,0))&amp;"","")),"")</f>
        <v/>
      </c>
      <c r="L2971" s="19">
        <f>IF(I2971="","",IFERROR(INDEX(catAlim,MATCH(D2971,catNom,0))&amp;"",""))</f>
        <v/>
      </c>
      <c r="M2971" s="19">
        <f>IF(I2971="","",IFERROR(INDEX(catComida,MATCH(D2971,catNom,0))&amp;"",""))</f>
        <v/>
      </c>
      <c r="N2971" s="19">
        <f>IF(I2971="","",IFERROR(INDEX(ctaMon,MATCH(E2971,ctaNom,0))&amp;"","DOP"))</f>
        <v/>
      </c>
      <c r="O2971" s="20">
        <f>IF(I2971="","",C2971*IF(N2971="USD",TasaUSD,1))</f>
        <v/>
      </c>
      <c r="P2971" s="20">
        <f>IF(I2971="","",IF(I2971="Gasto",O2971,0))</f>
        <v/>
      </c>
      <c r="Q2971" s="20">
        <f>IF(I2971="","",IF(I2971="Ingreso",O2971,0))</f>
        <v/>
      </c>
      <c r="R2971" s="20">
        <f>IF(I2971="","",IF(I2971="Trading",O2971,0))</f>
        <v/>
      </c>
      <c r="S2971" s="19">
        <f>IF(I2971="","",IF(AND(I2971="Gasto",K2971="Variable",J2971&lt;&gt;"Trading",O2971&gt;0,O2971&lt;=Umbral),1,0))</f>
        <v/>
      </c>
      <c r="T2971" s="20">
        <f>IF(OR(I2971="",E2971=""),"",IF(OR(I2971="Gasto",I2971="Transferencia",I2971="Pago tarjeta"),-1,1)*C2971)</f>
        <v/>
      </c>
      <c r="U2971" s="20">
        <f>IF(OR(G2971="",AND(I2971&lt;&gt;"Transferencia",I2971&lt;&gt;"Pago tarjeta")),"",IF(IFERROR(INDEX(ctaMon,MATCH(G2971,ctaNom,0))&amp;"","DOP")=N2971,C2971,IF(N2971="USD",C2971*TasaUSD,C2971/TasaUSD)))</f>
        <v/>
      </c>
      <c r="V2971" s="20">
        <f>IF(I2971="","",IF(IFERROR(INDEX(ctaLiq,MATCH(E2971,ctaNom,0))="Sí",FALSE),IF(OR(I2971="Gasto",I2971="Transferencia",I2971="Pago tarjeta"),-1,1)*O2971,0)+IF(AND(U2971&lt;&gt;"",IFERROR(INDEX(ctaLiq,MATCH(G2971,ctaNom,0))="Sí",FALSE)),O2971,0))</f>
        <v/>
      </c>
      <c r="W2971" s="19">
        <f>IF(OR(F2971="",I2971=""),"",IF(COUNTIFS(F$6:F2971,F2971,I$6:I2971,"?*")=1,MAX(W$5:W2970)+1,""))</f>
        <v/>
      </c>
    </row>
    <row r="2972">
      <c r="B2972" s="15" t="n"/>
      <c r="C2972" s="16" t="n"/>
      <c r="D2972" s="17" t="n"/>
      <c r="E2972" s="17" t="n"/>
      <c r="F2972" s="17" t="n"/>
      <c r="G2972" s="17" t="n"/>
      <c r="H2972" s="18">
        <f>IF(AND(B2972="",C2972="",D2972="",E2972=""),"",IF(B2972="","⚠ Falta fecha",IF(C2972="","⚠ Falta monto",IF(D2972="","⚠ Falta categoría",IF(ISNA(MATCH(D2972,catNom,0)),"⚠ Categoría no existe",IF(E2972="","⚠ Falta cuenta",IF(ISNA(MATCH(E2972,ctaNom,0)),"⚠ Cuenta no existe",IF(AND(OR(I2972="Transferencia",I2972="Pago tarjeta"),G2972=""),"⚠ Indica la cuenta «Hacia»",IF(AND(G2972&lt;&gt;"",G2972=E2972),"⚠ «Hacia» igual a la cuenta",IF(AND(G2972&lt;&gt;"",ISNA(MATCH(G2972,ctaNom,0))),"⚠ «Hacia» no existe",IF(AND(I2972="Pago tarjeta",IFERROR(INDEX(ctaTipo,MATCH(G2972,ctaNom,0)),"")&lt;&gt;"Tarjeta de crédito"),"⚠ «Hacia» debe ser la tarjeta",IF(AND(I2972="Trading",IFERROR(INDEX(ctaTipo,MATCH(E2972,ctaNom,0)),"")&lt;&gt;"Cuenta de trading"),"⚠ Usa la cuenta de trading","✓"))))))))))))</f>
        <v/>
      </c>
      <c r="I2972" s="19">
        <f>IF(OR(B2972="",C2972="",D2972=""),"",IFERROR(INDEX(catTipo,MATCH(D2972,catNom,0))&amp;"",""))</f>
        <v/>
      </c>
      <c r="J2972" s="19">
        <f>IF(I2972="","",IFERROR(INDEX(catGrupo,MATCH(D2972,catNom,0))&amp;"",""))</f>
        <v/>
      </c>
      <c r="K2972" s="19">
        <f>IF(I2972="Gasto",IF(IFERROR(INDEX(catClas,MATCH(D2972,catNom,0))&amp;"","")="","Variable",IFERROR(INDEX(catClas,MATCH(D2972,catNom,0))&amp;"","")),"")</f>
        <v/>
      </c>
      <c r="L2972" s="19">
        <f>IF(I2972="","",IFERROR(INDEX(catAlim,MATCH(D2972,catNom,0))&amp;"",""))</f>
        <v/>
      </c>
      <c r="M2972" s="19">
        <f>IF(I2972="","",IFERROR(INDEX(catComida,MATCH(D2972,catNom,0))&amp;"",""))</f>
        <v/>
      </c>
      <c r="N2972" s="19">
        <f>IF(I2972="","",IFERROR(INDEX(ctaMon,MATCH(E2972,ctaNom,0))&amp;"","DOP"))</f>
        <v/>
      </c>
      <c r="O2972" s="20">
        <f>IF(I2972="","",C2972*IF(N2972="USD",TasaUSD,1))</f>
        <v/>
      </c>
      <c r="P2972" s="20">
        <f>IF(I2972="","",IF(I2972="Gasto",O2972,0))</f>
        <v/>
      </c>
      <c r="Q2972" s="20">
        <f>IF(I2972="","",IF(I2972="Ingreso",O2972,0))</f>
        <v/>
      </c>
      <c r="R2972" s="20">
        <f>IF(I2972="","",IF(I2972="Trading",O2972,0))</f>
        <v/>
      </c>
      <c r="S2972" s="19">
        <f>IF(I2972="","",IF(AND(I2972="Gasto",K2972="Variable",J2972&lt;&gt;"Trading",O2972&gt;0,O2972&lt;=Umbral),1,0))</f>
        <v/>
      </c>
      <c r="T2972" s="20">
        <f>IF(OR(I2972="",E2972=""),"",IF(OR(I2972="Gasto",I2972="Transferencia",I2972="Pago tarjeta"),-1,1)*C2972)</f>
        <v/>
      </c>
      <c r="U2972" s="20">
        <f>IF(OR(G2972="",AND(I2972&lt;&gt;"Transferencia",I2972&lt;&gt;"Pago tarjeta")),"",IF(IFERROR(INDEX(ctaMon,MATCH(G2972,ctaNom,0))&amp;"","DOP")=N2972,C2972,IF(N2972="USD",C2972*TasaUSD,C2972/TasaUSD)))</f>
        <v/>
      </c>
      <c r="V2972" s="20">
        <f>IF(I2972="","",IF(IFERROR(INDEX(ctaLiq,MATCH(E2972,ctaNom,0))="Sí",FALSE),IF(OR(I2972="Gasto",I2972="Transferencia",I2972="Pago tarjeta"),-1,1)*O2972,0)+IF(AND(U2972&lt;&gt;"",IFERROR(INDEX(ctaLiq,MATCH(G2972,ctaNom,0))="Sí",FALSE)),O2972,0))</f>
        <v/>
      </c>
      <c r="W2972" s="19">
        <f>IF(OR(F2972="",I2972=""),"",IF(COUNTIFS(F$6:F2972,F2972,I$6:I2972,"?*")=1,MAX(W$5:W2971)+1,""))</f>
        <v/>
      </c>
    </row>
    <row r="2973">
      <c r="B2973" s="15" t="n"/>
      <c r="C2973" s="16" t="n"/>
      <c r="D2973" s="17" t="n"/>
      <c r="E2973" s="17" t="n"/>
      <c r="F2973" s="17" t="n"/>
      <c r="G2973" s="17" t="n"/>
      <c r="H2973" s="18">
        <f>IF(AND(B2973="",C2973="",D2973="",E2973=""),"",IF(B2973="","⚠ Falta fecha",IF(C2973="","⚠ Falta monto",IF(D2973="","⚠ Falta categoría",IF(ISNA(MATCH(D2973,catNom,0)),"⚠ Categoría no existe",IF(E2973="","⚠ Falta cuenta",IF(ISNA(MATCH(E2973,ctaNom,0)),"⚠ Cuenta no existe",IF(AND(OR(I2973="Transferencia",I2973="Pago tarjeta"),G2973=""),"⚠ Indica la cuenta «Hacia»",IF(AND(G2973&lt;&gt;"",G2973=E2973),"⚠ «Hacia» igual a la cuenta",IF(AND(G2973&lt;&gt;"",ISNA(MATCH(G2973,ctaNom,0))),"⚠ «Hacia» no existe",IF(AND(I2973="Pago tarjeta",IFERROR(INDEX(ctaTipo,MATCH(G2973,ctaNom,0)),"")&lt;&gt;"Tarjeta de crédito"),"⚠ «Hacia» debe ser la tarjeta",IF(AND(I2973="Trading",IFERROR(INDEX(ctaTipo,MATCH(E2973,ctaNom,0)),"")&lt;&gt;"Cuenta de trading"),"⚠ Usa la cuenta de trading","✓"))))))))))))</f>
        <v/>
      </c>
      <c r="I2973" s="19">
        <f>IF(OR(B2973="",C2973="",D2973=""),"",IFERROR(INDEX(catTipo,MATCH(D2973,catNom,0))&amp;"",""))</f>
        <v/>
      </c>
      <c r="J2973" s="19">
        <f>IF(I2973="","",IFERROR(INDEX(catGrupo,MATCH(D2973,catNom,0))&amp;"",""))</f>
        <v/>
      </c>
      <c r="K2973" s="19">
        <f>IF(I2973="Gasto",IF(IFERROR(INDEX(catClas,MATCH(D2973,catNom,0))&amp;"","")="","Variable",IFERROR(INDEX(catClas,MATCH(D2973,catNom,0))&amp;"","")),"")</f>
        <v/>
      </c>
      <c r="L2973" s="19">
        <f>IF(I2973="","",IFERROR(INDEX(catAlim,MATCH(D2973,catNom,0))&amp;"",""))</f>
        <v/>
      </c>
      <c r="M2973" s="19">
        <f>IF(I2973="","",IFERROR(INDEX(catComida,MATCH(D2973,catNom,0))&amp;"",""))</f>
        <v/>
      </c>
      <c r="N2973" s="19">
        <f>IF(I2973="","",IFERROR(INDEX(ctaMon,MATCH(E2973,ctaNom,0))&amp;"","DOP"))</f>
        <v/>
      </c>
      <c r="O2973" s="20">
        <f>IF(I2973="","",C2973*IF(N2973="USD",TasaUSD,1))</f>
        <v/>
      </c>
      <c r="P2973" s="20">
        <f>IF(I2973="","",IF(I2973="Gasto",O2973,0))</f>
        <v/>
      </c>
      <c r="Q2973" s="20">
        <f>IF(I2973="","",IF(I2973="Ingreso",O2973,0))</f>
        <v/>
      </c>
      <c r="R2973" s="20">
        <f>IF(I2973="","",IF(I2973="Trading",O2973,0))</f>
        <v/>
      </c>
      <c r="S2973" s="19">
        <f>IF(I2973="","",IF(AND(I2973="Gasto",K2973="Variable",J2973&lt;&gt;"Trading",O2973&gt;0,O2973&lt;=Umbral),1,0))</f>
        <v/>
      </c>
      <c r="T2973" s="20">
        <f>IF(OR(I2973="",E2973=""),"",IF(OR(I2973="Gasto",I2973="Transferencia",I2973="Pago tarjeta"),-1,1)*C2973)</f>
        <v/>
      </c>
      <c r="U2973" s="20">
        <f>IF(OR(G2973="",AND(I2973&lt;&gt;"Transferencia",I2973&lt;&gt;"Pago tarjeta")),"",IF(IFERROR(INDEX(ctaMon,MATCH(G2973,ctaNom,0))&amp;"","DOP")=N2973,C2973,IF(N2973="USD",C2973*TasaUSD,C2973/TasaUSD)))</f>
        <v/>
      </c>
      <c r="V2973" s="20">
        <f>IF(I2973="","",IF(IFERROR(INDEX(ctaLiq,MATCH(E2973,ctaNom,0))="Sí",FALSE),IF(OR(I2973="Gasto",I2973="Transferencia",I2973="Pago tarjeta"),-1,1)*O2973,0)+IF(AND(U2973&lt;&gt;"",IFERROR(INDEX(ctaLiq,MATCH(G2973,ctaNom,0))="Sí",FALSE)),O2973,0))</f>
        <v/>
      </c>
      <c r="W2973" s="19">
        <f>IF(OR(F2973="",I2973=""),"",IF(COUNTIFS(F$6:F2973,F2973,I$6:I2973,"?*")=1,MAX(W$5:W2972)+1,""))</f>
        <v/>
      </c>
    </row>
    <row r="2974">
      <c r="B2974" s="15" t="n"/>
      <c r="C2974" s="16" t="n"/>
      <c r="D2974" s="17" t="n"/>
      <c r="E2974" s="17" t="n"/>
      <c r="F2974" s="17" t="n"/>
      <c r="G2974" s="17" t="n"/>
      <c r="H2974" s="18">
        <f>IF(AND(B2974="",C2974="",D2974="",E2974=""),"",IF(B2974="","⚠ Falta fecha",IF(C2974="","⚠ Falta monto",IF(D2974="","⚠ Falta categoría",IF(ISNA(MATCH(D2974,catNom,0)),"⚠ Categoría no existe",IF(E2974="","⚠ Falta cuenta",IF(ISNA(MATCH(E2974,ctaNom,0)),"⚠ Cuenta no existe",IF(AND(OR(I2974="Transferencia",I2974="Pago tarjeta"),G2974=""),"⚠ Indica la cuenta «Hacia»",IF(AND(G2974&lt;&gt;"",G2974=E2974),"⚠ «Hacia» igual a la cuenta",IF(AND(G2974&lt;&gt;"",ISNA(MATCH(G2974,ctaNom,0))),"⚠ «Hacia» no existe",IF(AND(I2974="Pago tarjeta",IFERROR(INDEX(ctaTipo,MATCH(G2974,ctaNom,0)),"")&lt;&gt;"Tarjeta de crédito"),"⚠ «Hacia» debe ser la tarjeta",IF(AND(I2974="Trading",IFERROR(INDEX(ctaTipo,MATCH(E2974,ctaNom,0)),"")&lt;&gt;"Cuenta de trading"),"⚠ Usa la cuenta de trading","✓"))))))))))))</f>
        <v/>
      </c>
      <c r="I2974" s="19">
        <f>IF(OR(B2974="",C2974="",D2974=""),"",IFERROR(INDEX(catTipo,MATCH(D2974,catNom,0))&amp;"",""))</f>
        <v/>
      </c>
      <c r="J2974" s="19">
        <f>IF(I2974="","",IFERROR(INDEX(catGrupo,MATCH(D2974,catNom,0))&amp;"",""))</f>
        <v/>
      </c>
      <c r="K2974" s="19">
        <f>IF(I2974="Gasto",IF(IFERROR(INDEX(catClas,MATCH(D2974,catNom,0))&amp;"","")="","Variable",IFERROR(INDEX(catClas,MATCH(D2974,catNom,0))&amp;"","")),"")</f>
        <v/>
      </c>
      <c r="L2974" s="19">
        <f>IF(I2974="","",IFERROR(INDEX(catAlim,MATCH(D2974,catNom,0))&amp;"",""))</f>
        <v/>
      </c>
      <c r="M2974" s="19">
        <f>IF(I2974="","",IFERROR(INDEX(catComida,MATCH(D2974,catNom,0))&amp;"",""))</f>
        <v/>
      </c>
      <c r="N2974" s="19">
        <f>IF(I2974="","",IFERROR(INDEX(ctaMon,MATCH(E2974,ctaNom,0))&amp;"","DOP"))</f>
        <v/>
      </c>
      <c r="O2974" s="20">
        <f>IF(I2974="","",C2974*IF(N2974="USD",TasaUSD,1))</f>
        <v/>
      </c>
      <c r="P2974" s="20">
        <f>IF(I2974="","",IF(I2974="Gasto",O2974,0))</f>
        <v/>
      </c>
      <c r="Q2974" s="20">
        <f>IF(I2974="","",IF(I2974="Ingreso",O2974,0))</f>
        <v/>
      </c>
      <c r="R2974" s="20">
        <f>IF(I2974="","",IF(I2974="Trading",O2974,0))</f>
        <v/>
      </c>
      <c r="S2974" s="19">
        <f>IF(I2974="","",IF(AND(I2974="Gasto",K2974="Variable",J2974&lt;&gt;"Trading",O2974&gt;0,O2974&lt;=Umbral),1,0))</f>
        <v/>
      </c>
      <c r="T2974" s="20">
        <f>IF(OR(I2974="",E2974=""),"",IF(OR(I2974="Gasto",I2974="Transferencia",I2974="Pago tarjeta"),-1,1)*C2974)</f>
        <v/>
      </c>
      <c r="U2974" s="20">
        <f>IF(OR(G2974="",AND(I2974&lt;&gt;"Transferencia",I2974&lt;&gt;"Pago tarjeta")),"",IF(IFERROR(INDEX(ctaMon,MATCH(G2974,ctaNom,0))&amp;"","DOP")=N2974,C2974,IF(N2974="USD",C2974*TasaUSD,C2974/TasaUSD)))</f>
        <v/>
      </c>
      <c r="V2974" s="20">
        <f>IF(I2974="","",IF(IFERROR(INDEX(ctaLiq,MATCH(E2974,ctaNom,0))="Sí",FALSE),IF(OR(I2974="Gasto",I2974="Transferencia",I2974="Pago tarjeta"),-1,1)*O2974,0)+IF(AND(U2974&lt;&gt;"",IFERROR(INDEX(ctaLiq,MATCH(G2974,ctaNom,0))="Sí",FALSE)),O2974,0))</f>
        <v/>
      </c>
      <c r="W2974" s="19">
        <f>IF(OR(F2974="",I2974=""),"",IF(COUNTIFS(F$6:F2974,F2974,I$6:I2974,"?*")=1,MAX(W$5:W2973)+1,""))</f>
        <v/>
      </c>
    </row>
    <row r="2975">
      <c r="B2975" s="15" t="n"/>
      <c r="C2975" s="16" t="n"/>
      <c r="D2975" s="17" t="n"/>
      <c r="E2975" s="17" t="n"/>
      <c r="F2975" s="17" t="n"/>
      <c r="G2975" s="17" t="n"/>
      <c r="H2975" s="18">
        <f>IF(AND(B2975="",C2975="",D2975="",E2975=""),"",IF(B2975="","⚠ Falta fecha",IF(C2975="","⚠ Falta monto",IF(D2975="","⚠ Falta categoría",IF(ISNA(MATCH(D2975,catNom,0)),"⚠ Categoría no existe",IF(E2975="","⚠ Falta cuenta",IF(ISNA(MATCH(E2975,ctaNom,0)),"⚠ Cuenta no existe",IF(AND(OR(I2975="Transferencia",I2975="Pago tarjeta"),G2975=""),"⚠ Indica la cuenta «Hacia»",IF(AND(G2975&lt;&gt;"",G2975=E2975),"⚠ «Hacia» igual a la cuenta",IF(AND(G2975&lt;&gt;"",ISNA(MATCH(G2975,ctaNom,0))),"⚠ «Hacia» no existe",IF(AND(I2975="Pago tarjeta",IFERROR(INDEX(ctaTipo,MATCH(G2975,ctaNom,0)),"")&lt;&gt;"Tarjeta de crédito"),"⚠ «Hacia» debe ser la tarjeta",IF(AND(I2975="Trading",IFERROR(INDEX(ctaTipo,MATCH(E2975,ctaNom,0)),"")&lt;&gt;"Cuenta de trading"),"⚠ Usa la cuenta de trading","✓"))))))))))))</f>
        <v/>
      </c>
      <c r="I2975" s="19">
        <f>IF(OR(B2975="",C2975="",D2975=""),"",IFERROR(INDEX(catTipo,MATCH(D2975,catNom,0))&amp;"",""))</f>
        <v/>
      </c>
      <c r="J2975" s="19">
        <f>IF(I2975="","",IFERROR(INDEX(catGrupo,MATCH(D2975,catNom,0))&amp;"",""))</f>
        <v/>
      </c>
      <c r="K2975" s="19">
        <f>IF(I2975="Gasto",IF(IFERROR(INDEX(catClas,MATCH(D2975,catNom,0))&amp;"","")="","Variable",IFERROR(INDEX(catClas,MATCH(D2975,catNom,0))&amp;"","")),"")</f>
        <v/>
      </c>
      <c r="L2975" s="19">
        <f>IF(I2975="","",IFERROR(INDEX(catAlim,MATCH(D2975,catNom,0))&amp;"",""))</f>
        <v/>
      </c>
      <c r="M2975" s="19">
        <f>IF(I2975="","",IFERROR(INDEX(catComida,MATCH(D2975,catNom,0))&amp;"",""))</f>
        <v/>
      </c>
      <c r="N2975" s="19">
        <f>IF(I2975="","",IFERROR(INDEX(ctaMon,MATCH(E2975,ctaNom,0))&amp;"","DOP"))</f>
        <v/>
      </c>
      <c r="O2975" s="20">
        <f>IF(I2975="","",C2975*IF(N2975="USD",TasaUSD,1))</f>
        <v/>
      </c>
      <c r="P2975" s="20">
        <f>IF(I2975="","",IF(I2975="Gasto",O2975,0))</f>
        <v/>
      </c>
      <c r="Q2975" s="20">
        <f>IF(I2975="","",IF(I2975="Ingreso",O2975,0))</f>
        <v/>
      </c>
      <c r="R2975" s="20">
        <f>IF(I2975="","",IF(I2975="Trading",O2975,0))</f>
        <v/>
      </c>
      <c r="S2975" s="19">
        <f>IF(I2975="","",IF(AND(I2975="Gasto",K2975="Variable",J2975&lt;&gt;"Trading",O2975&gt;0,O2975&lt;=Umbral),1,0))</f>
        <v/>
      </c>
      <c r="T2975" s="20">
        <f>IF(OR(I2975="",E2975=""),"",IF(OR(I2975="Gasto",I2975="Transferencia",I2975="Pago tarjeta"),-1,1)*C2975)</f>
        <v/>
      </c>
      <c r="U2975" s="20">
        <f>IF(OR(G2975="",AND(I2975&lt;&gt;"Transferencia",I2975&lt;&gt;"Pago tarjeta")),"",IF(IFERROR(INDEX(ctaMon,MATCH(G2975,ctaNom,0))&amp;"","DOP")=N2975,C2975,IF(N2975="USD",C2975*TasaUSD,C2975/TasaUSD)))</f>
        <v/>
      </c>
      <c r="V2975" s="20">
        <f>IF(I2975="","",IF(IFERROR(INDEX(ctaLiq,MATCH(E2975,ctaNom,0))="Sí",FALSE),IF(OR(I2975="Gasto",I2975="Transferencia",I2975="Pago tarjeta"),-1,1)*O2975,0)+IF(AND(U2975&lt;&gt;"",IFERROR(INDEX(ctaLiq,MATCH(G2975,ctaNom,0))="Sí",FALSE)),O2975,0))</f>
        <v/>
      </c>
      <c r="W2975" s="19">
        <f>IF(OR(F2975="",I2975=""),"",IF(COUNTIFS(F$6:F2975,F2975,I$6:I2975,"?*")=1,MAX(W$5:W2974)+1,""))</f>
        <v/>
      </c>
    </row>
    <row r="2976">
      <c r="B2976" s="15" t="n"/>
      <c r="C2976" s="16" t="n"/>
      <c r="D2976" s="17" t="n"/>
      <c r="E2976" s="17" t="n"/>
      <c r="F2976" s="17" t="n"/>
      <c r="G2976" s="17" t="n"/>
      <c r="H2976" s="18">
        <f>IF(AND(B2976="",C2976="",D2976="",E2976=""),"",IF(B2976="","⚠ Falta fecha",IF(C2976="","⚠ Falta monto",IF(D2976="","⚠ Falta categoría",IF(ISNA(MATCH(D2976,catNom,0)),"⚠ Categoría no existe",IF(E2976="","⚠ Falta cuenta",IF(ISNA(MATCH(E2976,ctaNom,0)),"⚠ Cuenta no existe",IF(AND(OR(I2976="Transferencia",I2976="Pago tarjeta"),G2976=""),"⚠ Indica la cuenta «Hacia»",IF(AND(G2976&lt;&gt;"",G2976=E2976),"⚠ «Hacia» igual a la cuenta",IF(AND(G2976&lt;&gt;"",ISNA(MATCH(G2976,ctaNom,0))),"⚠ «Hacia» no existe",IF(AND(I2976="Pago tarjeta",IFERROR(INDEX(ctaTipo,MATCH(G2976,ctaNom,0)),"")&lt;&gt;"Tarjeta de crédito"),"⚠ «Hacia» debe ser la tarjeta",IF(AND(I2976="Trading",IFERROR(INDEX(ctaTipo,MATCH(E2976,ctaNom,0)),"")&lt;&gt;"Cuenta de trading"),"⚠ Usa la cuenta de trading","✓"))))))))))))</f>
        <v/>
      </c>
      <c r="I2976" s="19">
        <f>IF(OR(B2976="",C2976="",D2976=""),"",IFERROR(INDEX(catTipo,MATCH(D2976,catNom,0))&amp;"",""))</f>
        <v/>
      </c>
      <c r="J2976" s="19">
        <f>IF(I2976="","",IFERROR(INDEX(catGrupo,MATCH(D2976,catNom,0))&amp;"",""))</f>
        <v/>
      </c>
      <c r="K2976" s="19">
        <f>IF(I2976="Gasto",IF(IFERROR(INDEX(catClas,MATCH(D2976,catNom,0))&amp;"","")="","Variable",IFERROR(INDEX(catClas,MATCH(D2976,catNom,0))&amp;"","")),"")</f>
        <v/>
      </c>
      <c r="L2976" s="19">
        <f>IF(I2976="","",IFERROR(INDEX(catAlim,MATCH(D2976,catNom,0))&amp;"",""))</f>
        <v/>
      </c>
      <c r="M2976" s="19">
        <f>IF(I2976="","",IFERROR(INDEX(catComida,MATCH(D2976,catNom,0))&amp;"",""))</f>
        <v/>
      </c>
      <c r="N2976" s="19">
        <f>IF(I2976="","",IFERROR(INDEX(ctaMon,MATCH(E2976,ctaNom,0))&amp;"","DOP"))</f>
        <v/>
      </c>
      <c r="O2976" s="20">
        <f>IF(I2976="","",C2976*IF(N2976="USD",TasaUSD,1))</f>
        <v/>
      </c>
      <c r="P2976" s="20">
        <f>IF(I2976="","",IF(I2976="Gasto",O2976,0))</f>
        <v/>
      </c>
      <c r="Q2976" s="20">
        <f>IF(I2976="","",IF(I2976="Ingreso",O2976,0))</f>
        <v/>
      </c>
      <c r="R2976" s="20">
        <f>IF(I2976="","",IF(I2976="Trading",O2976,0))</f>
        <v/>
      </c>
      <c r="S2976" s="19">
        <f>IF(I2976="","",IF(AND(I2976="Gasto",K2976="Variable",J2976&lt;&gt;"Trading",O2976&gt;0,O2976&lt;=Umbral),1,0))</f>
        <v/>
      </c>
      <c r="T2976" s="20">
        <f>IF(OR(I2976="",E2976=""),"",IF(OR(I2976="Gasto",I2976="Transferencia",I2976="Pago tarjeta"),-1,1)*C2976)</f>
        <v/>
      </c>
      <c r="U2976" s="20">
        <f>IF(OR(G2976="",AND(I2976&lt;&gt;"Transferencia",I2976&lt;&gt;"Pago tarjeta")),"",IF(IFERROR(INDEX(ctaMon,MATCH(G2976,ctaNom,0))&amp;"","DOP")=N2976,C2976,IF(N2976="USD",C2976*TasaUSD,C2976/TasaUSD)))</f>
        <v/>
      </c>
      <c r="V2976" s="20">
        <f>IF(I2976="","",IF(IFERROR(INDEX(ctaLiq,MATCH(E2976,ctaNom,0))="Sí",FALSE),IF(OR(I2976="Gasto",I2976="Transferencia",I2976="Pago tarjeta"),-1,1)*O2976,0)+IF(AND(U2976&lt;&gt;"",IFERROR(INDEX(ctaLiq,MATCH(G2976,ctaNom,0))="Sí",FALSE)),O2976,0))</f>
        <v/>
      </c>
      <c r="W2976" s="19">
        <f>IF(OR(F2976="",I2976=""),"",IF(COUNTIFS(F$6:F2976,F2976,I$6:I2976,"?*")=1,MAX(W$5:W2975)+1,""))</f>
        <v/>
      </c>
    </row>
    <row r="2977">
      <c r="B2977" s="15" t="n"/>
      <c r="C2977" s="16" t="n"/>
      <c r="D2977" s="17" t="n"/>
      <c r="E2977" s="17" t="n"/>
      <c r="F2977" s="17" t="n"/>
      <c r="G2977" s="17" t="n"/>
      <c r="H2977" s="18">
        <f>IF(AND(B2977="",C2977="",D2977="",E2977=""),"",IF(B2977="","⚠ Falta fecha",IF(C2977="","⚠ Falta monto",IF(D2977="","⚠ Falta categoría",IF(ISNA(MATCH(D2977,catNom,0)),"⚠ Categoría no existe",IF(E2977="","⚠ Falta cuenta",IF(ISNA(MATCH(E2977,ctaNom,0)),"⚠ Cuenta no existe",IF(AND(OR(I2977="Transferencia",I2977="Pago tarjeta"),G2977=""),"⚠ Indica la cuenta «Hacia»",IF(AND(G2977&lt;&gt;"",G2977=E2977),"⚠ «Hacia» igual a la cuenta",IF(AND(G2977&lt;&gt;"",ISNA(MATCH(G2977,ctaNom,0))),"⚠ «Hacia» no existe",IF(AND(I2977="Pago tarjeta",IFERROR(INDEX(ctaTipo,MATCH(G2977,ctaNom,0)),"")&lt;&gt;"Tarjeta de crédito"),"⚠ «Hacia» debe ser la tarjeta",IF(AND(I2977="Trading",IFERROR(INDEX(ctaTipo,MATCH(E2977,ctaNom,0)),"")&lt;&gt;"Cuenta de trading"),"⚠ Usa la cuenta de trading","✓"))))))))))))</f>
        <v/>
      </c>
      <c r="I2977" s="19">
        <f>IF(OR(B2977="",C2977="",D2977=""),"",IFERROR(INDEX(catTipo,MATCH(D2977,catNom,0))&amp;"",""))</f>
        <v/>
      </c>
      <c r="J2977" s="19">
        <f>IF(I2977="","",IFERROR(INDEX(catGrupo,MATCH(D2977,catNom,0))&amp;"",""))</f>
        <v/>
      </c>
      <c r="K2977" s="19">
        <f>IF(I2977="Gasto",IF(IFERROR(INDEX(catClas,MATCH(D2977,catNom,0))&amp;"","")="","Variable",IFERROR(INDEX(catClas,MATCH(D2977,catNom,0))&amp;"","")),"")</f>
        <v/>
      </c>
      <c r="L2977" s="19">
        <f>IF(I2977="","",IFERROR(INDEX(catAlim,MATCH(D2977,catNom,0))&amp;"",""))</f>
        <v/>
      </c>
      <c r="M2977" s="19">
        <f>IF(I2977="","",IFERROR(INDEX(catComida,MATCH(D2977,catNom,0))&amp;"",""))</f>
        <v/>
      </c>
      <c r="N2977" s="19">
        <f>IF(I2977="","",IFERROR(INDEX(ctaMon,MATCH(E2977,ctaNom,0))&amp;"","DOP"))</f>
        <v/>
      </c>
      <c r="O2977" s="20">
        <f>IF(I2977="","",C2977*IF(N2977="USD",TasaUSD,1))</f>
        <v/>
      </c>
      <c r="P2977" s="20">
        <f>IF(I2977="","",IF(I2977="Gasto",O2977,0))</f>
        <v/>
      </c>
      <c r="Q2977" s="20">
        <f>IF(I2977="","",IF(I2977="Ingreso",O2977,0))</f>
        <v/>
      </c>
      <c r="R2977" s="20">
        <f>IF(I2977="","",IF(I2977="Trading",O2977,0))</f>
        <v/>
      </c>
      <c r="S2977" s="19">
        <f>IF(I2977="","",IF(AND(I2977="Gasto",K2977="Variable",J2977&lt;&gt;"Trading",O2977&gt;0,O2977&lt;=Umbral),1,0))</f>
        <v/>
      </c>
      <c r="T2977" s="20">
        <f>IF(OR(I2977="",E2977=""),"",IF(OR(I2977="Gasto",I2977="Transferencia",I2977="Pago tarjeta"),-1,1)*C2977)</f>
        <v/>
      </c>
      <c r="U2977" s="20">
        <f>IF(OR(G2977="",AND(I2977&lt;&gt;"Transferencia",I2977&lt;&gt;"Pago tarjeta")),"",IF(IFERROR(INDEX(ctaMon,MATCH(G2977,ctaNom,0))&amp;"","DOP")=N2977,C2977,IF(N2977="USD",C2977*TasaUSD,C2977/TasaUSD)))</f>
        <v/>
      </c>
      <c r="V2977" s="20">
        <f>IF(I2977="","",IF(IFERROR(INDEX(ctaLiq,MATCH(E2977,ctaNom,0))="Sí",FALSE),IF(OR(I2977="Gasto",I2977="Transferencia",I2977="Pago tarjeta"),-1,1)*O2977,0)+IF(AND(U2977&lt;&gt;"",IFERROR(INDEX(ctaLiq,MATCH(G2977,ctaNom,0))="Sí",FALSE)),O2977,0))</f>
        <v/>
      </c>
      <c r="W2977" s="19">
        <f>IF(OR(F2977="",I2977=""),"",IF(COUNTIFS(F$6:F2977,F2977,I$6:I2977,"?*")=1,MAX(W$5:W2976)+1,""))</f>
        <v/>
      </c>
    </row>
    <row r="2978">
      <c r="B2978" s="15" t="n"/>
      <c r="C2978" s="16" t="n"/>
      <c r="D2978" s="17" t="n"/>
      <c r="E2978" s="17" t="n"/>
      <c r="F2978" s="17" t="n"/>
      <c r="G2978" s="17" t="n"/>
      <c r="H2978" s="18">
        <f>IF(AND(B2978="",C2978="",D2978="",E2978=""),"",IF(B2978="","⚠ Falta fecha",IF(C2978="","⚠ Falta monto",IF(D2978="","⚠ Falta categoría",IF(ISNA(MATCH(D2978,catNom,0)),"⚠ Categoría no existe",IF(E2978="","⚠ Falta cuenta",IF(ISNA(MATCH(E2978,ctaNom,0)),"⚠ Cuenta no existe",IF(AND(OR(I2978="Transferencia",I2978="Pago tarjeta"),G2978=""),"⚠ Indica la cuenta «Hacia»",IF(AND(G2978&lt;&gt;"",G2978=E2978),"⚠ «Hacia» igual a la cuenta",IF(AND(G2978&lt;&gt;"",ISNA(MATCH(G2978,ctaNom,0))),"⚠ «Hacia» no existe",IF(AND(I2978="Pago tarjeta",IFERROR(INDEX(ctaTipo,MATCH(G2978,ctaNom,0)),"")&lt;&gt;"Tarjeta de crédito"),"⚠ «Hacia» debe ser la tarjeta",IF(AND(I2978="Trading",IFERROR(INDEX(ctaTipo,MATCH(E2978,ctaNom,0)),"")&lt;&gt;"Cuenta de trading"),"⚠ Usa la cuenta de trading","✓"))))))))))))</f>
        <v/>
      </c>
      <c r="I2978" s="19">
        <f>IF(OR(B2978="",C2978="",D2978=""),"",IFERROR(INDEX(catTipo,MATCH(D2978,catNom,0))&amp;"",""))</f>
        <v/>
      </c>
      <c r="J2978" s="19">
        <f>IF(I2978="","",IFERROR(INDEX(catGrupo,MATCH(D2978,catNom,0))&amp;"",""))</f>
        <v/>
      </c>
      <c r="K2978" s="19">
        <f>IF(I2978="Gasto",IF(IFERROR(INDEX(catClas,MATCH(D2978,catNom,0))&amp;"","")="","Variable",IFERROR(INDEX(catClas,MATCH(D2978,catNom,0))&amp;"","")),"")</f>
        <v/>
      </c>
      <c r="L2978" s="19">
        <f>IF(I2978="","",IFERROR(INDEX(catAlim,MATCH(D2978,catNom,0))&amp;"",""))</f>
        <v/>
      </c>
      <c r="M2978" s="19">
        <f>IF(I2978="","",IFERROR(INDEX(catComida,MATCH(D2978,catNom,0))&amp;"",""))</f>
        <v/>
      </c>
      <c r="N2978" s="19">
        <f>IF(I2978="","",IFERROR(INDEX(ctaMon,MATCH(E2978,ctaNom,0))&amp;"","DOP"))</f>
        <v/>
      </c>
      <c r="O2978" s="20">
        <f>IF(I2978="","",C2978*IF(N2978="USD",TasaUSD,1))</f>
        <v/>
      </c>
      <c r="P2978" s="20">
        <f>IF(I2978="","",IF(I2978="Gasto",O2978,0))</f>
        <v/>
      </c>
      <c r="Q2978" s="20">
        <f>IF(I2978="","",IF(I2978="Ingreso",O2978,0))</f>
        <v/>
      </c>
      <c r="R2978" s="20">
        <f>IF(I2978="","",IF(I2978="Trading",O2978,0))</f>
        <v/>
      </c>
      <c r="S2978" s="19">
        <f>IF(I2978="","",IF(AND(I2978="Gasto",K2978="Variable",J2978&lt;&gt;"Trading",O2978&gt;0,O2978&lt;=Umbral),1,0))</f>
        <v/>
      </c>
      <c r="T2978" s="20">
        <f>IF(OR(I2978="",E2978=""),"",IF(OR(I2978="Gasto",I2978="Transferencia",I2978="Pago tarjeta"),-1,1)*C2978)</f>
        <v/>
      </c>
      <c r="U2978" s="20">
        <f>IF(OR(G2978="",AND(I2978&lt;&gt;"Transferencia",I2978&lt;&gt;"Pago tarjeta")),"",IF(IFERROR(INDEX(ctaMon,MATCH(G2978,ctaNom,0))&amp;"","DOP")=N2978,C2978,IF(N2978="USD",C2978*TasaUSD,C2978/TasaUSD)))</f>
        <v/>
      </c>
      <c r="V2978" s="20">
        <f>IF(I2978="","",IF(IFERROR(INDEX(ctaLiq,MATCH(E2978,ctaNom,0))="Sí",FALSE),IF(OR(I2978="Gasto",I2978="Transferencia",I2978="Pago tarjeta"),-1,1)*O2978,0)+IF(AND(U2978&lt;&gt;"",IFERROR(INDEX(ctaLiq,MATCH(G2978,ctaNom,0))="Sí",FALSE)),O2978,0))</f>
        <v/>
      </c>
      <c r="W2978" s="19">
        <f>IF(OR(F2978="",I2978=""),"",IF(COUNTIFS(F$6:F2978,F2978,I$6:I2978,"?*")=1,MAX(W$5:W2977)+1,""))</f>
        <v/>
      </c>
    </row>
    <row r="2979">
      <c r="B2979" s="15" t="n"/>
      <c r="C2979" s="16" t="n"/>
      <c r="D2979" s="17" t="n"/>
      <c r="E2979" s="17" t="n"/>
      <c r="F2979" s="17" t="n"/>
      <c r="G2979" s="17" t="n"/>
      <c r="H2979" s="18">
        <f>IF(AND(B2979="",C2979="",D2979="",E2979=""),"",IF(B2979="","⚠ Falta fecha",IF(C2979="","⚠ Falta monto",IF(D2979="","⚠ Falta categoría",IF(ISNA(MATCH(D2979,catNom,0)),"⚠ Categoría no existe",IF(E2979="","⚠ Falta cuenta",IF(ISNA(MATCH(E2979,ctaNom,0)),"⚠ Cuenta no existe",IF(AND(OR(I2979="Transferencia",I2979="Pago tarjeta"),G2979=""),"⚠ Indica la cuenta «Hacia»",IF(AND(G2979&lt;&gt;"",G2979=E2979),"⚠ «Hacia» igual a la cuenta",IF(AND(G2979&lt;&gt;"",ISNA(MATCH(G2979,ctaNom,0))),"⚠ «Hacia» no existe",IF(AND(I2979="Pago tarjeta",IFERROR(INDEX(ctaTipo,MATCH(G2979,ctaNom,0)),"")&lt;&gt;"Tarjeta de crédito"),"⚠ «Hacia» debe ser la tarjeta",IF(AND(I2979="Trading",IFERROR(INDEX(ctaTipo,MATCH(E2979,ctaNom,0)),"")&lt;&gt;"Cuenta de trading"),"⚠ Usa la cuenta de trading","✓"))))))))))))</f>
        <v/>
      </c>
      <c r="I2979" s="19">
        <f>IF(OR(B2979="",C2979="",D2979=""),"",IFERROR(INDEX(catTipo,MATCH(D2979,catNom,0))&amp;"",""))</f>
        <v/>
      </c>
      <c r="J2979" s="19">
        <f>IF(I2979="","",IFERROR(INDEX(catGrupo,MATCH(D2979,catNom,0))&amp;"",""))</f>
        <v/>
      </c>
      <c r="K2979" s="19">
        <f>IF(I2979="Gasto",IF(IFERROR(INDEX(catClas,MATCH(D2979,catNom,0))&amp;"","")="","Variable",IFERROR(INDEX(catClas,MATCH(D2979,catNom,0))&amp;"","")),"")</f>
        <v/>
      </c>
      <c r="L2979" s="19">
        <f>IF(I2979="","",IFERROR(INDEX(catAlim,MATCH(D2979,catNom,0))&amp;"",""))</f>
        <v/>
      </c>
      <c r="M2979" s="19">
        <f>IF(I2979="","",IFERROR(INDEX(catComida,MATCH(D2979,catNom,0))&amp;"",""))</f>
        <v/>
      </c>
      <c r="N2979" s="19">
        <f>IF(I2979="","",IFERROR(INDEX(ctaMon,MATCH(E2979,ctaNom,0))&amp;"","DOP"))</f>
        <v/>
      </c>
      <c r="O2979" s="20">
        <f>IF(I2979="","",C2979*IF(N2979="USD",TasaUSD,1))</f>
        <v/>
      </c>
      <c r="P2979" s="20">
        <f>IF(I2979="","",IF(I2979="Gasto",O2979,0))</f>
        <v/>
      </c>
      <c r="Q2979" s="20">
        <f>IF(I2979="","",IF(I2979="Ingreso",O2979,0))</f>
        <v/>
      </c>
      <c r="R2979" s="20">
        <f>IF(I2979="","",IF(I2979="Trading",O2979,0))</f>
        <v/>
      </c>
      <c r="S2979" s="19">
        <f>IF(I2979="","",IF(AND(I2979="Gasto",K2979="Variable",J2979&lt;&gt;"Trading",O2979&gt;0,O2979&lt;=Umbral),1,0))</f>
        <v/>
      </c>
      <c r="T2979" s="20">
        <f>IF(OR(I2979="",E2979=""),"",IF(OR(I2979="Gasto",I2979="Transferencia",I2979="Pago tarjeta"),-1,1)*C2979)</f>
        <v/>
      </c>
      <c r="U2979" s="20">
        <f>IF(OR(G2979="",AND(I2979&lt;&gt;"Transferencia",I2979&lt;&gt;"Pago tarjeta")),"",IF(IFERROR(INDEX(ctaMon,MATCH(G2979,ctaNom,0))&amp;"","DOP")=N2979,C2979,IF(N2979="USD",C2979*TasaUSD,C2979/TasaUSD)))</f>
        <v/>
      </c>
      <c r="V2979" s="20">
        <f>IF(I2979="","",IF(IFERROR(INDEX(ctaLiq,MATCH(E2979,ctaNom,0))="Sí",FALSE),IF(OR(I2979="Gasto",I2979="Transferencia",I2979="Pago tarjeta"),-1,1)*O2979,0)+IF(AND(U2979&lt;&gt;"",IFERROR(INDEX(ctaLiq,MATCH(G2979,ctaNom,0))="Sí",FALSE)),O2979,0))</f>
        <v/>
      </c>
      <c r="W2979" s="19">
        <f>IF(OR(F2979="",I2979=""),"",IF(COUNTIFS(F$6:F2979,F2979,I$6:I2979,"?*")=1,MAX(W$5:W2978)+1,""))</f>
        <v/>
      </c>
    </row>
    <row r="2980">
      <c r="B2980" s="15" t="n"/>
      <c r="C2980" s="16" t="n"/>
      <c r="D2980" s="17" t="n"/>
      <c r="E2980" s="17" t="n"/>
      <c r="F2980" s="17" t="n"/>
      <c r="G2980" s="17" t="n"/>
      <c r="H2980" s="18">
        <f>IF(AND(B2980="",C2980="",D2980="",E2980=""),"",IF(B2980="","⚠ Falta fecha",IF(C2980="","⚠ Falta monto",IF(D2980="","⚠ Falta categoría",IF(ISNA(MATCH(D2980,catNom,0)),"⚠ Categoría no existe",IF(E2980="","⚠ Falta cuenta",IF(ISNA(MATCH(E2980,ctaNom,0)),"⚠ Cuenta no existe",IF(AND(OR(I2980="Transferencia",I2980="Pago tarjeta"),G2980=""),"⚠ Indica la cuenta «Hacia»",IF(AND(G2980&lt;&gt;"",G2980=E2980),"⚠ «Hacia» igual a la cuenta",IF(AND(G2980&lt;&gt;"",ISNA(MATCH(G2980,ctaNom,0))),"⚠ «Hacia» no existe",IF(AND(I2980="Pago tarjeta",IFERROR(INDEX(ctaTipo,MATCH(G2980,ctaNom,0)),"")&lt;&gt;"Tarjeta de crédito"),"⚠ «Hacia» debe ser la tarjeta",IF(AND(I2980="Trading",IFERROR(INDEX(ctaTipo,MATCH(E2980,ctaNom,0)),"")&lt;&gt;"Cuenta de trading"),"⚠ Usa la cuenta de trading","✓"))))))))))))</f>
        <v/>
      </c>
      <c r="I2980" s="19">
        <f>IF(OR(B2980="",C2980="",D2980=""),"",IFERROR(INDEX(catTipo,MATCH(D2980,catNom,0))&amp;"",""))</f>
        <v/>
      </c>
      <c r="J2980" s="19">
        <f>IF(I2980="","",IFERROR(INDEX(catGrupo,MATCH(D2980,catNom,0))&amp;"",""))</f>
        <v/>
      </c>
      <c r="K2980" s="19">
        <f>IF(I2980="Gasto",IF(IFERROR(INDEX(catClas,MATCH(D2980,catNom,0))&amp;"","")="","Variable",IFERROR(INDEX(catClas,MATCH(D2980,catNom,0))&amp;"","")),"")</f>
        <v/>
      </c>
      <c r="L2980" s="19">
        <f>IF(I2980="","",IFERROR(INDEX(catAlim,MATCH(D2980,catNom,0))&amp;"",""))</f>
        <v/>
      </c>
      <c r="M2980" s="19">
        <f>IF(I2980="","",IFERROR(INDEX(catComida,MATCH(D2980,catNom,0))&amp;"",""))</f>
        <v/>
      </c>
      <c r="N2980" s="19">
        <f>IF(I2980="","",IFERROR(INDEX(ctaMon,MATCH(E2980,ctaNom,0))&amp;"","DOP"))</f>
        <v/>
      </c>
      <c r="O2980" s="20">
        <f>IF(I2980="","",C2980*IF(N2980="USD",TasaUSD,1))</f>
        <v/>
      </c>
      <c r="P2980" s="20">
        <f>IF(I2980="","",IF(I2980="Gasto",O2980,0))</f>
        <v/>
      </c>
      <c r="Q2980" s="20">
        <f>IF(I2980="","",IF(I2980="Ingreso",O2980,0))</f>
        <v/>
      </c>
      <c r="R2980" s="20">
        <f>IF(I2980="","",IF(I2980="Trading",O2980,0))</f>
        <v/>
      </c>
      <c r="S2980" s="19">
        <f>IF(I2980="","",IF(AND(I2980="Gasto",K2980="Variable",J2980&lt;&gt;"Trading",O2980&gt;0,O2980&lt;=Umbral),1,0))</f>
        <v/>
      </c>
      <c r="T2980" s="20">
        <f>IF(OR(I2980="",E2980=""),"",IF(OR(I2980="Gasto",I2980="Transferencia",I2980="Pago tarjeta"),-1,1)*C2980)</f>
        <v/>
      </c>
      <c r="U2980" s="20">
        <f>IF(OR(G2980="",AND(I2980&lt;&gt;"Transferencia",I2980&lt;&gt;"Pago tarjeta")),"",IF(IFERROR(INDEX(ctaMon,MATCH(G2980,ctaNom,0))&amp;"","DOP")=N2980,C2980,IF(N2980="USD",C2980*TasaUSD,C2980/TasaUSD)))</f>
        <v/>
      </c>
      <c r="V2980" s="20">
        <f>IF(I2980="","",IF(IFERROR(INDEX(ctaLiq,MATCH(E2980,ctaNom,0))="Sí",FALSE),IF(OR(I2980="Gasto",I2980="Transferencia",I2980="Pago tarjeta"),-1,1)*O2980,0)+IF(AND(U2980&lt;&gt;"",IFERROR(INDEX(ctaLiq,MATCH(G2980,ctaNom,0))="Sí",FALSE)),O2980,0))</f>
        <v/>
      </c>
      <c r="W2980" s="19">
        <f>IF(OR(F2980="",I2980=""),"",IF(COUNTIFS(F$6:F2980,F2980,I$6:I2980,"?*")=1,MAX(W$5:W2979)+1,""))</f>
        <v/>
      </c>
    </row>
    <row r="2981">
      <c r="B2981" s="15" t="n"/>
      <c r="C2981" s="16" t="n"/>
      <c r="D2981" s="17" t="n"/>
      <c r="E2981" s="17" t="n"/>
      <c r="F2981" s="17" t="n"/>
      <c r="G2981" s="17" t="n"/>
      <c r="H2981" s="18">
        <f>IF(AND(B2981="",C2981="",D2981="",E2981=""),"",IF(B2981="","⚠ Falta fecha",IF(C2981="","⚠ Falta monto",IF(D2981="","⚠ Falta categoría",IF(ISNA(MATCH(D2981,catNom,0)),"⚠ Categoría no existe",IF(E2981="","⚠ Falta cuenta",IF(ISNA(MATCH(E2981,ctaNom,0)),"⚠ Cuenta no existe",IF(AND(OR(I2981="Transferencia",I2981="Pago tarjeta"),G2981=""),"⚠ Indica la cuenta «Hacia»",IF(AND(G2981&lt;&gt;"",G2981=E2981),"⚠ «Hacia» igual a la cuenta",IF(AND(G2981&lt;&gt;"",ISNA(MATCH(G2981,ctaNom,0))),"⚠ «Hacia» no existe",IF(AND(I2981="Pago tarjeta",IFERROR(INDEX(ctaTipo,MATCH(G2981,ctaNom,0)),"")&lt;&gt;"Tarjeta de crédito"),"⚠ «Hacia» debe ser la tarjeta",IF(AND(I2981="Trading",IFERROR(INDEX(ctaTipo,MATCH(E2981,ctaNom,0)),"")&lt;&gt;"Cuenta de trading"),"⚠ Usa la cuenta de trading","✓"))))))))))))</f>
        <v/>
      </c>
      <c r="I2981" s="19">
        <f>IF(OR(B2981="",C2981="",D2981=""),"",IFERROR(INDEX(catTipo,MATCH(D2981,catNom,0))&amp;"",""))</f>
        <v/>
      </c>
      <c r="J2981" s="19">
        <f>IF(I2981="","",IFERROR(INDEX(catGrupo,MATCH(D2981,catNom,0))&amp;"",""))</f>
        <v/>
      </c>
      <c r="K2981" s="19">
        <f>IF(I2981="Gasto",IF(IFERROR(INDEX(catClas,MATCH(D2981,catNom,0))&amp;"","")="","Variable",IFERROR(INDEX(catClas,MATCH(D2981,catNom,0))&amp;"","")),"")</f>
        <v/>
      </c>
      <c r="L2981" s="19">
        <f>IF(I2981="","",IFERROR(INDEX(catAlim,MATCH(D2981,catNom,0))&amp;"",""))</f>
        <v/>
      </c>
      <c r="M2981" s="19">
        <f>IF(I2981="","",IFERROR(INDEX(catComida,MATCH(D2981,catNom,0))&amp;"",""))</f>
        <v/>
      </c>
      <c r="N2981" s="19">
        <f>IF(I2981="","",IFERROR(INDEX(ctaMon,MATCH(E2981,ctaNom,0))&amp;"","DOP"))</f>
        <v/>
      </c>
      <c r="O2981" s="20">
        <f>IF(I2981="","",C2981*IF(N2981="USD",TasaUSD,1))</f>
        <v/>
      </c>
      <c r="P2981" s="20">
        <f>IF(I2981="","",IF(I2981="Gasto",O2981,0))</f>
        <v/>
      </c>
      <c r="Q2981" s="20">
        <f>IF(I2981="","",IF(I2981="Ingreso",O2981,0))</f>
        <v/>
      </c>
      <c r="R2981" s="20">
        <f>IF(I2981="","",IF(I2981="Trading",O2981,0))</f>
        <v/>
      </c>
      <c r="S2981" s="19">
        <f>IF(I2981="","",IF(AND(I2981="Gasto",K2981="Variable",J2981&lt;&gt;"Trading",O2981&gt;0,O2981&lt;=Umbral),1,0))</f>
        <v/>
      </c>
      <c r="T2981" s="20">
        <f>IF(OR(I2981="",E2981=""),"",IF(OR(I2981="Gasto",I2981="Transferencia",I2981="Pago tarjeta"),-1,1)*C2981)</f>
        <v/>
      </c>
      <c r="U2981" s="20">
        <f>IF(OR(G2981="",AND(I2981&lt;&gt;"Transferencia",I2981&lt;&gt;"Pago tarjeta")),"",IF(IFERROR(INDEX(ctaMon,MATCH(G2981,ctaNom,0))&amp;"","DOP")=N2981,C2981,IF(N2981="USD",C2981*TasaUSD,C2981/TasaUSD)))</f>
        <v/>
      </c>
      <c r="V2981" s="20">
        <f>IF(I2981="","",IF(IFERROR(INDEX(ctaLiq,MATCH(E2981,ctaNom,0))="Sí",FALSE),IF(OR(I2981="Gasto",I2981="Transferencia",I2981="Pago tarjeta"),-1,1)*O2981,0)+IF(AND(U2981&lt;&gt;"",IFERROR(INDEX(ctaLiq,MATCH(G2981,ctaNom,0))="Sí",FALSE)),O2981,0))</f>
        <v/>
      </c>
      <c r="W2981" s="19">
        <f>IF(OR(F2981="",I2981=""),"",IF(COUNTIFS(F$6:F2981,F2981,I$6:I2981,"?*")=1,MAX(W$5:W2980)+1,""))</f>
        <v/>
      </c>
    </row>
    <row r="2982">
      <c r="B2982" s="15" t="n"/>
      <c r="C2982" s="16" t="n"/>
      <c r="D2982" s="17" t="n"/>
      <c r="E2982" s="17" t="n"/>
      <c r="F2982" s="17" t="n"/>
      <c r="G2982" s="17" t="n"/>
      <c r="H2982" s="18">
        <f>IF(AND(B2982="",C2982="",D2982="",E2982=""),"",IF(B2982="","⚠ Falta fecha",IF(C2982="","⚠ Falta monto",IF(D2982="","⚠ Falta categoría",IF(ISNA(MATCH(D2982,catNom,0)),"⚠ Categoría no existe",IF(E2982="","⚠ Falta cuenta",IF(ISNA(MATCH(E2982,ctaNom,0)),"⚠ Cuenta no existe",IF(AND(OR(I2982="Transferencia",I2982="Pago tarjeta"),G2982=""),"⚠ Indica la cuenta «Hacia»",IF(AND(G2982&lt;&gt;"",G2982=E2982),"⚠ «Hacia» igual a la cuenta",IF(AND(G2982&lt;&gt;"",ISNA(MATCH(G2982,ctaNom,0))),"⚠ «Hacia» no existe",IF(AND(I2982="Pago tarjeta",IFERROR(INDEX(ctaTipo,MATCH(G2982,ctaNom,0)),"")&lt;&gt;"Tarjeta de crédito"),"⚠ «Hacia» debe ser la tarjeta",IF(AND(I2982="Trading",IFERROR(INDEX(ctaTipo,MATCH(E2982,ctaNom,0)),"")&lt;&gt;"Cuenta de trading"),"⚠ Usa la cuenta de trading","✓"))))))))))))</f>
        <v/>
      </c>
      <c r="I2982" s="19">
        <f>IF(OR(B2982="",C2982="",D2982=""),"",IFERROR(INDEX(catTipo,MATCH(D2982,catNom,0))&amp;"",""))</f>
        <v/>
      </c>
      <c r="J2982" s="19">
        <f>IF(I2982="","",IFERROR(INDEX(catGrupo,MATCH(D2982,catNom,0))&amp;"",""))</f>
        <v/>
      </c>
      <c r="K2982" s="19">
        <f>IF(I2982="Gasto",IF(IFERROR(INDEX(catClas,MATCH(D2982,catNom,0))&amp;"","")="","Variable",IFERROR(INDEX(catClas,MATCH(D2982,catNom,0))&amp;"","")),"")</f>
        <v/>
      </c>
      <c r="L2982" s="19">
        <f>IF(I2982="","",IFERROR(INDEX(catAlim,MATCH(D2982,catNom,0))&amp;"",""))</f>
        <v/>
      </c>
      <c r="M2982" s="19">
        <f>IF(I2982="","",IFERROR(INDEX(catComida,MATCH(D2982,catNom,0))&amp;"",""))</f>
        <v/>
      </c>
      <c r="N2982" s="19">
        <f>IF(I2982="","",IFERROR(INDEX(ctaMon,MATCH(E2982,ctaNom,0))&amp;"","DOP"))</f>
        <v/>
      </c>
      <c r="O2982" s="20">
        <f>IF(I2982="","",C2982*IF(N2982="USD",TasaUSD,1))</f>
        <v/>
      </c>
      <c r="P2982" s="20">
        <f>IF(I2982="","",IF(I2982="Gasto",O2982,0))</f>
        <v/>
      </c>
      <c r="Q2982" s="20">
        <f>IF(I2982="","",IF(I2982="Ingreso",O2982,0))</f>
        <v/>
      </c>
      <c r="R2982" s="20">
        <f>IF(I2982="","",IF(I2982="Trading",O2982,0))</f>
        <v/>
      </c>
      <c r="S2982" s="19">
        <f>IF(I2982="","",IF(AND(I2982="Gasto",K2982="Variable",J2982&lt;&gt;"Trading",O2982&gt;0,O2982&lt;=Umbral),1,0))</f>
        <v/>
      </c>
      <c r="T2982" s="20">
        <f>IF(OR(I2982="",E2982=""),"",IF(OR(I2982="Gasto",I2982="Transferencia",I2982="Pago tarjeta"),-1,1)*C2982)</f>
        <v/>
      </c>
      <c r="U2982" s="20">
        <f>IF(OR(G2982="",AND(I2982&lt;&gt;"Transferencia",I2982&lt;&gt;"Pago tarjeta")),"",IF(IFERROR(INDEX(ctaMon,MATCH(G2982,ctaNom,0))&amp;"","DOP")=N2982,C2982,IF(N2982="USD",C2982*TasaUSD,C2982/TasaUSD)))</f>
        <v/>
      </c>
      <c r="V2982" s="20">
        <f>IF(I2982="","",IF(IFERROR(INDEX(ctaLiq,MATCH(E2982,ctaNom,0))="Sí",FALSE),IF(OR(I2982="Gasto",I2982="Transferencia",I2982="Pago tarjeta"),-1,1)*O2982,0)+IF(AND(U2982&lt;&gt;"",IFERROR(INDEX(ctaLiq,MATCH(G2982,ctaNom,0))="Sí",FALSE)),O2982,0))</f>
        <v/>
      </c>
      <c r="W2982" s="19">
        <f>IF(OR(F2982="",I2982=""),"",IF(COUNTIFS(F$6:F2982,F2982,I$6:I2982,"?*")=1,MAX(W$5:W2981)+1,""))</f>
        <v/>
      </c>
    </row>
    <row r="2983">
      <c r="B2983" s="15" t="n"/>
      <c r="C2983" s="16" t="n"/>
      <c r="D2983" s="17" t="n"/>
      <c r="E2983" s="17" t="n"/>
      <c r="F2983" s="17" t="n"/>
      <c r="G2983" s="17" t="n"/>
      <c r="H2983" s="18">
        <f>IF(AND(B2983="",C2983="",D2983="",E2983=""),"",IF(B2983="","⚠ Falta fecha",IF(C2983="","⚠ Falta monto",IF(D2983="","⚠ Falta categoría",IF(ISNA(MATCH(D2983,catNom,0)),"⚠ Categoría no existe",IF(E2983="","⚠ Falta cuenta",IF(ISNA(MATCH(E2983,ctaNom,0)),"⚠ Cuenta no existe",IF(AND(OR(I2983="Transferencia",I2983="Pago tarjeta"),G2983=""),"⚠ Indica la cuenta «Hacia»",IF(AND(G2983&lt;&gt;"",G2983=E2983),"⚠ «Hacia» igual a la cuenta",IF(AND(G2983&lt;&gt;"",ISNA(MATCH(G2983,ctaNom,0))),"⚠ «Hacia» no existe",IF(AND(I2983="Pago tarjeta",IFERROR(INDEX(ctaTipo,MATCH(G2983,ctaNom,0)),"")&lt;&gt;"Tarjeta de crédito"),"⚠ «Hacia» debe ser la tarjeta",IF(AND(I2983="Trading",IFERROR(INDEX(ctaTipo,MATCH(E2983,ctaNom,0)),"")&lt;&gt;"Cuenta de trading"),"⚠ Usa la cuenta de trading","✓"))))))))))))</f>
        <v/>
      </c>
      <c r="I2983" s="19">
        <f>IF(OR(B2983="",C2983="",D2983=""),"",IFERROR(INDEX(catTipo,MATCH(D2983,catNom,0))&amp;"",""))</f>
        <v/>
      </c>
      <c r="J2983" s="19">
        <f>IF(I2983="","",IFERROR(INDEX(catGrupo,MATCH(D2983,catNom,0))&amp;"",""))</f>
        <v/>
      </c>
      <c r="K2983" s="19">
        <f>IF(I2983="Gasto",IF(IFERROR(INDEX(catClas,MATCH(D2983,catNom,0))&amp;"","")="","Variable",IFERROR(INDEX(catClas,MATCH(D2983,catNom,0))&amp;"","")),"")</f>
        <v/>
      </c>
      <c r="L2983" s="19">
        <f>IF(I2983="","",IFERROR(INDEX(catAlim,MATCH(D2983,catNom,0))&amp;"",""))</f>
        <v/>
      </c>
      <c r="M2983" s="19">
        <f>IF(I2983="","",IFERROR(INDEX(catComida,MATCH(D2983,catNom,0))&amp;"",""))</f>
        <v/>
      </c>
      <c r="N2983" s="19">
        <f>IF(I2983="","",IFERROR(INDEX(ctaMon,MATCH(E2983,ctaNom,0))&amp;"","DOP"))</f>
        <v/>
      </c>
      <c r="O2983" s="20">
        <f>IF(I2983="","",C2983*IF(N2983="USD",TasaUSD,1))</f>
        <v/>
      </c>
      <c r="P2983" s="20">
        <f>IF(I2983="","",IF(I2983="Gasto",O2983,0))</f>
        <v/>
      </c>
      <c r="Q2983" s="20">
        <f>IF(I2983="","",IF(I2983="Ingreso",O2983,0))</f>
        <v/>
      </c>
      <c r="R2983" s="20">
        <f>IF(I2983="","",IF(I2983="Trading",O2983,0))</f>
        <v/>
      </c>
      <c r="S2983" s="19">
        <f>IF(I2983="","",IF(AND(I2983="Gasto",K2983="Variable",J2983&lt;&gt;"Trading",O2983&gt;0,O2983&lt;=Umbral),1,0))</f>
        <v/>
      </c>
      <c r="T2983" s="20">
        <f>IF(OR(I2983="",E2983=""),"",IF(OR(I2983="Gasto",I2983="Transferencia",I2983="Pago tarjeta"),-1,1)*C2983)</f>
        <v/>
      </c>
      <c r="U2983" s="20">
        <f>IF(OR(G2983="",AND(I2983&lt;&gt;"Transferencia",I2983&lt;&gt;"Pago tarjeta")),"",IF(IFERROR(INDEX(ctaMon,MATCH(G2983,ctaNom,0))&amp;"","DOP")=N2983,C2983,IF(N2983="USD",C2983*TasaUSD,C2983/TasaUSD)))</f>
        <v/>
      </c>
      <c r="V2983" s="20">
        <f>IF(I2983="","",IF(IFERROR(INDEX(ctaLiq,MATCH(E2983,ctaNom,0))="Sí",FALSE),IF(OR(I2983="Gasto",I2983="Transferencia",I2983="Pago tarjeta"),-1,1)*O2983,0)+IF(AND(U2983&lt;&gt;"",IFERROR(INDEX(ctaLiq,MATCH(G2983,ctaNom,0))="Sí",FALSE)),O2983,0))</f>
        <v/>
      </c>
      <c r="W2983" s="19">
        <f>IF(OR(F2983="",I2983=""),"",IF(COUNTIFS(F$6:F2983,F2983,I$6:I2983,"?*")=1,MAX(W$5:W2982)+1,""))</f>
        <v/>
      </c>
    </row>
    <row r="2984">
      <c r="B2984" s="15" t="n"/>
      <c r="C2984" s="16" t="n"/>
      <c r="D2984" s="17" t="n"/>
      <c r="E2984" s="17" t="n"/>
      <c r="F2984" s="17" t="n"/>
      <c r="G2984" s="17" t="n"/>
      <c r="H2984" s="18">
        <f>IF(AND(B2984="",C2984="",D2984="",E2984=""),"",IF(B2984="","⚠ Falta fecha",IF(C2984="","⚠ Falta monto",IF(D2984="","⚠ Falta categoría",IF(ISNA(MATCH(D2984,catNom,0)),"⚠ Categoría no existe",IF(E2984="","⚠ Falta cuenta",IF(ISNA(MATCH(E2984,ctaNom,0)),"⚠ Cuenta no existe",IF(AND(OR(I2984="Transferencia",I2984="Pago tarjeta"),G2984=""),"⚠ Indica la cuenta «Hacia»",IF(AND(G2984&lt;&gt;"",G2984=E2984),"⚠ «Hacia» igual a la cuenta",IF(AND(G2984&lt;&gt;"",ISNA(MATCH(G2984,ctaNom,0))),"⚠ «Hacia» no existe",IF(AND(I2984="Pago tarjeta",IFERROR(INDEX(ctaTipo,MATCH(G2984,ctaNom,0)),"")&lt;&gt;"Tarjeta de crédito"),"⚠ «Hacia» debe ser la tarjeta",IF(AND(I2984="Trading",IFERROR(INDEX(ctaTipo,MATCH(E2984,ctaNom,0)),"")&lt;&gt;"Cuenta de trading"),"⚠ Usa la cuenta de trading","✓"))))))))))))</f>
        <v/>
      </c>
      <c r="I2984" s="19">
        <f>IF(OR(B2984="",C2984="",D2984=""),"",IFERROR(INDEX(catTipo,MATCH(D2984,catNom,0))&amp;"",""))</f>
        <v/>
      </c>
      <c r="J2984" s="19">
        <f>IF(I2984="","",IFERROR(INDEX(catGrupo,MATCH(D2984,catNom,0))&amp;"",""))</f>
        <v/>
      </c>
      <c r="K2984" s="19">
        <f>IF(I2984="Gasto",IF(IFERROR(INDEX(catClas,MATCH(D2984,catNom,0))&amp;"","")="","Variable",IFERROR(INDEX(catClas,MATCH(D2984,catNom,0))&amp;"","")),"")</f>
        <v/>
      </c>
      <c r="L2984" s="19">
        <f>IF(I2984="","",IFERROR(INDEX(catAlim,MATCH(D2984,catNom,0))&amp;"",""))</f>
        <v/>
      </c>
      <c r="M2984" s="19">
        <f>IF(I2984="","",IFERROR(INDEX(catComida,MATCH(D2984,catNom,0))&amp;"",""))</f>
        <v/>
      </c>
      <c r="N2984" s="19">
        <f>IF(I2984="","",IFERROR(INDEX(ctaMon,MATCH(E2984,ctaNom,0))&amp;"","DOP"))</f>
        <v/>
      </c>
      <c r="O2984" s="20">
        <f>IF(I2984="","",C2984*IF(N2984="USD",TasaUSD,1))</f>
        <v/>
      </c>
      <c r="P2984" s="20">
        <f>IF(I2984="","",IF(I2984="Gasto",O2984,0))</f>
        <v/>
      </c>
      <c r="Q2984" s="20">
        <f>IF(I2984="","",IF(I2984="Ingreso",O2984,0))</f>
        <v/>
      </c>
      <c r="R2984" s="20">
        <f>IF(I2984="","",IF(I2984="Trading",O2984,0))</f>
        <v/>
      </c>
      <c r="S2984" s="19">
        <f>IF(I2984="","",IF(AND(I2984="Gasto",K2984="Variable",J2984&lt;&gt;"Trading",O2984&gt;0,O2984&lt;=Umbral),1,0))</f>
        <v/>
      </c>
      <c r="T2984" s="20">
        <f>IF(OR(I2984="",E2984=""),"",IF(OR(I2984="Gasto",I2984="Transferencia",I2984="Pago tarjeta"),-1,1)*C2984)</f>
        <v/>
      </c>
      <c r="U2984" s="20">
        <f>IF(OR(G2984="",AND(I2984&lt;&gt;"Transferencia",I2984&lt;&gt;"Pago tarjeta")),"",IF(IFERROR(INDEX(ctaMon,MATCH(G2984,ctaNom,0))&amp;"","DOP")=N2984,C2984,IF(N2984="USD",C2984*TasaUSD,C2984/TasaUSD)))</f>
        <v/>
      </c>
      <c r="V2984" s="20">
        <f>IF(I2984="","",IF(IFERROR(INDEX(ctaLiq,MATCH(E2984,ctaNom,0))="Sí",FALSE),IF(OR(I2984="Gasto",I2984="Transferencia",I2984="Pago tarjeta"),-1,1)*O2984,0)+IF(AND(U2984&lt;&gt;"",IFERROR(INDEX(ctaLiq,MATCH(G2984,ctaNom,0))="Sí",FALSE)),O2984,0))</f>
        <v/>
      </c>
      <c r="W2984" s="19">
        <f>IF(OR(F2984="",I2984=""),"",IF(COUNTIFS(F$6:F2984,F2984,I$6:I2984,"?*")=1,MAX(W$5:W2983)+1,""))</f>
        <v/>
      </c>
    </row>
    <row r="2985">
      <c r="B2985" s="15" t="n"/>
      <c r="C2985" s="16" t="n"/>
      <c r="D2985" s="17" t="n"/>
      <c r="E2985" s="17" t="n"/>
      <c r="F2985" s="17" t="n"/>
      <c r="G2985" s="17" t="n"/>
      <c r="H2985" s="18">
        <f>IF(AND(B2985="",C2985="",D2985="",E2985=""),"",IF(B2985="","⚠ Falta fecha",IF(C2985="","⚠ Falta monto",IF(D2985="","⚠ Falta categoría",IF(ISNA(MATCH(D2985,catNom,0)),"⚠ Categoría no existe",IF(E2985="","⚠ Falta cuenta",IF(ISNA(MATCH(E2985,ctaNom,0)),"⚠ Cuenta no existe",IF(AND(OR(I2985="Transferencia",I2985="Pago tarjeta"),G2985=""),"⚠ Indica la cuenta «Hacia»",IF(AND(G2985&lt;&gt;"",G2985=E2985),"⚠ «Hacia» igual a la cuenta",IF(AND(G2985&lt;&gt;"",ISNA(MATCH(G2985,ctaNom,0))),"⚠ «Hacia» no existe",IF(AND(I2985="Pago tarjeta",IFERROR(INDEX(ctaTipo,MATCH(G2985,ctaNom,0)),"")&lt;&gt;"Tarjeta de crédito"),"⚠ «Hacia» debe ser la tarjeta",IF(AND(I2985="Trading",IFERROR(INDEX(ctaTipo,MATCH(E2985,ctaNom,0)),"")&lt;&gt;"Cuenta de trading"),"⚠ Usa la cuenta de trading","✓"))))))))))))</f>
        <v/>
      </c>
      <c r="I2985" s="19">
        <f>IF(OR(B2985="",C2985="",D2985=""),"",IFERROR(INDEX(catTipo,MATCH(D2985,catNom,0))&amp;"",""))</f>
        <v/>
      </c>
      <c r="J2985" s="19">
        <f>IF(I2985="","",IFERROR(INDEX(catGrupo,MATCH(D2985,catNom,0))&amp;"",""))</f>
        <v/>
      </c>
      <c r="K2985" s="19">
        <f>IF(I2985="Gasto",IF(IFERROR(INDEX(catClas,MATCH(D2985,catNom,0))&amp;"","")="","Variable",IFERROR(INDEX(catClas,MATCH(D2985,catNom,0))&amp;"","")),"")</f>
        <v/>
      </c>
      <c r="L2985" s="19">
        <f>IF(I2985="","",IFERROR(INDEX(catAlim,MATCH(D2985,catNom,0))&amp;"",""))</f>
        <v/>
      </c>
      <c r="M2985" s="19">
        <f>IF(I2985="","",IFERROR(INDEX(catComida,MATCH(D2985,catNom,0))&amp;"",""))</f>
        <v/>
      </c>
      <c r="N2985" s="19">
        <f>IF(I2985="","",IFERROR(INDEX(ctaMon,MATCH(E2985,ctaNom,0))&amp;"","DOP"))</f>
        <v/>
      </c>
      <c r="O2985" s="20">
        <f>IF(I2985="","",C2985*IF(N2985="USD",TasaUSD,1))</f>
        <v/>
      </c>
      <c r="P2985" s="20">
        <f>IF(I2985="","",IF(I2985="Gasto",O2985,0))</f>
        <v/>
      </c>
      <c r="Q2985" s="20">
        <f>IF(I2985="","",IF(I2985="Ingreso",O2985,0))</f>
        <v/>
      </c>
      <c r="R2985" s="20">
        <f>IF(I2985="","",IF(I2985="Trading",O2985,0))</f>
        <v/>
      </c>
      <c r="S2985" s="19">
        <f>IF(I2985="","",IF(AND(I2985="Gasto",K2985="Variable",J2985&lt;&gt;"Trading",O2985&gt;0,O2985&lt;=Umbral),1,0))</f>
        <v/>
      </c>
      <c r="T2985" s="20">
        <f>IF(OR(I2985="",E2985=""),"",IF(OR(I2985="Gasto",I2985="Transferencia",I2985="Pago tarjeta"),-1,1)*C2985)</f>
        <v/>
      </c>
      <c r="U2985" s="20">
        <f>IF(OR(G2985="",AND(I2985&lt;&gt;"Transferencia",I2985&lt;&gt;"Pago tarjeta")),"",IF(IFERROR(INDEX(ctaMon,MATCH(G2985,ctaNom,0))&amp;"","DOP")=N2985,C2985,IF(N2985="USD",C2985*TasaUSD,C2985/TasaUSD)))</f>
        <v/>
      </c>
      <c r="V2985" s="20">
        <f>IF(I2985="","",IF(IFERROR(INDEX(ctaLiq,MATCH(E2985,ctaNom,0))="Sí",FALSE),IF(OR(I2985="Gasto",I2985="Transferencia",I2985="Pago tarjeta"),-1,1)*O2985,0)+IF(AND(U2985&lt;&gt;"",IFERROR(INDEX(ctaLiq,MATCH(G2985,ctaNom,0))="Sí",FALSE)),O2985,0))</f>
        <v/>
      </c>
      <c r="W2985" s="19">
        <f>IF(OR(F2985="",I2985=""),"",IF(COUNTIFS(F$6:F2985,F2985,I$6:I2985,"?*")=1,MAX(W$5:W2984)+1,""))</f>
        <v/>
      </c>
    </row>
    <row r="2986">
      <c r="B2986" s="15" t="n"/>
      <c r="C2986" s="16" t="n"/>
      <c r="D2986" s="17" t="n"/>
      <c r="E2986" s="17" t="n"/>
      <c r="F2986" s="17" t="n"/>
      <c r="G2986" s="17" t="n"/>
      <c r="H2986" s="18">
        <f>IF(AND(B2986="",C2986="",D2986="",E2986=""),"",IF(B2986="","⚠ Falta fecha",IF(C2986="","⚠ Falta monto",IF(D2986="","⚠ Falta categoría",IF(ISNA(MATCH(D2986,catNom,0)),"⚠ Categoría no existe",IF(E2986="","⚠ Falta cuenta",IF(ISNA(MATCH(E2986,ctaNom,0)),"⚠ Cuenta no existe",IF(AND(OR(I2986="Transferencia",I2986="Pago tarjeta"),G2986=""),"⚠ Indica la cuenta «Hacia»",IF(AND(G2986&lt;&gt;"",G2986=E2986),"⚠ «Hacia» igual a la cuenta",IF(AND(G2986&lt;&gt;"",ISNA(MATCH(G2986,ctaNom,0))),"⚠ «Hacia» no existe",IF(AND(I2986="Pago tarjeta",IFERROR(INDEX(ctaTipo,MATCH(G2986,ctaNom,0)),"")&lt;&gt;"Tarjeta de crédito"),"⚠ «Hacia» debe ser la tarjeta",IF(AND(I2986="Trading",IFERROR(INDEX(ctaTipo,MATCH(E2986,ctaNom,0)),"")&lt;&gt;"Cuenta de trading"),"⚠ Usa la cuenta de trading","✓"))))))))))))</f>
        <v/>
      </c>
      <c r="I2986" s="19">
        <f>IF(OR(B2986="",C2986="",D2986=""),"",IFERROR(INDEX(catTipo,MATCH(D2986,catNom,0))&amp;"",""))</f>
        <v/>
      </c>
      <c r="J2986" s="19">
        <f>IF(I2986="","",IFERROR(INDEX(catGrupo,MATCH(D2986,catNom,0))&amp;"",""))</f>
        <v/>
      </c>
      <c r="K2986" s="19">
        <f>IF(I2986="Gasto",IF(IFERROR(INDEX(catClas,MATCH(D2986,catNom,0))&amp;"","")="","Variable",IFERROR(INDEX(catClas,MATCH(D2986,catNom,0))&amp;"","")),"")</f>
        <v/>
      </c>
      <c r="L2986" s="19">
        <f>IF(I2986="","",IFERROR(INDEX(catAlim,MATCH(D2986,catNom,0))&amp;"",""))</f>
        <v/>
      </c>
      <c r="M2986" s="19">
        <f>IF(I2986="","",IFERROR(INDEX(catComida,MATCH(D2986,catNom,0))&amp;"",""))</f>
        <v/>
      </c>
      <c r="N2986" s="19">
        <f>IF(I2986="","",IFERROR(INDEX(ctaMon,MATCH(E2986,ctaNom,0))&amp;"","DOP"))</f>
        <v/>
      </c>
      <c r="O2986" s="20">
        <f>IF(I2986="","",C2986*IF(N2986="USD",TasaUSD,1))</f>
        <v/>
      </c>
      <c r="P2986" s="20">
        <f>IF(I2986="","",IF(I2986="Gasto",O2986,0))</f>
        <v/>
      </c>
      <c r="Q2986" s="20">
        <f>IF(I2986="","",IF(I2986="Ingreso",O2986,0))</f>
        <v/>
      </c>
      <c r="R2986" s="20">
        <f>IF(I2986="","",IF(I2986="Trading",O2986,0))</f>
        <v/>
      </c>
      <c r="S2986" s="19">
        <f>IF(I2986="","",IF(AND(I2986="Gasto",K2986="Variable",J2986&lt;&gt;"Trading",O2986&gt;0,O2986&lt;=Umbral),1,0))</f>
        <v/>
      </c>
      <c r="T2986" s="20">
        <f>IF(OR(I2986="",E2986=""),"",IF(OR(I2986="Gasto",I2986="Transferencia",I2986="Pago tarjeta"),-1,1)*C2986)</f>
        <v/>
      </c>
      <c r="U2986" s="20">
        <f>IF(OR(G2986="",AND(I2986&lt;&gt;"Transferencia",I2986&lt;&gt;"Pago tarjeta")),"",IF(IFERROR(INDEX(ctaMon,MATCH(G2986,ctaNom,0))&amp;"","DOP")=N2986,C2986,IF(N2986="USD",C2986*TasaUSD,C2986/TasaUSD)))</f>
        <v/>
      </c>
      <c r="V2986" s="20">
        <f>IF(I2986="","",IF(IFERROR(INDEX(ctaLiq,MATCH(E2986,ctaNom,0))="Sí",FALSE),IF(OR(I2986="Gasto",I2986="Transferencia",I2986="Pago tarjeta"),-1,1)*O2986,0)+IF(AND(U2986&lt;&gt;"",IFERROR(INDEX(ctaLiq,MATCH(G2986,ctaNom,0))="Sí",FALSE)),O2986,0))</f>
        <v/>
      </c>
      <c r="W2986" s="19">
        <f>IF(OR(F2986="",I2986=""),"",IF(COUNTIFS(F$6:F2986,F2986,I$6:I2986,"?*")=1,MAX(W$5:W2985)+1,""))</f>
        <v/>
      </c>
    </row>
    <row r="2987">
      <c r="B2987" s="15" t="n"/>
      <c r="C2987" s="16" t="n"/>
      <c r="D2987" s="17" t="n"/>
      <c r="E2987" s="17" t="n"/>
      <c r="F2987" s="17" t="n"/>
      <c r="G2987" s="17" t="n"/>
      <c r="H2987" s="18">
        <f>IF(AND(B2987="",C2987="",D2987="",E2987=""),"",IF(B2987="","⚠ Falta fecha",IF(C2987="","⚠ Falta monto",IF(D2987="","⚠ Falta categoría",IF(ISNA(MATCH(D2987,catNom,0)),"⚠ Categoría no existe",IF(E2987="","⚠ Falta cuenta",IF(ISNA(MATCH(E2987,ctaNom,0)),"⚠ Cuenta no existe",IF(AND(OR(I2987="Transferencia",I2987="Pago tarjeta"),G2987=""),"⚠ Indica la cuenta «Hacia»",IF(AND(G2987&lt;&gt;"",G2987=E2987),"⚠ «Hacia» igual a la cuenta",IF(AND(G2987&lt;&gt;"",ISNA(MATCH(G2987,ctaNom,0))),"⚠ «Hacia» no existe",IF(AND(I2987="Pago tarjeta",IFERROR(INDEX(ctaTipo,MATCH(G2987,ctaNom,0)),"")&lt;&gt;"Tarjeta de crédito"),"⚠ «Hacia» debe ser la tarjeta",IF(AND(I2987="Trading",IFERROR(INDEX(ctaTipo,MATCH(E2987,ctaNom,0)),"")&lt;&gt;"Cuenta de trading"),"⚠ Usa la cuenta de trading","✓"))))))))))))</f>
        <v/>
      </c>
      <c r="I2987" s="19">
        <f>IF(OR(B2987="",C2987="",D2987=""),"",IFERROR(INDEX(catTipo,MATCH(D2987,catNom,0))&amp;"",""))</f>
        <v/>
      </c>
      <c r="J2987" s="19">
        <f>IF(I2987="","",IFERROR(INDEX(catGrupo,MATCH(D2987,catNom,0))&amp;"",""))</f>
        <v/>
      </c>
      <c r="K2987" s="19">
        <f>IF(I2987="Gasto",IF(IFERROR(INDEX(catClas,MATCH(D2987,catNom,0))&amp;"","")="","Variable",IFERROR(INDEX(catClas,MATCH(D2987,catNom,0))&amp;"","")),"")</f>
        <v/>
      </c>
      <c r="L2987" s="19">
        <f>IF(I2987="","",IFERROR(INDEX(catAlim,MATCH(D2987,catNom,0))&amp;"",""))</f>
        <v/>
      </c>
      <c r="M2987" s="19">
        <f>IF(I2987="","",IFERROR(INDEX(catComida,MATCH(D2987,catNom,0))&amp;"",""))</f>
        <v/>
      </c>
      <c r="N2987" s="19">
        <f>IF(I2987="","",IFERROR(INDEX(ctaMon,MATCH(E2987,ctaNom,0))&amp;"","DOP"))</f>
        <v/>
      </c>
      <c r="O2987" s="20">
        <f>IF(I2987="","",C2987*IF(N2987="USD",TasaUSD,1))</f>
        <v/>
      </c>
      <c r="P2987" s="20">
        <f>IF(I2987="","",IF(I2987="Gasto",O2987,0))</f>
        <v/>
      </c>
      <c r="Q2987" s="20">
        <f>IF(I2987="","",IF(I2987="Ingreso",O2987,0))</f>
        <v/>
      </c>
      <c r="R2987" s="20">
        <f>IF(I2987="","",IF(I2987="Trading",O2987,0))</f>
        <v/>
      </c>
      <c r="S2987" s="19">
        <f>IF(I2987="","",IF(AND(I2987="Gasto",K2987="Variable",J2987&lt;&gt;"Trading",O2987&gt;0,O2987&lt;=Umbral),1,0))</f>
        <v/>
      </c>
      <c r="T2987" s="20">
        <f>IF(OR(I2987="",E2987=""),"",IF(OR(I2987="Gasto",I2987="Transferencia",I2987="Pago tarjeta"),-1,1)*C2987)</f>
        <v/>
      </c>
      <c r="U2987" s="20">
        <f>IF(OR(G2987="",AND(I2987&lt;&gt;"Transferencia",I2987&lt;&gt;"Pago tarjeta")),"",IF(IFERROR(INDEX(ctaMon,MATCH(G2987,ctaNom,0))&amp;"","DOP")=N2987,C2987,IF(N2987="USD",C2987*TasaUSD,C2987/TasaUSD)))</f>
        <v/>
      </c>
      <c r="V2987" s="20">
        <f>IF(I2987="","",IF(IFERROR(INDEX(ctaLiq,MATCH(E2987,ctaNom,0))="Sí",FALSE),IF(OR(I2987="Gasto",I2987="Transferencia",I2987="Pago tarjeta"),-1,1)*O2987,0)+IF(AND(U2987&lt;&gt;"",IFERROR(INDEX(ctaLiq,MATCH(G2987,ctaNom,0))="Sí",FALSE)),O2987,0))</f>
        <v/>
      </c>
      <c r="W2987" s="19">
        <f>IF(OR(F2987="",I2987=""),"",IF(COUNTIFS(F$6:F2987,F2987,I$6:I2987,"?*")=1,MAX(W$5:W2986)+1,""))</f>
        <v/>
      </c>
    </row>
    <row r="2988">
      <c r="B2988" s="15" t="n"/>
      <c r="C2988" s="16" t="n"/>
      <c r="D2988" s="17" t="n"/>
      <c r="E2988" s="17" t="n"/>
      <c r="F2988" s="17" t="n"/>
      <c r="G2988" s="17" t="n"/>
      <c r="H2988" s="18">
        <f>IF(AND(B2988="",C2988="",D2988="",E2988=""),"",IF(B2988="","⚠ Falta fecha",IF(C2988="","⚠ Falta monto",IF(D2988="","⚠ Falta categoría",IF(ISNA(MATCH(D2988,catNom,0)),"⚠ Categoría no existe",IF(E2988="","⚠ Falta cuenta",IF(ISNA(MATCH(E2988,ctaNom,0)),"⚠ Cuenta no existe",IF(AND(OR(I2988="Transferencia",I2988="Pago tarjeta"),G2988=""),"⚠ Indica la cuenta «Hacia»",IF(AND(G2988&lt;&gt;"",G2988=E2988),"⚠ «Hacia» igual a la cuenta",IF(AND(G2988&lt;&gt;"",ISNA(MATCH(G2988,ctaNom,0))),"⚠ «Hacia» no existe",IF(AND(I2988="Pago tarjeta",IFERROR(INDEX(ctaTipo,MATCH(G2988,ctaNom,0)),"")&lt;&gt;"Tarjeta de crédito"),"⚠ «Hacia» debe ser la tarjeta",IF(AND(I2988="Trading",IFERROR(INDEX(ctaTipo,MATCH(E2988,ctaNom,0)),"")&lt;&gt;"Cuenta de trading"),"⚠ Usa la cuenta de trading","✓"))))))))))))</f>
        <v/>
      </c>
      <c r="I2988" s="19">
        <f>IF(OR(B2988="",C2988="",D2988=""),"",IFERROR(INDEX(catTipo,MATCH(D2988,catNom,0))&amp;"",""))</f>
        <v/>
      </c>
      <c r="J2988" s="19">
        <f>IF(I2988="","",IFERROR(INDEX(catGrupo,MATCH(D2988,catNom,0))&amp;"",""))</f>
        <v/>
      </c>
      <c r="K2988" s="19">
        <f>IF(I2988="Gasto",IF(IFERROR(INDEX(catClas,MATCH(D2988,catNom,0))&amp;"","")="","Variable",IFERROR(INDEX(catClas,MATCH(D2988,catNom,0))&amp;"","")),"")</f>
        <v/>
      </c>
      <c r="L2988" s="19">
        <f>IF(I2988="","",IFERROR(INDEX(catAlim,MATCH(D2988,catNom,0))&amp;"",""))</f>
        <v/>
      </c>
      <c r="M2988" s="19">
        <f>IF(I2988="","",IFERROR(INDEX(catComida,MATCH(D2988,catNom,0))&amp;"",""))</f>
        <v/>
      </c>
      <c r="N2988" s="19">
        <f>IF(I2988="","",IFERROR(INDEX(ctaMon,MATCH(E2988,ctaNom,0))&amp;"","DOP"))</f>
        <v/>
      </c>
      <c r="O2988" s="20">
        <f>IF(I2988="","",C2988*IF(N2988="USD",TasaUSD,1))</f>
        <v/>
      </c>
      <c r="P2988" s="20">
        <f>IF(I2988="","",IF(I2988="Gasto",O2988,0))</f>
        <v/>
      </c>
      <c r="Q2988" s="20">
        <f>IF(I2988="","",IF(I2988="Ingreso",O2988,0))</f>
        <v/>
      </c>
      <c r="R2988" s="20">
        <f>IF(I2988="","",IF(I2988="Trading",O2988,0))</f>
        <v/>
      </c>
      <c r="S2988" s="19">
        <f>IF(I2988="","",IF(AND(I2988="Gasto",K2988="Variable",J2988&lt;&gt;"Trading",O2988&gt;0,O2988&lt;=Umbral),1,0))</f>
        <v/>
      </c>
      <c r="T2988" s="20">
        <f>IF(OR(I2988="",E2988=""),"",IF(OR(I2988="Gasto",I2988="Transferencia",I2988="Pago tarjeta"),-1,1)*C2988)</f>
        <v/>
      </c>
      <c r="U2988" s="20">
        <f>IF(OR(G2988="",AND(I2988&lt;&gt;"Transferencia",I2988&lt;&gt;"Pago tarjeta")),"",IF(IFERROR(INDEX(ctaMon,MATCH(G2988,ctaNom,0))&amp;"","DOP")=N2988,C2988,IF(N2988="USD",C2988*TasaUSD,C2988/TasaUSD)))</f>
        <v/>
      </c>
      <c r="V2988" s="20">
        <f>IF(I2988="","",IF(IFERROR(INDEX(ctaLiq,MATCH(E2988,ctaNom,0))="Sí",FALSE),IF(OR(I2988="Gasto",I2988="Transferencia",I2988="Pago tarjeta"),-1,1)*O2988,0)+IF(AND(U2988&lt;&gt;"",IFERROR(INDEX(ctaLiq,MATCH(G2988,ctaNom,0))="Sí",FALSE)),O2988,0))</f>
        <v/>
      </c>
      <c r="W2988" s="19">
        <f>IF(OR(F2988="",I2988=""),"",IF(COUNTIFS(F$6:F2988,F2988,I$6:I2988,"?*")=1,MAX(W$5:W2987)+1,""))</f>
        <v/>
      </c>
    </row>
    <row r="2989">
      <c r="B2989" s="15" t="n"/>
      <c r="C2989" s="16" t="n"/>
      <c r="D2989" s="17" t="n"/>
      <c r="E2989" s="17" t="n"/>
      <c r="F2989" s="17" t="n"/>
      <c r="G2989" s="17" t="n"/>
      <c r="H2989" s="18">
        <f>IF(AND(B2989="",C2989="",D2989="",E2989=""),"",IF(B2989="","⚠ Falta fecha",IF(C2989="","⚠ Falta monto",IF(D2989="","⚠ Falta categoría",IF(ISNA(MATCH(D2989,catNom,0)),"⚠ Categoría no existe",IF(E2989="","⚠ Falta cuenta",IF(ISNA(MATCH(E2989,ctaNom,0)),"⚠ Cuenta no existe",IF(AND(OR(I2989="Transferencia",I2989="Pago tarjeta"),G2989=""),"⚠ Indica la cuenta «Hacia»",IF(AND(G2989&lt;&gt;"",G2989=E2989),"⚠ «Hacia» igual a la cuenta",IF(AND(G2989&lt;&gt;"",ISNA(MATCH(G2989,ctaNom,0))),"⚠ «Hacia» no existe",IF(AND(I2989="Pago tarjeta",IFERROR(INDEX(ctaTipo,MATCH(G2989,ctaNom,0)),"")&lt;&gt;"Tarjeta de crédito"),"⚠ «Hacia» debe ser la tarjeta",IF(AND(I2989="Trading",IFERROR(INDEX(ctaTipo,MATCH(E2989,ctaNom,0)),"")&lt;&gt;"Cuenta de trading"),"⚠ Usa la cuenta de trading","✓"))))))))))))</f>
        <v/>
      </c>
      <c r="I2989" s="19">
        <f>IF(OR(B2989="",C2989="",D2989=""),"",IFERROR(INDEX(catTipo,MATCH(D2989,catNom,0))&amp;"",""))</f>
        <v/>
      </c>
      <c r="J2989" s="19">
        <f>IF(I2989="","",IFERROR(INDEX(catGrupo,MATCH(D2989,catNom,0))&amp;"",""))</f>
        <v/>
      </c>
      <c r="K2989" s="19">
        <f>IF(I2989="Gasto",IF(IFERROR(INDEX(catClas,MATCH(D2989,catNom,0))&amp;"","")="","Variable",IFERROR(INDEX(catClas,MATCH(D2989,catNom,0))&amp;"","")),"")</f>
        <v/>
      </c>
      <c r="L2989" s="19">
        <f>IF(I2989="","",IFERROR(INDEX(catAlim,MATCH(D2989,catNom,0))&amp;"",""))</f>
        <v/>
      </c>
      <c r="M2989" s="19">
        <f>IF(I2989="","",IFERROR(INDEX(catComida,MATCH(D2989,catNom,0))&amp;"",""))</f>
        <v/>
      </c>
      <c r="N2989" s="19">
        <f>IF(I2989="","",IFERROR(INDEX(ctaMon,MATCH(E2989,ctaNom,0))&amp;"","DOP"))</f>
        <v/>
      </c>
      <c r="O2989" s="20">
        <f>IF(I2989="","",C2989*IF(N2989="USD",TasaUSD,1))</f>
        <v/>
      </c>
      <c r="P2989" s="20">
        <f>IF(I2989="","",IF(I2989="Gasto",O2989,0))</f>
        <v/>
      </c>
      <c r="Q2989" s="20">
        <f>IF(I2989="","",IF(I2989="Ingreso",O2989,0))</f>
        <v/>
      </c>
      <c r="R2989" s="20">
        <f>IF(I2989="","",IF(I2989="Trading",O2989,0))</f>
        <v/>
      </c>
      <c r="S2989" s="19">
        <f>IF(I2989="","",IF(AND(I2989="Gasto",K2989="Variable",J2989&lt;&gt;"Trading",O2989&gt;0,O2989&lt;=Umbral),1,0))</f>
        <v/>
      </c>
      <c r="T2989" s="20">
        <f>IF(OR(I2989="",E2989=""),"",IF(OR(I2989="Gasto",I2989="Transferencia",I2989="Pago tarjeta"),-1,1)*C2989)</f>
        <v/>
      </c>
      <c r="U2989" s="20">
        <f>IF(OR(G2989="",AND(I2989&lt;&gt;"Transferencia",I2989&lt;&gt;"Pago tarjeta")),"",IF(IFERROR(INDEX(ctaMon,MATCH(G2989,ctaNom,0))&amp;"","DOP")=N2989,C2989,IF(N2989="USD",C2989*TasaUSD,C2989/TasaUSD)))</f>
        <v/>
      </c>
      <c r="V2989" s="20">
        <f>IF(I2989="","",IF(IFERROR(INDEX(ctaLiq,MATCH(E2989,ctaNom,0))="Sí",FALSE),IF(OR(I2989="Gasto",I2989="Transferencia",I2989="Pago tarjeta"),-1,1)*O2989,0)+IF(AND(U2989&lt;&gt;"",IFERROR(INDEX(ctaLiq,MATCH(G2989,ctaNom,0))="Sí",FALSE)),O2989,0))</f>
        <v/>
      </c>
      <c r="W2989" s="19">
        <f>IF(OR(F2989="",I2989=""),"",IF(COUNTIFS(F$6:F2989,F2989,I$6:I2989,"?*")=1,MAX(W$5:W2988)+1,""))</f>
        <v/>
      </c>
    </row>
    <row r="2990">
      <c r="B2990" s="15" t="n"/>
      <c r="C2990" s="16" t="n"/>
      <c r="D2990" s="17" t="n"/>
      <c r="E2990" s="17" t="n"/>
      <c r="F2990" s="17" t="n"/>
      <c r="G2990" s="17" t="n"/>
      <c r="H2990" s="18">
        <f>IF(AND(B2990="",C2990="",D2990="",E2990=""),"",IF(B2990="","⚠ Falta fecha",IF(C2990="","⚠ Falta monto",IF(D2990="","⚠ Falta categoría",IF(ISNA(MATCH(D2990,catNom,0)),"⚠ Categoría no existe",IF(E2990="","⚠ Falta cuenta",IF(ISNA(MATCH(E2990,ctaNom,0)),"⚠ Cuenta no existe",IF(AND(OR(I2990="Transferencia",I2990="Pago tarjeta"),G2990=""),"⚠ Indica la cuenta «Hacia»",IF(AND(G2990&lt;&gt;"",G2990=E2990),"⚠ «Hacia» igual a la cuenta",IF(AND(G2990&lt;&gt;"",ISNA(MATCH(G2990,ctaNom,0))),"⚠ «Hacia» no existe",IF(AND(I2990="Pago tarjeta",IFERROR(INDEX(ctaTipo,MATCH(G2990,ctaNom,0)),"")&lt;&gt;"Tarjeta de crédito"),"⚠ «Hacia» debe ser la tarjeta",IF(AND(I2990="Trading",IFERROR(INDEX(ctaTipo,MATCH(E2990,ctaNom,0)),"")&lt;&gt;"Cuenta de trading"),"⚠ Usa la cuenta de trading","✓"))))))))))))</f>
        <v/>
      </c>
      <c r="I2990" s="19">
        <f>IF(OR(B2990="",C2990="",D2990=""),"",IFERROR(INDEX(catTipo,MATCH(D2990,catNom,0))&amp;"",""))</f>
        <v/>
      </c>
      <c r="J2990" s="19">
        <f>IF(I2990="","",IFERROR(INDEX(catGrupo,MATCH(D2990,catNom,0))&amp;"",""))</f>
        <v/>
      </c>
      <c r="K2990" s="19">
        <f>IF(I2990="Gasto",IF(IFERROR(INDEX(catClas,MATCH(D2990,catNom,0))&amp;"","")="","Variable",IFERROR(INDEX(catClas,MATCH(D2990,catNom,0))&amp;"","")),"")</f>
        <v/>
      </c>
      <c r="L2990" s="19">
        <f>IF(I2990="","",IFERROR(INDEX(catAlim,MATCH(D2990,catNom,0))&amp;"",""))</f>
        <v/>
      </c>
      <c r="M2990" s="19">
        <f>IF(I2990="","",IFERROR(INDEX(catComida,MATCH(D2990,catNom,0))&amp;"",""))</f>
        <v/>
      </c>
      <c r="N2990" s="19">
        <f>IF(I2990="","",IFERROR(INDEX(ctaMon,MATCH(E2990,ctaNom,0))&amp;"","DOP"))</f>
        <v/>
      </c>
      <c r="O2990" s="20">
        <f>IF(I2990="","",C2990*IF(N2990="USD",TasaUSD,1))</f>
        <v/>
      </c>
      <c r="P2990" s="20">
        <f>IF(I2990="","",IF(I2990="Gasto",O2990,0))</f>
        <v/>
      </c>
      <c r="Q2990" s="20">
        <f>IF(I2990="","",IF(I2990="Ingreso",O2990,0))</f>
        <v/>
      </c>
      <c r="R2990" s="20">
        <f>IF(I2990="","",IF(I2990="Trading",O2990,0))</f>
        <v/>
      </c>
      <c r="S2990" s="19">
        <f>IF(I2990="","",IF(AND(I2990="Gasto",K2990="Variable",J2990&lt;&gt;"Trading",O2990&gt;0,O2990&lt;=Umbral),1,0))</f>
        <v/>
      </c>
      <c r="T2990" s="20">
        <f>IF(OR(I2990="",E2990=""),"",IF(OR(I2990="Gasto",I2990="Transferencia",I2990="Pago tarjeta"),-1,1)*C2990)</f>
        <v/>
      </c>
      <c r="U2990" s="20">
        <f>IF(OR(G2990="",AND(I2990&lt;&gt;"Transferencia",I2990&lt;&gt;"Pago tarjeta")),"",IF(IFERROR(INDEX(ctaMon,MATCH(G2990,ctaNom,0))&amp;"","DOP")=N2990,C2990,IF(N2990="USD",C2990*TasaUSD,C2990/TasaUSD)))</f>
        <v/>
      </c>
      <c r="V2990" s="20">
        <f>IF(I2990="","",IF(IFERROR(INDEX(ctaLiq,MATCH(E2990,ctaNom,0))="Sí",FALSE),IF(OR(I2990="Gasto",I2990="Transferencia",I2990="Pago tarjeta"),-1,1)*O2990,0)+IF(AND(U2990&lt;&gt;"",IFERROR(INDEX(ctaLiq,MATCH(G2990,ctaNom,0))="Sí",FALSE)),O2990,0))</f>
        <v/>
      </c>
      <c r="W2990" s="19">
        <f>IF(OR(F2990="",I2990=""),"",IF(COUNTIFS(F$6:F2990,F2990,I$6:I2990,"?*")=1,MAX(W$5:W2989)+1,""))</f>
        <v/>
      </c>
    </row>
    <row r="2991">
      <c r="B2991" s="15" t="n"/>
      <c r="C2991" s="16" t="n"/>
      <c r="D2991" s="17" t="n"/>
      <c r="E2991" s="17" t="n"/>
      <c r="F2991" s="17" t="n"/>
      <c r="G2991" s="17" t="n"/>
      <c r="H2991" s="18">
        <f>IF(AND(B2991="",C2991="",D2991="",E2991=""),"",IF(B2991="","⚠ Falta fecha",IF(C2991="","⚠ Falta monto",IF(D2991="","⚠ Falta categoría",IF(ISNA(MATCH(D2991,catNom,0)),"⚠ Categoría no existe",IF(E2991="","⚠ Falta cuenta",IF(ISNA(MATCH(E2991,ctaNom,0)),"⚠ Cuenta no existe",IF(AND(OR(I2991="Transferencia",I2991="Pago tarjeta"),G2991=""),"⚠ Indica la cuenta «Hacia»",IF(AND(G2991&lt;&gt;"",G2991=E2991),"⚠ «Hacia» igual a la cuenta",IF(AND(G2991&lt;&gt;"",ISNA(MATCH(G2991,ctaNom,0))),"⚠ «Hacia» no existe",IF(AND(I2991="Pago tarjeta",IFERROR(INDEX(ctaTipo,MATCH(G2991,ctaNom,0)),"")&lt;&gt;"Tarjeta de crédito"),"⚠ «Hacia» debe ser la tarjeta",IF(AND(I2991="Trading",IFERROR(INDEX(ctaTipo,MATCH(E2991,ctaNom,0)),"")&lt;&gt;"Cuenta de trading"),"⚠ Usa la cuenta de trading","✓"))))))))))))</f>
        <v/>
      </c>
      <c r="I2991" s="19">
        <f>IF(OR(B2991="",C2991="",D2991=""),"",IFERROR(INDEX(catTipo,MATCH(D2991,catNom,0))&amp;"",""))</f>
        <v/>
      </c>
      <c r="J2991" s="19">
        <f>IF(I2991="","",IFERROR(INDEX(catGrupo,MATCH(D2991,catNom,0))&amp;"",""))</f>
        <v/>
      </c>
      <c r="K2991" s="19">
        <f>IF(I2991="Gasto",IF(IFERROR(INDEX(catClas,MATCH(D2991,catNom,0))&amp;"","")="","Variable",IFERROR(INDEX(catClas,MATCH(D2991,catNom,0))&amp;"","")),"")</f>
        <v/>
      </c>
      <c r="L2991" s="19">
        <f>IF(I2991="","",IFERROR(INDEX(catAlim,MATCH(D2991,catNom,0))&amp;"",""))</f>
        <v/>
      </c>
      <c r="M2991" s="19">
        <f>IF(I2991="","",IFERROR(INDEX(catComida,MATCH(D2991,catNom,0))&amp;"",""))</f>
        <v/>
      </c>
      <c r="N2991" s="19">
        <f>IF(I2991="","",IFERROR(INDEX(ctaMon,MATCH(E2991,ctaNom,0))&amp;"","DOP"))</f>
        <v/>
      </c>
      <c r="O2991" s="20">
        <f>IF(I2991="","",C2991*IF(N2991="USD",TasaUSD,1))</f>
        <v/>
      </c>
      <c r="P2991" s="20">
        <f>IF(I2991="","",IF(I2991="Gasto",O2991,0))</f>
        <v/>
      </c>
      <c r="Q2991" s="20">
        <f>IF(I2991="","",IF(I2991="Ingreso",O2991,0))</f>
        <v/>
      </c>
      <c r="R2991" s="20">
        <f>IF(I2991="","",IF(I2991="Trading",O2991,0))</f>
        <v/>
      </c>
      <c r="S2991" s="19">
        <f>IF(I2991="","",IF(AND(I2991="Gasto",K2991="Variable",J2991&lt;&gt;"Trading",O2991&gt;0,O2991&lt;=Umbral),1,0))</f>
        <v/>
      </c>
      <c r="T2991" s="20">
        <f>IF(OR(I2991="",E2991=""),"",IF(OR(I2991="Gasto",I2991="Transferencia",I2991="Pago tarjeta"),-1,1)*C2991)</f>
        <v/>
      </c>
      <c r="U2991" s="20">
        <f>IF(OR(G2991="",AND(I2991&lt;&gt;"Transferencia",I2991&lt;&gt;"Pago tarjeta")),"",IF(IFERROR(INDEX(ctaMon,MATCH(G2991,ctaNom,0))&amp;"","DOP")=N2991,C2991,IF(N2991="USD",C2991*TasaUSD,C2991/TasaUSD)))</f>
        <v/>
      </c>
      <c r="V2991" s="20">
        <f>IF(I2991="","",IF(IFERROR(INDEX(ctaLiq,MATCH(E2991,ctaNom,0))="Sí",FALSE),IF(OR(I2991="Gasto",I2991="Transferencia",I2991="Pago tarjeta"),-1,1)*O2991,0)+IF(AND(U2991&lt;&gt;"",IFERROR(INDEX(ctaLiq,MATCH(G2991,ctaNom,0))="Sí",FALSE)),O2991,0))</f>
        <v/>
      </c>
      <c r="W2991" s="19">
        <f>IF(OR(F2991="",I2991=""),"",IF(COUNTIFS(F$6:F2991,F2991,I$6:I2991,"?*")=1,MAX(W$5:W2990)+1,""))</f>
        <v/>
      </c>
    </row>
    <row r="2992">
      <c r="B2992" s="15" t="n"/>
      <c r="C2992" s="16" t="n"/>
      <c r="D2992" s="17" t="n"/>
      <c r="E2992" s="17" t="n"/>
      <c r="F2992" s="17" t="n"/>
      <c r="G2992" s="17" t="n"/>
      <c r="H2992" s="18">
        <f>IF(AND(B2992="",C2992="",D2992="",E2992=""),"",IF(B2992="","⚠ Falta fecha",IF(C2992="","⚠ Falta monto",IF(D2992="","⚠ Falta categoría",IF(ISNA(MATCH(D2992,catNom,0)),"⚠ Categoría no existe",IF(E2992="","⚠ Falta cuenta",IF(ISNA(MATCH(E2992,ctaNom,0)),"⚠ Cuenta no existe",IF(AND(OR(I2992="Transferencia",I2992="Pago tarjeta"),G2992=""),"⚠ Indica la cuenta «Hacia»",IF(AND(G2992&lt;&gt;"",G2992=E2992),"⚠ «Hacia» igual a la cuenta",IF(AND(G2992&lt;&gt;"",ISNA(MATCH(G2992,ctaNom,0))),"⚠ «Hacia» no existe",IF(AND(I2992="Pago tarjeta",IFERROR(INDEX(ctaTipo,MATCH(G2992,ctaNom,0)),"")&lt;&gt;"Tarjeta de crédito"),"⚠ «Hacia» debe ser la tarjeta",IF(AND(I2992="Trading",IFERROR(INDEX(ctaTipo,MATCH(E2992,ctaNom,0)),"")&lt;&gt;"Cuenta de trading"),"⚠ Usa la cuenta de trading","✓"))))))))))))</f>
        <v/>
      </c>
      <c r="I2992" s="19">
        <f>IF(OR(B2992="",C2992="",D2992=""),"",IFERROR(INDEX(catTipo,MATCH(D2992,catNom,0))&amp;"",""))</f>
        <v/>
      </c>
      <c r="J2992" s="19">
        <f>IF(I2992="","",IFERROR(INDEX(catGrupo,MATCH(D2992,catNom,0))&amp;"",""))</f>
        <v/>
      </c>
      <c r="K2992" s="19">
        <f>IF(I2992="Gasto",IF(IFERROR(INDEX(catClas,MATCH(D2992,catNom,0))&amp;"","")="","Variable",IFERROR(INDEX(catClas,MATCH(D2992,catNom,0))&amp;"","")),"")</f>
        <v/>
      </c>
      <c r="L2992" s="19">
        <f>IF(I2992="","",IFERROR(INDEX(catAlim,MATCH(D2992,catNom,0))&amp;"",""))</f>
        <v/>
      </c>
      <c r="M2992" s="19">
        <f>IF(I2992="","",IFERROR(INDEX(catComida,MATCH(D2992,catNom,0))&amp;"",""))</f>
        <v/>
      </c>
      <c r="N2992" s="19">
        <f>IF(I2992="","",IFERROR(INDEX(ctaMon,MATCH(E2992,ctaNom,0))&amp;"","DOP"))</f>
        <v/>
      </c>
      <c r="O2992" s="20">
        <f>IF(I2992="","",C2992*IF(N2992="USD",TasaUSD,1))</f>
        <v/>
      </c>
      <c r="P2992" s="20">
        <f>IF(I2992="","",IF(I2992="Gasto",O2992,0))</f>
        <v/>
      </c>
      <c r="Q2992" s="20">
        <f>IF(I2992="","",IF(I2992="Ingreso",O2992,0))</f>
        <v/>
      </c>
      <c r="R2992" s="20">
        <f>IF(I2992="","",IF(I2992="Trading",O2992,0))</f>
        <v/>
      </c>
      <c r="S2992" s="19">
        <f>IF(I2992="","",IF(AND(I2992="Gasto",K2992="Variable",J2992&lt;&gt;"Trading",O2992&gt;0,O2992&lt;=Umbral),1,0))</f>
        <v/>
      </c>
      <c r="T2992" s="20">
        <f>IF(OR(I2992="",E2992=""),"",IF(OR(I2992="Gasto",I2992="Transferencia",I2992="Pago tarjeta"),-1,1)*C2992)</f>
        <v/>
      </c>
      <c r="U2992" s="20">
        <f>IF(OR(G2992="",AND(I2992&lt;&gt;"Transferencia",I2992&lt;&gt;"Pago tarjeta")),"",IF(IFERROR(INDEX(ctaMon,MATCH(G2992,ctaNom,0))&amp;"","DOP")=N2992,C2992,IF(N2992="USD",C2992*TasaUSD,C2992/TasaUSD)))</f>
        <v/>
      </c>
      <c r="V2992" s="20">
        <f>IF(I2992="","",IF(IFERROR(INDEX(ctaLiq,MATCH(E2992,ctaNom,0))="Sí",FALSE),IF(OR(I2992="Gasto",I2992="Transferencia",I2992="Pago tarjeta"),-1,1)*O2992,0)+IF(AND(U2992&lt;&gt;"",IFERROR(INDEX(ctaLiq,MATCH(G2992,ctaNom,0))="Sí",FALSE)),O2992,0))</f>
        <v/>
      </c>
      <c r="W2992" s="19">
        <f>IF(OR(F2992="",I2992=""),"",IF(COUNTIFS(F$6:F2992,F2992,I$6:I2992,"?*")=1,MAX(W$5:W2991)+1,""))</f>
        <v/>
      </c>
    </row>
    <row r="2993">
      <c r="B2993" s="15" t="n"/>
      <c r="C2993" s="16" t="n"/>
      <c r="D2993" s="17" t="n"/>
      <c r="E2993" s="17" t="n"/>
      <c r="F2993" s="17" t="n"/>
      <c r="G2993" s="17" t="n"/>
      <c r="H2993" s="18">
        <f>IF(AND(B2993="",C2993="",D2993="",E2993=""),"",IF(B2993="","⚠ Falta fecha",IF(C2993="","⚠ Falta monto",IF(D2993="","⚠ Falta categoría",IF(ISNA(MATCH(D2993,catNom,0)),"⚠ Categoría no existe",IF(E2993="","⚠ Falta cuenta",IF(ISNA(MATCH(E2993,ctaNom,0)),"⚠ Cuenta no existe",IF(AND(OR(I2993="Transferencia",I2993="Pago tarjeta"),G2993=""),"⚠ Indica la cuenta «Hacia»",IF(AND(G2993&lt;&gt;"",G2993=E2993),"⚠ «Hacia» igual a la cuenta",IF(AND(G2993&lt;&gt;"",ISNA(MATCH(G2993,ctaNom,0))),"⚠ «Hacia» no existe",IF(AND(I2993="Pago tarjeta",IFERROR(INDEX(ctaTipo,MATCH(G2993,ctaNom,0)),"")&lt;&gt;"Tarjeta de crédito"),"⚠ «Hacia» debe ser la tarjeta",IF(AND(I2993="Trading",IFERROR(INDEX(ctaTipo,MATCH(E2993,ctaNom,0)),"")&lt;&gt;"Cuenta de trading"),"⚠ Usa la cuenta de trading","✓"))))))))))))</f>
        <v/>
      </c>
      <c r="I2993" s="19">
        <f>IF(OR(B2993="",C2993="",D2993=""),"",IFERROR(INDEX(catTipo,MATCH(D2993,catNom,0))&amp;"",""))</f>
        <v/>
      </c>
      <c r="J2993" s="19">
        <f>IF(I2993="","",IFERROR(INDEX(catGrupo,MATCH(D2993,catNom,0))&amp;"",""))</f>
        <v/>
      </c>
      <c r="K2993" s="19">
        <f>IF(I2993="Gasto",IF(IFERROR(INDEX(catClas,MATCH(D2993,catNom,0))&amp;"","")="","Variable",IFERROR(INDEX(catClas,MATCH(D2993,catNom,0))&amp;"","")),"")</f>
        <v/>
      </c>
      <c r="L2993" s="19">
        <f>IF(I2993="","",IFERROR(INDEX(catAlim,MATCH(D2993,catNom,0))&amp;"",""))</f>
        <v/>
      </c>
      <c r="M2993" s="19">
        <f>IF(I2993="","",IFERROR(INDEX(catComida,MATCH(D2993,catNom,0))&amp;"",""))</f>
        <v/>
      </c>
      <c r="N2993" s="19">
        <f>IF(I2993="","",IFERROR(INDEX(ctaMon,MATCH(E2993,ctaNom,0))&amp;"","DOP"))</f>
        <v/>
      </c>
      <c r="O2993" s="20">
        <f>IF(I2993="","",C2993*IF(N2993="USD",TasaUSD,1))</f>
        <v/>
      </c>
      <c r="P2993" s="20">
        <f>IF(I2993="","",IF(I2993="Gasto",O2993,0))</f>
        <v/>
      </c>
      <c r="Q2993" s="20">
        <f>IF(I2993="","",IF(I2993="Ingreso",O2993,0))</f>
        <v/>
      </c>
      <c r="R2993" s="20">
        <f>IF(I2993="","",IF(I2993="Trading",O2993,0))</f>
        <v/>
      </c>
      <c r="S2993" s="19">
        <f>IF(I2993="","",IF(AND(I2993="Gasto",K2993="Variable",J2993&lt;&gt;"Trading",O2993&gt;0,O2993&lt;=Umbral),1,0))</f>
        <v/>
      </c>
      <c r="T2993" s="20">
        <f>IF(OR(I2993="",E2993=""),"",IF(OR(I2993="Gasto",I2993="Transferencia",I2993="Pago tarjeta"),-1,1)*C2993)</f>
        <v/>
      </c>
      <c r="U2993" s="20">
        <f>IF(OR(G2993="",AND(I2993&lt;&gt;"Transferencia",I2993&lt;&gt;"Pago tarjeta")),"",IF(IFERROR(INDEX(ctaMon,MATCH(G2993,ctaNom,0))&amp;"","DOP")=N2993,C2993,IF(N2993="USD",C2993*TasaUSD,C2993/TasaUSD)))</f>
        <v/>
      </c>
      <c r="V2993" s="20">
        <f>IF(I2993="","",IF(IFERROR(INDEX(ctaLiq,MATCH(E2993,ctaNom,0))="Sí",FALSE),IF(OR(I2993="Gasto",I2993="Transferencia",I2993="Pago tarjeta"),-1,1)*O2993,0)+IF(AND(U2993&lt;&gt;"",IFERROR(INDEX(ctaLiq,MATCH(G2993,ctaNom,0))="Sí",FALSE)),O2993,0))</f>
        <v/>
      </c>
      <c r="W2993" s="19">
        <f>IF(OR(F2993="",I2993=""),"",IF(COUNTIFS(F$6:F2993,F2993,I$6:I2993,"?*")=1,MAX(W$5:W2992)+1,""))</f>
        <v/>
      </c>
    </row>
    <row r="2994">
      <c r="B2994" s="15" t="n"/>
      <c r="C2994" s="16" t="n"/>
      <c r="D2994" s="17" t="n"/>
      <c r="E2994" s="17" t="n"/>
      <c r="F2994" s="17" t="n"/>
      <c r="G2994" s="17" t="n"/>
      <c r="H2994" s="18">
        <f>IF(AND(B2994="",C2994="",D2994="",E2994=""),"",IF(B2994="","⚠ Falta fecha",IF(C2994="","⚠ Falta monto",IF(D2994="","⚠ Falta categoría",IF(ISNA(MATCH(D2994,catNom,0)),"⚠ Categoría no existe",IF(E2994="","⚠ Falta cuenta",IF(ISNA(MATCH(E2994,ctaNom,0)),"⚠ Cuenta no existe",IF(AND(OR(I2994="Transferencia",I2994="Pago tarjeta"),G2994=""),"⚠ Indica la cuenta «Hacia»",IF(AND(G2994&lt;&gt;"",G2994=E2994),"⚠ «Hacia» igual a la cuenta",IF(AND(G2994&lt;&gt;"",ISNA(MATCH(G2994,ctaNom,0))),"⚠ «Hacia» no existe",IF(AND(I2994="Pago tarjeta",IFERROR(INDEX(ctaTipo,MATCH(G2994,ctaNom,0)),"")&lt;&gt;"Tarjeta de crédito"),"⚠ «Hacia» debe ser la tarjeta",IF(AND(I2994="Trading",IFERROR(INDEX(ctaTipo,MATCH(E2994,ctaNom,0)),"")&lt;&gt;"Cuenta de trading"),"⚠ Usa la cuenta de trading","✓"))))))))))))</f>
        <v/>
      </c>
      <c r="I2994" s="19">
        <f>IF(OR(B2994="",C2994="",D2994=""),"",IFERROR(INDEX(catTipo,MATCH(D2994,catNom,0))&amp;"",""))</f>
        <v/>
      </c>
      <c r="J2994" s="19">
        <f>IF(I2994="","",IFERROR(INDEX(catGrupo,MATCH(D2994,catNom,0))&amp;"",""))</f>
        <v/>
      </c>
      <c r="K2994" s="19">
        <f>IF(I2994="Gasto",IF(IFERROR(INDEX(catClas,MATCH(D2994,catNom,0))&amp;"","")="","Variable",IFERROR(INDEX(catClas,MATCH(D2994,catNom,0))&amp;"","")),"")</f>
        <v/>
      </c>
      <c r="L2994" s="19">
        <f>IF(I2994="","",IFERROR(INDEX(catAlim,MATCH(D2994,catNom,0))&amp;"",""))</f>
        <v/>
      </c>
      <c r="M2994" s="19">
        <f>IF(I2994="","",IFERROR(INDEX(catComida,MATCH(D2994,catNom,0))&amp;"",""))</f>
        <v/>
      </c>
      <c r="N2994" s="19">
        <f>IF(I2994="","",IFERROR(INDEX(ctaMon,MATCH(E2994,ctaNom,0))&amp;"","DOP"))</f>
        <v/>
      </c>
      <c r="O2994" s="20">
        <f>IF(I2994="","",C2994*IF(N2994="USD",TasaUSD,1))</f>
        <v/>
      </c>
      <c r="P2994" s="20">
        <f>IF(I2994="","",IF(I2994="Gasto",O2994,0))</f>
        <v/>
      </c>
      <c r="Q2994" s="20">
        <f>IF(I2994="","",IF(I2994="Ingreso",O2994,0))</f>
        <v/>
      </c>
      <c r="R2994" s="20">
        <f>IF(I2994="","",IF(I2994="Trading",O2994,0))</f>
        <v/>
      </c>
      <c r="S2994" s="19">
        <f>IF(I2994="","",IF(AND(I2994="Gasto",K2994="Variable",J2994&lt;&gt;"Trading",O2994&gt;0,O2994&lt;=Umbral),1,0))</f>
        <v/>
      </c>
      <c r="T2994" s="20">
        <f>IF(OR(I2994="",E2994=""),"",IF(OR(I2994="Gasto",I2994="Transferencia",I2994="Pago tarjeta"),-1,1)*C2994)</f>
        <v/>
      </c>
      <c r="U2994" s="20">
        <f>IF(OR(G2994="",AND(I2994&lt;&gt;"Transferencia",I2994&lt;&gt;"Pago tarjeta")),"",IF(IFERROR(INDEX(ctaMon,MATCH(G2994,ctaNom,0))&amp;"","DOP")=N2994,C2994,IF(N2994="USD",C2994*TasaUSD,C2994/TasaUSD)))</f>
        <v/>
      </c>
      <c r="V2994" s="20">
        <f>IF(I2994="","",IF(IFERROR(INDEX(ctaLiq,MATCH(E2994,ctaNom,0))="Sí",FALSE),IF(OR(I2994="Gasto",I2994="Transferencia",I2994="Pago tarjeta"),-1,1)*O2994,0)+IF(AND(U2994&lt;&gt;"",IFERROR(INDEX(ctaLiq,MATCH(G2994,ctaNom,0))="Sí",FALSE)),O2994,0))</f>
        <v/>
      </c>
      <c r="W2994" s="19">
        <f>IF(OR(F2994="",I2994=""),"",IF(COUNTIFS(F$6:F2994,F2994,I$6:I2994,"?*")=1,MAX(W$5:W2993)+1,""))</f>
        <v/>
      </c>
    </row>
    <row r="2995">
      <c r="B2995" s="15" t="n"/>
      <c r="C2995" s="16" t="n"/>
      <c r="D2995" s="17" t="n"/>
      <c r="E2995" s="17" t="n"/>
      <c r="F2995" s="17" t="n"/>
      <c r="G2995" s="17" t="n"/>
      <c r="H2995" s="18">
        <f>IF(AND(B2995="",C2995="",D2995="",E2995=""),"",IF(B2995="","⚠ Falta fecha",IF(C2995="","⚠ Falta monto",IF(D2995="","⚠ Falta categoría",IF(ISNA(MATCH(D2995,catNom,0)),"⚠ Categoría no existe",IF(E2995="","⚠ Falta cuenta",IF(ISNA(MATCH(E2995,ctaNom,0)),"⚠ Cuenta no existe",IF(AND(OR(I2995="Transferencia",I2995="Pago tarjeta"),G2995=""),"⚠ Indica la cuenta «Hacia»",IF(AND(G2995&lt;&gt;"",G2995=E2995),"⚠ «Hacia» igual a la cuenta",IF(AND(G2995&lt;&gt;"",ISNA(MATCH(G2995,ctaNom,0))),"⚠ «Hacia» no existe",IF(AND(I2995="Pago tarjeta",IFERROR(INDEX(ctaTipo,MATCH(G2995,ctaNom,0)),"")&lt;&gt;"Tarjeta de crédito"),"⚠ «Hacia» debe ser la tarjeta",IF(AND(I2995="Trading",IFERROR(INDEX(ctaTipo,MATCH(E2995,ctaNom,0)),"")&lt;&gt;"Cuenta de trading"),"⚠ Usa la cuenta de trading","✓"))))))))))))</f>
        <v/>
      </c>
      <c r="I2995" s="19">
        <f>IF(OR(B2995="",C2995="",D2995=""),"",IFERROR(INDEX(catTipo,MATCH(D2995,catNom,0))&amp;"",""))</f>
        <v/>
      </c>
      <c r="J2995" s="19">
        <f>IF(I2995="","",IFERROR(INDEX(catGrupo,MATCH(D2995,catNom,0))&amp;"",""))</f>
        <v/>
      </c>
      <c r="K2995" s="19">
        <f>IF(I2995="Gasto",IF(IFERROR(INDEX(catClas,MATCH(D2995,catNom,0))&amp;"","")="","Variable",IFERROR(INDEX(catClas,MATCH(D2995,catNom,0))&amp;"","")),"")</f>
        <v/>
      </c>
      <c r="L2995" s="19">
        <f>IF(I2995="","",IFERROR(INDEX(catAlim,MATCH(D2995,catNom,0))&amp;"",""))</f>
        <v/>
      </c>
      <c r="M2995" s="19">
        <f>IF(I2995="","",IFERROR(INDEX(catComida,MATCH(D2995,catNom,0))&amp;"",""))</f>
        <v/>
      </c>
      <c r="N2995" s="19">
        <f>IF(I2995="","",IFERROR(INDEX(ctaMon,MATCH(E2995,ctaNom,0))&amp;"","DOP"))</f>
        <v/>
      </c>
      <c r="O2995" s="20">
        <f>IF(I2995="","",C2995*IF(N2995="USD",TasaUSD,1))</f>
        <v/>
      </c>
      <c r="P2995" s="20">
        <f>IF(I2995="","",IF(I2995="Gasto",O2995,0))</f>
        <v/>
      </c>
      <c r="Q2995" s="20">
        <f>IF(I2995="","",IF(I2995="Ingreso",O2995,0))</f>
        <v/>
      </c>
      <c r="R2995" s="20">
        <f>IF(I2995="","",IF(I2995="Trading",O2995,0))</f>
        <v/>
      </c>
      <c r="S2995" s="19">
        <f>IF(I2995="","",IF(AND(I2995="Gasto",K2995="Variable",J2995&lt;&gt;"Trading",O2995&gt;0,O2995&lt;=Umbral),1,0))</f>
        <v/>
      </c>
      <c r="T2995" s="20">
        <f>IF(OR(I2995="",E2995=""),"",IF(OR(I2995="Gasto",I2995="Transferencia",I2995="Pago tarjeta"),-1,1)*C2995)</f>
        <v/>
      </c>
      <c r="U2995" s="20">
        <f>IF(OR(G2995="",AND(I2995&lt;&gt;"Transferencia",I2995&lt;&gt;"Pago tarjeta")),"",IF(IFERROR(INDEX(ctaMon,MATCH(G2995,ctaNom,0))&amp;"","DOP")=N2995,C2995,IF(N2995="USD",C2995*TasaUSD,C2995/TasaUSD)))</f>
        <v/>
      </c>
      <c r="V2995" s="20">
        <f>IF(I2995="","",IF(IFERROR(INDEX(ctaLiq,MATCH(E2995,ctaNom,0))="Sí",FALSE),IF(OR(I2995="Gasto",I2995="Transferencia",I2995="Pago tarjeta"),-1,1)*O2995,0)+IF(AND(U2995&lt;&gt;"",IFERROR(INDEX(ctaLiq,MATCH(G2995,ctaNom,0))="Sí",FALSE)),O2995,0))</f>
        <v/>
      </c>
      <c r="W2995" s="19">
        <f>IF(OR(F2995="",I2995=""),"",IF(COUNTIFS(F$6:F2995,F2995,I$6:I2995,"?*")=1,MAX(W$5:W2994)+1,""))</f>
        <v/>
      </c>
    </row>
    <row r="2996">
      <c r="B2996" s="15" t="n"/>
      <c r="C2996" s="16" t="n"/>
      <c r="D2996" s="17" t="n"/>
      <c r="E2996" s="17" t="n"/>
      <c r="F2996" s="17" t="n"/>
      <c r="G2996" s="17" t="n"/>
      <c r="H2996" s="18">
        <f>IF(AND(B2996="",C2996="",D2996="",E2996=""),"",IF(B2996="","⚠ Falta fecha",IF(C2996="","⚠ Falta monto",IF(D2996="","⚠ Falta categoría",IF(ISNA(MATCH(D2996,catNom,0)),"⚠ Categoría no existe",IF(E2996="","⚠ Falta cuenta",IF(ISNA(MATCH(E2996,ctaNom,0)),"⚠ Cuenta no existe",IF(AND(OR(I2996="Transferencia",I2996="Pago tarjeta"),G2996=""),"⚠ Indica la cuenta «Hacia»",IF(AND(G2996&lt;&gt;"",G2996=E2996),"⚠ «Hacia» igual a la cuenta",IF(AND(G2996&lt;&gt;"",ISNA(MATCH(G2996,ctaNom,0))),"⚠ «Hacia» no existe",IF(AND(I2996="Pago tarjeta",IFERROR(INDEX(ctaTipo,MATCH(G2996,ctaNom,0)),"")&lt;&gt;"Tarjeta de crédito"),"⚠ «Hacia» debe ser la tarjeta",IF(AND(I2996="Trading",IFERROR(INDEX(ctaTipo,MATCH(E2996,ctaNom,0)),"")&lt;&gt;"Cuenta de trading"),"⚠ Usa la cuenta de trading","✓"))))))))))))</f>
        <v/>
      </c>
      <c r="I2996" s="19">
        <f>IF(OR(B2996="",C2996="",D2996=""),"",IFERROR(INDEX(catTipo,MATCH(D2996,catNom,0))&amp;"",""))</f>
        <v/>
      </c>
      <c r="J2996" s="19">
        <f>IF(I2996="","",IFERROR(INDEX(catGrupo,MATCH(D2996,catNom,0))&amp;"",""))</f>
        <v/>
      </c>
      <c r="K2996" s="19">
        <f>IF(I2996="Gasto",IF(IFERROR(INDEX(catClas,MATCH(D2996,catNom,0))&amp;"","")="","Variable",IFERROR(INDEX(catClas,MATCH(D2996,catNom,0))&amp;"","")),"")</f>
        <v/>
      </c>
      <c r="L2996" s="19">
        <f>IF(I2996="","",IFERROR(INDEX(catAlim,MATCH(D2996,catNom,0))&amp;"",""))</f>
        <v/>
      </c>
      <c r="M2996" s="19">
        <f>IF(I2996="","",IFERROR(INDEX(catComida,MATCH(D2996,catNom,0))&amp;"",""))</f>
        <v/>
      </c>
      <c r="N2996" s="19">
        <f>IF(I2996="","",IFERROR(INDEX(ctaMon,MATCH(E2996,ctaNom,0))&amp;"","DOP"))</f>
        <v/>
      </c>
      <c r="O2996" s="20">
        <f>IF(I2996="","",C2996*IF(N2996="USD",TasaUSD,1))</f>
        <v/>
      </c>
      <c r="P2996" s="20">
        <f>IF(I2996="","",IF(I2996="Gasto",O2996,0))</f>
        <v/>
      </c>
      <c r="Q2996" s="20">
        <f>IF(I2996="","",IF(I2996="Ingreso",O2996,0))</f>
        <v/>
      </c>
      <c r="R2996" s="20">
        <f>IF(I2996="","",IF(I2996="Trading",O2996,0))</f>
        <v/>
      </c>
      <c r="S2996" s="19">
        <f>IF(I2996="","",IF(AND(I2996="Gasto",K2996="Variable",J2996&lt;&gt;"Trading",O2996&gt;0,O2996&lt;=Umbral),1,0))</f>
        <v/>
      </c>
      <c r="T2996" s="20">
        <f>IF(OR(I2996="",E2996=""),"",IF(OR(I2996="Gasto",I2996="Transferencia",I2996="Pago tarjeta"),-1,1)*C2996)</f>
        <v/>
      </c>
      <c r="U2996" s="20">
        <f>IF(OR(G2996="",AND(I2996&lt;&gt;"Transferencia",I2996&lt;&gt;"Pago tarjeta")),"",IF(IFERROR(INDEX(ctaMon,MATCH(G2996,ctaNom,0))&amp;"","DOP")=N2996,C2996,IF(N2996="USD",C2996*TasaUSD,C2996/TasaUSD)))</f>
        <v/>
      </c>
      <c r="V2996" s="20">
        <f>IF(I2996="","",IF(IFERROR(INDEX(ctaLiq,MATCH(E2996,ctaNom,0))="Sí",FALSE),IF(OR(I2996="Gasto",I2996="Transferencia",I2996="Pago tarjeta"),-1,1)*O2996,0)+IF(AND(U2996&lt;&gt;"",IFERROR(INDEX(ctaLiq,MATCH(G2996,ctaNom,0))="Sí",FALSE)),O2996,0))</f>
        <v/>
      </c>
      <c r="W2996" s="19">
        <f>IF(OR(F2996="",I2996=""),"",IF(COUNTIFS(F$6:F2996,F2996,I$6:I2996,"?*")=1,MAX(W$5:W2995)+1,""))</f>
        <v/>
      </c>
    </row>
    <row r="2997">
      <c r="B2997" s="15" t="n"/>
      <c r="C2997" s="16" t="n"/>
      <c r="D2997" s="17" t="n"/>
      <c r="E2997" s="17" t="n"/>
      <c r="F2997" s="17" t="n"/>
      <c r="G2997" s="17" t="n"/>
      <c r="H2997" s="18">
        <f>IF(AND(B2997="",C2997="",D2997="",E2997=""),"",IF(B2997="","⚠ Falta fecha",IF(C2997="","⚠ Falta monto",IF(D2997="","⚠ Falta categoría",IF(ISNA(MATCH(D2997,catNom,0)),"⚠ Categoría no existe",IF(E2997="","⚠ Falta cuenta",IF(ISNA(MATCH(E2997,ctaNom,0)),"⚠ Cuenta no existe",IF(AND(OR(I2997="Transferencia",I2997="Pago tarjeta"),G2997=""),"⚠ Indica la cuenta «Hacia»",IF(AND(G2997&lt;&gt;"",G2997=E2997),"⚠ «Hacia» igual a la cuenta",IF(AND(G2997&lt;&gt;"",ISNA(MATCH(G2997,ctaNom,0))),"⚠ «Hacia» no existe",IF(AND(I2997="Pago tarjeta",IFERROR(INDEX(ctaTipo,MATCH(G2997,ctaNom,0)),"")&lt;&gt;"Tarjeta de crédito"),"⚠ «Hacia» debe ser la tarjeta",IF(AND(I2997="Trading",IFERROR(INDEX(ctaTipo,MATCH(E2997,ctaNom,0)),"")&lt;&gt;"Cuenta de trading"),"⚠ Usa la cuenta de trading","✓"))))))))))))</f>
        <v/>
      </c>
      <c r="I2997" s="19">
        <f>IF(OR(B2997="",C2997="",D2997=""),"",IFERROR(INDEX(catTipo,MATCH(D2997,catNom,0))&amp;"",""))</f>
        <v/>
      </c>
      <c r="J2997" s="19">
        <f>IF(I2997="","",IFERROR(INDEX(catGrupo,MATCH(D2997,catNom,0))&amp;"",""))</f>
        <v/>
      </c>
      <c r="K2997" s="19">
        <f>IF(I2997="Gasto",IF(IFERROR(INDEX(catClas,MATCH(D2997,catNom,0))&amp;"","")="","Variable",IFERROR(INDEX(catClas,MATCH(D2997,catNom,0))&amp;"","")),"")</f>
        <v/>
      </c>
      <c r="L2997" s="19">
        <f>IF(I2997="","",IFERROR(INDEX(catAlim,MATCH(D2997,catNom,0))&amp;"",""))</f>
        <v/>
      </c>
      <c r="M2997" s="19">
        <f>IF(I2997="","",IFERROR(INDEX(catComida,MATCH(D2997,catNom,0))&amp;"",""))</f>
        <v/>
      </c>
      <c r="N2997" s="19">
        <f>IF(I2997="","",IFERROR(INDEX(ctaMon,MATCH(E2997,ctaNom,0))&amp;"","DOP"))</f>
        <v/>
      </c>
      <c r="O2997" s="20">
        <f>IF(I2997="","",C2997*IF(N2997="USD",TasaUSD,1))</f>
        <v/>
      </c>
      <c r="P2997" s="20">
        <f>IF(I2997="","",IF(I2997="Gasto",O2997,0))</f>
        <v/>
      </c>
      <c r="Q2997" s="20">
        <f>IF(I2997="","",IF(I2997="Ingreso",O2997,0))</f>
        <v/>
      </c>
      <c r="R2997" s="20">
        <f>IF(I2997="","",IF(I2997="Trading",O2997,0))</f>
        <v/>
      </c>
      <c r="S2997" s="19">
        <f>IF(I2997="","",IF(AND(I2997="Gasto",K2997="Variable",J2997&lt;&gt;"Trading",O2997&gt;0,O2997&lt;=Umbral),1,0))</f>
        <v/>
      </c>
      <c r="T2997" s="20">
        <f>IF(OR(I2997="",E2997=""),"",IF(OR(I2997="Gasto",I2997="Transferencia",I2997="Pago tarjeta"),-1,1)*C2997)</f>
        <v/>
      </c>
      <c r="U2997" s="20">
        <f>IF(OR(G2997="",AND(I2997&lt;&gt;"Transferencia",I2997&lt;&gt;"Pago tarjeta")),"",IF(IFERROR(INDEX(ctaMon,MATCH(G2997,ctaNom,0))&amp;"","DOP")=N2997,C2997,IF(N2997="USD",C2997*TasaUSD,C2997/TasaUSD)))</f>
        <v/>
      </c>
      <c r="V2997" s="20">
        <f>IF(I2997="","",IF(IFERROR(INDEX(ctaLiq,MATCH(E2997,ctaNom,0))="Sí",FALSE),IF(OR(I2997="Gasto",I2997="Transferencia",I2997="Pago tarjeta"),-1,1)*O2997,0)+IF(AND(U2997&lt;&gt;"",IFERROR(INDEX(ctaLiq,MATCH(G2997,ctaNom,0))="Sí",FALSE)),O2997,0))</f>
        <v/>
      </c>
      <c r="W2997" s="19">
        <f>IF(OR(F2997="",I2997=""),"",IF(COUNTIFS(F$6:F2997,F2997,I$6:I2997,"?*")=1,MAX(W$5:W2996)+1,""))</f>
        <v/>
      </c>
    </row>
    <row r="2998">
      <c r="B2998" s="15" t="n"/>
      <c r="C2998" s="16" t="n"/>
      <c r="D2998" s="17" t="n"/>
      <c r="E2998" s="17" t="n"/>
      <c r="F2998" s="17" t="n"/>
      <c r="G2998" s="17" t="n"/>
      <c r="H2998" s="18">
        <f>IF(AND(B2998="",C2998="",D2998="",E2998=""),"",IF(B2998="","⚠ Falta fecha",IF(C2998="","⚠ Falta monto",IF(D2998="","⚠ Falta categoría",IF(ISNA(MATCH(D2998,catNom,0)),"⚠ Categoría no existe",IF(E2998="","⚠ Falta cuenta",IF(ISNA(MATCH(E2998,ctaNom,0)),"⚠ Cuenta no existe",IF(AND(OR(I2998="Transferencia",I2998="Pago tarjeta"),G2998=""),"⚠ Indica la cuenta «Hacia»",IF(AND(G2998&lt;&gt;"",G2998=E2998),"⚠ «Hacia» igual a la cuenta",IF(AND(G2998&lt;&gt;"",ISNA(MATCH(G2998,ctaNom,0))),"⚠ «Hacia» no existe",IF(AND(I2998="Pago tarjeta",IFERROR(INDEX(ctaTipo,MATCH(G2998,ctaNom,0)),"")&lt;&gt;"Tarjeta de crédito"),"⚠ «Hacia» debe ser la tarjeta",IF(AND(I2998="Trading",IFERROR(INDEX(ctaTipo,MATCH(E2998,ctaNom,0)),"")&lt;&gt;"Cuenta de trading"),"⚠ Usa la cuenta de trading","✓"))))))))))))</f>
        <v/>
      </c>
      <c r="I2998" s="19">
        <f>IF(OR(B2998="",C2998="",D2998=""),"",IFERROR(INDEX(catTipo,MATCH(D2998,catNom,0))&amp;"",""))</f>
        <v/>
      </c>
      <c r="J2998" s="19">
        <f>IF(I2998="","",IFERROR(INDEX(catGrupo,MATCH(D2998,catNom,0))&amp;"",""))</f>
        <v/>
      </c>
      <c r="K2998" s="19">
        <f>IF(I2998="Gasto",IF(IFERROR(INDEX(catClas,MATCH(D2998,catNom,0))&amp;"","")="","Variable",IFERROR(INDEX(catClas,MATCH(D2998,catNom,0))&amp;"","")),"")</f>
        <v/>
      </c>
      <c r="L2998" s="19">
        <f>IF(I2998="","",IFERROR(INDEX(catAlim,MATCH(D2998,catNom,0))&amp;"",""))</f>
        <v/>
      </c>
      <c r="M2998" s="19">
        <f>IF(I2998="","",IFERROR(INDEX(catComida,MATCH(D2998,catNom,0))&amp;"",""))</f>
        <v/>
      </c>
      <c r="N2998" s="19">
        <f>IF(I2998="","",IFERROR(INDEX(ctaMon,MATCH(E2998,ctaNom,0))&amp;"","DOP"))</f>
        <v/>
      </c>
      <c r="O2998" s="20">
        <f>IF(I2998="","",C2998*IF(N2998="USD",TasaUSD,1))</f>
        <v/>
      </c>
      <c r="P2998" s="20">
        <f>IF(I2998="","",IF(I2998="Gasto",O2998,0))</f>
        <v/>
      </c>
      <c r="Q2998" s="20">
        <f>IF(I2998="","",IF(I2998="Ingreso",O2998,0))</f>
        <v/>
      </c>
      <c r="R2998" s="20">
        <f>IF(I2998="","",IF(I2998="Trading",O2998,0))</f>
        <v/>
      </c>
      <c r="S2998" s="19">
        <f>IF(I2998="","",IF(AND(I2998="Gasto",K2998="Variable",J2998&lt;&gt;"Trading",O2998&gt;0,O2998&lt;=Umbral),1,0))</f>
        <v/>
      </c>
      <c r="T2998" s="20">
        <f>IF(OR(I2998="",E2998=""),"",IF(OR(I2998="Gasto",I2998="Transferencia",I2998="Pago tarjeta"),-1,1)*C2998)</f>
        <v/>
      </c>
      <c r="U2998" s="20">
        <f>IF(OR(G2998="",AND(I2998&lt;&gt;"Transferencia",I2998&lt;&gt;"Pago tarjeta")),"",IF(IFERROR(INDEX(ctaMon,MATCH(G2998,ctaNom,0))&amp;"","DOP")=N2998,C2998,IF(N2998="USD",C2998*TasaUSD,C2998/TasaUSD)))</f>
        <v/>
      </c>
      <c r="V2998" s="20">
        <f>IF(I2998="","",IF(IFERROR(INDEX(ctaLiq,MATCH(E2998,ctaNom,0))="Sí",FALSE),IF(OR(I2998="Gasto",I2998="Transferencia",I2998="Pago tarjeta"),-1,1)*O2998,0)+IF(AND(U2998&lt;&gt;"",IFERROR(INDEX(ctaLiq,MATCH(G2998,ctaNom,0))="Sí",FALSE)),O2998,0))</f>
        <v/>
      </c>
      <c r="W2998" s="19">
        <f>IF(OR(F2998="",I2998=""),"",IF(COUNTIFS(F$6:F2998,F2998,I$6:I2998,"?*")=1,MAX(W$5:W2997)+1,""))</f>
        <v/>
      </c>
    </row>
    <row r="2999">
      <c r="B2999" s="15" t="n"/>
      <c r="C2999" s="16" t="n"/>
      <c r="D2999" s="17" t="n"/>
      <c r="E2999" s="17" t="n"/>
      <c r="F2999" s="17" t="n"/>
      <c r="G2999" s="17" t="n"/>
      <c r="H2999" s="18">
        <f>IF(AND(B2999="",C2999="",D2999="",E2999=""),"",IF(B2999="","⚠ Falta fecha",IF(C2999="","⚠ Falta monto",IF(D2999="","⚠ Falta categoría",IF(ISNA(MATCH(D2999,catNom,0)),"⚠ Categoría no existe",IF(E2999="","⚠ Falta cuenta",IF(ISNA(MATCH(E2999,ctaNom,0)),"⚠ Cuenta no existe",IF(AND(OR(I2999="Transferencia",I2999="Pago tarjeta"),G2999=""),"⚠ Indica la cuenta «Hacia»",IF(AND(G2999&lt;&gt;"",G2999=E2999),"⚠ «Hacia» igual a la cuenta",IF(AND(G2999&lt;&gt;"",ISNA(MATCH(G2999,ctaNom,0))),"⚠ «Hacia» no existe",IF(AND(I2999="Pago tarjeta",IFERROR(INDEX(ctaTipo,MATCH(G2999,ctaNom,0)),"")&lt;&gt;"Tarjeta de crédito"),"⚠ «Hacia» debe ser la tarjeta",IF(AND(I2999="Trading",IFERROR(INDEX(ctaTipo,MATCH(E2999,ctaNom,0)),"")&lt;&gt;"Cuenta de trading"),"⚠ Usa la cuenta de trading","✓"))))))))))))</f>
        <v/>
      </c>
      <c r="I2999" s="19">
        <f>IF(OR(B2999="",C2999="",D2999=""),"",IFERROR(INDEX(catTipo,MATCH(D2999,catNom,0))&amp;"",""))</f>
        <v/>
      </c>
      <c r="J2999" s="19">
        <f>IF(I2999="","",IFERROR(INDEX(catGrupo,MATCH(D2999,catNom,0))&amp;"",""))</f>
        <v/>
      </c>
      <c r="K2999" s="19">
        <f>IF(I2999="Gasto",IF(IFERROR(INDEX(catClas,MATCH(D2999,catNom,0))&amp;"","")="","Variable",IFERROR(INDEX(catClas,MATCH(D2999,catNom,0))&amp;"","")),"")</f>
        <v/>
      </c>
      <c r="L2999" s="19">
        <f>IF(I2999="","",IFERROR(INDEX(catAlim,MATCH(D2999,catNom,0))&amp;"",""))</f>
        <v/>
      </c>
      <c r="M2999" s="19">
        <f>IF(I2999="","",IFERROR(INDEX(catComida,MATCH(D2999,catNom,0))&amp;"",""))</f>
        <v/>
      </c>
      <c r="N2999" s="19">
        <f>IF(I2999="","",IFERROR(INDEX(ctaMon,MATCH(E2999,ctaNom,0))&amp;"","DOP"))</f>
        <v/>
      </c>
      <c r="O2999" s="20">
        <f>IF(I2999="","",C2999*IF(N2999="USD",TasaUSD,1))</f>
        <v/>
      </c>
      <c r="P2999" s="20">
        <f>IF(I2999="","",IF(I2999="Gasto",O2999,0))</f>
        <v/>
      </c>
      <c r="Q2999" s="20">
        <f>IF(I2999="","",IF(I2999="Ingreso",O2999,0))</f>
        <v/>
      </c>
      <c r="R2999" s="20">
        <f>IF(I2999="","",IF(I2999="Trading",O2999,0))</f>
        <v/>
      </c>
      <c r="S2999" s="19">
        <f>IF(I2999="","",IF(AND(I2999="Gasto",K2999="Variable",J2999&lt;&gt;"Trading",O2999&gt;0,O2999&lt;=Umbral),1,0))</f>
        <v/>
      </c>
      <c r="T2999" s="20">
        <f>IF(OR(I2999="",E2999=""),"",IF(OR(I2999="Gasto",I2999="Transferencia",I2999="Pago tarjeta"),-1,1)*C2999)</f>
        <v/>
      </c>
      <c r="U2999" s="20">
        <f>IF(OR(G2999="",AND(I2999&lt;&gt;"Transferencia",I2999&lt;&gt;"Pago tarjeta")),"",IF(IFERROR(INDEX(ctaMon,MATCH(G2999,ctaNom,0))&amp;"","DOP")=N2999,C2999,IF(N2999="USD",C2999*TasaUSD,C2999/TasaUSD)))</f>
        <v/>
      </c>
      <c r="V2999" s="20">
        <f>IF(I2999="","",IF(IFERROR(INDEX(ctaLiq,MATCH(E2999,ctaNom,0))="Sí",FALSE),IF(OR(I2999="Gasto",I2999="Transferencia",I2999="Pago tarjeta"),-1,1)*O2999,0)+IF(AND(U2999&lt;&gt;"",IFERROR(INDEX(ctaLiq,MATCH(G2999,ctaNom,0))="Sí",FALSE)),O2999,0))</f>
        <v/>
      </c>
      <c r="W2999" s="19">
        <f>IF(OR(F2999="",I2999=""),"",IF(COUNTIFS(F$6:F2999,F2999,I$6:I2999,"?*")=1,MAX(W$5:W2998)+1,""))</f>
        <v/>
      </c>
    </row>
    <row r="3000">
      <c r="B3000" s="15" t="n"/>
      <c r="C3000" s="16" t="n"/>
      <c r="D3000" s="17" t="n"/>
      <c r="E3000" s="17" t="n"/>
      <c r="F3000" s="17" t="n"/>
      <c r="G3000" s="17" t="n"/>
      <c r="H3000" s="18">
        <f>IF(AND(B3000="",C3000="",D3000="",E3000=""),"",IF(B3000="","⚠ Falta fecha",IF(C3000="","⚠ Falta monto",IF(D3000="","⚠ Falta categoría",IF(ISNA(MATCH(D3000,catNom,0)),"⚠ Categoría no existe",IF(E3000="","⚠ Falta cuenta",IF(ISNA(MATCH(E3000,ctaNom,0)),"⚠ Cuenta no existe",IF(AND(OR(I3000="Transferencia",I3000="Pago tarjeta"),G3000=""),"⚠ Indica la cuenta «Hacia»",IF(AND(G3000&lt;&gt;"",G3000=E3000),"⚠ «Hacia» igual a la cuenta",IF(AND(G3000&lt;&gt;"",ISNA(MATCH(G3000,ctaNom,0))),"⚠ «Hacia» no existe",IF(AND(I3000="Pago tarjeta",IFERROR(INDEX(ctaTipo,MATCH(G3000,ctaNom,0)),"")&lt;&gt;"Tarjeta de crédito"),"⚠ «Hacia» debe ser la tarjeta",IF(AND(I3000="Trading",IFERROR(INDEX(ctaTipo,MATCH(E3000,ctaNom,0)),"")&lt;&gt;"Cuenta de trading"),"⚠ Usa la cuenta de trading","✓"))))))))))))</f>
        <v/>
      </c>
      <c r="I3000" s="19">
        <f>IF(OR(B3000="",C3000="",D3000=""),"",IFERROR(INDEX(catTipo,MATCH(D3000,catNom,0))&amp;"",""))</f>
        <v/>
      </c>
      <c r="J3000" s="19">
        <f>IF(I3000="","",IFERROR(INDEX(catGrupo,MATCH(D3000,catNom,0))&amp;"",""))</f>
        <v/>
      </c>
      <c r="K3000" s="19">
        <f>IF(I3000="Gasto",IF(IFERROR(INDEX(catClas,MATCH(D3000,catNom,0))&amp;"","")="","Variable",IFERROR(INDEX(catClas,MATCH(D3000,catNom,0))&amp;"","")),"")</f>
        <v/>
      </c>
      <c r="L3000" s="19">
        <f>IF(I3000="","",IFERROR(INDEX(catAlim,MATCH(D3000,catNom,0))&amp;"",""))</f>
        <v/>
      </c>
      <c r="M3000" s="19">
        <f>IF(I3000="","",IFERROR(INDEX(catComida,MATCH(D3000,catNom,0))&amp;"",""))</f>
        <v/>
      </c>
      <c r="N3000" s="19">
        <f>IF(I3000="","",IFERROR(INDEX(ctaMon,MATCH(E3000,ctaNom,0))&amp;"","DOP"))</f>
        <v/>
      </c>
      <c r="O3000" s="20">
        <f>IF(I3000="","",C3000*IF(N3000="USD",TasaUSD,1))</f>
        <v/>
      </c>
      <c r="P3000" s="20">
        <f>IF(I3000="","",IF(I3000="Gasto",O3000,0))</f>
        <v/>
      </c>
      <c r="Q3000" s="20">
        <f>IF(I3000="","",IF(I3000="Ingreso",O3000,0))</f>
        <v/>
      </c>
      <c r="R3000" s="20">
        <f>IF(I3000="","",IF(I3000="Trading",O3000,0))</f>
        <v/>
      </c>
      <c r="S3000" s="19">
        <f>IF(I3000="","",IF(AND(I3000="Gasto",K3000="Variable",J3000&lt;&gt;"Trading",O3000&gt;0,O3000&lt;=Umbral),1,0))</f>
        <v/>
      </c>
      <c r="T3000" s="20">
        <f>IF(OR(I3000="",E3000=""),"",IF(OR(I3000="Gasto",I3000="Transferencia",I3000="Pago tarjeta"),-1,1)*C3000)</f>
        <v/>
      </c>
      <c r="U3000" s="20">
        <f>IF(OR(G3000="",AND(I3000&lt;&gt;"Transferencia",I3000&lt;&gt;"Pago tarjeta")),"",IF(IFERROR(INDEX(ctaMon,MATCH(G3000,ctaNom,0))&amp;"","DOP")=N3000,C3000,IF(N3000="USD",C3000*TasaUSD,C3000/TasaUSD)))</f>
        <v/>
      </c>
      <c r="V3000" s="20">
        <f>IF(I3000="","",IF(IFERROR(INDEX(ctaLiq,MATCH(E3000,ctaNom,0))="Sí",FALSE),IF(OR(I3000="Gasto",I3000="Transferencia",I3000="Pago tarjeta"),-1,1)*O3000,0)+IF(AND(U3000&lt;&gt;"",IFERROR(INDEX(ctaLiq,MATCH(G3000,ctaNom,0))="Sí",FALSE)),O3000,0))</f>
        <v/>
      </c>
      <c r="W3000" s="19">
        <f>IF(OR(F3000="",I3000=""),"",IF(COUNTIFS(F$6:F3000,F3000,I$6:I3000,"?*")=1,MAX(W$5:W2999)+1,""))</f>
        <v/>
      </c>
    </row>
    <row r="3001">
      <c r="B3001" s="15" t="n"/>
      <c r="C3001" s="16" t="n"/>
      <c r="D3001" s="17" t="n"/>
      <c r="E3001" s="17" t="n"/>
      <c r="F3001" s="17" t="n"/>
      <c r="G3001" s="17" t="n"/>
      <c r="H3001" s="18">
        <f>IF(AND(B3001="",C3001="",D3001="",E3001=""),"",IF(B3001="","⚠ Falta fecha",IF(C3001="","⚠ Falta monto",IF(D3001="","⚠ Falta categoría",IF(ISNA(MATCH(D3001,catNom,0)),"⚠ Categoría no existe",IF(E3001="","⚠ Falta cuenta",IF(ISNA(MATCH(E3001,ctaNom,0)),"⚠ Cuenta no existe",IF(AND(OR(I3001="Transferencia",I3001="Pago tarjeta"),G3001=""),"⚠ Indica la cuenta «Hacia»",IF(AND(G3001&lt;&gt;"",G3001=E3001),"⚠ «Hacia» igual a la cuenta",IF(AND(G3001&lt;&gt;"",ISNA(MATCH(G3001,ctaNom,0))),"⚠ «Hacia» no existe",IF(AND(I3001="Pago tarjeta",IFERROR(INDEX(ctaTipo,MATCH(G3001,ctaNom,0)),"")&lt;&gt;"Tarjeta de crédito"),"⚠ «Hacia» debe ser la tarjeta",IF(AND(I3001="Trading",IFERROR(INDEX(ctaTipo,MATCH(E3001,ctaNom,0)),"")&lt;&gt;"Cuenta de trading"),"⚠ Usa la cuenta de trading","✓"))))))))))))</f>
        <v/>
      </c>
      <c r="I3001" s="19">
        <f>IF(OR(B3001="",C3001="",D3001=""),"",IFERROR(INDEX(catTipo,MATCH(D3001,catNom,0))&amp;"",""))</f>
        <v/>
      </c>
      <c r="J3001" s="19">
        <f>IF(I3001="","",IFERROR(INDEX(catGrupo,MATCH(D3001,catNom,0))&amp;"",""))</f>
        <v/>
      </c>
      <c r="K3001" s="19">
        <f>IF(I3001="Gasto",IF(IFERROR(INDEX(catClas,MATCH(D3001,catNom,0))&amp;"","")="","Variable",IFERROR(INDEX(catClas,MATCH(D3001,catNom,0))&amp;"","")),"")</f>
        <v/>
      </c>
      <c r="L3001" s="19">
        <f>IF(I3001="","",IFERROR(INDEX(catAlim,MATCH(D3001,catNom,0))&amp;"",""))</f>
        <v/>
      </c>
      <c r="M3001" s="19">
        <f>IF(I3001="","",IFERROR(INDEX(catComida,MATCH(D3001,catNom,0))&amp;"",""))</f>
        <v/>
      </c>
      <c r="N3001" s="19">
        <f>IF(I3001="","",IFERROR(INDEX(ctaMon,MATCH(E3001,ctaNom,0))&amp;"","DOP"))</f>
        <v/>
      </c>
      <c r="O3001" s="20">
        <f>IF(I3001="","",C3001*IF(N3001="USD",TasaUSD,1))</f>
        <v/>
      </c>
      <c r="P3001" s="20">
        <f>IF(I3001="","",IF(I3001="Gasto",O3001,0))</f>
        <v/>
      </c>
      <c r="Q3001" s="20">
        <f>IF(I3001="","",IF(I3001="Ingreso",O3001,0))</f>
        <v/>
      </c>
      <c r="R3001" s="20">
        <f>IF(I3001="","",IF(I3001="Trading",O3001,0))</f>
        <v/>
      </c>
      <c r="S3001" s="19">
        <f>IF(I3001="","",IF(AND(I3001="Gasto",K3001="Variable",J3001&lt;&gt;"Trading",O3001&gt;0,O3001&lt;=Umbral),1,0))</f>
        <v/>
      </c>
      <c r="T3001" s="20">
        <f>IF(OR(I3001="",E3001=""),"",IF(OR(I3001="Gasto",I3001="Transferencia",I3001="Pago tarjeta"),-1,1)*C3001)</f>
        <v/>
      </c>
      <c r="U3001" s="20">
        <f>IF(OR(G3001="",AND(I3001&lt;&gt;"Transferencia",I3001&lt;&gt;"Pago tarjeta")),"",IF(IFERROR(INDEX(ctaMon,MATCH(G3001,ctaNom,0))&amp;"","DOP")=N3001,C3001,IF(N3001="USD",C3001*TasaUSD,C3001/TasaUSD)))</f>
        <v/>
      </c>
      <c r="V3001" s="20">
        <f>IF(I3001="","",IF(IFERROR(INDEX(ctaLiq,MATCH(E3001,ctaNom,0))="Sí",FALSE),IF(OR(I3001="Gasto",I3001="Transferencia",I3001="Pago tarjeta"),-1,1)*O3001,0)+IF(AND(U3001&lt;&gt;"",IFERROR(INDEX(ctaLiq,MATCH(G3001,ctaNom,0))="Sí",FALSE)),O3001,0))</f>
        <v/>
      </c>
      <c r="W3001" s="19">
        <f>IF(OR(F3001="",I3001=""),"",IF(COUNTIFS(F$6:F3001,F3001,I$6:I3001,"?*")=1,MAX(W$5:W3000)+1,""))</f>
        <v/>
      </c>
    </row>
    <row r="3002">
      <c r="B3002" s="15" t="n"/>
      <c r="C3002" s="16" t="n"/>
      <c r="D3002" s="17" t="n"/>
      <c r="E3002" s="17" t="n"/>
      <c r="F3002" s="17" t="n"/>
      <c r="G3002" s="17" t="n"/>
      <c r="H3002" s="18">
        <f>IF(AND(B3002="",C3002="",D3002="",E3002=""),"",IF(B3002="","⚠ Falta fecha",IF(C3002="","⚠ Falta monto",IF(D3002="","⚠ Falta categoría",IF(ISNA(MATCH(D3002,catNom,0)),"⚠ Categoría no existe",IF(E3002="","⚠ Falta cuenta",IF(ISNA(MATCH(E3002,ctaNom,0)),"⚠ Cuenta no existe",IF(AND(OR(I3002="Transferencia",I3002="Pago tarjeta"),G3002=""),"⚠ Indica la cuenta «Hacia»",IF(AND(G3002&lt;&gt;"",G3002=E3002),"⚠ «Hacia» igual a la cuenta",IF(AND(G3002&lt;&gt;"",ISNA(MATCH(G3002,ctaNom,0))),"⚠ «Hacia» no existe",IF(AND(I3002="Pago tarjeta",IFERROR(INDEX(ctaTipo,MATCH(G3002,ctaNom,0)),"")&lt;&gt;"Tarjeta de crédito"),"⚠ «Hacia» debe ser la tarjeta",IF(AND(I3002="Trading",IFERROR(INDEX(ctaTipo,MATCH(E3002,ctaNom,0)),"")&lt;&gt;"Cuenta de trading"),"⚠ Usa la cuenta de trading","✓"))))))))))))</f>
        <v/>
      </c>
      <c r="I3002" s="19">
        <f>IF(OR(B3002="",C3002="",D3002=""),"",IFERROR(INDEX(catTipo,MATCH(D3002,catNom,0))&amp;"",""))</f>
        <v/>
      </c>
      <c r="J3002" s="19">
        <f>IF(I3002="","",IFERROR(INDEX(catGrupo,MATCH(D3002,catNom,0))&amp;"",""))</f>
        <v/>
      </c>
      <c r="K3002" s="19">
        <f>IF(I3002="Gasto",IF(IFERROR(INDEX(catClas,MATCH(D3002,catNom,0))&amp;"","")="","Variable",IFERROR(INDEX(catClas,MATCH(D3002,catNom,0))&amp;"","")),"")</f>
        <v/>
      </c>
      <c r="L3002" s="19">
        <f>IF(I3002="","",IFERROR(INDEX(catAlim,MATCH(D3002,catNom,0))&amp;"",""))</f>
        <v/>
      </c>
      <c r="M3002" s="19">
        <f>IF(I3002="","",IFERROR(INDEX(catComida,MATCH(D3002,catNom,0))&amp;"",""))</f>
        <v/>
      </c>
      <c r="N3002" s="19">
        <f>IF(I3002="","",IFERROR(INDEX(ctaMon,MATCH(E3002,ctaNom,0))&amp;"","DOP"))</f>
        <v/>
      </c>
      <c r="O3002" s="20">
        <f>IF(I3002="","",C3002*IF(N3002="USD",TasaUSD,1))</f>
        <v/>
      </c>
      <c r="P3002" s="20">
        <f>IF(I3002="","",IF(I3002="Gasto",O3002,0))</f>
        <v/>
      </c>
      <c r="Q3002" s="20">
        <f>IF(I3002="","",IF(I3002="Ingreso",O3002,0))</f>
        <v/>
      </c>
      <c r="R3002" s="20">
        <f>IF(I3002="","",IF(I3002="Trading",O3002,0))</f>
        <v/>
      </c>
      <c r="S3002" s="19">
        <f>IF(I3002="","",IF(AND(I3002="Gasto",K3002="Variable",J3002&lt;&gt;"Trading",O3002&gt;0,O3002&lt;=Umbral),1,0))</f>
        <v/>
      </c>
      <c r="T3002" s="20">
        <f>IF(OR(I3002="",E3002=""),"",IF(OR(I3002="Gasto",I3002="Transferencia",I3002="Pago tarjeta"),-1,1)*C3002)</f>
        <v/>
      </c>
      <c r="U3002" s="20">
        <f>IF(OR(G3002="",AND(I3002&lt;&gt;"Transferencia",I3002&lt;&gt;"Pago tarjeta")),"",IF(IFERROR(INDEX(ctaMon,MATCH(G3002,ctaNom,0))&amp;"","DOP")=N3002,C3002,IF(N3002="USD",C3002*TasaUSD,C3002/TasaUSD)))</f>
        <v/>
      </c>
      <c r="V3002" s="20">
        <f>IF(I3002="","",IF(IFERROR(INDEX(ctaLiq,MATCH(E3002,ctaNom,0))="Sí",FALSE),IF(OR(I3002="Gasto",I3002="Transferencia",I3002="Pago tarjeta"),-1,1)*O3002,0)+IF(AND(U3002&lt;&gt;"",IFERROR(INDEX(ctaLiq,MATCH(G3002,ctaNom,0))="Sí",FALSE)),O3002,0))</f>
        <v/>
      </c>
      <c r="W3002" s="19">
        <f>IF(OR(F3002="",I3002=""),"",IF(COUNTIFS(F$6:F3002,F3002,I$6:I3002,"?*")=1,MAX(W$5:W3001)+1,""))</f>
        <v/>
      </c>
    </row>
    <row r="3003">
      <c r="B3003" s="15" t="n"/>
      <c r="C3003" s="16" t="n"/>
      <c r="D3003" s="17" t="n"/>
      <c r="E3003" s="17" t="n"/>
      <c r="F3003" s="17" t="n"/>
      <c r="G3003" s="17" t="n"/>
      <c r="H3003" s="18">
        <f>IF(AND(B3003="",C3003="",D3003="",E3003=""),"",IF(B3003="","⚠ Falta fecha",IF(C3003="","⚠ Falta monto",IF(D3003="","⚠ Falta categoría",IF(ISNA(MATCH(D3003,catNom,0)),"⚠ Categoría no existe",IF(E3003="","⚠ Falta cuenta",IF(ISNA(MATCH(E3003,ctaNom,0)),"⚠ Cuenta no existe",IF(AND(OR(I3003="Transferencia",I3003="Pago tarjeta"),G3003=""),"⚠ Indica la cuenta «Hacia»",IF(AND(G3003&lt;&gt;"",G3003=E3003),"⚠ «Hacia» igual a la cuenta",IF(AND(G3003&lt;&gt;"",ISNA(MATCH(G3003,ctaNom,0))),"⚠ «Hacia» no existe",IF(AND(I3003="Pago tarjeta",IFERROR(INDEX(ctaTipo,MATCH(G3003,ctaNom,0)),"")&lt;&gt;"Tarjeta de crédito"),"⚠ «Hacia» debe ser la tarjeta",IF(AND(I3003="Trading",IFERROR(INDEX(ctaTipo,MATCH(E3003,ctaNom,0)),"")&lt;&gt;"Cuenta de trading"),"⚠ Usa la cuenta de trading","✓"))))))))))))</f>
        <v/>
      </c>
      <c r="I3003" s="19">
        <f>IF(OR(B3003="",C3003="",D3003=""),"",IFERROR(INDEX(catTipo,MATCH(D3003,catNom,0))&amp;"",""))</f>
        <v/>
      </c>
      <c r="J3003" s="19">
        <f>IF(I3003="","",IFERROR(INDEX(catGrupo,MATCH(D3003,catNom,0))&amp;"",""))</f>
        <v/>
      </c>
      <c r="K3003" s="19">
        <f>IF(I3003="Gasto",IF(IFERROR(INDEX(catClas,MATCH(D3003,catNom,0))&amp;"","")="","Variable",IFERROR(INDEX(catClas,MATCH(D3003,catNom,0))&amp;"","")),"")</f>
        <v/>
      </c>
      <c r="L3003" s="19">
        <f>IF(I3003="","",IFERROR(INDEX(catAlim,MATCH(D3003,catNom,0))&amp;"",""))</f>
        <v/>
      </c>
      <c r="M3003" s="19">
        <f>IF(I3003="","",IFERROR(INDEX(catComida,MATCH(D3003,catNom,0))&amp;"",""))</f>
        <v/>
      </c>
      <c r="N3003" s="19">
        <f>IF(I3003="","",IFERROR(INDEX(ctaMon,MATCH(E3003,ctaNom,0))&amp;"","DOP"))</f>
        <v/>
      </c>
      <c r="O3003" s="20">
        <f>IF(I3003="","",C3003*IF(N3003="USD",TasaUSD,1))</f>
        <v/>
      </c>
      <c r="P3003" s="20">
        <f>IF(I3003="","",IF(I3003="Gasto",O3003,0))</f>
        <v/>
      </c>
      <c r="Q3003" s="20">
        <f>IF(I3003="","",IF(I3003="Ingreso",O3003,0))</f>
        <v/>
      </c>
      <c r="R3003" s="20">
        <f>IF(I3003="","",IF(I3003="Trading",O3003,0))</f>
        <v/>
      </c>
      <c r="S3003" s="19">
        <f>IF(I3003="","",IF(AND(I3003="Gasto",K3003="Variable",J3003&lt;&gt;"Trading",O3003&gt;0,O3003&lt;=Umbral),1,0))</f>
        <v/>
      </c>
      <c r="T3003" s="20">
        <f>IF(OR(I3003="",E3003=""),"",IF(OR(I3003="Gasto",I3003="Transferencia",I3003="Pago tarjeta"),-1,1)*C3003)</f>
        <v/>
      </c>
      <c r="U3003" s="20">
        <f>IF(OR(G3003="",AND(I3003&lt;&gt;"Transferencia",I3003&lt;&gt;"Pago tarjeta")),"",IF(IFERROR(INDEX(ctaMon,MATCH(G3003,ctaNom,0))&amp;"","DOP")=N3003,C3003,IF(N3003="USD",C3003*TasaUSD,C3003/TasaUSD)))</f>
        <v/>
      </c>
      <c r="V3003" s="20">
        <f>IF(I3003="","",IF(IFERROR(INDEX(ctaLiq,MATCH(E3003,ctaNom,0))="Sí",FALSE),IF(OR(I3003="Gasto",I3003="Transferencia",I3003="Pago tarjeta"),-1,1)*O3003,0)+IF(AND(U3003&lt;&gt;"",IFERROR(INDEX(ctaLiq,MATCH(G3003,ctaNom,0))="Sí",FALSE)),O3003,0))</f>
        <v/>
      </c>
      <c r="W3003" s="19">
        <f>IF(OR(F3003="",I3003=""),"",IF(COUNTIFS(F$6:F3003,F3003,I$6:I3003,"?*")=1,MAX(W$5:W3002)+1,""))</f>
        <v/>
      </c>
    </row>
    <row r="3004">
      <c r="B3004" s="15" t="n"/>
      <c r="C3004" s="16" t="n"/>
      <c r="D3004" s="17" t="n"/>
      <c r="E3004" s="17" t="n"/>
      <c r="F3004" s="17" t="n"/>
      <c r="G3004" s="17" t="n"/>
      <c r="H3004" s="18">
        <f>IF(AND(B3004="",C3004="",D3004="",E3004=""),"",IF(B3004="","⚠ Falta fecha",IF(C3004="","⚠ Falta monto",IF(D3004="","⚠ Falta categoría",IF(ISNA(MATCH(D3004,catNom,0)),"⚠ Categoría no existe",IF(E3004="","⚠ Falta cuenta",IF(ISNA(MATCH(E3004,ctaNom,0)),"⚠ Cuenta no existe",IF(AND(OR(I3004="Transferencia",I3004="Pago tarjeta"),G3004=""),"⚠ Indica la cuenta «Hacia»",IF(AND(G3004&lt;&gt;"",G3004=E3004),"⚠ «Hacia» igual a la cuenta",IF(AND(G3004&lt;&gt;"",ISNA(MATCH(G3004,ctaNom,0))),"⚠ «Hacia» no existe",IF(AND(I3004="Pago tarjeta",IFERROR(INDEX(ctaTipo,MATCH(G3004,ctaNom,0)),"")&lt;&gt;"Tarjeta de crédito"),"⚠ «Hacia» debe ser la tarjeta",IF(AND(I3004="Trading",IFERROR(INDEX(ctaTipo,MATCH(E3004,ctaNom,0)),"")&lt;&gt;"Cuenta de trading"),"⚠ Usa la cuenta de trading","✓"))))))))))))</f>
        <v/>
      </c>
      <c r="I3004" s="19">
        <f>IF(OR(B3004="",C3004="",D3004=""),"",IFERROR(INDEX(catTipo,MATCH(D3004,catNom,0))&amp;"",""))</f>
        <v/>
      </c>
      <c r="J3004" s="19">
        <f>IF(I3004="","",IFERROR(INDEX(catGrupo,MATCH(D3004,catNom,0))&amp;"",""))</f>
        <v/>
      </c>
      <c r="K3004" s="19">
        <f>IF(I3004="Gasto",IF(IFERROR(INDEX(catClas,MATCH(D3004,catNom,0))&amp;"","")="","Variable",IFERROR(INDEX(catClas,MATCH(D3004,catNom,0))&amp;"","")),"")</f>
        <v/>
      </c>
      <c r="L3004" s="19">
        <f>IF(I3004="","",IFERROR(INDEX(catAlim,MATCH(D3004,catNom,0))&amp;"",""))</f>
        <v/>
      </c>
      <c r="M3004" s="19">
        <f>IF(I3004="","",IFERROR(INDEX(catComida,MATCH(D3004,catNom,0))&amp;"",""))</f>
        <v/>
      </c>
      <c r="N3004" s="19">
        <f>IF(I3004="","",IFERROR(INDEX(ctaMon,MATCH(E3004,ctaNom,0))&amp;"","DOP"))</f>
        <v/>
      </c>
      <c r="O3004" s="20">
        <f>IF(I3004="","",C3004*IF(N3004="USD",TasaUSD,1))</f>
        <v/>
      </c>
      <c r="P3004" s="20">
        <f>IF(I3004="","",IF(I3004="Gasto",O3004,0))</f>
        <v/>
      </c>
      <c r="Q3004" s="20">
        <f>IF(I3004="","",IF(I3004="Ingreso",O3004,0))</f>
        <v/>
      </c>
      <c r="R3004" s="20">
        <f>IF(I3004="","",IF(I3004="Trading",O3004,0))</f>
        <v/>
      </c>
      <c r="S3004" s="19">
        <f>IF(I3004="","",IF(AND(I3004="Gasto",K3004="Variable",J3004&lt;&gt;"Trading",O3004&gt;0,O3004&lt;=Umbral),1,0))</f>
        <v/>
      </c>
      <c r="T3004" s="20">
        <f>IF(OR(I3004="",E3004=""),"",IF(OR(I3004="Gasto",I3004="Transferencia",I3004="Pago tarjeta"),-1,1)*C3004)</f>
        <v/>
      </c>
      <c r="U3004" s="20">
        <f>IF(OR(G3004="",AND(I3004&lt;&gt;"Transferencia",I3004&lt;&gt;"Pago tarjeta")),"",IF(IFERROR(INDEX(ctaMon,MATCH(G3004,ctaNom,0))&amp;"","DOP")=N3004,C3004,IF(N3004="USD",C3004*TasaUSD,C3004/TasaUSD)))</f>
        <v/>
      </c>
      <c r="V3004" s="20">
        <f>IF(I3004="","",IF(IFERROR(INDEX(ctaLiq,MATCH(E3004,ctaNom,0))="Sí",FALSE),IF(OR(I3004="Gasto",I3004="Transferencia",I3004="Pago tarjeta"),-1,1)*O3004,0)+IF(AND(U3004&lt;&gt;"",IFERROR(INDEX(ctaLiq,MATCH(G3004,ctaNom,0))="Sí",FALSE)),O3004,0))</f>
        <v/>
      </c>
      <c r="W3004" s="19">
        <f>IF(OR(F3004="",I3004=""),"",IF(COUNTIFS(F$6:F3004,F3004,I$6:I3004,"?*")=1,MAX(W$5:W3003)+1,""))</f>
        <v/>
      </c>
    </row>
    <row r="3005">
      <c r="B3005" s="15" t="n"/>
      <c r="C3005" s="16" t="n"/>
      <c r="D3005" s="17" t="n"/>
      <c r="E3005" s="17" t="n"/>
      <c r="F3005" s="17" t="n"/>
      <c r="G3005" s="17" t="n"/>
      <c r="H3005" s="18">
        <f>IF(AND(B3005="",C3005="",D3005="",E3005=""),"",IF(B3005="","⚠ Falta fecha",IF(C3005="","⚠ Falta monto",IF(D3005="","⚠ Falta categoría",IF(ISNA(MATCH(D3005,catNom,0)),"⚠ Categoría no existe",IF(E3005="","⚠ Falta cuenta",IF(ISNA(MATCH(E3005,ctaNom,0)),"⚠ Cuenta no existe",IF(AND(OR(I3005="Transferencia",I3005="Pago tarjeta"),G3005=""),"⚠ Indica la cuenta «Hacia»",IF(AND(G3005&lt;&gt;"",G3005=E3005),"⚠ «Hacia» igual a la cuenta",IF(AND(G3005&lt;&gt;"",ISNA(MATCH(G3005,ctaNom,0))),"⚠ «Hacia» no existe",IF(AND(I3005="Pago tarjeta",IFERROR(INDEX(ctaTipo,MATCH(G3005,ctaNom,0)),"")&lt;&gt;"Tarjeta de crédito"),"⚠ «Hacia» debe ser la tarjeta",IF(AND(I3005="Trading",IFERROR(INDEX(ctaTipo,MATCH(E3005,ctaNom,0)),"")&lt;&gt;"Cuenta de trading"),"⚠ Usa la cuenta de trading","✓"))))))))))))</f>
        <v/>
      </c>
      <c r="I3005" s="19">
        <f>IF(OR(B3005="",C3005="",D3005=""),"",IFERROR(INDEX(catTipo,MATCH(D3005,catNom,0))&amp;"",""))</f>
        <v/>
      </c>
      <c r="J3005" s="19">
        <f>IF(I3005="","",IFERROR(INDEX(catGrupo,MATCH(D3005,catNom,0))&amp;"",""))</f>
        <v/>
      </c>
      <c r="K3005" s="19">
        <f>IF(I3005="Gasto",IF(IFERROR(INDEX(catClas,MATCH(D3005,catNom,0))&amp;"","")="","Variable",IFERROR(INDEX(catClas,MATCH(D3005,catNom,0))&amp;"","")),"")</f>
        <v/>
      </c>
      <c r="L3005" s="19">
        <f>IF(I3005="","",IFERROR(INDEX(catAlim,MATCH(D3005,catNom,0))&amp;"",""))</f>
        <v/>
      </c>
      <c r="M3005" s="19">
        <f>IF(I3005="","",IFERROR(INDEX(catComida,MATCH(D3005,catNom,0))&amp;"",""))</f>
        <v/>
      </c>
      <c r="N3005" s="19">
        <f>IF(I3005="","",IFERROR(INDEX(ctaMon,MATCH(E3005,ctaNom,0))&amp;"","DOP"))</f>
        <v/>
      </c>
      <c r="O3005" s="20">
        <f>IF(I3005="","",C3005*IF(N3005="USD",TasaUSD,1))</f>
        <v/>
      </c>
      <c r="P3005" s="20">
        <f>IF(I3005="","",IF(I3005="Gasto",O3005,0))</f>
        <v/>
      </c>
      <c r="Q3005" s="20">
        <f>IF(I3005="","",IF(I3005="Ingreso",O3005,0))</f>
        <v/>
      </c>
      <c r="R3005" s="20">
        <f>IF(I3005="","",IF(I3005="Trading",O3005,0))</f>
        <v/>
      </c>
      <c r="S3005" s="19">
        <f>IF(I3005="","",IF(AND(I3005="Gasto",K3005="Variable",J3005&lt;&gt;"Trading",O3005&gt;0,O3005&lt;=Umbral),1,0))</f>
        <v/>
      </c>
      <c r="T3005" s="20">
        <f>IF(OR(I3005="",E3005=""),"",IF(OR(I3005="Gasto",I3005="Transferencia",I3005="Pago tarjeta"),-1,1)*C3005)</f>
        <v/>
      </c>
      <c r="U3005" s="20">
        <f>IF(OR(G3005="",AND(I3005&lt;&gt;"Transferencia",I3005&lt;&gt;"Pago tarjeta")),"",IF(IFERROR(INDEX(ctaMon,MATCH(G3005,ctaNom,0))&amp;"","DOP")=N3005,C3005,IF(N3005="USD",C3005*TasaUSD,C3005/TasaUSD)))</f>
        <v/>
      </c>
      <c r="V3005" s="20">
        <f>IF(I3005="","",IF(IFERROR(INDEX(ctaLiq,MATCH(E3005,ctaNom,0))="Sí",FALSE),IF(OR(I3005="Gasto",I3005="Transferencia",I3005="Pago tarjeta"),-1,1)*O3005,0)+IF(AND(U3005&lt;&gt;"",IFERROR(INDEX(ctaLiq,MATCH(G3005,ctaNom,0))="Sí",FALSE)),O3005,0))</f>
        <v/>
      </c>
      <c r="W3005" s="19">
        <f>IF(OR(F3005="",I3005=""),"",IF(COUNTIFS(F$6:F3005,F3005,I$6:I3005,"?*")=1,MAX(W$5:W3004)+1,""))</f>
        <v/>
      </c>
    </row>
    <row r="3006">
      <c r="B3006" s="15" t="n"/>
      <c r="C3006" s="16" t="n"/>
      <c r="D3006" s="17" t="n"/>
      <c r="E3006" s="17" t="n"/>
      <c r="F3006" s="17" t="n"/>
      <c r="G3006" s="17" t="n"/>
      <c r="H3006" s="18">
        <f>IF(AND(B3006="",C3006="",D3006="",E3006=""),"",IF(B3006="","⚠ Falta fecha",IF(C3006="","⚠ Falta monto",IF(D3006="","⚠ Falta categoría",IF(ISNA(MATCH(D3006,catNom,0)),"⚠ Categoría no existe",IF(E3006="","⚠ Falta cuenta",IF(ISNA(MATCH(E3006,ctaNom,0)),"⚠ Cuenta no existe",IF(AND(OR(I3006="Transferencia",I3006="Pago tarjeta"),G3006=""),"⚠ Indica la cuenta «Hacia»",IF(AND(G3006&lt;&gt;"",G3006=E3006),"⚠ «Hacia» igual a la cuenta",IF(AND(G3006&lt;&gt;"",ISNA(MATCH(G3006,ctaNom,0))),"⚠ «Hacia» no existe",IF(AND(I3006="Pago tarjeta",IFERROR(INDEX(ctaTipo,MATCH(G3006,ctaNom,0)),"")&lt;&gt;"Tarjeta de crédito"),"⚠ «Hacia» debe ser la tarjeta",IF(AND(I3006="Trading",IFERROR(INDEX(ctaTipo,MATCH(E3006,ctaNom,0)),"")&lt;&gt;"Cuenta de trading"),"⚠ Usa la cuenta de trading","✓"))))))))))))</f>
        <v/>
      </c>
      <c r="I3006" s="19">
        <f>IF(OR(B3006="",C3006="",D3006=""),"",IFERROR(INDEX(catTipo,MATCH(D3006,catNom,0))&amp;"",""))</f>
        <v/>
      </c>
      <c r="J3006" s="19">
        <f>IF(I3006="","",IFERROR(INDEX(catGrupo,MATCH(D3006,catNom,0))&amp;"",""))</f>
        <v/>
      </c>
      <c r="K3006" s="19">
        <f>IF(I3006="Gasto",IF(IFERROR(INDEX(catClas,MATCH(D3006,catNom,0))&amp;"","")="","Variable",IFERROR(INDEX(catClas,MATCH(D3006,catNom,0))&amp;"","")),"")</f>
        <v/>
      </c>
      <c r="L3006" s="19">
        <f>IF(I3006="","",IFERROR(INDEX(catAlim,MATCH(D3006,catNom,0))&amp;"",""))</f>
        <v/>
      </c>
      <c r="M3006" s="19">
        <f>IF(I3006="","",IFERROR(INDEX(catComida,MATCH(D3006,catNom,0))&amp;"",""))</f>
        <v/>
      </c>
      <c r="N3006" s="19">
        <f>IF(I3006="","",IFERROR(INDEX(ctaMon,MATCH(E3006,ctaNom,0))&amp;"","DOP"))</f>
        <v/>
      </c>
      <c r="O3006" s="20">
        <f>IF(I3006="","",C3006*IF(N3006="USD",TasaUSD,1))</f>
        <v/>
      </c>
      <c r="P3006" s="20">
        <f>IF(I3006="","",IF(I3006="Gasto",O3006,0))</f>
        <v/>
      </c>
      <c r="Q3006" s="20">
        <f>IF(I3006="","",IF(I3006="Ingreso",O3006,0))</f>
        <v/>
      </c>
      <c r="R3006" s="20">
        <f>IF(I3006="","",IF(I3006="Trading",O3006,0))</f>
        <v/>
      </c>
      <c r="S3006" s="19">
        <f>IF(I3006="","",IF(AND(I3006="Gasto",K3006="Variable",J3006&lt;&gt;"Trading",O3006&gt;0,O3006&lt;=Umbral),1,0))</f>
        <v/>
      </c>
      <c r="T3006" s="20">
        <f>IF(OR(I3006="",E3006=""),"",IF(OR(I3006="Gasto",I3006="Transferencia",I3006="Pago tarjeta"),-1,1)*C3006)</f>
        <v/>
      </c>
      <c r="U3006" s="20">
        <f>IF(OR(G3006="",AND(I3006&lt;&gt;"Transferencia",I3006&lt;&gt;"Pago tarjeta")),"",IF(IFERROR(INDEX(ctaMon,MATCH(G3006,ctaNom,0))&amp;"","DOP")=N3006,C3006,IF(N3006="USD",C3006*TasaUSD,C3006/TasaUSD)))</f>
        <v/>
      </c>
      <c r="V3006" s="20">
        <f>IF(I3006="","",IF(IFERROR(INDEX(ctaLiq,MATCH(E3006,ctaNom,0))="Sí",FALSE),IF(OR(I3006="Gasto",I3006="Transferencia",I3006="Pago tarjeta"),-1,1)*O3006,0)+IF(AND(U3006&lt;&gt;"",IFERROR(INDEX(ctaLiq,MATCH(G3006,ctaNom,0))="Sí",FALSE)),O3006,0))</f>
        <v/>
      </c>
      <c r="W3006" s="19">
        <f>IF(OR(F3006="",I3006=""),"",IF(COUNTIFS(F$6:F3006,F3006,I$6:I3006,"?*")=1,MAX(W$5:W3005)+1,""))</f>
        <v/>
      </c>
    </row>
    <row r="3007">
      <c r="B3007" s="15" t="n"/>
      <c r="C3007" s="16" t="n"/>
      <c r="D3007" s="17" t="n"/>
      <c r="E3007" s="17" t="n"/>
      <c r="F3007" s="17" t="n"/>
      <c r="G3007" s="17" t="n"/>
      <c r="H3007" s="18">
        <f>IF(AND(B3007="",C3007="",D3007="",E3007=""),"",IF(B3007="","⚠ Falta fecha",IF(C3007="","⚠ Falta monto",IF(D3007="","⚠ Falta categoría",IF(ISNA(MATCH(D3007,catNom,0)),"⚠ Categoría no existe",IF(E3007="","⚠ Falta cuenta",IF(ISNA(MATCH(E3007,ctaNom,0)),"⚠ Cuenta no existe",IF(AND(OR(I3007="Transferencia",I3007="Pago tarjeta"),G3007=""),"⚠ Indica la cuenta «Hacia»",IF(AND(G3007&lt;&gt;"",G3007=E3007),"⚠ «Hacia» igual a la cuenta",IF(AND(G3007&lt;&gt;"",ISNA(MATCH(G3007,ctaNom,0))),"⚠ «Hacia» no existe",IF(AND(I3007="Pago tarjeta",IFERROR(INDEX(ctaTipo,MATCH(G3007,ctaNom,0)),"")&lt;&gt;"Tarjeta de crédito"),"⚠ «Hacia» debe ser la tarjeta",IF(AND(I3007="Trading",IFERROR(INDEX(ctaTipo,MATCH(E3007,ctaNom,0)),"")&lt;&gt;"Cuenta de trading"),"⚠ Usa la cuenta de trading","✓"))))))))))))</f>
        <v/>
      </c>
      <c r="I3007" s="19">
        <f>IF(OR(B3007="",C3007="",D3007=""),"",IFERROR(INDEX(catTipo,MATCH(D3007,catNom,0))&amp;"",""))</f>
        <v/>
      </c>
      <c r="J3007" s="19">
        <f>IF(I3007="","",IFERROR(INDEX(catGrupo,MATCH(D3007,catNom,0))&amp;"",""))</f>
        <v/>
      </c>
      <c r="K3007" s="19">
        <f>IF(I3007="Gasto",IF(IFERROR(INDEX(catClas,MATCH(D3007,catNom,0))&amp;"","")="","Variable",IFERROR(INDEX(catClas,MATCH(D3007,catNom,0))&amp;"","")),"")</f>
        <v/>
      </c>
      <c r="L3007" s="19">
        <f>IF(I3007="","",IFERROR(INDEX(catAlim,MATCH(D3007,catNom,0))&amp;"",""))</f>
        <v/>
      </c>
      <c r="M3007" s="19">
        <f>IF(I3007="","",IFERROR(INDEX(catComida,MATCH(D3007,catNom,0))&amp;"",""))</f>
        <v/>
      </c>
      <c r="N3007" s="19">
        <f>IF(I3007="","",IFERROR(INDEX(ctaMon,MATCH(E3007,ctaNom,0))&amp;"","DOP"))</f>
        <v/>
      </c>
      <c r="O3007" s="20">
        <f>IF(I3007="","",C3007*IF(N3007="USD",TasaUSD,1))</f>
        <v/>
      </c>
      <c r="P3007" s="20">
        <f>IF(I3007="","",IF(I3007="Gasto",O3007,0))</f>
        <v/>
      </c>
      <c r="Q3007" s="20">
        <f>IF(I3007="","",IF(I3007="Ingreso",O3007,0))</f>
        <v/>
      </c>
      <c r="R3007" s="20">
        <f>IF(I3007="","",IF(I3007="Trading",O3007,0))</f>
        <v/>
      </c>
      <c r="S3007" s="19">
        <f>IF(I3007="","",IF(AND(I3007="Gasto",K3007="Variable",J3007&lt;&gt;"Trading",O3007&gt;0,O3007&lt;=Umbral),1,0))</f>
        <v/>
      </c>
      <c r="T3007" s="20">
        <f>IF(OR(I3007="",E3007=""),"",IF(OR(I3007="Gasto",I3007="Transferencia",I3007="Pago tarjeta"),-1,1)*C3007)</f>
        <v/>
      </c>
      <c r="U3007" s="20">
        <f>IF(OR(G3007="",AND(I3007&lt;&gt;"Transferencia",I3007&lt;&gt;"Pago tarjeta")),"",IF(IFERROR(INDEX(ctaMon,MATCH(G3007,ctaNom,0))&amp;"","DOP")=N3007,C3007,IF(N3007="USD",C3007*TasaUSD,C3007/TasaUSD)))</f>
        <v/>
      </c>
      <c r="V3007" s="20">
        <f>IF(I3007="","",IF(IFERROR(INDEX(ctaLiq,MATCH(E3007,ctaNom,0))="Sí",FALSE),IF(OR(I3007="Gasto",I3007="Transferencia",I3007="Pago tarjeta"),-1,1)*O3007,0)+IF(AND(U3007&lt;&gt;"",IFERROR(INDEX(ctaLiq,MATCH(G3007,ctaNom,0))="Sí",FALSE)),O3007,0))</f>
        <v/>
      </c>
      <c r="W3007" s="19">
        <f>IF(OR(F3007="",I3007=""),"",IF(COUNTIFS(F$6:F3007,F3007,I$6:I3007,"?*")=1,MAX(W$5:W3006)+1,""))</f>
        <v/>
      </c>
    </row>
    <row r="3008">
      <c r="B3008" s="15" t="n"/>
      <c r="C3008" s="16" t="n"/>
      <c r="D3008" s="17" t="n"/>
      <c r="E3008" s="17" t="n"/>
      <c r="F3008" s="17" t="n"/>
      <c r="G3008" s="17" t="n"/>
      <c r="H3008" s="18">
        <f>IF(AND(B3008="",C3008="",D3008="",E3008=""),"",IF(B3008="","⚠ Falta fecha",IF(C3008="","⚠ Falta monto",IF(D3008="","⚠ Falta categoría",IF(ISNA(MATCH(D3008,catNom,0)),"⚠ Categoría no existe",IF(E3008="","⚠ Falta cuenta",IF(ISNA(MATCH(E3008,ctaNom,0)),"⚠ Cuenta no existe",IF(AND(OR(I3008="Transferencia",I3008="Pago tarjeta"),G3008=""),"⚠ Indica la cuenta «Hacia»",IF(AND(G3008&lt;&gt;"",G3008=E3008),"⚠ «Hacia» igual a la cuenta",IF(AND(G3008&lt;&gt;"",ISNA(MATCH(G3008,ctaNom,0))),"⚠ «Hacia» no existe",IF(AND(I3008="Pago tarjeta",IFERROR(INDEX(ctaTipo,MATCH(G3008,ctaNom,0)),"")&lt;&gt;"Tarjeta de crédito"),"⚠ «Hacia» debe ser la tarjeta",IF(AND(I3008="Trading",IFERROR(INDEX(ctaTipo,MATCH(E3008,ctaNom,0)),"")&lt;&gt;"Cuenta de trading"),"⚠ Usa la cuenta de trading","✓"))))))))))))</f>
        <v/>
      </c>
      <c r="I3008" s="19">
        <f>IF(OR(B3008="",C3008="",D3008=""),"",IFERROR(INDEX(catTipo,MATCH(D3008,catNom,0))&amp;"",""))</f>
        <v/>
      </c>
      <c r="J3008" s="19">
        <f>IF(I3008="","",IFERROR(INDEX(catGrupo,MATCH(D3008,catNom,0))&amp;"",""))</f>
        <v/>
      </c>
      <c r="K3008" s="19">
        <f>IF(I3008="Gasto",IF(IFERROR(INDEX(catClas,MATCH(D3008,catNom,0))&amp;"","")="","Variable",IFERROR(INDEX(catClas,MATCH(D3008,catNom,0))&amp;"","")),"")</f>
        <v/>
      </c>
      <c r="L3008" s="19">
        <f>IF(I3008="","",IFERROR(INDEX(catAlim,MATCH(D3008,catNom,0))&amp;"",""))</f>
        <v/>
      </c>
      <c r="M3008" s="19">
        <f>IF(I3008="","",IFERROR(INDEX(catComida,MATCH(D3008,catNom,0))&amp;"",""))</f>
        <v/>
      </c>
      <c r="N3008" s="19">
        <f>IF(I3008="","",IFERROR(INDEX(ctaMon,MATCH(E3008,ctaNom,0))&amp;"","DOP"))</f>
        <v/>
      </c>
      <c r="O3008" s="20">
        <f>IF(I3008="","",C3008*IF(N3008="USD",TasaUSD,1))</f>
        <v/>
      </c>
      <c r="P3008" s="20">
        <f>IF(I3008="","",IF(I3008="Gasto",O3008,0))</f>
        <v/>
      </c>
      <c r="Q3008" s="20">
        <f>IF(I3008="","",IF(I3008="Ingreso",O3008,0))</f>
        <v/>
      </c>
      <c r="R3008" s="20">
        <f>IF(I3008="","",IF(I3008="Trading",O3008,0))</f>
        <v/>
      </c>
      <c r="S3008" s="19">
        <f>IF(I3008="","",IF(AND(I3008="Gasto",K3008="Variable",J3008&lt;&gt;"Trading",O3008&gt;0,O3008&lt;=Umbral),1,0))</f>
        <v/>
      </c>
      <c r="T3008" s="20">
        <f>IF(OR(I3008="",E3008=""),"",IF(OR(I3008="Gasto",I3008="Transferencia",I3008="Pago tarjeta"),-1,1)*C3008)</f>
        <v/>
      </c>
      <c r="U3008" s="20">
        <f>IF(OR(G3008="",AND(I3008&lt;&gt;"Transferencia",I3008&lt;&gt;"Pago tarjeta")),"",IF(IFERROR(INDEX(ctaMon,MATCH(G3008,ctaNom,0))&amp;"","DOP")=N3008,C3008,IF(N3008="USD",C3008*TasaUSD,C3008/TasaUSD)))</f>
        <v/>
      </c>
      <c r="V3008" s="20">
        <f>IF(I3008="","",IF(IFERROR(INDEX(ctaLiq,MATCH(E3008,ctaNom,0))="Sí",FALSE),IF(OR(I3008="Gasto",I3008="Transferencia",I3008="Pago tarjeta"),-1,1)*O3008,0)+IF(AND(U3008&lt;&gt;"",IFERROR(INDEX(ctaLiq,MATCH(G3008,ctaNom,0))="Sí",FALSE)),O3008,0))</f>
        <v/>
      </c>
      <c r="W3008" s="19">
        <f>IF(OR(F3008="",I3008=""),"",IF(COUNTIFS(F$6:F3008,F3008,I$6:I3008,"?*")=1,MAX(W$5:W3007)+1,""))</f>
        <v/>
      </c>
    </row>
    <row r="3009">
      <c r="B3009" s="15" t="n"/>
      <c r="C3009" s="16" t="n"/>
      <c r="D3009" s="17" t="n"/>
      <c r="E3009" s="17" t="n"/>
      <c r="F3009" s="17" t="n"/>
      <c r="G3009" s="17" t="n"/>
      <c r="H3009" s="18">
        <f>IF(AND(B3009="",C3009="",D3009="",E3009=""),"",IF(B3009="","⚠ Falta fecha",IF(C3009="","⚠ Falta monto",IF(D3009="","⚠ Falta categoría",IF(ISNA(MATCH(D3009,catNom,0)),"⚠ Categoría no existe",IF(E3009="","⚠ Falta cuenta",IF(ISNA(MATCH(E3009,ctaNom,0)),"⚠ Cuenta no existe",IF(AND(OR(I3009="Transferencia",I3009="Pago tarjeta"),G3009=""),"⚠ Indica la cuenta «Hacia»",IF(AND(G3009&lt;&gt;"",G3009=E3009),"⚠ «Hacia» igual a la cuenta",IF(AND(G3009&lt;&gt;"",ISNA(MATCH(G3009,ctaNom,0))),"⚠ «Hacia» no existe",IF(AND(I3009="Pago tarjeta",IFERROR(INDEX(ctaTipo,MATCH(G3009,ctaNom,0)),"")&lt;&gt;"Tarjeta de crédito"),"⚠ «Hacia» debe ser la tarjeta",IF(AND(I3009="Trading",IFERROR(INDEX(ctaTipo,MATCH(E3009,ctaNom,0)),"")&lt;&gt;"Cuenta de trading"),"⚠ Usa la cuenta de trading","✓"))))))))))))</f>
        <v/>
      </c>
      <c r="I3009" s="19">
        <f>IF(OR(B3009="",C3009="",D3009=""),"",IFERROR(INDEX(catTipo,MATCH(D3009,catNom,0))&amp;"",""))</f>
        <v/>
      </c>
      <c r="J3009" s="19">
        <f>IF(I3009="","",IFERROR(INDEX(catGrupo,MATCH(D3009,catNom,0))&amp;"",""))</f>
        <v/>
      </c>
      <c r="K3009" s="19">
        <f>IF(I3009="Gasto",IF(IFERROR(INDEX(catClas,MATCH(D3009,catNom,0))&amp;"","")="","Variable",IFERROR(INDEX(catClas,MATCH(D3009,catNom,0))&amp;"","")),"")</f>
        <v/>
      </c>
      <c r="L3009" s="19">
        <f>IF(I3009="","",IFERROR(INDEX(catAlim,MATCH(D3009,catNom,0))&amp;"",""))</f>
        <v/>
      </c>
      <c r="M3009" s="19">
        <f>IF(I3009="","",IFERROR(INDEX(catComida,MATCH(D3009,catNom,0))&amp;"",""))</f>
        <v/>
      </c>
      <c r="N3009" s="19">
        <f>IF(I3009="","",IFERROR(INDEX(ctaMon,MATCH(E3009,ctaNom,0))&amp;"","DOP"))</f>
        <v/>
      </c>
      <c r="O3009" s="20">
        <f>IF(I3009="","",C3009*IF(N3009="USD",TasaUSD,1))</f>
        <v/>
      </c>
      <c r="P3009" s="20">
        <f>IF(I3009="","",IF(I3009="Gasto",O3009,0))</f>
        <v/>
      </c>
      <c r="Q3009" s="20">
        <f>IF(I3009="","",IF(I3009="Ingreso",O3009,0))</f>
        <v/>
      </c>
      <c r="R3009" s="20">
        <f>IF(I3009="","",IF(I3009="Trading",O3009,0))</f>
        <v/>
      </c>
      <c r="S3009" s="19">
        <f>IF(I3009="","",IF(AND(I3009="Gasto",K3009="Variable",J3009&lt;&gt;"Trading",O3009&gt;0,O3009&lt;=Umbral),1,0))</f>
        <v/>
      </c>
      <c r="T3009" s="20">
        <f>IF(OR(I3009="",E3009=""),"",IF(OR(I3009="Gasto",I3009="Transferencia",I3009="Pago tarjeta"),-1,1)*C3009)</f>
        <v/>
      </c>
      <c r="U3009" s="20">
        <f>IF(OR(G3009="",AND(I3009&lt;&gt;"Transferencia",I3009&lt;&gt;"Pago tarjeta")),"",IF(IFERROR(INDEX(ctaMon,MATCH(G3009,ctaNom,0))&amp;"","DOP")=N3009,C3009,IF(N3009="USD",C3009*TasaUSD,C3009/TasaUSD)))</f>
        <v/>
      </c>
      <c r="V3009" s="20">
        <f>IF(I3009="","",IF(IFERROR(INDEX(ctaLiq,MATCH(E3009,ctaNom,0))="Sí",FALSE),IF(OR(I3009="Gasto",I3009="Transferencia",I3009="Pago tarjeta"),-1,1)*O3009,0)+IF(AND(U3009&lt;&gt;"",IFERROR(INDEX(ctaLiq,MATCH(G3009,ctaNom,0))="Sí",FALSE)),O3009,0))</f>
        <v/>
      </c>
      <c r="W3009" s="19">
        <f>IF(OR(F3009="",I3009=""),"",IF(COUNTIFS(F$6:F3009,F3009,I$6:I3009,"?*")=1,MAX(W$5:W3008)+1,""))</f>
        <v/>
      </c>
    </row>
    <row r="3010">
      <c r="B3010" s="15" t="n"/>
      <c r="C3010" s="16" t="n"/>
      <c r="D3010" s="17" t="n"/>
      <c r="E3010" s="17" t="n"/>
      <c r="F3010" s="17" t="n"/>
      <c r="G3010" s="17" t="n"/>
      <c r="H3010" s="18">
        <f>IF(AND(B3010="",C3010="",D3010="",E3010=""),"",IF(B3010="","⚠ Falta fecha",IF(C3010="","⚠ Falta monto",IF(D3010="","⚠ Falta categoría",IF(ISNA(MATCH(D3010,catNom,0)),"⚠ Categoría no existe",IF(E3010="","⚠ Falta cuenta",IF(ISNA(MATCH(E3010,ctaNom,0)),"⚠ Cuenta no existe",IF(AND(OR(I3010="Transferencia",I3010="Pago tarjeta"),G3010=""),"⚠ Indica la cuenta «Hacia»",IF(AND(G3010&lt;&gt;"",G3010=E3010),"⚠ «Hacia» igual a la cuenta",IF(AND(G3010&lt;&gt;"",ISNA(MATCH(G3010,ctaNom,0))),"⚠ «Hacia» no existe",IF(AND(I3010="Pago tarjeta",IFERROR(INDEX(ctaTipo,MATCH(G3010,ctaNom,0)),"")&lt;&gt;"Tarjeta de crédito"),"⚠ «Hacia» debe ser la tarjeta",IF(AND(I3010="Trading",IFERROR(INDEX(ctaTipo,MATCH(E3010,ctaNom,0)),"")&lt;&gt;"Cuenta de trading"),"⚠ Usa la cuenta de trading","✓"))))))))))))</f>
        <v/>
      </c>
      <c r="I3010" s="19">
        <f>IF(OR(B3010="",C3010="",D3010=""),"",IFERROR(INDEX(catTipo,MATCH(D3010,catNom,0))&amp;"",""))</f>
        <v/>
      </c>
      <c r="J3010" s="19">
        <f>IF(I3010="","",IFERROR(INDEX(catGrupo,MATCH(D3010,catNom,0))&amp;"",""))</f>
        <v/>
      </c>
      <c r="K3010" s="19">
        <f>IF(I3010="Gasto",IF(IFERROR(INDEX(catClas,MATCH(D3010,catNom,0))&amp;"","")="","Variable",IFERROR(INDEX(catClas,MATCH(D3010,catNom,0))&amp;"","")),"")</f>
        <v/>
      </c>
      <c r="L3010" s="19">
        <f>IF(I3010="","",IFERROR(INDEX(catAlim,MATCH(D3010,catNom,0))&amp;"",""))</f>
        <v/>
      </c>
      <c r="M3010" s="19">
        <f>IF(I3010="","",IFERROR(INDEX(catComida,MATCH(D3010,catNom,0))&amp;"",""))</f>
        <v/>
      </c>
      <c r="N3010" s="19">
        <f>IF(I3010="","",IFERROR(INDEX(ctaMon,MATCH(E3010,ctaNom,0))&amp;"","DOP"))</f>
        <v/>
      </c>
      <c r="O3010" s="20">
        <f>IF(I3010="","",C3010*IF(N3010="USD",TasaUSD,1))</f>
        <v/>
      </c>
      <c r="P3010" s="20">
        <f>IF(I3010="","",IF(I3010="Gasto",O3010,0))</f>
        <v/>
      </c>
      <c r="Q3010" s="20">
        <f>IF(I3010="","",IF(I3010="Ingreso",O3010,0))</f>
        <v/>
      </c>
      <c r="R3010" s="20">
        <f>IF(I3010="","",IF(I3010="Trading",O3010,0))</f>
        <v/>
      </c>
      <c r="S3010" s="19">
        <f>IF(I3010="","",IF(AND(I3010="Gasto",K3010="Variable",J3010&lt;&gt;"Trading",O3010&gt;0,O3010&lt;=Umbral),1,0))</f>
        <v/>
      </c>
      <c r="T3010" s="20">
        <f>IF(OR(I3010="",E3010=""),"",IF(OR(I3010="Gasto",I3010="Transferencia",I3010="Pago tarjeta"),-1,1)*C3010)</f>
        <v/>
      </c>
      <c r="U3010" s="20">
        <f>IF(OR(G3010="",AND(I3010&lt;&gt;"Transferencia",I3010&lt;&gt;"Pago tarjeta")),"",IF(IFERROR(INDEX(ctaMon,MATCH(G3010,ctaNom,0))&amp;"","DOP")=N3010,C3010,IF(N3010="USD",C3010*TasaUSD,C3010/TasaUSD)))</f>
        <v/>
      </c>
      <c r="V3010" s="20">
        <f>IF(I3010="","",IF(IFERROR(INDEX(ctaLiq,MATCH(E3010,ctaNom,0))="Sí",FALSE),IF(OR(I3010="Gasto",I3010="Transferencia",I3010="Pago tarjeta"),-1,1)*O3010,0)+IF(AND(U3010&lt;&gt;"",IFERROR(INDEX(ctaLiq,MATCH(G3010,ctaNom,0))="Sí",FALSE)),O3010,0))</f>
        <v/>
      </c>
      <c r="W3010" s="19">
        <f>IF(OR(F3010="",I3010=""),"",IF(COUNTIFS(F$6:F3010,F3010,I$6:I3010,"?*")=1,MAX(W$5:W3009)+1,""))</f>
        <v/>
      </c>
    </row>
    <row r="3011">
      <c r="B3011" s="15" t="n"/>
      <c r="C3011" s="16" t="n"/>
      <c r="D3011" s="17" t="n"/>
      <c r="E3011" s="17" t="n"/>
      <c r="F3011" s="17" t="n"/>
      <c r="G3011" s="17" t="n"/>
      <c r="H3011" s="18">
        <f>IF(AND(B3011="",C3011="",D3011="",E3011=""),"",IF(B3011="","⚠ Falta fecha",IF(C3011="","⚠ Falta monto",IF(D3011="","⚠ Falta categoría",IF(ISNA(MATCH(D3011,catNom,0)),"⚠ Categoría no existe",IF(E3011="","⚠ Falta cuenta",IF(ISNA(MATCH(E3011,ctaNom,0)),"⚠ Cuenta no existe",IF(AND(OR(I3011="Transferencia",I3011="Pago tarjeta"),G3011=""),"⚠ Indica la cuenta «Hacia»",IF(AND(G3011&lt;&gt;"",G3011=E3011),"⚠ «Hacia» igual a la cuenta",IF(AND(G3011&lt;&gt;"",ISNA(MATCH(G3011,ctaNom,0))),"⚠ «Hacia» no existe",IF(AND(I3011="Pago tarjeta",IFERROR(INDEX(ctaTipo,MATCH(G3011,ctaNom,0)),"")&lt;&gt;"Tarjeta de crédito"),"⚠ «Hacia» debe ser la tarjeta",IF(AND(I3011="Trading",IFERROR(INDEX(ctaTipo,MATCH(E3011,ctaNom,0)),"")&lt;&gt;"Cuenta de trading"),"⚠ Usa la cuenta de trading","✓"))))))))))))</f>
        <v/>
      </c>
      <c r="I3011" s="19">
        <f>IF(OR(B3011="",C3011="",D3011=""),"",IFERROR(INDEX(catTipo,MATCH(D3011,catNom,0))&amp;"",""))</f>
        <v/>
      </c>
      <c r="J3011" s="19">
        <f>IF(I3011="","",IFERROR(INDEX(catGrupo,MATCH(D3011,catNom,0))&amp;"",""))</f>
        <v/>
      </c>
      <c r="K3011" s="19">
        <f>IF(I3011="Gasto",IF(IFERROR(INDEX(catClas,MATCH(D3011,catNom,0))&amp;"","")="","Variable",IFERROR(INDEX(catClas,MATCH(D3011,catNom,0))&amp;"","")),"")</f>
        <v/>
      </c>
      <c r="L3011" s="19">
        <f>IF(I3011="","",IFERROR(INDEX(catAlim,MATCH(D3011,catNom,0))&amp;"",""))</f>
        <v/>
      </c>
      <c r="M3011" s="19">
        <f>IF(I3011="","",IFERROR(INDEX(catComida,MATCH(D3011,catNom,0))&amp;"",""))</f>
        <v/>
      </c>
      <c r="N3011" s="19">
        <f>IF(I3011="","",IFERROR(INDEX(ctaMon,MATCH(E3011,ctaNom,0))&amp;"","DOP"))</f>
        <v/>
      </c>
      <c r="O3011" s="20">
        <f>IF(I3011="","",C3011*IF(N3011="USD",TasaUSD,1))</f>
        <v/>
      </c>
      <c r="P3011" s="20">
        <f>IF(I3011="","",IF(I3011="Gasto",O3011,0))</f>
        <v/>
      </c>
      <c r="Q3011" s="20">
        <f>IF(I3011="","",IF(I3011="Ingreso",O3011,0))</f>
        <v/>
      </c>
      <c r="R3011" s="20">
        <f>IF(I3011="","",IF(I3011="Trading",O3011,0))</f>
        <v/>
      </c>
      <c r="S3011" s="19">
        <f>IF(I3011="","",IF(AND(I3011="Gasto",K3011="Variable",J3011&lt;&gt;"Trading",O3011&gt;0,O3011&lt;=Umbral),1,0))</f>
        <v/>
      </c>
      <c r="T3011" s="20">
        <f>IF(OR(I3011="",E3011=""),"",IF(OR(I3011="Gasto",I3011="Transferencia",I3011="Pago tarjeta"),-1,1)*C3011)</f>
        <v/>
      </c>
      <c r="U3011" s="20">
        <f>IF(OR(G3011="",AND(I3011&lt;&gt;"Transferencia",I3011&lt;&gt;"Pago tarjeta")),"",IF(IFERROR(INDEX(ctaMon,MATCH(G3011,ctaNom,0))&amp;"","DOP")=N3011,C3011,IF(N3011="USD",C3011*TasaUSD,C3011/TasaUSD)))</f>
        <v/>
      </c>
      <c r="V3011" s="20">
        <f>IF(I3011="","",IF(IFERROR(INDEX(ctaLiq,MATCH(E3011,ctaNom,0))="Sí",FALSE),IF(OR(I3011="Gasto",I3011="Transferencia",I3011="Pago tarjeta"),-1,1)*O3011,0)+IF(AND(U3011&lt;&gt;"",IFERROR(INDEX(ctaLiq,MATCH(G3011,ctaNom,0))="Sí",FALSE)),O3011,0))</f>
        <v/>
      </c>
      <c r="W3011" s="19">
        <f>IF(OR(F3011="",I3011=""),"",IF(COUNTIFS(F$6:F3011,F3011,I$6:I3011,"?*")=1,MAX(W$5:W3010)+1,""))</f>
        <v/>
      </c>
    </row>
    <row r="3012">
      <c r="B3012" s="15" t="n"/>
      <c r="C3012" s="16" t="n"/>
      <c r="D3012" s="17" t="n"/>
      <c r="E3012" s="17" t="n"/>
      <c r="F3012" s="17" t="n"/>
      <c r="G3012" s="17" t="n"/>
      <c r="H3012" s="18">
        <f>IF(AND(B3012="",C3012="",D3012="",E3012=""),"",IF(B3012="","⚠ Falta fecha",IF(C3012="","⚠ Falta monto",IF(D3012="","⚠ Falta categoría",IF(ISNA(MATCH(D3012,catNom,0)),"⚠ Categoría no existe",IF(E3012="","⚠ Falta cuenta",IF(ISNA(MATCH(E3012,ctaNom,0)),"⚠ Cuenta no existe",IF(AND(OR(I3012="Transferencia",I3012="Pago tarjeta"),G3012=""),"⚠ Indica la cuenta «Hacia»",IF(AND(G3012&lt;&gt;"",G3012=E3012),"⚠ «Hacia» igual a la cuenta",IF(AND(G3012&lt;&gt;"",ISNA(MATCH(G3012,ctaNom,0))),"⚠ «Hacia» no existe",IF(AND(I3012="Pago tarjeta",IFERROR(INDEX(ctaTipo,MATCH(G3012,ctaNom,0)),"")&lt;&gt;"Tarjeta de crédito"),"⚠ «Hacia» debe ser la tarjeta",IF(AND(I3012="Trading",IFERROR(INDEX(ctaTipo,MATCH(E3012,ctaNom,0)),"")&lt;&gt;"Cuenta de trading"),"⚠ Usa la cuenta de trading","✓"))))))))))))</f>
        <v/>
      </c>
      <c r="I3012" s="19">
        <f>IF(OR(B3012="",C3012="",D3012=""),"",IFERROR(INDEX(catTipo,MATCH(D3012,catNom,0))&amp;"",""))</f>
        <v/>
      </c>
      <c r="J3012" s="19">
        <f>IF(I3012="","",IFERROR(INDEX(catGrupo,MATCH(D3012,catNom,0))&amp;"",""))</f>
        <v/>
      </c>
      <c r="K3012" s="19">
        <f>IF(I3012="Gasto",IF(IFERROR(INDEX(catClas,MATCH(D3012,catNom,0))&amp;"","")="","Variable",IFERROR(INDEX(catClas,MATCH(D3012,catNom,0))&amp;"","")),"")</f>
        <v/>
      </c>
      <c r="L3012" s="19">
        <f>IF(I3012="","",IFERROR(INDEX(catAlim,MATCH(D3012,catNom,0))&amp;"",""))</f>
        <v/>
      </c>
      <c r="M3012" s="19">
        <f>IF(I3012="","",IFERROR(INDEX(catComida,MATCH(D3012,catNom,0))&amp;"",""))</f>
        <v/>
      </c>
      <c r="N3012" s="19">
        <f>IF(I3012="","",IFERROR(INDEX(ctaMon,MATCH(E3012,ctaNom,0))&amp;"","DOP"))</f>
        <v/>
      </c>
      <c r="O3012" s="20">
        <f>IF(I3012="","",C3012*IF(N3012="USD",TasaUSD,1))</f>
        <v/>
      </c>
      <c r="P3012" s="20">
        <f>IF(I3012="","",IF(I3012="Gasto",O3012,0))</f>
        <v/>
      </c>
      <c r="Q3012" s="20">
        <f>IF(I3012="","",IF(I3012="Ingreso",O3012,0))</f>
        <v/>
      </c>
      <c r="R3012" s="20">
        <f>IF(I3012="","",IF(I3012="Trading",O3012,0))</f>
        <v/>
      </c>
      <c r="S3012" s="19">
        <f>IF(I3012="","",IF(AND(I3012="Gasto",K3012="Variable",J3012&lt;&gt;"Trading",O3012&gt;0,O3012&lt;=Umbral),1,0))</f>
        <v/>
      </c>
      <c r="T3012" s="20">
        <f>IF(OR(I3012="",E3012=""),"",IF(OR(I3012="Gasto",I3012="Transferencia",I3012="Pago tarjeta"),-1,1)*C3012)</f>
        <v/>
      </c>
      <c r="U3012" s="20">
        <f>IF(OR(G3012="",AND(I3012&lt;&gt;"Transferencia",I3012&lt;&gt;"Pago tarjeta")),"",IF(IFERROR(INDEX(ctaMon,MATCH(G3012,ctaNom,0))&amp;"","DOP")=N3012,C3012,IF(N3012="USD",C3012*TasaUSD,C3012/TasaUSD)))</f>
        <v/>
      </c>
      <c r="V3012" s="20">
        <f>IF(I3012="","",IF(IFERROR(INDEX(ctaLiq,MATCH(E3012,ctaNom,0))="Sí",FALSE),IF(OR(I3012="Gasto",I3012="Transferencia",I3012="Pago tarjeta"),-1,1)*O3012,0)+IF(AND(U3012&lt;&gt;"",IFERROR(INDEX(ctaLiq,MATCH(G3012,ctaNom,0))="Sí",FALSE)),O3012,0))</f>
        <v/>
      </c>
      <c r="W3012" s="19">
        <f>IF(OR(F3012="",I3012=""),"",IF(COUNTIFS(F$6:F3012,F3012,I$6:I3012,"?*")=1,MAX(W$5:W3011)+1,""))</f>
        <v/>
      </c>
    </row>
    <row r="3013">
      <c r="B3013" s="15" t="n"/>
      <c r="C3013" s="16" t="n"/>
      <c r="D3013" s="17" t="n"/>
      <c r="E3013" s="17" t="n"/>
      <c r="F3013" s="17" t="n"/>
      <c r="G3013" s="17" t="n"/>
      <c r="H3013" s="18">
        <f>IF(AND(B3013="",C3013="",D3013="",E3013=""),"",IF(B3013="","⚠ Falta fecha",IF(C3013="","⚠ Falta monto",IF(D3013="","⚠ Falta categoría",IF(ISNA(MATCH(D3013,catNom,0)),"⚠ Categoría no existe",IF(E3013="","⚠ Falta cuenta",IF(ISNA(MATCH(E3013,ctaNom,0)),"⚠ Cuenta no existe",IF(AND(OR(I3013="Transferencia",I3013="Pago tarjeta"),G3013=""),"⚠ Indica la cuenta «Hacia»",IF(AND(G3013&lt;&gt;"",G3013=E3013),"⚠ «Hacia» igual a la cuenta",IF(AND(G3013&lt;&gt;"",ISNA(MATCH(G3013,ctaNom,0))),"⚠ «Hacia» no existe",IF(AND(I3013="Pago tarjeta",IFERROR(INDEX(ctaTipo,MATCH(G3013,ctaNom,0)),"")&lt;&gt;"Tarjeta de crédito"),"⚠ «Hacia» debe ser la tarjeta",IF(AND(I3013="Trading",IFERROR(INDEX(ctaTipo,MATCH(E3013,ctaNom,0)),"")&lt;&gt;"Cuenta de trading"),"⚠ Usa la cuenta de trading","✓"))))))))))))</f>
        <v/>
      </c>
      <c r="I3013" s="19">
        <f>IF(OR(B3013="",C3013="",D3013=""),"",IFERROR(INDEX(catTipo,MATCH(D3013,catNom,0))&amp;"",""))</f>
        <v/>
      </c>
      <c r="J3013" s="19">
        <f>IF(I3013="","",IFERROR(INDEX(catGrupo,MATCH(D3013,catNom,0))&amp;"",""))</f>
        <v/>
      </c>
      <c r="K3013" s="19">
        <f>IF(I3013="Gasto",IF(IFERROR(INDEX(catClas,MATCH(D3013,catNom,0))&amp;"","")="","Variable",IFERROR(INDEX(catClas,MATCH(D3013,catNom,0))&amp;"","")),"")</f>
        <v/>
      </c>
      <c r="L3013" s="19">
        <f>IF(I3013="","",IFERROR(INDEX(catAlim,MATCH(D3013,catNom,0))&amp;"",""))</f>
        <v/>
      </c>
      <c r="M3013" s="19">
        <f>IF(I3013="","",IFERROR(INDEX(catComida,MATCH(D3013,catNom,0))&amp;"",""))</f>
        <v/>
      </c>
      <c r="N3013" s="19">
        <f>IF(I3013="","",IFERROR(INDEX(ctaMon,MATCH(E3013,ctaNom,0))&amp;"","DOP"))</f>
        <v/>
      </c>
      <c r="O3013" s="20">
        <f>IF(I3013="","",C3013*IF(N3013="USD",TasaUSD,1))</f>
        <v/>
      </c>
      <c r="P3013" s="20">
        <f>IF(I3013="","",IF(I3013="Gasto",O3013,0))</f>
        <v/>
      </c>
      <c r="Q3013" s="20">
        <f>IF(I3013="","",IF(I3013="Ingreso",O3013,0))</f>
        <v/>
      </c>
      <c r="R3013" s="20">
        <f>IF(I3013="","",IF(I3013="Trading",O3013,0))</f>
        <v/>
      </c>
      <c r="S3013" s="19">
        <f>IF(I3013="","",IF(AND(I3013="Gasto",K3013="Variable",J3013&lt;&gt;"Trading",O3013&gt;0,O3013&lt;=Umbral),1,0))</f>
        <v/>
      </c>
      <c r="T3013" s="20">
        <f>IF(OR(I3013="",E3013=""),"",IF(OR(I3013="Gasto",I3013="Transferencia",I3013="Pago tarjeta"),-1,1)*C3013)</f>
        <v/>
      </c>
      <c r="U3013" s="20">
        <f>IF(OR(G3013="",AND(I3013&lt;&gt;"Transferencia",I3013&lt;&gt;"Pago tarjeta")),"",IF(IFERROR(INDEX(ctaMon,MATCH(G3013,ctaNom,0))&amp;"","DOP")=N3013,C3013,IF(N3013="USD",C3013*TasaUSD,C3013/TasaUSD)))</f>
        <v/>
      </c>
      <c r="V3013" s="20">
        <f>IF(I3013="","",IF(IFERROR(INDEX(ctaLiq,MATCH(E3013,ctaNom,0))="Sí",FALSE),IF(OR(I3013="Gasto",I3013="Transferencia",I3013="Pago tarjeta"),-1,1)*O3013,0)+IF(AND(U3013&lt;&gt;"",IFERROR(INDEX(ctaLiq,MATCH(G3013,ctaNom,0))="Sí",FALSE)),O3013,0))</f>
        <v/>
      </c>
      <c r="W3013" s="19">
        <f>IF(OR(F3013="",I3013=""),"",IF(COUNTIFS(F$6:F3013,F3013,I$6:I3013,"?*")=1,MAX(W$5:W3012)+1,""))</f>
        <v/>
      </c>
    </row>
    <row r="3014">
      <c r="B3014" s="15" t="n"/>
      <c r="C3014" s="16" t="n"/>
      <c r="D3014" s="17" t="n"/>
      <c r="E3014" s="17" t="n"/>
      <c r="F3014" s="17" t="n"/>
      <c r="G3014" s="17" t="n"/>
      <c r="H3014" s="18">
        <f>IF(AND(B3014="",C3014="",D3014="",E3014=""),"",IF(B3014="","⚠ Falta fecha",IF(C3014="","⚠ Falta monto",IF(D3014="","⚠ Falta categoría",IF(ISNA(MATCH(D3014,catNom,0)),"⚠ Categoría no existe",IF(E3014="","⚠ Falta cuenta",IF(ISNA(MATCH(E3014,ctaNom,0)),"⚠ Cuenta no existe",IF(AND(OR(I3014="Transferencia",I3014="Pago tarjeta"),G3014=""),"⚠ Indica la cuenta «Hacia»",IF(AND(G3014&lt;&gt;"",G3014=E3014),"⚠ «Hacia» igual a la cuenta",IF(AND(G3014&lt;&gt;"",ISNA(MATCH(G3014,ctaNom,0))),"⚠ «Hacia» no existe",IF(AND(I3014="Pago tarjeta",IFERROR(INDEX(ctaTipo,MATCH(G3014,ctaNom,0)),"")&lt;&gt;"Tarjeta de crédito"),"⚠ «Hacia» debe ser la tarjeta",IF(AND(I3014="Trading",IFERROR(INDEX(ctaTipo,MATCH(E3014,ctaNom,0)),"")&lt;&gt;"Cuenta de trading"),"⚠ Usa la cuenta de trading","✓"))))))))))))</f>
        <v/>
      </c>
      <c r="I3014" s="19">
        <f>IF(OR(B3014="",C3014="",D3014=""),"",IFERROR(INDEX(catTipo,MATCH(D3014,catNom,0))&amp;"",""))</f>
        <v/>
      </c>
      <c r="J3014" s="19">
        <f>IF(I3014="","",IFERROR(INDEX(catGrupo,MATCH(D3014,catNom,0))&amp;"",""))</f>
        <v/>
      </c>
      <c r="K3014" s="19">
        <f>IF(I3014="Gasto",IF(IFERROR(INDEX(catClas,MATCH(D3014,catNom,0))&amp;"","")="","Variable",IFERROR(INDEX(catClas,MATCH(D3014,catNom,0))&amp;"","")),"")</f>
        <v/>
      </c>
      <c r="L3014" s="19">
        <f>IF(I3014="","",IFERROR(INDEX(catAlim,MATCH(D3014,catNom,0))&amp;"",""))</f>
        <v/>
      </c>
      <c r="M3014" s="19">
        <f>IF(I3014="","",IFERROR(INDEX(catComida,MATCH(D3014,catNom,0))&amp;"",""))</f>
        <v/>
      </c>
      <c r="N3014" s="19">
        <f>IF(I3014="","",IFERROR(INDEX(ctaMon,MATCH(E3014,ctaNom,0))&amp;"","DOP"))</f>
        <v/>
      </c>
      <c r="O3014" s="20">
        <f>IF(I3014="","",C3014*IF(N3014="USD",TasaUSD,1))</f>
        <v/>
      </c>
      <c r="P3014" s="20">
        <f>IF(I3014="","",IF(I3014="Gasto",O3014,0))</f>
        <v/>
      </c>
      <c r="Q3014" s="20">
        <f>IF(I3014="","",IF(I3014="Ingreso",O3014,0))</f>
        <v/>
      </c>
      <c r="R3014" s="20">
        <f>IF(I3014="","",IF(I3014="Trading",O3014,0))</f>
        <v/>
      </c>
      <c r="S3014" s="19">
        <f>IF(I3014="","",IF(AND(I3014="Gasto",K3014="Variable",J3014&lt;&gt;"Trading",O3014&gt;0,O3014&lt;=Umbral),1,0))</f>
        <v/>
      </c>
      <c r="T3014" s="20">
        <f>IF(OR(I3014="",E3014=""),"",IF(OR(I3014="Gasto",I3014="Transferencia",I3014="Pago tarjeta"),-1,1)*C3014)</f>
        <v/>
      </c>
      <c r="U3014" s="20">
        <f>IF(OR(G3014="",AND(I3014&lt;&gt;"Transferencia",I3014&lt;&gt;"Pago tarjeta")),"",IF(IFERROR(INDEX(ctaMon,MATCH(G3014,ctaNom,0))&amp;"","DOP")=N3014,C3014,IF(N3014="USD",C3014*TasaUSD,C3014/TasaUSD)))</f>
        <v/>
      </c>
      <c r="V3014" s="20">
        <f>IF(I3014="","",IF(IFERROR(INDEX(ctaLiq,MATCH(E3014,ctaNom,0))="Sí",FALSE),IF(OR(I3014="Gasto",I3014="Transferencia",I3014="Pago tarjeta"),-1,1)*O3014,0)+IF(AND(U3014&lt;&gt;"",IFERROR(INDEX(ctaLiq,MATCH(G3014,ctaNom,0))="Sí",FALSE)),O3014,0))</f>
        <v/>
      </c>
      <c r="W3014" s="19">
        <f>IF(OR(F3014="",I3014=""),"",IF(COUNTIFS(F$6:F3014,F3014,I$6:I3014,"?*")=1,MAX(W$5:W3013)+1,""))</f>
        <v/>
      </c>
    </row>
    <row r="3015">
      <c r="B3015" s="15" t="n"/>
      <c r="C3015" s="16" t="n"/>
      <c r="D3015" s="17" t="n"/>
      <c r="E3015" s="17" t="n"/>
      <c r="F3015" s="17" t="n"/>
      <c r="G3015" s="17" t="n"/>
      <c r="H3015" s="18">
        <f>IF(AND(B3015="",C3015="",D3015="",E3015=""),"",IF(B3015="","⚠ Falta fecha",IF(C3015="","⚠ Falta monto",IF(D3015="","⚠ Falta categoría",IF(ISNA(MATCH(D3015,catNom,0)),"⚠ Categoría no existe",IF(E3015="","⚠ Falta cuenta",IF(ISNA(MATCH(E3015,ctaNom,0)),"⚠ Cuenta no existe",IF(AND(OR(I3015="Transferencia",I3015="Pago tarjeta"),G3015=""),"⚠ Indica la cuenta «Hacia»",IF(AND(G3015&lt;&gt;"",G3015=E3015),"⚠ «Hacia» igual a la cuenta",IF(AND(G3015&lt;&gt;"",ISNA(MATCH(G3015,ctaNom,0))),"⚠ «Hacia» no existe",IF(AND(I3015="Pago tarjeta",IFERROR(INDEX(ctaTipo,MATCH(G3015,ctaNom,0)),"")&lt;&gt;"Tarjeta de crédito"),"⚠ «Hacia» debe ser la tarjeta",IF(AND(I3015="Trading",IFERROR(INDEX(ctaTipo,MATCH(E3015,ctaNom,0)),"")&lt;&gt;"Cuenta de trading"),"⚠ Usa la cuenta de trading","✓"))))))))))))</f>
        <v/>
      </c>
      <c r="I3015" s="19">
        <f>IF(OR(B3015="",C3015="",D3015=""),"",IFERROR(INDEX(catTipo,MATCH(D3015,catNom,0))&amp;"",""))</f>
        <v/>
      </c>
      <c r="J3015" s="19">
        <f>IF(I3015="","",IFERROR(INDEX(catGrupo,MATCH(D3015,catNom,0))&amp;"",""))</f>
        <v/>
      </c>
      <c r="K3015" s="19">
        <f>IF(I3015="Gasto",IF(IFERROR(INDEX(catClas,MATCH(D3015,catNom,0))&amp;"","")="","Variable",IFERROR(INDEX(catClas,MATCH(D3015,catNom,0))&amp;"","")),"")</f>
        <v/>
      </c>
      <c r="L3015" s="19">
        <f>IF(I3015="","",IFERROR(INDEX(catAlim,MATCH(D3015,catNom,0))&amp;"",""))</f>
        <v/>
      </c>
      <c r="M3015" s="19">
        <f>IF(I3015="","",IFERROR(INDEX(catComida,MATCH(D3015,catNom,0))&amp;"",""))</f>
        <v/>
      </c>
      <c r="N3015" s="19">
        <f>IF(I3015="","",IFERROR(INDEX(ctaMon,MATCH(E3015,ctaNom,0))&amp;"","DOP"))</f>
        <v/>
      </c>
      <c r="O3015" s="20">
        <f>IF(I3015="","",C3015*IF(N3015="USD",TasaUSD,1))</f>
        <v/>
      </c>
      <c r="P3015" s="20">
        <f>IF(I3015="","",IF(I3015="Gasto",O3015,0))</f>
        <v/>
      </c>
      <c r="Q3015" s="20">
        <f>IF(I3015="","",IF(I3015="Ingreso",O3015,0))</f>
        <v/>
      </c>
      <c r="R3015" s="20">
        <f>IF(I3015="","",IF(I3015="Trading",O3015,0))</f>
        <v/>
      </c>
      <c r="S3015" s="19">
        <f>IF(I3015="","",IF(AND(I3015="Gasto",K3015="Variable",J3015&lt;&gt;"Trading",O3015&gt;0,O3015&lt;=Umbral),1,0))</f>
        <v/>
      </c>
      <c r="T3015" s="20">
        <f>IF(OR(I3015="",E3015=""),"",IF(OR(I3015="Gasto",I3015="Transferencia",I3015="Pago tarjeta"),-1,1)*C3015)</f>
        <v/>
      </c>
      <c r="U3015" s="20">
        <f>IF(OR(G3015="",AND(I3015&lt;&gt;"Transferencia",I3015&lt;&gt;"Pago tarjeta")),"",IF(IFERROR(INDEX(ctaMon,MATCH(G3015,ctaNom,0))&amp;"","DOP")=N3015,C3015,IF(N3015="USD",C3015*TasaUSD,C3015/TasaUSD)))</f>
        <v/>
      </c>
      <c r="V3015" s="20">
        <f>IF(I3015="","",IF(IFERROR(INDEX(ctaLiq,MATCH(E3015,ctaNom,0))="Sí",FALSE),IF(OR(I3015="Gasto",I3015="Transferencia",I3015="Pago tarjeta"),-1,1)*O3015,0)+IF(AND(U3015&lt;&gt;"",IFERROR(INDEX(ctaLiq,MATCH(G3015,ctaNom,0))="Sí",FALSE)),O3015,0))</f>
        <v/>
      </c>
      <c r="W3015" s="19">
        <f>IF(OR(F3015="",I3015=""),"",IF(COUNTIFS(F$6:F3015,F3015,I$6:I3015,"?*")=1,MAX(W$5:W3014)+1,""))</f>
        <v/>
      </c>
    </row>
    <row r="3016">
      <c r="B3016" s="15" t="n"/>
      <c r="C3016" s="16" t="n"/>
      <c r="D3016" s="17" t="n"/>
      <c r="E3016" s="17" t="n"/>
      <c r="F3016" s="17" t="n"/>
      <c r="G3016" s="17" t="n"/>
      <c r="H3016" s="18">
        <f>IF(AND(B3016="",C3016="",D3016="",E3016=""),"",IF(B3016="","⚠ Falta fecha",IF(C3016="","⚠ Falta monto",IF(D3016="","⚠ Falta categoría",IF(ISNA(MATCH(D3016,catNom,0)),"⚠ Categoría no existe",IF(E3016="","⚠ Falta cuenta",IF(ISNA(MATCH(E3016,ctaNom,0)),"⚠ Cuenta no existe",IF(AND(OR(I3016="Transferencia",I3016="Pago tarjeta"),G3016=""),"⚠ Indica la cuenta «Hacia»",IF(AND(G3016&lt;&gt;"",G3016=E3016),"⚠ «Hacia» igual a la cuenta",IF(AND(G3016&lt;&gt;"",ISNA(MATCH(G3016,ctaNom,0))),"⚠ «Hacia» no existe",IF(AND(I3016="Pago tarjeta",IFERROR(INDEX(ctaTipo,MATCH(G3016,ctaNom,0)),"")&lt;&gt;"Tarjeta de crédito"),"⚠ «Hacia» debe ser la tarjeta",IF(AND(I3016="Trading",IFERROR(INDEX(ctaTipo,MATCH(E3016,ctaNom,0)),"")&lt;&gt;"Cuenta de trading"),"⚠ Usa la cuenta de trading","✓"))))))))))))</f>
        <v/>
      </c>
      <c r="I3016" s="19">
        <f>IF(OR(B3016="",C3016="",D3016=""),"",IFERROR(INDEX(catTipo,MATCH(D3016,catNom,0))&amp;"",""))</f>
        <v/>
      </c>
      <c r="J3016" s="19">
        <f>IF(I3016="","",IFERROR(INDEX(catGrupo,MATCH(D3016,catNom,0))&amp;"",""))</f>
        <v/>
      </c>
      <c r="K3016" s="19">
        <f>IF(I3016="Gasto",IF(IFERROR(INDEX(catClas,MATCH(D3016,catNom,0))&amp;"","")="","Variable",IFERROR(INDEX(catClas,MATCH(D3016,catNom,0))&amp;"","")),"")</f>
        <v/>
      </c>
      <c r="L3016" s="19">
        <f>IF(I3016="","",IFERROR(INDEX(catAlim,MATCH(D3016,catNom,0))&amp;"",""))</f>
        <v/>
      </c>
      <c r="M3016" s="19">
        <f>IF(I3016="","",IFERROR(INDEX(catComida,MATCH(D3016,catNom,0))&amp;"",""))</f>
        <v/>
      </c>
      <c r="N3016" s="19">
        <f>IF(I3016="","",IFERROR(INDEX(ctaMon,MATCH(E3016,ctaNom,0))&amp;"","DOP"))</f>
        <v/>
      </c>
      <c r="O3016" s="20">
        <f>IF(I3016="","",C3016*IF(N3016="USD",TasaUSD,1))</f>
        <v/>
      </c>
      <c r="P3016" s="20">
        <f>IF(I3016="","",IF(I3016="Gasto",O3016,0))</f>
        <v/>
      </c>
      <c r="Q3016" s="20">
        <f>IF(I3016="","",IF(I3016="Ingreso",O3016,0))</f>
        <v/>
      </c>
      <c r="R3016" s="20">
        <f>IF(I3016="","",IF(I3016="Trading",O3016,0))</f>
        <v/>
      </c>
      <c r="S3016" s="19">
        <f>IF(I3016="","",IF(AND(I3016="Gasto",K3016="Variable",J3016&lt;&gt;"Trading",O3016&gt;0,O3016&lt;=Umbral),1,0))</f>
        <v/>
      </c>
      <c r="T3016" s="20">
        <f>IF(OR(I3016="",E3016=""),"",IF(OR(I3016="Gasto",I3016="Transferencia",I3016="Pago tarjeta"),-1,1)*C3016)</f>
        <v/>
      </c>
      <c r="U3016" s="20">
        <f>IF(OR(G3016="",AND(I3016&lt;&gt;"Transferencia",I3016&lt;&gt;"Pago tarjeta")),"",IF(IFERROR(INDEX(ctaMon,MATCH(G3016,ctaNom,0))&amp;"","DOP")=N3016,C3016,IF(N3016="USD",C3016*TasaUSD,C3016/TasaUSD)))</f>
        <v/>
      </c>
      <c r="V3016" s="20">
        <f>IF(I3016="","",IF(IFERROR(INDEX(ctaLiq,MATCH(E3016,ctaNom,0))="Sí",FALSE),IF(OR(I3016="Gasto",I3016="Transferencia",I3016="Pago tarjeta"),-1,1)*O3016,0)+IF(AND(U3016&lt;&gt;"",IFERROR(INDEX(ctaLiq,MATCH(G3016,ctaNom,0))="Sí",FALSE)),O3016,0))</f>
        <v/>
      </c>
      <c r="W3016" s="19">
        <f>IF(OR(F3016="",I3016=""),"",IF(COUNTIFS(F$6:F3016,F3016,I$6:I3016,"?*")=1,MAX(W$5:W3015)+1,""))</f>
        <v/>
      </c>
    </row>
    <row r="3017">
      <c r="B3017" s="15" t="n"/>
      <c r="C3017" s="16" t="n"/>
      <c r="D3017" s="17" t="n"/>
      <c r="E3017" s="17" t="n"/>
      <c r="F3017" s="17" t="n"/>
      <c r="G3017" s="17" t="n"/>
      <c r="H3017" s="18">
        <f>IF(AND(B3017="",C3017="",D3017="",E3017=""),"",IF(B3017="","⚠ Falta fecha",IF(C3017="","⚠ Falta monto",IF(D3017="","⚠ Falta categoría",IF(ISNA(MATCH(D3017,catNom,0)),"⚠ Categoría no existe",IF(E3017="","⚠ Falta cuenta",IF(ISNA(MATCH(E3017,ctaNom,0)),"⚠ Cuenta no existe",IF(AND(OR(I3017="Transferencia",I3017="Pago tarjeta"),G3017=""),"⚠ Indica la cuenta «Hacia»",IF(AND(G3017&lt;&gt;"",G3017=E3017),"⚠ «Hacia» igual a la cuenta",IF(AND(G3017&lt;&gt;"",ISNA(MATCH(G3017,ctaNom,0))),"⚠ «Hacia» no existe",IF(AND(I3017="Pago tarjeta",IFERROR(INDEX(ctaTipo,MATCH(G3017,ctaNom,0)),"")&lt;&gt;"Tarjeta de crédito"),"⚠ «Hacia» debe ser la tarjeta",IF(AND(I3017="Trading",IFERROR(INDEX(ctaTipo,MATCH(E3017,ctaNom,0)),"")&lt;&gt;"Cuenta de trading"),"⚠ Usa la cuenta de trading","✓"))))))))))))</f>
        <v/>
      </c>
      <c r="I3017" s="19">
        <f>IF(OR(B3017="",C3017="",D3017=""),"",IFERROR(INDEX(catTipo,MATCH(D3017,catNom,0))&amp;"",""))</f>
        <v/>
      </c>
      <c r="J3017" s="19">
        <f>IF(I3017="","",IFERROR(INDEX(catGrupo,MATCH(D3017,catNom,0))&amp;"",""))</f>
        <v/>
      </c>
      <c r="K3017" s="19">
        <f>IF(I3017="Gasto",IF(IFERROR(INDEX(catClas,MATCH(D3017,catNom,0))&amp;"","")="","Variable",IFERROR(INDEX(catClas,MATCH(D3017,catNom,0))&amp;"","")),"")</f>
        <v/>
      </c>
      <c r="L3017" s="19">
        <f>IF(I3017="","",IFERROR(INDEX(catAlim,MATCH(D3017,catNom,0))&amp;"",""))</f>
        <v/>
      </c>
      <c r="M3017" s="19">
        <f>IF(I3017="","",IFERROR(INDEX(catComida,MATCH(D3017,catNom,0))&amp;"",""))</f>
        <v/>
      </c>
      <c r="N3017" s="19">
        <f>IF(I3017="","",IFERROR(INDEX(ctaMon,MATCH(E3017,ctaNom,0))&amp;"","DOP"))</f>
        <v/>
      </c>
      <c r="O3017" s="20">
        <f>IF(I3017="","",C3017*IF(N3017="USD",TasaUSD,1))</f>
        <v/>
      </c>
      <c r="P3017" s="20">
        <f>IF(I3017="","",IF(I3017="Gasto",O3017,0))</f>
        <v/>
      </c>
      <c r="Q3017" s="20">
        <f>IF(I3017="","",IF(I3017="Ingreso",O3017,0))</f>
        <v/>
      </c>
      <c r="R3017" s="20">
        <f>IF(I3017="","",IF(I3017="Trading",O3017,0))</f>
        <v/>
      </c>
      <c r="S3017" s="19">
        <f>IF(I3017="","",IF(AND(I3017="Gasto",K3017="Variable",J3017&lt;&gt;"Trading",O3017&gt;0,O3017&lt;=Umbral),1,0))</f>
        <v/>
      </c>
      <c r="T3017" s="20">
        <f>IF(OR(I3017="",E3017=""),"",IF(OR(I3017="Gasto",I3017="Transferencia",I3017="Pago tarjeta"),-1,1)*C3017)</f>
        <v/>
      </c>
      <c r="U3017" s="20">
        <f>IF(OR(G3017="",AND(I3017&lt;&gt;"Transferencia",I3017&lt;&gt;"Pago tarjeta")),"",IF(IFERROR(INDEX(ctaMon,MATCH(G3017,ctaNom,0))&amp;"","DOP")=N3017,C3017,IF(N3017="USD",C3017*TasaUSD,C3017/TasaUSD)))</f>
        <v/>
      </c>
      <c r="V3017" s="20">
        <f>IF(I3017="","",IF(IFERROR(INDEX(ctaLiq,MATCH(E3017,ctaNom,0))="Sí",FALSE),IF(OR(I3017="Gasto",I3017="Transferencia",I3017="Pago tarjeta"),-1,1)*O3017,0)+IF(AND(U3017&lt;&gt;"",IFERROR(INDEX(ctaLiq,MATCH(G3017,ctaNom,0))="Sí",FALSE)),O3017,0))</f>
        <v/>
      </c>
      <c r="W3017" s="19">
        <f>IF(OR(F3017="",I3017=""),"",IF(COUNTIFS(F$6:F3017,F3017,I$6:I3017,"?*")=1,MAX(W$5:W3016)+1,""))</f>
        <v/>
      </c>
    </row>
    <row r="3018">
      <c r="B3018" s="15" t="n"/>
      <c r="C3018" s="16" t="n"/>
      <c r="D3018" s="17" t="n"/>
      <c r="E3018" s="17" t="n"/>
      <c r="F3018" s="17" t="n"/>
      <c r="G3018" s="17" t="n"/>
      <c r="H3018" s="18">
        <f>IF(AND(B3018="",C3018="",D3018="",E3018=""),"",IF(B3018="","⚠ Falta fecha",IF(C3018="","⚠ Falta monto",IF(D3018="","⚠ Falta categoría",IF(ISNA(MATCH(D3018,catNom,0)),"⚠ Categoría no existe",IF(E3018="","⚠ Falta cuenta",IF(ISNA(MATCH(E3018,ctaNom,0)),"⚠ Cuenta no existe",IF(AND(OR(I3018="Transferencia",I3018="Pago tarjeta"),G3018=""),"⚠ Indica la cuenta «Hacia»",IF(AND(G3018&lt;&gt;"",G3018=E3018),"⚠ «Hacia» igual a la cuenta",IF(AND(G3018&lt;&gt;"",ISNA(MATCH(G3018,ctaNom,0))),"⚠ «Hacia» no existe",IF(AND(I3018="Pago tarjeta",IFERROR(INDEX(ctaTipo,MATCH(G3018,ctaNom,0)),"")&lt;&gt;"Tarjeta de crédito"),"⚠ «Hacia» debe ser la tarjeta",IF(AND(I3018="Trading",IFERROR(INDEX(ctaTipo,MATCH(E3018,ctaNom,0)),"")&lt;&gt;"Cuenta de trading"),"⚠ Usa la cuenta de trading","✓"))))))))))))</f>
        <v/>
      </c>
      <c r="I3018" s="19">
        <f>IF(OR(B3018="",C3018="",D3018=""),"",IFERROR(INDEX(catTipo,MATCH(D3018,catNom,0))&amp;"",""))</f>
        <v/>
      </c>
      <c r="J3018" s="19">
        <f>IF(I3018="","",IFERROR(INDEX(catGrupo,MATCH(D3018,catNom,0))&amp;"",""))</f>
        <v/>
      </c>
      <c r="K3018" s="19">
        <f>IF(I3018="Gasto",IF(IFERROR(INDEX(catClas,MATCH(D3018,catNom,0))&amp;"","")="","Variable",IFERROR(INDEX(catClas,MATCH(D3018,catNom,0))&amp;"","")),"")</f>
        <v/>
      </c>
      <c r="L3018" s="19">
        <f>IF(I3018="","",IFERROR(INDEX(catAlim,MATCH(D3018,catNom,0))&amp;"",""))</f>
        <v/>
      </c>
      <c r="M3018" s="19">
        <f>IF(I3018="","",IFERROR(INDEX(catComida,MATCH(D3018,catNom,0))&amp;"",""))</f>
        <v/>
      </c>
      <c r="N3018" s="19">
        <f>IF(I3018="","",IFERROR(INDEX(ctaMon,MATCH(E3018,ctaNom,0))&amp;"","DOP"))</f>
        <v/>
      </c>
      <c r="O3018" s="20">
        <f>IF(I3018="","",C3018*IF(N3018="USD",TasaUSD,1))</f>
        <v/>
      </c>
      <c r="P3018" s="20">
        <f>IF(I3018="","",IF(I3018="Gasto",O3018,0))</f>
        <v/>
      </c>
      <c r="Q3018" s="20">
        <f>IF(I3018="","",IF(I3018="Ingreso",O3018,0))</f>
        <v/>
      </c>
      <c r="R3018" s="20">
        <f>IF(I3018="","",IF(I3018="Trading",O3018,0))</f>
        <v/>
      </c>
      <c r="S3018" s="19">
        <f>IF(I3018="","",IF(AND(I3018="Gasto",K3018="Variable",J3018&lt;&gt;"Trading",O3018&gt;0,O3018&lt;=Umbral),1,0))</f>
        <v/>
      </c>
      <c r="T3018" s="20">
        <f>IF(OR(I3018="",E3018=""),"",IF(OR(I3018="Gasto",I3018="Transferencia",I3018="Pago tarjeta"),-1,1)*C3018)</f>
        <v/>
      </c>
      <c r="U3018" s="20">
        <f>IF(OR(G3018="",AND(I3018&lt;&gt;"Transferencia",I3018&lt;&gt;"Pago tarjeta")),"",IF(IFERROR(INDEX(ctaMon,MATCH(G3018,ctaNom,0))&amp;"","DOP")=N3018,C3018,IF(N3018="USD",C3018*TasaUSD,C3018/TasaUSD)))</f>
        <v/>
      </c>
      <c r="V3018" s="20">
        <f>IF(I3018="","",IF(IFERROR(INDEX(ctaLiq,MATCH(E3018,ctaNom,0))="Sí",FALSE),IF(OR(I3018="Gasto",I3018="Transferencia",I3018="Pago tarjeta"),-1,1)*O3018,0)+IF(AND(U3018&lt;&gt;"",IFERROR(INDEX(ctaLiq,MATCH(G3018,ctaNom,0))="Sí",FALSE)),O3018,0))</f>
        <v/>
      </c>
      <c r="W3018" s="19">
        <f>IF(OR(F3018="",I3018=""),"",IF(COUNTIFS(F$6:F3018,F3018,I$6:I3018,"?*")=1,MAX(W$5:W3017)+1,""))</f>
        <v/>
      </c>
    </row>
    <row r="3019">
      <c r="B3019" s="15" t="n"/>
      <c r="C3019" s="16" t="n"/>
      <c r="D3019" s="17" t="n"/>
      <c r="E3019" s="17" t="n"/>
      <c r="F3019" s="17" t="n"/>
      <c r="G3019" s="17" t="n"/>
      <c r="H3019" s="18">
        <f>IF(AND(B3019="",C3019="",D3019="",E3019=""),"",IF(B3019="","⚠ Falta fecha",IF(C3019="","⚠ Falta monto",IF(D3019="","⚠ Falta categoría",IF(ISNA(MATCH(D3019,catNom,0)),"⚠ Categoría no existe",IF(E3019="","⚠ Falta cuenta",IF(ISNA(MATCH(E3019,ctaNom,0)),"⚠ Cuenta no existe",IF(AND(OR(I3019="Transferencia",I3019="Pago tarjeta"),G3019=""),"⚠ Indica la cuenta «Hacia»",IF(AND(G3019&lt;&gt;"",G3019=E3019),"⚠ «Hacia» igual a la cuenta",IF(AND(G3019&lt;&gt;"",ISNA(MATCH(G3019,ctaNom,0))),"⚠ «Hacia» no existe",IF(AND(I3019="Pago tarjeta",IFERROR(INDEX(ctaTipo,MATCH(G3019,ctaNom,0)),"")&lt;&gt;"Tarjeta de crédito"),"⚠ «Hacia» debe ser la tarjeta",IF(AND(I3019="Trading",IFERROR(INDEX(ctaTipo,MATCH(E3019,ctaNom,0)),"")&lt;&gt;"Cuenta de trading"),"⚠ Usa la cuenta de trading","✓"))))))))))))</f>
        <v/>
      </c>
      <c r="I3019" s="19">
        <f>IF(OR(B3019="",C3019="",D3019=""),"",IFERROR(INDEX(catTipo,MATCH(D3019,catNom,0))&amp;"",""))</f>
        <v/>
      </c>
      <c r="J3019" s="19">
        <f>IF(I3019="","",IFERROR(INDEX(catGrupo,MATCH(D3019,catNom,0))&amp;"",""))</f>
        <v/>
      </c>
      <c r="K3019" s="19">
        <f>IF(I3019="Gasto",IF(IFERROR(INDEX(catClas,MATCH(D3019,catNom,0))&amp;"","")="","Variable",IFERROR(INDEX(catClas,MATCH(D3019,catNom,0))&amp;"","")),"")</f>
        <v/>
      </c>
      <c r="L3019" s="19">
        <f>IF(I3019="","",IFERROR(INDEX(catAlim,MATCH(D3019,catNom,0))&amp;"",""))</f>
        <v/>
      </c>
      <c r="M3019" s="19">
        <f>IF(I3019="","",IFERROR(INDEX(catComida,MATCH(D3019,catNom,0))&amp;"",""))</f>
        <v/>
      </c>
      <c r="N3019" s="19">
        <f>IF(I3019="","",IFERROR(INDEX(ctaMon,MATCH(E3019,ctaNom,0))&amp;"","DOP"))</f>
        <v/>
      </c>
      <c r="O3019" s="20">
        <f>IF(I3019="","",C3019*IF(N3019="USD",TasaUSD,1))</f>
        <v/>
      </c>
      <c r="P3019" s="20">
        <f>IF(I3019="","",IF(I3019="Gasto",O3019,0))</f>
        <v/>
      </c>
      <c r="Q3019" s="20">
        <f>IF(I3019="","",IF(I3019="Ingreso",O3019,0))</f>
        <v/>
      </c>
      <c r="R3019" s="20">
        <f>IF(I3019="","",IF(I3019="Trading",O3019,0))</f>
        <v/>
      </c>
      <c r="S3019" s="19">
        <f>IF(I3019="","",IF(AND(I3019="Gasto",K3019="Variable",J3019&lt;&gt;"Trading",O3019&gt;0,O3019&lt;=Umbral),1,0))</f>
        <v/>
      </c>
      <c r="T3019" s="20">
        <f>IF(OR(I3019="",E3019=""),"",IF(OR(I3019="Gasto",I3019="Transferencia",I3019="Pago tarjeta"),-1,1)*C3019)</f>
        <v/>
      </c>
      <c r="U3019" s="20">
        <f>IF(OR(G3019="",AND(I3019&lt;&gt;"Transferencia",I3019&lt;&gt;"Pago tarjeta")),"",IF(IFERROR(INDEX(ctaMon,MATCH(G3019,ctaNom,0))&amp;"","DOP")=N3019,C3019,IF(N3019="USD",C3019*TasaUSD,C3019/TasaUSD)))</f>
        <v/>
      </c>
      <c r="V3019" s="20">
        <f>IF(I3019="","",IF(IFERROR(INDEX(ctaLiq,MATCH(E3019,ctaNom,0))="Sí",FALSE),IF(OR(I3019="Gasto",I3019="Transferencia",I3019="Pago tarjeta"),-1,1)*O3019,0)+IF(AND(U3019&lt;&gt;"",IFERROR(INDEX(ctaLiq,MATCH(G3019,ctaNom,0))="Sí",FALSE)),O3019,0))</f>
        <v/>
      </c>
      <c r="W3019" s="19">
        <f>IF(OR(F3019="",I3019=""),"",IF(COUNTIFS(F$6:F3019,F3019,I$6:I3019,"?*")=1,MAX(W$5:W3018)+1,""))</f>
        <v/>
      </c>
    </row>
    <row r="3020">
      <c r="B3020" s="15" t="n"/>
      <c r="C3020" s="16" t="n"/>
      <c r="D3020" s="17" t="n"/>
      <c r="E3020" s="17" t="n"/>
      <c r="F3020" s="17" t="n"/>
      <c r="G3020" s="17" t="n"/>
      <c r="H3020" s="18">
        <f>IF(AND(B3020="",C3020="",D3020="",E3020=""),"",IF(B3020="","⚠ Falta fecha",IF(C3020="","⚠ Falta monto",IF(D3020="","⚠ Falta categoría",IF(ISNA(MATCH(D3020,catNom,0)),"⚠ Categoría no existe",IF(E3020="","⚠ Falta cuenta",IF(ISNA(MATCH(E3020,ctaNom,0)),"⚠ Cuenta no existe",IF(AND(OR(I3020="Transferencia",I3020="Pago tarjeta"),G3020=""),"⚠ Indica la cuenta «Hacia»",IF(AND(G3020&lt;&gt;"",G3020=E3020),"⚠ «Hacia» igual a la cuenta",IF(AND(G3020&lt;&gt;"",ISNA(MATCH(G3020,ctaNom,0))),"⚠ «Hacia» no existe",IF(AND(I3020="Pago tarjeta",IFERROR(INDEX(ctaTipo,MATCH(G3020,ctaNom,0)),"")&lt;&gt;"Tarjeta de crédito"),"⚠ «Hacia» debe ser la tarjeta",IF(AND(I3020="Trading",IFERROR(INDEX(ctaTipo,MATCH(E3020,ctaNom,0)),"")&lt;&gt;"Cuenta de trading"),"⚠ Usa la cuenta de trading","✓"))))))))))))</f>
        <v/>
      </c>
      <c r="I3020" s="19">
        <f>IF(OR(B3020="",C3020="",D3020=""),"",IFERROR(INDEX(catTipo,MATCH(D3020,catNom,0))&amp;"",""))</f>
        <v/>
      </c>
      <c r="J3020" s="19">
        <f>IF(I3020="","",IFERROR(INDEX(catGrupo,MATCH(D3020,catNom,0))&amp;"",""))</f>
        <v/>
      </c>
      <c r="K3020" s="19">
        <f>IF(I3020="Gasto",IF(IFERROR(INDEX(catClas,MATCH(D3020,catNom,0))&amp;"","")="","Variable",IFERROR(INDEX(catClas,MATCH(D3020,catNom,0))&amp;"","")),"")</f>
        <v/>
      </c>
      <c r="L3020" s="19">
        <f>IF(I3020="","",IFERROR(INDEX(catAlim,MATCH(D3020,catNom,0))&amp;"",""))</f>
        <v/>
      </c>
      <c r="M3020" s="19">
        <f>IF(I3020="","",IFERROR(INDEX(catComida,MATCH(D3020,catNom,0))&amp;"",""))</f>
        <v/>
      </c>
      <c r="N3020" s="19">
        <f>IF(I3020="","",IFERROR(INDEX(ctaMon,MATCH(E3020,ctaNom,0))&amp;"","DOP"))</f>
        <v/>
      </c>
      <c r="O3020" s="20">
        <f>IF(I3020="","",C3020*IF(N3020="USD",TasaUSD,1))</f>
        <v/>
      </c>
      <c r="P3020" s="20">
        <f>IF(I3020="","",IF(I3020="Gasto",O3020,0))</f>
        <v/>
      </c>
      <c r="Q3020" s="20">
        <f>IF(I3020="","",IF(I3020="Ingreso",O3020,0))</f>
        <v/>
      </c>
      <c r="R3020" s="20">
        <f>IF(I3020="","",IF(I3020="Trading",O3020,0))</f>
        <v/>
      </c>
      <c r="S3020" s="19">
        <f>IF(I3020="","",IF(AND(I3020="Gasto",K3020="Variable",J3020&lt;&gt;"Trading",O3020&gt;0,O3020&lt;=Umbral),1,0))</f>
        <v/>
      </c>
      <c r="T3020" s="20">
        <f>IF(OR(I3020="",E3020=""),"",IF(OR(I3020="Gasto",I3020="Transferencia",I3020="Pago tarjeta"),-1,1)*C3020)</f>
        <v/>
      </c>
      <c r="U3020" s="20">
        <f>IF(OR(G3020="",AND(I3020&lt;&gt;"Transferencia",I3020&lt;&gt;"Pago tarjeta")),"",IF(IFERROR(INDEX(ctaMon,MATCH(G3020,ctaNom,0))&amp;"","DOP")=N3020,C3020,IF(N3020="USD",C3020*TasaUSD,C3020/TasaUSD)))</f>
        <v/>
      </c>
      <c r="V3020" s="20">
        <f>IF(I3020="","",IF(IFERROR(INDEX(ctaLiq,MATCH(E3020,ctaNom,0))="Sí",FALSE),IF(OR(I3020="Gasto",I3020="Transferencia",I3020="Pago tarjeta"),-1,1)*O3020,0)+IF(AND(U3020&lt;&gt;"",IFERROR(INDEX(ctaLiq,MATCH(G3020,ctaNom,0))="Sí",FALSE)),O3020,0))</f>
        <v/>
      </c>
      <c r="W3020" s="19">
        <f>IF(OR(F3020="",I3020=""),"",IF(COUNTIFS(F$6:F3020,F3020,I$6:I3020,"?*")=1,MAX(W$5:W3019)+1,""))</f>
        <v/>
      </c>
    </row>
    <row r="3021">
      <c r="B3021" s="15" t="n"/>
      <c r="C3021" s="16" t="n"/>
      <c r="D3021" s="17" t="n"/>
      <c r="E3021" s="17" t="n"/>
      <c r="F3021" s="17" t="n"/>
      <c r="G3021" s="17" t="n"/>
      <c r="H3021" s="18">
        <f>IF(AND(B3021="",C3021="",D3021="",E3021=""),"",IF(B3021="","⚠ Falta fecha",IF(C3021="","⚠ Falta monto",IF(D3021="","⚠ Falta categoría",IF(ISNA(MATCH(D3021,catNom,0)),"⚠ Categoría no existe",IF(E3021="","⚠ Falta cuenta",IF(ISNA(MATCH(E3021,ctaNom,0)),"⚠ Cuenta no existe",IF(AND(OR(I3021="Transferencia",I3021="Pago tarjeta"),G3021=""),"⚠ Indica la cuenta «Hacia»",IF(AND(G3021&lt;&gt;"",G3021=E3021),"⚠ «Hacia» igual a la cuenta",IF(AND(G3021&lt;&gt;"",ISNA(MATCH(G3021,ctaNom,0))),"⚠ «Hacia» no existe",IF(AND(I3021="Pago tarjeta",IFERROR(INDEX(ctaTipo,MATCH(G3021,ctaNom,0)),"")&lt;&gt;"Tarjeta de crédito"),"⚠ «Hacia» debe ser la tarjeta",IF(AND(I3021="Trading",IFERROR(INDEX(ctaTipo,MATCH(E3021,ctaNom,0)),"")&lt;&gt;"Cuenta de trading"),"⚠ Usa la cuenta de trading","✓"))))))))))))</f>
        <v/>
      </c>
      <c r="I3021" s="19">
        <f>IF(OR(B3021="",C3021="",D3021=""),"",IFERROR(INDEX(catTipo,MATCH(D3021,catNom,0))&amp;"",""))</f>
        <v/>
      </c>
      <c r="J3021" s="19">
        <f>IF(I3021="","",IFERROR(INDEX(catGrupo,MATCH(D3021,catNom,0))&amp;"",""))</f>
        <v/>
      </c>
      <c r="K3021" s="19">
        <f>IF(I3021="Gasto",IF(IFERROR(INDEX(catClas,MATCH(D3021,catNom,0))&amp;"","")="","Variable",IFERROR(INDEX(catClas,MATCH(D3021,catNom,0))&amp;"","")),"")</f>
        <v/>
      </c>
      <c r="L3021" s="19">
        <f>IF(I3021="","",IFERROR(INDEX(catAlim,MATCH(D3021,catNom,0))&amp;"",""))</f>
        <v/>
      </c>
      <c r="M3021" s="19">
        <f>IF(I3021="","",IFERROR(INDEX(catComida,MATCH(D3021,catNom,0))&amp;"",""))</f>
        <v/>
      </c>
      <c r="N3021" s="19">
        <f>IF(I3021="","",IFERROR(INDEX(ctaMon,MATCH(E3021,ctaNom,0))&amp;"","DOP"))</f>
        <v/>
      </c>
      <c r="O3021" s="20">
        <f>IF(I3021="","",C3021*IF(N3021="USD",TasaUSD,1))</f>
        <v/>
      </c>
      <c r="P3021" s="20">
        <f>IF(I3021="","",IF(I3021="Gasto",O3021,0))</f>
        <v/>
      </c>
      <c r="Q3021" s="20">
        <f>IF(I3021="","",IF(I3021="Ingreso",O3021,0))</f>
        <v/>
      </c>
      <c r="R3021" s="20">
        <f>IF(I3021="","",IF(I3021="Trading",O3021,0))</f>
        <v/>
      </c>
      <c r="S3021" s="19">
        <f>IF(I3021="","",IF(AND(I3021="Gasto",K3021="Variable",J3021&lt;&gt;"Trading",O3021&gt;0,O3021&lt;=Umbral),1,0))</f>
        <v/>
      </c>
      <c r="T3021" s="20">
        <f>IF(OR(I3021="",E3021=""),"",IF(OR(I3021="Gasto",I3021="Transferencia",I3021="Pago tarjeta"),-1,1)*C3021)</f>
        <v/>
      </c>
      <c r="U3021" s="20">
        <f>IF(OR(G3021="",AND(I3021&lt;&gt;"Transferencia",I3021&lt;&gt;"Pago tarjeta")),"",IF(IFERROR(INDEX(ctaMon,MATCH(G3021,ctaNom,0))&amp;"","DOP")=N3021,C3021,IF(N3021="USD",C3021*TasaUSD,C3021/TasaUSD)))</f>
        <v/>
      </c>
      <c r="V3021" s="20">
        <f>IF(I3021="","",IF(IFERROR(INDEX(ctaLiq,MATCH(E3021,ctaNom,0))="Sí",FALSE),IF(OR(I3021="Gasto",I3021="Transferencia",I3021="Pago tarjeta"),-1,1)*O3021,0)+IF(AND(U3021&lt;&gt;"",IFERROR(INDEX(ctaLiq,MATCH(G3021,ctaNom,0))="Sí",FALSE)),O3021,0))</f>
        <v/>
      </c>
      <c r="W3021" s="19">
        <f>IF(OR(F3021="",I3021=""),"",IF(COUNTIFS(F$6:F3021,F3021,I$6:I3021,"?*")=1,MAX(W$5:W3020)+1,""))</f>
        <v/>
      </c>
    </row>
    <row r="3022">
      <c r="B3022" s="15" t="n"/>
      <c r="C3022" s="16" t="n"/>
      <c r="D3022" s="17" t="n"/>
      <c r="E3022" s="17" t="n"/>
      <c r="F3022" s="17" t="n"/>
      <c r="G3022" s="17" t="n"/>
      <c r="H3022" s="18">
        <f>IF(AND(B3022="",C3022="",D3022="",E3022=""),"",IF(B3022="","⚠ Falta fecha",IF(C3022="","⚠ Falta monto",IF(D3022="","⚠ Falta categoría",IF(ISNA(MATCH(D3022,catNom,0)),"⚠ Categoría no existe",IF(E3022="","⚠ Falta cuenta",IF(ISNA(MATCH(E3022,ctaNom,0)),"⚠ Cuenta no existe",IF(AND(OR(I3022="Transferencia",I3022="Pago tarjeta"),G3022=""),"⚠ Indica la cuenta «Hacia»",IF(AND(G3022&lt;&gt;"",G3022=E3022),"⚠ «Hacia» igual a la cuenta",IF(AND(G3022&lt;&gt;"",ISNA(MATCH(G3022,ctaNom,0))),"⚠ «Hacia» no existe",IF(AND(I3022="Pago tarjeta",IFERROR(INDEX(ctaTipo,MATCH(G3022,ctaNom,0)),"")&lt;&gt;"Tarjeta de crédito"),"⚠ «Hacia» debe ser la tarjeta",IF(AND(I3022="Trading",IFERROR(INDEX(ctaTipo,MATCH(E3022,ctaNom,0)),"")&lt;&gt;"Cuenta de trading"),"⚠ Usa la cuenta de trading","✓"))))))))))))</f>
        <v/>
      </c>
      <c r="I3022" s="19">
        <f>IF(OR(B3022="",C3022="",D3022=""),"",IFERROR(INDEX(catTipo,MATCH(D3022,catNom,0))&amp;"",""))</f>
        <v/>
      </c>
      <c r="J3022" s="19">
        <f>IF(I3022="","",IFERROR(INDEX(catGrupo,MATCH(D3022,catNom,0))&amp;"",""))</f>
        <v/>
      </c>
      <c r="K3022" s="19">
        <f>IF(I3022="Gasto",IF(IFERROR(INDEX(catClas,MATCH(D3022,catNom,0))&amp;"","")="","Variable",IFERROR(INDEX(catClas,MATCH(D3022,catNom,0))&amp;"","")),"")</f>
        <v/>
      </c>
      <c r="L3022" s="19">
        <f>IF(I3022="","",IFERROR(INDEX(catAlim,MATCH(D3022,catNom,0))&amp;"",""))</f>
        <v/>
      </c>
      <c r="M3022" s="19">
        <f>IF(I3022="","",IFERROR(INDEX(catComida,MATCH(D3022,catNom,0))&amp;"",""))</f>
        <v/>
      </c>
      <c r="N3022" s="19">
        <f>IF(I3022="","",IFERROR(INDEX(ctaMon,MATCH(E3022,ctaNom,0))&amp;"","DOP"))</f>
        <v/>
      </c>
      <c r="O3022" s="20">
        <f>IF(I3022="","",C3022*IF(N3022="USD",TasaUSD,1))</f>
        <v/>
      </c>
      <c r="P3022" s="20">
        <f>IF(I3022="","",IF(I3022="Gasto",O3022,0))</f>
        <v/>
      </c>
      <c r="Q3022" s="20">
        <f>IF(I3022="","",IF(I3022="Ingreso",O3022,0))</f>
        <v/>
      </c>
      <c r="R3022" s="20">
        <f>IF(I3022="","",IF(I3022="Trading",O3022,0))</f>
        <v/>
      </c>
      <c r="S3022" s="19">
        <f>IF(I3022="","",IF(AND(I3022="Gasto",K3022="Variable",J3022&lt;&gt;"Trading",O3022&gt;0,O3022&lt;=Umbral),1,0))</f>
        <v/>
      </c>
      <c r="T3022" s="20">
        <f>IF(OR(I3022="",E3022=""),"",IF(OR(I3022="Gasto",I3022="Transferencia",I3022="Pago tarjeta"),-1,1)*C3022)</f>
        <v/>
      </c>
      <c r="U3022" s="20">
        <f>IF(OR(G3022="",AND(I3022&lt;&gt;"Transferencia",I3022&lt;&gt;"Pago tarjeta")),"",IF(IFERROR(INDEX(ctaMon,MATCH(G3022,ctaNom,0))&amp;"","DOP")=N3022,C3022,IF(N3022="USD",C3022*TasaUSD,C3022/TasaUSD)))</f>
        <v/>
      </c>
      <c r="V3022" s="20">
        <f>IF(I3022="","",IF(IFERROR(INDEX(ctaLiq,MATCH(E3022,ctaNom,0))="Sí",FALSE),IF(OR(I3022="Gasto",I3022="Transferencia",I3022="Pago tarjeta"),-1,1)*O3022,0)+IF(AND(U3022&lt;&gt;"",IFERROR(INDEX(ctaLiq,MATCH(G3022,ctaNom,0))="Sí",FALSE)),O3022,0))</f>
        <v/>
      </c>
      <c r="W3022" s="19">
        <f>IF(OR(F3022="",I3022=""),"",IF(COUNTIFS(F$6:F3022,F3022,I$6:I3022,"?*")=1,MAX(W$5:W3021)+1,""))</f>
        <v/>
      </c>
    </row>
    <row r="3023">
      <c r="B3023" s="15" t="n"/>
      <c r="C3023" s="16" t="n"/>
      <c r="D3023" s="17" t="n"/>
      <c r="E3023" s="17" t="n"/>
      <c r="F3023" s="17" t="n"/>
      <c r="G3023" s="17" t="n"/>
      <c r="H3023" s="18">
        <f>IF(AND(B3023="",C3023="",D3023="",E3023=""),"",IF(B3023="","⚠ Falta fecha",IF(C3023="","⚠ Falta monto",IF(D3023="","⚠ Falta categoría",IF(ISNA(MATCH(D3023,catNom,0)),"⚠ Categoría no existe",IF(E3023="","⚠ Falta cuenta",IF(ISNA(MATCH(E3023,ctaNom,0)),"⚠ Cuenta no existe",IF(AND(OR(I3023="Transferencia",I3023="Pago tarjeta"),G3023=""),"⚠ Indica la cuenta «Hacia»",IF(AND(G3023&lt;&gt;"",G3023=E3023),"⚠ «Hacia» igual a la cuenta",IF(AND(G3023&lt;&gt;"",ISNA(MATCH(G3023,ctaNom,0))),"⚠ «Hacia» no existe",IF(AND(I3023="Pago tarjeta",IFERROR(INDEX(ctaTipo,MATCH(G3023,ctaNom,0)),"")&lt;&gt;"Tarjeta de crédito"),"⚠ «Hacia» debe ser la tarjeta",IF(AND(I3023="Trading",IFERROR(INDEX(ctaTipo,MATCH(E3023,ctaNom,0)),"")&lt;&gt;"Cuenta de trading"),"⚠ Usa la cuenta de trading","✓"))))))))))))</f>
        <v/>
      </c>
      <c r="I3023" s="19">
        <f>IF(OR(B3023="",C3023="",D3023=""),"",IFERROR(INDEX(catTipo,MATCH(D3023,catNom,0))&amp;"",""))</f>
        <v/>
      </c>
      <c r="J3023" s="19">
        <f>IF(I3023="","",IFERROR(INDEX(catGrupo,MATCH(D3023,catNom,0))&amp;"",""))</f>
        <v/>
      </c>
      <c r="K3023" s="19">
        <f>IF(I3023="Gasto",IF(IFERROR(INDEX(catClas,MATCH(D3023,catNom,0))&amp;"","")="","Variable",IFERROR(INDEX(catClas,MATCH(D3023,catNom,0))&amp;"","")),"")</f>
        <v/>
      </c>
      <c r="L3023" s="19">
        <f>IF(I3023="","",IFERROR(INDEX(catAlim,MATCH(D3023,catNom,0))&amp;"",""))</f>
        <v/>
      </c>
      <c r="M3023" s="19">
        <f>IF(I3023="","",IFERROR(INDEX(catComida,MATCH(D3023,catNom,0))&amp;"",""))</f>
        <v/>
      </c>
      <c r="N3023" s="19">
        <f>IF(I3023="","",IFERROR(INDEX(ctaMon,MATCH(E3023,ctaNom,0))&amp;"","DOP"))</f>
        <v/>
      </c>
      <c r="O3023" s="20">
        <f>IF(I3023="","",C3023*IF(N3023="USD",TasaUSD,1))</f>
        <v/>
      </c>
      <c r="P3023" s="20">
        <f>IF(I3023="","",IF(I3023="Gasto",O3023,0))</f>
        <v/>
      </c>
      <c r="Q3023" s="20">
        <f>IF(I3023="","",IF(I3023="Ingreso",O3023,0))</f>
        <v/>
      </c>
      <c r="R3023" s="20">
        <f>IF(I3023="","",IF(I3023="Trading",O3023,0))</f>
        <v/>
      </c>
      <c r="S3023" s="19">
        <f>IF(I3023="","",IF(AND(I3023="Gasto",K3023="Variable",J3023&lt;&gt;"Trading",O3023&gt;0,O3023&lt;=Umbral),1,0))</f>
        <v/>
      </c>
      <c r="T3023" s="20">
        <f>IF(OR(I3023="",E3023=""),"",IF(OR(I3023="Gasto",I3023="Transferencia",I3023="Pago tarjeta"),-1,1)*C3023)</f>
        <v/>
      </c>
      <c r="U3023" s="20">
        <f>IF(OR(G3023="",AND(I3023&lt;&gt;"Transferencia",I3023&lt;&gt;"Pago tarjeta")),"",IF(IFERROR(INDEX(ctaMon,MATCH(G3023,ctaNom,0))&amp;"","DOP")=N3023,C3023,IF(N3023="USD",C3023*TasaUSD,C3023/TasaUSD)))</f>
        <v/>
      </c>
      <c r="V3023" s="20">
        <f>IF(I3023="","",IF(IFERROR(INDEX(ctaLiq,MATCH(E3023,ctaNom,0))="Sí",FALSE),IF(OR(I3023="Gasto",I3023="Transferencia",I3023="Pago tarjeta"),-1,1)*O3023,0)+IF(AND(U3023&lt;&gt;"",IFERROR(INDEX(ctaLiq,MATCH(G3023,ctaNom,0))="Sí",FALSE)),O3023,0))</f>
        <v/>
      </c>
      <c r="W3023" s="19">
        <f>IF(OR(F3023="",I3023=""),"",IF(COUNTIFS(F$6:F3023,F3023,I$6:I3023,"?*")=1,MAX(W$5:W3022)+1,""))</f>
        <v/>
      </c>
    </row>
    <row r="3024">
      <c r="B3024" s="15" t="n"/>
      <c r="C3024" s="16" t="n"/>
      <c r="D3024" s="17" t="n"/>
      <c r="E3024" s="17" t="n"/>
      <c r="F3024" s="17" t="n"/>
      <c r="G3024" s="17" t="n"/>
      <c r="H3024" s="18">
        <f>IF(AND(B3024="",C3024="",D3024="",E3024=""),"",IF(B3024="","⚠ Falta fecha",IF(C3024="","⚠ Falta monto",IF(D3024="","⚠ Falta categoría",IF(ISNA(MATCH(D3024,catNom,0)),"⚠ Categoría no existe",IF(E3024="","⚠ Falta cuenta",IF(ISNA(MATCH(E3024,ctaNom,0)),"⚠ Cuenta no existe",IF(AND(OR(I3024="Transferencia",I3024="Pago tarjeta"),G3024=""),"⚠ Indica la cuenta «Hacia»",IF(AND(G3024&lt;&gt;"",G3024=E3024),"⚠ «Hacia» igual a la cuenta",IF(AND(G3024&lt;&gt;"",ISNA(MATCH(G3024,ctaNom,0))),"⚠ «Hacia» no existe",IF(AND(I3024="Pago tarjeta",IFERROR(INDEX(ctaTipo,MATCH(G3024,ctaNom,0)),"")&lt;&gt;"Tarjeta de crédito"),"⚠ «Hacia» debe ser la tarjeta",IF(AND(I3024="Trading",IFERROR(INDEX(ctaTipo,MATCH(E3024,ctaNom,0)),"")&lt;&gt;"Cuenta de trading"),"⚠ Usa la cuenta de trading","✓"))))))))))))</f>
        <v/>
      </c>
      <c r="I3024" s="19">
        <f>IF(OR(B3024="",C3024="",D3024=""),"",IFERROR(INDEX(catTipo,MATCH(D3024,catNom,0))&amp;"",""))</f>
        <v/>
      </c>
      <c r="J3024" s="19">
        <f>IF(I3024="","",IFERROR(INDEX(catGrupo,MATCH(D3024,catNom,0))&amp;"",""))</f>
        <v/>
      </c>
      <c r="K3024" s="19">
        <f>IF(I3024="Gasto",IF(IFERROR(INDEX(catClas,MATCH(D3024,catNom,0))&amp;"","")="","Variable",IFERROR(INDEX(catClas,MATCH(D3024,catNom,0))&amp;"","")),"")</f>
        <v/>
      </c>
      <c r="L3024" s="19">
        <f>IF(I3024="","",IFERROR(INDEX(catAlim,MATCH(D3024,catNom,0))&amp;"",""))</f>
        <v/>
      </c>
      <c r="M3024" s="19">
        <f>IF(I3024="","",IFERROR(INDEX(catComida,MATCH(D3024,catNom,0))&amp;"",""))</f>
        <v/>
      </c>
      <c r="N3024" s="19">
        <f>IF(I3024="","",IFERROR(INDEX(ctaMon,MATCH(E3024,ctaNom,0))&amp;"","DOP"))</f>
        <v/>
      </c>
      <c r="O3024" s="20">
        <f>IF(I3024="","",C3024*IF(N3024="USD",TasaUSD,1))</f>
        <v/>
      </c>
      <c r="P3024" s="20">
        <f>IF(I3024="","",IF(I3024="Gasto",O3024,0))</f>
        <v/>
      </c>
      <c r="Q3024" s="20">
        <f>IF(I3024="","",IF(I3024="Ingreso",O3024,0))</f>
        <v/>
      </c>
      <c r="R3024" s="20">
        <f>IF(I3024="","",IF(I3024="Trading",O3024,0))</f>
        <v/>
      </c>
      <c r="S3024" s="19">
        <f>IF(I3024="","",IF(AND(I3024="Gasto",K3024="Variable",J3024&lt;&gt;"Trading",O3024&gt;0,O3024&lt;=Umbral),1,0))</f>
        <v/>
      </c>
      <c r="T3024" s="20">
        <f>IF(OR(I3024="",E3024=""),"",IF(OR(I3024="Gasto",I3024="Transferencia",I3024="Pago tarjeta"),-1,1)*C3024)</f>
        <v/>
      </c>
      <c r="U3024" s="20">
        <f>IF(OR(G3024="",AND(I3024&lt;&gt;"Transferencia",I3024&lt;&gt;"Pago tarjeta")),"",IF(IFERROR(INDEX(ctaMon,MATCH(G3024,ctaNom,0))&amp;"","DOP")=N3024,C3024,IF(N3024="USD",C3024*TasaUSD,C3024/TasaUSD)))</f>
        <v/>
      </c>
      <c r="V3024" s="20">
        <f>IF(I3024="","",IF(IFERROR(INDEX(ctaLiq,MATCH(E3024,ctaNom,0))="Sí",FALSE),IF(OR(I3024="Gasto",I3024="Transferencia",I3024="Pago tarjeta"),-1,1)*O3024,0)+IF(AND(U3024&lt;&gt;"",IFERROR(INDEX(ctaLiq,MATCH(G3024,ctaNom,0))="Sí",FALSE)),O3024,0))</f>
        <v/>
      </c>
      <c r="W3024" s="19">
        <f>IF(OR(F3024="",I3024=""),"",IF(COUNTIFS(F$6:F3024,F3024,I$6:I3024,"?*")=1,MAX(W$5:W3023)+1,""))</f>
        <v/>
      </c>
    </row>
    <row r="3025">
      <c r="B3025" s="15" t="n"/>
      <c r="C3025" s="16" t="n"/>
      <c r="D3025" s="17" t="n"/>
      <c r="E3025" s="17" t="n"/>
      <c r="F3025" s="17" t="n"/>
      <c r="G3025" s="17" t="n"/>
      <c r="H3025" s="18">
        <f>IF(AND(B3025="",C3025="",D3025="",E3025=""),"",IF(B3025="","⚠ Falta fecha",IF(C3025="","⚠ Falta monto",IF(D3025="","⚠ Falta categoría",IF(ISNA(MATCH(D3025,catNom,0)),"⚠ Categoría no existe",IF(E3025="","⚠ Falta cuenta",IF(ISNA(MATCH(E3025,ctaNom,0)),"⚠ Cuenta no existe",IF(AND(OR(I3025="Transferencia",I3025="Pago tarjeta"),G3025=""),"⚠ Indica la cuenta «Hacia»",IF(AND(G3025&lt;&gt;"",G3025=E3025),"⚠ «Hacia» igual a la cuenta",IF(AND(G3025&lt;&gt;"",ISNA(MATCH(G3025,ctaNom,0))),"⚠ «Hacia» no existe",IF(AND(I3025="Pago tarjeta",IFERROR(INDEX(ctaTipo,MATCH(G3025,ctaNom,0)),"")&lt;&gt;"Tarjeta de crédito"),"⚠ «Hacia» debe ser la tarjeta",IF(AND(I3025="Trading",IFERROR(INDEX(ctaTipo,MATCH(E3025,ctaNom,0)),"")&lt;&gt;"Cuenta de trading"),"⚠ Usa la cuenta de trading","✓"))))))))))))</f>
        <v/>
      </c>
      <c r="I3025" s="19">
        <f>IF(OR(B3025="",C3025="",D3025=""),"",IFERROR(INDEX(catTipo,MATCH(D3025,catNom,0))&amp;"",""))</f>
        <v/>
      </c>
      <c r="J3025" s="19">
        <f>IF(I3025="","",IFERROR(INDEX(catGrupo,MATCH(D3025,catNom,0))&amp;"",""))</f>
        <v/>
      </c>
      <c r="K3025" s="19">
        <f>IF(I3025="Gasto",IF(IFERROR(INDEX(catClas,MATCH(D3025,catNom,0))&amp;"","")="","Variable",IFERROR(INDEX(catClas,MATCH(D3025,catNom,0))&amp;"","")),"")</f>
        <v/>
      </c>
      <c r="L3025" s="19">
        <f>IF(I3025="","",IFERROR(INDEX(catAlim,MATCH(D3025,catNom,0))&amp;"",""))</f>
        <v/>
      </c>
      <c r="M3025" s="19">
        <f>IF(I3025="","",IFERROR(INDEX(catComida,MATCH(D3025,catNom,0))&amp;"",""))</f>
        <v/>
      </c>
      <c r="N3025" s="19">
        <f>IF(I3025="","",IFERROR(INDEX(ctaMon,MATCH(E3025,ctaNom,0))&amp;"","DOP"))</f>
        <v/>
      </c>
      <c r="O3025" s="20">
        <f>IF(I3025="","",C3025*IF(N3025="USD",TasaUSD,1))</f>
        <v/>
      </c>
      <c r="P3025" s="20">
        <f>IF(I3025="","",IF(I3025="Gasto",O3025,0))</f>
        <v/>
      </c>
      <c r="Q3025" s="20">
        <f>IF(I3025="","",IF(I3025="Ingreso",O3025,0))</f>
        <v/>
      </c>
      <c r="R3025" s="20">
        <f>IF(I3025="","",IF(I3025="Trading",O3025,0))</f>
        <v/>
      </c>
      <c r="S3025" s="19">
        <f>IF(I3025="","",IF(AND(I3025="Gasto",K3025="Variable",J3025&lt;&gt;"Trading",O3025&gt;0,O3025&lt;=Umbral),1,0))</f>
        <v/>
      </c>
      <c r="T3025" s="20">
        <f>IF(OR(I3025="",E3025=""),"",IF(OR(I3025="Gasto",I3025="Transferencia",I3025="Pago tarjeta"),-1,1)*C3025)</f>
        <v/>
      </c>
      <c r="U3025" s="20">
        <f>IF(OR(G3025="",AND(I3025&lt;&gt;"Transferencia",I3025&lt;&gt;"Pago tarjeta")),"",IF(IFERROR(INDEX(ctaMon,MATCH(G3025,ctaNom,0))&amp;"","DOP")=N3025,C3025,IF(N3025="USD",C3025*TasaUSD,C3025/TasaUSD)))</f>
        <v/>
      </c>
      <c r="V3025" s="20">
        <f>IF(I3025="","",IF(IFERROR(INDEX(ctaLiq,MATCH(E3025,ctaNom,0))="Sí",FALSE),IF(OR(I3025="Gasto",I3025="Transferencia",I3025="Pago tarjeta"),-1,1)*O3025,0)+IF(AND(U3025&lt;&gt;"",IFERROR(INDEX(ctaLiq,MATCH(G3025,ctaNom,0))="Sí",FALSE)),O3025,0))</f>
        <v/>
      </c>
      <c r="W3025" s="19">
        <f>IF(OR(F3025="",I3025=""),"",IF(COUNTIFS(F$6:F3025,F3025,I$6:I3025,"?*")=1,MAX(W$5:W3024)+1,""))</f>
        <v/>
      </c>
    </row>
    <row r="3026">
      <c r="B3026" s="15" t="n"/>
      <c r="C3026" s="16" t="n"/>
      <c r="D3026" s="17" t="n"/>
      <c r="E3026" s="17" t="n"/>
      <c r="F3026" s="17" t="n"/>
      <c r="G3026" s="17" t="n"/>
      <c r="H3026" s="18">
        <f>IF(AND(B3026="",C3026="",D3026="",E3026=""),"",IF(B3026="","⚠ Falta fecha",IF(C3026="","⚠ Falta monto",IF(D3026="","⚠ Falta categoría",IF(ISNA(MATCH(D3026,catNom,0)),"⚠ Categoría no existe",IF(E3026="","⚠ Falta cuenta",IF(ISNA(MATCH(E3026,ctaNom,0)),"⚠ Cuenta no existe",IF(AND(OR(I3026="Transferencia",I3026="Pago tarjeta"),G3026=""),"⚠ Indica la cuenta «Hacia»",IF(AND(G3026&lt;&gt;"",G3026=E3026),"⚠ «Hacia» igual a la cuenta",IF(AND(G3026&lt;&gt;"",ISNA(MATCH(G3026,ctaNom,0))),"⚠ «Hacia» no existe",IF(AND(I3026="Pago tarjeta",IFERROR(INDEX(ctaTipo,MATCH(G3026,ctaNom,0)),"")&lt;&gt;"Tarjeta de crédito"),"⚠ «Hacia» debe ser la tarjeta",IF(AND(I3026="Trading",IFERROR(INDEX(ctaTipo,MATCH(E3026,ctaNom,0)),"")&lt;&gt;"Cuenta de trading"),"⚠ Usa la cuenta de trading","✓"))))))))))))</f>
        <v/>
      </c>
      <c r="I3026" s="19">
        <f>IF(OR(B3026="",C3026="",D3026=""),"",IFERROR(INDEX(catTipo,MATCH(D3026,catNom,0))&amp;"",""))</f>
        <v/>
      </c>
      <c r="J3026" s="19">
        <f>IF(I3026="","",IFERROR(INDEX(catGrupo,MATCH(D3026,catNom,0))&amp;"",""))</f>
        <v/>
      </c>
      <c r="K3026" s="19">
        <f>IF(I3026="Gasto",IF(IFERROR(INDEX(catClas,MATCH(D3026,catNom,0))&amp;"","")="","Variable",IFERROR(INDEX(catClas,MATCH(D3026,catNom,0))&amp;"","")),"")</f>
        <v/>
      </c>
      <c r="L3026" s="19">
        <f>IF(I3026="","",IFERROR(INDEX(catAlim,MATCH(D3026,catNom,0))&amp;"",""))</f>
        <v/>
      </c>
      <c r="M3026" s="19">
        <f>IF(I3026="","",IFERROR(INDEX(catComida,MATCH(D3026,catNom,0))&amp;"",""))</f>
        <v/>
      </c>
      <c r="N3026" s="19">
        <f>IF(I3026="","",IFERROR(INDEX(ctaMon,MATCH(E3026,ctaNom,0))&amp;"","DOP"))</f>
        <v/>
      </c>
      <c r="O3026" s="20">
        <f>IF(I3026="","",C3026*IF(N3026="USD",TasaUSD,1))</f>
        <v/>
      </c>
      <c r="P3026" s="20">
        <f>IF(I3026="","",IF(I3026="Gasto",O3026,0))</f>
        <v/>
      </c>
      <c r="Q3026" s="20">
        <f>IF(I3026="","",IF(I3026="Ingreso",O3026,0))</f>
        <v/>
      </c>
      <c r="R3026" s="20">
        <f>IF(I3026="","",IF(I3026="Trading",O3026,0))</f>
        <v/>
      </c>
      <c r="S3026" s="19">
        <f>IF(I3026="","",IF(AND(I3026="Gasto",K3026="Variable",J3026&lt;&gt;"Trading",O3026&gt;0,O3026&lt;=Umbral),1,0))</f>
        <v/>
      </c>
      <c r="T3026" s="20">
        <f>IF(OR(I3026="",E3026=""),"",IF(OR(I3026="Gasto",I3026="Transferencia",I3026="Pago tarjeta"),-1,1)*C3026)</f>
        <v/>
      </c>
      <c r="U3026" s="20">
        <f>IF(OR(G3026="",AND(I3026&lt;&gt;"Transferencia",I3026&lt;&gt;"Pago tarjeta")),"",IF(IFERROR(INDEX(ctaMon,MATCH(G3026,ctaNom,0))&amp;"","DOP")=N3026,C3026,IF(N3026="USD",C3026*TasaUSD,C3026/TasaUSD)))</f>
        <v/>
      </c>
      <c r="V3026" s="20">
        <f>IF(I3026="","",IF(IFERROR(INDEX(ctaLiq,MATCH(E3026,ctaNom,0))="Sí",FALSE),IF(OR(I3026="Gasto",I3026="Transferencia",I3026="Pago tarjeta"),-1,1)*O3026,0)+IF(AND(U3026&lt;&gt;"",IFERROR(INDEX(ctaLiq,MATCH(G3026,ctaNom,0))="Sí",FALSE)),O3026,0))</f>
        <v/>
      </c>
      <c r="W3026" s="19">
        <f>IF(OR(F3026="",I3026=""),"",IF(COUNTIFS(F$6:F3026,F3026,I$6:I3026,"?*")=1,MAX(W$5:W3025)+1,""))</f>
        <v/>
      </c>
    </row>
    <row r="3027">
      <c r="B3027" s="15" t="n"/>
      <c r="C3027" s="16" t="n"/>
      <c r="D3027" s="17" t="n"/>
      <c r="E3027" s="17" t="n"/>
      <c r="F3027" s="17" t="n"/>
      <c r="G3027" s="17" t="n"/>
      <c r="H3027" s="18">
        <f>IF(AND(B3027="",C3027="",D3027="",E3027=""),"",IF(B3027="","⚠ Falta fecha",IF(C3027="","⚠ Falta monto",IF(D3027="","⚠ Falta categoría",IF(ISNA(MATCH(D3027,catNom,0)),"⚠ Categoría no existe",IF(E3027="","⚠ Falta cuenta",IF(ISNA(MATCH(E3027,ctaNom,0)),"⚠ Cuenta no existe",IF(AND(OR(I3027="Transferencia",I3027="Pago tarjeta"),G3027=""),"⚠ Indica la cuenta «Hacia»",IF(AND(G3027&lt;&gt;"",G3027=E3027),"⚠ «Hacia» igual a la cuenta",IF(AND(G3027&lt;&gt;"",ISNA(MATCH(G3027,ctaNom,0))),"⚠ «Hacia» no existe",IF(AND(I3027="Pago tarjeta",IFERROR(INDEX(ctaTipo,MATCH(G3027,ctaNom,0)),"")&lt;&gt;"Tarjeta de crédito"),"⚠ «Hacia» debe ser la tarjeta",IF(AND(I3027="Trading",IFERROR(INDEX(ctaTipo,MATCH(E3027,ctaNom,0)),"")&lt;&gt;"Cuenta de trading"),"⚠ Usa la cuenta de trading","✓"))))))))))))</f>
        <v/>
      </c>
      <c r="I3027" s="19">
        <f>IF(OR(B3027="",C3027="",D3027=""),"",IFERROR(INDEX(catTipo,MATCH(D3027,catNom,0))&amp;"",""))</f>
        <v/>
      </c>
      <c r="J3027" s="19">
        <f>IF(I3027="","",IFERROR(INDEX(catGrupo,MATCH(D3027,catNom,0))&amp;"",""))</f>
        <v/>
      </c>
      <c r="K3027" s="19">
        <f>IF(I3027="Gasto",IF(IFERROR(INDEX(catClas,MATCH(D3027,catNom,0))&amp;"","")="","Variable",IFERROR(INDEX(catClas,MATCH(D3027,catNom,0))&amp;"","")),"")</f>
        <v/>
      </c>
      <c r="L3027" s="19">
        <f>IF(I3027="","",IFERROR(INDEX(catAlim,MATCH(D3027,catNom,0))&amp;"",""))</f>
        <v/>
      </c>
      <c r="M3027" s="19">
        <f>IF(I3027="","",IFERROR(INDEX(catComida,MATCH(D3027,catNom,0))&amp;"",""))</f>
        <v/>
      </c>
      <c r="N3027" s="19">
        <f>IF(I3027="","",IFERROR(INDEX(ctaMon,MATCH(E3027,ctaNom,0))&amp;"","DOP"))</f>
        <v/>
      </c>
      <c r="O3027" s="20">
        <f>IF(I3027="","",C3027*IF(N3027="USD",TasaUSD,1))</f>
        <v/>
      </c>
      <c r="P3027" s="20">
        <f>IF(I3027="","",IF(I3027="Gasto",O3027,0))</f>
        <v/>
      </c>
      <c r="Q3027" s="20">
        <f>IF(I3027="","",IF(I3027="Ingreso",O3027,0))</f>
        <v/>
      </c>
      <c r="R3027" s="20">
        <f>IF(I3027="","",IF(I3027="Trading",O3027,0))</f>
        <v/>
      </c>
      <c r="S3027" s="19">
        <f>IF(I3027="","",IF(AND(I3027="Gasto",K3027="Variable",J3027&lt;&gt;"Trading",O3027&gt;0,O3027&lt;=Umbral),1,0))</f>
        <v/>
      </c>
      <c r="T3027" s="20">
        <f>IF(OR(I3027="",E3027=""),"",IF(OR(I3027="Gasto",I3027="Transferencia",I3027="Pago tarjeta"),-1,1)*C3027)</f>
        <v/>
      </c>
      <c r="U3027" s="20">
        <f>IF(OR(G3027="",AND(I3027&lt;&gt;"Transferencia",I3027&lt;&gt;"Pago tarjeta")),"",IF(IFERROR(INDEX(ctaMon,MATCH(G3027,ctaNom,0))&amp;"","DOP")=N3027,C3027,IF(N3027="USD",C3027*TasaUSD,C3027/TasaUSD)))</f>
        <v/>
      </c>
      <c r="V3027" s="20">
        <f>IF(I3027="","",IF(IFERROR(INDEX(ctaLiq,MATCH(E3027,ctaNom,0))="Sí",FALSE),IF(OR(I3027="Gasto",I3027="Transferencia",I3027="Pago tarjeta"),-1,1)*O3027,0)+IF(AND(U3027&lt;&gt;"",IFERROR(INDEX(ctaLiq,MATCH(G3027,ctaNom,0))="Sí",FALSE)),O3027,0))</f>
        <v/>
      </c>
      <c r="W3027" s="19">
        <f>IF(OR(F3027="",I3027=""),"",IF(COUNTIFS(F$6:F3027,F3027,I$6:I3027,"?*")=1,MAX(W$5:W3026)+1,""))</f>
        <v/>
      </c>
    </row>
    <row r="3028">
      <c r="B3028" s="15" t="n"/>
      <c r="C3028" s="16" t="n"/>
      <c r="D3028" s="17" t="n"/>
      <c r="E3028" s="17" t="n"/>
      <c r="F3028" s="17" t="n"/>
      <c r="G3028" s="17" t="n"/>
      <c r="H3028" s="18">
        <f>IF(AND(B3028="",C3028="",D3028="",E3028=""),"",IF(B3028="","⚠ Falta fecha",IF(C3028="","⚠ Falta monto",IF(D3028="","⚠ Falta categoría",IF(ISNA(MATCH(D3028,catNom,0)),"⚠ Categoría no existe",IF(E3028="","⚠ Falta cuenta",IF(ISNA(MATCH(E3028,ctaNom,0)),"⚠ Cuenta no existe",IF(AND(OR(I3028="Transferencia",I3028="Pago tarjeta"),G3028=""),"⚠ Indica la cuenta «Hacia»",IF(AND(G3028&lt;&gt;"",G3028=E3028),"⚠ «Hacia» igual a la cuenta",IF(AND(G3028&lt;&gt;"",ISNA(MATCH(G3028,ctaNom,0))),"⚠ «Hacia» no existe",IF(AND(I3028="Pago tarjeta",IFERROR(INDEX(ctaTipo,MATCH(G3028,ctaNom,0)),"")&lt;&gt;"Tarjeta de crédito"),"⚠ «Hacia» debe ser la tarjeta",IF(AND(I3028="Trading",IFERROR(INDEX(ctaTipo,MATCH(E3028,ctaNom,0)),"")&lt;&gt;"Cuenta de trading"),"⚠ Usa la cuenta de trading","✓"))))))))))))</f>
        <v/>
      </c>
      <c r="I3028" s="19">
        <f>IF(OR(B3028="",C3028="",D3028=""),"",IFERROR(INDEX(catTipo,MATCH(D3028,catNom,0))&amp;"",""))</f>
        <v/>
      </c>
      <c r="J3028" s="19">
        <f>IF(I3028="","",IFERROR(INDEX(catGrupo,MATCH(D3028,catNom,0))&amp;"",""))</f>
        <v/>
      </c>
      <c r="K3028" s="19">
        <f>IF(I3028="Gasto",IF(IFERROR(INDEX(catClas,MATCH(D3028,catNom,0))&amp;"","")="","Variable",IFERROR(INDEX(catClas,MATCH(D3028,catNom,0))&amp;"","")),"")</f>
        <v/>
      </c>
      <c r="L3028" s="19">
        <f>IF(I3028="","",IFERROR(INDEX(catAlim,MATCH(D3028,catNom,0))&amp;"",""))</f>
        <v/>
      </c>
      <c r="M3028" s="19">
        <f>IF(I3028="","",IFERROR(INDEX(catComida,MATCH(D3028,catNom,0))&amp;"",""))</f>
        <v/>
      </c>
      <c r="N3028" s="19">
        <f>IF(I3028="","",IFERROR(INDEX(ctaMon,MATCH(E3028,ctaNom,0))&amp;"","DOP"))</f>
        <v/>
      </c>
      <c r="O3028" s="20">
        <f>IF(I3028="","",C3028*IF(N3028="USD",TasaUSD,1))</f>
        <v/>
      </c>
      <c r="P3028" s="20">
        <f>IF(I3028="","",IF(I3028="Gasto",O3028,0))</f>
        <v/>
      </c>
      <c r="Q3028" s="20">
        <f>IF(I3028="","",IF(I3028="Ingreso",O3028,0))</f>
        <v/>
      </c>
      <c r="R3028" s="20">
        <f>IF(I3028="","",IF(I3028="Trading",O3028,0))</f>
        <v/>
      </c>
      <c r="S3028" s="19">
        <f>IF(I3028="","",IF(AND(I3028="Gasto",K3028="Variable",J3028&lt;&gt;"Trading",O3028&gt;0,O3028&lt;=Umbral),1,0))</f>
        <v/>
      </c>
      <c r="T3028" s="20">
        <f>IF(OR(I3028="",E3028=""),"",IF(OR(I3028="Gasto",I3028="Transferencia",I3028="Pago tarjeta"),-1,1)*C3028)</f>
        <v/>
      </c>
      <c r="U3028" s="20">
        <f>IF(OR(G3028="",AND(I3028&lt;&gt;"Transferencia",I3028&lt;&gt;"Pago tarjeta")),"",IF(IFERROR(INDEX(ctaMon,MATCH(G3028,ctaNom,0))&amp;"","DOP")=N3028,C3028,IF(N3028="USD",C3028*TasaUSD,C3028/TasaUSD)))</f>
        <v/>
      </c>
      <c r="V3028" s="20">
        <f>IF(I3028="","",IF(IFERROR(INDEX(ctaLiq,MATCH(E3028,ctaNom,0))="Sí",FALSE),IF(OR(I3028="Gasto",I3028="Transferencia",I3028="Pago tarjeta"),-1,1)*O3028,0)+IF(AND(U3028&lt;&gt;"",IFERROR(INDEX(ctaLiq,MATCH(G3028,ctaNom,0))="Sí",FALSE)),O3028,0))</f>
        <v/>
      </c>
      <c r="W3028" s="19">
        <f>IF(OR(F3028="",I3028=""),"",IF(COUNTIFS(F$6:F3028,F3028,I$6:I3028,"?*")=1,MAX(W$5:W3027)+1,""))</f>
        <v/>
      </c>
    </row>
    <row r="3029">
      <c r="B3029" s="15" t="n"/>
      <c r="C3029" s="16" t="n"/>
      <c r="D3029" s="17" t="n"/>
      <c r="E3029" s="17" t="n"/>
      <c r="F3029" s="17" t="n"/>
      <c r="G3029" s="17" t="n"/>
      <c r="H3029" s="18">
        <f>IF(AND(B3029="",C3029="",D3029="",E3029=""),"",IF(B3029="","⚠ Falta fecha",IF(C3029="","⚠ Falta monto",IF(D3029="","⚠ Falta categoría",IF(ISNA(MATCH(D3029,catNom,0)),"⚠ Categoría no existe",IF(E3029="","⚠ Falta cuenta",IF(ISNA(MATCH(E3029,ctaNom,0)),"⚠ Cuenta no existe",IF(AND(OR(I3029="Transferencia",I3029="Pago tarjeta"),G3029=""),"⚠ Indica la cuenta «Hacia»",IF(AND(G3029&lt;&gt;"",G3029=E3029),"⚠ «Hacia» igual a la cuenta",IF(AND(G3029&lt;&gt;"",ISNA(MATCH(G3029,ctaNom,0))),"⚠ «Hacia» no existe",IF(AND(I3029="Pago tarjeta",IFERROR(INDEX(ctaTipo,MATCH(G3029,ctaNom,0)),"")&lt;&gt;"Tarjeta de crédito"),"⚠ «Hacia» debe ser la tarjeta",IF(AND(I3029="Trading",IFERROR(INDEX(ctaTipo,MATCH(E3029,ctaNom,0)),"")&lt;&gt;"Cuenta de trading"),"⚠ Usa la cuenta de trading","✓"))))))))))))</f>
        <v/>
      </c>
      <c r="I3029" s="19">
        <f>IF(OR(B3029="",C3029="",D3029=""),"",IFERROR(INDEX(catTipo,MATCH(D3029,catNom,0))&amp;"",""))</f>
        <v/>
      </c>
      <c r="J3029" s="19">
        <f>IF(I3029="","",IFERROR(INDEX(catGrupo,MATCH(D3029,catNom,0))&amp;"",""))</f>
        <v/>
      </c>
      <c r="K3029" s="19">
        <f>IF(I3029="Gasto",IF(IFERROR(INDEX(catClas,MATCH(D3029,catNom,0))&amp;"","")="","Variable",IFERROR(INDEX(catClas,MATCH(D3029,catNom,0))&amp;"","")),"")</f>
        <v/>
      </c>
      <c r="L3029" s="19">
        <f>IF(I3029="","",IFERROR(INDEX(catAlim,MATCH(D3029,catNom,0))&amp;"",""))</f>
        <v/>
      </c>
      <c r="M3029" s="19">
        <f>IF(I3029="","",IFERROR(INDEX(catComida,MATCH(D3029,catNom,0))&amp;"",""))</f>
        <v/>
      </c>
      <c r="N3029" s="19">
        <f>IF(I3029="","",IFERROR(INDEX(ctaMon,MATCH(E3029,ctaNom,0))&amp;"","DOP"))</f>
        <v/>
      </c>
      <c r="O3029" s="20">
        <f>IF(I3029="","",C3029*IF(N3029="USD",TasaUSD,1))</f>
        <v/>
      </c>
      <c r="P3029" s="20">
        <f>IF(I3029="","",IF(I3029="Gasto",O3029,0))</f>
        <v/>
      </c>
      <c r="Q3029" s="20">
        <f>IF(I3029="","",IF(I3029="Ingreso",O3029,0))</f>
        <v/>
      </c>
      <c r="R3029" s="20">
        <f>IF(I3029="","",IF(I3029="Trading",O3029,0))</f>
        <v/>
      </c>
      <c r="S3029" s="19">
        <f>IF(I3029="","",IF(AND(I3029="Gasto",K3029="Variable",J3029&lt;&gt;"Trading",O3029&gt;0,O3029&lt;=Umbral),1,0))</f>
        <v/>
      </c>
      <c r="T3029" s="20">
        <f>IF(OR(I3029="",E3029=""),"",IF(OR(I3029="Gasto",I3029="Transferencia",I3029="Pago tarjeta"),-1,1)*C3029)</f>
        <v/>
      </c>
      <c r="U3029" s="20">
        <f>IF(OR(G3029="",AND(I3029&lt;&gt;"Transferencia",I3029&lt;&gt;"Pago tarjeta")),"",IF(IFERROR(INDEX(ctaMon,MATCH(G3029,ctaNom,0))&amp;"","DOP")=N3029,C3029,IF(N3029="USD",C3029*TasaUSD,C3029/TasaUSD)))</f>
        <v/>
      </c>
      <c r="V3029" s="20">
        <f>IF(I3029="","",IF(IFERROR(INDEX(ctaLiq,MATCH(E3029,ctaNom,0))="Sí",FALSE),IF(OR(I3029="Gasto",I3029="Transferencia",I3029="Pago tarjeta"),-1,1)*O3029,0)+IF(AND(U3029&lt;&gt;"",IFERROR(INDEX(ctaLiq,MATCH(G3029,ctaNom,0))="Sí",FALSE)),O3029,0))</f>
        <v/>
      </c>
      <c r="W3029" s="19">
        <f>IF(OR(F3029="",I3029=""),"",IF(COUNTIFS(F$6:F3029,F3029,I$6:I3029,"?*")=1,MAX(W$5:W3028)+1,""))</f>
        <v/>
      </c>
    </row>
    <row r="3030">
      <c r="B3030" s="15" t="n"/>
      <c r="C3030" s="16" t="n"/>
      <c r="D3030" s="17" t="n"/>
      <c r="E3030" s="17" t="n"/>
      <c r="F3030" s="17" t="n"/>
      <c r="G3030" s="17" t="n"/>
      <c r="H3030" s="18">
        <f>IF(AND(B3030="",C3030="",D3030="",E3030=""),"",IF(B3030="","⚠ Falta fecha",IF(C3030="","⚠ Falta monto",IF(D3030="","⚠ Falta categoría",IF(ISNA(MATCH(D3030,catNom,0)),"⚠ Categoría no existe",IF(E3030="","⚠ Falta cuenta",IF(ISNA(MATCH(E3030,ctaNom,0)),"⚠ Cuenta no existe",IF(AND(OR(I3030="Transferencia",I3030="Pago tarjeta"),G3030=""),"⚠ Indica la cuenta «Hacia»",IF(AND(G3030&lt;&gt;"",G3030=E3030),"⚠ «Hacia» igual a la cuenta",IF(AND(G3030&lt;&gt;"",ISNA(MATCH(G3030,ctaNom,0))),"⚠ «Hacia» no existe",IF(AND(I3030="Pago tarjeta",IFERROR(INDEX(ctaTipo,MATCH(G3030,ctaNom,0)),"")&lt;&gt;"Tarjeta de crédito"),"⚠ «Hacia» debe ser la tarjeta",IF(AND(I3030="Trading",IFERROR(INDEX(ctaTipo,MATCH(E3030,ctaNom,0)),"")&lt;&gt;"Cuenta de trading"),"⚠ Usa la cuenta de trading","✓"))))))))))))</f>
        <v/>
      </c>
      <c r="I3030" s="19">
        <f>IF(OR(B3030="",C3030="",D3030=""),"",IFERROR(INDEX(catTipo,MATCH(D3030,catNom,0))&amp;"",""))</f>
        <v/>
      </c>
      <c r="J3030" s="19">
        <f>IF(I3030="","",IFERROR(INDEX(catGrupo,MATCH(D3030,catNom,0))&amp;"",""))</f>
        <v/>
      </c>
      <c r="K3030" s="19">
        <f>IF(I3030="Gasto",IF(IFERROR(INDEX(catClas,MATCH(D3030,catNom,0))&amp;"","")="","Variable",IFERROR(INDEX(catClas,MATCH(D3030,catNom,0))&amp;"","")),"")</f>
        <v/>
      </c>
      <c r="L3030" s="19">
        <f>IF(I3030="","",IFERROR(INDEX(catAlim,MATCH(D3030,catNom,0))&amp;"",""))</f>
        <v/>
      </c>
      <c r="M3030" s="19">
        <f>IF(I3030="","",IFERROR(INDEX(catComida,MATCH(D3030,catNom,0))&amp;"",""))</f>
        <v/>
      </c>
      <c r="N3030" s="19">
        <f>IF(I3030="","",IFERROR(INDEX(ctaMon,MATCH(E3030,ctaNom,0))&amp;"","DOP"))</f>
        <v/>
      </c>
      <c r="O3030" s="20">
        <f>IF(I3030="","",C3030*IF(N3030="USD",TasaUSD,1))</f>
        <v/>
      </c>
      <c r="P3030" s="20">
        <f>IF(I3030="","",IF(I3030="Gasto",O3030,0))</f>
        <v/>
      </c>
      <c r="Q3030" s="20">
        <f>IF(I3030="","",IF(I3030="Ingreso",O3030,0))</f>
        <v/>
      </c>
      <c r="R3030" s="20">
        <f>IF(I3030="","",IF(I3030="Trading",O3030,0))</f>
        <v/>
      </c>
      <c r="S3030" s="19">
        <f>IF(I3030="","",IF(AND(I3030="Gasto",K3030="Variable",J3030&lt;&gt;"Trading",O3030&gt;0,O3030&lt;=Umbral),1,0))</f>
        <v/>
      </c>
      <c r="T3030" s="20">
        <f>IF(OR(I3030="",E3030=""),"",IF(OR(I3030="Gasto",I3030="Transferencia",I3030="Pago tarjeta"),-1,1)*C3030)</f>
        <v/>
      </c>
      <c r="U3030" s="20">
        <f>IF(OR(G3030="",AND(I3030&lt;&gt;"Transferencia",I3030&lt;&gt;"Pago tarjeta")),"",IF(IFERROR(INDEX(ctaMon,MATCH(G3030,ctaNom,0))&amp;"","DOP")=N3030,C3030,IF(N3030="USD",C3030*TasaUSD,C3030/TasaUSD)))</f>
        <v/>
      </c>
      <c r="V3030" s="20">
        <f>IF(I3030="","",IF(IFERROR(INDEX(ctaLiq,MATCH(E3030,ctaNom,0))="Sí",FALSE),IF(OR(I3030="Gasto",I3030="Transferencia",I3030="Pago tarjeta"),-1,1)*O3030,0)+IF(AND(U3030&lt;&gt;"",IFERROR(INDEX(ctaLiq,MATCH(G3030,ctaNom,0))="Sí",FALSE)),O3030,0))</f>
        <v/>
      </c>
      <c r="W3030" s="19">
        <f>IF(OR(F3030="",I3030=""),"",IF(COUNTIFS(F$6:F3030,F3030,I$6:I3030,"?*")=1,MAX(W$5:W3029)+1,""))</f>
        <v/>
      </c>
    </row>
    <row r="3031">
      <c r="B3031" s="15" t="n"/>
      <c r="C3031" s="16" t="n"/>
      <c r="D3031" s="17" t="n"/>
      <c r="E3031" s="17" t="n"/>
      <c r="F3031" s="17" t="n"/>
      <c r="G3031" s="17" t="n"/>
      <c r="H3031" s="18">
        <f>IF(AND(B3031="",C3031="",D3031="",E3031=""),"",IF(B3031="","⚠ Falta fecha",IF(C3031="","⚠ Falta monto",IF(D3031="","⚠ Falta categoría",IF(ISNA(MATCH(D3031,catNom,0)),"⚠ Categoría no existe",IF(E3031="","⚠ Falta cuenta",IF(ISNA(MATCH(E3031,ctaNom,0)),"⚠ Cuenta no existe",IF(AND(OR(I3031="Transferencia",I3031="Pago tarjeta"),G3031=""),"⚠ Indica la cuenta «Hacia»",IF(AND(G3031&lt;&gt;"",G3031=E3031),"⚠ «Hacia» igual a la cuenta",IF(AND(G3031&lt;&gt;"",ISNA(MATCH(G3031,ctaNom,0))),"⚠ «Hacia» no existe",IF(AND(I3031="Pago tarjeta",IFERROR(INDEX(ctaTipo,MATCH(G3031,ctaNom,0)),"")&lt;&gt;"Tarjeta de crédito"),"⚠ «Hacia» debe ser la tarjeta",IF(AND(I3031="Trading",IFERROR(INDEX(ctaTipo,MATCH(E3031,ctaNom,0)),"")&lt;&gt;"Cuenta de trading"),"⚠ Usa la cuenta de trading","✓"))))))))))))</f>
        <v/>
      </c>
      <c r="I3031" s="19">
        <f>IF(OR(B3031="",C3031="",D3031=""),"",IFERROR(INDEX(catTipo,MATCH(D3031,catNom,0))&amp;"",""))</f>
        <v/>
      </c>
      <c r="J3031" s="19">
        <f>IF(I3031="","",IFERROR(INDEX(catGrupo,MATCH(D3031,catNom,0))&amp;"",""))</f>
        <v/>
      </c>
      <c r="K3031" s="19">
        <f>IF(I3031="Gasto",IF(IFERROR(INDEX(catClas,MATCH(D3031,catNom,0))&amp;"","")="","Variable",IFERROR(INDEX(catClas,MATCH(D3031,catNom,0))&amp;"","")),"")</f>
        <v/>
      </c>
      <c r="L3031" s="19">
        <f>IF(I3031="","",IFERROR(INDEX(catAlim,MATCH(D3031,catNom,0))&amp;"",""))</f>
        <v/>
      </c>
      <c r="M3031" s="19">
        <f>IF(I3031="","",IFERROR(INDEX(catComida,MATCH(D3031,catNom,0))&amp;"",""))</f>
        <v/>
      </c>
      <c r="N3031" s="19">
        <f>IF(I3031="","",IFERROR(INDEX(ctaMon,MATCH(E3031,ctaNom,0))&amp;"","DOP"))</f>
        <v/>
      </c>
      <c r="O3031" s="20">
        <f>IF(I3031="","",C3031*IF(N3031="USD",TasaUSD,1))</f>
        <v/>
      </c>
      <c r="P3031" s="20">
        <f>IF(I3031="","",IF(I3031="Gasto",O3031,0))</f>
        <v/>
      </c>
      <c r="Q3031" s="20">
        <f>IF(I3031="","",IF(I3031="Ingreso",O3031,0))</f>
        <v/>
      </c>
      <c r="R3031" s="20">
        <f>IF(I3031="","",IF(I3031="Trading",O3031,0))</f>
        <v/>
      </c>
      <c r="S3031" s="19">
        <f>IF(I3031="","",IF(AND(I3031="Gasto",K3031="Variable",J3031&lt;&gt;"Trading",O3031&gt;0,O3031&lt;=Umbral),1,0))</f>
        <v/>
      </c>
      <c r="T3031" s="20">
        <f>IF(OR(I3031="",E3031=""),"",IF(OR(I3031="Gasto",I3031="Transferencia",I3031="Pago tarjeta"),-1,1)*C3031)</f>
        <v/>
      </c>
      <c r="U3031" s="20">
        <f>IF(OR(G3031="",AND(I3031&lt;&gt;"Transferencia",I3031&lt;&gt;"Pago tarjeta")),"",IF(IFERROR(INDEX(ctaMon,MATCH(G3031,ctaNom,0))&amp;"","DOP")=N3031,C3031,IF(N3031="USD",C3031*TasaUSD,C3031/TasaUSD)))</f>
        <v/>
      </c>
      <c r="V3031" s="20">
        <f>IF(I3031="","",IF(IFERROR(INDEX(ctaLiq,MATCH(E3031,ctaNom,0))="Sí",FALSE),IF(OR(I3031="Gasto",I3031="Transferencia",I3031="Pago tarjeta"),-1,1)*O3031,0)+IF(AND(U3031&lt;&gt;"",IFERROR(INDEX(ctaLiq,MATCH(G3031,ctaNom,0))="Sí",FALSE)),O3031,0))</f>
        <v/>
      </c>
      <c r="W3031" s="19">
        <f>IF(OR(F3031="",I3031=""),"",IF(COUNTIFS(F$6:F3031,F3031,I$6:I3031,"?*")=1,MAX(W$5:W3030)+1,""))</f>
        <v/>
      </c>
    </row>
    <row r="3032">
      <c r="B3032" s="15" t="n"/>
      <c r="C3032" s="16" t="n"/>
      <c r="D3032" s="17" t="n"/>
      <c r="E3032" s="17" t="n"/>
      <c r="F3032" s="17" t="n"/>
      <c r="G3032" s="17" t="n"/>
      <c r="H3032" s="18">
        <f>IF(AND(B3032="",C3032="",D3032="",E3032=""),"",IF(B3032="","⚠ Falta fecha",IF(C3032="","⚠ Falta monto",IF(D3032="","⚠ Falta categoría",IF(ISNA(MATCH(D3032,catNom,0)),"⚠ Categoría no existe",IF(E3032="","⚠ Falta cuenta",IF(ISNA(MATCH(E3032,ctaNom,0)),"⚠ Cuenta no existe",IF(AND(OR(I3032="Transferencia",I3032="Pago tarjeta"),G3032=""),"⚠ Indica la cuenta «Hacia»",IF(AND(G3032&lt;&gt;"",G3032=E3032),"⚠ «Hacia» igual a la cuenta",IF(AND(G3032&lt;&gt;"",ISNA(MATCH(G3032,ctaNom,0))),"⚠ «Hacia» no existe",IF(AND(I3032="Pago tarjeta",IFERROR(INDEX(ctaTipo,MATCH(G3032,ctaNom,0)),"")&lt;&gt;"Tarjeta de crédito"),"⚠ «Hacia» debe ser la tarjeta",IF(AND(I3032="Trading",IFERROR(INDEX(ctaTipo,MATCH(E3032,ctaNom,0)),"")&lt;&gt;"Cuenta de trading"),"⚠ Usa la cuenta de trading","✓"))))))))))))</f>
        <v/>
      </c>
      <c r="I3032" s="19">
        <f>IF(OR(B3032="",C3032="",D3032=""),"",IFERROR(INDEX(catTipo,MATCH(D3032,catNom,0))&amp;"",""))</f>
        <v/>
      </c>
      <c r="J3032" s="19">
        <f>IF(I3032="","",IFERROR(INDEX(catGrupo,MATCH(D3032,catNom,0))&amp;"",""))</f>
        <v/>
      </c>
      <c r="K3032" s="19">
        <f>IF(I3032="Gasto",IF(IFERROR(INDEX(catClas,MATCH(D3032,catNom,0))&amp;"","")="","Variable",IFERROR(INDEX(catClas,MATCH(D3032,catNom,0))&amp;"","")),"")</f>
        <v/>
      </c>
      <c r="L3032" s="19">
        <f>IF(I3032="","",IFERROR(INDEX(catAlim,MATCH(D3032,catNom,0))&amp;"",""))</f>
        <v/>
      </c>
      <c r="M3032" s="19">
        <f>IF(I3032="","",IFERROR(INDEX(catComida,MATCH(D3032,catNom,0))&amp;"",""))</f>
        <v/>
      </c>
      <c r="N3032" s="19">
        <f>IF(I3032="","",IFERROR(INDEX(ctaMon,MATCH(E3032,ctaNom,0))&amp;"","DOP"))</f>
        <v/>
      </c>
      <c r="O3032" s="20">
        <f>IF(I3032="","",C3032*IF(N3032="USD",TasaUSD,1))</f>
        <v/>
      </c>
      <c r="P3032" s="20">
        <f>IF(I3032="","",IF(I3032="Gasto",O3032,0))</f>
        <v/>
      </c>
      <c r="Q3032" s="20">
        <f>IF(I3032="","",IF(I3032="Ingreso",O3032,0))</f>
        <v/>
      </c>
      <c r="R3032" s="20">
        <f>IF(I3032="","",IF(I3032="Trading",O3032,0))</f>
        <v/>
      </c>
      <c r="S3032" s="19">
        <f>IF(I3032="","",IF(AND(I3032="Gasto",K3032="Variable",J3032&lt;&gt;"Trading",O3032&gt;0,O3032&lt;=Umbral),1,0))</f>
        <v/>
      </c>
      <c r="T3032" s="20">
        <f>IF(OR(I3032="",E3032=""),"",IF(OR(I3032="Gasto",I3032="Transferencia",I3032="Pago tarjeta"),-1,1)*C3032)</f>
        <v/>
      </c>
      <c r="U3032" s="20">
        <f>IF(OR(G3032="",AND(I3032&lt;&gt;"Transferencia",I3032&lt;&gt;"Pago tarjeta")),"",IF(IFERROR(INDEX(ctaMon,MATCH(G3032,ctaNom,0))&amp;"","DOP")=N3032,C3032,IF(N3032="USD",C3032*TasaUSD,C3032/TasaUSD)))</f>
        <v/>
      </c>
      <c r="V3032" s="20">
        <f>IF(I3032="","",IF(IFERROR(INDEX(ctaLiq,MATCH(E3032,ctaNom,0))="Sí",FALSE),IF(OR(I3032="Gasto",I3032="Transferencia",I3032="Pago tarjeta"),-1,1)*O3032,0)+IF(AND(U3032&lt;&gt;"",IFERROR(INDEX(ctaLiq,MATCH(G3032,ctaNom,0))="Sí",FALSE)),O3032,0))</f>
        <v/>
      </c>
      <c r="W3032" s="19">
        <f>IF(OR(F3032="",I3032=""),"",IF(COUNTIFS(F$6:F3032,F3032,I$6:I3032,"?*")=1,MAX(W$5:W3031)+1,""))</f>
        <v/>
      </c>
    </row>
    <row r="3033">
      <c r="B3033" s="15" t="n"/>
      <c r="C3033" s="16" t="n"/>
      <c r="D3033" s="17" t="n"/>
      <c r="E3033" s="17" t="n"/>
      <c r="F3033" s="17" t="n"/>
      <c r="G3033" s="17" t="n"/>
      <c r="H3033" s="18">
        <f>IF(AND(B3033="",C3033="",D3033="",E3033=""),"",IF(B3033="","⚠ Falta fecha",IF(C3033="","⚠ Falta monto",IF(D3033="","⚠ Falta categoría",IF(ISNA(MATCH(D3033,catNom,0)),"⚠ Categoría no existe",IF(E3033="","⚠ Falta cuenta",IF(ISNA(MATCH(E3033,ctaNom,0)),"⚠ Cuenta no existe",IF(AND(OR(I3033="Transferencia",I3033="Pago tarjeta"),G3033=""),"⚠ Indica la cuenta «Hacia»",IF(AND(G3033&lt;&gt;"",G3033=E3033),"⚠ «Hacia» igual a la cuenta",IF(AND(G3033&lt;&gt;"",ISNA(MATCH(G3033,ctaNom,0))),"⚠ «Hacia» no existe",IF(AND(I3033="Pago tarjeta",IFERROR(INDEX(ctaTipo,MATCH(G3033,ctaNom,0)),"")&lt;&gt;"Tarjeta de crédito"),"⚠ «Hacia» debe ser la tarjeta",IF(AND(I3033="Trading",IFERROR(INDEX(ctaTipo,MATCH(E3033,ctaNom,0)),"")&lt;&gt;"Cuenta de trading"),"⚠ Usa la cuenta de trading","✓"))))))))))))</f>
        <v/>
      </c>
      <c r="I3033" s="19">
        <f>IF(OR(B3033="",C3033="",D3033=""),"",IFERROR(INDEX(catTipo,MATCH(D3033,catNom,0))&amp;"",""))</f>
        <v/>
      </c>
      <c r="J3033" s="19">
        <f>IF(I3033="","",IFERROR(INDEX(catGrupo,MATCH(D3033,catNom,0))&amp;"",""))</f>
        <v/>
      </c>
      <c r="K3033" s="19">
        <f>IF(I3033="Gasto",IF(IFERROR(INDEX(catClas,MATCH(D3033,catNom,0))&amp;"","")="","Variable",IFERROR(INDEX(catClas,MATCH(D3033,catNom,0))&amp;"","")),"")</f>
        <v/>
      </c>
      <c r="L3033" s="19">
        <f>IF(I3033="","",IFERROR(INDEX(catAlim,MATCH(D3033,catNom,0))&amp;"",""))</f>
        <v/>
      </c>
      <c r="M3033" s="19">
        <f>IF(I3033="","",IFERROR(INDEX(catComida,MATCH(D3033,catNom,0))&amp;"",""))</f>
        <v/>
      </c>
      <c r="N3033" s="19">
        <f>IF(I3033="","",IFERROR(INDEX(ctaMon,MATCH(E3033,ctaNom,0))&amp;"","DOP"))</f>
        <v/>
      </c>
      <c r="O3033" s="20">
        <f>IF(I3033="","",C3033*IF(N3033="USD",TasaUSD,1))</f>
        <v/>
      </c>
      <c r="P3033" s="20">
        <f>IF(I3033="","",IF(I3033="Gasto",O3033,0))</f>
        <v/>
      </c>
      <c r="Q3033" s="20">
        <f>IF(I3033="","",IF(I3033="Ingreso",O3033,0))</f>
        <v/>
      </c>
      <c r="R3033" s="20">
        <f>IF(I3033="","",IF(I3033="Trading",O3033,0))</f>
        <v/>
      </c>
      <c r="S3033" s="19">
        <f>IF(I3033="","",IF(AND(I3033="Gasto",K3033="Variable",J3033&lt;&gt;"Trading",O3033&gt;0,O3033&lt;=Umbral),1,0))</f>
        <v/>
      </c>
      <c r="T3033" s="20">
        <f>IF(OR(I3033="",E3033=""),"",IF(OR(I3033="Gasto",I3033="Transferencia",I3033="Pago tarjeta"),-1,1)*C3033)</f>
        <v/>
      </c>
      <c r="U3033" s="20">
        <f>IF(OR(G3033="",AND(I3033&lt;&gt;"Transferencia",I3033&lt;&gt;"Pago tarjeta")),"",IF(IFERROR(INDEX(ctaMon,MATCH(G3033,ctaNom,0))&amp;"","DOP")=N3033,C3033,IF(N3033="USD",C3033*TasaUSD,C3033/TasaUSD)))</f>
        <v/>
      </c>
      <c r="V3033" s="20">
        <f>IF(I3033="","",IF(IFERROR(INDEX(ctaLiq,MATCH(E3033,ctaNom,0))="Sí",FALSE),IF(OR(I3033="Gasto",I3033="Transferencia",I3033="Pago tarjeta"),-1,1)*O3033,0)+IF(AND(U3033&lt;&gt;"",IFERROR(INDEX(ctaLiq,MATCH(G3033,ctaNom,0))="Sí",FALSE)),O3033,0))</f>
        <v/>
      </c>
      <c r="W3033" s="19">
        <f>IF(OR(F3033="",I3033=""),"",IF(COUNTIFS(F$6:F3033,F3033,I$6:I3033,"?*")=1,MAX(W$5:W3032)+1,""))</f>
        <v/>
      </c>
    </row>
    <row r="3034">
      <c r="B3034" s="15" t="n"/>
      <c r="C3034" s="16" t="n"/>
      <c r="D3034" s="17" t="n"/>
      <c r="E3034" s="17" t="n"/>
      <c r="F3034" s="17" t="n"/>
      <c r="G3034" s="17" t="n"/>
      <c r="H3034" s="18">
        <f>IF(AND(B3034="",C3034="",D3034="",E3034=""),"",IF(B3034="","⚠ Falta fecha",IF(C3034="","⚠ Falta monto",IF(D3034="","⚠ Falta categoría",IF(ISNA(MATCH(D3034,catNom,0)),"⚠ Categoría no existe",IF(E3034="","⚠ Falta cuenta",IF(ISNA(MATCH(E3034,ctaNom,0)),"⚠ Cuenta no existe",IF(AND(OR(I3034="Transferencia",I3034="Pago tarjeta"),G3034=""),"⚠ Indica la cuenta «Hacia»",IF(AND(G3034&lt;&gt;"",G3034=E3034),"⚠ «Hacia» igual a la cuenta",IF(AND(G3034&lt;&gt;"",ISNA(MATCH(G3034,ctaNom,0))),"⚠ «Hacia» no existe",IF(AND(I3034="Pago tarjeta",IFERROR(INDEX(ctaTipo,MATCH(G3034,ctaNom,0)),"")&lt;&gt;"Tarjeta de crédito"),"⚠ «Hacia» debe ser la tarjeta",IF(AND(I3034="Trading",IFERROR(INDEX(ctaTipo,MATCH(E3034,ctaNom,0)),"")&lt;&gt;"Cuenta de trading"),"⚠ Usa la cuenta de trading","✓"))))))))))))</f>
        <v/>
      </c>
      <c r="I3034" s="19">
        <f>IF(OR(B3034="",C3034="",D3034=""),"",IFERROR(INDEX(catTipo,MATCH(D3034,catNom,0))&amp;"",""))</f>
        <v/>
      </c>
      <c r="J3034" s="19">
        <f>IF(I3034="","",IFERROR(INDEX(catGrupo,MATCH(D3034,catNom,0))&amp;"",""))</f>
        <v/>
      </c>
      <c r="K3034" s="19">
        <f>IF(I3034="Gasto",IF(IFERROR(INDEX(catClas,MATCH(D3034,catNom,0))&amp;"","")="","Variable",IFERROR(INDEX(catClas,MATCH(D3034,catNom,0))&amp;"","")),"")</f>
        <v/>
      </c>
      <c r="L3034" s="19">
        <f>IF(I3034="","",IFERROR(INDEX(catAlim,MATCH(D3034,catNom,0))&amp;"",""))</f>
        <v/>
      </c>
      <c r="M3034" s="19">
        <f>IF(I3034="","",IFERROR(INDEX(catComida,MATCH(D3034,catNom,0))&amp;"",""))</f>
        <v/>
      </c>
      <c r="N3034" s="19">
        <f>IF(I3034="","",IFERROR(INDEX(ctaMon,MATCH(E3034,ctaNom,0))&amp;"","DOP"))</f>
        <v/>
      </c>
      <c r="O3034" s="20">
        <f>IF(I3034="","",C3034*IF(N3034="USD",TasaUSD,1))</f>
        <v/>
      </c>
      <c r="P3034" s="20">
        <f>IF(I3034="","",IF(I3034="Gasto",O3034,0))</f>
        <v/>
      </c>
      <c r="Q3034" s="20">
        <f>IF(I3034="","",IF(I3034="Ingreso",O3034,0))</f>
        <v/>
      </c>
      <c r="R3034" s="20">
        <f>IF(I3034="","",IF(I3034="Trading",O3034,0))</f>
        <v/>
      </c>
      <c r="S3034" s="19">
        <f>IF(I3034="","",IF(AND(I3034="Gasto",K3034="Variable",J3034&lt;&gt;"Trading",O3034&gt;0,O3034&lt;=Umbral),1,0))</f>
        <v/>
      </c>
      <c r="T3034" s="20">
        <f>IF(OR(I3034="",E3034=""),"",IF(OR(I3034="Gasto",I3034="Transferencia",I3034="Pago tarjeta"),-1,1)*C3034)</f>
        <v/>
      </c>
      <c r="U3034" s="20">
        <f>IF(OR(G3034="",AND(I3034&lt;&gt;"Transferencia",I3034&lt;&gt;"Pago tarjeta")),"",IF(IFERROR(INDEX(ctaMon,MATCH(G3034,ctaNom,0))&amp;"","DOP")=N3034,C3034,IF(N3034="USD",C3034*TasaUSD,C3034/TasaUSD)))</f>
        <v/>
      </c>
      <c r="V3034" s="20">
        <f>IF(I3034="","",IF(IFERROR(INDEX(ctaLiq,MATCH(E3034,ctaNom,0))="Sí",FALSE),IF(OR(I3034="Gasto",I3034="Transferencia",I3034="Pago tarjeta"),-1,1)*O3034,0)+IF(AND(U3034&lt;&gt;"",IFERROR(INDEX(ctaLiq,MATCH(G3034,ctaNom,0))="Sí",FALSE)),O3034,0))</f>
        <v/>
      </c>
      <c r="W3034" s="19">
        <f>IF(OR(F3034="",I3034=""),"",IF(COUNTIFS(F$6:F3034,F3034,I$6:I3034,"?*")=1,MAX(W$5:W3033)+1,""))</f>
        <v/>
      </c>
    </row>
    <row r="3035">
      <c r="B3035" s="15" t="n"/>
      <c r="C3035" s="16" t="n"/>
      <c r="D3035" s="17" t="n"/>
      <c r="E3035" s="17" t="n"/>
      <c r="F3035" s="17" t="n"/>
      <c r="G3035" s="17" t="n"/>
      <c r="H3035" s="18">
        <f>IF(AND(B3035="",C3035="",D3035="",E3035=""),"",IF(B3035="","⚠ Falta fecha",IF(C3035="","⚠ Falta monto",IF(D3035="","⚠ Falta categoría",IF(ISNA(MATCH(D3035,catNom,0)),"⚠ Categoría no existe",IF(E3035="","⚠ Falta cuenta",IF(ISNA(MATCH(E3035,ctaNom,0)),"⚠ Cuenta no existe",IF(AND(OR(I3035="Transferencia",I3035="Pago tarjeta"),G3035=""),"⚠ Indica la cuenta «Hacia»",IF(AND(G3035&lt;&gt;"",G3035=E3035),"⚠ «Hacia» igual a la cuenta",IF(AND(G3035&lt;&gt;"",ISNA(MATCH(G3035,ctaNom,0))),"⚠ «Hacia» no existe",IF(AND(I3035="Pago tarjeta",IFERROR(INDEX(ctaTipo,MATCH(G3035,ctaNom,0)),"")&lt;&gt;"Tarjeta de crédito"),"⚠ «Hacia» debe ser la tarjeta",IF(AND(I3035="Trading",IFERROR(INDEX(ctaTipo,MATCH(E3035,ctaNom,0)),"")&lt;&gt;"Cuenta de trading"),"⚠ Usa la cuenta de trading","✓"))))))))))))</f>
        <v/>
      </c>
      <c r="I3035" s="19">
        <f>IF(OR(B3035="",C3035="",D3035=""),"",IFERROR(INDEX(catTipo,MATCH(D3035,catNom,0))&amp;"",""))</f>
        <v/>
      </c>
      <c r="J3035" s="19">
        <f>IF(I3035="","",IFERROR(INDEX(catGrupo,MATCH(D3035,catNom,0))&amp;"",""))</f>
        <v/>
      </c>
      <c r="K3035" s="19">
        <f>IF(I3035="Gasto",IF(IFERROR(INDEX(catClas,MATCH(D3035,catNom,0))&amp;"","")="","Variable",IFERROR(INDEX(catClas,MATCH(D3035,catNom,0))&amp;"","")),"")</f>
        <v/>
      </c>
      <c r="L3035" s="19">
        <f>IF(I3035="","",IFERROR(INDEX(catAlim,MATCH(D3035,catNom,0))&amp;"",""))</f>
        <v/>
      </c>
      <c r="M3035" s="19">
        <f>IF(I3035="","",IFERROR(INDEX(catComida,MATCH(D3035,catNom,0))&amp;"",""))</f>
        <v/>
      </c>
      <c r="N3035" s="19">
        <f>IF(I3035="","",IFERROR(INDEX(ctaMon,MATCH(E3035,ctaNom,0))&amp;"","DOP"))</f>
        <v/>
      </c>
      <c r="O3035" s="20">
        <f>IF(I3035="","",C3035*IF(N3035="USD",TasaUSD,1))</f>
        <v/>
      </c>
      <c r="P3035" s="20">
        <f>IF(I3035="","",IF(I3035="Gasto",O3035,0))</f>
        <v/>
      </c>
      <c r="Q3035" s="20">
        <f>IF(I3035="","",IF(I3035="Ingreso",O3035,0))</f>
        <v/>
      </c>
      <c r="R3035" s="20">
        <f>IF(I3035="","",IF(I3035="Trading",O3035,0))</f>
        <v/>
      </c>
      <c r="S3035" s="19">
        <f>IF(I3035="","",IF(AND(I3035="Gasto",K3035="Variable",J3035&lt;&gt;"Trading",O3035&gt;0,O3035&lt;=Umbral),1,0))</f>
        <v/>
      </c>
      <c r="T3035" s="20">
        <f>IF(OR(I3035="",E3035=""),"",IF(OR(I3035="Gasto",I3035="Transferencia",I3035="Pago tarjeta"),-1,1)*C3035)</f>
        <v/>
      </c>
      <c r="U3035" s="20">
        <f>IF(OR(G3035="",AND(I3035&lt;&gt;"Transferencia",I3035&lt;&gt;"Pago tarjeta")),"",IF(IFERROR(INDEX(ctaMon,MATCH(G3035,ctaNom,0))&amp;"","DOP")=N3035,C3035,IF(N3035="USD",C3035*TasaUSD,C3035/TasaUSD)))</f>
        <v/>
      </c>
      <c r="V3035" s="20">
        <f>IF(I3035="","",IF(IFERROR(INDEX(ctaLiq,MATCH(E3035,ctaNom,0))="Sí",FALSE),IF(OR(I3035="Gasto",I3035="Transferencia",I3035="Pago tarjeta"),-1,1)*O3035,0)+IF(AND(U3035&lt;&gt;"",IFERROR(INDEX(ctaLiq,MATCH(G3035,ctaNom,0))="Sí",FALSE)),O3035,0))</f>
        <v/>
      </c>
      <c r="W3035" s="19">
        <f>IF(OR(F3035="",I3035=""),"",IF(COUNTIFS(F$6:F3035,F3035,I$6:I3035,"?*")=1,MAX(W$5:W3034)+1,""))</f>
        <v/>
      </c>
    </row>
    <row r="3036">
      <c r="B3036" s="15" t="n"/>
      <c r="C3036" s="16" t="n"/>
      <c r="D3036" s="17" t="n"/>
      <c r="E3036" s="17" t="n"/>
      <c r="F3036" s="17" t="n"/>
      <c r="G3036" s="17" t="n"/>
      <c r="H3036" s="18">
        <f>IF(AND(B3036="",C3036="",D3036="",E3036=""),"",IF(B3036="","⚠ Falta fecha",IF(C3036="","⚠ Falta monto",IF(D3036="","⚠ Falta categoría",IF(ISNA(MATCH(D3036,catNom,0)),"⚠ Categoría no existe",IF(E3036="","⚠ Falta cuenta",IF(ISNA(MATCH(E3036,ctaNom,0)),"⚠ Cuenta no existe",IF(AND(OR(I3036="Transferencia",I3036="Pago tarjeta"),G3036=""),"⚠ Indica la cuenta «Hacia»",IF(AND(G3036&lt;&gt;"",G3036=E3036),"⚠ «Hacia» igual a la cuenta",IF(AND(G3036&lt;&gt;"",ISNA(MATCH(G3036,ctaNom,0))),"⚠ «Hacia» no existe",IF(AND(I3036="Pago tarjeta",IFERROR(INDEX(ctaTipo,MATCH(G3036,ctaNom,0)),"")&lt;&gt;"Tarjeta de crédito"),"⚠ «Hacia» debe ser la tarjeta",IF(AND(I3036="Trading",IFERROR(INDEX(ctaTipo,MATCH(E3036,ctaNom,0)),"")&lt;&gt;"Cuenta de trading"),"⚠ Usa la cuenta de trading","✓"))))))))))))</f>
        <v/>
      </c>
      <c r="I3036" s="19">
        <f>IF(OR(B3036="",C3036="",D3036=""),"",IFERROR(INDEX(catTipo,MATCH(D3036,catNom,0))&amp;"",""))</f>
        <v/>
      </c>
      <c r="J3036" s="19">
        <f>IF(I3036="","",IFERROR(INDEX(catGrupo,MATCH(D3036,catNom,0))&amp;"",""))</f>
        <v/>
      </c>
      <c r="K3036" s="19">
        <f>IF(I3036="Gasto",IF(IFERROR(INDEX(catClas,MATCH(D3036,catNom,0))&amp;"","")="","Variable",IFERROR(INDEX(catClas,MATCH(D3036,catNom,0))&amp;"","")),"")</f>
        <v/>
      </c>
      <c r="L3036" s="19">
        <f>IF(I3036="","",IFERROR(INDEX(catAlim,MATCH(D3036,catNom,0))&amp;"",""))</f>
        <v/>
      </c>
      <c r="M3036" s="19">
        <f>IF(I3036="","",IFERROR(INDEX(catComida,MATCH(D3036,catNom,0))&amp;"",""))</f>
        <v/>
      </c>
      <c r="N3036" s="19">
        <f>IF(I3036="","",IFERROR(INDEX(ctaMon,MATCH(E3036,ctaNom,0))&amp;"","DOP"))</f>
        <v/>
      </c>
      <c r="O3036" s="20">
        <f>IF(I3036="","",C3036*IF(N3036="USD",TasaUSD,1))</f>
        <v/>
      </c>
      <c r="P3036" s="20">
        <f>IF(I3036="","",IF(I3036="Gasto",O3036,0))</f>
        <v/>
      </c>
      <c r="Q3036" s="20">
        <f>IF(I3036="","",IF(I3036="Ingreso",O3036,0))</f>
        <v/>
      </c>
      <c r="R3036" s="20">
        <f>IF(I3036="","",IF(I3036="Trading",O3036,0))</f>
        <v/>
      </c>
      <c r="S3036" s="19">
        <f>IF(I3036="","",IF(AND(I3036="Gasto",K3036="Variable",J3036&lt;&gt;"Trading",O3036&gt;0,O3036&lt;=Umbral),1,0))</f>
        <v/>
      </c>
      <c r="T3036" s="20">
        <f>IF(OR(I3036="",E3036=""),"",IF(OR(I3036="Gasto",I3036="Transferencia",I3036="Pago tarjeta"),-1,1)*C3036)</f>
        <v/>
      </c>
      <c r="U3036" s="20">
        <f>IF(OR(G3036="",AND(I3036&lt;&gt;"Transferencia",I3036&lt;&gt;"Pago tarjeta")),"",IF(IFERROR(INDEX(ctaMon,MATCH(G3036,ctaNom,0))&amp;"","DOP")=N3036,C3036,IF(N3036="USD",C3036*TasaUSD,C3036/TasaUSD)))</f>
        <v/>
      </c>
      <c r="V3036" s="20">
        <f>IF(I3036="","",IF(IFERROR(INDEX(ctaLiq,MATCH(E3036,ctaNom,0))="Sí",FALSE),IF(OR(I3036="Gasto",I3036="Transferencia",I3036="Pago tarjeta"),-1,1)*O3036,0)+IF(AND(U3036&lt;&gt;"",IFERROR(INDEX(ctaLiq,MATCH(G3036,ctaNom,0))="Sí",FALSE)),O3036,0))</f>
        <v/>
      </c>
      <c r="W3036" s="19">
        <f>IF(OR(F3036="",I3036=""),"",IF(COUNTIFS(F$6:F3036,F3036,I$6:I3036,"?*")=1,MAX(W$5:W3035)+1,""))</f>
        <v/>
      </c>
    </row>
    <row r="3037">
      <c r="B3037" s="15" t="n"/>
      <c r="C3037" s="16" t="n"/>
      <c r="D3037" s="17" t="n"/>
      <c r="E3037" s="17" t="n"/>
      <c r="F3037" s="17" t="n"/>
      <c r="G3037" s="17" t="n"/>
      <c r="H3037" s="18">
        <f>IF(AND(B3037="",C3037="",D3037="",E3037=""),"",IF(B3037="","⚠ Falta fecha",IF(C3037="","⚠ Falta monto",IF(D3037="","⚠ Falta categoría",IF(ISNA(MATCH(D3037,catNom,0)),"⚠ Categoría no existe",IF(E3037="","⚠ Falta cuenta",IF(ISNA(MATCH(E3037,ctaNom,0)),"⚠ Cuenta no existe",IF(AND(OR(I3037="Transferencia",I3037="Pago tarjeta"),G3037=""),"⚠ Indica la cuenta «Hacia»",IF(AND(G3037&lt;&gt;"",G3037=E3037),"⚠ «Hacia» igual a la cuenta",IF(AND(G3037&lt;&gt;"",ISNA(MATCH(G3037,ctaNom,0))),"⚠ «Hacia» no existe",IF(AND(I3037="Pago tarjeta",IFERROR(INDEX(ctaTipo,MATCH(G3037,ctaNom,0)),"")&lt;&gt;"Tarjeta de crédito"),"⚠ «Hacia» debe ser la tarjeta",IF(AND(I3037="Trading",IFERROR(INDEX(ctaTipo,MATCH(E3037,ctaNom,0)),"")&lt;&gt;"Cuenta de trading"),"⚠ Usa la cuenta de trading","✓"))))))))))))</f>
        <v/>
      </c>
      <c r="I3037" s="19">
        <f>IF(OR(B3037="",C3037="",D3037=""),"",IFERROR(INDEX(catTipo,MATCH(D3037,catNom,0))&amp;"",""))</f>
        <v/>
      </c>
      <c r="J3037" s="19">
        <f>IF(I3037="","",IFERROR(INDEX(catGrupo,MATCH(D3037,catNom,0))&amp;"",""))</f>
        <v/>
      </c>
      <c r="K3037" s="19">
        <f>IF(I3037="Gasto",IF(IFERROR(INDEX(catClas,MATCH(D3037,catNom,0))&amp;"","")="","Variable",IFERROR(INDEX(catClas,MATCH(D3037,catNom,0))&amp;"","")),"")</f>
        <v/>
      </c>
      <c r="L3037" s="19">
        <f>IF(I3037="","",IFERROR(INDEX(catAlim,MATCH(D3037,catNom,0))&amp;"",""))</f>
        <v/>
      </c>
      <c r="M3037" s="19">
        <f>IF(I3037="","",IFERROR(INDEX(catComida,MATCH(D3037,catNom,0))&amp;"",""))</f>
        <v/>
      </c>
      <c r="N3037" s="19">
        <f>IF(I3037="","",IFERROR(INDEX(ctaMon,MATCH(E3037,ctaNom,0))&amp;"","DOP"))</f>
        <v/>
      </c>
      <c r="O3037" s="20">
        <f>IF(I3037="","",C3037*IF(N3037="USD",TasaUSD,1))</f>
        <v/>
      </c>
      <c r="P3037" s="20">
        <f>IF(I3037="","",IF(I3037="Gasto",O3037,0))</f>
        <v/>
      </c>
      <c r="Q3037" s="20">
        <f>IF(I3037="","",IF(I3037="Ingreso",O3037,0))</f>
        <v/>
      </c>
      <c r="R3037" s="20">
        <f>IF(I3037="","",IF(I3037="Trading",O3037,0))</f>
        <v/>
      </c>
      <c r="S3037" s="19">
        <f>IF(I3037="","",IF(AND(I3037="Gasto",K3037="Variable",J3037&lt;&gt;"Trading",O3037&gt;0,O3037&lt;=Umbral),1,0))</f>
        <v/>
      </c>
      <c r="T3037" s="20">
        <f>IF(OR(I3037="",E3037=""),"",IF(OR(I3037="Gasto",I3037="Transferencia",I3037="Pago tarjeta"),-1,1)*C3037)</f>
        <v/>
      </c>
      <c r="U3037" s="20">
        <f>IF(OR(G3037="",AND(I3037&lt;&gt;"Transferencia",I3037&lt;&gt;"Pago tarjeta")),"",IF(IFERROR(INDEX(ctaMon,MATCH(G3037,ctaNom,0))&amp;"","DOP")=N3037,C3037,IF(N3037="USD",C3037*TasaUSD,C3037/TasaUSD)))</f>
        <v/>
      </c>
      <c r="V3037" s="20">
        <f>IF(I3037="","",IF(IFERROR(INDEX(ctaLiq,MATCH(E3037,ctaNom,0))="Sí",FALSE),IF(OR(I3037="Gasto",I3037="Transferencia",I3037="Pago tarjeta"),-1,1)*O3037,0)+IF(AND(U3037&lt;&gt;"",IFERROR(INDEX(ctaLiq,MATCH(G3037,ctaNom,0))="Sí",FALSE)),O3037,0))</f>
        <v/>
      </c>
      <c r="W3037" s="19">
        <f>IF(OR(F3037="",I3037=""),"",IF(COUNTIFS(F$6:F3037,F3037,I$6:I3037,"?*")=1,MAX(W$5:W3036)+1,""))</f>
        <v/>
      </c>
    </row>
    <row r="3038">
      <c r="B3038" s="15" t="n"/>
      <c r="C3038" s="16" t="n"/>
      <c r="D3038" s="17" t="n"/>
      <c r="E3038" s="17" t="n"/>
      <c r="F3038" s="17" t="n"/>
      <c r="G3038" s="17" t="n"/>
      <c r="H3038" s="18">
        <f>IF(AND(B3038="",C3038="",D3038="",E3038=""),"",IF(B3038="","⚠ Falta fecha",IF(C3038="","⚠ Falta monto",IF(D3038="","⚠ Falta categoría",IF(ISNA(MATCH(D3038,catNom,0)),"⚠ Categoría no existe",IF(E3038="","⚠ Falta cuenta",IF(ISNA(MATCH(E3038,ctaNom,0)),"⚠ Cuenta no existe",IF(AND(OR(I3038="Transferencia",I3038="Pago tarjeta"),G3038=""),"⚠ Indica la cuenta «Hacia»",IF(AND(G3038&lt;&gt;"",G3038=E3038),"⚠ «Hacia» igual a la cuenta",IF(AND(G3038&lt;&gt;"",ISNA(MATCH(G3038,ctaNom,0))),"⚠ «Hacia» no existe",IF(AND(I3038="Pago tarjeta",IFERROR(INDEX(ctaTipo,MATCH(G3038,ctaNom,0)),"")&lt;&gt;"Tarjeta de crédito"),"⚠ «Hacia» debe ser la tarjeta",IF(AND(I3038="Trading",IFERROR(INDEX(ctaTipo,MATCH(E3038,ctaNom,0)),"")&lt;&gt;"Cuenta de trading"),"⚠ Usa la cuenta de trading","✓"))))))))))))</f>
        <v/>
      </c>
      <c r="I3038" s="19">
        <f>IF(OR(B3038="",C3038="",D3038=""),"",IFERROR(INDEX(catTipo,MATCH(D3038,catNom,0))&amp;"",""))</f>
        <v/>
      </c>
      <c r="J3038" s="19">
        <f>IF(I3038="","",IFERROR(INDEX(catGrupo,MATCH(D3038,catNom,0))&amp;"",""))</f>
        <v/>
      </c>
      <c r="K3038" s="19">
        <f>IF(I3038="Gasto",IF(IFERROR(INDEX(catClas,MATCH(D3038,catNom,0))&amp;"","")="","Variable",IFERROR(INDEX(catClas,MATCH(D3038,catNom,0))&amp;"","")),"")</f>
        <v/>
      </c>
      <c r="L3038" s="19">
        <f>IF(I3038="","",IFERROR(INDEX(catAlim,MATCH(D3038,catNom,0))&amp;"",""))</f>
        <v/>
      </c>
      <c r="M3038" s="19">
        <f>IF(I3038="","",IFERROR(INDEX(catComida,MATCH(D3038,catNom,0))&amp;"",""))</f>
        <v/>
      </c>
      <c r="N3038" s="19">
        <f>IF(I3038="","",IFERROR(INDEX(ctaMon,MATCH(E3038,ctaNom,0))&amp;"","DOP"))</f>
        <v/>
      </c>
      <c r="O3038" s="20">
        <f>IF(I3038="","",C3038*IF(N3038="USD",TasaUSD,1))</f>
        <v/>
      </c>
      <c r="P3038" s="20">
        <f>IF(I3038="","",IF(I3038="Gasto",O3038,0))</f>
        <v/>
      </c>
      <c r="Q3038" s="20">
        <f>IF(I3038="","",IF(I3038="Ingreso",O3038,0))</f>
        <v/>
      </c>
      <c r="R3038" s="20">
        <f>IF(I3038="","",IF(I3038="Trading",O3038,0))</f>
        <v/>
      </c>
      <c r="S3038" s="19">
        <f>IF(I3038="","",IF(AND(I3038="Gasto",K3038="Variable",J3038&lt;&gt;"Trading",O3038&gt;0,O3038&lt;=Umbral),1,0))</f>
        <v/>
      </c>
      <c r="T3038" s="20">
        <f>IF(OR(I3038="",E3038=""),"",IF(OR(I3038="Gasto",I3038="Transferencia",I3038="Pago tarjeta"),-1,1)*C3038)</f>
        <v/>
      </c>
      <c r="U3038" s="20">
        <f>IF(OR(G3038="",AND(I3038&lt;&gt;"Transferencia",I3038&lt;&gt;"Pago tarjeta")),"",IF(IFERROR(INDEX(ctaMon,MATCH(G3038,ctaNom,0))&amp;"","DOP")=N3038,C3038,IF(N3038="USD",C3038*TasaUSD,C3038/TasaUSD)))</f>
        <v/>
      </c>
      <c r="V3038" s="20">
        <f>IF(I3038="","",IF(IFERROR(INDEX(ctaLiq,MATCH(E3038,ctaNom,0))="Sí",FALSE),IF(OR(I3038="Gasto",I3038="Transferencia",I3038="Pago tarjeta"),-1,1)*O3038,0)+IF(AND(U3038&lt;&gt;"",IFERROR(INDEX(ctaLiq,MATCH(G3038,ctaNom,0))="Sí",FALSE)),O3038,0))</f>
        <v/>
      </c>
      <c r="W3038" s="19">
        <f>IF(OR(F3038="",I3038=""),"",IF(COUNTIFS(F$6:F3038,F3038,I$6:I3038,"?*")=1,MAX(W$5:W3037)+1,""))</f>
        <v/>
      </c>
    </row>
    <row r="3039">
      <c r="B3039" s="15" t="n"/>
      <c r="C3039" s="16" t="n"/>
      <c r="D3039" s="17" t="n"/>
      <c r="E3039" s="17" t="n"/>
      <c r="F3039" s="17" t="n"/>
      <c r="G3039" s="17" t="n"/>
      <c r="H3039" s="18">
        <f>IF(AND(B3039="",C3039="",D3039="",E3039=""),"",IF(B3039="","⚠ Falta fecha",IF(C3039="","⚠ Falta monto",IF(D3039="","⚠ Falta categoría",IF(ISNA(MATCH(D3039,catNom,0)),"⚠ Categoría no existe",IF(E3039="","⚠ Falta cuenta",IF(ISNA(MATCH(E3039,ctaNom,0)),"⚠ Cuenta no existe",IF(AND(OR(I3039="Transferencia",I3039="Pago tarjeta"),G3039=""),"⚠ Indica la cuenta «Hacia»",IF(AND(G3039&lt;&gt;"",G3039=E3039),"⚠ «Hacia» igual a la cuenta",IF(AND(G3039&lt;&gt;"",ISNA(MATCH(G3039,ctaNom,0))),"⚠ «Hacia» no existe",IF(AND(I3039="Pago tarjeta",IFERROR(INDEX(ctaTipo,MATCH(G3039,ctaNom,0)),"")&lt;&gt;"Tarjeta de crédito"),"⚠ «Hacia» debe ser la tarjeta",IF(AND(I3039="Trading",IFERROR(INDEX(ctaTipo,MATCH(E3039,ctaNom,0)),"")&lt;&gt;"Cuenta de trading"),"⚠ Usa la cuenta de trading","✓"))))))))))))</f>
        <v/>
      </c>
      <c r="I3039" s="19">
        <f>IF(OR(B3039="",C3039="",D3039=""),"",IFERROR(INDEX(catTipo,MATCH(D3039,catNom,0))&amp;"",""))</f>
        <v/>
      </c>
      <c r="J3039" s="19">
        <f>IF(I3039="","",IFERROR(INDEX(catGrupo,MATCH(D3039,catNom,0))&amp;"",""))</f>
        <v/>
      </c>
      <c r="K3039" s="19">
        <f>IF(I3039="Gasto",IF(IFERROR(INDEX(catClas,MATCH(D3039,catNom,0))&amp;"","")="","Variable",IFERROR(INDEX(catClas,MATCH(D3039,catNom,0))&amp;"","")),"")</f>
        <v/>
      </c>
      <c r="L3039" s="19">
        <f>IF(I3039="","",IFERROR(INDEX(catAlim,MATCH(D3039,catNom,0))&amp;"",""))</f>
        <v/>
      </c>
      <c r="M3039" s="19">
        <f>IF(I3039="","",IFERROR(INDEX(catComida,MATCH(D3039,catNom,0))&amp;"",""))</f>
        <v/>
      </c>
      <c r="N3039" s="19">
        <f>IF(I3039="","",IFERROR(INDEX(ctaMon,MATCH(E3039,ctaNom,0))&amp;"","DOP"))</f>
        <v/>
      </c>
      <c r="O3039" s="20">
        <f>IF(I3039="","",C3039*IF(N3039="USD",TasaUSD,1))</f>
        <v/>
      </c>
      <c r="P3039" s="20">
        <f>IF(I3039="","",IF(I3039="Gasto",O3039,0))</f>
        <v/>
      </c>
      <c r="Q3039" s="20">
        <f>IF(I3039="","",IF(I3039="Ingreso",O3039,0))</f>
        <v/>
      </c>
      <c r="R3039" s="20">
        <f>IF(I3039="","",IF(I3039="Trading",O3039,0))</f>
        <v/>
      </c>
      <c r="S3039" s="19">
        <f>IF(I3039="","",IF(AND(I3039="Gasto",K3039="Variable",J3039&lt;&gt;"Trading",O3039&gt;0,O3039&lt;=Umbral),1,0))</f>
        <v/>
      </c>
      <c r="T3039" s="20">
        <f>IF(OR(I3039="",E3039=""),"",IF(OR(I3039="Gasto",I3039="Transferencia",I3039="Pago tarjeta"),-1,1)*C3039)</f>
        <v/>
      </c>
      <c r="U3039" s="20">
        <f>IF(OR(G3039="",AND(I3039&lt;&gt;"Transferencia",I3039&lt;&gt;"Pago tarjeta")),"",IF(IFERROR(INDEX(ctaMon,MATCH(G3039,ctaNom,0))&amp;"","DOP")=N3039,C3039,IF(N3039="USD",C3039*TasaUSD,C3039/TasaUSD)))</f>
        <v/>
      </c>
      <c r="V3039" s="20">
        <f>IF(I3039="","",IF(IFERROR(INDEX(ctaLiq,MATCH(E3039,ctaNom,0))="Sí",FALSE),IF(OR(I3039="Gasto",I3039="Transferencia",I3039="Pago tarjeta"),-1,1)*O3039,0)+IF(AND(U3039&lt;&gt;"",IFERROR(INDEX(ctaLiq,MATCH(G3039,ctaNom,0))="Sí",FALSE)),O3039,0))</f>
        <v/>
      </c>
      <c r="W3039" s="19">
        <f>IF(OR(F3039="",I3039=""),"",IF(COUNTIFS(F$6:F3039,F3039,I$6:I3039,"?*")=1,MAX(W$5:W3038)+1,""))</f>
        <v/>
      </c>
    </row>
    <row r="3040">
      <c r="B3040" s="15" t="n"/>
      <c r="C3040" s="16" t="n"/>
      <c r="D3040" s="17" t="n"/>
      <c r="E3040" s="17" t="n"/>
      <c r="F3040" s="17" t="n"/>
      <c r="G3040" s="17" t="n"/>
      <c r="H3040" s="18">
        <f>IF(AND(B3040="",C3040="",D3040="",E3040=""),"",IF(B3040="","⚠ Falta fecha",IF(C3040="","⚠ Falta monto",IF(D3040="","⚠ Falta categoría",IF(ISNA(MATCH(D3040,catNom,0)),"⚠ Categoría no existe",IF(E3040="","⚠ Falta cuenta",IF(ISNA(MATCH(E3040,ctaNom,0)),"⚠ Cuenta no existe",IF(AND(OR(I3040="Transferencia",I3040="Pago tarjeta"),G3040=""),"⚠ Indica la cuenta «Hacia»",IF(AND(G3040&lt;&gt;"",G3040=E3040),"⚠ «Hacia» igual a la cuenta",IF(AND(G3040&lt;&gt;"",ISNA(MATCH(G3040,ctaNom,0))),"⚠ «Hacia» no existe",IF(AND(I3040="Pago tarjeta",IFERROR(INDEX(ctaTipo,MATCH(G3040,ctaNom,0)),"")&lt;&gt;"Tarjeta de crédito"),"⚠ «Hacia» debe ser la tarjeta",IF(AND(I3040="Trading",IFERROR(INDEX(ctaTipo,MATCH(E3040,ctaNom,0)),"")&lt;&gt;"Cuenta de trading"),"⚠ Usa la cuenta de trading","✓"))))))))))))</f>
        <v/>
      </c>
      <c r="I3040" s="19">
        <f>IF(OR(B3040="",C3040="",D3040=""),"",IFERROR(INDEX(catTipo,MATCH(D3040,catNom,0))&amp;"",""))</f>
        <v/>
      </c>
      <c r="J3040" s="19">
        <f>IF(I3040="","",IFERROR(INDEX(catGrupo,MATCH(D3040,catNom,0))&amp;"",""))</f>
        <v/>
      </c>
      <c r="K3040" s="19">
        <f>IF(I3040="Gasto",IF(IFERROR(INDEX(catClas,MATCH(D3040,catNom,0))&amp;"","")="","Variable",IFERROR(INDEX(catClas,MATCH(D3040,catNom,0))&amp;"","")),"")</f>
        <v/>
      </c>
      <c r="L3040" s="19">
        <f>IF(I3040="","",IFERROR(INDEX(catAlim,MATCH(D3040,catNom,0))&amp;"",""))</f>
        <v/>
      </c>
      <c r="M3040" s="19">
        <f>IF(I3040="","",IFERROR(INDEX(catComida,MATCH(D3040,catNom,0))&amp;"",""))</f>
        <v/>
      </c>
      <c r="N3040" s="19">
        <f>IF(I3040="","",IFERROR(INDEX(ctaMon,MATCH(E3040,ctaNom,0))&amp;"","DOP"))</f>
        <v/>
      </c>
      <c r="O3040" s="20">
        <f>IF(I3040="","",C3040*IF(N3040="USD",TasaUSD,1))</f>
        <v/>
      </c>
      <c r="P3040" s="20">
        <f>IF(I3040="","",IF(I3040="Gasto",O3040,0))</f>
        <v/>
      </c>
      <c r="Q3040" s="20">
        <f>IF(I3040="","",IF(I3040="Ingreso",O3040,0))</f>
        <v/>
      </c>
      <c r="R3040" s="20">
        <f>IF(I3040="","",IF(I3040="Trading",O3040,0))</f>
        <v/>
      </c>
      <c r="S3040" s="19">
        <f>IF(I3040="","",IF(AND(I3040="Gasto",K3040="Variable",J3040&lt;&gt;"Trading",O3040&gt;0,O3040&lt;=Umbral),1,0))</f>
        <v/>
      </c>
      <c r="T3040" s="20">
        <f>IF(OR(I3040="",E3040=""),"",IF(OR(I3040="Gasto",I3040="Transferencia",I3040="Pago tarjeta"),-1,1)*C3040)</f>
        <v/>
      </c>
      <c r="U3040" s="20">
        <f>IF(OR(G3040="",AND(I3040&lt;&gt;"Transferencia",I3040&lt;&gt;"Pago tarjeta")),"",IF(IFERROR(INDEX(ctaMon,MATCH(G3040,ctaNom,0))&amp;"","DOP")=N3040,C3040,IF(N3040="USD",C3040*TasaUSD,C3040/TasaUSD)))</f>
        <v/>
      </c>
      <c r="V3040" s="20">
        <f>IF(I3040="","",IF(IFERROR(INDEX(ctaLiq,MATCH(E3040,ctaNom,0))="Sí",FALSE),IF(OR(I3040="Gasto",I3040="Transferencia",I3040="Pago tarjeta"),-1,1)*O3040,0)+IF(AND(U3040&lt;&gt;"",IFERROR(INDEX(ctaLiq,MATCH(G3040,ctaNom,0))="Sí",FALSE)),O3040,0))</f>
        <v/>
      </c>
      <c r="W3040" s="19">
        <f>IF(OR(F3040="",I3040=""),"",IF(COUNTIFS(F$6:F3040,F3040,I$6:I3040,"?*")=1,MAX(W$5:W3039)+1,""))</f>
        <v/>
      </c>
    </row>
    <row r="3041">
      <c r="B3041" s="15" t="n"/>
      <c r="C3041" s="16" t="n"/>
      <c r="D3041" s="17" t="n"/>
      <c r="E3041" s="17" t="n"/>
      <c r="F3041" s="17" t="n"/>
      <c r="G3041" s="17" t="n"/>
      <c r="H3041" s="18">
        <f>IF(AND(B3041="",C3041="",D3041="",E3041=""),"",IF(B3041="","⚠ Falta fecha",IF(C3041="","⚠ Falta monto",IF(D3041="","⚠ Falta categoría",IF(ISNA(MATCH(D3041,catNom,0)),"⚠ Categoría no existe",IF(E3041="","⚠ Falta cuenta",IF(ISNA(MATCH(E3041,ctaNom,0)),"⚠ Cuenta no existe",IF(AND(OR(I3041="Transferencia",I3041="Pago tarjeta"),G3041=""),"⚠ Indica la cuenta «Hacia»",IF(AND(G3041&lt;&gt;"",G3041=E3041),"⚠ «Hacia» igual a la cuenta",IF(AND(G3041&lt;&gt;"",ISNA(MATCH(G3041,ctaNom,0))),"⚠ «Hacia» no existe",IF(AND(I3041="Pago tarjeta",IFERROR(INDEX(ctaTipo,MATCH(G3041,ctaNom,0)),"")&lt;&gt;"Tarjeta de crédito"),"⚠ «Hacia» debe ser la tarjeta",IF(AND(I3041="Trading",IFERROR(INDEX(ctaTipo,MATCH(E3041,ctaNom,0)),"")&lt;&gt;"Cuenta de trading"),"⚠ Usa la cuenta de trading","✓"))))))))))))</f>
        <v/>
      </c>
      <c r="I3041" s="19">
        <f>IF(OR(B3041="",C3041="",D3041=""),"",IFERROR(INDEX(catTipo,MATCH(D3041,catNom,0))&amp;"",""))</f>
        <v/>
      </c>
      <c r="J3041" s="19">
        <f>IF(I3041="","",IFERROR(INDEX(catGrupo,MATCH(D3041,catNom,0))&amp;"",""))</f>
        <v/>
      </c>
      <c r="K3041" s="19">
        <f>IF(I3041="Gasto",IF(IFERROR(INDEX(catClas,MATCH(D3041,catNom,0))&amp;"","")="","Variable",IFERROR(INDEX(catClas,MATCH(D3041,catNom,0))&amp;"","")),"")</f>
        <v/>
      </c>
      <c r="L3041" s="19">
        <f>IF(I3041="","",IFERROR(INDEX(catAlim,MATCH(D3041,catNom,0))&amp;"",""))</f>
        <v/>
      </c>
      <c r="M3041" s="19">
        <f>IF(I3041="","",IFERROR(INDEX(catComida,MATCH(D3041,catNom,0))&amp;"",""))</f>
        <v/>
      </c>
      <c r="N3041" s="19">
        <f>IF(I3041="","",IFERROR(INDEX(ctaMon,MATCH(E3041,ctaNom,0))&amp;"","DOP"))</f>
        <v/>
      </c>
      <c r="O3041" s="20">
        <f>IF(I3041="","",C3041*IF(N3041="USD",TasaUSD,1))</f>
        <v/>
      </c>
      <c r="P3041" s="20">
        <f>IF(I3041="","",IF(I3041="Gasto",O3041,0))</f>
        <v/>
      </c>
      <c r="Q3041" s="20">
        <f>IF(I3041="","",IF(I3041="Ingreso",O3041,0))</f>
        <v/>
      </c>
      <c r="R3041" s="20">
        <f>IF(I3041="","",IF(I3041="Trading",O3041,0))</f>
        <v/>
      </c>
      <c r="S3041" s="19">
        <f>IF(I3041="","",IF(AND(I3041="Gasto",K3041="Variable",J3041&lt;&gt;"Trading",O3041&gt;0,O3041&lt;=Umbral),1,0))</f>
        <v/>
      </c>
      <c r="T3041" s="20">
        <f>IF(OR(I3041="",E3041=""),"",IF(OR(I3041="Gasto",I3041="Transferencia",I3041="Pago tarjeta"),-1,1)*C3041)</f>
        <v/>
      </c>
      <c r="U3041" s="20">
        <f>IF(OR(G3041="",AND(I3041&lt;&gt;"Transferencia",I3041&lt;&gt;"Pago tarjeta")),"",IF(IFERROR(INDEX(ctaMon,MATCH(G3041,ctaNom,0))&amp;"","DOP")=N3041,C3041,IF(N3041="USD",C3041*TasaUSD,C3041/TasaUSD)))</f>
        <v/>
      </c>
      <c r="V3041" s="20">
        <f>IF(I3041="","",IF(IFERROR(INDEX(ctaLiq,MATCH(E3041,ctaNom,0))="Sí",FALSE),IF(OR(I3041="Gasto",I3041="Transferencia",I3041="Pago tarjeta"),-1,1)*O3041,0)+IF(AND(U3041&lt;&gt;"",IFERROR(INDEX(ctaLiq,MATCH(G3041,ctaNom,0))="Sí",FALSE)),O3041,0))</f>
        <v/>
      </c>
      <c r="W3041" s="19">
        <f>IF(OR(F3041="",I3041=""),"",IF(COUNTIFS(F$6:F3041,F3041,I$6:I3041,"?*")=1,MAX(W$5:W3040)+1,""))</f>
        <v/>
      </c>
    </row>
    <row r="3042">
      <c r="B3042" s="15" t="n"/>
      <c r="C3042" s="16" t="n"/>
      <c r="D3042" s="17" t="n"/>
      <c r="E3042" s="17" t="n"/>
      <c r="F3042" s="17" t="n"/>
      <c r="G3042" s="17" t="n"/>
      <c r="H3042" s="18">
        <f>IF(AND(B3042="",C3042="",D3042="",E3042=""),"",IF(B3042="","⚠ Falta fecha",IF(C3042="","⚠ Falta monto",IF(D3042="","⚠ Falta categoría",IF(ISNA(MATCH(D3042,catNom,0)),"⚠ Categoría no existe",IF(E3042="","⚠ Falta cuenta",IF(ISNA(MATCH(E3042,ctaNom,0)),"⚠ Cuenta no existe",IF(AND(OR(I3042="Transferencia",I3042="Pago tarjeta"),G3042=""),"⚠ Indica la cuenta «Hacia»",IF(AND(G3042&lt;&gt;"",G3042=E3042),"⚠ «Hacia» igual a la cuenta",IF(AND(G3042&lt;&gt;"",ISNA(MATCH(G3042,ctaNom,0))),"⚠ «Hacia» no existe",IF(AND(I3042="Pago tarjeta",IFERROR(INDEX(ctaTipo,MATCH(G3042,ctaNom,0)),"")&lt;&gt;"Tarjeta de crédito"),"⚠ «Hacia» debe ser la tarjeta",IF(AND(I3042="Trading",IFERROR(INDEX(ctaTipo,MATCH(E3042,ctaNom,0)),"")&lt;&gt;"Cuenta de trading"),"⚠ Usa la cuenta de trading","✓"))))))))))))</f>
        <v/>
      </c>
      <c r="I3042" s="19">
        <f>IF(OR(B3042="",C3042="",D3042=""),"",IFERROR(INDEX(catTipo,MATCH(D3042,catNom,0))&amp;"",""))</f>
        <v/>
      </c>
      <c r="J3042" s="19">
        <f>IF(I3042="","",IFERROR(INDEX(catGrupo,MATCH(D3042,catNom,0))&amp;"",""))</f>
        <v/>
      </c>
      <c r="K3042" s="19">
        <f>IF(I3042="Gasto",IF(IFERROR(INDEX(catClas,MATCH(D3042,catNom,0))&amp;"","")="","Variable",IFERROR(INDEX(catClas,MATCH(D3042,catNom,0))&amp;"","")),"")</f>
        <v/>
      </c>
      <c r="L3042" s="19">
        <f>IF(I3042="","",IFERROR(INDEX(catAlim,MATCH(D3042,catNom,0))&amp;"",""))</f>
        <v/>
      </c>
      <c r="M3042" s="19">
        <f>IF(I3042="","",IFERROR(INDEX(catComida,MATCH(D3042,catNom,0))&amp;"",""))</f>
        <v/>
      </c>
      <c r="N3042" s="19">
        <f>IF(I3042="","",IFERROR(INDEX(ctaMon,MATCH(E3042,ctaNom,0))&amp;"","DOP"))</f>
        <v/>
      </c>
      <c r="O3042" s="20">
        <f>IF(I3042="","",C3042*IF(N3042="USD",TasaUSD,1))</f>
        <v/>
      </c>
      <c r="P3042" s="20">
        <f>IF(I3042="","",IF(I3042="Gasto",O3042,0))</f>
        <v/>
      </c>
      <c r="Q3042" s="20">
        <f>IF(I3042="","",IF(I3042="Ingreso",O3042,0))</f>
        <v/>
      </c>
      <c r="R3042" s="20">
        <f>IF(I3042="","",IF(I3042="Trading",O3042,0))</f>
        <v/>
      </c>
      <c r="S3042" s="19">
        <f>IF(I3042="","",IF(AND(I3042="Gasto",K3042="Variable",J3042&lt;&gt;"Trading",O3042&gt;0,O3042&lt;=Umbral),1,0))</f>
        <v/>
      </c>
      <c r="T3042" s="20">
        <f>IF(OR(I3042="",E3042=""),"",IF(OR(I3042="Gasto",I3042="Transferencia",I3042="Pago tarjeta"),-1,1)*C3042)</f>
        <v/>
      </c>
      <c r="U3042" s="20">
        <f>IF(OR(G3042="",AND(I3042&lt;&gt;"Transferencia",I3042&lt;&gt;"Pago tarjeta")),"",IF(IFERROR(INDEX(ctaMon,MATCH(G3042,ctaNom,0))&amp;"","DOP")=N3042,C3042,IF(N3042="USD",C3042*TasaUSD,C3042/TasaUSD)))</f>
        <v/>
      </c>
      <c r="V3042" s="20">
        <f>IF(I3042="","",IF(IFERROR(INDEX(ctaLiq,MATCH(E3042,ctaNom,0))="Sí",FALSE),IF(OR(I3042="Gasto",I3042="Transferencia",I3042="Pago tarjeta"),-1,1)*O3042,0)+IF(AND(U3042&lt;&gt;"",IFERROR(INDEX(ctaLiq,MATCH(G3042,ctaNom,0))="Sí",FALSE)),O3042,0))</f>
        <v/>
      </c>
      <c r="W3042" s="19">
        <f>IF(OR(F3042="",I3042=""),"",IF(COUNTIFS(F$6:F3042,F3042,I$6:I3042,"?*")=1,MAX(W$5:W3041)+1,""))</f>
        <v/>
      </c>
    </row>
    <row r="3043">
      <c r="B3043" s="15" t="n"/>
      <c r="C3043" s="16" t="n"/>
      <c r="D3043" s="17" t="n"/>
      <c r="E3043" s="17" t="n"/>
      <c r="F3043" s="17" t="n"/>
      <c r="G3043" s="17" t="n"/>
      <c r="H3043" s="18">
        <f>IF(AND(B3043="",C3043="",D3043="",E3043=""),"",IF(B3043="","⚠ Falta fecha",IF(C3043="","⚠ Falta monto",IF(D3043="","⚠ Falta categoría",IF(ISNA(MATCH(D3043,catNom,0)),"⚠ Categoría no existe",IF(E3043="","⚠ Falta cuenta",IF(ISNA(MATCH(E3043,ctaNom,0)),"⚠ Cuenta no existe",IF(AND(OR(I3043="Transferencia",I3043="Pago tarjeta"),G3043=""),"⚠ Indica la cuenta «Hacia»",IF(AND(G3043&lt;&gt;"",G3043=E3043),"⚠ «Hacia» igual a la cuenta",IF(AND(G3043&lt;&gt;"",ISNA(MATCH(G3043,ctaNom,0))),"⚠ «Hacia» no existe",IF(AND(I3043="Pago tarjeta",IFERROR(INDEX(ctaTipo,MATCH(G3043,ctaNom,0)),"")&lt;&gt;"Tarjeta de crédito"),"⚠ «Hacia» debe ser la tarjeta",IF(AND(I3043="Trading",IFERROR(INDEX(ctaTipo,MATCH(E3043,ctaNom,0)),"")&lt;&gt;"Cuenta de trading"),"⚠ Usa la cuenta de trading","✓"))))))))))))</f>
        <v/>
      </c>
      <c r="I3043" s="19">
        <f>IF(OR(B3043="",C3043="",D3043=""),"",IFERROR(INDEX(catTipo,MATCH(D3043,catNom,0))&amp;"",""))</f>
        <v/>
      </c>
      <c r="J3043" s="19">
        <f>IF(I3043="","",IFERROR(INDEX(catGrupo,MATCH(D3043,catNom,0))&amp;"",""))</f>
        <v/>
      </c>
      <c r="K3043" s="19">
        <f>IF(I3043="Gasto",IF(IFERROR(INDEX(catClas,MATCH(D3043,catNom,0))&amp;"","")="","Variable",IFERROR(INDEX(catClas,MATCH(D3043,catNom,0))&amp;"","")),"")</f>
        <v/>
      </c>
      <c r="L3043" s="19">
        <f>IF(I3043="","",IFERROR(INDEX(catAlim,MATCH(D3043,catNom,0))&amp;"",""))</f>
        <v/>
      </c>
      <c r="M3043" s="19">
        <f>IF(I3043="","",IFERROR(INDEX(catComida,MATCH(D3043,catNom,0))&amp;"",""))</f>
        <v/>
      </c>
      <c r="N3043" s="19">
        <f>IF(I3043="","",IFERROR(INDEX(ctaMon,MATCH(E3043,ctaNom,0))&amp;"","DOP"))</f>
        <v/>
      </c>
      <c r="O3043" s="20">
        <f>IF(I3043="","",C3043*IF(N3043="USD",TasaUSD,1))</f>
        <v/>
      </c>
      <c r="P3043" s="20">
        <f>IF(I3043="","",IF(I3043="Gasto",O3043,0))</f>
        <v/>
      </c>
      <c r="Q3043" s="20">
        <f>IF(I3043="","",IF(I3043="Ingreso",O3043,0))</f>
        <v/>
      </c>
      <c r="R3043" s="20">
        <f>IF(I3043="","",IF(I3043="Trading",O3043,0))</f>
        <v/>
      </c>
      <c r="S3043" s="19">
        <f>IF(I3043="","",IF(AND(I3043="Gasto",K3043="Variable",J3043&lt;&gt;"Trading",O3043&gt;0,O3043&lt;=Umbral),1,0))</f>
        <v/>
      </c>
      <c r="T3043" s="20">
        <f>IF(OR(I3043="",E3043=""),"",IF(OR(I3043="Gasto",I3043="Transferencia",I3043="Pago tarjeta"),-1,1)*C3043)</f>
        <v/>
      </c>
      <c r="U3043" s="20">
        <f>IF(OR(G3043="",AND(I3043&lt;&gt;"Transferencia",I3043&lt;&gt;"Pago tarjeta")),"",IF(IFERROR(INDEX(ctaMon,MATCH(G3043,ctaNom,0))&amp;"","DOP")=N3043,C3043,IF(N3043="USD",C3043*TasaUSD,C3043/TasaUSD)))</f>
        <v/>
      </c>
      <c r="V3043" s="20">
        <f>IF(I3043="","",IF(IFERROR(INDEX(ctaLiq,MATCH(E3043,ctaNom,0))="Sí",FALSE),IF(OR(I3043="Gasto",I3043="Transferencia",I3043="Pago tarjeta"),-1,1)*O3043,0)+IF(AND(U3043&lt;&gt;"",IFERROR(INDEX(ctaLiq,MATCH(G3043,ctaNom,0))="Sí",FALSE)),O3043,0))</f>
        <v/>
      </c>
      <c r="W3043" s="19">
        <f>IF(OR(F3043="",I3043=""),"",IF(COUNTIFS(F$6:F3043,F3043,I$6:I3043,"?*")=1,MAX(W$5:W3042)+1,""))</f>
        <v/>
      </c>
    </row>
    <row r="3044">
      <c r="B3044" s="15" t="n"/>
      <c r="C3044" s="16" t="n"/>
      <c r="D3044" s="17" t="n"/>
      <c r="E3044" s="17" t="n"/>
      <c r="F3044" s="17" t="n"/>
      <c r="G3044" s="17" t="n"/>
      <c r="H3044" s="18">
        <f>IF(AND(B3044="",C3044="",D3044="",E3044=""),"",IF(B3044="","⚠ Falta fecha",IF(C3044="","⚠ Falta monto",IF(D3044="","⚠ Falta categoría",IF(ISNA(MATCH(D3044,catNom,0)),"⚠ Categoría no existe",IF(E3044="","⚠ Falta cuenta",IF(ISNA(MATCH(E3044,ctaNom,0)),"⚠ Cuenta no existe",IF(AND(OR(I3044="Transferencia",I3044="Pago tarjeta"),G3044=""),"⚠ Indica la cuenta «Hacia»",IF(AND(G3044&lt;&gt;"",G3044=E3044),"⚠ «Hacia» igual a la cuenta",IF(AND(G3044&lt;&gt;"",ISNA(MATCH(G3044,ctaNom,0))),"⚠ «Hacia» no existe",IF(AND(I3044="Pago tarjeta",IFERROR(INDEX(ctaTipo,MATCH(G3044,ctaNom,0)),"")&lt;&gt;"Tarjeta de crédito"),"⚠ «Hacia» debe ser la tarjeta",IF(AND(I3044="Trading",IFERROR(INDEX(ctaTipo,MATCH(E3044,ctaNom,0)),"")&lt;&gt;"Cuenta de trading"),"⚠ Usa la cuenta de trading","✓"))))))))))))</f>
        <v/>
      </c>
      <c r="I3044" s="19">
        <f>IF(OR(B3044="",C3044="",D3044=""),"",IFERROR(INDEX(catTipo,MATCH(D3044,catNom,0))&amp;"",""))</f>
        <v/>
      </c>
      <c r="J3044" s="19">
        <f>IF(I3044="","",IFERROR(INDEX(catGrupo,MATCH(D3044,catNom,0))&amp;"",""))</f>
        <v/>
      </c>
      <c r="K3044" s="19">
        <f>IF(I3044="Gasto",IF(IFERROR(INDEX(catClas,MATCH(D3044,catNom,0))&amp;"","")="","Variable",IFERROR(INDEX(catClas,MATCH(D3044,catNom,0))&amp;"","")),"")</f>
        <v/>
      </c>
      <c r="L3044" s="19">
        <f>IF(I3044="","",IFERROR(INDEX(catAlim,MATCH(D3044,catNom,0))&amp;"",""))</f>
        <v/>
      </c>
      <c r="M3044" s="19">
        <f>IF(I3044="","",IFERROR(INDEX(catComida,MATCH(D3044,catNom,0))&amp;"",""))</f>
        <v/>
      </c>
      <c r="N3044" s="19">
        <f>IF(I3044="","",IFERROR(INDEX(ctaMon,MATCH(E3044,ctaNom,0))&amp;"","DOP"))</f>
        <v/>
      </c>
      <c r="O3044" s="20">
        <f>IF(I3044="","",C3044*IF(N3044="USD",TasaUSD,1))</f>
        <v/>
      </c>
      <c r="P3044" s="20">
        <f>IF(I3044="","",IF(I3044="Gasto",O3044,0))</f>
        <v/>
      </c>
      <c r="Q3044" s="20">
        <f>IF(I3044="","",IF(I3044="Ingreso",O3044,0))</f>
        <v/>
      </c>
      <c r="R3044" s="20">
        <f>IF(I3044="","",IF(I3044="Trading",O3044,0))</f>
        <v/>
      </c>
      <c r="S3044" s="19">
        <f>IF(I3044="","",IF(AND(I3044="Gasto",K3044="Variable",J3044&lt;&gt;"Trading",O3044&gt;0,O3044&lt;=Umbral),1,0))</f>
        <v/>
      </c>
      <c r="T3044" s="20">
        <f>IF(OR(I3044="",E3044=""),"",IF(OR(I3044="Gasto",I3044="Transferencia",I3044="Pago tarjeta"),-1,1)*C3044)</f>
        <v/>
      </c>
      <c r="U3044" s="20">
        <f>IF(OR(G3044="",AND(I3044&lt;&gt;"Transferencia",I3044&lt;&gt;"Pago tarjeta")),"",IF(IFERROR(INDEX(ctaMon,MATCH(G3044,ctaNom,0))&amp;"","DOP")=N3044,C3044,IF(N3044="USD",C3044*TasaUSD,C3044/TasaUSD)))</f>
        <v/>
      </c>
      <c r="V3044" s="20">
        <f>IF(I3044="","",IF(IFERROR(INDEX(ctaLiq,MATCH(E3044,ctaNom,0))="Sí",FALSE),IF(OR(I3044="Gasto",I3044="Transferencia",I3044="Pago tarjeta"),-1,1)*O3044,0)+IF(AND(U3044&lt;&gt;"",IFERROR(INDEX(ctaLiq,MATCH(G3044,ctaNom,0))="Sí",FALSE)),O3044,0))</f>
        <v/>
      </c>
      <c r="W3044" s="19">
        <f>IF(OR(F3044="",I3044=""),"",IF(COUNTIFS(F$6:F3044,F3044,I$6:I3044,"?*")=1,MAX(W$5:W3043)+1,""))</f>
        <v/>
      </c>
    </row>
    <row r="3045">
      <c r="B3045" s="15" t="n"/>
      <c r="C3045" s="16" t="n"/>
      <c r="D3045" s="17" t="n"/>
      <c r="E3045" s="17" t="n"/>
      <c r="F3045" s="17" t="n"/>
      <c r="G3045" s="17" t="n"/>
      <c r="H3045" s="18">
        <f>IF(AND(B3045="",C3045="",D3045="",E3045=""),"",IF(B3045="","⚠ Falta fecha",IF(C3045="","⚠ Falta monto",IF(D3045="","⚠ Falta categoría",IF(ISNA(MATCH(D3045,catNom,0)),"⚠ Categoría no existe",IF(E3045="","⚠ Falta cuenta",IF(ISNA(MATCH(E3045,ctaNom,0)),"⚠ Cuenta no existe",IF(AND(OR(I3045="Transferencia",I3045="Pago tarjeta"),G3045=""),"⚠ Indica la cuenta «Hacia»",IF(AND(G3045&lt;&gt;"",G3045=E3045),"⚠ «Hacia» igual a la cuenta",IF(AND(G3045&lt;&gt;"",ISNA(MATCH(G3045,ctaNom,0))),"⚠ «Hacia» no existe",IF(AND(I3045="Pago tarjeta",IFERROR(INDEX(ctaTipo,MATCH(G3045,ctaNom,0)),"")&lt;&gt;"Tarjeta de crédito"),"⚠ «Hacia» debe ser la tarjeta",IF(AND(I3045="Trading",IFERROR(INDEX(ctaTipo,MATCH(E3045,ctaNom,0)),"")&lt;&gt;"Cuenta de trading"),"⚠ Usa la cuenta de trading","✓"))))))))))))</f>
        <v/>
      </c>
      <c r="I3045" s="19">
        <f>IF(OR(B3045="",C3045="",D3045=""),"",IFERROR(INDEX(catTipo,MATCH(D3045,catNom,0))&amp;"",""))</f>
        <v/>
      </c>
      <c r="J3045" s="19">
        <f>IF(I3045="","",IFERROR(INDEX(catGrupo,MATCH(D3045,catNom,0))&amp;"",""))</f>
        <v/>
      </c>
      <c r="K3045" s="19">
        <f>IF(I3045="Gasto",IF(IFERROR(INDEX(catClas,MATCH(D3045,catNom,0))&amp;"","")="","Variable",IFERROR(INDEX(catClas,MATCH(D3045,catNom,0))&amp;"","")),"")</f>
        <v/>
      </c>
      <c r="L3045" s="19">
        <f>IF(I3045="","",IFERROR(INDEX(catAlim,MATCH(D3045,catNom,0))&amp;"",""))</f>
        <v/>
      </c>
      <c r="M3045" s="19">
        <f>IF(I3045="","",IFERROR(INDEX(catComida,MATCH(D3045,catNom,0))&amp;"",""))</f>
        <v/>
      </c>
      <c r="N3045" s="19">
        <f>IF(I3045="","",IFERROR(INDEX(ctaMon,MATCH(E3045,ctaNom,0))&amp;"","DOP"))</f>
        <v/>
      </c>
      <c r="O3045" s="20">
        <f>IF(I3045="","",C3045*IF(N3045="USD",TasaUSD,1))</f>
        <v/>
      </c>
      <c r="P3045" s="20">
        <f>IF(I3045="","",IF(I3045="Gasto",O3045,0))</f>
        <v/>
      </c>
      <c r="Q3045" s="20">
        <f>IF(I3045="","",IF(I3045="Ingreso",O3045,0))</f>
        <v/>
      </c>
      <c r="R3045" s="20">
        <f>IF(I3045="","",IF(I3045="Trading",O3045,0))</f>
        <v/>
      </c>
      <c r="S3045" s="19">
        <f>IF(I3045="","",IF(AND(I3045="Gasto",K3045="Variable",J3045&lt;&gt;"Trading",O3045&gt;0,O3045&lt;=Umbral),1,0))</f>
        <v/>
      </c>
      <c r="T3045" s="20">
        <f>IF(OR(I3045="",E3045=""),"",IF(OR(I3045="Gasto",I3045="Transferencia",I3045="Pago tarjeta"),-1,1)*C3045)</f>
        <v/>
      </c>
      <c r="U3045" s="20">
        <f>IF(OR(G3045="",AND(I3045&lt;&gt;"Transferencia",I3045&lt;&gt;"Pago tarjeta")),"",IF(IFERROR(INDEX(ctaMon,MATCH(G3045,ctaNom,0))&amp;"","DOP")=N3045,C3045,IF(N3045="USD",C3045*TasaUSD,C3045/TasaUSD)))</f>
        <v/>
      </c>
      <c r="V3045" s="20">
        <f>IF(I3045="","",IF(IFERROR(INDEX(ctaLiq,MATCH(E3045,ctaNom,0))="Sí",FALSE),IF(OR(I3045="Gasto",I3045="Transferencia",I3045="Pago tarjeta"),-1,1)*O3045,0)+IF(AND(U3045&lt;&gt;"",IFERROR(INDEX(ctaLiq,MATCH(G3045,ctaNom,0))="Sí",FALSE)),O3045,0))</f>
        <v/>
      </c>
      <c r="W3045" s="19">
        <f>IF(OR(F3045="",I3045=""),"",IF(COUNTIFS(F$6:F3045,F3045,I$6:I3045,"?*")=1,MAX(W$5:W3044)+1,""))</f>
        <v/>
      </c>
    </row>
    <row r="3046">
      <c r="B3046" s="15" t="n"/>
      <c r="C3046" s="16" t="n"/>
      <c r="D3046" s="17" t="n"/>
      <c r="E3046" s="17" t="n"/>
      <c r="F3046" s="17" t="n"/>
      <c r="G3046" s="17" t="n"/>
      <c r="H3046" s="18">
        <f>IF(AND(B3046="",C3046="",D3046="",E3046=""),"",IF(B3046="","⚠ Falta fecha",IF(C3046="","⚠ Falta monto",IF(D3046="","⚠ Falta categoría",IF(ISNA(MATCH(D3046,catNom,0)),"⚠ Categoría no existe",IF(E3046="","⚠ Falta cuenta",IF(ISNA(MATCH(E3046,ctaNom,0)),"⚠ Cuenta no existe",IF(AND(OR(I3046="Transferencia",I3046="Pago tarjeta"),G3046=""),"⚠ Indica la cuenta «Hacia»",IF(AND(G3046&lt;&gt;"",G3046=E3046),"⚠ «Hacia» igual a la cuenta",IF(AND(G3046&lt;&gt;"",ISNA(MATCH(G3046,ctaNom,0))),"⚠ «Hacia» no existe",IF(AND(I3046="Pago tarjeta",IFERROR(INDEX(ctaTipo,MATCH(G3046,ctaNom,0)),"")&lt;&gt;"Tarjeta de crédito"),"⚠ «Hacia» debe ser la tarjeta",IF(AND(I3046="Trading",IFERROR(INDEX(ctaTipo,MATCH(E3046,ctaNom,0)),"")&lt;&gt;"Cuenta de trading"),"⚠ Usa la cuenta de trading","✓"))))))))))))</f>
        <v/>
      </c>
      <c r="I3046" s="19">
        <f>IF(OR(B3046="",C3046="",D3046=""),"",IFERROR(INDEX(catTipo,MATCH(D3046,catNom,0))&amp;"",""))</f>
        <v/>
      </c>
      <c r="J3046" s="19">
        <f>IF(I3046="","",IFERROR(INDEX(catGrupo,MATCH(D3046,catNom,0))&amp;"",""))</f>
        <v/>
      </c>
      <c r="K3046" s="19">
        <f>IF(I3046="Gasto",IF(IFERROR(INDEX(catClas,MATCH(D3046,catNom,0))&amp;"","")="","Variable",IFERROR(INDEX(catClas,MATCH(D3046,catNom,0))&amp;"","")),"")</f>
        <v/>
      </c>
      <c r="L3046" s="19">
        <f>IF(I3046="","",IFERROR(INDEX(catAlim,MATCH(D3046,catNom,0))&amp;"",""))</f>
        <v/>
      </c>
      <c r="M3046" s="19">
        <f>IF(I3046="","",IFERROR(INDEX(catComida,MATCH(D3046,catNom,0))&amp;"",""))</f>
        <v/>
      </c>
      <c r="N3046" s="19">
        <f>IF(I3046="","",IFERROR(INDEX(ctaMon,MATCH(E3046,ctaNom,0))&amp;"","DOP"))</f>
        <v/>
      </c>
      <c r="O3046" s="20">
        <f>IF(I3046="","",C3046*IF(N3046="USD",TasaUSD,1))</f>
        <v/>
      </c>
      <c r="P3046" s="20">
        <f>IF(I3046="","",IF(I3046="Gasto",O3046,0))</f>
        <v/>
      </c>
      <c r="Q3046" s="20">
        <f>IF(I3046="","",IF(I3046="Ingreso",O3046,0))</f>
        <v/>
      </c>
      <c r="R3046" s="20">
        <f>IF(I3046="","",IF(I3046="Trading",O3046,0))</f>
        <v/>
      </c>
      <c r="S3046" s="19">
        <f>IF(I3046="","",IF(AND(I3046="Gasto",K3046="Variable",J3046&lt;&gt;"Trading",O3046&gt;0,O3046&lt;=Umbral),1,0))</f>
        <v/>
      </c>
      <c r="T3046" s="20">
        <f>IF(OR(I3046="",E3046=""),"",IF(OR(I3046="Gasto",I3046="Transferencia",I3046="Pago tarjeta"),-1,1)*C3046)</f>
        <v/>
      </c>
      <c r="U3046" s="20">
        <f>IF(OR(G3046="",AND(I3046&lt;&gt;"Transferencia",I3046&lt;&gt;"Pago tarjeta")),"",IF(IFERROR(INDEX(ctaMon,MATCH(G3046,ctaNom,0))&amp;"","DOP")=N3046,C3046,IF(N3046="USD",C3046*TasaUSD,C3046/TasaUSD)))</f>
        <v/>
      </c>
      <c r="V3046" s="20">
        <f>IF(I3046="","",IF(IFERROR(INDEX(ctaLiq,MATCH(E3046,ctaNom,0))="Sí",FALSE),IF(OR(I3046="Gasto",I3046="Transferencia",I3046="Pago tarjeta"),-1,1)*O3046,0)+IF(AND(U3046&lt;&gt;"",IFERROR(INDEX(ctaLiq,MATCH(G3046,ctaNom,0))="Sí",FALSE)),O3046,0))</f>
        <v/>
      </c>
      <c r="W3046" s="19">
        <f>IF(OR(F3046="",I3046=""),"",IF(COUNTIFS(F$6:F3046,F3046,I$6:I3046,"?*")=1,MAX(W$5:W3045)+1,""))</f>
        <v/>
      </c>
    </row>
    <row r="3047">
      <c r="B3047" s="15" t="n"/>
      <c r="C3047" s="16" t="n"/>
      <c r="D3047" s="17" t="n"/>
      <c r="E3047" s="17" t="n"/>
      <c r="F3047" s="17" t="n"/>
      <c r="G3047" s="17" t="n"/>
      <c r="H3047" s="18">
        <f>IF(AND(B3047="",C3047="",D3047="",E3047=""),"",IF(B3047="","⚠ Falta fecha",IF(C3047="","⚠ Falta monto",IF(D3047="","⚠ Falta categoría",IF(ISNA(MATCH(D3047,catNom,0)),"⚠ Categoría no existe",IF(E3047="","⚠ Falta cuenta",IF(ISNA(MATCH(E3047,ctaNom,0)),"⚠ Cuenta no existe",IF(AND(OR(I3047="Transferencia",I3047="Pago tarjeta"),G3047=""),"⚠ Indica la cuenta «Hacia»",IF(AND(G3047&lt;&gt;"",G3047=E3047),"⚠ «Hacia» igual a la cuenta",IF(AND(G3047&lt;&gt;"",ISNA(MATCH(G3047,ctaNom,0))),"⚠ «Hacia» no existe",IF(AND(I3047="Pago tarjeta",IFERROR(INDEX(ctaTipo,MATCH(G3047,ctaNom,0)),"")&lt;&gt;"Tarjeta de crédito"),"⚠ «Hacia» debe ser la tarjeta",IF(AND(I3047="Trading",IFERROR(INDEX(ctaTipo,MATCH(E3047,ctaNom,0)),"")&lt;&gt;"Cuenta de trading"),"⚠ Usa la cuenta de trading","✓"))))))))))))</f>
        <v/>
      </c>
      <c r="I3047" s="19">
        <f>IF(OR(B3047="",C3047="",D3047=""),"",IFERROR(INDEX(catTipo,MATCH(D3047,catNom,0))&amp;"",""))</f>
        <v/>
      </c>
      <c r="J3047" s="19">
        <f>IF(I3047="","",IFERROR(INDEX(catGrupo,MATCH(D3047,catNom,0))&amp;"",""))</f>
        <v/>
      </c>
      <c r="K3047" s="19">
        <f>IF(I3047="Gasto",IF(IFERROR(INDEX(catClas,MATCH(D3047,catNom,0))&amp;"","")="","Variable",IFERROR(INDEX(catClas,MATCH(D3047,catNom,0))&amp;"","")),"")</f>
        <v/>
      </c>
      <c r="L3047" s="19">
        <f>IF(I3047="","",IFERROR(INDEX(catAlim,MATCH(D3047,catNom,0))&amp;"",""))</f>
        <v/>
      </c>
      <c r="M3047" s="19">
        <f>IF(I3047="","",IFERROR(INDEX(catComida,MATCH(D3047,catNom,0))&amp;"",""))</f>
        <v/>
      </c>
      <c r="N3047" s="19">
        <f>IF(I3047="","",IFERROR(INDEX(ctaMon,MATCH(E3047,ctaNom,0))&amp;"","DOP"))</f>
        <v/>
      </c>
      <c r="O3047" s="20">
        <f>IF(I3047="","",C3047*IF(N3047="USD",TasaUSD,1))</f>
        <v/>
      </c>
      <c r="P3047" s="20">
        <f>IF(I3047="","",IF(I3047="Gasto",O3047,0))</f>
        <v/>
      </c>
      <c r="Q3047" s="20">
        <f>IF(I3047="","",IF(I3047="Ingreso",O3047,0))</f>
        <v/>
      </c>
      <c r="R3047" s="20">
        <f>IF(I3047="","",IF(I3047="Trading",O3047,0))</f>
        <v/>
      </c>
      <c r="S3047" s="19">
        <f>IF(I3047="","",IF(AND(I3047="Gasto",K3047="Variable",J3047&lt;&gt;"Trading",O3047&gt;0,O3047&lt;=Umbral),1,0))</f>
        <v/>
      </c>
      <c r="T3047" s="20">
        <f>IF(OR(I3047="",E3047=""),"",IF(OR(I3047="Gasto",I3047="Transferencia",I3047="Pago tarjeta"),-1,1)*C3047)</f>
        <v/>
      </c>
      <c r="U3047" s="20">
        <f>IF(OR(G3047="",AND(I3047&lt;&gt;"Transferencia",I3047&lt;&gt;"Pago tarjeta")),"",IF(IFERROR(INDEX(ctaMon,MATCH(G3047,ctaNom,0))&amp;"","DOP")=N3047,C3047,IF(N3047="USD",C3047*TasaUSD,C3047/TasaUSD)))</f>
        <v/>
      </c>
      <c r="V3047" s="20">
        <f>IF(I3047="","",IF(IFERROR(INDEX(ctaLiq,MATCH(E3047,ctaNom,0))="Sí",FALSE),IF(OR(I3047="Gasto",I3047="Transferencia",I3047="Pago tarjeta"),-1,1)*O3047,0)+IF(AND(U3047&lt;&gt;"",IFERROR(INDEX(ctaLiq,MATCH(G3047,ctaNom,0))="Sí",FALSE)),O3047,0))</f>
        <v/>
      </c>
      <c r="W3047" s="19">
        <f>IF(OR(F3047="",I3047=""),"",IF(COUNTIFS(F$6:F3047,F3047,I$6:I3047,"?*")=1,MAX(W$5:W3046)+1,""))</f>
        <v/>
      </c>
    </row>
    <row r="3048">
      <c r="B3048" s="15" t="n"/>
      <c r="C3048" s="16" t="n"/>
      <c r="D3048" s="17" t="n"/>
      <c r="E3048" s="17" t="n"/>
      <c r="F3048" s="17" t="n"/>
      <c r="G3048" s="17" t="n"/>
      <c r="H3048" s="18">
        <f>IF(AND(B3048="",C3048="",D3048="",E3048=""),"",IF(B3048="","⚠ Falta fecha",IF(C3048="","⚠ Falta monto",IF(D3048="","⚠ Falta categoría",IF(ISNA(MATCH(D3048,catNom,0)),"⚠ Categoría no existe",IF(E3048="","⚠ Falta cuenta",IF(ISNA(MATCH(E3048,ctaNom,0)),"⚠ Cuenta no existe",IF(AND(OR(I3048="Transferencia",I3048="Pago tarjeta"),G3048=""),"⚠ Indica la cuenta «Hacia»",IF(AND(G3048&lt;&gt;"",G3048=E3048),"⚠ «Hacia» igual a la cuenta",IF(AND(G3048&lt;&gt;"",ISNA(MATCH(G3048,ctaNom,0))),"⚠ «Hacia» no existe",IF(AND(I3048="Pago tarjeta",IFERROR(INDEX(ctaTipo,MATCH(G3048,ctaNom,0)),"")&lt;&gt;"Tarjeta de crédito"),"⚠ «Hacia» debe ser la tarjeta",IF(AND(I3048="Trading",IFERROR(INDEX(ctaTipo,MATCH(E3048,ctaNom,0)),"")&lt;&gt;"Cuenta de trading"),"⚠ Usa la cuenta de trading","✓"))))))))))))</f>
        <v/>
      </c>
      <c r="I3048" s="19">
        <f>IF(OR(B3048="",C3048="",D3048=""),"",IFERROR(INDEX(catTipo,MATCH(D3048,catNom,0))&amp;"",""))</f>
        <v/>
      </c>
      <c r="J3048" s="19">
        <f>IF(I3048="","",IFERROR(INDEX(catGrupo,MATCH(D3048,catNom,0))&amp;"",""))</f>
        <v/>
      </c>
      <c r="K3048" s="19">
        <f>IF(I3048="Gasto",IF(IFERROR(INDEX(catClas,MATCH(D3048,catNom,0))&amp;"","")="","Variable",IFERROR(INDEX(catClas,MATCH(D3048,catNom,0))&amp;"","")),"")</f>
        <v/>
      </c>
      <c r="L3048" s="19">
        <f>IF(I3048="","",IFERROR(INDEX(catAlim,MATCH(D3048,catNom,0))&amp;"",""))</f>
        <v/>
      </c>
      <c r="M3048" s="19">
        <f>IF(I3048="","",IFERROR(INDEX(catComida,MATCH(D3048,catNom,0))&amp;"",""))</f>
        <v/>
      </c>
      <c r="N3048" s="19">
        <f>IF(I3048="","",IFERROR(INDEX(ctaMon,MATCH(E3048,ctaNom,0))&amp;"","DOP"))</f>
        <v/>
      </c>
      <c r="O3048" s="20">
        <f>IF(I3048="","",C3048*IF(N3048="USD",TasaUSD,1))</f>
        <v/>
      </c>
      <c r="P3048" s="20">
        <f>IF(I3048="","",IF(I3048="Gasto",O3048,0))</f>
        <v/>
      </c>
      <c r="Q3048" s="20">
        <f>IF(I3048="","",IF(I3048="Ingreso",O3048,0))</f>
        <v/>
      </c>
      <c r="R3048" s="20">
        <f>IF(I3048="","",IF(I3048="Trading",O3048,0))</f>
        <v/>
      </c>
      <c r="S3048" s="19">
        <f>IF(I3048="","",IF(AND(I3048="Gasto",K3048="Variable",J3048&lt;&gt;"Trading",O3048&gt;0,O3048&lt;=Umbral),1,0))</f>
        <v/>
      </c>
      <c r="T3048" s="20">
        <f>IF(OR(I3048="",E3048=""),"",IF(OR(I3048="Gasto",I3048="Transferencia",I3048="Pago tarjeta"),-1,1)*C3048)</f>
        <v/>
      </c>
      <c r="U3048" s="20">
        <f>IF(OR(G3048="",AND(I3048&lt;&gt;"Transferencia",I3048&lt;&gt;"Pago tarjeta")),"",IF(IFERROR(INDEX(ctaMon,MATCH(G3048,ctaNom,0))&amp;"","DOP")=N3048,C3048,IF(N3048="USD",C3048*TasaUSD,C3048/TasaUSD)))</f>
        <v/>
      </c>
      <c r="V3048" s="20">
        <f>IF(I3048="","",IF(IFERROR(INDEX(ctaLiq,MATCH(E3048,ctaNom,0))="Sí",FALSE),IF(OR(I3048="Gasto",I3048="Transferencia",I3048="Pago tarjeta"),-1,1)*O3048,0)+IF(AND(U3048&lt;&gt;"",IFERROR(INDEX(ctaLiq,MATCH(G3048,ctaNom,0))="Sí",FALSE)),O3048,0))</f>
        <v/>
      </c>
      <c r="W3048" s="19">
        <f>IF(OR(F3048="",I3048=""),"",IF(COUNTIFS(F$6:F3048,F3048,I$6:I3048,"?*")=1,MAX(W$5:W3047)+1,""))</f>
        <v/>
      </c>
    </row>
    <row r="3049">
      <c r="B3049" s="15" t="n"/>
      <c r="C3049" s="16" t="n"/>
      <c r="D3049" s="17" t="n"/>
      <c r="E3049" s="17" t="n"/>
      <c r="F3049" s="17" t="n"/>
      <c r="G3049" s="17" t="n"/>
      <c r="H3049" s="18">
        <f>IF(AND(B3049="",C3049="",D3049="",E3049=""),"",IF(B3049="","⚠ Falta fecha",IF(C3049="","⚠ Falta monto",IF(D3049="","⚠ Falta categoría",IF(ISNA(MATCH(D3049,catNom,0)),"⚠ Categoría no existe",IF(E3049="","⚠ Falta cuenta",IF(ISNA(MATCH(E3049,ctaNom,0)),"⚠ Cuenta no existe",IF(AND(OR(I3049="Transferencia",I3049="Pago tarjeta"),G3049=""),"⚠ Indica la cuenta «Hacia»",IF(AND(G3049&lt;&gt;"",G3049=E3049),"⚠ «Hacia» igual a la cuenta",IF(AND(G3049&lt;&gt;"",ISNA(MATCH(G3049,ctaNom,0))),"⚠ «Hacia» no existe",IF(AND(I3049="Pago tarjeta",IFERROR(INDEX(ctaTipo,MATCH(G3049,ctaNom,0)),"")&lt;&gt;"Tarjeta de crédito"),"⚠ «Hacia» debe ser la tarjeta",IF(AND(I3049="Trading",IFERROR(INDEX(ctaTipo,MATCH(E3049,ctaNom,0)),"")&lt;&gt;"Cuenta de trading"),"⚠ Usa la cuenta de trading","✓"))))))))))))</f>
        <v/>
      </c>
      <c r="I3049" s="19">
        <f>IF(OR(B3049="",C3049="",D3049=""),"",IFERROR(INDEX(catTipo,MATCH(D3049,catNom,0))&amp;"",""))</f>
        <v/>
      </c>
      <c r="J3049" s="19">
        <f>IF(I3049="","",IFERROR(INDEX(catGrupo,MATCH(D3049,catNom,0))&amp;"",""))</f>
        <v/>
      </c>
      <c r="K3049" s="19">
        <f>IF(I3049="Gasto",IF(IFERROR(INDEX(catClas,MATCH(D3049,catNom,0))&amp;"","")="","Variable",IFERROR(INDEX(catClas,MATCH(D3049,catNom,0))&amp;"","")),"")</f>
        <v/>
      </c>
      <c r="L3049" s="19">
        <f>IF(I3049="","",IFERROR(INDEX(catAlim,MATCH(D3049,catNom,0))&amp;"",""))</f>
        <v/>
      </c>
      <c r="M3049" s="19">
        <f>IF(I3049="","",IFERROR(INDEX(catComida,MATCH(D3049,catNom,0))&amp;"",""))</f>
        <v/>
      </c>
      <c r="N3049" s="19">
        <f>IF(I3049="","",IFERROR(INDEX(ctaMon,MATCH(E3049,ctaNom,0))&amp;"","DOP"))</f>
        <v/>
      </c>
      <c r="O3049" s="20">
        <f>IF(I3049="","",C3049*IF(N3049="USD",TasaUSD,1))</f>
        <v/>
      </c>
      <c r="P3049" s="20">
        <f>IF(I3049="","",IF(I3049="Gasto",O3049,0))</f>
        <v/>
      </c>
      <c r="Q3049" s="20">
        <f>IF(I3049="","",IF(I3049="Ingreso",O3049,0))</f>
        <v/>
      </c>
      <c r="R3049" s="20">
        <f>IF(I3049="","",IF(I3049="Trading",O3049,0))</f>
        <v/>
      </c>
      <c r="S3049" s="19">
        <f>IF(I3049="","",IF(AND(I3049="Gasto",K3049="Variable",J3049&lt;&gt;"Trading",O3049&gt;0,O3049&lt;=Umbral),1,0))</f>
        <v/>
      </c>
      <c r="T3049" s="20">
        <f>IF(OR(I3049="",E3049=""),"",IF(OR(I3049="Gasto",I3049="Transferencia",I3049="Pago tarjeta"),-1,1)*C3049)</f>
        <v/>
      </c>
      <c r="U3049" s="20">
        <f>IF(OR(G3049="",AND(I3049&lt;&gt;"Transferencia",I3049&lt;&gt;"Pago tarjeta")),"",IF(IFERROR(INDEX(ctaMon,MATCH(G3049,ctaNom,0))&amp;"","DOP")=N3049,C3049,IF(N3049="USD",C3049*TasaUSD,C3049/TasaUSD)))</f>
        <v/>
      </c>
      <c r="V3049" s="20">
        <f>IF(I3049="","",IF(IFERROR(INDEX(ctaLiq,MATCH(E3049,ctaNom,0))="Sí",FALSE),IF(OR(I3049="Gasto",I3049="Transferencia",I3049="Pago tarjeta"),-1,1)*O3049,0)+IF(AND(U3049&lt;&gt;"",IFERROR(INDEX(ctaLiq,MATCH(G3049,ctaNom,0))="Sí",FALSE)),O3049,0))</f>
        <v/>
      </c>
      <c r="W3049" s="19">
        <f>IF(OR(F3049="",I3049=""),"",IF(COUNTIFS(F$6:F3049,F3049,I$6:I3049,"?*")=1,MAX(W$5:W3048)+1,""))</f>
        <v/>
      </c>
    </row>
    <row r="3050">
      <c r="B3050" s="15" t="n"/>
      <c r="C3050" s="16" t="n"/>
      <c r="D3050" s="17" t="n"/>
      <c r="E3050" s="17" t="n"/>
      <c r="F3050" s="17" t="n"/>
      <c r="G3050" s="17" t="n"/>
      <c r="H3050" s="18">
        <f>IF(AND(B3050="",C3050="",D3050="",E3050=""),"",IF(B3050="","⚠ Falta fecha",IF(C3050="","⚠ Falta monto",IF(D3050="","⚠ Falta categoría",IF(ISNA(MATCH(D3050,catNom,0)),"⚠ Categoría no existe",IF(E3050="","⚠ Falta cuenta",IF(ISNA(MATCH(E3050,ctaNom,0)),"⚠ Cuenta no existe",IF(AND(OR(I3050="Transferencia",I3050="Pago tarjeta"),G3050=""),"⚠ Indica la cuenta «Hacia»",IF(AND(G3050&lt;&gt;"",G3050=E3050),"⚠ «Hacia» igual a la cuenta",IF(AND(G3050&lt;&gt;"",ISNA(MATCH(G3050,ctaNom,0))),"⚠ «Hacia» no existe",IF(AND(I3050="Pago tarjeta",IFERROR(INDEX(ctaTipo,MATCH(G3050,ctaNom,0)),"")&lt;&gt;"Tarjeta de crédito"),"⚠ «Hacia» debe ser la tarjeta",IF(AND(I3050="Trading",IFERROR(INDEX(ctaTipo,MATCH(E3050,ctaNom,0)),"")&lt;&gt;"Cuenta de trading"),"⚠ Usa la cuenta de trading","✓"))))))))))))</f>
        <v/>
      </c>
      <c r="I3050" s="19">
        <f>IF(OR(B3050="",C3050="",D3050=""),"",IFERROR(INDEX(catTipo,MATCH(D3050,catNom,0))&amp;"",""))</f>
        <v/>
      </c>
      <c r="J3050" s="19">
        <f>IF(I3050="","",IFERROR(INDEX(catGrupo,MATCH(D3050,catNom,0))&amp;"",""))</f>
        <v/>
      </c>
      <c r="K3050" s="19">
        <f>IF(I3050="Gasto",IF(IFERROR(INDEX(catClas,MATCH(D3050,catNom,0))&amp;"","")="","Variable",IFERROR(INDEX(catClas,MATCH(D3050,catNom,0))&amp;"","")),"")</f>
        <v/>
      </c>
      <c r="L3050" s="19">
        <f>IF(I3050="","",IFERROR(INDEX(catAlim,MATCH(D3050,catNom,0))&amp;"",""))</f>
        <v/>
      </c>
      <c r="M3050" s="19">
        <f>IF(I3050="","",IFERROR(INDEX(catComida,MATCH(D3050,catNom,0))&amp;"",""))</f>
        <v/>
      </c>
      <c r="N3050" s="19">
        <f>IF(I3050="","",IFERROR(INDEX(ctaMon,MATCH(E3050,ctaNom,0))&amp;"","DOP"))</f>
        <v/>
      </c>
      <c r="O3050" s="20">
        <f>IF(I3050="","",C3050*IF(N3050="USD",TasaUSD,1))</f>
        <v/>
      </c>
      <c r="P3050" s="20">
        <f>IF(I3050="","",IF(I3050="Gasto",O3050,0))</f>
        <v/>
      </c>
      <c r="Q3050" s="20">
        <f>IF(I3050="","",IF(I3050="Ingreso",O3050,0))</f>
        <v/>
      </c>
      <c r="R3050" s="20">
        <f>IF(I3050="","",IF(I3050="Trading",O3050,0))</f>
        <v/>
      </c>
      <c r="S3050" s="19">
        <f>IF(I3050="","",IF(AND(I3050="Gasto",K3050="Variable",J3050&lt;&gt;"Trading",O3050&gt;0,O3050&lt;=Umbral),1,0))</f>
        <v/>
      </c>
      <c r="T3050" s="20">
        <f>IF(OR(I3050="",E3050=""),"",IF(OR(I3050="Gasto",I3050="Transferencia",I3050="Pago tarjeta"),-1,1)*C3050)</f>
        <v/>
      </c>
      <c r="U3050" s="20">
        <f>IF(OR(G3050="",AND(I3050&lt;&gt;"Transferencia",I3050&lt;&gt;"Pago tarjeta")),"",IF(IFERROR(INDEX(ctaMon,MATCH(G3050,ctaNom,0))&amp;"","DOP")=N3050,C3050,IF(N3050="USD",C3050*TasaUSD,C3050/TasaUSD)))</f>
        <v/>
      </c>
      <c r="V3050" s="20">
        <f>IF(I3050="","",IF(IFERROR(INDEX(ctaLiq,MATCH(E3050,ctaNom,0))="Sí",FALSE),IF(OR(I3050="Gasto",I3050="Transferencia",I3050="Pago tarjeta"),-1,1)*O3050,0)+IF(AND(U3050&lt;&gt;"",IFERROR(INDEX(ctaLiq,MATCH(G3050,ctaNom,0))="Sí",FALSE)),O3050,0))</f>
        <v/>
      </c>
      <c r="W3050" s="19">
        <f>IF(OR(F3050="",I3050=""),"",IF(COUNTIFS(F$6:F3050,F3050,I$6:I3050,"?*")=1,MAX(W$5:W3049)+1,""))</f>
        <v/>
      </c>
    </row>
    <row r="3051">
      <c r="B3051" s="15" t="n"/>
      <c r="C3051" s="16" t="n"/>
      <c r="D3051" s="17" t="n"/>
      <c r="E3051" s="17" t="n"/>
      <c r="F3051" s="17" t="n"/>
      <c r="G3051" s="17" t="n"/>
      <c r="H3051" s="18">
        <f>IF(AND(B3051="",C3051="",D3051="",E3051=""),"",IF(B3051="","⚠ Falta fecha",IF(C3051="","⚠ Falta monto",IF(D3051="","⚠ Falta categoría",IF(ISNA(MATCH(D3051,catNom,0)),"⚠ Categoría no existe",IF(E3051="","⚠ Falta cuenta",IF(ISNA(MATCH(E3051,ctaNom,0)),"⚠ Cuenta no existe",IF(AND(OR(I3051="Transferencia",I3051="Pago tarjeta"),G3051=""),"⚠ Indica la cuenta «Hacia»",IF(AND(G3051&lt;&gt;"",G3051=E3051),"⚠ «Hacia» igual a la cuenta",IF(AND(G3051&lt;&gt;"",ISNA(MATCH(G3051,ctaNom,0))),"⚠ «Hacia» no existe",IF(AND(I3051="Pago tarjeta",IFERROR(INDEX(ctaTipo,MATCH(G3051,ctaNom,0)),"")&lt;&gt;"Tarjeta de crédito"),"⚠ «Hacia» debe ser la tarjeta",IF(AND(I3051="Trading",IFERROR(INDEX(ctaTipo,MATCH(E3051,ctaNom,0)),"")&lt;&gt;"Cuenta de trading"),"⚠ Usa la cuenta de trading","✓"))))))))))))</f>
        <v/>
      </c>
      <c r="I3051" s="19">
        <f>IF(OR(B3051="",C3051="",D3051=""),"",IFERROR(INDEX(catTipo,MATCH(D3051,catNom,0))&amp;"",""))</f>
        <v/>
      </c>
      <c r="J3051" s="19">
        <f>IF(I3051="","",IFERROR(INDEX(catGrupo,MATCH(D3051,catNom,0))&amp;"",""))</f>
        <v/>
      </c>
      <c r="K3051" s="19">
        <f>IF(I3051="Gasto",IF(IFERROR(INDEX(catClas,MATCH(D3051,catNom,0))&amp;"","")="","Variable",IFERROR(INDEX(catClas,MATCH(D3051,catNom,0))&amp;"","")),"")</f>
        <v/>
      </c>
      <c r="L3051" s="19">
        <f>IF(I3051="","",IFERROR(INDEX(catAlim,MATCH(D3051,catNom,0))&amp;"",""))</f>
        <v/>
      </c>
      <c r="M3051" s="19">
        <f>IF(I3051="","",IFERROR(INDEX(catComida,MATCH(D3051,catNom,0))&amp;"",""))</f>
        <v/>
      </c>
      <c r="N3051" s="19">
        <f>IF(I3051="","",IFERROR(INDEX(ctaMon,MATCH(E3051,ctaNom,0))&amp;"","DOP"))</f>
        <v/>
      </c>
      <c r="O3051" s="20">
        <f>IF(I3051="","",C3051*IF(N3051="USD",TasaUSD,1))</f>
        <v/>
      </c>
      <c r="P3051" s="20">
        <f>IF(I3051="","",IF(I3051="Gasto",O3051,0))</f>
        <v/>
      </c>
      <c r="Q3051" s="20">
        <f>IF(I3051="","",IF(I3051="Ingreso",O3051,0))</f>
        <v/>
      </c>
      <c r="R3051" s="20">
        <f>IF(I3051="","",IF(I3051="Trading",O3051,0))</f>
        <v/>
      </c>
      <c r="S3051" s="19">
        <f>IF(I3051="","",IF(AND(I3051="Gasto",K3051="Variable",J3051&lt;&gt;"Trading",O3051&gt;0,O3051&lt;=Umbral),1,0))</f>
        <v/>
      </c>
      <c r="T3051" s="20">
        <f>IF(OR(I3051="",E3051=""),"",IF(OR(I3051="Gasto",I3051="Transferencia",I3051="Pago tarjeta"),-1,1)*C3051)</f>
        <v/>
      </c>
      <c r="U3051" s="20">
        <f>IF(OR(G3051="",AND(I3051&lt;&gt;"Transferencia",I3051&lt;&gt;"Pago tarjeta")),"",IF(IFERROR(INDEX(ctaMon,MATCH(G3051,ctaNom,0))&amp;"","DOP")=N3051,C3051,IF(N3051="USD",C3051*TasaUSD,C3051/TasaUSD)))</f>
        <v/>
      </c>
      <c r="V3051" s="20">
        <f>IF(I3051="","",IF(IFERROR(INDEX(ctaLiq,MATCH(E3051,ctaNom,0))="Sí",FALSE),IF(OR(I3051="Gasto",I3051="Transferencia",I3051="Pago tarjeta"),-1,1)*O3051,0)+IF(AND(U3051&lt;&gt;"",IFERROR(INDEX(ctaLiq,MATCH(G3051,ctaNom,0))="Sí",FALSE)),O3051,0))</f>
        <v/>
      </c>
      <c r="W3051" s="19">
        <f>IF(OR(F3051="",I3051=""),"",IF(COUNTIFS(F$6:F3051,F3051,I$6:I3051,"?*")=1,MAX(W$5:W3050)+1,""))</f>
        <v/>
      </c>
    </row>
    <row r="3052">
      <c r="B3052" s="15" t="n"/>
      <c r="C3052" s="16" t="n"/>
      <c r="D3052" s="17" t="n"/>
      <c r="E3052" s="17" t="n"/>
      <c r="F3052" s="17" t="n"/>
      <c r="G3052" s="17" t="n"/>
      <c r="H3052" s="18">
        <f>IF(AND(B3052="",C3052="",D3052="",E3052=""),"",IF(B3052="","⚠ Falta fecha",IF(C3052="","⚠ Falta monto",IF(D3052="","⚠ Falta categoría",IF(ISNA(MATCH(D3052,catNom,0)),"⚠ Categoría no existe",IF(E3052="","⚠ Falta cuenta",IF(ISNA(MATCH(E3052,ctaNom,0)),"⚠ Cuenta no existe",IF(AND(OR(I3052="Transferencia",I3052="Pago tarjeta"),G3052=""),"⚠ Indica la cuenta «Hacia»",IF(AND(G3052&lt;&gt;"",G3052=E3052),"⚠ «Hacia» igual a la cuenta",IF(AND(G3052&lt;&gt;"",ISNA(MATCH(G3052,ctaNom,0))),"⚠ «Hacia» no existe",IF(AND(I3052="Pago tarjeta",IFERROR(INDEX(ctaTipo,MATCH(G3052,ctaNom,0)),"")&lt;&gt;"Tarjeta de crédito"),"⚠ «Hacia» debe ser la tarjeta",IF(AND(I3052="Trading",IFERROR(INDEX(ctaTipo,MATCH(E3052,ctaNom,0)),"")&lt;&gt;"Cuenta de trading"),"⚠ Usa la cuenta de trading","✓"))))))))))))</f>
        <v/>
      </c>
      <c r="I3052" s="19">
        <f>IF(OR(B3052="",C3052="",D3052=""),"",IFERROR(INDEX(catTipo,MATCH(D3052,catNom,0))&amp;"",""))</f>
        <v/>
      </c>
      <c r="J3052" s="19">
        <f>IF(I3052="","",IFERROR(INDEX(catGrupo,MATCH(D3052,catNom,0))&amp;"",""))</f>
        <v/>
      </c>
      <c r="K3052" s="19">
        <f>IF(I3052="Gasto",IF(IFERROR(INDEX(catClas,MATCH(D3052,catNom,0))&amp;"","")="","Variable",IFERROR(INDEX(catClas,MATCH(D3052,catNom,0))&amp;"","")),"")</f>
        <v/>
      </c>
      <c r="L3052" s="19">
        <f>IF(I3052="","",IFERROR(INDEX(catAlim,MATCH(D3052,catNom,0))&amp;"",""))</f>
        <v/>
      </c>
      <c r="M3052" s="19">
        <f>IF(I3052="","",IFERROR(INDEX(catComida,MATCH(D3052,catNom,0))&amp;"",""))</f>
        <v/>
      </c>
      <c r="N3052" s="19">
        <f>IF(I3052="","",IFERROR(INDEX(ctaMon,MATCH(E3052,ctaNom,0))&amp;"","DOP"))</f>
        <v/>
      </c>
      <c r="O3052" s="20">
        <f>IF(I3052="","",C3052*IF(N3052="USD",TasaUSD,1))</f>
        <v/>
      </c>
      <c r="P3052" s="20">
        <f>IF(I3052="","",IF(I3052="Gasto",O3052,0))</f>
        <v/>
      </c>
      <c r="Q3052" s="20">
        <f>IF(I3052="","",IF(I3052="Ingreso",O3052,0))</f>
        <v/>
      </c>
      <c r="R3052" s="20">
        <f>IF(I3052="","",IF(I3052="Trading",O3052,0))</f>
        <v/>
      </c>
      <c r="S3052" s="19">
        <f>IF(I3052="","",IF(AND(I3052="Gasto",K3052="Variable",J3052&lt;&gt;"Trading",O3052&gt;0,O3052&lt;=Umbral),1,0))</f>
        <v/>
      </c>
      <c r="T3052" s="20">
        <f>IF(OR(I3052="",E3052=""),"",IF(OR(I3052="Gasto",I3052="Transferencia",I3052="Pago tarjeta"),-1,1)*C3052)</f>
        <v/>
      </c>
      <c r="U3052" s="20">
        <f>IF(OR(G3052="",AND(I3052&lt;&gt;"Transferencia",I3052&lt;&gt;"Pago tarjeta")),"",IF(IFERROR(INDEX(ctaMon,MATCH(G3052,ctaNom,0))&amp;"","DOP")=N3052,C3052,IF(N3052="USD",C3052*TasaUSD,C3052/TasaUSD)))</f>
        <v/>
      </c>
      <c r="V3052" s="20">
        <f>IF(I3052="","",IF(IFERROR(INDEX(ctaLiq,MATCH(E3052,ctaNom,0))="Sí",FALSE),IF(OR(I3052="Gasto",I3052="Transferencia",I3052="Pago tarjeta"),-1,1)*O3052,0)+IF(AND(U3052&lt;&gt;"",IFERROR(INDEX(ctaLiq,MATCH(G3052,ctaNom,0))="Sí",FALSE)),O3052,0))</f>
        <v/>
      </c>
      <c r="W3052" s="19">
        <f>IF(OR(F3052="",I3052=""),"",IF(COUNTIFS(F$6:F3052,F3052,I$6:I3052,"?*")=1,MAX(W$5:W3051)+1,""))</f>
        <v/>
      </c>
    </row>
    <row r="3053">
      <c r="B3053" s="15" t="n"/>
      <c r="C3053" s="16" t="n"/>
      <c r="D3053" s="17" t="n"/>
      <c r="E3053" s="17" t="n"/>
      <c r="F3053" s="17" t="n"/>
      <c r="G3053" s="17" t="n"/>
      <c r="H3053" s="18">
        <f>IF(AND(B3053="",C3053="",D3053="",E3053=""),"",IF(B3053="","⚠ Falta fecha",IF(C3053="","⚠ Falta monto",IF(D3053="","⚠ Falta categoría",IF(ISNA(MATCH(D3053,catNom,0)),"⚠ Categoría no existe",IF(E3053="","⚠ Falta cuenta",IF(ISNA(MATCH(E3053,ctaNom,0)),"⚠ Cuenta no existe",IF(AND(OR(I3053="Transferencia",I3053="Pago tarjeta"),G3053=""),"⚠ Indica la cuenta «Hacia»",IF(AND(G3053&lt;&gt;"",G3053=E3053),"⚠ «Hacia» igual a la cuenta",IF(AND(G3053&lt;&gt;"",ISNA(MATCH(G3053,ctaNom,0))),"⚠ «Hacia» no existe",IF(AND(I3053="Pago tarjeta",IFERROR(INDEX(ctaTipo,MATCH(G3053,ctaNom,0)),"")&lt;&gt;"Tarjeta de crédito"),"⚠ «Hacia» debe ser la tarjeta",IF(AND(I3053="Trading",IFERROR(INDEX(ctaTipo,MATCH(E3053,ctaNom,0)),"")&lt;&gt;"Cuenta de trading"),"⚠ Usa la cuenta de trading","✓"))))))))))))</f>
        <v/>
      </c>
      <c r="I3053" s="19">
        <f>IF(OR(B3053="",C3053="",D3053=""),"",IFERROR(INDEX(catTipo,MATCH(D3053,catNom,0))&amp;"",""))</f>
        <v/>
      </c>
      <c r="J3053" s="19">
        <f>IF(I3053="","",IFERROR(INDEX(catGrupo,MATCH(D3053,catNom,0))&amp;"",""))</f>
        <v/>
      </c>
      <c r="K3053" s="19">
        <f>IF(I3053="Gasto",IF(IFERROR(INDEX(catClas,MATCH(D3053,catNom,0))&amp;"","")="","Variable",IFERROR(INDEX(catClas,MATCH(D3053,catNom,0))&amp;"","")),"")</f>
        <v/>
      </c>
      <c r="L3053" s="19">
        <f>IF(I3053="","",IFERROR(INDEX(catAlim,MATCH(D3053,catNom,0))&amp;"",""))</f>
        <v/>
      </c>
      <c r="M3053" s="19">
        <f>IF(I3053="","",IFERROR(INDEX(catComida,MATCH(D3053,catNom,0))&amp;"",""))</f>
        <v/>
      </c>
      <c r="N3053" s="19">
        <f>IF(I3053="","",IFERROR(INDEX(ctaMon,MATCH(E3053,ctaNom,0))&amp;"","DOP"))</f>
        <v/>
      </c>
      <c r="O3053" s="20">
        <f>IF(I3053="","",C3053*IF(N3053="USD",TasaUSD,1))</f>
        <v/>
      </c>
      <c r="P3053" s="20">
        <f>IF(I3053="","",IF(I3053="Gasto",O3053,0))</f>
        <v/>
      </c>
      <c r="Q3053" s="20">
        <f>IF(I3053="","",IF(I3053="Ingreso",O3053,0))</f>
        <v/>
      </c>
      <c r="R3053" s="20">
        <f>IF(I3053="","",IF(I3053="Trading",O3053,0))</f>
        <v/>
      </c>
      <c r="S3053" s="19">
        <f>IF(I3053="","",IF(AND(I3053="Gasto",K3053="Variable",J3053&lt;&gt;"Trading",O3053&gt;0,O3053&lt;=Umbral),1,0))</f>
        <v/>
      </c>
      <c r="T3053" s="20">
        <f>IF(OR(I3053="",E3053=""),"",IF(OR(I3053="Gasto",I3053="Transferencia",I3053="Pago tarjeta"),-1,1)*C3053)</f>
        <v/>
      </c>
      <c r="U3053" s="20">
        <f>IF(OR(G3053="",AND(I3053&lt;&gt;"Transferencia",I3053&lt;&gt;"Pago tarjeta")),"",IF(IFERROR(INDEX(ctaMon,MATCH(G3053,ctaNom,0))&amp;"","DOP")=N3053,C3053,IF(N3053="USD",C3053*TasaUSD,C3053/TasaUSD)))</f>
        <v/>
      </c>
      <c r="V3053" s="20">
        <f>IF(I3053="","",IF(IFERROR(INDEX(ctaLiq,MATCH(E3053,ctaNom,0))="Sí",FALSE),IF(OR(I3053="Gasto",I3053="Transferencia",I3053="Pago tarjeta"),-1,1)*O3053,0)+IF(AND(U3053&lt;&gt;"",IFERROR(INDEX(ctaLiq,MATCH(G3053,ctaNom,0))="Sí",FALSE)),O3053,0))</f>
        <v/>
      </c>
      <c r="W3053" s="19">
        <f>IF(OR(F3053="",I3053=""),"",IF(COUNTIFS(F$6:F3053,F3053,I$6:I3053,"?*")=1,MAX(W$5:W3052)+1,""))</f>
        <v/>
      </c>
    </row>
    <row r="3054">
      <c r="B3054" s="15" t="n"/>
      <c r="C3054" s="16" t="n"/>
      <c r="D3054" s="17" t="n"/>
      <c r="E3054" s="17" t="n"/>
      <c r="F3054" s="17" t="n"/>
      <c r="G3054" s="17" t="n"/>
      <c r="H3054" s="18">
        <f>IF(AND(B3054="",C3054="",D3054="",E3054=""),"",IF(B3054="","⚠ Falta fecha",IF(C3054="","⚠ Falta monto",IF(D3054="","⚠ Falta categoría",IF(ISNA(MATCH(D3054,catNom,0)),"⚠ Categoría no existe",IF(E3054="","⚠ Falta cuenta",IF(ISNA(MATCH(E3054,ctaNom,0)),"⚠ Cuenta no existe",IF(AND(OR(I3054="Transferencia",I3054="Pago tarjeta"),G3054=""),"⚠ Indica la cuenta «Hacia»",IF(AND(G3054&lt;&gt;"",G3054=E3054),"⚠ «Hacia» igual a la cuenta",IF(AND(G3054&lt;&gt;"",ISNA(MATCH(G3054,ctaNom,0))),"⚠ «Hacia» no existe",IF(AND(I3054="Pago tarjeta",IFERROR(INDEX(ctaTipo,MATCH(G3054,ctaNom,0)),"")&lt;&gt;"Tarjeta de crédito"),"⚠ «Hacia» debe ser la tarjeta",IF(AND(I3054="Trading",IFERROR(INDEX(ctaTipo,MATCH(E3054,ctaNom,0)),"")&lt;&gt;"Cuenta de trading"),"⚠ Usa la cuenta de trading","✓"))))))))))))</f>
        <v/>
      </c>
      <c r="I3054" s="19">
        <f>IF(OR(B3054="",C3054="",D3054=""),"",IFERROR(INDEX(catTipo,MATCH(D3054,catNom,0))&amp;"",""))</f>
        <v/>
      </c>
      <c r="J3054" s="19">
        <f>IF(I3054="","",IFERROR(INDEX(catGrupo,MATCH(D3054,catNom,0))&amp;"",""))</f>
        <v/>
      </c>
      <c r="K3054" s="19">
        <f>IF(I3054="Gasto",IF(IFERROR(INDEX(catClas,MATCH(D3054,catNom,0))&amp;"","")="","Variable",IFERROR(INDEX(catClas,MATCH(D3054,catNom,0))&amp;"","")),"")</f>
        <v/>
      </c>
      <c r="L3054" s="19">
        <f>IF(I3054="","",IFERROR(INDEX(catAlim,MATCH(D3054,catNom,0))&amp;"",""))</f>
        <v/>
      </c>
      <c r="M3054" s="19">
        <f>IF(I3054="","",IFERROR(INDEX(catComida,MATCH(D3054,catNom,0))&amp;"",""))</f>
        <v/>
      </c>
      <c r="N3054" s="19">
        <f>IF(I3054="","",IFERROR(INDEX(ctaMon,MATCH(E3054,ctaNom,0))&amp;"","DOP"))</f>
        <v/>
      </c>
      <c r="O3054" s="20">
        <f>IF(I3054="","",C3054*IF(N3054="USD",TasaUSD,1))</f>
        <v/>
      </c>
      <c r="P3054" s="20">
        <f>IF(I3054="","",IF(I3054="Gasto",O3054,0))</f>
        <v/>
      </c>
      <c r="Q3054" s="20">
        <f>IF(I3054="","",IF(I3054="Ingreso",O3054,0))</f>
        <v/>
      </c>
      <c r="R3054" s="20">
        <f>IF(I3054="","",IF(I3054="Trading",O3054,0))</f>
        <v/>
      </c>
      <c r="S3054" s="19">
        <f>IF(I3054="","",IF(AND(I3054="Gasto",K3054="Variable",J3054&lt;&gt;"Trading",O3054&gt;0,O3054&lt;=Umbral),1,0))</f>
        <v/>
      </c>
      <c r="T3054" s="20">
        <f>IF(OR(I3054="",E3054=""),"",IF(OR(I3054="Gasto",I3054="Transferencia",I3054="Pago tarjeta"),-1,1)*C3054)</f>
        <v/>
      </c>
      <c r="U3054" s="20">
        <f>IF(OR(G3054="",AND(I3054&lt;&gt;"Transferencia",I3054&lt;&gt;"Pago tarjeta")),"",IF(IFERROR(INDEX(ctaMon,MATCH(G3054,ctaNom,0))&amp;"","DOP")=N3054,C3054,IF(N3054="USD",C3054*TasaUSD,C3054/TasaUSD)))</f>
        <v/>
      </c>
      <c r="V3054" s="20">
        <f>IF(I3054="","",IF(IFERROR(INDEX(ctaLiq,MATCH(E3054,ctaNom,0))="Sí",FALSE),IF(OR(I3054="Gasto",I3054="Transferencia",I3054="Pago tarjeta"),-1,1)*O3054,0)+IF(AND(U3054&lt;&gt;"",IFERROR(INDEX(ctaLiq,MATCH(G3054,ctaNom,0))="Sí",FALSE)),O3054,0))</f>
        <v/>
      </c>
      <c r="W3054" s="19">
        <f>IF(OR(F3054="",I3054=""),"",IF(COUNTIFS(F$6:F3054,F3054,I$6:I3054,"?*")=1,MAX(W$5:W3053)+1,""))</f>
        <v/>
      </c>
    </row>
    <row r="3055">
      <c r="B3055" s="15" t="n"/>
      <c r="C3055" s="16" t="n"/>
      <c r="D3055" s="17" t="n"/>
      <c r="E3055" s="17" t="n"/>
      <c r="F3055" s="17" t="n"/>
      <c r="G3055" s="17" t="n"/>
      <c r="H3055" s="18">
        <f>IF(AND(B3055="",C3055="",D3055="",E3055=""),"",IF(B3055="","⚠ Falta fecha",IF(C3055="","⚠ Falta monto",IF(D3055="","⚠ Falta categoría",IF(ISNA(MATCH(D3055,catNom,0)),"⚠ Categoría no existe",IF(E3055="","⚠ Falta cuenta",IF(ISNA(MATCH(E3055,ctaNom,0)),"⚠ Cuenta no existe",IF(AND(OR(I3055="Transferencia",I3055="Pago tarjeta"),G3055=""),"⚠ Indica la cuenta «Hacia»",IF(AND(G3055&lt;&gt;"",G3055=E3055),"⚠ «Hacia» igual a la cuenta",IF(AND(G3055&lt;&gt;"",ISNA(MATCH(G3055,ctaNom,0))),"⚠ «Hacia» no existe",IF(AND(I3055="Pago tarjeta",IFERROR(INDEX(ctaTipo,MATCH(G3055,ctaNom,0)),"")&lt;&gt;"Tarjeta de crédito"),"⚠ «Hacia» debe ser la tarjeta",IF(AND(I3055="Trading",IFERROR(INDEX(ctaTipo,MATCH(E3055,ctaNom,0)),"")&lt;&gt;"Cuenta de trading"),"⚠ Usa la cuenta de trading","✓"))))))))))))</f>
        <v/>
      </c>
      <c r="I3055" s="19">
        <f>IF(OR(B3055="",C3055="",D3055=""),"",IFERROR(INDEX(catTipo,MATCH(D3055,catNom,0))&amp;"",""))</f>
        <v/>
      </c>
      <c r="J3055" s="19">
        <f>IF(I3055="","",IFERROR(INDEX(catGrupo,MATCH(D3055,catNom,0))&amp;"",""))</f>
        <v/>
      </c>
      <c r="K3055" s="19">
        <f>IF(I3055="Gasto",IF(IFERROR(INDEX(catClas,MATCH(D3055,catNom,0))&amp;"","")="","Variable",IFERROR(INDEX(catClas,MATCH(D3055,catNom,0))&amp;"","")),"")</f>
        <v/>
      </c>
      <c r="L3055" s="19">
        <f>IF(I3055="","",IFERROR(INDEX(catAlim,MATCH(D3055,catNom,0))&amp;"",""))</f>
        <v/>
      </c>
      <c r="M3055" s="19">
        <f>IF(I3055="","",IFERROR(INDEX(catComida,MATCH(D3055,catNom,0))&amp;"",""))</f>
        <v/>
      </c>
      <c r="N3055" s="19">
        <f>IF(I3055="","",IFERROR(INDEX(ctaMon,MATCH(E3055,ctaNom,0))&amp;"","DOP"))</f>
        <v/>
      </c>
      <c r="O3055" s="20">
        <f>IF(I3055="","",C3055*IF(N3055="USD",TasaUSD,1))</f>
        <v/>
      </c>
      <c r="P3055" s="20">
        <f>IF(I3055="","",IF(I3055="Gasto",O3055,0))</f>
        <v/>
      </c>
      <c r="Q3055" s="20">
        <f>IF(I3055="","",IF(I3055="Ingreso",O3055,0))</f>
        <v/>
      </c>
      <c r="R3055" s="20">
        <f>IF(I3055="","",IF(I3055="Trading",O3055,0))</f>
        <v/>
      </c>
      <c r="S3055" s="19">
        <f>IF(I3055="","",IF(AND(I3055="Gasto",K3055="Variable",J3055&lt;&gt;"Trading",O3055&gt;0,O3055&lt;=Umbral),1,0))</f>
        <v/>
      </c>
      <c r="T3055" s="20">
        <f>IF(OR(I3055="",E3055=""),"",IF(OR(I3055="Gasto",I3055="Transferencia",I3055="Pago tarjeta"),-1,1)*C3055)</f>
        <v/>
      </c>
      <c r="U3055" s="20">
        <f>IF(OR(G3055="",AND(I3055&lt;&gt;"Transferencia",I3055&lt;&gt;"Pago tarjeta")),"",IF(IFERROR(INDEX(ctaMon,MATCH(G3055,ctaNom,0))&amp;"","DOP")=N3055,C3055,IF(N3055="USD",C3055*TasaUSD,C3055/TasaUSD)))</f>
        <v/>
      </c>
      <c r="V3055" s="20">
        <f>IF(I3055="","",IF(IFERROR(INDEX(ctaLiq,MATCH(E3055,ctaNom,0))="Sí",FALSE),IF(OR(I3055="Gasto",I3055="Transferencia",I3055="Pago tarjeta"),-1,1)*O3055,0)+IF(AND(U3055&lt;&gt;"",IFERROR(INDEX(ctaLiq,MATCH(G3055,ctaNom,0))="Sí",FALSE)),O3055,0))</f>
        <v/>
      </c>
      <c r="W3055" s="19">
        <f>IF(OR(F3055="",I3055=""),"",IF(COUNTIFS(F$6:F3055,F3055,I$6:I3055,"?*")=1,MAX(W$5:W3054)+1,""))</f>
        <v/>
      </c>
    </row>
    <row r="3056">
      <c r="B3056" s="15" t="n"/>
      <c r="C3056" s="16" t="n"/>
      <c r="D3056" s="17" t="n"/>
      <c r="E3056" s="17" t="n"/>
      <c r="F3056" s="17" t="n"/>
      <c r="G3056" s="17" t="n"/>
      <c r="H3056" s="18">
        <f>IF(AND(B3056="",C3056="",D3056="",E3056=""),"",IF(B3056="","⚠ Falta fecha",IF(C3056="","⚠ Falta monto",IF(D3056="","⚠ Falta categoría",IF(ISNA(MATCH(D3056,catNom,0)),"⚠ Categoría no existe",IF(E3056="","⚠ Falta cuenta",IF(ISNA(MATCH(E3056,ctaNom,0)),"⚠ Cuenta no existe",IF(AND(OR(I3056="Transferencia",I3056="Pago tarjeta"),G3056=""),"⚠ Indica la cuenta «Hacia»",IF(AND(G3056&lt;&gt;"",G3056=E3056),"⚠ «Hacia» igual a la cuenta",IF(AND(G3056&lt;&gt;"",ISNA(MATCH(G3056,ctaNom,0))),"⚠ «Hacia» no existe",IF(AND(I3056="Pago tarjeta",IFERROR(INDEX(ctaTipo,MATCH(G3056,ctaNom,0)),"")&lt;&gt;"Tarjeta de crédito"),"⚠ «Hacia» debe ser la tarjeta",IF(AND(I3056="Trading",IFERROR(INDEX(ctaTipo,MATCH(E3056,ctaNom,0)),"")&lt;&gt;"Cuenta de trading"),"⚠ Usa la cuenta de trading","✓"))))))))))))</f>
        <v/>
      </c>
      <c r="I3056" s="19">
        <f>IF(OR(B3056="",C3056="",D3056=""),"",IFERROR(INDEX(catTipo,MATCH(D3056,catNom,0))&amp;"",""))</f>
        <v/>
      </c>
      <c r="J3056" s="19">
        <f>IF(I3056="","",IFERROR(INDEX(catGrupo,MATCH(D3056,catNom,0))&amp;"",""))</f>
        <v/>
      </c>
      <c r="K3056" s="19">
        <f>IF(I3056="Gasto",IF(IFERROR(INDEX(catClas,MATCH(D3056,catNom,0))&amp;"","")="","Variable",IFERROR(INDEX(catClas,MATCH(D3056,catNom,0))&amp;"","")),"")</f>
        <v/>
      </c>
      <c r="L3056" s="19">
        <f>IF(I3056="","",IFERROR(INDEX(catAlim,MATCH(D3056,catNom,0))&amp;"",""))</f>
        <v/>
      </c>
      <c r="M3056" s="19">
        <f>IF(I3056="","",IFERROR(INDEX(catComida,MATCH(D3056,catNom,0))&amp;"",""))</f>
        <v/>
      </c>
      <c r="N3056" s="19">
        <f>IF(I3056="","",IFERROR(INDEX(ctaMon,MATCH(E3056,ctaNom,0))&amp;"","DOP"))</f>
        <v/>
      </c>
      <c r="O3056" s="20">
        <f>IF(I3056="","",C3056*IF(N3056="USD",TasaUSD,1))</f>
        <v/>
      </c>
      <c r="P3056" s="20">
        <f>IF(I3056="","",IF(I3056="Gasto",O3056,0))</f>
        <v/>
      </c>
      <c r="Q3056" s="20">
        <f>IF(I3056="","",IF(I3056="Ingreso",O3056,0))</f>
        <v/>
      </c>
      <c r="R3056" s="20">
        <f>IF(I3056="","",IF(I3056="Trading",O3056,0))</f>
        <v/>
      </c>
      <c r="S3056" s="19">
        <f>IF(I3056="","",IF(AND(I3056="Gasto",K3056="Variable",J3056&lt;&gt;"Trading",O3056&gt;0,O3056&lt;=Umbral),1,0))</f>
        <v/>
      </c>
      <c r="T3056" s="20">
        <f>IF(OR(I3056="",E3056=""),"",IF(OR(I3056="Gasto",I3056="Transferencia",I3056="Pago tarjeta"),-1,1)*C3056)</f>
        <v/>
      </c>
      <c r="U3056" s="20">
        <f>IF(OR(G3056="",AND(I3056&lt;&gt;"Transferencia",I3056&lt;&gt;"Pago tarjeta")),"",IF(IFERROR(INDEX(ctaMon,MATCH(G3056,ctaNom,0))&amp;"","DOP")=N3056,C3056,IF(N3056="USD",C3056*TasaUSD,C3056/TasaUSD)))</f>
        <v/>
      </c>
      <c r="V3056" s="20">
        <f>IF(I3056="","",IF(IFERROR(INDEX(ctaLiq,MATCH(E3056,ctaNom,0))="Sí",FALSE),IF(OR(I3056="Gasto",I3056="Transferencia",I3056="Pago tarjeta"),-1,1)*O3056,0)+IF(AND(U3056&lt;&gt;"",IFERROR(INDEX(ctaLiq,MATCH(G3056,ctaNom,0))="Sí",FALSE)),O3056,0))</f>
        <v/>
      </c>
      <c r="W3056" s="19">
        <f>IF(OR(F3056="",I3056=""),"",IF(COUNTIFS(F$6:F3056,F3056,I$6:I3056,"?*")=1,MAX(W$5:W3055)+1,""))</f>
        <v/>
      </c>
    </row>
    <row r="3057">
      <c r="B3057" s="15" t="n"/>
      <c r="C3057" s="16" t="n"/>
      <c r="D3057" s="17" t="n"/>
      <c r="E3057" s="17" t="n"/>
      <c r="F3057" s="17" t="n"/>
      <c r="G3057" s="17" t="n"/>
      <c r="H3057" s="18">
        <f>IF(AND(B3057="",C3057="",D3057="",E3057=""),"",IF(B3057="","⚠ Falta fecha",IF(C3057="","⚠ Falta monto",IF(D3057="","⚠ Falta categoría",IF(ISNA(MATCH(D3057,catNom,0)),"⚠ Categoría no existe",IF(E3057="","⚠ Falta cuenta",IF(ISNA(MATCH(E3057,ctaNom,0)),"⚠ Cuenta no existe",IF(AND(OR(I3057="Transferencia",I3057="Pago tarjeta"),G3057=""),"⚠ Indica la cuenta «Hacia»",IF(AND(G3057&lt;&gt;"",G3057=E3057),"⚠ «Hacia» igual a la cuenta",IF(AND(G3057&lt;&gt;"",ISNA(MATCH(G3057,ctaNom,0))),"⚠ «Hacia» no existe",IF(AND(I3057="Pago tarjeta",IFERROR(INDEX(ctaTipo,MATCH(G3057,ctaNom,0)),"")&lt;&gt;"Tarjeta de crédito"),"⚠ «Hacia» debe ser la tarjeta",IF(AND(I3057="Trading",IFERROR(INDEX(ctaTipo,MATCH(E3057,ctaNom,0)),"")&lt;&gt;"Cuenta de trading"),"⚠ Usa la cuenta de trading","✓"))))))))))))</f>
        <v/>
      </c>
      <c r="I3057" s="19">
        <f>IF(OR(B3057="",C3057="",D3057=""),"",IFERROR(INDEX(catTipo,MATCH(D3057,catNom,0))&amp;"",""))</f>
        <v/>
      </c>
      <c r="J3057" s="19">
        <f>IF(I3057="","",IFERROR(INDEX(catGrupo,MATCH(D3057,catNom,0))&amp;"",""))</f>
        <v/>
      </c>
      <c r="K3057" s="19">
        <f>IF(I3057="Gasto",IF(IFERROR(INDEX(catClas,MATCH(D3057,catNom,0))&amp;"","")="","Variable",IFERROR(INDEX(catClas,MATCH(D3057,catNom,0))&amp;"","")),"")</f>
        <v/>
      </c>
      <c r="L3057" s="19">
        <f>IF(I3057="","",IFERROR(INDEX(catAlim,MATCH(D3057,catNom,0))&amp;"",""))</f>
        <v/>
      </c>
      <c r="M3057" s="19">
        <f>IF(I3057="","",IFERROR(INDEX(catComida,MATCH(D3057,catNom,0))&amp;"",""))</f>
        <v/>
      </c>
      <c r="N3057" s="19">
        <f>IF(I3057="","",IFERROR(INDEX(ctaMon,MATCH(E3057,ctaNom,0))&amp;"","DOP"))</f>
        <v/>
      </c>
      <c r="O3057" s="20">
        <f>IF(I3057="","",C3057*IF(N3057="USD",TasaUSD,1))</f>
        <v/>
      </c>
      <c r="P3057" s="20">
        <f>IF(I3057="","",IF(I3057="Gasto",O3057,0))</f>
        <v/>
      </c>
      <c r="Q3057" s="20">
        <f>IF(I3057="","",IF(I3057="Ingreso",O3057,0))</f>
        <v/>
      </c>
      <c r="R3057" s="20">
        <f>IF(I3057="","",IF(I3057="Trading",O3057,0))</f>
        <v/>
      </c>
      <c r="S3057" s="19">
        <f>IF(I3057="","",IF(AND(I3057="Gasto",K3057="Variable",J3057&lt;&gt;"Trading",O3057&gt;0,O3057&lt;=Umbral),1,0))</f>
        <v/>
      </c>
      <c r="T3057" s="20">
        <f>IF(OR(I3057="",E3057=""),"",IF(OR(I3057="Gasto",I3057="Transferencia",I3057="Pago tarjeta"),-1,1)*C3057)</f>
        <v/>
      </c>
      <c r="U3057" s="20">
        <f>IF(OR(G3057="",AND(I3057&lt;&gt;"Transferencia",I3057&lt;&gt;"Pago tarjeta")),"",IF(IFERROR(INDEX(ctaMon,MATCH(G3057,ctaNom,0))&amp;"","DOP")=N3057,C3057,IF(N3057="USD",C3057*TasaUSD,C3057/TasaUSD)))</f>
        <v/>
      </c>
      <c r="V3057" s="20">
        <f>IF(I3057="","",IF(IFERROR(INDEX(ctaLiq,MATCH(E3057,ctaNom,0))="Sí",FALSE),IF(OR(I3057="Gasto",I3057="Transferencia",I3057="Pago tarjeta"),-1,1)*O3057,0)+IF(AND(U3057&lt;&gt;"",IFERROR(INDEX(ctaLiq,MATCH(G3057,ctaNom,0))="Sí",FALSE)),O3057,0))</f>
        <v/>
      </c>
      <c r="W3057" s="19">
        <f>IF(OR(F3057="",I3057=""),"",IF(COUNTIFS(F$6:F3057,F3057,I$6:I3057,"?*")=1,MAX(W$5:W3056)+1,""))</f>
        <v/>
      </c>
    </row>
    <row r="3058">
      <c r="B3058" s="15" t="n"/>
      <c r="C3058" s="16" t="n"/>
      <c r="D3058" s="17" t="n"/>
      <c r="E3058" s="17" t="n"/>
      <c r="F3058" s="17" t="n"/>
      <c r="G3058" s="17" t="n"/>
      <c r="H3058" s="18">
        <f>IF(AND(B3058="",C3058="",D3058="",E3058=""),"",IF(B3058="","⚠ Falta fecha",IF(C3058="","⚠ Falta monto",IF(D3058="","⚠ Falta categoría",IF(ISNA(MATCH(D3058,catNom,0)),"⚠ Categoría no existe",IF(E3058="","⚠ Falta cuenta",IF(ISNA(MATCH(E3058,ctaNom,0)),"⚠ Cuenta no existe",IF(AND(OR(I3058="Transferencia",I3058="Pago tarjeta"),G3058=""),"⚠ Indica la cuenta «Hacia»",IF(AND(G3058&lt;&gt;"",G3058=E3058),"⚠ «Hacia» igual a la cuenta",IF(AND(G3058&lt;&gt;"",ISNA(MATCH(G3058,ctaNom,0))),"⚠ «Hacia» no existe",IF(AND(I3058="Pago tarjeta",IFERROR(INDEX(ctaTipo,MATCH(G3058,ctaNom,0)),"")&lt;&gt;"Tarjeta de crédito"),"⚠ «Hacia» debe ser la tarjeta",IF(AND(I3058="Trading",IFERROR(INDEX(ctaTipo,MATCH(E3058,ctaNom,0)),"")&lt;&gt;"Cuenta de trading"),"⚠ Usa la cuenta de trading","✓"))))))))))))</f>
        <v/>
      </c>
      <c r="I3058" s="19">
        <f>IF(OR(B3058="",C3058="",D3058=""),"",IFERROR(INDEX(catTipo,MATCH(D3058,catNom,0))&amp;"",""))</f>
        <v/>
      </c>
      <c r="J3058" s="19">
        <f>IF(I3058="","",IFERROR(INDEX(catGrupo,MATCH(D3058,catNom,0))&amp;"",""))</f>
        <v/>
      </c>
      <c r="K3058" s="19">
        <f>IF(I3058="Gasto",IF(IFERROR(INDEX(catClas,MATCH(D3058,catNom,0))&amp;"","")="","Variable",IFERROR(INDEX(catClas,MATCH(D3058,catNom,0))&amp;"","")),"")</f>
        <v/>
      </c>
      <c r="L3058" s="19">
        <f>IF(I3058="","",IFERROR(INDEX(catAlim,MATCH(D3058,catNom,0))&amp;"",""))</f>
        <v/>
      </c>
      <c r="M3058" s="19">
        <f>IF(I3058="","",IFERROR(INDEX(catComida,MATCH(D3058,catNom,0))&amp;"",""))</f>
        <v/>
      </c>
      <c r="N3058" s="19">
        <f>IF(I3058="","",IFERROR(INDEX(ctaMon,MATCH(E3058,ctaNom,0))&amp;"","DOP"))</f>
        <v/>
      </c>
      <c r="O3058" s="20">
        <f>IF(I3058="","",C3058*IF(N3058="USD",TasaUSD,1))</f>
        <v/>
      </c>
      <c r="P3058" s="20">
        <f>IF(I3058="","",IF(I3058="Gasto",O3058,0))</f>
        <v/>
      </c>
      <c r="Q3058" s="20">
        <f>IF(I3058="","",IF(I3058="Ingreso",O3058,0))</f>
        <v/>
      </c>
      <c r="R3058" s="20">
        <f>IF(I3058="","",IF(I3058="Trading",O3058,0))</f>
        <v/>
      </c>
      <c r="S3058" s="19">
        <f>IF(I3058="","",IF(AND(I3058="Gasto",K3058="Variable",J3058&lt;&gt;"Trading",O3058&gt;0,O3058&lt;=Umbral),1,0))</f>
        <v/>
      </c>
      <c r="T3058" s="20">
        <f>IF(OR(I3058="",E3058=""),"",IF(OR(I3058="Gasto",I3058="Transferencia",I3058="Pago tarjeta"),-1,1)*C3058)</f>
        <v/>
      </c>
      <c r="U3058" s="20">
        <f>IF(OR(G3058="",AND(I3058&lt;&gt;"Transferencia",I3058&lt;&gt;"Pago tarjeta")),"",IF(IFERROR(INDEX(ctaMon,MATCH(G3058,ctaNom,0))&amp;"","DOP")=N3058,C3058,IF(N3058="USD",C3058*TasaUSD,C3058/TasaUSD)))</f>
        <v/>
      </c>
      <c r="V3058" s="20">
        <f>IF(I3058="","",IF(IFERROR(INDEX(ctaLiq,MATCH(E3058,ctaNom,0))="Sí",FALSE),IF(OR(I3058="Gasto",I3058="Transferencia",I3058="Pago tarjeta"),-1,1)*O3058,0)+IF(AND(U3058&lt;&gt;"",IFERROR(INDEX(ctaLiq,MATCH(G3058,ctaNom,0))="Sí",FALSE)),O3058,0))</f>
        <v/>
      </c>
      <c r="W3058" s="19">
        <f>IF(OR(F3058="",I3058=""),"",IF(COUNTIFS(F$6:F3058,F3058,I$6:I3058,"?*")=1,MAX(W$5:W3057)+1,""))</f>
        <v/>
      </c>
    </row>
    <row r="3059">
      <c r="B3059" s="15" t="n"/>
      <c r="C3059" s="16" t="n"/>
      <c r="D3059" s="17" t="n"/>
      <c r="E3059" s="17" t="n"/>
      <c r="F3059" s="17" t="n"/>
      <c r="G3059" s="17" t="n"/>
      <c r="H3059" s="18">
        <f>IF(AND(B3059="",C3059="",D3059="",E3059=""),"",IF(B3059="","⚠ Falta fecha",IF(C3059="","⚠ Falta monto",IF(D3059="","⚠ Falta categoría",IF(ISNA(MATCH(D3059,catNom,0)),"⚠ Categoría no existe",IF(E3059="","⚠ Falta cuenta",IF(ISNA(MATCH(E3059,ctaNom,0)),"⚠ Cuenta no existe",IF(AND(OR(I3059="Transferencia",I3059="Pago tarjeta"),G3059=""),"⚠ Indica la cuenta «Hacia»",IF(AND(G3059&lt;&gt;"",G3059=E3059),"⚠ «Hacia» igual a la cuenta",IF(AND(G3059&lt;&gt;"",ISNA(MATCH(G3059,ctaNom,0))),"⚠ «Hacia» no existe",IF(AND(I3059="Pago tarjeta",IFERROR(INDEX(ctaTipo,MATCH(G3059,ctaNom,0)),"")&lt;&gt;"Tarjeta de crédito"),"⚠ «Hacia» debe ser la tarjeta",IF(AND(I3059="Trading",IFERROR(INDEX(ctaTipo,MATCH(E3059,ctaNom,0)),"")&lt;&gt;"Cuenta de trading"),"⚠ Usa la cuenta de trading","✓"))))))))))))</f>
        <v/>
      </c>
      <c r="I3059" s="19">
        <f>IF(OR(B3059="",C3059="",D3059=""),"",IFERROR(INDEX(catTipo,MATCH(D3059,catNom,0))&amp;"",""))</f>
        <v/>
      </c>
      <c r="J3059" s="19">
        <f>IF(I3059="","",IFERROR(INDEX(catGrupo,MATCH(D3059,catNom,0))&amp;"",""))</f>
        <v/>
      </c>
      <c r="K3059" s="19">
        <f>IF(I3059="Gasto",IF(IFERROR(INDEX(catClas,MATCH(D3059,catNom,0))&amp;"","")="","Variable",IFERROR(INDEX(catClas,MATCH(D3059,catNom,0))&amp;"","")),"")</f>
        <v/>
      </c>
      <c r="L3059" s="19">
        <f>IF(I3059="","",IFERROR(INDEX(catAlim,MATCH(D3059,catNom,0))&amp;"",""))</f>
        <v/>
      </c>
      <c r="M3059" s="19">
        <f>IF(I3059="","",IFERROR(INDEX(catComida,MATCH(D3059,catNom,0))&amp;"",""))</f>
        <v/>
      </c>
      <c r="N3059" s="19">
        <f>IF(I3059="","",IFERROR(INDEX(ctaMon,MATCH(E3059,ctaNom,0))&amp;"","DOP"))</f>
        <v/>
      </c>
      <c r="O3059" s="20">
        <f>IF(I3059="","",C3059*IF(N3059="USD",TasaUSD,1))</f>
        <v/>
      </c>
      <c r="P3059" s="20">
        <f>IF(I3059="","",IF(I3059="Gasto",O3059,0))</f>
        <v/>
      </c>
      <c r="Q3059" s="20">
        <f>IF(I3059="","",IF(I3059="Ingreso",O3059,0))</f>
        <v/>
      </c>
      <c r="R3059" s="20">
        <f>IF(I3059="","",IF(I3059="Trading",O3059,0))</f>
        <v/>
      </c>
      <c r="S3059" s="19">
        <f>IF(I3059="","",IF(AND(I3059="Gasto",K3059="Variable",J3059&lt;&gt;"Trading",O3059&gt;0,O3059&lt;=Umbral),1,0))</f>
        <v/>
      </c>
      <c r="T3059" s="20">
        <f>IF(OR(I3059="",E3059=""),"",IF(OR(I3059="Gasto",I3059="Transferencia",I3059="Pago tarjeta"),-1,1)*C3059)</f>
        <v/>
      </c>
      <c r="U3059" s="20">
        <f>IF(OR(G3059="",AND(I3059&lt;&gt;"Transferencia",I3059&lt;&gt;"Pago tarjeta")),"",IF(IFERROR(INDEX(ctaMon,MATCH(G3059,ctaNom,0))&amp;"","DOP")=N3059,C3059,IF(N3059="USD",C3059*TasaUSD,C3059/TasaUSD)))</f>
        <v/>
      </c>
      <c r="V3059" s="20">
        <f>IF(I3059="","",IF(IFERROR(INDEX(ctaLiq,MATCH(E3059,ctaNom,0))="Sí",FALSE),IF(OR(I3059="Gasto",I3059="Transferencia",I3059="Pago tarjeta"),-1,1)*O3059,0)+IF(AND(U3059&lt;&gt;"",IFERROR(INDEX(ctaLiq,MATCH(G3059,ctaNom,0))="Sí",FALSE)),O3059,0))</f>
        <v/>
      </c>
      <c r="W3059" s="19">
        <f>IF(OR(F3059="",I3059=""),"",IF(COUNTIFS(F$6:F3059,F3059,I$6:I3059,"?*")=1,MAX(W$5:W3058)+1,""))</f>
        <v/>
      </c>
    </row>
    <row r="3060">
      <c r="B3060" s="15" t="n"/>
      <c r="C3060" s="16" t="n"/>
      <c r="D3060" s="17" t="n"/>
      <c r="E3060" s="17" t="n"/>
      <c r="F3060" s="17" t="n"/>
      <c r="G3060" s="17" t="n"/>
      <c r="H3060" s="18">
        <f>IF(AND(B3060="",C3060="",D3060="",E3060=""),"",IF(B3060="","⚠ Falta fecha",IF(C3060="","⚠ Falta monto",IF(D3060="","⚠ Falta categoría",IF(ISNA(MATCH(D3060,catNom,0)),"⚠ Categoría no existe",IF(E3060="","⚠ Falta cuenta",IF(ISNA(MATCH(E3060,ctaNom,0)),"⚠ Cuenta no existe",IF(AND(OR(I3060="Transferencia",I3060="Pago tarjeta"),G3060=""),"⚠ Indica la cuenta «Hacia»",IF(AND(G3060&lt;&gt;"",G3060=E3060),"⚠ «Hacia» igual a la cuenta",IF(AND(G3060&lt;&gt;"",ISNA(MATCH(G3060,ctaNom,0))),"⚠ «Hacia» no existe",IF(AND(I3060="Pago tarjeta",IFERROR(INDEX(ctaTipo,MATCH(G3060,ctaNom,0)),"")&lt;&gt;"Tarjeta de crédito"),"⚠ «Hacia» debe ser la tarjeta",IF(AND(I3060="Trading",IFERROR(INDEX(ctaTipo,MATCH(E3060,ctaNom,0)),"")&lt;&gt;"Cuenta de trading"),"⚠ Usa la cuenta de trading","✓"))))))))))))</f>
        <v/>
      </c>
      <c r="I3060" s="19">
        <f>IF(OR(B3060="",C3060="",D3060=""),"",IFERROR(INDEX(catTipo,MATCH(D3060,catNom,0))&amp;"",""))</f>
        <v/>
      </c>
      <c r="J3060" s="19">
        <f>IF(I3060="","",IFERROR(INDEX(catGrupo,MATCH(D3060,catNom,0))&amp;"",""))</f>
        <v/>
      </c>
      <c r="K3060" s="19">
        <f>IF(I3060="Gasto",IF(IFERROR(INDEX(catClas,MATCH(D3060,catNom,0))&amp;"","")="","Variable",IFERROR(INDEX(catClas,MATCH(D3060,catNom,0))&amp;"","")),"")</f>
        <v/>
      </c>
      <c r="L3060" s="19">
        <f>IF(I3060="","",IFERROR(INDEX(catAlim,MATCH(D3060,catNom,0))&amp;"",""))</f>
        <v/>
      </c>
      <c r="M3060" s="19">
        <f>IF(I3060="","",IFERROR(INDEX(catComida,MATCH(D3060,catNom,0))&amp;"",""))</f>
        <v/>
      </c>
      <c r="N3060" s="19">
        <f>IF(I3060="","",IFERROR(INDEX(ctaMon,MATCH(E3060,ctaNom,0))&amp;"","DOP"))</f>
        <v/>
      </c>
      <c r="O3060" s="20">
        <f>IF(I3060="","",C3060*IF(N3060="USD",TasaUSD,1))</f>
        <v/>
      </c>
      <c r="P3060" s="20">
        <f>IF(I3060="","",IF(I3060="Gasto",O3060,0))</f>
        <v/>
      </c>
      <c r="Q3060" s="20">
        <f>IF(I3060="","",IF(I3060="Ingreso",O3060,0))</f>
        <v/>
      </c>
      <c r="R3060" s="20">
        <f>IF(I3060="","",IF(I3060="Trading",O3060,0))</f>
        <v/>
      </c>
      <c r="S3060" s="19">
        <f>IF(I3060="","",IF(AND(I3060="Gasto",K3060="Variable",J3060&lt;&gt;"Trading",O3060&gt;0,O3060&lt;=Umbral),1,0))</f>
        <v/>
      </c>
      <c r="T3060" s="20">
        <f>IF(OR(I3060="",E3060=""),"",IF(OR(I3060="Gasto",I3060="Transferencia",I3060="Pago tarjeta"),-1,1)*C3060)</f>
        <v/>
      </c>
      <c r="U3060" s="20">
        <f>IF(OR(G3060="",AND(I3060&lt;&gt;"Transferencia",I3060&lt;&gt;"Pago tarjeta")),"",IF(IFERROR(INDEX(ctaMon,MATCH(G3060,ctaNom,0))&amp;"","DOP")=N3060,C3060,IF(N3060="USD",C3060*TasaUSD,C3060/TasaUSD)))</f>
        <v/>
      </c>
      <c r="V3060" s="20">
        <f>IF(I3060="","",IF(IFERROR(INDEX(ctaLiq,MATCH(E3060,ctaNom,0))="Sí",FALSE),IF(OR(I3060="Gasto",I3060="Transferencia",I3060="Pago tarjeta"),-1,1)*O3060,0)+IF(AND(U3060&lt;&gt;"",IFERROR(INDEX(ctaLiq,MATCH(G3060,ctaNom,0))="Sí",FALSE)),O3060,0))</f>
        <v/>
      </c>
      <c r="W3060" s="19">
        <f>IF(OR(F3060="",I3060=""),"",IF(COUNTIFS(F$6:F3060,F3060,I$6:I3060,"?*")=1,MAX(W$5:W3059)+1,""))</f>
        <v/>
      </c>
    </row>
    <row r="3061">
      <c r="B3061" s="15" t="n"/>
      <c r="C3061" s="16" t="n"/>
      <c r="D3061" s="17" t="n"/>
      <c r="E3061" s="17" t="n"/>
      <c r="F3061" s="17" t="n"/>
      <c r="G3061" s="17" t="n"/>
      <c r="H3061" s="18">
        <f>IF(AND(B3061="",C3061="",D3061="",E3061=""),"",IF(B3061="","⚠ Falta fecha",IF(C3061="","⚠ Falta monto",IF(D3061="","⚠ Falta categoría",IF(ISNA(MATCH(D3061,catNom,0)),"⚠ Categoría no existe",IF(E3061="","⚠ Falta cuenta",IF(ISNA(MATCH(E3061,ctaNom,0)),"⚠ Cuenta no existe",IF(AND(OR(I3061="Transferencia",I3061="Pago tarjeta"),G3061=""),"⚠ Indica la cuenta «Hacia»",IF(AND(G3061&lt;&gt;"",G3061=E3061),"⚠ «Hacia» igual a la cuenta",IF(AND(G3061&lt;&gt;"",ISNA(MATCH(G3061,ctaNom,0))),"⚠ «Hacia» no existe",IF(AND(I3061="Pago tarjeta",IFERROR(INDEX(ctaTipo,MATCH(G3061,ctaNom,0)),"")&lt;&gt;"Tarjeta de crédito"),"⚠ «Hacia» debe ser la tarjeta",IF(AND(I3061="Trading",IFERROR(INDEX(ctaTipo,MATCH(E3061,ctaNom,0)),"")&lt;&gt;"Cuenta de trading"),"⚠ Usa la cuenta de trading","✓"))))))))))))</f>
        <v/>
      </c>
      <c r="I3061" s="19">
        <f>IF(OR(B3061="",C3061="",D3061=""),"",IFERROR(INDEX(catTipo,MATCH(D3061,catNom,0))&amp;"",""))</f>
        <v/>
      </c>
      <c r="J3061" s="19">
        <f>IF(I3061="","",IFERROR(INDEX(catGrupo,MATCH(D3061,catNom,0))&amp;"",""))</f>
        <v/>
      </c>
      <c r="K3061" s="19">
        <f>IF(I3061="Gasto",IF(IFERROR(INDEX(catClas,MATCH(D3061,catNom,0))&amp;"","")="","Variable",IFERROR(INDEX(catClas,MATCH(D3061,catNom,0))&amp;"","")),"")</f>
        <v/>
      </c>
      <c r="L3061" s="19">
        <f>IF(I3061="","",IFERROR(INDEX(catAlim,MATCH(D3061,catNom,0))&amp;"",""))</f>
        <v/>
      </c>
      <c r="M3061" s="19">
        <f>IF(I3061="","",IFERROR(INDEX(catComida,MATCH(D3061,catNom,0))&amp;"",""))</f>
        <v/>
      </c>
      <c r="N3061" s="19">
        <f>IF(I3061="","",IFERROR(INDEX(ctaMon,MATCH(E3061,ctaNom,0))&amp;"","DOP"))</f>
        <v/>
      </c>
      <c r="O3061" s="20">
        <f>IF(I3061="","",C3061*IF(N3061="USD",TasaUSD,1))</f>
        <v/>
      </c>
      <c r="P3061" s="20">
        <f>IF(I3061="","",IF(I3061="Gasto",O3061,0))</f>
        <v/>
      </c>
      <c r="Q3061" s="20">
        <f>IF(I3061="","",IF(I3061="Ingreso",O3061,0))</f>
        <v/>
      </c>
      <c r="R3061" s="20">
        <f>IF(I3061="","",IF(I3061="Trading",O3061,0))</f>
        <v/>
      </c>
      <c r="S3061" s="19">
        <f>IF(I3061="","",IF(AND(I3061="Gasto",K3061="Variable",J3061&lt;&gt;"Trading",O3061&gt;0,O3061&lt;=Umbral),1,0))</f>
        <v/>
      </c>
      <c r="T3061" s="20">
        <f>IF(OR(I3061="",E3061=""),"",IF(OR(I3061="Gasto",I3061="Transferencia",I3061="Pago tarjeta"),-1,1)*C3061)</f>
        <v/>
      </c>
      <c r="U3061" s="20">
        <f>IF(OR(G3061="",AND(I3061&lt;&gt;"Transferencia",I3061&lt;&gt;"Pago tarjeta")),"",IF(IFERROR(INDEX(ctaMon,MATCH(G3061,ctaNom,0))&amp;"","DOP")=N3061,C3061,IF(N3061="USD",C3061*TasaUSD,C3061/TasaUSD)))</f>
        <v/>
      </c>
      <c r="V3061" s="20">
        <f>IF(I3061="","",IF(IFERROR(INDEX(ctaLiq,MATCH(E3061,ctaNom,0))="Sí",FALSE),IF(OR(I3061="Gasto",I3061="Transferencia",I3061="Pago tarjeta"),-1,1)*O3061,0)+IF(AND(U3061&lt;&gt;"",IFERROR(INDEX(ctaLiq,MATCH(G3061,ctaNom,0))="Sí",FALSE)),O3061,0))</f>
        <v/>
      </c>
      <c r="W3061" s="19">
        <f>IF(OR(F3061="",I3061=""),"",IF(COUNTIFS(F$6:F3061,F3061,I$6:I3061,"?*")=1,MAX(W$5:W3060)+1,""))</f>
        <v/>
      </c>
    </row>
    <row r="3062">
      <c r="B3062" s="15" t="n"/>
      <c r="C3062" s="16" t="n"/>
      <c r="D3062" s="17" t="n"/>
      <c r="E3062" s="17" t="n"/>
      <c r="F3062" s="17" t="n"/>
      <c r="G3062" s="17" t="n"/>
      <c r="H3062" s="18">
        <f>IF(AND(B3062="",C3062="",D3062="",E3062=""),"",IF(B3062="","⚠ Falta fecha",IF(C3062="","⚠ Falta monto",IF(D3062="","⚠ Falta categoría",IF(ISNA(MATCH(D3062,catNom,0)),"⚠ Categoría no existe",IF(E3062="","⚠ Falta cuenta",IF(ISNA(MATCH(E3062,ctaNom,0)),"⚠ Cuenta no existe",IF(AND(OR(I3062="Transferencia",I3062="Pago tarjeta"),G3062=""),"⚠ Indica la cuenta «Hacia»",IF(AND(G3062&lt;&gt;"",G3062=E3062),"⚠ «Hacia» igual a la cuenta",IF(AND(G3062&lt;&gt;"",ISNA(MATCH(G3062,ctaNom,0))),"⚠ «Hacia» no existe",IF(AND(I3062="Pago tarjeta",IFERROR(INDEX(ctaTipo,MATCH(G3062,ctaNom,0)),"")&lt;&gt;"Tarjeta de crédito"),"⚠ «Hacia» debe ser la tarjeta",IF(AND(I3062="Trading",IFERROR(INDEX(ctaTipo,MATCH(E3062,ctaNom,0)),"")&lt;&gt;"Cuenta de trading"),"⚠ Usa la cuenta de trading","✓"))))))))))))</f>
        <v/>
      </c>
      <c r="I3062" s="19">
        <f>IF(OR(B3062="",C3062="",D3062=""),"",IFERROR(INDEX(catTipo,MATCH(D3062,catNom,0))&amp;"",""))</f>
        <v/>
      </c>
      <c r="J3062" s="19">
        <f>IF(I3062="","",IFERROR(INDEX(catGrupo,MATCH(D3062,catNom,0))&amp;"",""))</f>
        <v/>
      </c>
      <c r="K3062" s="19">
        <f>IF(I3062="Gasto",IF(IFERROR(INDEX(catClas,MATCH(D3062,catNom,0))&amp;"","")="","Variable",IFERROR(INDEX(catClas,MATCH(D3062,catNom,0))&amp;"","")),"")</f>
        <v/>
      </c>
      <c r="L3062" s="19">
        <f>IF(I3062="","",IFERROR(INDEX(catAlim,MATCH(D3062,catNom,0))&amp;"",""))</f>
        <v/>
      </c>
      <c r="M3062" s="19">
        <f>IF(I3062="","",IFERROR(INDEX(catComida,MATCH(D3062,catNom,0))&amp;"",""))</f>
        <v/>
      </c>
      <c r="N3062" s="19">
        <f>IF(I3062="","",IFERROR(INDEX(ctaMon,MATCH(E3062,ctaNom,0))&amp;"","DOP"))</f>
        <v/>
      </c>
      <c r="O3062" s="20">
        <f>IF(I3062="","",C3062*IF(N3062="USD",TasaUSD,1))</f>
        <v/>
      </c>
      <c r="P3062" s="20">
        <f>IF(I3062="","",IF(I3062="Gasto",O3062,0))</f>
        <v/>
      </c>
      <c r="Q3062" s="20">
        <f>IF(I3062="","",IF(I3062="Ingreso",O3062,0))</f>
        <v/>
      </c>
      <c r="R3062" s="20">
        <f>IF(I3062="","",IF(I3062="Trading",O3062,0))</f>
        <v/>
      </c>
      <c r="S3062" s="19">
        <f>IF(I3062="","",IF(AND(I3062="Gasto",K3062="Variable",J3062&lt;&gt;"Trading",O3062&gt;0,O3062&lt;=Umbral),1,0))</f>
        <v/>
      </c>
      <c r="T3062" s="20">
        <f>IF(OR(I3062="",E3062=""),"",IF(OR(I3062="Gasto",I3062="Transferencia",I3062="Pago tarjeta"),-1,1)*C3062)</f>
        <v/>
      </c>
      <c r="U3062" s="20">
        <f>IF(OR(G3062="",AND(I3062&lt;&gt;"Transferencia",I3062&lt;&gt;"Pago tarjeta")),"",IF(IFERROR(INDEX(ctaMon,MATCH(G3062,ctaNom,0))&amp;"","DOP")=N3062,C3062,IF(N3062="USD",C3062*TasaUSD,C3062/TasaUSD)))</f>
        <v/>
      </c>
      <c r="V3062" s="20">
        <f>IF(I3062="","",IF(IFERROR(INDEX(ctaLiq,MATCH(E3062,ctaNom,0))="Sí",FALSE),IF(OR(I3062="Gasto",I3062="Transferencia",I3062="Pago tarjeta"),-1,1)*O3062,0)+IF(AND(U3062&lt;&gt;"",IFERROR(INDEX(ctaLiq,MATCH(G3062,ctaNom,0))="Sí",FALSE)),O3062,0))</f>
        <v/>
      </c>
      <c r="W3062" s="19">
        <f>IF(OR(F3062="",I3062=""),"",IF(COUNTIFS(F$6:F3062,F3062,I$6:I3062,"?*")=1,MAX(W$5:W3061)+1,""))</f>
        <v/>
      </c>
    </row>
    <row r="3063">
      <c r="B3063" s="15" t="n"/>
      <c r="C3063" s="16" t="n"/>
      <c r="D3063" s="17" t="n"/>
      <c r="E3063" s="17" t="n"/>
      <c r="F3063" s="17" t="n"/>
      <c r="G3063" s="17" t="n"/>
      <c r="H3063" s="18">
        <f>IF(AND(B3063="",C3063="",D3063="",E3063=""),"",IF(B3063="","⚠ Falta fecha",IF(C3063="","⚠ Falta monto",IF(D3063="","⚠ Falta categoría",IF(ISNA(MATCH(D3063,catNom,0)),"⚠ Categoría no existe",IF(E3063="","⚠ Falta cuenta",IF(ISNA(MATCH(E3063,ctaNom,0)),"⚠ Cuenta no existe",IF(AND(OR(I3063="Transferencia",I3063="Pago tarjeta"),G3063=""),"⚠ Indica la cuenta «Hacia»",IF(AND(G3063&lt;&gt;"",G3063=E3063),"⚠ «Hacia» igual a la cuenta",IF(AND(G3063&lt;&gt;"",ISNA(MATCH(G3063,ctaNom,0))),"⚠ «Hacia» no existe",IF(AND(I3063="Pago tarjeta",IFERROR(INDEX(ctaTipo,MATCH(G3063,ctaNom,0)),"")&lt;&gt;"Tarjeta de crédito"),"⚠ «Hacia» debe ser la tarjeta",IF(AND(I3063="Trading",IFERROR(INDEX(ctaTipo,MATCH(E3063,ctaNom,0)),"")&lt;&gt;"Cuenta de trading"),"⚠ Usa la cuenta de trading","✓"))))))))))))</f>
        <v/>
      </c>
      <c r="I3063" s="19">
        <f>IF(OR(B3063="",C3063="",D3063=""),"",IFERROR(INDEX(catTipo,MATCH(D3063,catNom,0))&amp;"",""))</f>
        <v/>
      </c>
      <c r="J3063" s="19">
        <f>IF(I3063="","",IFERROR(INDEX(catGrupo,MATCH(D3063,catNom,0))&amp;"",""))</f>
        <v/>
      </c>
      <c r="K3063" s="19">
        <f>IF(I3063="Gasto",IF(IFERROR(INDEX(catClas,MATCH(D3063,catNom,0))&amp;"","")="","Variable",IFERROR(INDEX(catClas,MATCH(D3063,catNom,0))&amp;"","")),"")</f>
        <v/>
      </c>
      <c r="L3063" s="19">
        <f>IF(I3063="","",IFERROR(INDEX(catAlim,MATCH(D3063,catNom,0))&amp;"",""))</f>
        <v/>
      </c>
      <c r="M3063" s="19">
        <f>IF(I3063="","",IFERROR(INDEX(catComida,MATCH(D3063,catNom,0))&amp;"",""))</f>
        <v/>
      </c>
      <c r="N3063" s="19">
        <f>IF(I3063="","",IFERROR(INDEX(ctaMon,MATCH(E3063,ctaNom,0))&amp;"","DOP"))</f>
        <v/>
      </c>
      <c r="O3063" s="20">
        <f>IF(I3063="","",C3063*IF(N3063="USD",TasaUSD,1))</f>
        <v/>
      </c>
      <c r="P3063" s="20">
        <f>IF(I3063="","",IF(I3063="Gasto",O3063,0))</f>
        <v/>
      </c>
      <c r="Q3063" s="20">
        <f>IF(I3063="","",IF(I3063="Ingreso",O3063,0))</f>
        <v/>
      </c>
      <c r="R3063" s="20">
        <f>IF(I3063="","",IF(I3063="Trading",O3063,0))</f>
        <v/>
      </c>
      <c r="S3063" s="19">
        <f>IF(I3063="","",IF(AND(I3063="Gasto",K3063="Variable",J3063&lt;&gt;"Trading",O3063&gt;0,O3063&lt;=Umbral),1,0))</f>
        <v/>
      </c>
      <c r="T3063" s="20">
        <f>IF(OR(I3063="",E3063=""),"",IF(OR(I3063="Gasto",I3063="Transferencia",I3063="Pago tarjeta"),-1,1)*C3063)</f>
        <v/>
      </c>
      <c r="U3063" s="20">
        <f>IF(OR(G3063="",AND(I3063&lt;&gt;"Transferencia",I3063&lt;&gt;"Pago tarjeta")),"",IF(IFERROR(INDEX(ctaMon,MATCH(G3063,ctaNom,0))&amp;"","DOP")=N3063,C3063,IF(N3063="USD",C3063*TasaUSD,C3063/TasaUSD)))</f>
        <v/>
      </c>
      <c r="V3063" s="20">
        <f>IF(I3063="","",IF(IFERROR(INDEX(ctaLiq,MATCH(E3063,ctaNom,0))="Sí",FALSE),IF(OR(I3063="Gasto",I3063="Transferencia",I3063="Pago tarjeta"),-1,1)*O3063,0)+IF(AND(U3063&lt;&gt;"",IFERROR(INDEX(ctaLiq,MATCH(G3063,ctaNom,0))="Sí",FALSE)),O3063,0))</f>
        <v/>
      </c>
      <c r="W3063" s="19">
        <f>IF(OR(F3063="",I3063=""),"",IF(COUNTIFS(F$6:F3063,F3063,I$6:I3063,"?*")=1,MAX(W$5:W3062)+1,""))</f>
        <v/>
      </c>
    </row>
    <row r="3064">
      <c r="B3064" s="15" t="n"/>
      <c r="C3064" s="16" t="n"/>
      <c r="D3064" s="17" t="n"/>
      <c r="E3064" s="17" t="n"/>
      <c r="F3064" s="17" t="n"/>
      <c r="G3064" s="17" t="n"/>
      <c r="H3064" s="18">
        <f>IF(AND(B3064="",C3064="",D3064="",E3064=""),"",IF(B3064="","⚠ Falta fecha",IF(C3064="","⚠ Falta monto",IF(D3064="","⚠ Falta categoría",IF(ISNA(MATCH(D3064,catNom,0)),"⚠ Categoría no existe",IF(E3064="","⚠ Falta cuenta",IF(ISNA(MATCH(E3064,ctaNom,0)),"⚠ Cuenta no existe",IF(AND(OR(I3064="Transferencia",I3064="Pago tarjeta"),G3064=""),"⚠ Indica la cuenta «Hacia»",IF(AND(G3064&lt;&gt;"",G3064=E3064),"⚠ «Hacia» igual a la cuenta",IF(AND(G3064&lt;&gt;"",ISNA(MATCH(G3064,ctaNom,0))),"⚠ «Hacia» no existe",IF(AND(I3064="Pago tarjeta",IFERROR(INDEX(ctaTipo,MATCH(G3064,ctaNom,0)),"")&lt;&gt;"Tarjeta de crédito"),"⚠ «Hacia» debe ser la tarjeta",IF(AND(I3064="Trading",IFERROR(INDEX(ctaTipo,MATCH(E3064,ctaNom,0)),"")&lt;&gt;"Cuenta de trading"),"⚠ Usa la cuenta de trading","✓"))))))))))))</f>
        <v/>
      </c>
      <c r="I3064" s="19">
        <f>IF(OR(B3064="",C3064="",D3064=""),"",IFERROR(INDEX(catTipo,MATCH(D3064,catNom,0))&amp;"",""))</f>
        <v/>
      </c>
      <c r="J3064" s="19">
        <f>IF(I3064="","",IFERROR(INDEX(catGrupo,MATCH(D3064,catNom,0))&amp;"",""))</f>
        <v/>
      </c>
      <c r="K3064" s="19">
        <f>IF(I3064="Gasto",IF(IFERROR(INDEX(catClas,MATCH(D3064,catNom,0))&amp;"","")="","Variable",IFERROR(INDEX(catClas,MATCH(D3064,catNom,0))&amp;"","")),"")</f>
        <v/>
      </c>
      <c r="L3064" s="19">
        <f>IF(I3064="","",IFERROR(INDEX(catAlim,MATCH(D3064,catNom,0))&amp;"",""))</f>
        <v/>
      </c>
      <c r="M3064" s="19">
        <f>IF(I3064="","",IFERROR(INDEX(catComida,MATCH(D3064,catNom,0))&amp;"",""))</f>
        <v/>
      </c>
      <c r="N3064" s="19">
        <f>IF(I3064="","",IFERROR(INDEX(ctaMon,MATCH(E3064,ctaNom,0))&amp;"","DOP"))</f>
        <v/>
      </c>
      <c r="O3064" s="20">
        <f>IF(I3064="","",C3064*IF(N3064="USD",TasaUSD,1))</f>
        <v/>
      </c>
      <c r="P3064" s="20">
        <f>IF(I3064="","",IF(I3064="Gasto",O3064,0))</f>
        <v/>
      </c>
      <c r="Q3064" s="20">
        <f>IF(I3064="","",IF(I3064="Ingreso",O3064,0))</f>
        <v/>
      </c>
      <c r="R3064" s="20">
        <f>IF(I3064="","",IF(I3064="Trading",O3064,0))</f>
        <v/>
      </c>
      <c r="S3064" s="19">
        <f>IF(I3064="","",IF(AND(I3064="Gasto",K3064="Variable",J3064&lt;&gt;"Trading",O3064&gt;0,O3064&lt;=Umbral),1,0))</f>
        <v/>
      </c>
      <c r="T3064" s="20">
        <f>IF(OR(I3064="",E3064=""),"",IF(OR(I3064="Gasto",I3064="Transferencia",I3064="Pago tarjeta"),-1,1)*C3064)</f>
        <v/>
      </c>
      <c r="U3064" s="20">
        <f>IF(OR(G3064="",AND(I3064&lt;&gt;"Transferencia",I3064&lt;&gt;"Pago tarjeta")),"",IF(IFERROR(INDEX(ctaMon,MATCH(G3064,ctaNom,0))&amp;"","DOP")=N3064,C3064,IF(N3064="USD",C3064*TasaUSD,C3064/TasaUSD)))</f>
        <v/>
      </c>
      <c r="V3064" s="20">
        <f>IF(I3064="","",IF(IFERROR(INDEX(ctaLiq,MATCH(E3064,ctaNom,0))="Sí",FALSE),IF(OR(I3064="Gasto",I3064="Transferencia",I3064="Pago tarjeta"),-1,1)*O3064,0)+IF(AND(U3064&lt;&gt;"",IFERROR(INDEX(ctaLiq,MATCH(G3064,ctaNom,0))="Sí",FALSE)),O3064,0))</f>
        <v/>
      </c>
      <c r="W3064" s="19">
        <f>IF(OR(F3064="",I3064=""),"",IF(COUNTIFS(F$6:F3064,F3064,I$6:I3064,"?*")=1,MAX(W$5:W3063)+1,""))</f>
        <v/>
      </c>
    </row>
    <row r="3065">
      <c r="B3065" s="15" t="n"/>
      <c r="C3065" s="16" t="n"/>
      <c r="D3065" s="17" t="n"/>
      <c r="E3065" s="17" t="n"/>
      <c r="F3065" s="17" t="n"/>
      <c r="G3065" s="17" t="n"/>
      <c r="H3065" s="18">
        <f>IF(AND(B3065="",C3065="",D3065="",E3065=""),"",IF(B3065="","⚠ Falta fecha",IF(C3065="","⚠ Falta monto",IF(D3065="","⚠ Falta categoría",IF(ISNA(MATCH(D3065,catNom,0)),"⚠ Categoría no existe",IF(E3065="","⚠ Falta cuenta",IF(ISNA(MATCH(E3065,ctaNom,0)),"⚠ Cuenta no existe",IF(AND(OR(I3065="Transferencia",I3065="Pago tarjeta"),G3065=""),"⚠ Indica la cuenta «Hacia»",IF(AND(G3065&lt;&gt;"",G3065=E3065),"⚠ «Hacia» igual a la cuenta",IF(AND(G3065&lt;&gt;"",ISNA(MATCH(G3065,ctaNom,0))),"⚠ «Hacia» no existe",IF(AND(I3065="Pago tarjeta",IFERROR(INDEX(ctaTipo,MATCH(G3065,ctaNom,0)),"")&lt;&gt;"Tarjeta de crédito"),"⚠ «Hacia» debe ser la tarjeta",IF(AND(I3065="Trading",IFERROR(INDEX(ctaTipo,MATCH(E3065,ctaNom,0)),"")&lt;&gt;"Cuenta de trading"),"⚠ Usa la cuenta de trading","✓"))))))))))))</f>
        <v/>
      </c>
      <c r="I3065" s="19">
        <f>IF(OR(B3065="",C3065="",D3065=""),"",IFERROR(INDEX(catTipo,MATCH(D3065,catNom,0))&amp;"",""))</f>
        <v/>
      </c>
      <c r="J3065" s="19">
        <f>IF(I3065="","",IFERROR(INDEX(catGrupo,MATCH(D3065,catNom,0))&amp;"",""))</f>
        <v/>
      </c>
      <c r="K3065" s="19">
        <f>IF(I3065="Gasto",IF(IFERROR(INDEX(catClas,MATCH(D3065,catNom,0))&amp;"","")="","Variable",IFERROR(INDEX(catClas,MATCH(D3065,catNom,0))&amp;"","")),"")</f>
        <v/>
      </c>
      <c r="L3065" s="19">
        <f>IF(I3065="","",IFERROR(INDEX(catAlim,MATCH(D3065,catNom,0))&amp;"",""))</f>
        <v/>
      </c>
      <c r="M3065" s="19">
        <f>IF(I3065="","",IFERROR(INDEX(catComida,MATCH(D3065,catNom,0))&amp;"",""))</f>
        <v/>
      </c>
      <c r="N3065" s="19">
        <f>IF(I3065="","",IFERROR(INDEX(ctaMon,MATCH(E3065,ctaNom,0))&amp;"","DOP"))</f>
        <v/>
      </c>
      <c r="O3065" s="20">
        <f>IF(I3065="","",C3065*IF(N3065="USD",TasaUSD,1))</f>
        <v/>
      </c>
      <c r="P3065" s="20">
        <f>IF(I3065="","",IF(I3065="Gasto",O3065,0))</f>
        <v/>
      </c>
      <c r="Q3065" s="20">
        <f>IF(I3065="","",IF(I3065="Ingreso",O3065,0))</f>
        <v/>
      </c>
      <c r="R3065" s="20">
        <f>IF(I3065="","",IF(I3065="Trading",O3065,0))</f>
        <v/>
      </c>
      <c r="S3065" s="19">
        <f>IF(I3065="","",IF(AND(I3065="Gasto",K3065="Variable",J3065&lt;&gt;"Trading",O3065&gt;0,O3065&lt;=Umbral),1,0))</f>
        <v/>
      </c>
      <c r="T3065" s="20">
        <f>IF(OR(I3065="",E3065=""),"",IF(OR(I3065="Gasto",I3065="Transferencia",I3065="Pago tarjeta"),-1,1)*C3065)</f>
        <v/>
      </c>
      <c r="U3065" s="20">
        <f>IF(OR(G3065="",AND(I3065&lt;&gt;"Transferencia",I3065&lt;&gt;"Pago tarjeta")),"",IF(IFERROR(INDEX(ctaMon,MATCH(G3065,ctaNom,0))&amp;"","DOP")=N3065,C3065,IF(N3065="USD",C3065*TasaUSD,C3065/TasaUSD)))</f>
        <v/>
      </c>
      <c r="V3065" s="20">
        <f>IF(I3065="","",IF(IFERROR(INDEX(ctaLiq,MATCH(E3065,ctaNom,0))="Sí",FALSE),IF(OR(I3065="Gasto",I3065="Transferencia",I3065="Pago tarjeta"),-1,1)*O3065,0)+IF(AND(U3065&lt;&gt;"",IFERROR(INDEX(ctaLiq,MATCH(G3065,ctaNom,0))="Sí",FALSE)),O3065,0))</f>
        <v/>
      </c>
      <c r="W3065" s="19">
        <f>IF(OR(F3065="",I3065=""),"",IF(COUNTIFS(F$6:F3065,F3065,I$6:I3065,"?*")=1,MAX(W$5:W3064)+1,""))</f>
        <v/>
      </c>
    </row>
    <row r="3066">
      <c r="B3066" s="15" t="n"/>
      <c r="C3066" s="16" t="n"/>
      <c r="D3066" s="17" t="n"/>
      <c r="E3066" s="17" t="n"/>
      <c r="F3066" s="17" t="n"/>
      <c r="G3066" s="17" t="n"/>
      <c r="H3066" s="18">
        <f>IF(AND(B3066="",C3066="",D3066="",E3066=""),"",IF(B3066="","⚠ Falta fecha",IF(C3066="","⚠ Falta monto",IF(D3066="","⚠ Falta categoría",IF(ISNA(MATCH(D3066,catNom,0)),"⚠ Categoría no existe",IF(E3066="","⚠ Falta cuenta",IF(ISNA(MATCH(E3066,ctaNom,0)),"⚠ Cuenta no existe",IF(AND(OR(I3066="Transferencia",I3066="Pago tarjeta"),G3066=""),"⚠ Indica la cuenta «Hacia»",IF(AND(G3066&lt;&gt;"",G3066=E3066),"⚠ «Hacia» igual a la cuenta",IF(AND(G3066&lt;&gt;"",ISNA(MATCH(G3066,ctaNom,0))),"⚠ «Hacia» no existe",IF(AND(I3066="Pago tarjeta",IFERROR(INDEX(ctaTipo,MATCH(G3066,ctaNom,0)),"")&lt;&gt;"Tarjeta de crédito"),"⚠ «Hacia» debe ser la tarjeta",IF(AND(I3066="Trading",IFERROR(INDEX(ctaTipo,MATCH(E3066,ctaNom,0)),"")&lt;&gt;"Cuenta de trading"),"⚠ Usa la cuenta de trading","✓"))))))))))))</f>
        <v/>
      </c>
      <c r="I3066" s="19">
        <f>IF(OR(B3066="",C3066="",D3066=""),"",IFERROR(INDEX(catTipo,MATCH(D3066,catNom,0))&amp;"",""))</f>
        <v/>
      </c>
      <c r="J3066" s="19">
        <f>IF(I3066="","",IFERROR(INDEX(catGrupo,MATCH(D3066,catNom,0))&amp;"",""))</f>
        <v/>
      </c>
      <c r="K3066" s="19">
        <f>IF(I3066="Gasto",IF(IFERROR(INDEX(catClas,MATCH(D3066,catNom,0))&amp;"","")="","Variable",IFERROR(INDEX(catClas,MATCH(D3066,catNom,0))&amp;"","")),"")</f>
        <v/>
      </c>
      <c r="L3066" s="19">
        <f>IF(I3066="","",IFERROR(INDEX(catAlim,MATCH(D3066,catNom,0))&amp;"",""))</f>
        <v/>
      </c>
      <c r="M3066" s="19">
        <f>IF(I3066="","",IFERROR(INDEX(catComida,MATCH(D3066,catNom,0))&amp;"",""))</f>
        <v/>
      </c>
      <c r="N3066" s="19">
        <f>IF(I3066="","",IFERROR(INDEX(ctaMon,MATCH(E3066,ctaNom,0))&amp;"","DOP"))</f>
        <v/>
      </c>
      <c r="O3066" s="20">
        <f>IF(I3066="","",C3066*IF(N3066="USD",TasaUSD,1))</f>
        <v/>
      </c>
      <c r="P3066" s="20">
        <f>IF(I3066="","",IF(I3066="Gasto",O3066,0))</f>
        <v/>
      </c>
      <c r="Q3066" s="20">
        <f>IF(I3066="","",IF(I3066="Ingreso",O3066,0))</f>
        <v/>
      </c>
      <c r="R3066" s="20">
        <f>IF(I3066="","",IF(I3066="Trading",O3066,0))</f>
        <v/>
      </c>
      <c r="S3066" s="19">
        <f>IF(I3066="","",IF(AND(I3066="Gasto",K3066="Variable",J3066&lt;&gt;"Trading",O3066&gt;0,O3066&lt;=Umbral),1,0))</f>
        <v/>
      </c>
      <c r="T3066" s="20">
        <f>IF(OR(I3066="",E3066=""),"",IF(OR(I3066="Gasto",I3066="Transferencia",I3066="Pago tarjeta"),-1,1)*C3066)</f>
        <v/>
      </c>
      <c r="U3066" s="20">
        <f>IF(OR(G3066="",AND(I3066&lt;&gt;"Transferencia",I3066&lt;&gt;"Pago tarjeta")),"",IF(IFERROR(INDEX(ctaMon,MATCH(G3066,ctaNom,0))&amp;"","DOP")=N3066,C3066,IF(N3066="USD",C3066*TasaUSD,C3066/TasaUSD)))</f>
        <v/>
      </c>
      <c r="V3066" s="20">
        <f>IF(I3066="","",IF(IFERROR(INDEX(ctaLiq,MATCH(E3066,ctaNom,0))="Sí",FALSE),IF(OR(I3066="Gasto",I3066="Transferencia",I3066="Pago tarjeta"),-1,1)*O3066,0)+IF(AND(U3066&lt;&gt;"",IFERROR(INDEX(ctaLiq,MATCH(G3066,ctaNom,0))="Sí",FALSE)),O3066,0))</f>
        <v/>
      </c>
      <c r="W3066" s="19">
        <f>IF(OR(F3066="",I3066=""),"",IF(COUNTIFS(F$6:F3066,F3066,I$6:I3066,"?*")=1,MAX(W$5:W3065)+1,""))</f>
        <v/>
      </c>
    </row>
    <row r="3067">
      <c r="B3067" s="15" t="n"/>
      <c r="C3067" s="16" t="n"/>
      <c r="D3067" s="17" t="n"/>
      <c r="E3067" s="17" t="n"/>
      <c r="F3067" s="17" t="n"/>
      <c r="G3067" s="17" t="n"/>
      <c r="H3067" s="18">
        <f>IF(AND(B3067="",C3067="",D3067="",E3067=""),"",IF(B3067="","⚠ Falta fecha",IF(C3067="","⚠ Falta monto",IF(D3067="","⚠ Falta categoría",IF(ISNA(MATCH(D3067,catNom,0)),"⚠ Categoría no existe",IF(E3067="","⚠ Falta cuenta",IF(ISNA(MATCH(E3067,ctaNom,0)),"⚠ Cuenta no existe",IF(AND(OR(I3067="Transferencia",I3067="Pago tarjeta"),G3067=""),"⚠ Indica la cuenta «Hacia»",IF(AND(G3067&lt;&gt;"",G3067=E3067),"⚠ «Hacia» igual a la cuenta",IF(AND(G3067&lt;&gt;"",ISNA(MATCH(G3067,ctaNom,0))),"⚠ «Hacia» no existe",IF(AND(I3067="Pago tarjeta",IFERROR(INDEX(ctaTipo,MATCH(G3067,ctaNom,0)),"")&lt;&gt;"Tarjeta de crédito"),"⚠ «Hacia» debe ser la tarjeta",IF(AND(I3067="Trading",IFERROR(INDEX(ctaTipo,MATCH(E3067,ctaNom,0)),"")&lt;&gt;"Cuenta de trading"),"⚠ Usa la cuenta de trading","✓"))))))))))))</f>
        <v/>
      </c>
      <c r="I3067" s="19">
        <f>IF(OR(B3067="",C3067="",D3067=""),"",IFERROR(INDEX(catTipo,MATCH(D3067,catNom,0))&amp;"",""))</f>
        <v/>
      </c>
      <c r="J3067" s="19">
        <f>IF(I3067="","",IFERROR(INDEX(catGrupo,MATCH(D3067,catNom,0))&amp;"",""))</f>
        <v/>
      </c>
      <c r="K3067" s="19">
        <f>IF(I3067="Gasto",IF(IFERROR(INDEX(catClas,MATCH(D3067,catNom,0))&amp;"","")="","Variable",IFERROR(INDEX(catClas,MATCH(D3067,catNom,0))&amp;"","")),"")</f>
        <v/>
      </c>
      <c r="L3067" s="19">
        <f>IF(I3067="","",IFERROR(INDEX(catAlim,MATCH(D3067,catNom,0))&amp;"",""))</f>
        <v/>
      </c>
      <c r="M3067" s="19">
        <f>IF(I3067="","",IFERROR(INDEX(catComida,MATCH(D3067,catNom,0))&amp;"",""))</f>
        <v/>
      </c>
      <c r="N3067" s="19">
        <f>IF(I3067="","",IFERROR(INDEX(ctaMon,MATCH(E3067,ctaNom,0))&amp;"","DOP"))</f>
        <v/>
      </c>
      <c r="O3067" s="20">
        <f>IF(I3067="","",C3067*IF(N3067="USD",TasaUSD,1))</f>
        <v/>
      </c>
      <c r="P3067" s="20">
        <f>IF(I3067="","",IF(I3067="Gasto",O3067,0))</f>
        <v/>
      </c>
      <c r="Q3067" s="20">
        <f>IF(I3067="","",IF(I3067="Ingreso",O3067,0))</f>
        <v/>
      </c>
      <c r="R3067" s="20">
        <f>IF(I3067="","",IF(I3067="Trading",O3067,0))</f>
        <v/>
      </c>
      <c r="S3067" s="19">
        <f>IF(I3067="","",IF(AND(I3067="Gasto",K3067="Variable",J3067&lt;&gt;"Trading",O3067&gt;0,O3067&lt;=Umbral),1,0))</f>
        <v/>
      </c>
      <c r="T3067" s="20">
        <f>IF(OR(I3067="",E3067=""),"",IF(OR(I3067="Gasto",I3067="Transferencia",I3067="Pago tarjeta"),-1,1)*C3067)</f>
        <v/>
      </c>
      <c r="U3067" s="20">
        <f>IF(OR(G3067="",AND(I3067&lt;&gt;"Transferencia",I3067&lt;&gt;"Pago tarjeta")),"",IF(IFERROR(INDEX(ctaMon,MATCH(G3067,ctaNom,0))&amp;"","DOP")=N3067,C3067,IF(N3067="USD",C3067*TasaUSD,C3067/TasaUSD)))</f>
        <v/>
      </c>
      <c r="V3067" s="20">
        <f>IF(I3067="","",IF(IFERROR(INDEX(ctaLiq,MATCH(E3067,ctaNom,0))="Sí",FALSE),IF(OR(I3067="Gasto",I3067="Transferencia",I3067="Pago tarjeta"),-1,1)*O3067,0)+IF(AND(U3067&lt;&gt;"",IFERROR(INDEX(ctaLiq,MATCH(G3067,ctaNom,0))="Sí",FALSE)),O3067,0))</f>
        <v/>
      </c>
      <c r="W3067" s="19">
        <f>IF(OR(F3067="",I3067=""),"",IF(COUNTIFS(F$6:F3067,F3067,I$6:I3067,"?*")=1,MAX(W$5:W3066)+1,""))</f>
        <v/>
      </c>
    </row>
    <row r="3068">
      <c r="B3068" s="15" t="n"/>
      <c r="C3068" s="16" t="n"/>
      <c r="D3068" s="17" t="n"/>
      <c r="E3068" s="17" t="n"/>
      <c r="F3068" s="17" t="n"/>
      <c r="G3068" s="17" t="n"/>
      <c r="H3068" s="18">
        <f>IF(AND(B3068="",C3068="",D3068="",E3068=""),"",IF(B3068="","⚠ Falta fecha",IF(C3068="","⚠ Falta monto",IF(D3068="","⚠ Falta categoría",IF(ISNA(MATCH(D3068,catNom,0)),"⚠ Categoría no existe",IF(E3068="","⚠ Falta cuenta",IF(ISNA(MATCH(E3068,ctaNom,0)),"⚠ Cuenta no existe",IF(AND(OR(I3068="Transferencia",I3068="Pago tarjeta"),G3068=""),"⚠ Indica la cuenta «Hacia»",IF(AND(G3068&lt;&gt;"",G3068=E3068),"⚠ «Hacia» igual a la cuenta",IF(AND(G3068&lt;&gt;"",ISNA(MATCH(G3068,ctaNom,0))),"⚠ «Hacia» no existe",IF(AND(I3068="Pago tarjeta",IFERROR(INDEX(ctaTipo,MATCH(G3068,ctaNom,0)),"")&lt;&gt;"Tarjeta de crédito"),"⚠ «Hacia» debe ser la tarjeta",IF(AND(I3068="Trading",IFERROR(INDEX(ctaTipo,MATCH(E3068,ctaNom,0)),"")&lt;&gt;"Cuenta de trading"),"⚠ Usa la cuenta de trading","✓"))))))))))))</f>
        <v/>
      </c>
      <c r="I3068" s="19">
        <f>IF(OR(B3068="",C3068="",D3068=""),"",IFERROR(INDEX(catTipo,MATCH(D3068,catNom,0))&amp;"",""))</f>
        <v/>
      </c>
      <c r="J3068" s="19">
        <f>IF(I3068="","",IFERROR(INDEX(catGrupo,MATCH(D3068,catNom,0))&amp;"",""))</f>
        <v/>
      </c>
      <c r="K3068" s="19">
        <f>IF(I3068="Gasto",IF(IFERROR(INDEX(catClas,MATCH(D3068,catNom,0))&amp;"","")="","Variable",IFERROR(INDEX(catClas,MATCH(D3068,catNom,0))&amp;"","")),"")</f>
        <v/>
      </c>
      <c r="L3068" s="19">
        <f>IF(I3068="","",IFERROR(INDEX(catAlim,MATCH(D3068,catNom,0))&amp;"",""))</f>
        <v/>
      </c>
      <c r="M3068" s="19">
        <f>IF(I3068="","",IFERROR(INDEX(catComida,MATCH(D3068,catNom,0))&amp;"",""))</f>
        <v/>
      </c>
      <c r="N3068" s="19">
        <f>IF(I3068="","",IFERROR(INDEX(ctaMon,MATCH(E3068,ctaNom,0))&amp;"","DOP"))</f>
        <v/>
      </c>
      <c r="O3068" s="20">
        <f>IF(I3068="","",C3068*IF(N3068="USD",TasaUSD,1))</f>
        <v/>
      </c>
      <c r="P3068" s="20">
        <f>IF(I3068="","",IF(I3068="Gasto",O3068,0))</f>
        <v/>
      </c>
      <c r="Q3068" s="20">
        <f>IF(I3068="","",IF(I3068="Ingreso",O3068,0))</f>
        <v/>
      </c>
      <c r="R3068" s="20">
        <f>IF(I3068="","",IF(I3068="Trading",O3068,0))</f>
        <v/>
      </c>
      <c r="S3068" s="19">
        <f>IF(I3068="","",IF(AND(I3068="Gasto",K3068="Variable",J3068&lt;&gt;"Trading",O3068&gt;0,O3068&lt;=Umbral),1,0))</f>
        <v/>
      </c>
      <c r="T3068" s="20">
        <f>IF(OR(I3068="",E3068=""),"",IF(OR(I3068="Gasto",I3068="Transferencia",I3068="Pago tarjeta"),-1,1)*C3068)</f>
        <v/>
      </c>
      <c r="U3068" s="20">
        <f>IF(OR(G3068="",AND(I3068&lt;&gt;"Transferencia",I3068&lt;&gt;"Pago tarjeta")),"",IF(IFERROR(INDEX(ctaMon,MATCH(G3068,ctaNom,0))&amp;"","DOP")=N3068,C3068,IF(N3068="USD",C3068*TasaUSD,C3068/TasaUSD)))</f>
        <v/>
      </c>
      <c r="V3068" s="20">
        <f>IF(I3068="","",IF(IFERROR(INDEX(ctaLiq,MATCH(E3068,ctaNom,0))="Sí",FALSE),IF(OR(I3068="Gasto",I3068="Transferencia",I3068="Pago tarjeta"),-1,1)*O3068,0)+IF(AND(U3068&lt;&gt;"",IFERROR(INDEX(ctaLiq,MATCH(G3068,ctaNom,0))="Sí",FALSE)),O3068,0))</f>
        <v/>
      </c>
      <c r="W3068" s="19">
        <f>IF(OR(F3068="",I3068=""),"",IF(COUNTIFS(F$6:F3068,F3068,I$6:I3068,"?*")=1,MAX(W$5:W3067)+1,""))</f>
        <v/>
      </c>
    </row>
    <row r="3069">
      <c r="B3069" s="15" t="n"/>
      <c r="C3069" s="16" t="n"/>
      <c r="D3069" s="17" t="n"/>
      <c r="E3069" s="17" t="n"/>
      <c r="F3069" s="17" t="n"/>
      <c r="G3069" s="17" t="n"/>
      <c r="H3069" s="18">
        <f>IF(AND(B3069="",C3069="",D3069="",E3069=""),"",IF(B3069="","⚠ Falta fecha",IF(C3069="","⚠ Falta monto",IF(D3069="","⚠ Falta categoría",IF(ISNA(MATCH(D3069,catNom,0)),"⚠ Categoría no existe",IF(E3069="","⚠ Falta cuenta",IF(ISNA(MATCH(E3069,ctaNom,0)),"⚠ Cuenta no existe",IF(AND(OR(I3069="Transferencia",I3069="Pago tarjeta"),G3069=""),"⚠ Indica la cuenta «Hacia»",IF(AND(G3069&lt;&gt;"",G3069=E3069),"⚠ «Hacia» igual a la cuenta",IF(AND(G3069&lt;&gt;"",ISNA(MATCH(G3069,ctaNom,0))),"⚠ «Hacia» no existe",IF(AND(I3069="Pago tarjeta",IFERROR(INDEX(ctaTipo,MATCH(G3069,ctaNom,0)),"")&lt;&gt;"Tarjeta de crédito"),"⚠ «Hacia» debe ser la tarjeta",IF(AND(I3069="Trading",IFERROR(INDEX(ctaTipo,MATCH(E3069,ctaNom,0)),"")&lt;&gt;"Cuenta de trading"),"⚠ Usa la cuenta de trading","✓"))))))))))))</f>
        <v/>
      </c>
      <c r="I3069" s="19">
        <f>IF(OR(B3069="",C3069="",D3069=""),"",IFERROR(INDEX(catTipo,MATCH(D3069,catNom,0))&amp;"",""))</f>
        <v/>
      </c>
      <c r="J3069" s="19">
        <f>IF(I3069="","",IFERROR(INDEX(catGrupo,MATCH(D3069,catNom,0))&amp;"",""))</f>
        <v/>
      </c>
      <c r="K3069" s="19">
        <f>IF(I3069="Gasto",IF(IFERROR(INDEX(catClas,MATCH(D3069,catNom,0))&amp;"","")="","Variable",IFERROR(INDEX(catClas,MATCH(D3069,catNom,0))&amp;"","")),"")</f>
        <v/>
      </c>
      <c r="L3069" s="19">
        <f>IF(I3069="","",IFERROR(INDEX(catAlim,MATCH(D3069,catNom,0))&amp;"",""))</f>
        <v/>
      </c>
      <c r="M3069" s="19">
        <f>IF(I3069="","",IFERROR(INDEX(catComida,MATCH(D3069,catNom,0))&amp;"",""))</f>
        <v/>
      </c>
      <c r="N3069" s="19">
        <f>IF(I3069="","",IFERROR(INDEX(ctaMon,MATCH(E3069,ctaNom,0))&amp;"","DOP"))</f>
        <v/>
      </c>
      <c r="O3069" s="20">
        <f>IF(I3069="","",C3069*IF(N3069="USD",TasaUSD,1))</f>
        <v/>
      </c>
      <c r="P3069" s="20">
        <f>IF(I3069="","",IF(I3069="Gasto",O3069,0))</f>
        <v/>
      </c>
      <c r="Q3069" s="20">
        <f>IF(I3069="","",IF(I3069="Ingreso",O3069,0))</f>
        <v/>
      </c>
      <c r="R3069" s="20">
        <f>IF(I3069="","",IF(I3069="Trading",O3069,0))</f>
        <v/>
      </c>
      <c r="S3069" s="19">
        <f>IF(I3069="","",IF(AND(I3069="Gasto",K3069="Variable",J3069&lt;&gt;"Trading",O3069&gt;0,O3069&lt;=Umbral),1,0))</f>
        <v/>
      </c>
      <c r="T3069" s="20">
        <f>IF(OR(I3069="",E3069=""),"",IF(OR(I3069="Gasto",I3069="Transferencia",I3069="Pago tarjeta"),-1,1)*C3069)</f>
        <v/>
      </c>
      <c r="U3069" s="20">
        <f>IF(OR(G3069="",AND(I3069&lt;&gt;"Transferencia",I3069&lt;&gt;"Pago tarjeta")),"",IF(IFERROR(INDEX(ctaMon,MATCH(G3069,ctaNom,0))&amp;"","DOP")=N3069,C3069,IF(N3069="USD",C3069*TasaUSD,C3069/TasaUSD)))</f>
        <v/>
      </c>
      <c r="V3069" s="20">
        <f>IF(I3069="","",IF(IFERROR(INDEX(ctaLiq,MATCH(E3069,ctaNom,0))="Sí",FALSE),IF(OR(I3069="Gasto",I3069="Transferencia",I3069="Pago tarjeta"),-1,1)*O3069,0)+IF(AND(U3069&lt;&gt;"",IFERROR(INDEX(ctaLiq,MATCH(G3069,ctaNom,0))="Sí",FALSE)),O3069,0))</f>
        <v/>
      </c>
      <c r="W3069" s="19">
        <f>IF(OR(F3069="",I3069=""),"",IF(COUNTIFS(F$6:F3069,F3069,I$6:I3069,"?*")=1,MAX(W$5:W3068)+1,""))</f>
        <v/>
      </c>
    </row>
    <row r="3070">
      <c r="B3070" s="15" t="n"/>
      <c r="C3070" s="16" t="n"/>
      <c r="D3070" s="17" t="n"/>
      <c r="E3070" s="17" t="n"/>
      <c r="F3070" s="17" t="n"/>
      <c r="G3070" s="17" t="n"/>
      <c r="H3070" s="18">
        <f>IF(AND(B3070="",C3070="",D3070="",E3070=""),"",IF(B3070="","⚠ Falta fecha",IF(C3070="","⚠ Falta monto",IF(D3070="","⚠ Falta categoría",IF(ISNA(MATCH(D3070,catNom,0)),"⚠ Categoría no existe",IF(E3070="","⚠ Falta cuenta",IF(ISNA(MATCH(E3070,ctaNom,0)),"⚠ Cuenta no existe",IF(AND(OR(I3070="Transferencia",I3070="Pago tarjeta"),G3070=""),"⚠ Indica la cuenta «Hacia»",IF(AND(G3070&lt;&gt;"",G3070=E3070),"⚠ «Hacia» igual a la cuenta",IF(AND(G3070&lt;&gt;"",ISNA(MATCH(G3070,ctaNom,0))),"⚠ «Hacia» no existe",IF(AND(I3070="Pago tarjeta",IFERROR(INDEX(ctaTipo,MATCH(G3070,ctaNom,0)),"")&lt;&gt;"Tarjeta de crédito"),"⚠ «Hacia» debe ser la tarjeta",IF(AND(I3070="Trading",IFERROR(INDEX(ctaTipo,MATCH(E3070,ctaNom,0)),"")&lt;&gt;"Cuenta de trading"),"⚠ Usa la cuenta de trading","✓"))))))))))))</f>
        <v/>
      </c>
      <c r="I3070" s="19">
        <f>IF(OR(B3070="",C3070="",D3070=""),"",IFERROR(INDEX(catTipo,MATCH(D3070,catNom,0))&amp;"",""))</f>
        <v/>
      </c>
      <c r="J3070" s="19">
        <f>IF(I3070="","",IFERROR(INDEX(catGrupo,MATCH(D3070,catNom,0))&amp;"",""))</f>
        <v/>
      </c>
      <c r="K3070" s="19">
        <f>IF(I3070="Gasto",IF(IFERROR(INDEX(catClas,MATCH(D3070,catNom,0))&amp;"","")="","Variable",IFERROR(INDEX(catClas,MATCH(D3070,catNom,0))&amp;"","")),"")</f>
        <v/>
      </c>
      <c r="L3070" s="19">
        <f>IF(I3070="","",IFERROR(INDEX(catAlim,MATCH(D3070,catNom,0))&amp;"",""))</f>
        <v/>
      </c>
      <c r="M3070" s="19">
        <f>IF(I3070="","",IFERROR(INDEX(catComida,MATCH(D3070,catNom,0))&amp;"",""))</f>
        <v/>
      </c>
      <c r="N3070" s="19">
        <f>IF(I3070="","",IFERROR(INDEX(ctaMon,MATCH(E3070,ctaNom,0))&amp;"","DOP"))</f>
        <v/>
      </c>
      <c r="O3070" s="20">
        <f>IF(I3070="","",C3070*IF(N3070="USD",TasaUSD,1))</f>
        <v/>
      </c>
      <c r="P3070" s="20">
        <f>IF(I3070="","",IF(I3070="Gasto",O3070,0))</f>
        <v/>
      </c>
      <c r="Q3070" s="20">
        <f>IF(I3070="","",IF(I3070="Ingreso",O3070,0))</f>
        <v/>
      </c>
      <c r="R3070" s="20">
        <f>IF(I3070="","",IF(I3070="Trading",O3070,0))</f>
        <v/>
      </c>
      <c r="S3070" s="19">
        <f>IF(I3070="","",IF(AND(I3070="Gasto",K3070="Variable",J3070&lt;&gt;"Trading",O3070&gt;0,O3070&lt;=Umbral),1,0))</f>
        <v/>
      </c>
      <c r="T3070" s="20">
        <f>IF(OR(I3070="",E3070=""),"",IF(OR(I3070="Gasto",I3070="Transferencia",I3070="Pago tarjeta"),-1,1)*C3070)</f>
        <v/>
      </c>
      <c r="U3070" s="20">
        <f>IF(OR(G3070="",AND(I3070&lt;&gt;"Transferencia",I3070&lt;&gt;"Pago tarjeta")),"",IF(IFERROR(INDEX(ctaMon,MATCH(G3070,ctaNom,0))&amp;"","DOP")=N3070,C3070,IF(N3070="USD",C3070*TasaUSD,C3070/TasaUSD)))</f>
        <v/>
      </c>
      <c r="V3070" s="20">
        <f>IF(I3070="","",IF(IFERROR(INDEX(ctaLiq,MATCH(E3070,ctaNom,0))="Sí",FALSE),IF(OR(I3070="Gasto",I3070="Transferencia",I3070="Pago tarjeta"),-1,1)*O3070,0)+IF(AND(U3070&lt;&gt;"",IFERROR(INDEX(ctaLiq,MATCH(G3070,ctaNom,0))="Sí",FALSE)),O3070,0))</f>
        <v/>
      </c>
      <c r="W3070" s="19">
        <f>IF(OR(F3070="",I3070=""),"",IF(COUNTIFS(F$6:F3070,F3070,I$6:I3070,"?*")=1,MAX(W$5:W3069)+1,""))</f>
        <v/>
      </c>
    </row>
    <row r="3071">
      <c r="B3071" s="15" t="n"/>
      <c r="C3071" s="16" t="n"/>
      <c r="D3071" s="17" t="n"/>
      <c r="E3071" s="17" t="n"/>
      <c r="F3071" s="17" t="n"/>
      <c r="G3071" s="17" t="n"/>
      <c r="H3071" s="18">
        <f>IF(AND(B3071="",C3071="",D3071="",E3071=""),"",IF(B3071="","⚠ Falta fecha",IF(C3071="","⚠ Falta monto",IF(D3071="","⚠ Falta categoría",IF(ISNA(MATCH(D3071,catNom,0)),"⚠ Categoría no existe",IF(E3071="","⚠ Falta cuenta",IF(ISNA(MATCH(E3071,ctaNom,0)),"⚠ Cuenta no existe",IF(AND(OR(I3071="Transferencia",I3071="Pago tarjeta"),G3071=""),"⚠ Indica la cuenta «Hacia»",IF(AND(G3071&lt;&gt;"",G3071=E3071),"⚠ «Hacia» igual a la cuenta",IF(AND(G3071&lt;&gt;"",ISNA(MATCH(G3071,ctaNom,0))),"⚠ «Hacia» no existe",IF(AND(I3071="Pago tarjeta",IFERROR(INDEX(ctaTipo,MATCH(G3071,ctaNom,0)),"")&lt;&gt;"Tarjeta de crédito"),"⚠ «Hacia» debe ser la tarjeta",IF(AND(I3071="Trading",IFERROR(INDEX(ctaTipo,MATCH(E3071,ctaNom,0)),"")&lt;&gt;"Cuenta de trading"),"⚠ Usa la cuenta de trading","✓"))))))))))))</f>
        <v/>
      </c>
      <c r="I3071" s="19">
        <f>IF(OR(B3071="",C3071="",D3071=""),"",IFERROR(INDEX(catTipo,MATCH(D3071,catNom,0))&amp;"",""))</f>
        <v/>
      </c>
      <c r="J3071" s="19">
        <f>IF(I3071="","",IFERROR(INDEX(catGrupo,MATCH(D3071,catNom,0))&amp;"",""))</f>
        <v/>
      </c>
      <c r="K3071" s="19">
        <f>IF(I3071="Gasto",IF(IFERROR(INDEX(catClas,MATCH(D3071,catNom,0))&amp;"","")="","Variable",IFERROR(INDEX(catClas,MATCH(D3071,catNom,0))&amp;"","")),"")</f>
        <v/>
      </c>
      <c r="L3071" s="19">
        <f>IF(I3071="","",IFERROR(INDEX(catAlim,MATCH(D3071,catNom,0))&amp;"",""))</f>
        <v/>
      </c>
      <c r="M3071" s="19">
        <f>IF(I3071="","",IFERROR(INDEX(catComida,MATCH(D3071,catNom,0))&amp;"",""))</f>
        <v/>
      </c>
      <c r="N3071" s="19">
        <f>IF(I3071="","",IFERROR(INDEX(ctaMon,MATCH(E3071,ctaNom,0))&amp;"","DOP"))</f>
        <v/>
      </c>
      <c r="O3071" s="20">
        <f>IF(I3071="","",C3071*IF(N3071="USD",TasaUSD,1))</f>
        <v/>
      </c>
      <c r="P3071" s="20">
        <f>IF(I3071="","",IF(I3071="Gasto",O3071,0))</f>
        <v/>
      </c>
      <c r="Q3071" s="20">
        <f>IF(I3071="","",IF(I3071="Ingreso",O3071,0))</f>
        <v/>
      </c>
      <c r="R3071" s="20">
        <f>IF(I3071="","",IF(I3071="Trading",O3071,0))</f>
        <v/>
      </c>
      <c r="S3071" s="19">
        <f>IF(I3071="","",IF(AND(I3071="Gasto",K3071="Variable",J3071&lt;&gt;"Trading",O3071&gt;0,O3071&lt;=Umbral),1,0))</f>
        <v/>
      </c>
      <c r="T3071" s="20">
        <f>IF(OR(I3071="",E3071=""),"",IF(OR(I3071="Gasto",I3071="Transferencia",I3071="Pago tarjeta"),-1,1)*C3071)</f>
        <v/>
      </c>
      <c r="U3071" s="20">
        <f>IF(OR(G3071="",AND(I3071&lt;&gt;"Transferencia",I3071&lt;&gt;"Pago tarjeta")),"",IF(IFERROR(INDEX(ctaMon,MATCH(G3071,ctaNom,0))&amp;"","DOP")=N3071,C3071,IF(N3071="USD",C3071*TasaUSD,C3071/TasaUSD)))</f>
        <v/>
      </c>
      <c r="V3071" s="20">
        <f>IF(I3071="","",IF(IFERROR(INDEX(ctaLiq,MATCH(E3071,ctaNom,0))="Sí",FALSE),IF(OR(I3071="Gasto",I3071="Transferencia",I3071="Pago tarjeta"),-1,1)*O3071,0)+IF(AND(U3071&lt;&gt;"",IFERROR(INDEX(ctaLiq,MATCH(G3071,ctaNom,0))="Sí",FALSE)),O3071,0))</f>
        <v/>
      </c>
      <c r="W3071" s="19">
        <f>IF(OR(F3071="",I3071=""),"",IF(COUNTIFS(F$6:F3071,F3071,I$6:I3071,"?*")=1,MAX(W$5:W3070)+1,""))</f>
        <v/>
      </c>
    </row>
    <row r="3072">
      <c r="B3072" s="15" t="n"/>
      <c r="C3072" s="16" t="n"/>
      <c r="D3072" s="17" t="n"/>
      <c r="E3072" s="17" t="n"/>
      <c r="F3072" s="17" t="n"/>
      <c r="G3072" s="17" t="n"/>
      <c r="H3072" s="18">
        <f>IF(AND(B3072="",C3072="",D3072="",E3072=""),"",IF(B3072="","⚠ Falta fecha",IF(C3072="","⚠ Falta monto",IF(D3072="","⚠ Falta categoría",IF(ISNA(MATCH(D3072,catNom,0)),"⚠ Categoría no existe",IF(E3072="","⚠ Falta cuenta",IF(ISNA(MATCH(E3072,ctaNom,0)),"⚠ Cuenta no existe",IF(AND(OR(I3072="Transferencia",I3072="Pago tarjeta"),G3072=""),"⚠ Indica la cuenta «Hacia»",IF(AND(G3072&lt;&gt;"",G3072=E3072),"⚠ «Hacia» igual a la cuenta",IF(AND(G3072&lt;&gt;"",ISNA(MATCH(G3072,ctaNom,0))),"⚠ «Hacia» no existe",IF(AND(I3072="Pago tarjeta",IFERROR(INDEX(ctaTipo,MATCH(G3072,ctaNom,0)),"")&lt;&gt;"Tarjeta de crédito"),"⚠ «Hacia» debe ser la tarjeta",IF(AND(I3072="Trading",IFERROR(INDEX(ctaTipo,MATCH(E3072,ctaNom,0)),"")&lt;&gt;"Cuenta de trading"),"⚠ Usa la cuenta de trading","✓"))))))))))))</f>
        <v/>
      </c>
      <c r="I3072" s="19">
        <f>IF(OR(B3072="",C3072="",D3072=""),"",IFERROR(INDEX(catTipo,MATCH(D3072,catNom,0))&amp;"",""))</f>
        <v/>
      </c>
      <c r="J3072" s="19">
        <f>IF(I3072="","",IFERROR(INDEX(catGrupo,MATCH(D3072,catNom,0))&amp;"",""))</f>
        <v/>
      </c>
      <c r="K3072" s="19">
        <f>IF(I3072="Gasto",IF(IFERROR(INDEX(catClas,MATCH(D3072,catNom,0))&amp;"","")="","Variable",IFERROR(INDEX(catClas,MATCH(D3072,catNom,0))&amp;"","")),"")</f>
        <v/>
      </c>
      <c r="L3072" s="19">
        <f>IF(I3072="","",IFERROR(INDEX(catAlim,MATCH(D3072,catNom,0))&amp;"",""))</f>
        <v/>
      </c>
      <c r="M3072" s="19">
        <f>IF(I3072="","",IFERROR(INDEX(catComida,MATCH(D3072,catNom,0))&amp;"",""))</f>
        <v/>
      </c>
      <c r="N3072" s="19">
        <f>IF(I3072="","",IFERROR(INDEX(ctaMon,MATCH(E3072,ctaNom,0))&amp;"","DOP"))</f>
        <v/>
      </c>
      <c r="O3072" s="20">
        <f>IF(I3072="","",C3072*IF(N3072="USD",TasaUSD,1))</f>
        <v/>
      </c>
      <c r="P3072" s="20">
        <f>IF(I3072="","",IF(I3072="Gasto",O3072,0))</f>
        <v/>
      </c>
      <c r="Q3072" s="20">
        <f>IF(I3072="","",IF(I3072="Ingreso",O3072,0))</f>
        <v/>
      </c>
      <c r="R3072" s="20">
        <f>IF(I3072="","",IF(I3072="Trading",O3072,0))</f>
        <v/>
      </c>
      <c r="S3072" s="19">
        <f>IF(I3072="","",IF(AND(I3072="Gasto",K3072="Variable",J3072&lt;&gt;"Trading",O3072&gt;0,O3072&lt;=Umbral),1,0))</f>
        <v/>
      </c>
      <c r="T3072" s="20">
        <f>IF(OR(I3072="",E3072=""),"",IF(OR(I3072="Gasto",I3072="Transferencia",I3072="Pago tarjeta"),-1,1)*C3072)</f>
        <v/>
      </c>
      <c r="U3072" s="20">
        <f>IF(OR(G3072="",AND(I3072&lt;&gt;"Transferencia",I3072&lt;&gt;"Pago tarjeta")),"",IF(IFERROR(INDEX(ctaMon,MATCH(G3072,ctaNom,0))&amp;"","DOP")=N3072,C3072,IF(N3072="USD",C3072*TasaUSD,C3072/TasaUSD)))</f>
        <v/>
      </c>
      <c r="V3072" s="20">
        <f>IF(I3072="","",IF(IFERROR(INDEX(ctaLiq,MATCH(E3072,ctaNom,0))="Sí",FALSE),IF(OR(I3072="Gasto",I3072="Transferencia",I3072="Pago tarjeta"),-1,1)*O3072,0)+IF(AND(U3072&lt;&gt;"",IFERROR(INDEX(ctaLiq,MATCH(G3072,ctaNom,0))="Sí",FALSE)),O3072,0))</f>
        <v/>
      </c>
      <c r="W3072" s="19">
        <f>IF(OR(F3072="",I3072=""),"",IF(COUNTIFS(F$6:F3072,F3072,I$6:I3072,"?*")=1,MAX(W$5:W3071)+1,""))</f>
        <v/>
      </c>
    </row>
    <row r="3073">
      <c r="B3073" s="15" t="n"/>
      <c r="C3073" s="16" t="n"/>
      <c r="D3073" s="17" t="n"/>
      <c r="E3073" s="17" t="n"/>
      <c r="F3073" s="17" t="n"/>
      <c r="G3073" s="17" t="n"/>
      <c r="H3073" s="18">
        <f>IF(AND(B3073="",C3073="",D3073="",E3073=""),"",IF(B3073="","⚠ Falta fecha",IF(C3073="","⚠ Falta monto",IF(D3073="","⚠ Falta categoría",IF(ISNA(MATCH(D3073,catNom,0)),"⚠ Categoría no existe",IF(E3073="","⚠ Falta cuenta",IF(ISNA(MATCH(E3073,ctaNom,0)),"⚠ Cuenta no existe",IF(AND(OR(I3073="Transferencia",I3073="Pago tarjeta"),G3073=""),"⚠ Indica la cuenta «Hacia»",IF(AND(G3073&lt;&gt;"",G3073=E3073),"⚠ «Hacia» igual a la cuenta",IF(AND(G3073&lt;&gt;"",ISNA(MATCH(G3073,ctaNom,0))),"⚠ «Hacia» no existe",IF(AND(I3073="Pago tarjeta",IFERROR(INDEX(ctaTipo,MATCH(G3073,ctaNom,0)),"")&lt;&gt;"Tarjeta de crédito"),"⚠ «Hacia» debe ser la tarjeta",IF(AND(I3073="Trading",IFERROR(INDEX(ctaTipo,MATCH(E3073,ctaNom,0)),"")&lt;&gt;"Cuenta de trading"),"⚠ Usa la cuenta de trading","✓"))))))))))))</f>
        <v/>
      </c>
      <c r="I3073" s="19">
        <f>IF(OR(B3073="",C3073="",D3073=""),"",IFERROR(INDEX(catTipo,MATCH(D3073,catNom,0))&amp;"",""))</f>
        <v/>
      </c>
      <c r="J3073" s="19">
        <f>IF(I3073="","",IFERROR(INDEX(catGrupo,MATCH(D3073,catNom,0))&amp;"",""))</f>
        <v/>
      </c>
      <c r="K3073" s="19">
        <f>IF(I3073="Gasto",IF(IFERROR(INDEX(catClas,MATCH(D3073,catNom,0))&amp;"","")="","Variable",IFERROR(INDEX(catClas,MATCH(D3073,catNom,0))&amp;"","")),"")</f>
        <v/>
      </c>
      <c r="L3073" s="19">
        <f>IF(I3073="","",IFERROR(INDEX(catAlim,MATCH(D3073,catNom,0))&amp;"",""))</f>
        <v/>
      </c>
      <c r="M3073" s="19">
        <f>IF(I3073="","",IFERROR(INDEX(catComida,MATCH(D3073,catNom,0))&amp;"",""))</f>
        <v/>
      </c>
      <c r="N3073" s="19">
        <f>IF(I3073="","",IFERROR(INDEX(ctaMon,MATCH(E3073,ctaNom,0))&amp;"","DOP"))</f>
        <v/>
      </c>
      <c r="O3073" s="20">
        <f>IF(I3073="","",C3073*IF(N3073="USD",TasaUSD,1))</f>
        <v/>
      </c>
      <c r="P3073" s="20">
        <f>IF(I3073="","",IF(I3073="Gasto",O3073,0))</f>
        <v/>
      </c>
      <c r="Q3073" s="20">
        <f>IF(I3073="","",IF(I3073="Ingreso",O3073,0))</f>
        <v/>
      </c>
      <c r="R3073" s="20">
        <f>IF(I3073="","",IF(I3073="Trading",O3073,0))</f>
        <v/>
      </c>
      <c r="S3073" s="19">
        <f>IF(I3073="","",IF(AND(I3073="Gasto",K3073="Variable",J3073&lt;&gt;"Trading",O3073&gt;0,O3073&lt;=Umbral),1,0))</f>
        <v/>
      </c>
      <c r="T3073" s="20">
        <f>IF(OR(I3073="",E3073=""),"",IF(OR(I3073="Gasto",I3073="Transferencia",I3073="Pago tarjeta"),-1,1)*C3073)</f>
        <v/>
      </c>
      <c r="U3073" s="20">
        <f>IF(OR(G3073="",AND(I3073&lt;&gt;"Transferencia",I3073&lt;&gt;"Pago tarjeta")),"",IF(IFERROR(INDEX(ctaMon,MATCH(G3073,ctaNom,0))&amp;"","DOP")=N3073,C3073,IF(N3073="USD",C3073*TasaUSD,C3073/TasaUSD)))</f>
        <v/>
      </c>
      <c r="V3073" s="20">
        <f>IF(I3073="","",IF(IFERROR(INDEX(ctaLiq,MATCH(E3073,ctaNom,0))="Sí",FALSE),IF(OR(I3073="Gasto",I3073="Transferencia",I3073="Pago tarjeta"),-1,1)*O3073,0)+IF(AND(U3073&lt;&gt;"",IFERROR(INDEX(ctaLiq,MATCH(G3073,ctaNom,0))="Sí",FALSE)),O3073,0))</f>
        <v/>
      </c>
      <c r="W3073" s="19">
        <f>IF(OR(F3073="",I3073=""),"",IF(COUNTIFS(F$6:F3073,F3073,I$6:I3073,"?*")=1,MAX(W$5:W3072)+1,""))</f>
        <v/>
      </c>
    </row>
    <row r="3074">
      <c r="B3074" s="15" t="n"/>
      <c r="C3074" s="16" t="n"/>
      <c r="D3074" s="17" t="n"/>
      <c r="E3074" s="17" t="n"/>
      <c r="F3074" s="17" t="n"/>
      <c r="G3074" s="17" t="n"/>
      <c r="H3074" s="18">
        <f>IF(AND(B3074="",C3074="",D3074="",E3074=""),"",IF(B3074="","⚠ Falta fecha",IF(C3074="","⚠ Falta monto",IF(D3074="","⚠ Falta categoría",IF(ISNA(MATCH(D3074,catNom,0)),"⚠ Categoría no existe",IF(E3074="","⚠ Falta cuenta",IF(ISNA(MATCH(E3074,ctaNom,0)),"⚠ Cuenta no existe",IF(AND(OR(I3074="Transferencia",I3074="Pago tarjeta"),G3074=""),"⚠ Indica la cuenta «Hacia»",IF(AND(G3074&lt;&gt;"",G3074=E3074),"⚠ «Hacia» igual a la cuenta",IF(AND(G3074&lt;&gt;"",ISNA(MATCH(G3074,ctaNom,0))),"⚠ «Hacia» no existe",IF(AND(I3074="Pago tarjeta",IFERROR(INDEX(ctaTipo,MATCH(G3074,ctaNom,0)),"")&lt;&gt;"Tarjeta de crédito"),"⚠ «Hacia» debe ser la tarjeta",IF(AND(I3074="Trading",IFERROR(INDEX(ctaTipo,MATCH(E3074,ctaNom,0)),"")&lt;&gt;"Cuenta de trading"),"⚠ Usa la cuenta de trading","✓"))))))))))))</f>
        <v/>
      </c>
      <c r="I3074" s="19">
        <f>IF(OR(B3074="",C3074="",D3074=""),"",IFERROR(INDEX(catTipo,MATCH(D3074,catNom,0))&amp;"",""))</f>
        <v/>
      </c>
      <c r="J3074" s="19">
        <f>IF(I3074="","",IFERROR(INDEX(catGrupo,MATCH(D3074,catNom,0))&amp;"",""))</f>
        <v/>
      </c>
      <c r="K3074" s="19">
        <f>IF(I3074="Gasto",IF(IFERROR(INDEX(catClas,MATCH(D3074,catNom,0))&amp;"","")="","Variable",IFERROR(INDEX(catClas,MATCH(D3074,catNom,0))&amp;"","")),"")</f>
        <v/>
      </c>
      <c r="L3074" s="19">
        <f>IF(I3074="","",IFERROR(INDEX(catAlim,MATCH(D3074,catNom,0))&amp;"",""))</f>
        <v/>
      </c>
      <c r="M3074" s="19">
        <f>IF(I3074="","",IFERROR(INDEX(catComida,MATCH(D3074,catNom,0))&amp;"",""))</f>
        <v/>
      </c>
      <c r="N3074" s="19">
        <f>IF(I3074="","",IFERROR(INDEX(ctaMon,MATCH(E3074,ctaNom,0))&amp;"","DOP"))</f>
        <v/>
      </c>
      <c r="O3074" s="20">
        <f>IF(I3074="","",C3074*IF(N3074="USD",TasaUSD,1))</f>
        <v/>
      </c>
      <c r="P3074" s="20">
        <f>IF(I3074="","",IF(I3074="Gasto",O3074,0))</f>
        <v/>
      </c>
      <c r="Q3074" s="20">
        <f>IF(I3074="","",IF(I3074="Ingreso",O3074,0))</f>
        <v/>
      </c>
      <c r="R3074" s="20">
        <f>IF(I3074="","",IF(I3074="Trading",O3074,0))</f>
        <v/>
      </c>
      <c r="S3074" s="19">
        <f>IF(I3074="","",IF(AND(I3074="Gasto",K3074="Variable",J3074&lt;&gt;"Trading",O3074&gt;0,O3074&lt;=Umbral),1,0))</f>
        <v/>
      </c>
      <c r="T3074" s="20">
        <f>IF(OR(I3074="",E3074=""),"",IF(OR(I3074="Gasto",I3074="Transferencia",I3074="Pago tarjeta"),-1,1)*C3074)</f>
        <v/>
      </c>
      <c r="U3074" s="20">
        <f>IF(OR(G3074="",AND(I3074&lt;&gt;"Transferencia",I3074&lt;&gt;"Pago tarjeta")),"",IF(IFERROR(INDEX(ctaMon,MATCH(G3074,ctaNom,0))&amp;"","DOP")=N3074,C3074,IF(N3074="USD",C3074*TasaUSD,C3074/TasaUSD)))</f>
        <v/>
      </c>
      <c r="V3074" s="20">
        <f>IF(I3074="","",IF(IFERROR(INDEX(ctaLiq,MATCH(E3074,ctaNom,0))="Sí",FALSE),IF(OR(I3074="Gasto",I3074="Transferencia",I3074="Pago tarjeta"),-1,1)*O3074,0)+IF(AND(U3074&lt;&gt;"",IFERROR(INDEX(ctaLiq,MATCH(G3074,ctaNom,0))="Sí",FALSE)),O3074,0))</f>
        <v/>
      </c>
      <c r="W3074" s="19">
        <f>IF(OR(F3074="",I3074=""),"",IF(COUNTIFS(F$6:F3074,F3074,I$6:I3074,"?*")=1,MAX(W$5:W3073)+1,""))</f>
        <v/>
      </c>
    </row>
    <row r="3075">
      <c r="B3075" s="15" t="n"/>
      <c r="C3075" s="16" t="n"/>
      <c r="D3075" s="17" t="n"/>
      <c r="E3075" s="17" t="n"/>
      <c r="F3075" s="17" t="n"/>
      <c r="G3075" s="17" t="n"/>
      <c r="H3075" s="18">
        <f>IF(AND(B3075="",C3075="",D3075="",E3075=""),"",IF(B3075="","⚠ Falta fecha",IF(C3075="","⚠ Falta monto",IF(D3075="","⚠ Falta categoría",IF(ISNA(MATCH(D3075,catNom,0)),"⚠ Categoría no existe",IF(E3075="","⚠ Falta cuenta",IF(ISNA(MATCH(E3075,ctaNom,0)),"⚠ Cuenta no existe",IF(AND(OR(I3075="Transferencia",I3075="Pago tarjeta"),G3075=""),"⚠ Indica la cuenta «Hacia»",IF(AND(G3075&lt;&gt;"",G3075=E3075),"⚠ «Hacia» igual a la cuenta",IF(AND(G3075&lt;&gt;"",ISNA(MATCH(G3075,ctaNom,0))),"⚠ «Hacia» no existe",IF(AND(I3075="Pago tarjeta",IFERROR(INDEX(ctaTipo,MATCH(G3075,ctaNom,0)),"")&lt;&gt;"Tarjeta de crédito"),"⚠ «Hacia» debe ser la tarjeta",IF(AND(I3075="Trading",IFERROR(INDEX(ctaTipo,MATCH(E3075,ctaNom,0)),"")&lt;&gt;"Cuenta de trading"),"⚠ Usa la cuenta de trading","✓"))))))))))))</f>
        <v/>
      </c>
      <c r="I3075" s="19">
        <f>IF(OR(B3075="",C3075="",D3075=""),"",IFERROR(INDEX(catTipo,MATCH(D3075,catNom,0))&amp;"",""))</f>
        <v/>
      </c>
      <c r="J3075" s="19">
        <f>IF(I3075="","",IFERROR(INDEX(catGrupo,MATCH(D3075,catNom,0))&amp;"",""))</f>
        <v/>
      </c>
      <c r="K3075" s="19">
        <f>IF(I3075="Gasto",IF(IFERROR(INDEX(catClas,MATCH(D3075,catNom,0))&amp;"","")="","Variable",IFERROR(INDEX(catClas,MATCH(D3075,catNom,0))&amp;"","")),"")</f>
        <v/>
      </c>
      <c r="L3075" s="19">
        <f>IF(I3075="","",IFERROR(INDEX(catAlim,MATCH(D3075,catNom,0))&amp;"",""))</f>
        <v/>
      </c>
      <c r="M3075" s="19">
        <f>IF(I3075="","",IFERROR(INDEX(catComida,MATCH(D3075,catNom,0))&amp;"",""))</f>
        <v/>
      </c>
      <c r="N3075" s="19">
        <f>IF(I3075="","",IFERROR(INDEX(ctaMon,MATCH(E3075,ctaNom,0))&amp;"","DOP"))</f>
        <v/>
      </c>
      <c r="O3075" s="20">
        <f>IF(I3075="","",C3075*IF(N3075="USD",TasaUSD,1))</f>
        <v/>
      </c>
      <c r="P3075" s="20">
        <f>IF(I3075="","",IF(I3075="Gasto",O3075,0))</f>
        <v/>
      </c>
      <c r="Q3075" s="20">
        <f>IF(I3075="","",IF(I3075="Ingreso",O3075,0))</f>
        <v/>
      </c>
      <c r="R3075" s="20">
        <f>IF(I3075="","",IF(I3075="Trading",O3075,0))</f>
        <v/>
      </c>
      <c r="S3075" s="19">
        <f>IF(I3075="","",IF(AND(I3075="Gasto",K3075="Variable",J3075&lt;&gt;"Trading",O3075&gt;0,O3075&lt;=Umbral),1,0))</f>
        <v/>
      </c>
      <c r="T3075" s="20">
        <f>IF(OR(I3075="",E3075=""),"",IF(OR(I3075="Gasto",I3075="Transferencia",I3075="Pago tarjeta"),-1,1)*C3075)</f>
        <v/>
      </c>
      <c r="U3075" s="20">
        <f>IF(OR(G3075="",AND(I3075&lt;&gt;"Transferencia",I3075&lt;&gt;"Pago tarjeta")),"",IF(IFERROR(INDEX(ctaMon,MATCH(G3075,ctaNom,0))&amp;"","DOP")=N3075,C3075,IF(N3075="USD",C3075*TasaUSD,C3075/TasaUSD)))</f>
        <v/>
      </c>
      <c r="V3075" s="20">
        <f>IF(I3075="","",IF(IFERROR(INDEX(ctaLiq,MATCH(E3075,ctaNom,0))="Sí",FALSE),IF(OR(I3075="Gasto",I3075="Transferencia",I3075="Pago tarjeta"),-1,1)*O3075,0)+IF(AND(U3075&lt;&gt;"",IFERROR(INDEX(ctaLiq,MATCH(G3075,ctaNom,0))="Sí",FALSE)),O3075,0))</f>
        <v/>
      </c>
      <c r="W3075" s="19">
        <f>IF(OR(F3075="",I3075=""),"",IF(COUNTIFS(F$6:F3075,F3075,I$6:I3075,"?*")=1,MAX(W$5:W3074)+1,""))</f>
        <v/>
      </c>
    </row>
    <row r="3076">
      <c r="B3076" s="15" t="n"/>
      <c r="C3076" s="16" t="n"/>
      <c r="D3076" s="17" t="n"/>
      <c r="E3076" s="17" t="n"/>
      <c r="F3076" s="17" t="n"/>
      <c r="G3076" s="17" t="n"/>
      <c r="H3076" s="18">
        <f>IF(AND(B3076="",C3076="",D3076="",E3076=""),"",IF(B3076="","⚠ Falta fecha",IF(C3076="","⚠ Falta monto",IF(D3076="","⚠ Falta categoría",IF(ISNA(MATCH(D3076,catNom,0)),"⚠ Categoría no existe",IF(E3076="","⚠ Falta cuenta",IF(ISNA(MATCH(E3076,ctaNom,0)),"⚠ Cuenta no existe",IF(AND(OR(I3076="Transferencia",I3076="Pago tarjeta"),G3076=""),"⚠ Indica la cuenta «Hacia»",IF(AND(G3076&lt;&gt;"",G3076=E3076),"⚠ «Hacia» igual a la cuenta",IF(AND(G3076&lt;&gt;"",ISNA(MATCH(G3076,ctaNom,0))),"⚠ «Hacia» no existe",IF(AND(I3076="Pago tarjeta",IFERROR(INDEX(ctaTipo,MATCH(G3076,ctaNom,0)),"")&lt;&gt;"Tarjeta de crédito"),"⚠ «Hacia» debe ser la tarjeta",IF(AND(I3076="Trading",IFERROR(INDEX(ctaTipo,MATCH(E3076,ctaNom,0)),"")&lt;&gt;"Cuenta de trading"),"⚠ Usa la cuenta de trading","✓"))))))))))))</f>
        <v/>
      </c>
      <c r="I3076" s="19">
        <f>IF(OR(B3076="",C3076="",D3076=""),"",IFERROR(INDEX(catTipo,MATCH(D3076,catNom,0))&amp;"",""))</f>
        <v/>
      </c>
      <c r="J3076" s="19">
        <f>IF(I3076="","",IFERROR(INDEX(catGrupo,MATCH(D3076,catNom,0))&amp;"",""))</f>
        <v/>
      </c>
      <c r="K3076" s="19">
        <f>IF(I3076="Gasto",IF(IFERROR(INDEX(catClas,MATCH(D3076,catNom,0))&amp;"","")="","Variable",IFERROR(INDEX(catClas,MATCH(D3076,catNom,0))&amp;"","")),"")</f>
        <v/>
      </c>
      <c r="L3076" s="19">
        <f>IF(I3076="","",IFERROR(INDEX(catAlim,MATCH(D3076,catNom,0))&amp;"",""))</f>
        <v/>
      </c>
      <c r="M3076" s="19">
        <f>IF(I3076="","",IFERROR(INDEX(catComida,MATCH(D3076,catNom,0))&amp;"",""))</f>
        <v/>
      </c>
      <c r="N3076" s="19">
        <f>IF(I3076="","",IFERROR(INDEX(ctaMon,MATCH(E3076,ctaNom,0))&amp;"","DOP"))</f>
        <v/>
      </c>
      <c r="O3076" s="20">
        <f>IF(I3076="","",C3076*IF(N3076="USD",TasaUSD,1))</f>
        <v/>
      </c>
      <c r="P3076" s="20">
        <f>IF(I3076="","",IF(I3076="Gasto",O3076,0))</f>
        <v/>
      </c>
      <c r="Q3076" s="20">
        <f>IF(I3076="","",IF(I3076="Ingreso",O3076,0))</f>
        <v/>
      </c>
      <c r="R3076" s="20">
        <f>IF(I3076="","",IF(I3076="Trading",O3076,0))</f>
        <v/>
      </c>
      <c r="S3076" s="19">
        <f>IF(I3076="","",IF(AND(I3076="Gasto",K3076="Variable",J3076&lt;&gt;"Trading",O3076&gt;0,O3076&lt;=Umbral),1,0))</f>
        <v/>
      </c>
      <c r="T3076" s="20">
        <f>IF(OR(I3076="",E3076=""),"",IF(OR(I3076="Gasto",I3076="Transferencia",I3076="Pago tarjeta"),-1,1)*C3076)</f>
        <v/>
      </c>
      <c r="U3076" s="20">
        <f>IF(OR(G3076="",AND(I3076&lt;&gt;"Transferencia",I3076&lt;&gt;"Pago tarjeta")),"",IF(IFERROR(INDEX(ctaMon,MATCH(G3076,ctaNom,0))&amp;"","DOP")=N3076,C3076,IF(N3076="USD",C3076*TasaUSD,C3076/TasaUSD)))</f>
        <v/>
      </c>
      <c r="V3076" s="20">
        <f>IF(I3076="","",IF(IFERROR(INDEX(ctaLiq,MATCH(E3076,ctaNom,0))="Sí",FALSE),IF(OR(I3076="Gasto",I3076="Transferencia",I3076="Pago tarjeta"),-1,1)*O3076,0)+IF(AND(U3076&lt;&gt;"",IFERROR(INDEX(ctaLiq,MATCH(G3076,ctaNom,0))="Sí",FALSE)),O3076,0))</f>
        <v/>
      </c>
      <c r="W3076" s="19">
        <f>IF(OR(F3076="",I3076=""),"",IF(COUNTIFS(F$6:F3076,F3076,I$6:I3076,"?*")=1,MAX(W$5:W3075)+1,""))</f>
        <v/>
      </c>
    </row>
    <row r="3077">
      <c r="B3077" s="15" t="n"/>
      <c r="C3077" s="16" t="n"/>
      <c r="D3077" s="17" t="n"/>
      <c r="E3077" s="17" t="n"/>
      <c r="F3077" s="17" t="n"/>
      <c r="G3077" s="17" t="n"/>
      <c r="H3077" s="18">
        <f>IF(AND(B3077="",C3077="",D3077="",E3077=""),"",IF(B3077="","⚠ Falta fecha",IF(C3077="","⚠ Falta monto",IF(D3077="","⚠ Falta categoría",IF(ISNA(MATCH(D3077,catNom,0)),"⚠ Categoría no existe",IF(E3077="","⚠ Falta cuenta",IF(ISNA(MATCH(E3077,ctaNom,0)),"⚠ Cuenta no existe",IF(AND(OR(I3077="Transferencia",I3077="Pago tarjeta"),G3077=""),"⚠ Indica la cuenta «Hacia»",IF(AND(G3077&lt;&gt;"",G3077=E3077),"⚠ «Hacia» igual a la cuenta",IF(AND(G3077&lt;&gt;"",ISNA(MATCH(G3077,ctaNom,0))),"⚠ «Hacia» no existe",IF(AND(I3077="Pago tarjeta",IFERROR(INDEX(ctaTipo,MATCH(G3077,ctaNom,0)),"")&lt;&gt;"Tarjeta de crédito"),"⚠ «Hacia» debe ser la tarjeta",IF(AND(I3077="Trading",IFERROR(INDEX(ctaTipo,MATCH(E3077,ctaNom,0)),"")&lt;&gt;"Cuenta de trading"),"⚠ Usa la cuenta de trading","✓"))))))))))))</f>
        <v/>
      </c>
      <c r="I3077" s="19">
        <f>IF(OR(B3077="",C3077="",D3077=""),"",IFERROR(INDEX(catTipo,MATCH(D3077,catNom,0))&amp;"",""))</f>
        <v/>
      </c>
      <c r="J3077" s="19">
        <f>IF(I3077="","",IFERROR(INDEX(catGrupo,MATCH(D3077,catNom,0))&amp;"",""))</f>
        <v/>
      </c>
      <c r="K3077" s="19">
        <f>IF(I3077="Gasto",IF(IFERROR(INDEX(catClas,MATCH(D3077,catNom,0))&amp;"","")="","Variable",IFERROR(INDEX(catClas,MATCH(D3077,catNom,0))&amp;"","")),"")</f>
        <v/>
      </c>
      <c r="L3077" s="19">
        <f>IF(I3077="","",IFERROR(INDEX(catAlim,MATCH(D3077,catNom,0))&amp;"",""))</f>
        <v/>
      </c>
      <c r="M3077" s="19">
        <f>IF(I3077="","",IFERROR(INDEX(catComida,MATCH(D3077,catNom,0))&amp;"",""))</f>
        <v/>
      </c>
      <c r="N3077" s="19">
        <f>IF(I3077="","",IFERROR(INDEX(ctaMon,MATCH(E3077,ctaNom,0))&amp;"","DOP"))</f>
        <v/>
      </c>
      <c r="O3077" s="20">
        <f>IF(I3077="","",C3077*IF(N3077="USD",TasaUSD,1))</f>
        <v/>
      </c>
      <c r="P3077" s="20">
        <f>IF(I3077="","",IF(I3077="Gasto",O3077,0))</f>
        <v/>
      </c>
      <c r="Q3077" s="20">
        <f>IF(I3077="","",IF(I3077="Ingreso",O3077,0))</f>
        <v/>
      </c>
      <c r="R3077" s="20">
        <f>IF(I3077="","",IF(I3077="Trading",O3077,0))</f>
        <v/>
      </c>
      <c r="S3077" s="19">
        <f>IF(I3077="","",IF(AND(I3077="Gasto",K3077="Variable",J3077&lt;&gt;"Trading",O3077&gt;0,O3077&lt;=Umbral),1,0))</f>
        <v/>
      </c>
      <c r="T3077" s="20">
        <f>IF(OR(I3077="",E3077=""),"",IF(OR(I3077="Gasto",I3077="Transferencia",I3077="Pago tarjeta"),-1,1)*C3077)</f>
        <v/>
      </c>
      <c r="U3077" s="20">
        <f>IF(OR(G3077="",AND(I3077&lt;&gt;"Transferencia",I3077&lt;&gt;"Pago tarjeta")),"",IF(IFERROR(INDEX(ctaMon,MATCH(G3077,ctaNom,0))&amp;"","DOP")=N3077,C3077,IF(N3077="USD",C3077*TasaUSD,C3077/TasaUSD)))</f>
        <v/>
      </c>
      <c r="V3077" s="20">
        <f>IF(I3077="","",IF(IFERROR(INDEX(ctaLiq,MATCH(E3077,ctaNom,0))="Sí",FALSE),IF(OR(I3077="Gasto",I3077="Transferencia",I3077="Pago tarjeta"),-1,1)*O3077,0)+IF(AND(U3077&lt;&gt;"",IFERROR(INDEX(ctaLiq,MATCH(G3077,ctaNom,0))="Sí",FALSE)),O3077,0))</f>
        <v/>
      </c>
      <c r="W3077" s="19">
        <f>IF(OR(F3077="",I3077=""),"",IF(COUNTIFS(F$6:F3077,F3077,I$6:I3077,"?*")=1,MAX(W$5:W3076)+1,""))</f>
        <v/>
      </c>
    </row>
    <row r="3078">
      <c r="B3078" s="15" t="n"/>
      <c r="C3078" s="16" t="n"/>
      <c r="D3078" s="17" t="n"/>
      <c r="E3078" s="17" t="n"/>
      <c r="F3078" s="17" t="n"/>
      <c r="G3078" s="17" t="n"/>
      <c r="H3078" s="18">
        <f>IF(AND(B3078="",C3078="",D3078="",E3078=""),"",IF(B3078="","⚠ Falta fecha",IF(C3078="","⚠ Falta monto",IF(D3078="","⚠ Falta categoría",IF(ISNA(MATCH(D3078,catNom,0)),"⚠ Categoría no existe",IF(E3078="","⚠ Falta cuenta",IF(ISNA(MATCH(E3078,ctaNom,0)),"⚠ Cuenta no existe",IF(AND(OR(I3078="Transferencia",I3078="Pago tarjeta"),G3078=""),"⚠ Indica la cuenta «Hacia»",IF(AND(G3078&lt;&gt;"",G3078=E3078),"⚠ «Hacia» igual a la cuenta",IF(AND(G3078&lt;&gt;"",ISNA(MATCH(G3078,ctaNom,0))),"⚠ «Hacia» no existe",IF(AND(I3078="Pago tarjeta",IFERROR(INDEX(ctaTipo,MATCH(G3078,ctaNom,0)),"")&lt;&gt;"Tarjeta de crédito"),"⚠ «Hacia» debe ser la tarjeta",IF(AND(I3078="Trading",IFERROR(INDEX(ctaTipo,MATCH(E3078,ctaNom,0)),"")&lt;&gt;"Cuenta de trading"),"⚠ Usa la cuenta de trading","✓"))))))))))))</f>
        <v/>
      </c>
      <c r="I3078" s="19">
        <f>IF(OR(B3078="",C3078="",D3078=""),"",IFERROR(INDEX(catTipo,MATCH(D3078,catNom,0))&amp;"",""))</f>
        <v/>
      </c>
      <c r="J3078" s="19">
        <f>IF(I3078="","",IFERROR(INDEX(catGrupo,MATCH(D3078,catNom,0))&amp;"",""))</f>
        <v/>
      </c>
      <c r="K3078" s="19">
        <f>IF(I3078="Gasto",IF(IFERROR(INDEX(catClas,MATCH(D3078,catNom,0))&amp;"","")="","Variable",IFERROR(INDEX(catClas,MATCH(D3078,catNom,0))&amp;"","")),"")</f>
        <v/>
      </c>
      <c r="L3078" s="19">
        <f>IF(I3078="","",IFERROR(INDEX(catAlim,MATCH(D3078,catNom,0))&amp;"",""))</f>
        <v/>
      </c>
      <c r="M3078" s="19">
        <f>IF(I3078="","",IFERROR(INDEX(catComida,MATCH(D3078,catNom,0))&amp;"",""))</f>
        <v/>
      </c>
      <c r="N3078" s="19">
        <f>IF(I3078="","",IFERROR(INDEX(ctaMon,MATCH(E3078,ctaNom,0))&amp;"","DOP"))</f>
        <v/>
      </c>
      <c r="O3078" s="20">
        <f>IF(I3078="","",C3078*IF(N3078="USD",TasaUSD,1))</f>
        <v/>
      </c>
      <c r="P3078" s="20">
        <f>IF(I3078="","",IF(I3078="Gasto",O3078,0))</f>
        <v/>
      </c>
      <c r="Q3078" s="20">
        <f>IF(I3078="","",IF(I3078="Ingreso",O3078,0))</f>
        <v/>
      </c>
      <c r="R3078" s="20">
        <f>IF(I3078="","",IF(I3078="Trading",O3078,0))</f>
        <v/>
      </c>
      <c r="S3078" s="19">
        <f>IF(I3078="","",IF(AND(I3078="Gasto",K3078="Variable",J3078&lt;&gt;"Trading",O3078&gt;0,O3078&lt;=Umbral),1,0))</f>
        <v/>
      </c>
      <c r="T3078" s="20">
        <f>IF(OR(I3078="",E3078=""),"",IF(OR(I3078="Gasto",I3078="Transferencia",I3078="Pago tarjeta"),-1,1)*C3078)</f>
        <v/>
      </c>
      <c r="U3078" s="20">
        <f>IF(OR(G3078="",AND(I3078&lt;&gt;"Transferencia",I3078&lt;&gt;"Pago tarjeta")),"",IF(IFERROR(INDEX(ctaMon,MATCH(G3078,ctaNom,0))&amp;"","DOP")=N3078,C3078,IF(N3078="USD",C3078*TasaUSD,C3078/TasaUSD)))</f>
        <v/>
      </c>
      <c r="V3078" s="20">
        <f>IF(I3078="","",IF(IFERROR(INDEX(ctaLiq,MATCH(E3078,ctaNom,0))="Sí",FALSE),IF(OR(I3078="Gasto",I3078="Transferencia",I3078="Pago tarjeta"),-1,1)*O3078,0)+IF(AND(U3078&lt;&gt;"",IFERROR(INDEX(ctaLiq,MATCH(G3078,ctaNom,0))="Sí",FALSE)),O3078,0))</f>
        <v/>
      </c>
      <c r="W3078" s="19">
        <f>IF(OR(F3078="",I3078=""),"",IF(COUNTIFS(F$6:F3078,F3078,I$6:I3078,"?*")=1,MAX(W$5:W3077)+1,""))</f>
        <v/>
      </c>
    </row>
    <row r="3079">
      <c r="B3079" s="15" t="n"/>
      <c r="C3079" s="16" t="n"/>
      <c r="D3079" s="17" t="n"/>
      <c r="E3079" s="17" t="n"/>
      <c r="F3079" s="17" t="n"/>
      <c r="G3079" s="17" t="n"/>
      <c r="H3079" s="18">
        <f>IF(AND(B3079="",C3079="",D3079="",E3079=""),"",IF(B3079="","⚠ Falta fecha",IF(C3079="","⚠ Falta monto",IF(D3079="","⚠ Falta categoría",IF(ISNA(MATCH(D3079,catNom,0)),"⚠ Categoría no existe",IF(E3079="","⚠ Falta cuenta",IF(ISNA(MATCH(E3079,ctaNom,0)),"⚠ Cuenta no existe",IF(AND(OR(I3079="Transferencia",I3079="Pago tarjeta"),G3079=""),"⚠ Indica la cuenta «Hacia»",IF(AND(G3079&lt;&gt;"",G3079=E3079),"⚠ «Hacia» igual a la cuenta",IF(AND(G3079&lt;&gt;"",ISNA(MATCH(G3079,ctaNom,0))),"⚠ «Hacia» no existe",IF(AND(I3079="Pago tarjeta",IFERROR(INDEX(ctaTipo,MATCH(G3079,ctaNom,0)),"")&lt;&gt;"Tarjeta de crédito"),"⚠ «Hacia» debe ser la tarjeta",IF(AND(I3079="Trading",IFERROR(INDEX(ctaTipo,MATCH(E3079,ctaNom,0)),"")&lt;&gt;"Cuenta de trading"),"⚠ Usa la cuenta de trading","✓"))))))))))))</f>
        <v/>
      </c>
      <c r="I3079" s="19">
        <f>IF(OR(B3079="",C3079="",D3079=""),"",IFERROR(INDEX(catTipo,MATCH(D3079,catNom,0))&amp;"",""))</f>
        <v/>
      </c>
      <c r="J3079" s="19">
        <f>IF(I3079="","",IFERROR(INDEX(catGrupo,MATCH(D3079,catNom,0))&amp;"",""))</f>
        <v/>
      </c>
      <c r="K3079" s="19">
        <f>IF(I3079="Gasto",IF(IFERROR(INDEX(catClas,MATCH(D3079,catNom,0))&amp;"","")="","Variable",IFERROR(INDEX(catClas,MATCH(D3079,catNom,0))&amp;"","")),"")</f>
        <v/>
      </c>
      <c r="L3079" s="19">
        <f>IF(I3079="","",IFERROR(INDEX(catAlim,MATCH(D3079,catNom,0))&amp;"",""))</f>
        <v/>
      </c>
      <c r="M3079" s="19">
        <f>IF(I3079="","",IFERROR(INDEX(catComida,MATCH(D3079,catNom,0))&amp;"",""))</f>
        <v/>
      </c>
      <c r="N3079" s="19">
        <f>IF(I3079="","",IFERROR(INDEX(ctaMon,MATCH(E3079,ctaNom,0))&amp;"","DOP"))</f>
        <v/>
      </c>
      <c r="O3079" s="20">
        <f>IF(I3079="","",C3079*IF(N3079="USD",TasaUSD,1))</f>
        <v/>
      </c>
      <c r="P3079" s="20">
        <f>IF(I3079="","",IF(I3079="Gasto",O3079,0))</f>
        <v/>
      </c>
      <c r="Q3079" s="20">
        <f>IF(I3079="","",IF(I3079="Ingreso",O3079,0))</f>
        <v/>
      </c>
      <c r="R3079" s="20">
        <f>IF(I3079="","",IF(I3079="Trading",O3079,0))</f>
        <v/>
      </c>
      <c r="S3079" s="19">
        <f>IF(I3079="","",IF(AND(I3079="Gasto",K3079="Variable",J3079&lt;&gt;"Trading",O3079&gt;0,O3079&lt;=Umbral),1,0))</f>
        <v/>
      </c>
      <c r="T3079" s="20">
        <f>IF(OR(I3079="",E3079=""),"",IF(OR(I3079="Gasto",I3079="Transferencia",I3079="Pago tarjeta"),-1,1)*C3079)</f>
        <v/>
      </c>
      <c r="U3079" s="20">
        <f>IF(OR(G3079="",AND(I3079&lt;&gt;"Transferencia",I3079&lt;&gt;"Pago tarjeta")),"",IF(IFERROR(INDEX(ctaMon,MATCH(G3079,ctaNom,0))&amp;"","DOP")=N3079,C3079,IF(N3079="USD",C3079*TasaUSD,C3079/TasaUSD)))</f>
        <v/>
      </c>
      <c r="V3079" s="20">
        <f>IF(I3079="","",IF(IFERROR(INDEX(ctaLiq,MATCH(E3079,ctaNom,0))="Sí",FALSE),IF(OR(I3079="Gasto",I3079="Transferencia",I3079="Pago tarjeta"),-1,1)*O3079,0)+IF(AND(U3079&lt;&gt;"",IFERROR(INDEX(ctaLiq,MATCH(G3079,ctaNom,0))="Sí",FALSE)),O3079,0))</f>
        <v/>
      </c>
      <c r="W3079" s="19">
        <f>IF(OR(F3079="",I3079=""),"",IF(COUNTIFS(F$6:F3079,F3079,I$6:I3079,"?*")=1,MAX(W$5:W3078)+1,""))</f>
        <v/>
      </c>
    </row>
    <row r="3080">
      <c r="B3080" s="15" t="n"/>
      <c r="C3080" s="16" t="n"/>
      <c r="D3080" s="17" t="n"/>
      <c r="E3080" s="17" t="n"/>
      <c r="F3080" s="17" t="n"/>
      <c r="G3080" s="17" t="n"/>
      <c r="H3080" s="18">
        <f>IF(AND(B3080="",C3080="",D3080="",E3080=""),"",IF(B3080="","⚠ Falta fecha",IF(C3080="","⚠ Falta monto",IF(D3080="","⚠ Falta categoría",IF(ISNA(MATCH(D3080,catNom,0)),"⚠ Categoría no existe",IF(E3080="","⚠ Falta cuenta",IF(ISNA(MATCH(E3080,ctaNom,0)),"⚠ Cuenta no existe",IF(AND(OR(I3080="Transferencia",I3080="Pago tarjeta"),G3080=""),"⚠ Indica la cuenta «Hacia»",IF(AND(G3080&lt;&gt;"",G3080=E3080),"⚠ «Hacia» igual a la cuenta",IF(AND(G3080&lt;&gt;"",ISNA(MATCH(G3080,ctaNom,0))),"⚠ «Hacia» no existe",IF(AND(I3080="Pago tarjeta",IFERROR(INDEX(ctaTipo,MATCH(G3080,ctaNom,0)),"")&lt;&gt;"Tarjeta de crédito"),"⚠ «Hacia» debe ser la tarjeta",IF(AND(I3080="Trading",IFERROR(INDEX(ctaTipo,MATCH(E3080,ctaNom,0)),"")&lt;&gt;"Cuenta de trading"),"⚠ Usa la cuenta de trading","✓"))))))))))))</f>
        <v/>
      </c>
      <c r="I3080" s="19">
        <f>IF(OR(B3080="",C3080="",D3080=""),"",IFERROR(INDEX(catTipo,MATCH(D3080,catNom,0))&amp;"",""))</f>
        <v/>
      </c>
      <c r="J3080" s="19">
        <f>IF(I3080="","",IFERROR(INDEX(catGrupo,MATCH(D3080,catNom,0))&amp;"",""))</f>
        <v/>
      </c>
      <c r="K3080" s="19">
        <f>IF(I3080="Gasto",IF(IFERROR(INDEX(catClas,MATCH(D3080,catNom,0))&amp;"","")="","Variable",IFERROR(INDEX(catClas,MATCH(D3080,catNom,0))&amp;"","")),"")</f>
        <v/>
      </c>
      <c r="L3080" s="19">
        <f>IF(I3080="","",IFERROR(INDEX(catAlim,MATCH(D3080,catNom,0))&amp;"",""))</f>
        <v/>
      </c>
      <c r="M3080" s="19">
        <f>IF(I3080="","",IFERROR(INDEX(catComida,MATCH(D3080,catNom,0))&amp;"",""))</f>
        <v/>
      </c>
      <c r="N3080" s="19">
        <f>IF(I3080="","",IFERROR(INDEX(ctaMon,MATCH(E3080,ctaNom,0))&amp;"","DOP"))</f>
        <v/>
      </c>
      <c r="O3080" s="20">
        <f>IF(I3080="","",C3080*IF(N3080="USD",TasaUSD,1))</f>
        <v/>
      </c>
      <c r="P3080" s="20">
        <f>IF(I3080="","",IF(I3080="Gasto",O3080,0))</f>
        <v/>
      </c>
      <c r="Q3080" s="20">
        <f>IF(I3080="","",IF(I3080="Ingreso",O3080,0))</f>
        <v/>
      </c>
      <c r="R3080" s="20">
        <f>IF(I3080="","",IF(I3080="Trading",O3080,0))</f>
        <v/>
      </c>
      <c r="S3080" s="19">
        <f>IF(I3080="","",IF(AND(I3080="Gasto",K3080="Variable",J3080&lt;&gt;"Trading",O3080&gt;0,O3080&lt;=Umbral),1,0))</f>
        <v/>
      </c>
      <c r="T3080" s="20">
        <f>IF(OR(I3080="",E3080=""),"",IF(OR(I3080="Gasto",I3080="Transferencia",I3080="Pago tarjeta"),-1,1)*C3080)</f>
        <v/>
      </c>
      <c r="U3080" s="20">
        <f>IF(OR(G3080="",AND(I3080&lt;&gt;"Transferencia",I3080&lt;&gt;"Pago tarjeta")),"",IF(IFERROR(INDEX(ctaMon,MATCH(G3080,ctaNom,0))&amp;"","DOP")=N3080,C3080,IF(N3080="USD",C3080*TasaUSD,C3080/TasaUSD)))</f>
        <v/>
      </c>
      <c r="V3080" s="20">
        <f>IF(I3080="","",IF(IFERROR(INDEX(ctaLiq,MATCH(E3080,ctaNom,0))="Sí",FALSE),IF(OR(I3080="Gasto",I3080="Transferencia",I3080="Pago tarjeta"),-1,1)*O3080,0)+IF(AND(U3080&lt;&gt;"",IFERROR(INDEX(ctaLiq,MATCH(G3080,ctaNom,0))="Sí",FALSE)),O3080,0))</f>
        <v/>
      </c>
      <c r="W3080" s="19">
        <f>IF(OR(F3080="",I3080=""),"",IF(COUNTIFS(F$6:F3080,F3080,I$6:I3080,"?*")=1,MAX(W$5:W3079)+1,""))</f>
        <v/>
      </c>
    </row>
    <row r="3081">
      <c r="B3081" s="15" t="n"/>
      <c r="C3081" s="16" t="n"/>
      <c r="D3081" s="17" t="n"/>
      <c r="E3081" s="17" t="n"/>
      <c r="F3081" s="17" t="n"/>
      <c r="G3081" s="17" t="n"/>
      <c r="H3081" s="18">
        <f>IF(AND(B3081="",C3081="",D3081="",E3081=""),"",IF(B3081="","⚠ Falta fecha",IF(C3081="","⚠ Falta monto",IF(D3081="","⚠ Falta categoría",IF(ISNA(MATCH(D3081,catNom,0)),"⚠ Categoría no existe",IF(E3081="","⚠ Falta cuenta",IF(ISNA(MATCH(E3081,ctaNom,0)),"⚠ Cuenta no existe",IF(AND(OR(I3081="Transferencia",I3081="Pago tarjeta"),G3081=""),"⚠ Indica la cuenta «Hacia»",IF(AND(G3081&lt;&gt;"",G3081=E3081),"⚠ «Hacia» igual a la cuenta",IF(AND(G3081&lt;&gt;"",ISNA(MATCH(G3081,ctaNom,0))),"⚠ «Hacia» no existe",IF(AND(I3081="Pago tarjeta",IFERROR(INDEX(ctaTipo,MATCH(G3081,ctaNom,0)),"")&lt;&gt;"Tarjeta de crédito"),"⚠ «Hacia» debe ser la tarjeta",IF(AND(I3081="Trading",IFERROR(INDEX(ctaTipo,MATCH(E3081,ctaNom,0)),"")&lt;&gt;"Cuenta de trading"),"⚠ Usa la cuenta de trading","✓"))))))))))))</f>
        <v/>
      </c>
      <c r="I3081" s="19">
        <f>IF(OR(B3081="",C3081="",D3081=""),"",IFERROR(INDEX(catTipo,MATCH(D3081,catNom,0))&amp;"",""))</f>
        <v/>
      </c>
      <c r="J3081" s="19">
        <f>IF(I3081="","",IFERROR(INDEX(catGrupo,MATCH(D3081,catNom,0))&amp;"",""))</f>
        <v/>
      </c>
      <c r="K3081" s="19">
        <f>IF(I3081="Gasto",IF(IFERROR(INDEX(catClas,MATCH(D3081,catNom,0))&amp;"","")="","Variable",IFERROR(INDEX(catClas,MATCH(D3081,catNom,0))&amp;"","")),"")</f>
        <v/>
      </c>
      <c r="L3081" s="19">
        <f>IF(I3081="","",IFERROR(INDEX(catAlim,MATCH(D3081,catNom,0))&amp;"",""))</f>
        <v/>
      </c>
      <c r="M3081" s="19">
        <f>IF(I3081="","",IFERROR(INDEX(catComida,MATCH(D3081,catNom,0))&amp;"",""))</f>
        <v/>
      </c>
      <c r="N3081" s="19">
        <f>IF(I3081="","",IFERROR(INDEX(ctaMon,MATCH(E3081,ctaNom,0))&amp;"","DOP"))</f>
        <v/>
      </c>
      <c r="O3081" s="20">
        <f>IF(I3081="","",C3081*IF(N3081="USD",TasaUSD,1))</f>
        <v/>
      </c>
      <c r="P3081" s="20">
        <f>IF(I3081="","",IF(I3081="Gasto",O3081,0))</f>
        <v/>
      </c>
      <c r="Q3081" s="20">
        <f>IF(I3081="","",IF(I3081="Ingreso",O3081,0))</f>
        <v/>
      </c>
      <c r="R3081" s="20">
        <f>IF(I3081="","",IF(I3081="Trading",O3081,0))</f>
        <v/>
      </c>
      <c r="S3081" s="19">
        <f>IF(I3081="","",IF(AND(I3081="Gasto",K3081="Variable",J3081&lt;&gt;"Trading",O3081&gt;0,O3081&lt;=Umbral),1,0))</f>
        <v/>
      </c>
      <c r="T3081" s="20">
        <f>IF(OR(I3081="",E3081=""),"",IF(OR(I3081="Gasto",I3081="Transferencia",I3081="Pago tarjeta"),-1,1)*C3081)</f>
        <v/>
      </c>
      <c r="U3081" s="20">
        <f>IF(OR(G3081="",AND(I3081&lt;&gt;"Transferencia",I3081&lt;&gt;"Pago tarjeta")),"",IF(IFERROR(INDEX(ctaMon,MATCH(G3081,ctaNom,0))&amp;"","DOP")=N3081,C3081,IF(N3081="USD",C3081*TasaUSD,C3081/TasaUSD)))</f>
        <v/>
      </c>
      <c r="V3081" s="20">
        <f>IF(I3081="","",IF(IFERROR(INDEX(ctaLiq,MATCH(E3081,ctaNom,0))="Sí",FALSE),IF(OR(I3081="Gasto",I3081="Transferencia",I3081="Pago tarjeta"),-1,1)*O3081,0)+IF(AND(U3081&lt;&gt;"",IFERROR(INDEX(ctaLiq,MATCH(G3081,ctaNom,0))="Sí",FALSE)),O3081,0))</f>
        <v/>
      </c>
      <c r="W3081" s="19">
        <f>IF(OR(F3081="",I3081=""),"",IF(COUNTIFS(F$6:F3081,F3081,I$6:I3081,"?*")=1,MAX(W$5:W3080)+1,""))</f>
        <v/>
      </c>
    </row>
    <row r="3082">
      <c r="B3082" s="15" t="n"/>
      <c r="C3082" s="16" t="n"/>
      <c r="D3082" s="17" t="n"/>
      <c r="E3082" s="17" t="n"/>
      <c r="F3082" s="17" t="n"/>
      <c r="G3082" s="17" t="n"/>
      <c r="H3082" s="18">
        <f>IF(AND(B3082="",C3082="",D3082="",E3082=""),"",IF(B3082="","⚠ Falta fecha",IF(C3082="","⚠ Falta monto",IF(D3082="","⚠ Falta categoría",IF(ISNA(MATCH(D3082,catNom,0)),"⚠ Categoría no existe",IF(E3082="","⚠ Falta cuenta",IF(ISNA(MATCH(E3082,ctaNom,0)),"⚠ Cuenta no existe",IF(AND(OR(I3082="Transferencia",I3082="Pago tarjeta"),G3082=""),"⚠ Indica la cuenta «Hacia»",IF(AND(G3082&lt;&gt;"",G3082=E3082),"⚠ «Hacia» igual a la cuenta",IF(AND(G3082&lt;&gt;"",ISNA(MATCH(G3082,ctaNom,0))),"⚠ «Hacia» no existe",IF(AND(I3082="Pago tarjeta",IFERROR(INDEX(ctaTipo,MATCH(G3082,ctaNom,0)),"")&lt;&gt;"Tarjeta de crédito"),"⚠ «Hacia» debe ser la tarjeta",IF(AND(I3082="Trading",IFERROR(INDEX(ctaTipo,MATCH(E3082,ctaNom,0)),"")&lt;&gt;"Cuenta de trading"),"⚠ Usa la cuenta de trading","✓"))))))))))))</f>
        <v/>
      </c>
      <c r="I3082" s="19">
        <f>IF(OR(B3082="",C3082="",D3082=""),"",IFERROR(INDEX(catTipo,MATCH(D3082,catNom,0))&amp;"",""))</f>
        <v/>
      </c>
      <c r="J3082" s="19">
        <f>IF(I3082="","",IFERROR(INDEX(catGrupo,MATCH(D3082,catNom,0))&amp;"",""))</f>
        <v/>
      </c>
      <c r="K3082" s="19">
        <f>IF(I3082="Gasto",IF(IFERROR(INDEX(catClas,MATCH(D3082,catNom,0))&amp;"","")="","Variable",IFERROR(INDEX(catClas,MATCH(D3082,catNom,0))&amp;"","")),"")</f>
        <v/>
      </c>
      <c r="L3082" s="19">
        <f>IF(I3082="","",IFERROR(INDEX(catAlim,MATCH(D3082,catNom,0))&amp;"",""))</f>
        <v/>
      </c>
      <c r="M3082" s="19">
        <f>IF(I3082="","",IFERROR(INDEX(catComida,MATCH(D3082,catNom,0))&amp;"",""))</f>
        <v/>
      </c>
      <c r="N3082" s="19">
        <f>IF(I3082="","",IFERROR(INDEX(ctaMon,MATCH(E3082,ctaNom,0))&amp;"","DOP"))</f>
        <v/>
      </c>
      <c r="O3082" s="20">
        <f>IF(I3082="","",C3082*IF(N3082="USD",TasaUSD,1))</f>
        <v/>
      </c>
      <c r="P3082" s="20">
        <f>IF(I3082="","",IF(I3082="Gasto",O3082,0))</f>
        <v/>
      </c>
      <c r="Q3082" s="20">
        <f>IF(I3082="","",IF(I3082="Ingreso",O3082,0))</f>
        <v/>
      </c>
      <c r="R3082" s="20">
        <f>IF(I3082="","",IF(I3082="Trading",O3082,0))</f>
        <v/>
      </c>
      <c r="S3082" s="19">
        <f>IF(I3082="","",IF(AND(I3082="Gasto",K3082="Variable",J3082&lt;&gt;"Trading",O3082&gt;0,O3082&lt;=Umbral),1,0))</f>
        <v/>
      </c>
      <c r="T3082" s="20">
        <f>IF(OR(I3082="",E3082=""),"",IF(OR(I3082="Gasto",I3082="Transferencia",I3082="Pago tarjeta"),-1,1)*C3082)</f>
        <v/>
      </c>
      <c r="U3082" s="20">
        <f>IF(OR(G3082="",AND(I3082&lt;&gt;"Transferencia",I3082&lt;&gt;"Pago tarjeta")),"",IF(IFERROR(INDEX(ctaMon,MATCH(G3082,ctaNom,0))&amp;"","DOP")=N3082,C3082,IF(N3082="USD",C3082*TasaUSD,C3082/TasaUSD)))</f>
        <v/>
      </c>
      <c r="V3082" s="20">
        <f>IF(I3082="","",IF(IFERROR(INDEX(ctaLiq,MATCH(E3082,ctaNom,0))="Sí",FALSE),IF(OR(I3082="Gasto",I3082="Transferencia",I3082="Pago tarjeta"),-1,1)*O3082,0)+IF(AND(U3082&lt;&gt;"",IFERROR(INDEX(ctaLiq,MATCH(G3082,ctaNom,0))="Sí",FALSE)),O3082,0))</f>
        <v/>
      </c>
      <c r="W3082" s="19">
        <f>IF(OR(F3082="",I3082=""),"",IF(COUNTIFS(F$6:F3082,F3082,I$6:I3082,"?*")=1,MAX(W$5:W3081)+1,""))</f>
        <v/>
      </c>
    </row>
    <row r="3083">
      <c r="B3083" s="15" t="n"/>
      <c r="C3083" s="16" t="n"/>
      <c r="D3083" s="17" t="n"/>
      <c r="E3083" s="17" t="n"/>
      <c r="F3083" s="17" t="n"/>
      <c r="G3083" s="17" t="n"/>
      <c r="H3083" s="18">
        <f>IF(AND(B3083="",C3083="",D3083="",E3083=""),"",IF(B3083="","⚠ Falta fecha",IF(C3083="","⚠ Falta monto",IF(D3083="","⚠ Falta categoría",IF(ISNA(MATCH(D3083,catNom,0)),"⚠ Categoría no existe",IF(E3083="","⚠ Falta cuenta",IF(ISNA(MATCH(E3083,ctaNom,0)),"⚠ Cuenta no existe",IF(AND(OR(I3083="Transferencia",I3083="Pago tarjeta"),G3083=""),"⚠ Indica la cuenta «Hacia»",IF(AND(G3083&lt;&gt;"",G3083=E3083),"⚠ «Hacia» igual a la cuenta",IF(AND(G3083&lt;&gt;"",ISNA(MATCH(G3083,ctaNom,0))),"⚠ «Hacia» no existe",IF(AND(I3083="Pago tarjeta",IFERROR(INDEX(ctaTipo,MATCH(G3083,ctaNom,0)),"")&lt;&gt;"Tarjeta de crédito"),"⚠ «Hacia» debe ser la tarjeta",IF(AND(I3083="Trading",IFERROR(INDEX(ctaTipo,MATCH(E3083,ctaNom,0)),"")&lt;&gt;"Cuenta de trading"),"⚠ Usa la cuenta de trading","✓"))))))))))))</f>
        <v/>
      </c>
      <c r="I3083" s="19">
        <f>IF(OR(B3083="",C3083="",D3083=""),"",IFERROR(INDEX(catTipo,MATCH(D3083,catNom,0))&amp;"",""))</f>
        <v/>
      </c>
      <c r="J3083" s="19">
        <f>IF(I3083="","",IFERROR(INDEX(catGrupo,MATCH(D3083,catNom,0))&amp;"",""))</f>
        <v/>
      </c>
      <c r="K3083" s="19">
        <f>IF(I3083="Gasto",IF(IFERROR(INDEX(catClas,MATCH(D3083,catNom,0))&amp;"","")="","Variable",IFERROR(INDEX(catClas,MATCH(D3083,catNom,0))&amp;"","")),"")</f>
        <v/>
      </c>
      <c r="L3083" s="19">
        <f>IF(I3083="","",IFERROR(INDEX(catAlim,MATCH(D3083,catNom,0))&amp;"",""))</f>
        <v/>
      </c>
      <c r="M3083" s="19">
        <f>IF(I3083="","",IFERROR(INDEX(catComida,MATCH(D3083,catNom,0))&amp;"",""))</f>
        <v/>
      </c>
      <c r="N3083" s="19">
        <f>IF(I3083="","",IFERROR(INDEX(ctaMon,MATCH(E3083,ctaNom,0))&amp;"","DOP"))</f>
        <v/>
      </c>
      <c r="O3083" s="20">
        <f>IF(I3083="","",C3083*IF(N3083="USD",TasaUSD,1))</f>
        <v/>
      </c>
      <c r="P3083" s="20">
        <f>IF(I3083="","",IF(I3083="Gasto",O3083,0))</f>
        <v/>
      </c>
      <c r="Q3083" s="20">
        <f>IF(I3083="","",IF(I3083="Ingreso",O3083,0))</f>
        <v/>
      </c>
      <c r="R3083" s="20">
        <f>IF(I3083="","",IF(I3083="Trading",O3083,0))</f>
        <v/>
      </c>
      <c r="S3083" s="19">
        <f>IF(I3083="","",IF(AND(I3083="Gasto",K3083="Variable",J3083&lt;&gt;"Trading",O3083&gt;0,O3083&lt;=Umbral),1,0))</f>
        <v/>
      </c>
      <c r="T3083" s="20">
        <f>IF(OR(I3083="",E3083=""),"",IF(OR(I3083="Gasto",I3083="Transferencia",I3083="Pago tarjeta"),-1,1)*C3083)</f>
        <v/>
      </c>
      <c r="U3083" s="20">
        <f>IF(OR(G3083="",AND(I3083&lt;&gt;"Transferencia",I3083&lt;&gt;"Pago tarjeta")),"",IF(IFERROR(INDEX(ctaMon,MATCH(G3083,ctaNom,0))&amp;"","DOP")=N3083,C3083,IF(N3083="USD",C3083*TasaUSD,C3083/TasaUSD)))</f>
        <v/>
      </c>
      <c r="V3083" s="20">
        <f>IF(I3083="","",IF(IFERROR(INDEX(ctaLiq,MATCH(E3083,ctaNom,0))="Sí",FALSE),IF(OR(I3083="Gasto",I3083="Transferencia",I3083="Pago tarjeta"),-1,1)*O3083,0)+IF(AND(U3083&lt;&gt;"",IFERROR(INDEX(ctaLiq,MATCH(G3083,ctaNom,0))="Sí",FALSE)),O3083,0))</f>
        <v/>
      </c>
      <c r="W3083" s="19">
        <f>IF(OR(F3083="",I3083=""),"",IF(COUNTIFS(F$6:F3083,F3083,I$6:I3083,"?*")=1,MAX(W$5:W3082)+1,""))</f>
        <v/>
      </c>
    </row>
    <row r="3084">
      <c r="B3084" s="15" t="n"/>
      <c r="C3084" s="16" t="n"/>
      <c r="D3084" s="17" t="n"/>
      <c r="E3084" s="17" t="n"/>
      <c r="F3084" s="17" t="n"/>
      <c r="G3084" s="17" t="n"/>
      <c r="H3084" s="18">
        <f>IF(AND(B3084="",C3084="",D3084="",E3084=""),"",IF(B3084="","⚠ Falta fecha",IF(C3084="","⚠ Falta monto",IF(D3084="","⚠ Falta categoría",IF(ISNA(MATCH(D3084,catNom,0)),"⚠ Categoría no existe",IF(E3084="","⚠ Falta cuenta",IF(ISNA(MATCH(E3084,ctaNom,0)),"⚠ Cuenta no existe",IF(AND(OR(I3084="Transferencia",I3084="Pago tarjeta"),G3084=""),"⚠ Indica la cuenta «Hacia»",IF(AND(G3084&lt;&gt;"",G3084=E3084),"⚠ «Hacia» igual a la cuenta",IF(AND(G3084&lt;&gt;"",ISNA(MATCH(G3084,ctaNom,0))),"⚠ «Hacia» no existe",IF(AND(I3084="Pago tarjeta",IFERROR(INDEX(ctaTipo,MATCH(G3084,ctaNom,0)),"")&lt;&gt;"Tarjeta de crédito"),"⚠ «Hacia» debe ser la tarjeta",IF(AND(I3084="Trading",IFERROR(INDEX(ctaTipo,MATCH(E3084,ctaNom,0)),"")&lt;&gt;"Cuenta de trading"),"⚠ Usa la cuenta de trading","✓"))))))))))))</f>
        <v/>
      </c>
      <c r="I3084" s="19">
        <f>IF(OR(B3084="",C3084="",D3084=""),"",IFERROR(INDEX(catTipo,MATCH(D3084,catNom,0))&amp;"",""))</f>
        <v/>
      </c>
      <c r="J3084" s="19">
        <f>IF(I3084="","",IFERROR(INDEX(catGrupo,MATCH(D3084,catNom,0))&amp;"",""))</f>
        <v/>
      </c>
      <c r="K3084" s="19">
        <f>IF(I3084="Gasto",IF(IFERROR(INDEX(catClas,MATCH(D3084,catNom,0))&amp;"","")="","Variable",IFERROR(INDEX(catClas,MATCH(D3084,catNom,0))&amp;"","")),"")</f>
        <v/>
      </c>
      <c r="L3084" s="19">
        <f>IF(I3084="","",IFERROR(INDEX(catAlim,MATCH(D3084,catNom,0))&amp;"",""))</f>
        <v/>
      </c>
      <c r="M3084" s="19">
        <f>IF(I3084="","",IFERROR(INDEX(catComida,MATCH(D3084,catNom,0))&amp;"",""))</f>
        <v/>
      </c>
      <c r="N3084" s="19">
        <f>IF(I3084="","",IFERROR(INDEX(ctaMon,MATCH(E3084,ctaNom,0))&amp;"","DOP"))</f>
        <v/>
      </c>
      <c r="O3084" s="20">
        <f>IF(I3084="","",C3084*IF(N3084="USD",TasaUSD,1))</f>
        <v/>
      </c>
      <c r="P3084" s="20">
        <f>IF(I3084="","",IF(I3084="Gasto",O3084,0))</f>
        <v/>
      </c>
      <c r="Q3084" s="20">
        <f>IF(I3084="","",IF(I3084="Ingreso",O3084,0))</f>
        <v/>
      </c>
      <c r="R3084" s="20">
        <f>IF(I3084="","",IF(I3084="Trading",O3084,0))</f>
        <v/>
      </c>
      <c r="S3084" s="19">
        <f>IF(I3084="","",IF(AND(I3084="Gasto",K3084="Variable",J3084&lt;&gt;"Trading",O3084&gt;0,O3084&lt;=Umbral),1,0))</f>
        <v/>
      </c>
      <c r="T3084" s="20">
        <f>IF(OR(I3084="",E3084=""),"",IF(OR(I3084="Gasto",I3084="Transferencia",I3084="Pago tarjeta"),-1,1)*C3084)</f>
        <v/>
      </c>
      <c r="U3084" s="20">
        <f>IF(OR(G3084="",AND(I3084&lt;&gt;"Transferencia",I3084&lt;&gt;"Pago tarjeta")),"",IF(IFERROR(INDEX(ctaMon,MATCH(G3084,ctaNom,0))&amp;"","DOP")=N3084,C3084,IF(N3084="USD",C3084*TasaUSD,C3084/TasaUSD)))</f>
        <v/>
      </c>
      <c r="V3084" s="20">
        <f>IF(I3084="","",IF(IFERROR(INDEX(ctaLiq,MATCH(E3084,ctaNom,0))="Sí",FALSE),IF(OR(I3084="Gasto",I3084="Transferencia",I3084="Pago tarjeta"),-1,1)*O3084,0)+IF(AND(U3084&lt;&gt;"",IFERROR(INDEX(ctaLiq,MATCH(G3084,ctaNom,0))="Sí",FALSE)),O3084,0))</f>
        <v/>
      </c>
      <c r="W3084" s="19">
        <f>IF(OR(F3084="",I3084=""),"",IF(COUNTIFS(F$6:F3084,F3084,I$6:I3084,"?*")=1,MAX(W$5:W3083)+1,""))</f>
        <v/>
      </c>
    </row>
    <row r="3085">
      <c r="B3085" s="15" t="n"/>
      <c r="C3085" s="16" t="n"/>
      <c r="D3085" s="17" t="n"/>
      <c r="E3085" s="17" t="n"/>
      <c r="F3085" s="17" t="n"/>
      <c r="G3085" s="17" t="n"/>
      <c r="H3085" s="18">
        <f>IF(AND(B3085="",C3085="",D3085="",E3085=""),"",IF(B3085="","⚠ Falta fecha",IF(C3085="","⚠ Falta monto",IF(D3085="","⚠ Falta categoría",IF(ISNA(MATCH(D3085,catNom,0)),"⚠ Categoría no existe",IF(E3085="","⚠ Falta cuenta",IF(ISNA(MATCH(E3085,ctaNom,0)),"⚠ Cuenta no existe",IF(AND(OR(I3085="Transferencia",I3085="Pago tarjeta"),G3085=""),"⚠ Indica la cuenta «Hacia»",IF(AND(G3085&lt;&gt;"",G3085=E3085),"⚠ «Hacia» igual a la cuenta",IF(AND(G3085&lt;&gt;"",ISNA(MATCH(G3085,ctaNom,0))),"⚠ «Hacia» no existe",IF(AND(I3085="Pago tarjeta",IFERROR(INDEX(ctaTipo,MATCH(G3085,ctaNom,0)),"")&lt;&gt;"Tarjeta de crédito"),"⚠ «Hacia» debe ser la tarjeta",IF(AND(I3085="Trading",IFERROR(INDEX(ctaTipo,MATCH(E3085,ctaNom,0)),"")&lt;&gt;"Cuenta de trading"),"⚠ Usa la cuenta de trading","✓"))))))))))))</f>
        <v/>
      </c>
      <c r="I3085" s="19">
        <f>IF(OR(B3085="",C3085="",D3085=""),"",IFERROR(INDEX(catTipo,MATCH(D3085,catNom,0))&amp;"",""))</f>
        <v/>
      </c>
      <c r="J3085" s="19">
        <f>IF(I3085="","",IFERROR(INDEX(catGrupo,MATCH(D3085,catNom,0))&amp;"",""))</f>
        <v/>
      </c>
      <c r="K3085" s="19">
        <f>IF(I3085="Gasto",IF(IFERROR(INDEX(catClas,MATCH(D3085,catNom,0))&amp;"","")="","Variable",IFERROR(INDEX(catClas,MATCH(D3085,catNom,0))&amp;"","")),"")</f>
        <v/>
      </c>
      <c r="L3085" s="19">
        <f>IF(I3085="","",IFERROR(INDEX(catAlim,MATCH(D3085,catNom,0))&amp;"",""))</f>
        <v/>
      </c>
      <c r="M3085" s="19">
        <f>IF(I3085="","",IFERROR(INDEX(catComida,MATCH(D3085,catNom,0))&amp;"",""))</f>
        <v/>
      </c>
      <c r="N3085" s="19">
        <f>IF(I3085="","",IFERROR(INDEX(ctaMon,MATCH(E3085,ctaNom,0))&amp;"","DOP"))</f>
        <v/>
      </c>
      <c r="O3085" s="20">
        <f>IF(I3085="","",C3085*IF(N3085="USD",TasaUSD,1))</f>
        <v/>
      </c>
      <c r="P3085" s="20">
        <f>IF(I3085="","",IF(I3085="Gasto",O3085,0))</f>
        <v/>
      </c>
      <c r="Q3085" s="20">
        <f>IF(I3085="","",IF(I3085="Ingreso",O3085,0))</f>
        <v/>
      </c>
      <c r="R3085" s="20">
        <f>IF(I3085="","",IF(I3085="Trading",O3085,0))</f>
        <v/>
      </c>
      <c r="S3085" s="19">
        <f>IF(I3085="","",IF(AND(I3085="Gasto",K3085="Variable",J3085&lt;&gt;"Trading",O3085&gt;0,O3085&lt;=Umbral),1,0))</f>
        <v/>
      </c>
      <c r="T3085" s="20">
        <f>IF(OR(I3085="",E3085=""),"",IF(OR(I3085="Gasto",I3085="Transferencia",I3085="Pago tarjeta"),-1,1)*C3085)</f>
        <v/>
      </c>
      <c r="U3085" s="20">
        <f>IF(OR(G3085="",AND(I3085&lt;&gt;"Transferencia",I3085&lt;&gt;"Pago tarjeta")),"",IF(IFERROR(INDEX(ctaMon,MATCH(G3085,ctaNom,0))&amp;"","DOP")=N3085,C3085,IF(N3085="USD",C3085*TasaUSD,C3085/TasaUSD)))</f>
        <v/>
      </c>
      <c r="V3085" s="20">
        <f>IF(I3085="","",IF(IFERROR(INDEX(ctaLiq,MATCH(E3085,ctaNom,0))="Sí",FALSE),IF(OR(I3085="Gasto",I3085="Transferencia",I3085="Pago tarjeta"),-1,1)*O3085,0)+IF(AND(U3085&lt;&gt;"",IFERROR(INDEX(ctaLiq,MATCH(G3085,ctaNom,0))="Sí",FALSE)),O3085,0))</f>
        <v/>
      </c>
      <c r="W3085" s="19">
        <f>IF(OR(F3085="",I3085=""),"",IF(COUNTIFS(F$6:F3085,F3085,I$6:I3085,"?*")=1,MAX(W$5:W3084)+1,""))</f>
        <v/>
      </c>
    </row>
    <row r="3086">
      <c r="B3086" s="15" t="n"/>
      <c r="C3086" s="16" t="n"/>
      <c r="D3086" s="17" t="n"/>
      <c r="E3086" s="17" t="n"/>
      <c r="F3086" s="17" t="n"/>
      <c r="G3086" s="17" t="n"/>
      <c r="H3086" s="18">
        <f>IF(AND(B3086="",C3086="",D3086="",E3086=""),"",IF(B3086="","⚠ Falta fecha",IF(C3086="","⚠ Falta monto",IF(D3086="","⚠ Falta categoría",IF(ISNA(MATCH(D3086,catNom,0)),"⚠ Categoría no existe",IF(E3086="","⚠ Falta cuenta",IF(ISNA(MATCH(E3086,ctaNom,0)),"⚠ Cuenta no existe",IF(AND(OR(I3086="Transferencia",I3086="Pago tarjeta"),G3086=""),"⚠ Indica la cuenta «Hacia»",IF(AND(G3086&lt;&gt;"",G3086=E3086),"⚠ «Hacia» igual a la cuenta",IF(AND(G3086&lt;&gt;"",ISNA(MATCH(G3086,ctaNom,0))),"⚠ «Hacia» no existe",IF(AND(I3086="Pago tarjeta",IFERROR(INDEX(ctaTipo,MATCH(G3086,ctaNom,0)),"")&lt;&gt;"Tarjeta de crédito"),"⚠ «Hacia» debe ser la tarjeta",IF(AND(I3086="Trading",IFERROR(INDEX(ctaTipo,MATCH(E3086,ctaNom,0)),"")&lt;&gt;"Cuenta de trading"),"⚠ Usa la cuenta de trading","✓"))))))))))))</f>
        <v/>
      </c>
      <c r="I3086" s="19">
        <f>IF(OR(B3086="",C3086="",D3086=""),"",IFERROR(INDEX(catTipo,MATCH(D3086,catNom,0))&amp;"",""))</f>
        <v/>
      </c>
      <c r="J3086" s="19">
        <f>IF(I3086="","",IFERROR(INDEX(catGrupo,MATCH(D3086,catNom,0))&amp;"",""))</f>
        <v/>
      </c>
      <c r="K3086" s="19">
        <f>IF(I3086="Gasto",IF(IFERROR(INDEX(catClas,MATCH(D3086,catNom,0))&amp;"","")="","Variable",IFERROR(INDEX(catClas,MATCH(D3086,catNom,0))&amp;"","")),"")</f>
        <v/>
      </c>
      <c r="L3086" s="19">
        <f>IF(I3086="","",IFERROR(INDEX(catAlim,MATCH(D3086,catNom,0))&amp;"",""))</f>
        <v/>
      </c>
      <c r="M3086" s="19">
        <f>IF(I3086="","",IFERROR(INDEX(catComida,MATCH(D3086,catNom,0))&amp;"",""))</f>
        <v/>
      </c>
      <c r="N3086" s="19">
        <f>IF(I3086="","",IFERROR(INDEX(ctaMon,MATCH(E3086,ctaNom,0))&amp;"","DOP"))</f>
        <v/>
      </c>
      <c r="O3086" s="20">
        <f>IF(I3086="","",C3086*IF(N3086="USD",TasaUSD,1))</f>
        <v/>
      </c>
      <c r="P3086" s="20">
        <f>IF(I3086="","",IF(I3086="Gasto",O3086,0))</f>
        <v/>
      </c>
      <c r="Q3086" s="20">
        <f>IF(I3086="","",IF(I3086="Ingreso",O3086,0))</f>
        <v/>
      </c>
      <c r="R3086" s="20">
        <f>IF(I3086="","",IF(I3086="Trading",O3086,0))</f>
        <v/>
      </c>
      <c r="S3086" s="19">
        <f>IF(I3086="","",IF(AND(I3086="Gasto",K3086="Variable",J3086&lt;&gt;"Trading",O3086&gt;0,O3086&lt;=Umbral),1,0))</f>
        <v/>
      </c>
      <c r="T3086" s="20">
        <f>IF(OR(I3086="",E3086=""),"",IF(OR(I3086="Gasto",I3086="Transferencia",I3086="Pago tarjeta"),-1,1)*C3086)</f>
        <v/>
      </c>
      <c r="U3086" s="20">
        <f>IF(OR(G3086="",AND(I3086&lt;&gt;"Transferencia",I3086&lt;&gt;"Pago tarjeta")),"",IF(IFERROR(INDEX(ctaMon,MATCH(G3086,ctaNom,0))&amp;"","DOP")=N3086,C3086,IF(N3086="USD",C3086*TasaUSD,C3086/TasaUSD)))</f>
        <v/>
      </c>
      <c r="V3086" s="20">
        <f>IF(I3086="","",IF(IFERROR(INDEX(ctaLiq,MATCH(E3086,ctaNom,0))="Sí",FALSE),IF(OR(I3086="Gasto",I3086="Transferencia",I3086="Pago tarjeta"),-1,1)*O3086,0)+IF(AND(U3086&lt;&gt;"",IFERROR(INDEX(ctaLiq,MATCH(G3086,ctaNom,0))="Sí",FALSE)),O3086,0))</f>
        <v/>
      </c>
      <c r="W3086" s="19">
        <f>IF(OR(F3086="",I3086=""),"",IF(COUNTIFS(F$6:F3086,F3086,I$6:I3086,"?*")=1,MAX(W$5:W3085)+1,""))</f>
        <v/>
      </c>
    </row>
    <row r="3087">
      <c r="B3087" s="15" t="n"/>
      <c r="C3087" s="16" t="n"/>
      <c r="D3087" s="17" t="n"/>
      <c r="E3087" s="17" t="n"/>
      <c r="F3087" s="17" t="n"/>
      <c r="G3087" s="17" t="n"/>
      <c r="H3087" s="18">
        <f>IF(AND(B3087="",C3087="",D3087="",E3087=""),"",IF(B3087="","⚠ Falta fecha",IF(C3087="","⚠ Falta monto",IF(D3087="","⚠ Falta categoría",IF(ISNA(MATCH(D3087,catNom,0)),"⚠ Categoría no existe",IF(E3087="","⚠ Falta cuenta",IF(ISNA(MATCH(E3087,ctaNom,0)),"⚠ Cuenta no existe",IF(AND(OR(I3087="Transferencia",I3087="Pago tarjeta"),G3087=""),"⚠ Indica la cuenta «Hacia»",IF(AND(G3087&lt;&gt;"",G3087=E3087),"⚠ «Hacia» igual a la cuenta",IF(AND(G3087&lt;&gt;"",ISNA(MATCH(G3087,ctaNom,0))),"⚠ «Hacia» no existe",IF(AND(I3087="Pago tarjeta",IFERROR(INDEX(ctaTipo,MATCH(G3087,ctaNom,0)),"")&lt;&gt;"Tarjeta de crédito"),"⚠ «Hacia» debe ser la tarjeta",IF(AND(I3087="Trading",IFERROR(INDEX(ctaTipo,MATCH(E3087,ctaNom,0)),"")&lt;&gt;"Cuenta de trading"),"⚠ Usa la cuenta de trading","✓"))))))))))))</f>
        <v/>
      </c>
      <c r="I3087" s="19">
        <f>IF(OR(B3087="",C3087="",D3087=""),"",IFERROR(INDEX(catTipo,MATCH(D3087,catNom,0))&amp;"",""))</f>
        <v/>
      </c>
      <c r="J3087" s="19">
        <f>IF(I3087="","",IFERROR(INDEX(catGrupo,MATCH(D3087,catNom,0))&amp;"",""))</f>
        <v/>
      </c>
      <c r="K3087" s="19">
        <f>IF(I3087="Gasto",IF(IFERROR(INDEX(catClas,MATCH(D3087,catNom,0))&amp;"","")="","Variable",IFERROR(INDEX(catClas,MATCH(D3087,catNom,0))&amp;"","")),"")</f>
        <v/>
      </c>
      <c r="L3087" s="19">
        <f>IF(I3087="","",IFERROR(INDEX(catAlim,MATCH(D3087,catNom,0))&amp;"",""))</f>
        <v/>
      </c>
      <c r="M3087" s="19">
        <f>IF(I3087="","",IFERROR(INDEX(catComida,MATCH(D3087,catNom,0))&amp;"",""))</f>
        <v/>
      </c>
      <c r="N3087" s="19">
        <f>IF(I3087="","",IFERROR(INDEX(ctaMon,MATCH(E3087,ctaNom,0))&amp;"","DOP"))</f>
        <v/>
      </c>
      <c r="O3087" s="20">
        <f>IF(I3087="","",C3087*IF(N3087="USD",TasaUSD,1))</f>
        <v/>
      </c>
      <c r="P3087" s="20">
        <f>IF(I3087="","",IF(I3087="Gasto",O3087,0))</f>
        <v/>
      </c>
      <c r="Q3087" s="20">
        <f>IF(I3087="","",IF(I3087="Ingreso",O3087,0))</f>
        <v/>
      </c>
      <c r="R3087" s="20">
        <f>IF(I3087="","",IF(I3087="Trading",O3087,0))</f>
        <v/>
      </c>
      <c r="S3087" s="19">
        <f>IF(I3087="","",IF(AND(I3087="Gasto",K3087="Variable",J3087&lt;&gt;"Trading",O3087&gt;0,O3087&lt;=Umbral),1,0))</f>
        <v/>
      </c>
      <c r="T3087" s="20">
        <f>IF(OR(I3087="",E3087=""),"",IF(OR(I3087="Gasto",I3087="Transferencia",I3087="Pago tarjeta"),-1,1)*C3087)</f>
        <v/>
      </c>
      <c r="U3087" s="20">
        <f>IF(OR(G3087="",AND(I3087&lt;&gt;"Transferencia",I3087&lt;&gt;"Pago tarjeta")),"",IF(IFERROR(INDEX(ctaMon,MATCH(G3087,ctaNom,0))&amp;"","DOP")=N3087,C3087,IF(N3087="USD",C3087*TasaUSD,C3087/TasaUSD)))</f>
        <v/>
      </c>
      <c r="V3087" s="20">
        <f>IF(I3087="","",IF(IFERROR(INDEX(ctaLiq,MATCH(E3087,ctaNom,0))="Sí",FALSE),IF(OR(I3087="Gasto",I3087="Transferencia",I3087="Pago tarjeta"),-1,1)*O3087,0)+IF(AND(U3087&lt;&gt;"",IFERROR(INDEX(ctaLiq,MATCH(G3087,ctaNom,0))="Sí",FALSE)),O3087,0))</f>
        <v/>
      </c>
      <c r="W3087" s="19">
        <f>IF(OR(F3087="",I3087=""),"",IF(COUNTIFS(F$6:F3087,F3087,I$6:I3087,"?*")=1,MAX(W$5:W3086)+1,""))</f>
        <v/>
      </c>
    </row>
    <row r="3088">
      <c r="B3088" s="15" t="n"/>
      <c r="C3088" s="16" t="n"/>
      <c r="D3088" s="17" t="n"/>
      <c r="E3088" s="17" t="n"/>
      <c r="F3088" s="17" t="n"/>
      <c r="G3088" s="17" t="n"/>
      <c r="H3088" s="18">
        <f>IF(AND(B3088="",C3088="",D3088="",E3088=""),"",IF(B3088="","⚠ Falta fecha",IF(C3088="","⚠ Falta monto",IF(D3088="","⚠ Falta categoría",IF(ISNA(MATCH(D3088,catNom,0)),"⚠ Categoría no existe",IF(E3088="","⚠ Falta cuenta",IF(ISNA(MATCH(E3088,ctaNom,0)),"⚠ Cuenta no existe",IF(AND(OR(I3088="Transferencia",I3088="Pago tarjeta"),G3088=""),"⚠ Indica la cuenta «Hacia»",IF(AND(G3088&lt;&gt;"",G3088=E3088),"⚠ «Hacia» igual a la cuenta",IF(AND(G3088&lt;&gt;"",ISNA(MATCH(G3088,ctaNom,0))),"⚠ «Hacia» no existe",IF(AND(I3088="Pago tarjeta",IFERROR(INDEX(ctaTipo,MATCH(G3088,ctaNom,0)),"")&lt;&gt;"Tarjeta de crédito"),"⚠ «Hacia» debe ser la tarjeta",IF(AND(I3088="Trading",IFERROR(INDEX(ctaTipo,MATCH(E3088,ctaNom,0)),"")&lt;&gt;"Cuenta de trading"),"⚠ Usa la cuenta de trading","✓"))))))))))))</f>
        <v/>
      </c>
      <c r="I3088" s="19">
        <f>IF(OR(B3088="",C3088="",D3088=""),"",IFERROR(INDEX(catTipo,MATCH(D3088,catNom,0))&amp;"",""))</f>
        <v/>
      </c>
      <c r="J3088" s="19">
        <f>IF(I3088="","",IFERROR(INDEX(catGrupo,MATCH(D3088,catNom,0))&amp;"",""))</f>
        <v/>
      </c>
      <c r="K3088" s="19">
        <f>IF(I3088="Gasto",IF(IFERROR(INDEX(catClas,MATCH(D3088,catNom,0))&amp;"","")="","Variable",IFERROR(INDEX(catClas,MATCH(D3088,catNom,0))&amp;"","")),"")</f>
        <v/>
      </c>
      <c r="L3088" s="19">
        <f>IF(I3088="","",IFERROR(INDEX(catAlim,MATCH(D3088,catNom,0))&amp;"",""))</f>
        <v/>
      </c>
      <c r="M3088" s="19">
        <f>IF(I3088="","",IFERROR(INDEX(catComida,MATCH(D3088,catNom,0))&amp;"",""))</f>
        <v/>
      </c>
      <c r="N3088" s="19">
        <f>IF(I3088="","",IFERROR(INDEX(ctaMon,MATCH(E3088,ctaNom,0))&amp;"","DOP"))</f>
        <v/>
      </c>
      <c r="O3088" s="20">
        <f>IF(I3088="","",C3088*IF(N3088="USD",TasaUSD,1))</f>
        <v/>
      </c>
      <c r="P3088" s="20">
        <f>IF(I3088="","",IF(I3088="Gasto",O3088,0))</f>
        <v/>
      </c>
      <c r="Q3088" s="20">
        <f>IF(I3088="","",IF(I3088="Ingreso",O3088,0))</f>
        <v/>
      </c>
      <c r="R3088" s="20">
        <f>IF(I3088="","",IF(I3088="Trading",O3088,0))</f>
        <v/>
      </c>
      <c r="S3088" s="19">
        <f>IF(I3088="","",IF(AND(I3088="Gasto",K3088="Variable",J3088&lt;&gt;"Trading",O3088&gt;0,O3088&lt;=Umbral),1,0))</f>
        <v/>
      </c>
      <c r="T3088" s="20">
        <f>IF(OR(I3088="",E3088=""),"",IF(OR(I3088="Gasto",I3088="Transferencia",I3088="Pago tarjeta"),-1,1)*C3088)</f>
        <v/>
      </c>
      <c r="U3088" s="20">
        <f>IF(OR(G3088="",AND(I3088&lt;&gt;"Transferencia",I3088&lt;&gt;"Pago tarjeta")),"",IF(IFERROR(INDEX(ctaMon,MATCH(G3088,ctaNom,0))&amp;"","DOP")=N3088,C3088,IF(N3088="USD",C3088*TasaUSD,C3088/TasaUSD)))</f>
        <v/>
      </c>
      <c r="V3088" s="20">
        <f>IF(I3088="","",IF(IFERROR(INDEX(ctaLiq,MATCH(E3088,ctaNom,0))="Sí",FALSE),IF(OR(I3088="Gasto",I3088="Transferencia",I3088="Pago tarjeta"),-1,1)*O3088,0)+IF(AND(U3088&lt;&gt;"",IFERROR(INDEX(ctaLiq,MATCH(G3088,ctaNom,0))="Sí",FALSE)),O3088,0))</f>
        <v/>
      </c>
      <c r="W3088" s="19">
        <f>IF(OR(F3088="",I3088=""),"",IF(COUNTIFS(F$6:F3088,F3088,I$6:I3088,"?*")=1,MAX(W$5:W3087)+1,""))</f>
        <v/>
      </c>
    </row>
    <row r="3089">
      <c r="B3089" s="15" t="n"/>
      <c r="C3089" s="16" t="n"/>
      <c r="D3089" s="17" t="n"/>
      <c r="E3089" s="17" t="n"/>
      <c r="F3089" s="17" t="n"/>
      <c r="G3089" s="17" t="n"/>
      <c r="H3089" s="18">
        <f>IF(AND(B3089="",C3089="",D3089="",E3089=""),"",IF(B3089="","⚠ Falta fecha",IF(C3089="","⚠ Falta monto",IF(D3089="","⚠ Falta categoría",IF(ISNA(MATCH(D3089,catNom,0)),"⚠ Categoría no existe",IF(E3089="","⚠ Falta cuenta",IF(ISNA(MATCH(E3089,ctaNom,0)),"⚠ Cuenta no existe",IF(AND(OR(I3089="Transferencia",I3089="Pago tarjeta"),G3089=""),"⚠ Indica la cuenta «Hacia»",IF(AND(G3089&lt;&gt;"",G3089=E3089),"⚠ «Hacia» igual a la cuenta",IF(AND(G3089&lt;&gt;"",ISNA(MATCH(G3089,ctaNom,0))),"⚠ «Hacia» no existe",IF(AND(I3089="Pago tarjeta",IFERROR(INDEX(ctaTipo,MATCH(G3089,ctaNom,0)),"")&lt;&gt;"Tarjeta de crédito"),"⚠ «Hacia» debe ser la tarjeta",IF(AND(I3089="Trading",IFERROR(INDEX(ctaTipo,MATCH(E3089,ctaNom,0)),"")&lt;&gt;"Cuenta de trading"),"⚠ Usa la cuenta de trading","✓"))))))))))))</f>
        <v/>
      </c>
      <c r="I3089" s="19">
        <f>IF(OR(B3089="",C3089="",D3089=""),"",IFERROR(INDEX(catTipo,MATCH(D3089,catNom,0))&amp;"",""))</f>
        <v/>
      </c>
      <c r="J3089" s="19">
        <f>IF(I3089="","",IFERROR(INDEX(catGrupo,MATCH(D3089,catNom,0))&amp;"",""))</f>
        <v/>
      </c>
      <c r="K3089" s="19">
        <f>IF(I3089="Gasto",IF(IFERROR(INDEX(catClas,MATCH(D3089,catNom,0))&amp;"","")="","Variable",IFERROR(INDEX(catClas,MATCH(D3089,catNom,0))&amp;"","")),"")</f>
        <v/>
      </c>
      <c r="L3089" s="19">
        <f>IF(I3089="","",IFERROR(INDEX(catAlim,MATCH(D3089,catNom,0))&amp;"",""))</f>
        <v/>
      </c>
      <c r="M3089" s="19">
        <f>IF(I3089="","",IFERROR(INDEX(catComida,MATCH(D3089,catNom,0))&amp;"",""))</f>
        <v/>
      </c>
      <c r="N3089" s="19">
        <f>IF(I3089="","",IFERROR(INDEX(ctaMon,MATCH(E3089,ctaNom,0))&amp;"","DOP"))</f>
        <v/>
      </c>
      <c r="O3089" s="20">
        <f>IF(I3089="","",C3089*IF(N3089="USD",TasaUSD,1))</f>
        <v/>
      </c>
      <c r="P3089" s="20">
        <f>IF(I3089="","",IF(I3089="Gasto",O3089,0))</f>
        <v/>
      </c>
      <c r="Q3089" s="20">
        <f>IF(I3089="","",IF(I3089="Ingreso",O3089,0))</f>
        <v/>
      </c>
      <c r="R3089" s="20">
        <f>IF(I3089="","",IF(I3089="Trading",O3089,0))</f>
        <v/>
      </c>
      <c r="S3089" s="19">
        <f>IF(I3089="","",IF(AND(I3089="Gasto",K3089="Variable",J3089&lt;&gt;"Trading",O3089&gt;0,O3089&lt;=Umbral),1,0))</f>
        <v/>
      </c>
      <c r="T3089" s="20">
        <f>IF(OR(I3089="",E3089=""),"",IF(OR(I3089="Gasto",I3089="Transferencia",I3089="Pago tarjeta"),-1,1)*C3089)</f>
        <v/>
      </c>
      <c r="U3089" s="20">
        <f>IF(OR(G3089="",AND(I3089&lt;&gt;"Transferencia",I3089&lt;&gt;"Pago tarjeta")),"",IF(IFERROR(INDEX(ctaMon,MATCH(G3089,ctaNom,0))&amp;"","DOP")=N3089,C3089,IF(N3089="USD",C3089*TasaUSD,C3089/TasaUSD)))</f>
        <v/>
      </c>
      <c r="V3089" s="20">
        <f>IF(I3089="","",IF(IFERROR(INDEX(ctaLiq,MATCH(E3089,ctaNom,0))="Sí",FALSE),IF(OR(I3089="Gasto",I3089="Transferencia",I3089="Pago tarjeta"),-1,1)*O3089,0)+IF(AND(U3089&lt;&gt;"",IFERROR(INDEX(ctaLiq,MATCH(G3089,ctaNom,0))="Sí",FALSE)),O3089,0))</f>
        <v/>
      </c>
      <c r="W3089" s="19">
        <f>IF(OR(F3089="",I3089=""),"",IF(COUNTIFS(F$6:F3089,F3089,I$6:I3089,"?*")=1,MAX(W$5:W3088)+1,""))</f>
        <v/>
      </c>
    </row>
    <row r="3090">
      <c r="B3090" s="15" t="n"/>
      <c r="C3090" s="16" t="n"/>
      <c r="D3090" s="17" t="n"/>
      <c r="E3090" s="17" t="n"/>
      <c r="F3090" s="17" t="n"/>
      <c r="G3090" s="17" t="n"/>
      <c r="H3090" s="18">
        <f>IF(AND(B3090="",C3090="",D3090="",E3090=""),"",IF(B3090="","⚠ Falta fecha",IF(C3090="","⚠ Falta monto",IF(D3090="","⚠ Falta categoría",IF(ISNA(MATCH(D3090,catNom,0)),"⚠ Categoría no existe",IF(E3090="","⚠ Falta cuenta",IF(ISNA(MATCH(E3090,ctaNom,0)),"⚠ Cuenta no existe",IF(AND(OR(I3090="Transferencia",I3090="Pago tarjeta"),G3090=""),"⚠ Indica la cuenta «Hacia»",IF(AND(G3090&lt;&gt;"",G3090=E3090),"⚠ «Hacia» igual a la cuenta",IF(AND(G3090&lt;&gt;"",ISNA(MATCH(G3090,ctaNom,0))),"⚠ «Hacia» no existe",IF(AND(I3090="Pago tarjeta",IFERROR(INDEX(ctaTipo,MATCH(G3090,ctaNom,0)),"")&lt;&gt;"Tarjeta de crédito"),"⚠ «Hacia» debe ser la tarjeta",IF(AND(I3090="Trading",IFERROR(INDEX(ctaTipo,MATCH(E3090,ctaNom,0)),"")&lt;&gt;"Cuenta de trading"),"⚠ Usa la cuenta de trading","✓"))))))))))))</f>
        <v/>
      </c>
      <c r="I3090" s="19">
        <f>IF(OR(B3090="",C3090="",D3090=""),"",IFERROR(INDEX(catTipo,MATCH(D3090,catNom,0))&amp;"",""))</f>
        <v/>
      </c>
      <c r="J3090" s="19">
        <f>IF(I3090="","",IFERROR(INDEX(catGrupo,MATCH(D3090,catNom,0))&amp;"",""))</f>
        <v/>
      </c>
      <c r="K3090" s="19">
        <f>IF(I3090="Gasto",IF(IFERROR(INDEX(catClas,MATCH(D3090,catNom,0))&amp;"","")="","Variable",IFERROR(INDEX(catClas,MATCH(D3090,catNom,0))&amp;"","")),"")</f>
        <v/>
      </c>
      <c r="L3090" s="19">
        <f>IF(I3090="","",IFERROR(INDEX(catAlim,MATCH(D3090,catNom,0))&amp;"",""))</f>
        <v/>
      </c>
      <c r="M3090" s="19">
        <f>IF(I3090="","",IFERROR(INDEX(catComida,MATCH(D3090,catNom,0))&amp;"",""))</f>
        <v/>
      </c>
      <c r="N3090" s="19">
        <f>IF(I3090="","",IFERROR(INDEX(ctaMon,MATCH(E3090,ctaNom,0))&amp;"","DOP"))</f>
        <v/>
      </c>
      <c r="O3090" s="20">
        <f>IF(I3090="","",C3090*IF(N3090="USD",TasaUSD,1))</f>
        <v/>
      </c>
      <c r="P3090" s="20">
        <f>IF(I3090="","",IF(I3090="Gasto",O3090,0))</f>
        <v/>
      </c>
      <c r="Q3090" s="20">
        <f>IF(I3090="","",IF(I3090="Ingreso",O3090,0))</f>
        <v/>
      </c>
      <c r="R3090" s="20">
        <f>IF(I3090="","",IF(I3090="Trading",O3090,0))</f>
        <v/>
      </c>
      <c r="S3090" s="19">
        <f>IF(I3090="","",IF(AND(I3090="Gasto",K3090="Variable",J3090&lt;&gt;"Trading",O3090&gt;0,O3090&lt;=Umbral),1,0))</f>
        <v/>
      </c>
      <c r="T3090" s="20">
        <f>IF(OR(I3090="",E3090=""),"",IF(OR(I3090="Gasto",I3090="Transferencia",I3090="Pago tarjeta"),-1,1)*C3090)</f>
        <v/>
      </c>
      <c r="U3090" s="20">
        <f>IF(OR(G3090="",AND(I3090&lt;&gt;"Transferencia",I3090&lt;&gt;"Pago tarjeta")),"",IF(IFERROR(INDEX(ctaMon,MATCH(G3090,ctaNom,0))&amp;"","DOP")=N3090,C3090,IF(N3090="USD",C3090*TasaUSD,C3090/TasaUSD)))</f>
        <v/>
      </c>
      <c r="V3090" s="20">
        <f>IF(I3090="","",IF(IFERROR(INDEX(ctaLiq,MATCH(E3090,ctaNom,0))="Sí",FALSE),IF(OR(I3090="Gasto",I3090="Transferencia",I3090="Pago tarjeta"),-1,1)*O3090,0)+IF(AND(U3090&lt;&gt;"",IFERROR(INDEX(ctaLiq,MATCH(G3090,ctaNom,0))="Sí",FALSE)),O3090,0))</f>
        <v/>
      </c>
      <c r="W3090" s="19">
        <f>IF(OR(F3090="",I3090=""),"",IF(COUNTIFS(F$6:F3090,F3090,I$6:I3090,"?*")=1,MAX(W$5:W3089)+1,""))</f>
        <v/>
      </c>
    </row>
    <row r="3091">
      <c r="B3091" s="15" t="n"/>
      <c r="C3091" s="16" t="n"/>
      <c r="D3091" s="17" t="n"/>
      <c r="E3091" s="17" t="n"/>
      <c r="F3091" s="17" t="n"/>
      <c r="G3091" s="17" t="n"/>
      <c r="H3091" s="18">
        <f>IF(AND(B3091="",C3091="",D3091="",E3091=""),"",IF(B3091="","⚠ Falta fecha",IF(C3091="","⚠ Falta monto",IF(D3091="","⚠ Falta categoría",IF(ISNA(MATCH(D3091,catNom,0)),"⚠ Categoría no existe",IF(E3091="","⚠ Falta cuenta",IF(ISNA(MATCH(E3091,ctaNom,0)),"⚠ Cuenta no existe",IF(AND(OR(I3091="Transferencia",I3091="Pago tarjeta"),G3091=""),"⚠ Indica la cuenta «Hacia»",IF(AND(G3091&lt;&gt;"",G3091=E3091),"⚠ «Hacia» igual a la cuenta",IF(AND(G3091&lt;&gt;"",ISNA(MATCH(G3091,ctaNom,0))),"⚠ «Hacia» no existe",IF(AND(I3091="Pago tarjeta",IFERROR(INDEX(ctaTipo,MATCH(G3091,ctaNom,0)),"")&lt;&gt;"Tarjeta de crédito"),"⚠ «Hacia» debe ser la tarjeta",IF(AND(I3091="Trading",IFERROR(INDEX(ctaTipo,MATCH(E3091,ctaNom,0)),"")&lt;&gt;"Cuenta de trading"),"⚠ Usa la cuenta de trading","✓"))))))))))))</f>
        <v/>
      </c>
      <c r="I3091" s="19">
        <f>IF(OR(B3091="",C3091="",D3091=""),"",IFERROR(INDEX(catTipo,MATCH(D3091,catNom,0))&amp;"",""))</f>
        <v/>
      </c>
      <c r="J3091" s="19">
        <f>IF(I3091="","",IFERROR(INDEX(catGrupo,MATCH(D3091,catNom,0))&amp;"",""))</f>
        <v/>
      </c>
      <c r="K3091" s="19">
        <f>IF(I3091="Gasto",IF(IFERROR(INDEX(catClas,MATCH(D3091,catNom,0))&amp;"","")="","Variable",IFERROR(INDEX(catClas,MATCH(D3091,catNom,0))&amp;"","")),"")</f>
        <v/>
      </c>
      <c r="L3091" s="19">
        <f>IF(I3091="","",IFERROR(INDEX(catAlim,MATCH(D3091,catNom,0))&amp;"",""))</f>
        <v/>
      </c>
      <c r="M3091" s="19">
        <f>IF(I3091="","",IFERROR(INDEX(catComida,MATCH(D3091,catNom,0))&amp;"",""))</f>
        <v/>
      </c>
      <c r="N3091" s="19">
        <f>IF(I3091="","",IFERROR(INDEX(ctaMon,MATCH(E3091,ctaNom,0))&amp;"","DOP"))</f>
        <v/>
      </c>
      <c r="O3091" s="20">
        <f>IF(I3091="","",C3091*IF(N3091="USD",TasaUSD,1))</f>
        <v/>
      </c>
      <c r="P3091" s="20">
        <f>IF(I3091="","",IF(I3091="Gasto",O3091,0))</f>
        <v/>
      </c>
      <c r="Q3091" s="20">
        <f>IF(I3091="","",IF(I3091="Ingreso",O3091,0))</f>
        <v/>
      </c>
      <c r="R3091" s="20">
        <f>IF(I3091="","",IF(I3091="Trading",O3091,0))</f>
        <v/>
      </c>
      <c r="S3091" s="19">
        <f>IF(I3091="","",IF(AND(I3091="Gasto",K3091="Variable",J3091&lt;&gt;"Trading",O3091&gt;0,O3091&lt;=Umbral),1,0))</f>
        <v/>
      </c>
      <c r="T3091" s="20">
        <f>IF(OR(I3091="",E3091=""),"",IF(OR(I3091="Gasto",I3091="Transferencia",I3091="Pago tarjeta"),-1,1)*C3091)</f>
        <v/>
      </c>
      <c r="U3091" s="20">
        <f>IF(OR(G3091="",AND(I3091&lt;&gt;"Transferencia",I3091&lt;&gt;"Pago tarjeta")),"",IF(IFERROR(INDEX(ctaMon,MATCH(G3091,ctaNom,0))&amp;"","DOP")=N3091,C3091,IF(N3091="USD",C3091*TasaUSD,C3091/TasaUSD)))</f>
        <v/>
      </c>
      <c r="V3091" s="20">
        <f>IF(I3091="","",IF(IFERROR(INDEX(ctaLiq,MATCH(E3091,ctaNom,0))="Sí",FALSE),IF(OR(I3091="Gasto",I3091="Transferencia",I3091="Pago tarjeta"),-1,1)*O3091,0)+IF(AND(U3091&lt;&gt;"",IFERROR(INDEX(ctaLiq,MATCH(G3091,ctaNom,0))="Sí",FALSE)),O3091,0))</f>
        <v/>
      </c>
      <c r="W3091" s="19">
        <f>IF(OR(F3091="",I3091=""),"",IF(COUNTIFS(F$6:F3091,F3091,I$6:I3091,"?*")=1,MAX(W$5:W3090)+1,""))</f>
        <v/>
      </c>
    </row>
    <row r="3092">
      <c r="B3092" s="15" t="n"/>
      <c r="C3092" s="16" t="n"/>
      <c r="D3092" s="17" t="n"/>
      <c r="E3092" s="17" t="n"/>
      <c r="F3092" s="17" t="n"/>
      <c r="G3092" s="17" t="n"/>
      <c r="H3092" s="18">
        <f>IF(AND(B3092="",C3092="",D3092="",E3092=""),"",IF(B3092="","⚠ Falta fecha",IF(C3092="","⚠ Falta monto",IF(D3092="","⚠ Falta categoría",IF(ISNA(MATCH(D3092,catNom,0)),"⚠ Categoría no existe",IF(E3092="","⚠ Falta cuenta",IF(ISNA(MATCH(E3092,ctaNom,0)),"⚠ Cuenta no existe",IF(AND(OR(I3092="Transferencia",I3092="Pago tarjeta"),G3092=""),"⚠ Indica la cuenta «Hacia»",IF(AND(G3092&lt;&gt;"",G3092=E3092),"⚠ «Hacia» igual a la cuenta",IF(AND(G3092&lt;&gt;"",ISNA(MATCH(G3092,ctaNom,0))),"⚠ «Hacia» no existe",IF(AND(I3092="Pago tarjeta",IFERROR(INDEX(ctaTipo,MATCH(G3092,ctaNom,0)),"")&lt;&gt;"Tarjeta de crédito"),"⚠ «Hacia» debe ser la tarjeta",IF(AND(I3092="Trading",IFERROR(INDEX(ctaTipo,MATCH(E3092,ctaNom,0)),"")&lt;&gt;"Cuenta de trading"),"⚠ Usa la cuenta de trading","✓"))))))))))))</f>
        <v/>
      </c>
      <c r="I3092" s="19">
        <f>IF(OR(B3092="",C3092="",D3092=""),"",IFERROR(INDEX(catTipo,MATCH(D3092,catNom,0))&amp;"",""))</f>
        <v/>
      </c>
      <c r="J3092" s="19">
        <f>IF(I3092="","",IFERROR(INDEX(catGrupo,MATCH(D3092,catNom,0))&amp;"",""))</f>
        <v/>
      </c>
      <c r="K3092" s="19">
        <f>IF(I3092="Gasto",IF(IFERROR(INDEX(catClas,MATCH(D3092,catNom,0))&amp;"","")="","Variable",IFERROR(INDEX(catClas,MATCH(D3092,catNom,0))&amp;"","")),"")</f>
        <v/>
      </c>
      <c r="L3092" s="19">
        <f>IF(I3092="","",IFERROR(INDEX(catAlim,MATCH(D3092,catNom,0))&amp;"",""))</f>
        <v/>
      </c>
      <c r="M3092" s="19">
        <f>IF(I3092="","",IFERROR(INDEX(catComida,MATCH(D3092,catNom,0))&amp;"",""))</f>
        <v/>
      </c>
      <c r="N3092" s="19">
        <f>IF(I3092="","",IFERROR(INDEX(ctaMon,MATCH(E3092,ctaNom,0))&amp;"","DOP"))</f>
        <v/>
      </c>
      <c r="O3092" s="20">
        <f>IF(I3092="","",C3092*IF(N3092="USD",TasaUSD,1))</f>
        <v/>
      </c>
      <c r="P3092" s="20">
        <f>IF(I3092="","",IF(I3092="Gasto",O3092,0))</f>
        <v/>
      </c>
      <c r="Q3092" s="20">
        <f>IF(I3092="","",IF(I3092="Ingreso",O3092,0))</f>
        <v/>
      </c>
      <c r="R3092" s="20">
        <f>IF(I3092="","",IF(I3092="Trading",O3092,0))</f>
        <v/>
      </c>
      <c r="S3092" s="19">
        <f>IF(I3092="","",IF(AND(I3092="Gasto",K3092="Variable",J3092&lt;&gt;"Trading",O3092&gt;0,O3092&lt;=Umbral),1,0))</f>
        <v/>
      </c>
      <c r="T3092" s="20">
        <f>IF(OR(I3092="",E3092=""),"",IF(OR(I3092="Gasto",I3092="Transferencia",I3092="Pago tarjeta"),-1,1)*C3092)</f>
        <v/>
      </c>
      <c r="U3092" s="20">
        <f>IF(OR(G3092="",AND(I3092&lt;&gt;"Transferencia",I3092&lt;&gt;"Pago tarjeta")),"",IF(IFERROR(INDEX(ctaMon,MATCH(G3092,ctaNom,0))&amp;"","DOP")=N3092,C3092,IF(N3092="USD",C3092*TasaUSD,C3092/TasaUSD)))</f>
        <v/>
      </c>
      <c r="V3092" s="20">
        <f>IF(I3092="","",IF(IFERROR(INDEX(ctaLiq,MATCH(E3092,ctaNom,0))="Sí",FALSE),IF(OR(I3092="Gasto",I3092="Transferencia",I3092="Pago tarjeta"),-1,1)*O3092,0)+IF(AND(U3092&lt;&gt;"",IFERROR(INDEX(ctaLiq,MATCH(G3092,ctaNom,0))="Sí",FALSE)),O3092,0))</f>
        <v/>
      </c>
      <c r="W3092" s="19">
        <f>IF(OR(F3092="",I3092=""),"",IF(COUNTIFS(F$6:F3092,F3092,I$6:I3092,"?*")=1,MAX(W$5:W3091)+1,""))</f>
        <v/>
      </c>
    </row>
    <row r="3093">
      <c r="B3093" s="15" t="n"/>
      <c r="C3093" s="16" t="n"/>
      <c r="D3093" s="17" t="n"/>
      <c r="E3093" s="17" t="n"/>
      <c r="F3093" s="17" t="n"/>
      <c r="G3093" s="17" t="n"/>
      <c r="H3093" s="18">
        <f>IF(AND(B3093="",C3093="",D3093="",E3093=""),"",IF(B3093="","⚠ Falta fecha",IF(C3093="","⚠ Falta monto",IF(D3093="","⚠ Falta categoría",IF(ISNA(MATCH(D3093,catNom,0)),"⚠ Categoría no existe",IF(E3093="","⚠ Falta cuenta",IF(ISNA(MATCH(E3093,ctaNom,0)),"⚠ Cuenta no existe",IF(AND(OR(I3093="Transferencia",I3093="Pago tarjeta"),G3093=""),"⚠ Indica la cuenta «Hacia»",IF(AND(G3093&lt;&gt;"",G3093=E3093),"⚠ «Hacia» igual a la cuenta",IF(AND(G3093&lt;&gt;"",ISNA(MATCH(G3093,ctaNom,0))),"⚠ «Hacia» no existe",IF(AND(I3093="Pago tarjeta",IFERROR(INDEX(ctaTipo,MATCH(G3093,ctaNom,0)),"")&lt;&gt;"Tarjeta de crédito"),"⚠ «Hacia» debe ser la tarjeta",IF(AND(I3093="Trading",IFERROR(INDEX(ctaTipo,MATCH(E3093,ctaNom,0)),"")&lt;&gt;"Cuenta de trading"),"⚠ Usa la cuenta de trading","✓"))))))))))))</f>
        <v/>
      </c>
      <c r="I3093" s="19">
        <f>IF(OR(B3093="",C3093="",D3093=""),"",IFERROR(INDEX(catTipo,MATCH(D3093,catNom,0))&amp;"",""))</f>
        <v/>
      </c>
      <c r="J3093" s="19">
        <f>IF(I3093="","",IFERROR(INDEX(catGrupo,MATCH(D3093,catNom,0))&amp;"",""))</f>
        <v/>
      </c>
      <c r="K3093" s="19">
        <f>IF(I3093="Gasto",IF(IFERROR(INDEX(catClas,MATCH(D3093,catNom,0))&amp;"","")="","Variable",IFERROR(INDEX(catClas,MATCH(D3093,catNom,0))&amp;"","")),"")</f>
        <v/>
      </c>
      <c r="L3093" s="19">
        <f>IF(I3093="","",IFERROR(INDEX(catAlim,MATCH(D3093,catNom,0))&amp;"",""))</f>
        <v/>
      </c>
      <c r="M3093" s="19">
        <f>IF(I3093="","",IFERROR(INDEX(catComida,MATCH(D3093,catNom,0))&amp;"",""))</f>
        <v/>
      </c>
      <c r="N3093" s="19">
        <f>IF(I3093="","",IFERROR(INDEX(ctaMon,MATCH(E3093,ctaNom,0))&amp;"","DOP"))</f>
        <v/>
      </c>
      <c r="O3093" s="20">
        <f>IF(I3093="","",C3093*IF(N3093="USD",TasaUSD,1))</f>
        <v/>
      </c>
      <c r="P3093" s="20">
        <f>IF(I3093="","",IF(I3093="Gasto",O3093,0))</f>
        <v/>
      </c>
      <c r="Q3093" s="20">
        <f>IF(I3093="","",IF(I3093="Ingreso",O3093,0))</f>
        <v/>
      </c>
      <c r="R3093" s="20">
        <f>IF(I3093="","",IF(I3093="Trading",O3093,0))</f>
        <v/>
      </c>
      <c r="S3093" s="19">
        <f>IF(I3093="","",IF(AND(I3093="Gasto",K3093="Variable",J3093&lt;&gt;"Trading",O3093&gt;0,O3093&lt;=Umbral),1,0))</f>
        <v/>
      </c>
      <c r="T3093" s="20">
        <f>IF(OR(I3093="",E3093=""),"",IF(OR(I3093="Gasto",I3093="Transferencia",I3093="Pago tarjeta"),-1,1)*C3093)</f>
        <v/>
      </c>
      <c r="U3093" s="20">
        <f>IF(OR(G3093="",AND(I3093&lt;&gt;"Transferencia",I3093&lt;&gt;"Pago tarjeta")),"",IF(IFERROR(INDEX(ctaMon,MATCH(G3093,ctaNom,0))&amp;"","DOP")=N3093,C3093,IF(N3093="USD",C3093*TasaUSD,C3093/TasaUSD)))</f>
        <v/>
      </c>
      <c r="V3093" s="20">
        <f>IF(I3093="","",IF(IFERROR(INDEX(ctaLiq,MATCH(E3093,ctaNom,0))="Sí",FALSE),IF(OR(I3093="Gasto",I3093="Transferencia",I3093="Pago tarjeta"),-1,1)*O3093,0)+IF(AND(U3093&lt;&gt;"",IFERROR(INDEX(ctaLiq,MATCH(G3093,ctaNom,0))="Sí",FALSE)),O3093,0))</f>
        <v/>
      </c>
      <c r="W3093" s="19">
        <f>IF(OR(F3093="",I3093=""),"",IF(COUNTIFS(F$6:F3093,F3093,I$6:I3093,"?*")=1,MAX(W$5:W3092)+1,""))</f>
        <v/>
      </c>
    </row>
    <row r="3094">
      <c r="B3094" s="15" t="n"/>
      <c r="C3094" s="16" t="n"/>
      <c r="D3094" s="17" t="n"/>
      <c r="E3094" s="17" t="n"/>
      <c r="F3094" s="17" t="n"/>
      <c r="G3094" s="17" t="n"/>
      <c r="H3094" s="18">
        <f>IF(AND(B3094="",C3094="",D3094="",E3094=""),"",IF(B3094="","⚠ Falta fecha",IF(C3094="","⚠ Falta monto",IF(D3094="","⚠ Falta categoría",IF(ISNA(MATCH(D3094,catNom,0)),"⚠ Categoría no existe",IF(E3094="","⚠ Falta cuenta",IF(ISNA(MATCH(E3094,ctaNom,0)),"⚠ Cuenta no existe",IF(AND(OR(I3094="Transferencia",I3094="Pago tarjeta"),G3094=""),"⚠ Indica la cuenta «Hacia»",IF(AND(G3094&lt;&gt;"",G3094=E3094),"⚠ «Hacia» igual a la cuenta",IF(AND(G3094&lt;&gt;"",ISNA(MATCH(G3094,ctaNom,0))),"⚠ «Hacia» no existe",IF(AND(I3094="Pago tarjeta",IFERROR(INDEX(ctaTipo,MATCH(G3094,ctaNom,0)),"")&lt;&gt;"Tarjeta de crédito"),"⚠ «Hacia» debe ser la tarjeta",IF(AND(I3094="Trading",IFERROR(INDEX(ctaTipo,MATCH(E3094,ctaNom,0)),"")&lt;&gt;"Cuenta de trading"),"⚠ Usa la cuenta de trading","✓"))))))))))))</f>
        <v/>
      </c>
      <c r="I3094" s="19">
        <f>IF(OR(B3094="",C3094="",D3094=""),"",IFERROR(INDEX(catTipo,MATCH(D3094,catNom,0))&amp;"",""))</f>
        <v/>
      </c>
      <c r="J3094" s="19">
        <f>IF(I3094="","",IFERROR(INDEX(catGrupo,MATCH(D3094,catNom,0))&amp;"",""))</f>
        <v/>
      </c>
      <c r="K3094" s="19">
        <f>IF(I3094="Gasto",IF(IFERROR(INDEX(catClas,MATCH(D3094,catNom,0))&amp;"","")="","Variable",IFERROR(INDEX(catClas,MATCH(D3094,catNom,0))&amp;"","")),"")</f>
        <v/>
      </c>
      <c r="L3094" s="19">
        <f>IF(I3094="","",IFERROR(INDEX(catAlim,MATCH(D3094,catNom,0))&amp;"",""))</f>
        <v/>
      </c>
      <c r="M3094" s="19">
        <f>IF(I3094="","",IFERROR(INDEX(catComida,MATCH(D3094,catNom,0))&amp;"",""))</f>
        <v/>
      </c>
      <c r="N3094" s="19">
        <f>IF(I3094="","",IFERROR(INDEX(ctaMon,MATCH(E3094,ctaNom,0))&amp;"","DOP"))</f>
        <v/>
      </c>
      <c r="O3094" s="20">
        <f>IF(I3094="","",C3094*IF(N3094="USD",TasaUSD,1))</f>
        <v/>
      </c>
      <c r="P3094" s="20">
        <f>IF(I3094="","",IF(I3094="Gasto",O3094,0))</f>
        <v/>
      </c>
      <c r="Q3094" s="20">
        <f>IF(I3094="","",IF(I3094="Ingreso",O3094,0))</f>
        <v/>
      </c>
      <c r="R3094" s="20">
        <f>IF(I3094="","",IF(I3094="Trading",O3094,0))</f>
        <v/>
      </c>
      <c r="S3094" s="19">
        <f>IF(I3094="","",IF(AND(I3094="Gasto",K3094="Variable",J3094&lt;&gt;"Trading",O3094&gt;0,O3094&lt;=Umbral),1,0))</f>
        <v/>
      </c>
      <c r="T3094" s="20">
        <f>IF(OR(I3094="",E3094=""),"",IF(OR(I3094="Gasto",I3094="Transferencia",I3094="Pago tarjeta"),-1,1)*C3094)</f>
        <v/>
      </c>
      <c r="U3094" s="20">
        <f>IF(OR(G3094="",AND(I3094&lt;&gt;"Transferencia",I3094&lt;&gt;"Pago tarjeta")),"",IF(IFERROR(INDEX(ctaMon,MATCH(G3094,ctaNom,0))&amp;"","DOP")=N3094,C3094,IF(N3094="USD",C3094*TasaUSD,C3094/TasaUSD)))</f>
        <v/>
      </c>
      <c r="V3094" s="20">
        <f>IF(I3094="","",IF(IFERROR(INDEX(ctaLiq,MATCH(E3094,ctaNom,0))="Sí",FALSE),IF(OR(I3094="Gasto",I3094="Transferencia",I3094="Pago tarjeta"),-1,1)*O3094,0)+IF(AND(U3094&lt;&gt;"",IFERROR(INDEX(ctaLiq,MATCH(G3094,ctaNom,0))="Sí",FALSE)),O3094,0))</f>
        <v/>
      </c>
      <c r="W3094" s="19">
        <f>IF(OR(F3094="",I3094=""),"",IF(COUNTIFS(F$6:F3094,F3094,I$6:I3094,"?*")=1,MAX(W$5:W3093)+1,""))</f>
        <v/>
      </c>
    </row>
    <row r="3095">
      <c r="B3095" s="15" t="n"/>
      <c r="C3095" s="16" t="n"/>
      <c r="D3095" s="17" t="n"/>
      <c r="E3095" s="17" t="n"/>
      <c r="F3095" s="17" t="n"/>
      <c r="G3095" s="17" t="n"/>
      <c r="H3095" s="18">
        <f>IF(AND(B3095="",C3095="",D3095="",E3095=""),"",IF(B3095="","⚠ Falta fecha",IF(C3095="","⚠ Falta monto",IF(D3095="","⚠ Falta categoría",IF(ISNA(MATCH(D3095,catNom,0)),"⚠ Categoría no existe",IF(E3095="","⚠ Falta cuenta",IF(ISNA(MATCH(E3095,ctaNom,0)),"⚠ Cuenta no existe",IF(AND(OR(I3095="Transferencia",I3095="Pago tarjeta"),G3095=""),"⚠ Indica la cuenta «Hacia»",IF(AND(G3095&lt;&gt;"",G3095=E3095),"⚠ «Hacia» igual a la cuenta",IF(AND(G3095&lt;&gt;"",ISNA(MATCH(G3095,ctaNom,0))),"⚠ «Hacia» no existe",IF(AND(I3095="Pago tarjeta",IFERROR(INDEX(ctaTipo,MATCH(G3095,ctaNom,0)),"")&lt;&gt;"Tarjeta de crédito"),"⚠ «Hacia» debe ser la tarjeta",IF(AND(I3095="Trading",IFERROR(INDEX(ctaTipo,MATCH(E3095,ctaNom,0)),"")&lt;&gt;"Cuenta de trading"),"⚠ Usa la cuenta de trading","✓"))))))))))))</f>
        <v/>
      </c>
      <c r="I3095" s="19">
        <f>IF(OR(B3095="",C3095="",D3095=""),"",IFERROR(INDEX(catTipo,MATCH(D3095,catNom,0))&amp;"",""))</f>
        <v/>
      </c>
      <c r="J3095" s="19">
        <f>IF(I3095="","",IFERROR(INDEX(catGrupo,MATCH(D3095,catNom,0))&amp;"",""))</f>
        <v/>
      </c>
      <c r="K3095" s="19">
        <f>IF(I3095="Gasto",IF(IFERROR(INDEX(catClas,MATCH(D3095,catNom,0))&amp;"","")="","Variable",IFERROR(INDEX(catClas,MATCH(D3095,catNom,0))&amp;"","")),"")</f>
        <v/>
      </c>
      <c r="L3095" s="19">
        <f>IF(I3095="","",IFERROR(INDEX(catAlim,MATCH(D3095,catNom,0))&amp;"",""))</f>
        <v/>
      </c>
      <c r="M3095" s="19">
        <f>IF(I3095="","",IFERROR(INDEX(catComida,MATCH(D3095,catNom,0))&amp;"",""))</f>
        <v/>
      </c>
      <c r="N3095" s="19">
        <f>IF(I3095="","",IFERROR(INDEX(ctaMon,MATCH(E3095,ctaNom,0))&amp;"","DOP"))</f>
        <v/>
      </c>
      <c r="O3095" s="20">
        <f>IF(I3095="","",C3095*IF(N3095="USD",TasaUSD,1))</f>
        <v/>
      </c>
      <c r="P3095" s="20">
        <f>IF(I3095="","",IF(I3095="Gasto",O3095,0))</f>
        <v/>
      </c>
      <c r="Q3095" s="20">
        <f>IF(I3095="","",IF(I3095="Ingreso",O3095,0))</f>
        <v/>
      </c>
      <c r="R3095" s="20">
        <f>IF(I3095="","",IF(I3095="Trading",O3095,0))</f>
        <v/>
      </c>
      <c r="S3095" s="19">
        <f>IF(I3095="","",IF(AND(I3095="Gasto",K3095="Variable",J3095&lt;&gt;"Trading",O3095&gt;0,O3095&lt;=Umbral),1,0))</f>
        <v/>
      </c>
      <c r="T3095" s="20">
        <f>IF(OR(I3095="",E3095=""),"",IF(OR(I3095="Gasto",I3095="Transferencia",I3095="Pago tarjeta"),-1,1)*C3095)</f>
        <v/>
      </c>
      <c r="U3095" s="20">
        <f>IF(OR(G3095="",AND(I3095&lt;&gt;"Transferencia",I3095&lt;&gt;"Pago tarjeta")),"",IF(IFERROR(INDEX(ctaMon,MATCH(G3095,ctaNom,0))&amp;"","DOP")=N3095,C3095,IF(N3095="USD",C3095*TasaUSD,C3095/TasaUSD)))</f>
        <v/>
      </c>
      <c r="V3095" s="20">
        <f>IF(I3095="","",IF(IFERROR(INDEX(ctaLiq,MATCH(E3095,ctaNom,0))="Sí",FALSE),IF(OR(I3095="Gasto",I3095="Transferencia",I3095="Pago tarjeta"),-1,1)*O3095,0)+IF(AND(U3095&lt;&gt;"",IFERROR(INDEX(ctaLiq,MATCH(G3095,ctaNom,0))="Sí",FALSE)),O3095,0))</f>
        <v/>
      </c>
      <c r="W3095" s="19">
        <f>IF(OR(F3095="",I3095=""),"",IF(COUNTIFS(F$6:F3095,F3095,I$6:I3095,"?*")=1,MAX(W$5:W3094)+1,""))</f>
        <v/>
      </c>
    </row>
    <row r="3096">
      <c r="B3096" s="15" t="n"/>
      <c r="C3096" s="16" t="n"/>
      <c r="D3096" s="17" t="n"/>
      <c r="E3096" s="17" t="n"/>
      <c r="F3096" s="17" t="n"/>
      <c r="G3096" s="17" t="n"/>
      <c r="H3096" s="18">
        <f>IF(AND(B3096="",C3096="",D3096="",E3096=""),"",IF(B3096="","⚠ Falta fecha",IF(C3096="","⚠ Falta monto",IF(D3096="","⚠ Falta categoría",IF(ISNA(MATCH(D3096,catNom,0)),"⚠ Categoría no existe",IF(E3096="","⚠ Falta cuenta",IF(ISNA(MATCH(E3096,ctaNom,0)),"⚠ Cuenta no existe",IF(AND(OR(I3096="Transferencia",I3096="Pago tarjeta"),G3096=""),"⚠ Indica la cuenta «Hacia»",IF(AND(G3096&lt;&gt;"",G3096=E3096),"⚠ «Hacia» igual a la cuenta",IF(AND(G3096&lt;&gt;"",ISNA(MATCH(G3096,ctaNom,0))),"⚠ «Hacia» no existe",IF(AND(I3096="Pago tarjeta",IFERROR(INDEX(ctaTipo,MATCH(G3096,ctaNom,0)),"")&lt;&gt;"Tarjeta de crédito"),"⚠ «Hacia» debe ser la tarjeta",IF(AND(I3096="Trading",IFERROR(INDEX(ctaTipo,MATCH(E3096,ctaNom,0)),"")&lt;&gt;"Cuenta de trading"),"⚠ Usa la cuenta de trading","✓"))))))))))))</f>
        <v/>
      </c>
      <c r="I3096" s="19">
        <f>IF(OR(B3096="",C3096="",D3096=""),"",IFERROR(INDEX(catTipo,MATCH(D3096,catNom,0))&amp;"",""))</f>
        <v/>
      </c>
      <c r="J3096" s="19">
        <f>IF(I3096="","",IFERROR(INDEX(catGrupo,MATCH(D3096,catNom,0))&amp;"",""))</f>
        <v/>
      </c>
      <c r="K3096" s="19">
        <f>IF(I3096="Gasto",IF(IFERROR(INDEX(catClas,MATCH(D3096,catNom,0))&amp;"","")="","Variable",IFERROR(INDEX(catClas,MATCH(D3096,catNom,0))&amp;"","")),"")</f>
        <v/>
      </c>
      <c r="L3096" s="19">
        <f>IF(I3096="","",IFERROR(INDEX(catAlim,MATCH(D3096,catNom,0))&amp;"",""))</f>
        <v/>
      </c>
      <c r="M3096" s="19">
        <f>IF(I3096="","",IFERROR(INDEX(catComida,MATCH(D3096,catNom,0))&amp;"",""))</f>
        <v/>
      </c>
      <c r="N3096" s="19">
        <f>IF(I3096="","",IFERROR(INDEX(ctaMon,MATCH(E3096,ctaNom,0))&amp;"","DOP"))</f>
        <v/>
      </c>
      <c r="O3096" s="20">
        <f>IF(I3096="","",C3096*IF(N3096="USD",TasaUSD,1))</f>
        <v/>
      </c>
      <c r="P3096" s="20">
        <f>IF(I3096="","",IF(I3096="Gasto",O3096,0))</f>
        <v/>
      </c>
      <c r="Q3096" s="20">
        <f>IF(I3096="","",IF(I3096="Ingreso",O3096,0))</f>
        <v/>
      </c>
      <c r="R3096" s="20">
        <f>IF(I3096="","",IF(I3096="Trading",O3096,0))</f>
        <v/>
      </c>
      <c r="S3096" s="19">
        <f>IF(I3096="","",IF(AND(I3096="Gasto",K3096="Variable",J3096&lt;&gt;"Trading",O3096&gt;0,O3096&lt;=Umbral),1,0))</f>
        <v/>
      </c>
      <c r="T3096" s="20">
        <f>IF(OR(I3096="",E3096=""),"",IF(OR(I3096="Gasto",I3096="Transferencia",I3096="Pago tarjeta"),-1,1)*C3096)</f>
        <v/>
      </c>
      <c r="U3096" s="20">
        <f>IF(OR(G3096="",AND(I3096&lt;&gt;"Transferencia",I3096&lt;&gt;"Pago tarjeta")),"",IF(IFERROR(INDEX(ctaMon,MATCH(G3096,ctaNom,0))&amp;"","DOP")=N3096,C3096,IF(N3096="USD",C3096*TasaUSD,C3096/TasaUSD)))</f>
        <v/>
      </c>
      <c r="V3096" s="20">
        <f>IF(I3096="","",IF(IFERROR(INDEX(ctaLiq,MATCH(E3096,ctaNom,0))="Sí",FALSE),IF(OR(I3096="Gasto",I3096="Transferencia",I3096="Pago tarjeta"),-1,1)*O3096,0)+IF(AND(U3096&lt;&gt;"",IFERROR(INDEX(ctaLiq,MATCH(G3096,ctaNom,0))="Sí",FALSE)),O3096,0))</f>
        <v/>
      </c>
      <c r="W3096" s="19">
        <f>IF(OR(F3096="",I3096=""),"",IF(COUNTIFS(F$6:F3096,F3096,I$6:I3096,"?*")=1,MAX(W$5:W3095)+1,""))</f>
        <v/>
      </c>
    </row>
    <row r="3097">
      <c r="B3097" s="15" t="n"/>
      <c r="C3097" s="16" t="n"/>
      <c r="D3097" s="17" t="n"/>
      <c r="E3097" s="17" t="n"/>
      <c r="F3097" s="17" t="n"/>
      <c r="G3097" s="17" t="n"/>
      <c r="H3097" s="18">
        <f>IF(AND(B3097="",C3097="",D3097="",E3097=""),"",IF(B3097="","⚠ Falta fecha",IF(C3097="","⚠ Falta monto",IF(D3097="","⚠ Falta categoría",IF(ISNA(MATCH(D3097,catNom,0)),"⚠ Categoría no existe",IF(E3097="","⚠ Falta cuenta",IF(ISNA(MATCH(E3097,ctaNom,0)),"⚠ Cuenta no existe",IF(AND(OR(I3097="Transferencia",I3097="Pago tarjeta"),G3097=""),"⚠ Indica la cuenta «Hacia»",IF(AND(G3097&lt;&gt;"",G3097=E3097),"⚠ «Hacia» igual a la cuenta",IF(AND(G3097&lt;&gt;"",ISNA(MATCH(G3097,ctaNom,0))),"⚠ «Hacia» no existe",IF(AND(I3097="Pago tarjeta",IFERROR(INDEX(ctaTipo,MATCH(G3097,ctaNom,0)),"")&lt;&gt;"Tarjeta de crédito"),"⚠ «Hacia» debe ser la tarjeta",IF(AND(I3097="Trading",IFERROR(INDEX(ctaTipo,MATCH(E3097,ctaNom,0)),"")&lt;&gt;"Cuenta de trading"),"⚠ Usa la cuenta de trading","✓"))))))))))))</f>
        <v/>
      </c>
      <c r="I3097" s="19">
        <f>IF(OR(B3097="",C3097="",D3097=""),"",IFERROR(INDEX(catTipo,MATCH(D3097,catNom,0))&amp;"",""))</f>
        <v/>
      </c>
      <c r="J3097" s="19">
        <f>IF(I3097="","",IFERROR(INDEX(catGrupo,MATCH(D3097,catNom,0))&amp;"",""))</f>
        <v/>
      </c>
      <c r="K3097" s="19">
        <f>IF(I3097="Gasto",IF(IFERROR(INDEX(catClas,MATCH(D3097,catNom,0))&amp;"","")="","Variable",IFERROR(INDEX(catClas,MATCH(D3097,catNom,0))&amp;"","")),"")</f>
        <v/>
      </c>
      <c r="L3097" s="19">
        <f>IF(I3097="","",IFERROR(INDEX(catAlim,MATCH(D3097,catNom,0))&amp;"",""))</f>
        <v/>
      </c>
      <c r="M3097" s="19">
        <f>IF(I3097="","",IFERROR(INDEX(catComida,MATCH(D3097,catNom,0))&amp;"",""))</f>
        <v/>
      </c>
      <c r="N3097" s="19">
        <f>IF(I3097="","",IFERROR(INDEX(ctaMon,MATCH(E3097,ctaNom,0))&amp;"","DOP"))</f>
        <v/>
      </c>
      <c r="O3097" s="20">
        <f>IF(I3097="","",C3097*IF(N3097="USD",TasaUSD,1))</f>
        <v/>
      </c>
      <c r="P3097" s="20">
        <f>IF(I3097="","",IF(I3097="Gasto",O3097,0))</f>
        <v/>
      </c>
      <c r="Q3097" s="20">
        <f>IF(I3097="","",IF(I3097="Ingreso",O3097,0))</f>
        <v/>
      </c>
      <c r="R3097" s="20">
        <f>IF(I3097="","",IF(I3097="Trading",O3097,0))</f>
        <v/>
      </c>
      <c r="S3097" s="19">
        <f>IF(I3097="","",IF(AND(I3097="Gasto",K3097="Variable",J3097&lt;&gt;"Trading",O3097&gt;0,O3097&lt;=Umbral),1,0))</f>
        <v/>
      </c>
      <c r="T3097" s="20">
        <f>IF(OR(I3097="",E3097=""),"",IF(OR(I3097="Gasto",I3097="Transferencia",I3097="Pago tarjeta"),-1,1)*C3097)</f>
        <v/>
      </c>
      <c r="U3097" s="20">
        <f>IF(OR(G3097="",AND(I3097&lt;&gt;"Transferencia",I3097&lt;&gt;"Pago tarjeta")),"",IF(IFERROR(INDEX(ctaMon,MATCH(G3097,ctaNom,0))&amp;"","DOP")=N3097,C3097,IF(N3097="USD",C3097*TasaUSD,C3097/TasaUSD)))</f>
        <v/>
      </c>
      <c r="V3097" s="20">
        <f>IF(I3097="","",IF(IFERROR(INDEX(ctaLiq,MATCH(E3097,ctaNom,0))="Sí",FALSE),IF(OR(I3097="Gasto",I3097="Transferencia",I3097="Pago tarjeta"),-1,1)*O3097,0)+IF(AND(U3097&lt;&gt;"",IFERROR(INDEX(ctaLiq,MATCH(G3097,ctaNom,0))="Sí",FALSE)),O3097,0))</f>
        <v/>
      </c>
      <c r="W3097" s="19">
        <f>IF(OR(F3097="",I3097=""),"",IF(COUNTIFS(F$6:F3097,F3097,I$6:I3097,"?*")=1,MAX(W$5:W3096)+1,""))</f>
        <v/>
      </c>
    </row>
    <row r="3098">
      <c r="B3098" s="15" t="n"/>
      <c r="C3098" s="16" t="n"/>
      <c r="D3098" s="17" t="n"/>
      <c r="E3098" s="17" t="n"/>
      <c r="F3098" s="17" t="n"/>
      <c r="G3098" s="17" t="n"/>
      <c r="H3098" s="18">
        <f>IF(AND(B3098="",C3098="",D3098="",E3098=""),"",IF(B3098="","⚠ Falta fecha",IF(C3098="","⚠ Falta monto",IF(D3098="","⚠ Falta categoría",IF(ISNA(MATCH(D3098,catNom,0)),"⚠ Categoría no existe",IF(E3098="","⚠ Falta cuenta",IF(ISNA(MATCH(E3098,ctaNom,0)),"⚠ Cuenta no existe",IF(AND(OR(I3098="Transferencia",I3098="Pago tarjeta"),G3098=""),"⚠ Indica la cuenta «Hacia»",IF(AND(G3098&lt;&gt;"",G3098=E3098),"⚠ «Hacia» igual a la cuenta",IF(AND(G3098&lt;&gt;"",ISNA(MATCH(G3098,ctaNom,0))),"⚠ «Hacia» no existe",IF(AND(I3098="Pago tarjeta",IFERROR(INDEX(ctaTipo,MATCH(G3098,ctaNom,0)),"")&lt;&gt;"Tarjeta de crédito"),"⚠ «Hacia» debe ser la tarjeta",IF(AND(I3098="Trading",IFERROR(INDEX(ctaTipo,MATCH(E3098,ctaNom,0)),"")&lt;&gt;"Cuenta de trading"),"⚠ Usa la cuenta de trading","✓"))))))))))))</f>
        <v/>
      </c>
      <c r="I3098" s="19">
        <f>IF(OR(B3098="",C3098="",D3098=""),"",IFERROR(INDEX(catTipo,MATCH(D3098,catNom,0))&amp;"",""))</f>
        <v/>
      </c>
      <c r="J3098" s="19">
        <f>IF(I3098="","",IFERROR(INDEX(catGrupo,MATCH(D3098,catNom,0))&amp;"",""))</f>
        <v/>
      </c>
      <c r="K3098" s="19">
        <f>IF(I3098="Gasto",IF(IFERROR(INDEX(catClas,MATCH(D3098,catNom,0))&amp;"","")="","Variable",IFERROR(INDEX(catClas,MATCH(D3098,catNom,0))&amp;"","")),"")</f>
        <v/>
      </c>
      <c r="L3098" s="19">
        <f>IF(I3098="","",IFERROR(INDEX(catAlim,MATCH(D3098,catNom,0))&amp;"",""))</f>
        <v/>
      </c>
      <c r="M3098" s="19">
        <f>IF(I3098="","",IFERROR(INDEX(catComida,MATCH(D3098,catNom,0))&amp;"",""))</f>
        <v/>
      </c>
      <c r="N3098" s="19">
        <f>IF(I3098="","",IFERROR(INDEX(ctaMon,MATCH(E3098,ctaNom,0))&amp;"","DOP"))</f>
        <v/>
      </c>
      <c r="O3098" s="20">
        <f>IF(I3098="","",C3098*IF(N3098="USD",TasaUSD,1))</f>
        <v/>
      </c>
      <c r="P3098" s="20">
        <f>IF(I3098="","",IF(I3098="Gasto",O3098,0))</f>
        <v/>
      </c>
      <c r="Q3098" s="20">
        <f>IF(I3098="","",IF(I3098="Ingreso",O3098,0))</f>
        <v/>
      </c>
      <c r="R3098" s="20">
        <f>IF(I3098="","",IF(I3098="Trading",O3098,0))</f>
        <v/>
      </c>
      <c r="S3098" s="19">
        <f>IF(I3098="","",IF(AND(I3098="Gasto",K3098="Variable",J3098&lt;&gt;"Trading",O3098&gt;0,O3098&lt;=Umbral),1,0))</f>
        <v/>
      </c>
      <c r="T3098" s="20">
        <f>IF(OR(I3098="",E3098=""),"",IF(OR(I3098="Gasto",I3098="Transferencia",I3098="Pago tarjeta"),-1,1)*C3098)</f>
        <v/>
      </c>
      <c r="U3098" s="20">
        <f>IF(OR(G3098="",AND(I3098&lt;&gt;"Transferencia",I3098&lt;&gt;"Pago tarjeta")),"",IF(IFERROR(INDEX(ctaMon,MATCH(G3098,ctaNom,0))&amp;"","DOP")=N3098,C3098,IF(N3098="USD",C3098*TasaUSD,C3098/TasaUSD)))</f>
        <v/>
      </c>
      <c r="V3098" s="20">
        <f>IF(I3098="","",IF(IFERROR(INDEX(ctaLiq,MATCH(E3098,ctaNom,0))="Sí",FALSE),IF(OR(I3098="Gasto",I3098="Transferencia",I3098="Pago tarjeta"),-1,1)*O3098,0)+IF(AND(U3098&lt;&gt;"",IFERROR(INDEX(ctaLiq,MATCH(G3098,ctaNom,0))="Sí",FALSE)),O3098,0))</f>
        <v/>
      </c>
      <c r="W3098" s="19">
        <f>IF(OR(F3098="",I3098=""),"",IF(COUNTIFS(F$6:F3098,F3098,I$6:I3098,"?*")=1,MAX(W$5:W3097)+1,""))</f>
        <v/>
      </c>
    </row>
    <row r="3099">
      <c r="B3099" s="15" t="n"/>
      <c r="C3099" s="16" t="n"/>
      <c r="D3099" s="17" t="n"/>
      <c r="E3099" s="17" t="n"/>
      <c r="F3099" s="17" t="n"/>
      <c r="G3099" s="17" t="n"/>
      <c r="H3099" s="18">
        <f>IF(AND(B3099="",C3099="",D3099="",E3099=""),"",IF(B3099="","⚠ Falta fecha",IF(C3099="","⚠ Falta monto",IF(D3099="","⚠ Falta categoría",IF(ISNA(MATCH(D3099,catNom,0)),"⚠ Categoría no existe",IF(E3099="","⚠ Falta cuenta",IF(ISNA(MATCH(E3099,ctaNom,0)),"⚠ Cuenta no existe",IF(AND(OR(I3099="Transferencia",I3099="Pago tarjeta"),G3099=""),"⚠ Indica la cuenta «Hacia»",IF(AND(G3099&lt;&gt;"",G3099=E3099),"⚠ «Hacia» igual a la cuenta",IF(AND(G3099&lt;&gt;"",ISNA(MATCH(G3099,ctaNom,0))),"⚠ «Hacia» no existe",IF(AND(I3099="Pago tarjeta",IFERROR(INDEX(ctaTipo,MATCH(G3099,ctaNom,0)),"")&lt;&gt;"Tarjeta de crédito"),"⚠ «Hacia» debe ser la tarjeta",IF(AND(I3099="Trading",IFERROR(INDEX(ctaTipo,MATCH(E3099,ctaNom,0)),"")&lt;&gt;"Cuenta de trading"),"⚠ Usa la cuenta de trading","✓"))))))))))))</f>
        <v/>
      </c>
      <c r="I3099" s="19">
        <f>IF(OR(B3099="",C3099="",D3099=""),"",IFERROR(INDEX(catTipo,MATCH(D3099,catNom,0))&amp;"",""))</f>
        <v/>
      </c>
      <c r="J3099" s="19">
        <f>IF(I3099="","",IFERROR(INDEX(catGrupo,MATCH(D3099,catNom,0))&amp;"",""))</f>
        <v/>
      </c>
      <c r="K3099" s="19">
        <f>IF(I3099="Gasto",IF(IFERROR(INDEX(catClas,MATCH(D3099,catNom,0))&amp;"","")="","Variable",IFERROR(INDEX(catClas,MATCH(D3099,catNom,0))&amp;"","")),"")</f>
        <v/>
      </c>
      <c r="L3099" s="19">
        <f>IF(I3099="","",IFERROR(INDEX(catAlim,MATCH(D3099,catNom,0))&amp;"",""))</f>
        <v/>
      </c>
      <c r="M3099" s="19">
        <f>IF(I3099="","",IFERROR(INDEX(catComida,MATCH(D3099,catNom,0))&amp;"",""))</f>
        <v/>
      </c>
      <c r="N3099" s="19">
        <f>IF(I3099="","",IFERROR(INDEX(ctaMon,MATCH(E3099,ctaNom,0))&amp;"","DOP"))</f>
        <v/>
      </c>
      <c r="O3099" s="20">
        <f>IF(I3099="","",C3099*IF(N3099="USD",TasaUSD,1))</f>
        <v/>
      </c>
      <c r="P3099" s="20">
        <f>IF(I3099="","",IF(I3099="Gasto",O3099,0))</f>
        <v/>
      </c>
      <c r="Q3099" s="20">
        <f>IF(I3099="","",IF(I3099="Ingreso",O3099,0))</f>
        <v/>
      </c>
      <c r="R3099" s="20">
        <f>IF(I3099="","",IF(I3099="Trading",O3099,0))</f>
        <v/>
      </c>
      <c r="S3099" s="19">
        <f>IF(I3099="","",IF(AND(I3099="Gasto",K3099="Variable",J3099&lt;&gt;"Trading",O3099&gt;0,O3099&lt;=Umbral),1,0))</f>
        <v/>
      </c>
      <c r="T3099" s="20">
        <f>IF(OR(I3099="",E3099=""),"",IF(OR(I3099="Gasto",I3099="Transferencia",I3099="Pago tarjeta"),-1,1)*C3099)</f>
        <v/>
      </c>
      <c r="U3099" s="20">
        <f>IF(OR(G3099="",AND(I3099&lt;&gt;"Transferencia",I3099&lt;&gt;"Pago tarjeta")),"",IF(IFERROR(INDEX(ctaMon,MATCH(G3099,ctaNom,0))&amp;"","DOP")=N3099,C3099,IF(N3099="USD",C3099*TasaUSD,C3099/TasaUSD)))</f>
        <v/>
      </c>
      <c r="V3099" s="20">
        <f>IF(I3099="","",IF(IFERROR(INDEX(ctaLiq,MATCH(E3099,ctaNom,0))="Sí",FALSE),IF(OR(I3099="Gasto",I3099="Transferencia",I3099="Pago tarjeta"),-1,1)*O3099,0)+IF(AND(U3099&lt;&gt;"",IFERROR(INDEX(ctaLiq,MATCH(G3099,ctaNom,0))="Sí",FALSE)),O3099,0))</f>
        <v/>
      </c>
      <c r="W3099" s="19">
        <f>IF(OR(F3099="",I3099=""),"",IF(COUNTIFS(F$6:F3099,F3099,I$6:I3099,"?*")=1,MAX(W$5:W3098)+1,""))</f>
        <v/>
      </c>
    </row>
    <row r="3100">
      <c r="B3100" s="15" t="n"/>
      <c r="C3100" s="16" t="n"/>
      <c r="D3100" s="17" t="n"/>
      <c r="E3100" s="17" t="n"/>
      <c r="F3100" s="17" t="n"/>
      <c r="G3100" s="17" t="n"/>
      <c r="H3100" s="18">
        <f>IF(AND(B3100="",C3100="",D3100="",E3100=""),"",IF(B3100="","⚠ Falta fecha",IF(C3100="","⚠ Falta monto",IF(D3100="","⚠ Falta categoría",IF(ISNA(MATCH(D3100,catNom,0)),"⚠ Categoría no existe",IF(E3100="","⚠ Falta cuenta",IF(ISNA(MATCH(E3100,ctaNom,0)),"⚠ Cuenta no existe",IF(AND(OR(I3100="Transferencia",I3100="Pago tarjeta"),G3100=""),"⚠ Indica la cuenta «Hacia»",IF(AND(G3100&lt;&gt;"",G3100=E3100),"⚠ «Hacia» igual a la cuenta",IF(AND(G3100&lt;&gt;"",ISNA(MATCH(G3100,ctaNom,0))),"⚠ «Hacia» no existe",IF(AND(I3100="Pago tarjeta",IFERROR(INDEX(ctaTipo,MATCH(G3100,ctaNom,0)),"")&lt;&gt;"Tarjeta de crédito"),"⚠ «Hacia» debe ser la tarjeta",IF(AND(I3100="Trading",IFERROR(INDEX(ctaTipo,MATCH(E3100,ctaNom,0)),"")&lt;&gt;"Cuenta de trading"),"⚠ Usa la cuenta de trading","✓"))))))))))))</f>
        <v/>
      </c>
      <c r="I3100" s="19">
        <f>IF(OR(B3100="",C3100="",D3100=""),"",IFERROR(INDEX(catTipo,MATCH(D3100,catNom,0))&amp;"",""))</f>
        <v/>
      </c>
      <c r="J3100" s="19">
        <f>IF(I3100="","",IFERROR(INDEX(catGrupo,MATCH(D3100,catNom,0))&amp;"",""))</f>
        <v/>
      </c>
      <c r="K3100" s="19">
        <f>IF(I3100="Gasto",IF(IFERROR(INDEX(catClas,MATCH(D3100,catNom,0))&amp;"","")="","Variable",IFERROR(INDEX(catClas,MATCH(D3100,catNom,0))&amp;"","")),"")</f>
        <v/>
      </c>
      <c r="L3100" s="19">
        <f>IF(I3100="","",IFERROR(INDEX(catAlim,MATCH(D3100,catNom,0))&amp;"",""))</f>
        <v/>
      </c>
      <c r="M3100" s="19">
        <f>IF(I3100="","",IFERROR(INDEX(catComida,MATCH(D3100,catNom,0))&amp;"",""))</f>
        <v/>
      </c>
      <c r="N3100" s="19">
        <f>IF(I3100="","",IFERROR(INDEX(ctaMon,MATCH(E3100,ctaNom,0))&amp;"","DOP"))</f>
        <v/>
      </c>
      <c r="O3100" s="20">
        <f>IF(I3100="","",C3100*IF(N3100="USD",TasaUSD,1))</f>
        <v/>
      </c>
      <c r="P3100" s="20">
        <f>IF(I3100="","",IF(I3100="Gasto",O3100,0))</f>
        <v/>
      </c>
      <c r="Q3100" s="20">
        <f>IF(I3100="","",IF(I3100="Ingreso",O3100,0))</f>
        <v/>
      </c>
      <c r="R3100" s="20">
        <f>IF(I3100="","",IF(I3100="Trading",O3100,0))</f>
        <v/>
      </c>
      <c r="S3100" s="19">
        <f>IF(I3100="","",IF(AND(I3100="Gasto",K3100="Variable",J3100&lt;&gt;"Trading",O3100&gt;0,O3100&lt;=Umbral),1,0))</f>
        <v/>
      </c>
      <c r="T3100" s="20">
        <f>IF(OR(I3100="",E3100=""),"",IF(OR(I3100="Gasto",I3100="Transferencia",I3100="Pago tarjeta"),-1,1)*C3100)</f>
        <v/>
      </c>
      <c r="U3100" s="20">
        <f>IF(OR(G3100="",AND(I3100&lt;&gt;"Transferencia",I3100&lt;&gt;"Pago tarjeta")),"",IF(IFERROR(INDEX(ctaMon,MATCH(G3100,ctaNom,0))&amp;"","DOP")=N3100,C3100,IF(N3100="USD",C3100*TasaUSD,C3100/TasaUSD)))</f>
        <v/>
      </c>
      <c r="V3100" s="20">
        <f>IF(I3100="","",IF(IFERROR(INDEX(ctaLiq,MATCH(E3100,ctaNom,0))="Sí",FALSE),IF(OR(I3100="Gasto",I3100="Transferencia",I3100="Pago tarjeta"),-1,1)*O3100,0)+IF(AND(U3100&lt;&gt;"",IFERROR(INDEX(ctaLiq,MATCH(G3100,ctaNom,0))="Sí",FALSE)),O3100,0))</f>
        <v/>
      </c>
      <c r="W3100" s="19">
        <f>IF(OR(F3100="",I3100=""),"",IF(COUNTIFS(F$6:F3100,F3100,I$6:I3100,"?*")=1,MAX(W$5:W3099)+1,""))</f>
        <v/>
      </c>
    </row>
    <row r="3101">
      <c r="B3101" s="15" t="n"/>
      <c r="C3101" s="16" t="n"/>
      <c r="D3101" s="17" t="n"/>
      <c r="E3101" s="17" t="n"/>
      <c r="F3101" s="17" t="n"/>
      <c r="G3101" s="17" t="n"/>
      <c r="H3101" s="18">
        <f>IF(AND(B3101="",C3101="",D3101="",E3101=""),"",IF(B3101="","⚠ Falta fecha",IF(C3101="","⚠ Falta monto",IF(D3101="","⚠ Falta categoría",IF(ISNA(MATCH(D3101,catNom,0)),"⚠ Categoría no existe",IF(E3101="","⚠ Falta cuenta",IF(ISNA(MATCH(E3101,ctaNom,0)),"⚠ Cuenta no existe",IF(AND(OR(I3101="Transferencia",I3101="Pago tarjeta"),G3101=""),"⚠ Indica la cuenta «Hacia»",IF(AND(G3101&lt;&gt;"",G3101=E3101),"⚠ «Hacia» igual a la cuenta",IF(AND(G3101&lt;&gt;"",ISNA(MATCH(G3101,ctaNom,0))),"⚠ «Hacia» no existe",IF(AND(I3101="Pago tarjeta",IFERROR(INDEX(ctaTipo,MATCH(G3101,ctaNom,0)),"")&lt;&gt;"Tarjeta de crédito"),"⚠ «Hacia» debe ser la tarjeta",IF(AND(I3101="Trading",IFERROR(INDEX(ctaTipo,MATCH(E3101,ctaNom,0)),"")&lt;&gt;"Cuenta de trading"),"⚠ Usa la cuenta de trading","✓"))))))))))))</f>
        <v/>
      </c>
      <c r="I3101" s="19">
        <f>IF(OR(B3101="",C3101="",D3101=""),"",IFERROR(INDEX(catTipo,MATCH(D3101,catNom,0))&amp;"",""))</f>
        <v/>
      </c>
      <c r="J3101" s="19">
        <f>IF(I3101="","",IFERROR(INDEX(catGrupo,MATCH(D3101,catNom,0))&amp;"",""))</f>
        <v/>
      </c>
      <c r="K3101" s="19">
        <f>IF(I3101="Gasto",IF(IFERROR(INDEX(catClas,MATCH(D3101,catNom,0))&amp;"","")="","Variable",IFERROR(INDEX(catClas,MATCH(D3101,catNom,0))&amp;"","")),"")</f>
        <v/>
      </c>
      <c r="L3101" s="19">
        <f>IF(I3101="","",IFERROR(INDEX(catAlim,MATCH(D3101,catNom,0))&amp;"",""))</f>
        <v/>
      </c>
      <c r="M3101" s="19">
        <f>IF(I3101="","",IFERROR(INDEX(catComida,MATCH(D3101,catNom,0))&amp;"",""))</f>
        <v/>
      </c>
      <c r="N3101" s="19">
        <f>IF(I3101="","",IFERROR(INDEX(ctaMon,MATCH(E3101,ctaNom,0))&amp;"","DOP"))</f>
        <v/>
      </c>
      <c r="O3101" s="20">
        <f>IF(I3101="","",C3101*IF(N3101="USD",TasaUSD,1))</f>
        <v/>
      </c>
      <c r="P3101" s="20">
        <f>IF(I3101="","",IF(I3101="Gasto",O3101,0))</f>
        <v/>
      </c>
      <c r="Q3101" s="20">
        <f>IF(I3101="","",IF(I3101="Ingreso",O3101,0))</f>
        <v/>
      </c>
      <c r="R3101" s="20">
        <f>IF(I3101="","",IF(I3101="Trading",O3101,0))</f>
        <v/>
      </c>
      <c r="S3101" s="19">
        <f>IF(I3101="","",IF(AND(I3101="Gasto",K3101="Variable",J3101&lt;&gt;"Trading",O3101&gt;0,O3101&lt;=Umbral),1,0))</f>
        <v/>
      </c>
      <c r="T3101" s="20">
        <f>IF(OR(I3101="",E3101=""),"",IF(OR(I3101="Gasto",I3101="Transferencia",I3101="Pago tarjeta"),-1,1)*C3101)</f>
        <v/>
      </c>
      <c r="U3101" s="20">
        <f>IF(OR(G3101="",AND(I3101&lt;&gt;"Transferencia",I3101&lt;&gt;"Pago tarjeta")),"",IF(IFERROR(INDEX(ctaMon,MATCH(G3101,ctaNom,0))&amp;"","DOP")=N3101,C3101,IF(N3101="USD",C3101*TasaUSD,C3101/TasaUSD)))</f>
        <v/>
      </c>
      <c r="V3101" s="20">
        <f>IF(I3101="","",IF(IFERROR(INDEX(ctaLiq,MATCH(E3101,ctaNom,0))="Sí",FALSE),IF(OR(I3101="Gasto",I3101="Transferencia",I3101="Pago tarjeta"),-1,1)*O3101,0)+IF(AND(U3101&lt;&gt;"",IFERROR(INDEX(ctaLiq,MATCH(G3101,ctaNom,0))="Sí",FALSE)),O3101,0))</f>
        <v/>
      </c>
      <c r="W3101" s="19">
        <f>IF(OR(F3101="",I3101=""),"",IF(COUNTIFS(F$6:F3101,F3101,I$6:I3101,"?*")=1,MAX(W$5:W3100)+1,""))</f>
        <v/>
      </c>
    </row>
    <row r="3102">
      <c r="B3102" s="15" t="n"/>
      <c r="C3102" s="16" t="n"/>
      <c r="D3102" s="17" t="n"/>
      <c r="E3102" s="17" t="n"/>
      <c r="F3102" s="17" t="n"/>
      <c r="G3102" s="17" t="n"/>
      <c r="H3102" s="18">
        <f>IF(AND(B3102="",C3102="",D3102="",E3102=""),"",IF(B3102="","⚠ Falta fecha",IF(C3102="","⚠ Falta monto",IF(D3102="","⚠ Falta categoría",IF(ISNA(MATCH(D3102,catNom,0)),"⚠ Categoría no existe",IF(E3102="","⚠ Falta cuenta",IF(ISNA(MATCH(E3102,ctaNom,0)),"⚠ Cuenta no existe",IF(AND(OR(I3102="Transferencia",I3102="Pago tarjeta"),G3102=""),"⚠ Indica la cuenta «Hacia»",IF(AND(G3102&lt;&gt;"",G3102=E3102),"⚠ «Hacia» igual a la cuenta",IF(AND(G3102&lt;&gt;"",ISNA(MATCH(G3102,ctaNom,0))),"⚠ «Hacia» no existe",IF(AND(I3102="Pago tarjeta",IFERROR(INDEX(ctaTipo,MATCH(G3102,ctaNom,0)),"")&lt;&gt;"Tarjeta de crédito"),"⚠ «Hacia» debe ser la tarjeta",IF(AND(I3102="Trading",IFERROR(INDEX(ctaTipo,MATCH(E3102,ctaNom,0)),"")&lt;&gt;"Cuenta de trading"),"⚠ Usa la cuenta de trading","✓"))))))))))))</f>
        <v/>
      </c>
      <c r="I3102" s="19">
        <f>IF(OR(B3102="",C3102="",D3102=""),"",IFERROR(INDEX(catTipo,MATCH(D3102,catNom,0))&amp;"",""))</f>
        <v/>
      </c>
      <c r="J3102" s="19">
        <f>IF(I3102="","",IFERROR(INDEX(catGrupo,MATCH(D3102,catNom,0))&amp;"",""))</f>
        <v/>
      </c>
      <c r="K3102" s="19">
        <f>IF(I3102="Gasto",IF(IFERROR(INDEX(catClas,MATCH(D3102,catNom,0))&amp;"","")="","Variable",IFERROR(INDEX(catClas,MATCH(D3102,catNom,0))&amp;"","")),"")</f>
        <v/>
      </c>
      <c r="L3102" s="19">
        <f>IF(I3102="","",IFERROR(INDEX(catAlim,MATCH(D3102,catNom,0))&amp;"",""))</f>
        <v/>
      </c>
      <c r="M3102" s="19">
        <f>IF(I3102="","",IFERROR(INDEX(catComida,MATCH(D3102,catNom,0))&amp;"",""))</f>
        <v/>
      </c>
      <c r="N3102" s="19">
        <f>IF(I3102="","",IFERROR(INDEX(ctaMon,MATCH(E3102,ctaNom,0))&amp;"","DOP"))</f>
        <v/>
      </c>
      <c r="O3102" s="20">
        <f>IF(I3102="","",C3102*IF(N3102="USD",TasaUSD,1))</f>
        <v/>
      </c>
      <c r="P3102" s="20">
        <f>IF(I3102="","",IF(I3102="Gasto",O3102,0))</f>
        <v/>
      </c>
      <c r="Q3102" s="20">
        <f>IF(I3102="","",IF(I3102="Ingreso",O3102,0))</f>
        <v/>
      </c>
      <c r="R3102" s="20">
        <f>IF(I3102="","",IF(I3102="Trading",O3102,0))</f>
        <v/>
      </c>
      <c r="S3102" s="19">
        <f>IF(I3102="","",IF(AND(I3102="Gasto",K3102="Variable",J3102&lt;&gt;"Trading",O3102&gt;0,O3102&lt;=Umbral),1,0))</f>
        <v/>
      </c>
      <c r="T3102" s="20">
        <f>IF(OR(I3102="",E3102=""),"",IF(OR(I3102="Gasto",I3102="Transferencia",I3102="Pago tarjeta"),-1,1)*C3102)</f>
        <v/>
      </c>
      <c r="U3102" s="20">
        <f>IF(OR(G3102="",AND(I3102&lt;&gt;"Transferencia",I3102&lt;&gt;"Pago tarjeta")),"",IF(IFERROR(INDEX(ctaMon,MATCH(G3102,ctaNom,0))&amp;"","DOP")=N3102,C3102,IF(N3102="USD",C3102*TasaUSD,C3102/TasaUSD)))</f>
        <v/>
      </c>
      <c r="V3102" s="20">
        <f>IF(I3102="","",IF(IFERROR(INDEX(ctaLiq,MATCH(E3102,ctaNom,0))="Sí",FALSE),IF(OR(I3102="Gasto",I3102="Transferencia",I3102="Pago tarjeta"),-1,1)*O3102,0)+IF(AND(U3102&lt;&gt;"",IFERROR(INDEX(ctaLiq,MATCH(G3102,ctaNom,0))="Sí",FALSE)),O3102,0))</f>
        <v/>
      </c>
      <c r="W3102" s="19">
        <f>IF(OR(F3102="",I3102=""),"",IF(COUNTIFS(F$6:F3102,F3102,I$6:I3102,"?*")=1,MAX(W$5:W3101)+1,""))</f>
        <v/>
      </c>
    </row>
    <row r="3103">
      <c r="B3103" s="15" t="n"/>
      <c r="C3103" s="16" t="n"/>
      <c r="D3103" s="17" t="n"/>
      <c r="E3103" s="17" t="n"/>
      <c r="F3103" s="17" t="n"/>
      <c r="G3103" s="17" t="n"/>
      <c r="H3103" s="18">
        <f>IF(AND(B3103="",C3103="",D3103="",E3103=""),"",IF(B3103="","⚠ Falta fecha",IF(C3103="","⚠ Falta monto",IF(D3103="","⚠ Falta categoría",IF(ISNA(MATCH(D3103,catNom,0)),"⚠ Categoría no existe",IF(E3103="","⚠ Falta cuenta",IF(ISNA(MATCH(E3103,ctaNom,0)),"⚠ Cuenta no existe",IF(AND(OR(I3103="Transferencia",I3103="Pago tarjeta"),G3103=""),"⚠ Indica la cuenta «Hacia»",IF(AND(G3103&lt;&gt;"",G3103=E3103),"⚠ «Hacia» igual a la cuenta",IF(AND(G3103&lt;&gt;"",ISNA(MATCH(G3103,ctaNom,0))),"⚠ «Hacia» no existe",IF(AND(I3103="Pago tarjeta",IFERROR(INDEX(ctaTipo,MATCH(G3103,ctaNom,0)),"")&lt;&gt;"Tarjeta de crédito"),"⚠ «Hacia» debe ser la tarjeta",IF(AND(I3103="Trading",IFERROR(INDEX(ctaTipo,MATCH(E3103,ctaNom,0)),"")&lt;&gt;"Cuenta de trading"),"⚠ Usa la cuenta de trading","✓"))))))))))))</f>
        <v/>
      </c>
      <c r="I3103" s="19">
        <f>IF(OR(B3103="",C3103="",D3103=""),"",IFERROR(INDEX(catTipo,MATCH(D3103,catNom,0))&amp;"",""))</f>
        <v/>
      </c>
      <c r="J3103" s="19">
        <f>IF(I3103="","",IFERROR(INDEX(catGrupo,MATCH(D3103,catNom,0))&amp;"",""))</f>
        <v/>
      </c>
      <c r="K3103" s="19">
        <f>IF(I3103="Gasto",IF(IFERROR(INDEX(catClas,MATCH(D3103,catNom,0))&amp;"","")="","Variable",IFERROR(INDEX(catClas,MATCH(D3103,catNom,0))&amp;"","")),"")</f>
        <v/>
      </c>
      <c r="L3103" s="19">
        <f>IF(I3103="","",IFERROR(INDEX(catAlim,MATCH(D3103,catNom,0))&amp;"",""))</f>
        <v/>
      </c>
      <c r="M3103" s="19">
        <f>IF(I3103="","",IFERROR(INDEX(catComida,MATCH(D3103,catNom,0))&amp;"",""))</f>
        <v/>
      </c>
      <c r="N3103" s="19">
        <f>IF(I3103="","",IFERROR(INDEX(ctaMon,MATCH(E3103,ctaNom,0))&amp;"","DOP"))</f>
        <v/>
      </c>
      <c r="O3103" s="20">
        <f>IF(I3103="","",C3103*IF(N3103="USD",TasaUSD,1))</f>
        <v/>
      </c>
      <c r="P3103" s="20">
        <f>IF(I3103="","",IF(I3103="Gasto",O3103,0))</f>
        <v/>
      </c>
      <c r="Q3103" s="20">
        <f>IF(I3103="","",IF(I3103="Ingreso",O3103,0))</f>
        <v/>
      </c>
      <c r="R3103" s="20">
        <f>IF(I3103="","",IF(I3103="Trading",O3103,0))</f>
        <v/>
      </c>
      <c r="S3103" s="19">
        <f>IF(I3103="","",IF(AND(I3103="Gasto",K3103="Variable",J3103&lt;&gt;"Trading",O3103&gt;0,O3103&lt;=Umbral),1,0))</f>
        <v/>
      </c>
      <c r="T3103" s="20">
        <f>IF(OR(I3103="",E3103=""),"",IF(OR(I3103="Gasto",I3103="Transferencia",I3103="Pago tarjeta"),-1,1)*C3103)</f>
        <v/>
      </c>
      <c r="U3103" s="20">
        <f>IF(OR(G3103="",AND(I3103&lt;&gt;"Transferencia",I3103&lt;&gt;"Pago tarjeta")),"",IF(IFERROR(INDEX(ctaMon,MATCH(G3103,ctaNom,0))&amp;"","DOP")=N3103,C3103,IF(N3103="USD",C3103*TasaUSD,C3103/TasaUSD)))</f>
        <v/>
      </c>
      <c r="V3103" s="20">
        <f>IF(I3103="","",IF(IFERROR(INDEX(ctaLiq,MATCH(E3103,ctaNom,0))="Sí",FALSE),IF(OR(I3103="Gasto",I3103="Transferencia",I3103="Pago tarjeta"),-1,1)*O3103,0)+IF(AND(U3103&lt;&gt;"",IFERROR(INDEX(ctaLiq,MATCH(G3103,ctaNom,0))="Sí",FALSE)),O3103,0))</f>
        <v/>
      </c>
      <c r="W3103" s="19">
        <f>IF(OR(F3103="",I3103=""),"",IF(COUNTIFS(F$6:F3103,F3103,I$6:I3103,"?*")=1,MAX(W$5:W3102)+1,""))</f>
        <v/>
      </c>
    </row>
    <row r="3104">
      <c r="B3104" s="15" t="n"/>
      <c r="C3104" s="16" t="n"/>
      <c r="D3104" s="17" t="n"/>
      <c r="E3104" s="17" t="n"/>
      <c r="F3104" s="17" t="n"/>
      <c r="G3104" s="17" t="n"/>
      <c r="H3104" s="18">
        <f>IF(AND(B3104="",C3104="",D3104="",E3104=""),"",IF(B3104="","⚠ Falta fecha",IF(C3104="","⚠ Falta monto",IF(D3104="","⚠ Falta categoría",IF(ISNA(MATCH(D3104,catNom,0)),"⚠ Categoría no existe",IF(E3104="","⚠ Falta cuenta",IF(ISNA(MATCH(E3104,ctaNom,0)),"⚠ Cuenta no existe",IF(AND(OR(I3104="Transferencia",I3104="Pago tarjeta"),G3104=""),"⚠ Indica la cuenta «Hacia»",IF(AND(G3104&lt;&gt;"",G3104=E3104),"⚠ «Hacia» igual a la cuenta",IF(AND(G3104&lt;&gt;"",ISNA(MATCH(G3104,ctaNom,0))),"⚠ «Hacia» no existe",IF(AND(I3104="Pago tarjeta",IFERROR(INDEX(ctaTipo,MATCH(G3104,ctaNom,0)),"")&lt;&gt;"Tarjeta de crédito"),"⚠ «Hacia» debe ser la tarjeta",IF(AND(I3104="Trading",IFERROR(INDEX(ctaTipo,MATCH(E3104,ctaNom,0)),"")&lt;&gt;"Cuenta de trading"),"⚠ Usa la cuenta de trading","✓"))))))))))))</f>
        <v/>
      </c>
      <c r="I3104" s="19">
        <f>IF(OR(B3104="",C3104="",D3104=""),"",IFERROR(INDEX(catTipo,MATCH(D3104,catNom,0))&amp;"",""))</f>
        <v/>
      </c>
      <c r="J3104" s="19">
        <f>IF(I3104="","",IFERROR(INDEX(catGrupo,MATCH(D3104,catNom,0))&amp;"",""))</f>
        <v/>
      </c>
      <c r="K3104" s="19">
        <f>IF(I3104="Gasto",IF(IFERROR(INDEX(catClas,MATCH(D3104,catNom,0))&amp;"","")="","Variable",IFERROR(INDEX(catClas,MATCH(D3104,catNom,0))&amp;"","")),"")</f>
        <v/>
      </c>
      <c r="L3104" s="19">
        <f>IF(I3104="","",IFERROR(INDEX(catAlim,MATCH(D3104,catNom,0))&amp;"",""))</f>
        <v/>
      </c>
      <c r="M3104" s="19">
        <f>IF(I3104="","",IFERROR(INDEX(catComida,MATCH(D3104,catNom,0))&amp;"",""))</f>
        <v/>
      </c>
      <c r="N3104" s="19">
        <f>IF(I3104="","",IFERROR(INDEX(ctaMon,MATCH(E3104,ctaNom,0))&amp;"","DOP"))</f>
        <v/>
      </c>
      <c r="O3104" s="20">
        <f>IF(I3104="","",C3104*IF(N3104="USD",TasaUSD,1))</f>
        <v/>
      </c>
      <c r="P3104" s="20">
        <f>IF(I3104="","",IF(I3104="Gasto",O3104,0))</f>
        <v/>
      </c>
      <c r="Q3104" s="20">
        <f>IF(I3104="","",IF(I3104="Ingreso",O3104,0))</f>
        <v/>
      </c>
      <c r="R3104" s="20">
        <f>IF(I3104="","",IF(I3104="Trading",O3104,0))</f>
        <v/>
      </c>
      <c r="S3104" s="19">
        <f>IF(I3104="","",IF(AND(I3104="Gasto",K3104="Variable",J3104&lt;&gt;"Trading",O3104&gt;0,O3104&lt;=Umbral),1,0))</f>
        <v/>
      </c>
      <c r="T3104" s="20">
        <f>IF(OR(I3104="",E3104=""),"",IF(OR(I3104="Gasto",I3104="Transferencia",I3104="Pago tarjeta"),-1,1)*C3104)</f>
        <v/>
      </c>
      <c r="U3104" s="20">
        <f>IF(OR(G3104="",AND(I3104&lt;&gt;"Transferencia",I3104&lt;&gt;"Pago tarjeta")),"",IF(IFERROR(INDEX(ctaMon,MATCH(G3104,ctaNom,0))&amp;"","DOP")=N3104,C3104,IF(N3104="USD",C3104*TasaUSD,C3104/TasaUSD)))</f>
        <v/>
      </c>
      <c r="V3104" s="20">
        <f>IF(I3104="","",IF(IFERROR(INDEX(ctaLiq,MATCH(E3104,ctaNom,0))="Sí",FALSE),IF(OR(I3104="Gasto",I3104="Transferencia",I3104="Pago tarjeta"),-1,1)*O3104,0)+IF(AND(U3104&lt;&gt;"",IFERROR(INDEX(ctaLiq,MATCH(G3104,ctaNom,0))="Sí",FALSE)),O3104,0))</f>
        <v/>
      </c>
      <c r="W3104" s="19">
        <f>IF(OR(F3104="",I3104=""),"",IF(COUNTIFS(F$6:F3104,F3104,I$6:I3104,"?*")=1,MAX(W$5:W3103)+1,""))</f>
        <v/>
      </c>
    </row>
    <row r="3105">
      <c r="B3105" s="15" t="n"/>
      <c r="C3105" s="16" t="n"/>
      <c r="D3105" s="17" t="n"/>
      <c r="E3105" s="17" t="n"/>
      <c r="F3105" s="17" t="n"/>
      <c r="G3105" s="17" t="n"/>
      <c r="H3105" s="18">
        <f>IF(AND(B3105="",C3105="",D3105="",E3105=""),"",IF(B3105="","⚠ Falta fecha",IF(C3105="","⚠ Falta monto",IF(D3105="","⚠ Falta categoría",IF(ISNA(MATCH(D3105,catNom,0)),"⚠ Categoría no existe",IF(E3105="","⚠ Falta cuenta",IF(ISNA(MATCH(E3105,ctaNom,0)),"⚠ Cuenta no existe",IF(AND(OR(I3105="Transferencia",I3105="Pago tarjeta"),G3105=""),"⚠ Indica la cuenta «Hacia»",IF(AND(G3105&lt;&gt;"",G3105=E3105),"⚠ «Hacia» igual a la cuenta",IF(AND(G3105&lt;&gt;"",ISNA(MATCH(G3105,ctaNom,0))),"⚠ «Hacia» no existe",IF(AND(I3105="Pago tarjeta",IFERROR(INDEX(ctaTipo,MATCH(G3105,ctaNom,0)),"")&lt;&gt;"Tarjeta de crédito"),"⚠ «Hacia» debe ser la tarjeta",IF(AND(I3105="Trading",IFERROR(INDEX(ctaTipo,MATCH(E3105,ctaNom,0)),"")&lt;&gt;"Cuenta de trading"),"⚠ Usa la cuenta de trading","✓"))))))))))))</f>
        <v/>
      </c>
      <c r="I3105" s="19">
        <f>IF(OR(B3105="",C3105="",D3105=""),"",IFERROR(INDEX(catTipo,MATCH(D3105,catNom,0))&amp;"",""))</f>
        <v/>
      </c>
      <c r="J3105" s="19">
        <f>IF(I3105="","",IFERROR(INDEX(catGrupo,MATCH(D3105,catNom,0))&amp;"",""))</f>
        <v/>
      </c>
      <c r="K3105" s="19">
        <f>IF(I3105="Gasto",IF(IFERROR(INDEX(catClas,MATCH(D3105,catNom,0))&amp;"","")="","Variable",IFERROR(INDEX(catClas,MATCH(D3105,catNom,0))&amp;"","")),"")</f>
        <v/>
      </c>
      <c r="L3105" s="19">
        <f>IF(I3105="","",IFERROR(INDEX(catAlim,MATCH(D3105,catNom,0))&amp;"",""))</f>
        <v/>
      </c>
      <c r="M3105" s="19">
        <f>IF(I3105="","",IFERROR(INDEX(catComida,MATCH(D3105,catNom,0))&amp;"",""))</f>
        <v/>
      </c>
      <c r="N3105" s="19">
        <f>IF(I3105="","",IFERROR(INDEX(ctaMon,MATCH(E3105,ctaNom,0))&amp;"","DOP"))</f>
        <v/>
      </c>
      <c r="O3105" s="20">
        <f>IF(I3105="","",C3105*IF(N3105="USD",TasaUSD,1))</f>
        <v/>
      </c>
      <c r="P3105" s="20">
        <f>IF(I3105="","",IF(I3105="Gasto",O3105,0))</f>
        <v/>
      </c>
      <c r="Q3105" s="20">
        <f>IF(I3105="","",IF(I3105="Ingreso",O3105,0))</f>
        <v/>
      </c>
      <c r="R3105" s="20">
        <f>IF(I3105="","",IF(I3105="Trading",O3105,0))</f>
        <v/>
      </c>
      <c r="S3105" s="19">
        <f>IF(I3105="","",IF(AND(I3105="Gasto",K3105="Variable",J3105&lt;&gt;"Trading",O3105&gt;0,O3105&lt;=Umbral),1,0))</f>
        <v/>
      </c>
      <c r="T3105" s="20">
        <f>IF(OR(I3105="",E3105=""),"",IF(OR(I3105="Gasto",I3105="Transferencia",I3105="Pago tarjeta"),-1,1)*C3105)</f>
        <v/>
      </c>
      <c r="U3105" s="20">
        <f>IF(OR(G3105="",AND(I3105&lt;&gt;"Transferencia",I3105&lt;&gt;"Pago tarjeta")),"",IF(IFERROR(INDEX(ctaMon,MATCH(G3105,ctaNom,0))&amp;"","DOP")=N3105,C3105,IF(N3105="USD",C3105*TasaUSD,C3105/TasaUSD)))</f>
        <v/>
      </c>
      <c r="V3105" s="20">
        <f>IF(I3105="","",IF(IFERROR(INDEX(ctaLiq,MATCH(E3105,ctaNom,0))="Sí",FALSE),IF(OR(I3105="Gasto",I3105="Transferencia",I3105="Pago tarjeta"),-1,1)*O3105,0)+IF(AND(U3105&lt;&gt;"",IFERROR(INDEX(ctaLiq,MATCH(G3105,ctaNom,0))="Sí",FALSE)),O3105,0))</f>
        <v/>
      </c>
      <c r="W3105" s="19">
        <f>IF(OR(F3105="",I3105=""),"",IF(COUNTIFS(F$6:F3105,F3105,I$6:I3105,"?*")=1,MAX(W$5:W3104)+1,""))</f>
        <v/>
      </c>
    </row>
    <row r="3106">
      <c r="B3106" s="15" t="n"/>
      <c r="C3106" s="16" t="n"/>
      <c r="D3106" s="17" t="n"/>
      <c r="E3106" s="17" t="n"/>
      <c r="F3106" s="17" t="n"/>
      <c r="G3106" s="17" t="n"/>
      <c r="H3106" s="18">
        <f>IF(AND(B3106="",C3106="",D3106="",E3106=""),"",IF(B3106="","⚠ Falta fecha",IF(C3106="","⚠ Falta monto",IF(D3106="","⚠ Falta categoría",IF(ISNA(MATCH(D3106,catNom,0)),"⚠ Categoría no existe",IF(E3106="","⚠ Falta cuenta",IF(ISNA(MATCH(E3106,ctaNom,0)),"⚠ Cuenta no existe",IF(AND(OR(I3106="Transferencia",I3106="Pago tarjeta"),G3106=""),"⚠ Indica la cuenta «Hacia»",IF(AND(G3106&lt;&gt;"",G3106=E3106),"⚠ «Hacia» igual a la cuenta",IF(AND(G3106&lt;&gt;"",ISNA(MATCH(G3106,ctaNom,0))),"⚠ «Hacia» no existe",IF(AND(I3106="Pago tarjeta",IFERROR(INDEX(ctaTipo,MATCH(G3106,ctaNom,0)),"")&lt;&gt;"Tarjeta de crédito"),"⚠ «Hacia» debe ser la tarjeta",IF(AND(I3106="Trading",IFERROR(INDEX(ctaTipo,MATCH(E3106,ctaNom,0)),"")&lt;&gt;"Cuenta de trading"),"⚠ Usa la cuenta de trading","✓"))))))))))))</f>
        <v/>
      </c>
      <c r="I3106" s="19">
        <f>IF(OR(B3106="",C3106="",D3106=""),"",IFERROR(INDEX(catTipo,MATCH(D3106,catNom,0))&amp;"",""))</f>
        <v/>
      </c>
      <c r="J3106" s="19">
        <f>IF(I3106="","",IFERROR(INDEX(catGrupo,MATCH(D3106,catNom,0))&amp;"",""))</f>
        <v/>
      </c>
      <c r="K3106" s="19">
        <f>IF(I3106="Gasto",IF(IFERROR(INDEX(catClas,MATCH(D3106,catNom,0))&amp;"","")="","Variable",IFERROR(INDEX(catClas,MATCH(D3106,catNom,0))&amp;"","")),"")</f>
        <v/>
      </c>
      <c r="L3106" s="19">
        <f>IF(I3106="","",IFERROR(INDEX(catAlim,MATCH(D3106,catNom,0))&amp;"",""))</f>
        <v/>
      </c>
      <c r="M3106" s="19">
        <f>IF(I3106="","",IFERROR(INDEX(catComida,MATCH(D3106,catNom,0))&amp;"",""))</f>
        <v/>
      </c>
      <c r="N3106" s="19">
        <f>IF(I3106="","",IFERROR(INDEX(ctaMon,MATCH(E3106,ctaNom,0))&amp;"","DOP"))</f>
        <v/>
      </c>
      <c r="O3106" s="20">
        <f>IF(I3106="","",C3106*IF(N3106="USD",TasaUSD,1))</f>
        <v/>
      </c>
      <c r="P3106" s="20">
        <f>IF(I3106="","",IF(I3106="Gasto",O3106,0))</f>
        <v/>
      </c>
      <c r="Q3106" s="20">
        <f>IF(I3106="","",IF(I3106="Ingreso",O3106,0))</f>
        <v/>
      </c>
      <c r="R3106" s="20">
        <f>IF(I3106="","",IF(I3106="Trading",O3106,0))</f>
        <v/>
      </c>
      <c r="S3106" s="19">
        <f>IF(I3106="","",IF(AND(I3106="Gasto",K3106="Variable",J3106&lt;&gt;"Trading",O3106&gt;0,O3106&lt;=Umbral),1,0))</f>
        <v/>
      </c>
      <c r="T3106" s="20">
        <f>IF(OR(I3106="",E3106=""),"",IF(OR(I3106="Gasto",I3106="Transferencia",I3106="Pago tarjeta"),-1,1)*C3106)</f>
        <v/>
      </c>
      <c r="U3106" s="20">
        <f>IF(OR(G3106="",AND(I3106&lt;&gt;"Transferencia",I3106&lt;&gt;"Pago tarjeta")),"",IF(IFERROR(INDEX(ctaMon,MATCH(G3106,ctaNom,0))&amp;"","DOP")=N3106,C3106,IF(N3106="USD",C3106*TasaUSD,C3106/TasaUSD)))</f>
        <v/>
      </c>
      <c r="V3106" s="20">
        <f>IF(I3106="","",IF(IFERROR(INDEX(ctaLiq,MATCH(E3106,ctaNom,0))="Sí",FALSE),IF(OR(I3106="Gasto",I3106="Transferencia",I3106="Pago tarjeta"),-1,1)*O3106,0)+IF(AND(U3106&lt;&gt;"",IFERROR(INDEX(ctaLiq,MATCH(G3106,ctaNom,0))="Sí",FALSE)),O3106,0))</f>
        <v/>
      </c>
      <c r="W3106" s="19">
        <f>IF(OR(F3106="",I3106=""),"",IF(COUNTIFS(F$6:F3106,F3106,I$6:I3106,"?*")=1,MAX(W$5:W3105)+1,""))</f>
        <v/>
      </c>
    </row>
    <row r="3107">
      <c r="B3107" s="15" t="n"/>
      <c r="C3107" s="16" t="n"/>
      <c r="D3107" s="17" t="n"/>
      <c r="E3107" s="17" t="n"/>
      <c r="F3107" s="17" t="n"/>
      <c r="G3107" s="17" t="n"/>
      <c r="H3107" s="18">
        <f>IF(AND(B3107="",C3107="",D3107="",E3107=""),"",IF(B3107="","⚠ Falta fecha",IF(C3107="","⚠ Falta monto",IF(D3107="","⚠ Falta categoría",IF(ISNA(MATCH(D3107,catNom,0)),"⚠ Categoría no existe",IF(E3107="","⚠ Falta cuenta",IF(ISNA(MATCH(E3107,ctaNom,0)),"⚠ Cuenta no existe",IF(AND(OR(I3107="Transferencia",I3107="Pago tarjeta"),G3107=""),"⚠ Indica la cuenta «Hacia»",IF(AND(G3107&lt;&gt;"",G3107=E3107),"⚠ «Hacia» igual a la cuenta",IF(AND(G3107&lt;&gt;"",ISNA(MATCH(G3107,ctaNom,0))),"⚠ «Hacia» no existe",IF(AND(I3107="Pago tarjeta",IFERROR(INDEX(ctaTipo,MATCH(G3107,ctaNom,0)),"")&lt;&gt;"Tarjeta de crédito"),"⚠ «Hacia» debe ser la tarjeta",IF(AND(I3107="Trading",IFERROR(INDEX(ctaTipo,MATCH(E3107,ctaNom,0)),"")&lt;&gt;"Cuenta de trading"),"⚠ Usa la cuenta de trading","✓"))))))))))))</f>
        <v/>
      </c>
      <c r="I3107" s="19">
        <f>IF(OR(B3107="",C3107="",D3107=""),"",IFERROR(INDEX(catTipo,MATCH(D3107,catNom,0))&amp;"",""))</f>
        <v/>
      </c>
      <c r="J3107" s="19">
        <f>IF(I3107="","",IFERROR(INDEX(catGrupo,MATCH(D3107,catNom,0))&amp;"",""))</f>
        <v/>
      </c>
      <c r="K3107" s="19">
        <f>IF(I3107="Gasto",IF(IFERROR(INDEX(catClas,MATCH(D3107,catNom,0))&amp;"","")="","Variable",IFERROR(INDEX(catClas,MATCH(D3107,catNom,0))&amp;"","")),"")</f>
        <v/>
      </c>
      <c r="L3107" s="19">
        <f>IF(I3107="","",IFERROR(INDEX(catAlim,MATCH(D3107,catNom,0))&amp;"",""))</f>
        <v/>
      </c>
      <c r="M3107" s="19">
        <f>IF(I3107="","",IFERROR(INDEX(catComida,MATCH(D3107,catNom,0))&amp;"",""))</f>
        <v/>
      </c>
      <c r="N3107" s="19">
        <f>IF(I3107="","",IFERROR(INDEX(ctaMon,MATCH(E3107,ctaNom,0))&amp;"","DOP"))</f>
        <v/>
      </c>
      <c r="O3107" s="20">
        <f>IF(I3107="","",C3107*IF(N3107="USD",TasaUSD,1))</f>
        <v/>
      </c>
      <c r="P3107" s="20">
        <f>IF(I3107="","",IF(I3107="Gasto",O3107,0))</f>
        <v/>
      </c>
      <c r="Q3107" s="20">
        <f>IF(I3107="","",IF(I3107="Ingreso",O3107,0))</f>
        <v/>
      </c>
      <c r="R3107" s="20">
        <f>IF(I3107="","",IF(I3107="Trading",O3107,0))</f>
        <v/>
      </c>
      <c r="S3107" s="19">
        <f>IF(I3107="","",IF(AND(I3107="Gasto",K3107="Variable",J3107&lt;&gt;"Trading",O3107&gt;0,O3107&lt;=Umbral),1,0))</f>
        <v/>
      </c>
      <c r="T3107" s="20">
        <f>IF(OR(I3107="",E3107=""),"",IF(OR(I3107="Gasto",I3107="Transferencia",I3107="Pago tarjeta"),-1,1)*C3107)</f>
        <v/>
      </c>
      <c r="U3107" s="20">
        <f>IF(OR(G3107="",AND(I3107&lt;&gt;"Transferencia",I3107&lt;&gt;"Pago tarjeta")),"",IF(IFERROR(INDEX(ctaMon,MATCH(G3107,ctaNom,0))&amp;"","DOP")=N3107,C3107,IF(N3107="USD",C3107*TasaUSD,C3107/TasaUSD)))</f>
        <v/>
      </c>
      <c r="V3107" s="20">
        <f>IF(I3107="","",IF(IFERROR(INDEX(ctaLiq,MATCH(E3107,ctaNom,0))="Sí",FALSE),IF(OR(I3107="Gasto",I3107="Transferencia",I3107="Pago tarjeta"),-1,1)*O3107,0)+IF(AND(U3107&lt;&gt;"",IFERROR(INDEX(ctaLiq,MATCH(G3107,ctaNom,0))="Sí",FALSE)),O3107,0))</f>
        <v/>
      </c>
      <c r="W3107" s="19">
        <f>IF(OR(F3107="",I3107=""),"",IF(COUNTIFS(F$6:F3107,F3107,I$6:I3107,"?*")=1,MAX(W$5:W3106)+1,""))</f>
        <v/>
      </c>
    </row>
    <row r="3108">
      <c r="B3108" s="15" t="n"/>
      <c r="C3108" s="16" t="n"/>
      <c r="D3108" s="17" t="n"/>
      <c r="E3108" s="17" t="n"/>
      <c r="F3108" s="17" t="n"/>
      <c r="G3108" s="17" t="n"/>
      <c r="H3108" s="18">
        <f>IF(AND(B3108="",C3108="",D3108="",E3108=""),"",IF(B3108="","⚠ Falta fecha",IF(C3108="","⚠ Falta monto",IF(D3108="","⚠ Falta categoría",IF(ISNA(MATCH(D3108,catNom,0)),"⚠ Categoría no existe",IF(E3108="","⚠ Falta cuenta",IF(ISNA(MATCH(E3108,ctaNom,0)),"⚠ Cuenta no existe",IF(AND(OR(I3108="Transferencia",I3108="Pago tarjeta"),G3108=""),"⚠ Indica la cuenta «Hacia»",IF(AND(G3108&lt;&gt;"",G3108=E3108),"⚠ «Hacia» igual a la cuenta",IF(AND(G3108&lt;&gt;"",ISNA(MATCH(G3108,ctaNom,0))),"⚠ «Hacia» no existe",IF(AND(I3108="Pago tarjeta",IFERROR(INDEX(ctaTipo,MATCH(G3108,ctaNom,0)),"")&lt;&gt;"Tarjeta de crédito"),"⚠ «Hacia» debe ser la tarjeta",IF(AND(I3108="Trading",IFERROR(INDEX(ctaTipo,MATCH(E3108,ctaNom,0)),"")&lt;&gt;"Cuenta de trading"),"⚠ Usa la cuenta de trading","✓"))))))))))))</f>
        <v/>
      </c>
      <c r="I3108" s="19">
        <f>IF(OR(B3108="",C3108="",D3108=""),"",IFERROR(INDEX(catTipo,MATCH(D3108,catNom,0))&amp;"",""))</f>
        <v/>
      </c>
      <c r="J3108" s="19">
        <f>IF(I3108="","",IFERROR(INDEX(catGrupo,MATCH(D3108,catNom,0))&amp;"",""))</f>
        <v/>
      </c>
      <c r="K3108" s="19">
        <f>IF(I3108="Gasto",IF(IFERROR(INDEX(catClas,MATCH(D3108,catNom,0))&amp;"","")="","Variable",IFERROR(INDEX(catClas,MATCH(D3108,catNom,0))&amp;"","")),"")</f>
        <v/>
      </c>
      <c r="L3108" s="19">
        <f>IF(I3108="","",IFERROR(INDEX(catAlim,MATCH(D3108,catNom,0))&amp;"",""))</f>
        <v/>
      </c>
      <c r="M3108" s="19">
        <f>IF(I3108="","",IFERROR(INDEX(catComida,MATCH(D3108,catNom,0))&amp;"",""))</f>
        <v/>
      </c>
      <c r="N3108" s="19">
        <f>IF(I3108="","",IFERROR(INDEX(ctaMon,MATCH(E3108,ctaNom,0))&amp;"","DOP"))</f>
        <v/>
      </c>
      <c r="O3108" s="20">
        <f>IF(I3108="","",C3108*IF(N3108="USD",TasaUSD,1))</f>
        <v/>
      </c>
      <c r="P3108" s="20">
        <f>IF(I3108="","",IF(I3108="Gasto",O3108,0))</f>
        <v/>
      </c>
      <c r="Q3108" s="20">
        <f>IF(I3108="","",IF(I3108="Ingreso",O3108,0))</f>
        <v/>
      </c>
      <c r="R3108" s="20">
        <f>IF(I3108="","",IF(I3108="Trading",O3108,0))</f>
        <v/>
      </c>
      <c r="S3108" s="19">
        <f>IF(I3108="","",IF(AND(I3108="Gasto",K3108="Variable",J3108&lt;&gt;"Trading",O3108&gt;0,O3108&lt;=Umbral),1,0))</f>
        <v/>
      </c>
      <c r="T3108" s="20">
        <f>IF(OR(I3108="",E3108=""),"",IF(OR(I3108="Gasto",I3108="Transferencia",I3108="Pago tarjeta"),-1,1)*C3108)</f>
        <v/>
      </c>
      <c r="U3108" s="20">
        <f>IF(OR(G3108="",AND(I3108&lt;&gt;"Transferencia",I3108&lt;&gt;"Pago tarjeta")),"",IF(IFERROR(INDEX(ctaMon,MATCH(G3108,ctaNom,0))&amp;"","DOP")=N3108,C3108,IF(N3108="USD",C3108*TasaUSD,C3108/TasaUSD)))</f>
        <v/>
      </c>
      <c r="V3108" s="20">
        <f>IF(I3108="","",IF(IFERROR(INDEX(ctaLiq,MATCH(E3108,ctaNom,0))="Sí",FALSE),IF(OR(I3108="Gasto",I3108="Transferencia",I3108="Pago tarjeta"),-1,1)*O3108,0)+IF(AND(U3108&lt;&gt;"",IFERROR(INDEX(ctaLiq,MATCH(G3108,ctaNom,0))="Sí",FALSE)),O3108,0))</f>
        <v/>
      </c>
      <c r="W3108" s="19">
        <f>IF(OR(F3108="",I3108=""),"",IF(COUNTIFS(F$6:F3108,F3108,I$6:I3108,"?*")=1,MAX(W$5:W3107)+1,""))</f>
        <v/>
      </c>
    </row>
    <row r="3109">
      <c r="B3109" s="15" t="n"/>
      <c r="C3109" s="16" t="n"/>
      <c r="D3109" s="17" t="n"/>
      <c r="E3109" s="17" t="n"/>
      <c r="F3109" s="17" t="n"/>
      <c r="G3109" s="17" t="n"/>
      <c r="H3109" s="18">
        <f>IF(AND(B3109="",C3109="",D3109="",E3109=""),"",IF(B3109="","⚠ Falta fecha",IF(C3109="","⚠ Falta monto",IF(D3109="","⚠ Falta categoría",IF(ISNA(MATCH(D3109,catNom,0)),"⚠ Categoría no existe",IF(E3109="","⚠ Falta cuenta",IF(ISNA(MATCH(E3109,ctaNom,0)),"⚠ Cuenta no existe",IF(AND(OR(I3109="Transferencia",I3109="Pago tarjeta"),G3109=""),"⚠ Indica la cuenta «Hacia»",IF(AND(G3109&lt;&gt;"",G3109=E3109),"⚠ «Hacia» igual a la cuenta",IF(AND(G3109&lt;&gt;"",ISNA(MATCH(G3109,ctaNom,0))),"⚠ «Hacia» no existe",IF(AND(I3109="Pago tarjeta",IFERROR(INDEX(ctaTipo,MATCH(G3109,ctaNom,0)),"")&lt;&gt;"Tarjeta de crédito"),"⚠ «Hacia» debe ser la tarjeta",IF(AND(I3109="Trading",IFERROR(INDEX(ctaTipo,MATCH(E3109,ctaNom,0)),"")&lt;&gt;"Cuenta de trading"),"⚠ Usa la cuenta de trading","✓"))))))))))))</f>
        <v/>
      </c>
      <c r="I3109" s="19">
        <f>IF(OR(B3109="",C3109="",D3109=""),"",IFERROR(INDEX(catTipo,MATCH(D3109,catNom,0))&amp;"",""))</f>
        <v/>
      </c>
      <c r="J3109" s="19">
        <f>IF(I3109="","",IFERROR(INDEX(catGrupo,MATCH(D3109,catNom,0))&amp;"",""))</f>
        <v/>
      </c>
      <c r="K3109" s="19">
        <f>IF(I3109="Gasto",IF(IFERROR(INDEX(catClas,MATCH(D3109,catNom,0))&amp;"","")="","Variable",IFERROR(INDEX(catClas,MATCH(D3109,catNom,0))&amp;"","")),"")</f>
        <v/>
      </c>
      <c r="L3109" s="19">
        <f>IF(I3109="","",IFERROR(INDEX(catAlim,MATCH(D3109,catNom,0))&amp;"",""))</f>
        <v/>
      </c>
      <c r="M3109" s="19">
        <f>IF(I3109="","",IFERROR(INDEX(catComida,MATCH(D3109,catNom,0))&amp;"",""))</f>
        <v/>
      </c>
      <c r="N3109" s="19">
        <f>IF(I3109="","",IFERROR(INDEX(ctaMon,MATCH(E3109,ctaNom,0))&amp;"","DOP"))</f>
        <v/>
      </c>
      <c r="O3109" s="20">
        <f>IF(I3109="","",C3109*IF(N3109="USD",TasaUSD,1))</f>
        <v/>
      </c>
      <c r="P3109" s="20">
        <f>IF(I3109="","",IF(I3109="Gasto",O3109,0))</f>
        <v/>
      </c>
      <c r="Q3109" s="20">
        <f>IF(I3109="","",IF(I3109="Ingreso",O3109,0))</f>
        <v/>
      </c>
      <c r="R3109" s="20">
        <f>IF(I3109="","",IF(I3109="Trading",O3109,0))</f>
        <v/>
      </c>
      <c r="S3109" s="19">
        <f>IF(I3109="","",IF(AND(I3109="Gasto",K3109="Variable",J3109&lt;&gt;"Trading",O3109&gt;0,O3109&lt;=Umbral),1,0))</f>
        <v/>
      </c>
      <c r="T3109" s="20">
        <f>IF(OR(I3109="",E3109=""),"",IF(OR(I3109="Gasto",I3109="Transferencia",I3109="Pago tarjeta"),-1,1)*C3109)</f>
        <v/>
      </c>
      <c r="U3109" s="20">
        <f>IF(OR(G3109="",AND(I3109&lt;&gt;"Transferencia",I3109&lt;&gt;"Pago tarjeta")),"",IF(IFERROR(INDEX(ctaMon,MATCH(G3109,ctaNom,0))&amp;"","DOP")=N3109,C3109,IF(N3109="USD",C3109*TasaUSD,C3109/TasaUSD)))</f>
        <v/>
      </c>
      <c r="V3109" s="20">
        <f>IF(I3109="","",IF(IFERROR(INDEX(ctaLiq,MATCH(E3109,ctaNom,0))="Sí",FALSE),IF(OR(I3109="Gasto",I3109="Transferencia",I3109="Pago tarjeta"),-1,1)*O3109,0)+IF(AND(U3109&lt;&gt;"",IFERROR(INDEX(ctaLiq,MATCH(G3109,ctaNom,0))="Sí",FALSE)),O3109,0))</f>
        <v/>
      </c>
      <c r="W3109" s="19">
        <f>IF(OR(F3109="",I3109=""),"",IF(COUNTIFS(F$6:F3109,F3109,I$6:I3109,"?*")=1,MAX(W$5:W3108)+1,""))</f>
        <v/>
      </c>
    </row>
    <row r="3110">
      <c r="B3110" s="15" t="n"/>
      <c r="C3110" s="16" t="n"/>
      <c r="D3110" s="17" t="n"/>
      <c r="E3110" s="17" t="n"/>
      <c r="F3110" s="17" t="n"/>
      <c r="G3110" s="17" t="n"/>
      <c r="H3110" s="18">
        <f>IF(AND(B3110="",C3110="",D3110="",E3110=""),"",IF(B3110="","⚠ Falta fecha",IF(C3110="","⚠ Falta monto",IF(D3110="","⚠ Falta categoría",IF(ISNA(MATCH(D3110,catNom,0)),"⚠ Categoría no existe",IF(E3110="","⚠ Falta cuenta",IF(ISNA(MATCH(E3110,ctaNom,0)),"⚠ Cuenta no existe",IF(AND(OR(I3110="Transferencia",I3110="Pago tarjeta"),G3110=""),"⚠ Indica la cuenta «Hacia»",IF(AND(G3110&lt;&gt;"",G3110=E3110),"⚠ «Hacia» igual a la cuenta",IF(AND(G3110&lt;&gt;"",ISNA(MATCH(G3110,ctaNom,0))),"⚠ «Hacia» no existe",IF(AND(I3110="Pago tarjeta",IFERROR(INDEX(ctaTipo,MATCH(G3110,ctaNom,0)),"")&lt;&gt;"Tarjeta de crédito"),"⚠ «Hacia» debe ser la tarjeta",IF(AND(I3110="Trading",IFERROR(INDEX(ctaTipo,MATCH(E3110,ctaNom,0)),"")&lt;&gt;"Cuenta de trading"),"⚠ Usa la cuenta de trading","✓"))))))))))))</f>
        <v/>
      </c>
      <c r="I3110" s="19">
        <f>IF(OR(B3110="",C3110="",D3110=""),"",IFERROR(INDEX(catTipo,MATCH(D3110,catNom,0))&amp;"",""))</f>
        <v/>
      </c>
      <c r="J3110" s="19">
        <f>IF(I3110="","",IFERROR(INDEX(catGrupo,MATCH(D3110,catNom,0))&amp;"",""))</f>
        <v/>
      </c>
      <c r="K3110" s="19">
        <f>IF(I3110="Gasto",IF(IFERROR(INDEX(catClas,MATCH(D3110,catNom,0))&amp;"","")="","Variable",IFERROR(INDEX(catClas,MATCH(D3110,catNom,0))&amp;"","")),"")</f>
        <v/>
      </c>
      <c r="L3110" s="19">
        <f>IF(I3110="","",IFERROR(INDEX(catAlim,MATCH(D3110,catNom,0))&amp;"",""))</f>
        <v/>
      </c>
      <c r="M3110" s="19">
        <f>IF(I3110="","",IFERROR(INDEX(catComida,MATCH(D3110,catNom,0))&amp;"",""))</f>
        <v/>
      </c>
      <c r="N3110" s="19">
        <f>IF(I3110="","",IFERROR(INDEX(ctaMon,MATCH(E3110,ctaNom,0))&amp;"","DOP"))</f>
        <v/>
      </c>
      <c r="O3110" s="20">
        <f>IF(I3110="","",C3110*IF(N3110="USD",TasaUSD,1))</f>
        <v/>
      </c>
      <c r="P3110" s="20">
        <f>IF(I3110="","",IF(I3110="Gasto",O3110,0))</f>
        <v/>
      </c>
      <c r="Q3110" s="20">
        <f>IF(I3110="","",IF(I3110="Ingreso",O3110,0))</f>
        <v/>
      </c>
      <c r="R3110" s="20">
        <f>IF(I3110="","",IF(I3110="Trading",O3110,0))</f>
        <v/>
      </c>
      <c r="S3110" s="19">
        <f>IF(I3110="","",IF(AND(I3110="Gasto",K3110="Variable",J3110&lt;&gt;"Trading",O3110&gt;0,O3110&lt;=Umbral),1,0))</f>
        <v/>
      </c>
      <c r="T3110" s="20">
        <f>IF(OR(I3110="",E3110=""),"",IF(OR(I3110="Gasto",I3110="Transferencia",I3110="Pago tarjeta"),-1,1)*C3110)</f>
        <v/>
      </c>
      <c r="U3110" s="20">
        <f>IF(OR(G3110="",AND(I3110&lt;&gt;"Transferencia",I3110&lt;&gt;"Pago tarjeta")),"",IF(IFERROR(INDEX(ctaMon,MATCH(G3110,ctaNom,0))&amp;"","DOP")=N3110,C3110,IF(N3110="USD",C3110*TasaUSD,C3110/TasaUSD)))</f>
        <v/>
      </c>
      <c r="V3110" s="20">
        <f>IF(I3110="","",IF(IFERROR(INDEX(ctaLiq,MATCH(E3110,ctaNom,0))="Sí",FALSE),IF(OR(I3110="Gasto",I3110="Transferencia",I3110="Pago tarjeta"),-1,1)*O3110,0)+IF(AND(U3110&lt;&gt;"",IFERROR(INDEX(ctaLiq,MATCH(G3110,ctaNom,0))="Sí",FALSE)),O3110,0))</f>
        <v/>
      </c>
      <c r="W3110" s="19">
        <f>IF(OR(F3110="",I3110=""),"",IF(COUNTIFS(F$6:F3110,F3110,I$6:I3110,"?*")=1,MAX(W$5:W3109)+1,""))</f>
        <v/>
      </c>
    </row>
    <row r="3111">
      <c r="B3111" s="15" t="n"/>
      <c r="C3111" s="16" t="n"/>
      <c r="D3111" s="17" t="n"/>
      <c r="E3111" s="17" t="n"/>
      <c r="F3111" s="17" t="n"/>
      <c r="G3111" s="17" t="n"/>
      <c r="H3111" s="18">
        <f>IF(AND(B3111="",C3111="",D3111="",E3111=""),"",IF(B3111="","⚠ Falta fecha",IF(C3111="","⚠ Falta monto",IF(D3111="","⚠ Falta categoría",IF(ISNA(MATCH(D3111,catNom,0)),"⚠ Categoría no existe",IF(E3111="","⚠ Falta cuenta",IF(ISNA(MATCH(E3111,ctaNom,0)),"⚠ Cuenta no existe",IF(AND(OR(I3111="Transferencia",I3111="Pago tarjeta"),G3111=""),"⚠ Indica la cuenta «Hacia»",IF(AND(G3111&lt;&gt;"",G3111=E3111),"⚠ «Hacia» igual a la cuenta",IF(AND(G3111&lt;&gt;"",ISNA(MATCH(G3111,ctaNom,0))),"⚠ «Hacia» no existe",IF(AND(I3111="Pago tarjeta",IFERROR(INDEX(ctaTipo,MATCH(G3111,ctaNom,0)),"")&lt;&gt;"Tarjeta de crédito"),"⚠ «Hacia» debe ser la tarjeta",IF(AND(I3111="Trading",IFERROR(INDEX(ctaTipo,MATCH(E3111,ctaNom,0)),"")&lt;&gt;"Cuenta de trading"),"⚠ Usa la cuenta de trading","✓"))))))))))))</f>
        <v/>
      </c>
      <c r="I3111" s="19">
        <f>IF(OR(B3111="",C3111="",D3111=""),"",IFERROR(INDEX(catTipo,MATCH(D3111,catNom,0))&amp;"",""))</f>
        <v/>
      </c>
      <c r="J3111" s="19">
        <f>IF(I3111="","",IFERROR(INDEX(catGrupo,MATCH(D3111,catNom,0))&amp;"",""))</f>
        <v/>
      </c>
      <c r="K3111" s="19">
        <f>IF(I3111="Gasto",IF(IFERROR(INDEX(catClas,MATCH(D3111,catNom,0))&amp;"","")="","Variable",IFERROR(INDEX(catClas,MATCH(D3111,catNom,0))&amp;"","")),"")</f>
        <v/>
      </c>
      <c r="L3111" s="19">
        <f>IF(I3111="","",IFERROR(INDEX(catAlim,MATCH(D3111,catNom,0))&amp;"",""))</f>
        <v/>
      </c>
      <c r="M3111" s="19">
        <f>IF(I3111="","",IFERROR(INDEX(catComida,MATCH(D3111,catNom,0))&amp;"",""))</f>
        <v/>
      </c>
      <c r="N3111" s="19">
        <f>IF(I3111="","",IFERROR(INDEX(ctaMon,MATCH(E3111,ctaNom,0))&amp;"","DOP"))</f>
        <v/>
      </c>
      <c r="O3111" s="20">
        <f>IF(I3111="","",C3111*IF(N3111="USD",TasaUSD,1))</f>
        <v/>
      </c>
      <c r="P3111" s="20">
        <f>IF(I3111="","",IF(I3111="Gasto",O3111,0))</f>
        <v/>
      </c>
      <c r="Q3111" s="20">
        <f>IF(I3111="","",IF(I3111="Ingreso",O3111,0))</f>
        <v/>
      </c>
      <c r="R3111" s="20">
        <f>IF(I3111="","",IF(I3111="Trading",O3111,0))</f>
        <v/>
      </c>
      <c r="S3111" s="19">
        <f>IF(I3111="","",IF(AND(I3111="Gasto",K3111="Variable",J3111&lt;&gt;"Trading",O3111&gt;0,O3111&lt;=Umbral),1,0))</f>
        <v/>
      </c>
      <c r="T3111" s="20">
        <f>IF(OR(I3111="",E3111=""),"",IF(OR(I3111="Gasto",I3111="Transferencia",I3111="Pago tarjeta"),-1,1)*C3111)</f>
        <v/>
      </c>
      <c r="U3111" s="20">
        <f>IF(OR(G3111="",AND(I3111&lt;&gt;"Transferencia",I3111&lt;&gt;"Pago tarjeta")),"",IF(IFERROR(INDEX(ctaMon,MATCH(G3111,ctaNom,0))&amp;"","DOP")=N3111,C3111,IF(N3111="USD",C3111*TasaUSD,C3111/TasaUSD)))</f>
        <v/>
      </c>
      <c r="V3111" s="20">
        <f>IF(I3111="","",IF(IFERROR(INDEX(ctaLiq,MATCH(E3111,ctaNom,0))="Sí",FALSE),IF(OR(I3111="Gasto",I3111="Transferencia",I3111="Pago tarjeta"),-1,1)*O3111,0)+IF(AND(U3111&lt;&gt;"",IFERROR(INDEX(ctaLiq,MATCH(G3111,ctaNom,0))="Sí",FALSE)),O3111,0))</f>
        <v/>
      </c>
      <c r="W3111" s="19">
        <f>IF(OR(F3111="",I3111=""),"",IF(COUNTIFS(F$6:F3111,F3111,I$6:I3111,"?*")=1,MAX(W$5:W3110)+1,""))</f>
        <v/>
      </c>
    </row>
    <row r="3112">
      <c r="B3112" s="15" t="n"/>
      <c r="C3112" s="16" t="n"/>
      <c r="D3112" s="17" t="n"/>
      <c r="E3112" s="17" t="n"/>
      <c r="F3112" s="17" t="n"/>
      <c r="G3112" s="17" t="n"/>
      <c r="H3112" s="18">
        <f>IF(AND(B3112="",C3112="",D3112="",E3112=""),"",IF(B3112="","⚠ Falta fecha",IF(C3112="","⚠ Falta monto",IF(D3112="","⚠ Falta categoría",IF(ISNA(MATCH(D3112,catNom,0)),"⚠ Categoría no existe",IF(E3112="","⚠ Falta cuenta",IF(ISNA(MATCH(E3112,ctaNom,0)),"⚠ Cuenta no existe",IF(AND(OR(I3112="Transferencia",I3112="Pago tarjeta"),G3112=""),"⚠ Indica la cuenta «Hacia»",IF(AND(G3112&lt;&gt;"",G3112=E3112),"⚠ «Hacia» igual a la cuenta",IF(AND(G3112&lt;&gt;"",ISNA(MATCH(G3112,ctaNom,0))),"⚠ «Hacia» no existe",IF(AND(I3112="Pago tarjeta",IFERROR(INDEX(ctaTipo,MATCH(G3112,ctaNom,0)),"")&lt;&gt;"Tarjeta de crédito"),"⚠ «Hacia» debe ser la tarjeta",IF(AND(I3112="Trading",IFERROR(INDEX(ctaTipo,MATCH(E3112,ctaNom,0)),"")&lt;&gt;"Cuenta de trading"),"⚠ Usa la cuenta de trading","✓"))))))))))))</f>
        <v/>
      </c>
      <c r="I3112" s="19">
        <f>IF(OR(B3112="",C3112="",D3112=""),"",IFERROR(INDEX(catTipo,MATCH(D3112,catNom,0))&amp;"",""))</f>
        <v/>
      </c>
      <c r="J3112" s="19">
        <f>IF(I3112="","",IFERROR(INDEX(catGrupo,MATCH(D3112,catNom,0))&amp;"",""))</f>
        <v/>
      </c>
      <c r="K3112" s="19">
        <f>IF(I3112="Gasto",IF(IFERROR(INDEX(catClas,MATCH(D3112,catNom,0))&amp;"","")="","Variable",IFERROR(INDEX(catClas,MATCH(D3112,catNom,0))&amp;"","")),"")</f>
        <v/>
      </c>
      <c r="L3112" s="19">
        <f>IF(I3112="","",IFERROR(INDEX(catAlim,MATCH(D3112,catNom,0))&amp;"",""))</f>
        <v/>
      </c>
      <c r="M3112" s="19">
        <f>IF(I3112="","",IFERROR(INDEX(catComida,MATCH(D3112,catNom,0))&amp;"",""))</f>
        <v/>
      </c>
      <c r="N3112" s="19">
        <f>IF(I3112="","",IFERROR(INDEX(ctaMon,MATCH(E3112,ctaNom,0))&amp;"","DOP"))</f>
        <v/>
      </c>
      <c r="O3112" s="20">
        <f>IF(I3112="","",C3112*IF(N3112="USD",TasaUSD,1))</f>
        <v/>
      </c>
      <c r="P3112" s="20">
        <f>IF(I3112="","",IF(I3112="Gasto",O3112,0))</f>
        <v/>
      </c>
      <c r="Q3112" s="20">
        <f>IF(I3112="","",IF(I3112="Ingreso",O3112,0))</f>
        <v/>
      </c>
      <c r="R3112" s="20">
        <f>IF(I3112="","",IF(I3112="Trading",O3112,0))</f>
        <v/>
      </c>
      <c r="S3112" s="19">
        <f>IF(I3112="","",IF(AND(I3112="Gasto",K3112="Variable",J3112&lt;&gt;"Trading",O3112&gt;0,O3112&lt;=Umbral),1,0))</f>
        <v/>
      </c>
      <c r="T3112" s="20">
        <f>IF(OR(I3112="",E3112=""),"",IF(OR(I3112="Gasto",I3112="Transferencia",I3112="Pago tarjeta"),-1,1)*C3112)</f>
        <v/>
      </c>
      <c r="U3112" s="20">
        <f>IF(OR(G3112="",AND(I3112&lt;&gt;"Transferencia",I3112&lt;&gt;"Pago tarjeta")),"",IF(IFERROR(INDEX(ctaMon,MATCH(G3112,ctaNom,0))&amp;"","DOP")=N3112,C3112,IF(N3112="USD",C3112*TasaUSD,C3112/TasaUSD)))</f>
        <v/>
      </c>
      <c r="V3112" s="20">
        <f>IF(I3112="","",IF(IFERROR(INDEX(ctaLiq,MATCH(E3112,ctaNom,0))="Sí",FALSE),IF(OR(I3112="Gasto",I3112="Transferencia",I3112="Pago tarjeta"),-1,1)*O3112,0)+IF(AND(U3112&lt;&gt;"",IFERROR(INDEX(ctaLiq,MATCH(G3112,ctaNom,0))="Sí",FALSE)),O3112,0))</f>
        <v/>
      </c>
      <c r="W3112" s="19">
        <f>IF(OR(F3112="",I3112=""),"",IF(COUNTIFS(F$6:F3112,F3112,I$6:I3112,"?*")=1,MAX(W$5:W3111)+1,""))</f>
        <v/>
      </c>
    </row>
    <row r="3113">
      <c r="B3113" s="15" t="n"/>
      <c r="C3113" s="16" t="n"/>
      <c r="D3113" s="17" t="n"/>
      <c r="E3113" s="17" t="n"/>
      <c r="F3113" s="17" t="n"/>
      <c r="G3113" s="17" t="n"/>
      <c r="H3113" s="18">
        <f>IF(AND(B3113="",C3113="",D3113="",E3113=""),"",IF(B3113="","⚠ Falta fecha",IF(C3113="","⚠ Falta monto",IF(D3113="","⚠ Falta categoría",IF(ISNA(MATCH(D3113,catNom,0)),"⚠ Categoría no existe",IF(E3113="","⚠ Falta cuenta",IF(ISNA(MATCH(E3113,ctaNom,0)),"⚠ Cuenta no existe",IF(AND(OR(I3113="Transferencia",I3113="Pago tarjeta"),G3113=""),"⚠ Indica la cuenta «Hacia»",IF(AND(G3113&lt;&gt;"",G3113=E3113),"⚠ «Hacia» igual a la cuenta",IF(AND(G3113&lt;&gt;"",ISNA(MATCH(G3113,ctaNom,0))),"⚠ «Hacia» no existe",IF(AND(I3113="Pago tarjeta",IFERROR(INDEX(ctaTipo,MATCH(G3113,ctaNom,0)),"")&lt;&gt;"Tarjeta de crédito"),"⚠ «Hacia» debe ser la tarjeta",IF(AND(I3113="Trading",IFERROR(INDEX(ctaTipo,MATCH(E3113,ctaNom,0)),"")&lt;&gt;"Cuenta de trading"),"⚠ Usa la cuenta de trading","✓"))))))))))))</f>
        <v/>
      </c>
      <c r="I3113" s="19">
        <f>IF(OR(B3113="",C3113="",D3113=""),"",IFERROR(INDEX(catTipo,MATCH(D3113,catNom,0))&amp;"",""))</f>
        <v/>
      </c>
      <c r="J3113" s="19">
        <f>IF(I3113="","",IFERROR(INDEX(catGrupo,MATCH(D3113,catNom,0))&amp;"",""))</f>
        <v/>
      </c>
      <c r="K3113" s="19">
        <f>IF(I3113="Gasto",IF(IFERROR(INDEX(catClas,MATCH(D3113,catNom,0))&amp;"","")="","Variable",IFERROR(INDEX(catClas,MATCH(D3113,catNom,0))&amp;"","")),"")</f>
        <v/>
      </c>
      <c r="L3113" s="19">
        <f>IF(I3113="","",IFERROR(INDEX(catAlim,MATCH(D3113,catNom,0))&amp;"",""))</f>
        <v/>
      </c>
      <c r="M3113" s="19">
        <f>IF(I3113="","",IFERROR(INDEX(catComida,MATCH(D3113,catNom,0))&amp;"",""))</f>
        <v/>
      </c>
      <c r="N3113" s="19">
        <f>IF(I3113="","",IFERROR(INDEX(ctaMon,MATCH(E3113,ctaNom,0))&amp;"","DOP"))</f>
        <v/>
      </c>
      <c r="O3113" s="20">
        <f>IF(I3113="","",C3113*IF(N3113="USD",TasaUSD,1))</f>
        <v/>
      </c>
      <c r="P3113" s="20">
        <f>IF(I3113="","",IF(I3113="Gasto",O3113,0))</f>
        <v/>
      </c>
      <c r="Q3113" s="20">
        <f>IF(I3113="","",IF(I3113="Ingreso",O3113,0))</f>
        <v/>
      </c>
      <c r="R3113" s="20">
        <f>IF(I3113="","",IF(I3113="Trading",O3113,0))</f>
        <v/>
      </c>
      <c r="S3113" s="19">
        <f>IF(I3113="","",IF(AND(I3113="Gasto",K3113="Variable",J3113&lt;&gt;"Trading",O3113&gt;0,O3113&lt;=Umbral),1,0))</f>
        <v/>
      </c>
      <c r="T3113" s="20">
        <f>IF(OR(I3113="",E3113=""),"",IF(OR(I3113="Gasto",I3113="Transferencia",I3113="Pago tarjeta"),-1,1)*C3113)</f>
        <v/>
      </c>
      <c r="U3113" s="20">
        <f>IF(OR(G3113="",AND(I3113&lt;&gt;"Transferencia",I3113&lt;&gt;"Pago tarjeta")),"",IF(IFERROR(INDEX(ctaMon,MATCH(G3113,ctaNom,0))&amp;"","DOP")=N3113,C3113,IF(N3113="USD",C3113*TasaUSD,C3113/TasaUSD)))</f>
        <v/>
      </c>
      <c r="V3113" s="20">
        <f>IF(I3113="","",IF(IFERROR(INDEX(ctaLiq,MATCH(E3113,ctaNom,0))="Sí",FALSE),IF(OR(I3113="Gasto",I3113="Transferencia",I3113="Pago tarjeta"),-1,1)*O3113,0)+IF(AND(U3113&lt;&gt;"",IFERROR(INDEX(ctaLiq,MATCH(G3113,ctaNom,0))="Sí",FALSE)),O3113,0))</f>
        <v/>
      </c>
      <c r="W3113" s="19">
        <f>IF(OR(F3113="",I3113=""),"",IF(COUNTIFS(F$6:F3113,F3113,I$6:I3113,"?*")=1,MAX(W$5:W3112)+1,""))</f>
        <v/>
      </c>
    </row>
    <row r="3114">
      <c r="B3114" s="15" t="n"/>
      <c r="C3114" s="16" t="n"/>
      <c r="D3114" s="17" t="n"/>
      <c r="E3114" s="17" t="n"/>
      <c r="F3114" s="17" t="n"/>
      <c r="G3114" s="17" t="n"/>
      <c r="H3114" s="18">
        <f>IF(AND(B3114="",C3114="",D3114="",E3114=""),"",IF(B3114="","⚠ Falta fecha",IF(C3114="","⚠ Falta monto",IF(D3114="","⚠ Falta categoría",IF(ISNA(MATCH(D3114,catNom,0)),"⚠ Categoría no existe",IF(E3114="","⚠ Falta cuenta",IF(ISNA(MATCH(E3114,ctaNom,0)),"⚠ Cuenta no existe",IF(AND(OR(I3114="Transferencia",I3114="Pago tarjeta"),G3114=""),"⚠ Indica la cuenta «Hacia»",IF(AND(G3114&lt;&gt;"",G3114=E3114),"⚠ «Hacia» igual a la cuenta",IF(AND(G3114&lt;&gt;"",ISNA(MATCH(G3114,ctaNom,0))),"⚠ «Hacia» no existe",IF(AND(I3114="Pago tarjeta",IFERROR(INDEX(ctaTipo,MATCH(G3114,ctaNom,0)),"")&lt;&gt;"Tarjeta de crédito"),"⚠ «Hacia» debe ser la tarjeta",IF(AND(I3114="Trading",IFERROR(INDEX(ctaTipo,MATCH(E3114,ctaNom,0)),"")&lt;&gt;"Cuenta de trading"),"⚠ Usa la cuenta de trading","✓"))))))))))))</f>
        <v/>
      </c>
      <c r="I3114" s="19">
        <f>IF(OR(B3114="",C3114="",D3114=""),"",IFERROR(INDEX(catTipo,MATCH(D3114,catNom,0))&amp;"",""))</f>
        <v/>
      </c>
      <c r="J3114" s="19">
        <f>IF(I3114="","",IFERROR(INDEX(catGrupo,MATCH(D3114,catNom,0))&amp;"",""))</f>
        <v/>
      </c>
      <c r="K3114" s="19">
        <f>IF(I3114="Gasto",IF(IFERROR(INDEX(catClas,MATCH(D3114,catNom,0))&amp;"","")="","Variable",IFERROR(INDEX(catClas,MATCH(D3114,catNom,0))&amp;"","")),"")</f>
        <v/>
      </c>
      <c r="L3114" s="19">
        <f>IF(I3114="","",IFERROR(INDEX(catAlim,MATCH(D3114,catNom,0))&amp;"",""))</f>
        <v/>
      </c>
      <c r="M3114" s="19">
        <f>IF(I3114="","",IFERROR(INDEX(catComida,MATCH(D3114,catNom,0))&amp;"",""))</f>
        <v/>
      </c>
      <c r="N3114" s="19">
        <f>IF(I3114="","",IFERROR(INDEX(ctaMon,MATCH(E3114,ctaNom,0))&amp;"","DOP"))</f>
        <v/>
      </c>
      <c r="O3114" s="20">
        <f>IF(I3114="","",C3114*IF(N3114="USD",TasaUSD,1))</f>
        <v/>
      </c>
      <c r="P3114" s="20">
        <f>IF(I3114="","",IF(I3114="Gasto",O3114,0))</f>
        <v/>
      </c>
      <c r="Q3114" s="20">
        <f>IF(I3114="","",IF(I3114="Ingreso",O3114,0))</f>
        <v/>
      </c>
      <c r="R3114" s="20">
        <f>IF(I3114="","",IF(I3114="Trading",O3114,0))</f>
        <v/>
      </c>
      <c r="S3114" s="19">
        <f>IF(I3114="","",IF(AND(I3114="Gasto",K3114="Variable",J3114&lt;&gt;"Trading",O3114&gt;0,O3114&lt;=Umbral),1,0))</f>
        <v/>
      </c>
      <c r="T3114" s="20">
        <f>IF(OR(I3114="",E3114=""),"",IF(OR(I3114="Gasto",I3114="Transferencia",I3114="Pago tarjeta"),-1,1)*C3114)</f>
        <v/>
      </c>
      <c r="U3114" s="20">
        <f>IF(OR(G3114="",AND(I3114&lt;&gt;"Transferencia",I3114&lt;&gt;"Pago tarjeta")),"",IF(IFERROR(INDEX(ctaMon,MATCH(G3114,ctaNom,0))&amp;"","DOP")=N3114,C3114,IF(N3114="USD",C3114*TasaUSD,C3114/TasaUSD)))</f>
        <v/>
      </c>
      <c r="V3114" s="20">
        <f>IF(I3114="","",IF(IFERROR(INDEX(ctaLiq,MATCH(E3114,ctaNom,0))="Sí",FALSE),IF(OR(I3114="Gasto",I3114="Transferencia",I3114="Pago tarjeta"),-1,1)*O3114,0)+IF(AND(U3114&lt;&gt;"",IFERROR(INDEX(ctaLiq,MATCH(G3114,ctaNom,0))="Sí",FALSE)),O3114,0))</f>
        <v/>
      </c>
      <c r="W3114" s="19">
        <f>IF(OR(F3114="",I3114=""),"",IF(COUNTIFS(F$6:F3114,F3114,I$6:I3114,"?*")=1,MAX(W$5:W3113)+1,""))</f>
        <v/>
      </c>
    </row>
    <row r="3115">
      <c r="B3115" s="15" t="n"/>
      <c r="C3115" s="16" t="n"/>
      <c r="D3115" s="17" t="n"/>
      <c r="E3115" s="17" t="n"/>
      <c r="F3115" s="17" t="n"/>
      <c r="G3115" s="17" t="n"/>
      <c r="H3115" s="18">
        <f>IF(AND(B3115="",C3115="",D3115="",E3115=""),"",IF(B3115="","⚠ Falta fecha",IF(C3115="","⚠ Falta monto",IF(D3115="","⚠ Falta categoría",IF(ISNA(MATCH(D3115,catNom,0)),"⚠ Categoría no existe",IF(E3115="","⚠ Falta cuenta",IF(ISNA(MATCH(E3115,ctaNom,0)),"⚠ Cuenta no existe",IF(AND(OR(I3115="Transferencia",I3115="Pago tarjeta"),G3115=""),"⚠ Indica la cuenta «Hacia»",IF(AND(G3115&lt;&gt;"",G3115=E3115),"⚠ «Hacia» igual a la cuenta",IF(AND(G3115&lt;&gt;"",ISNA(MATCH(G3115,ctaNom,0))),"⚠ «Hacia» no existe",IF(AND(I3115="Pago tarjeta",IFERROR(INDEX(ctaTipo,MATCH(G3115,ctaNom,0)),"")&lt;&gt;"Tarjeta de crédito"),"⚠ «Hacia» debe ser la tarjeta",IF(AND(I3115="Trading",IFERROR(INDEX(ctaTipo,MATCH(E3115,ctaNom,0)),"")&lt;&gt;"Cuenta de trading"),"⚠ Usa la cuenta de trading","✓"))))))))))))</f>
        <v/>
      </c>
      <c r="I3115" s="19">
        <f>IF(OR(B3115="",C3115="",D3115=""),"",IFERROR(INDEX(catTipo,MATCH(D3115,catNom,0))&amp;"",""))</f>
        <v/>
      </c>
      <c r="J3115" s="19">
        <f>IF(I3115="","",IFERROR(INDEX(catGrupo,MATCH(D3115,catNom,0))&amp;"",""))</f>
        <v/>
      </c>
      <c r="K3115" s="19">
        <f>IF(I3115="Gasto",IF(IFERROR(INDEX(catClas,MATCH(D3115,catNom,0))&amp;"","")="","Variable",IFERROR(INDEX(catClas,MATCH(D3115,catNom,0))&amp;"","")),"")</f>
        <v/>
      </c>
      <c r="L3115" s="19">
        <f>IF(I3115="","",IFERROR(INDEX(catAlim,MATCH(D3115,catNom,0))&amp;"",""))</f>
        <v/>
      </c>
      <c r="M3115" s="19">
        <f>IF(I3115="","",IFERROR(INDEX(catComida,MATCH(D3115,catNom,0))&amp;"",""))</f>
        <v/>
      </c>
      <c r="N3115" s="19">
        <f>IF(I3115="","",IFERROR(INDEX(ctaMon,MATCH(E3115,ctaNom,0))&amp;"","DOP"))</f>
        <v/>
      </c>
      <c r="O3115" s="20">
        <f>IF(I3115="","",C3115*IF(N3115="USD",TasaUSD,1))</f>
        <v/>
      </c>
      <c r="P3115" s="20">
        <f>IF(I3115="","",IF(I3115="Gasto",O3115,0))</f>
        <v/>
      </c>
      <c r="Q3115" s="20">
        <f>IF(I3115="","",IF(I3115="Ingreso",O3115,0))</f>
        <v/>
      </c>
      <c r="R3115" s="20">
        <f>IF(I3115="","",IF(I3115="Trading",O3115,0))</f>
        <v/>
      </c>
      <c r="S3115" s="19">
        <f>IF(I3115="","",IF(AND(I3115="Gasto",K3115="Variable",J3115&lt;&gt;"Trading",O3115&gt;0,O3115&lt;=Umbral),1,0))</f>
        <v/>
      </c>
      <c r="T3115" s="20">
        <f>IF(OR(I3115="",E3115=""),"",IF(OR(I3115="Gasto",I3115="Transferencia",I3115="Pago tarjeta"),-1,1)*C3115)</f>
        <v/>
      </c>
      <c r="U3115" s="20">
        <f>IF(OR(G3115="",AND(I3115&lt;&gt;"Transferencia",I3115&lt;&gt;"Pago tarjeta")),"",IF(IFERROR(INDEX(ctaMon,MATCH(G3115,ctaNom,0))&amp;"","DOP")=N3115,C3115,IF(N3115="USD",C3115*TasaUSD,C3115/TasaUSD)))</f>
        <v/>
      </c>
      <c r="V3115" s="20">
        <f>IF(I3115="","",IF(IFERROR(INDEX(ctaLiq,MATCH(E3115,ctaNom,0))="Sí",FALSE),IF(OR(I3115="Gasto",I3115="Transferencia",I3115="Pago tarjeta"),-1,1)*O3115,0)+IF(AND(U3115&lt;&gt;"",IFERROR(INDEX(ctaLiq,MATCH(G3115,ctaNom,0))="Sí",FALSE)),O3115,0))</f>
        <v/>
      </c>
      <c r="W3115" s="19">
        <f>IF(OR(F3115="",I3115=""),"",IF(COUNTIFS(F$6:F3115,F3115,I$6:I3115,"?*")=1,MAX(W$5:W3114)+1,""))</f>
        <v/>
      </c>
    </row>
    <row r="3116">
      <c r="B3116" s="15" t="n"/>
      <c r="C3116" s="16" t="n"/>
      <c r="D3116" s="17" t="n"/>
      <c r="E3116" s="17" t="n"/>
      <c r="F3116" s="17" t="n"/>
      <c r="G3116" s="17" t="n"/>
      <c r="H3116" s="18">
        <f>IF(AND(B3116="",C3116="",D3116="",E3116=""),"",IF(B3116="","⚠ Falta fecha",IF(C3116="","⚠ Falta monto",IF(D3116="","⚠ Falta categoría",IF(ISNA(MATCH(D3116,catNom,0)),"⚠ Categoría no existe",IF(E3116="","⚠ Falta cuenta",IF(ISNA(MATCH(E3116,ctaNom,0)),"⚠ Cuenta no existe",IF(AND(OR(I3116="Transferencia",I3116="Pago tarjeta"),G3116=""),"⚠ Indica la cuenta «Hacia»",IF(AND(G3116&lt;&gt;"",G3116=E3116),"⚠ «Hacia» igual a la cuenta",IF(AND(G3116&lt;&gt;"",ISNA(MATCH(G3116,ctaNom,0))),"⚠ «Hacia» no existe",IF(AND(I3116="Pago tarjeta",IFERROR(INDEX(ctaTipo,MATCH(G3116,ctaNom,0)),"")&lt;&gt;"Tarjeta de crédito"),"⚠ «Hacia» debe ser la tarjeta",IF(AND(I3116="Trading",IFERROR(INDEX(ctaTipo,MATCH(E3116,ctaNom,0)),"")&lt;&gt;"Cuenta de trading"),"⚠ Usa la cuenta de trading","✓"))))))))))))</f>
        <v/>
      </c>
      <c r="I3116" s="19">
        <f>IF(OR(B3116="",C3116="",D3116=""),"",IFERROR(INDEX(catTipo,MATCH(D3116,catNom,0))&amp;"",""))</f>
        <v/>
      </c>
      <c r="J3116" s="19">
        <f>IF(I3116="","",IFERROR(INDEX(catGrupo,MATCH(D3116,catNom,0))&amp;"",""))</f>
        <v/>
      </c>
      <c r="K3116" s="19">
        <f>IF(I3116="Gasto",IF(IFERROR(INDEX(catClas,MATCH(D3116,catNom,0))&amp;"","")="","Variable",IFERROR(INDEX(catClas,MATCH(D3116,catNom,0))&amp;"","")),"")</f>
        <v/>
      </c>
      <c r="L3116" s="19">
        <f>IF(I3116="","",IFERROR(INDEX(catAlim,MATCH(D3116,catNom,0))&amp;"",""))</f>
        <v/>
      </c>
      <c r="M3116" s="19">
        <f>IF(I3116="","",IFERROR(INDEX(catComida,MATCH(D3116,catNom,0))&amp;"",""))</f>
        <v/>
      </c>
      <c r="N3116" s="19">
        <f>IF(I3116="","",IFERROR(INDEX(ctaMon,MATCH(E3116,ctaNom,0))&amp;"","DOP"))</f>
        <v/>
      </c>
      <c r="O3116" s="20">
        <f>IF(I3116="","",C3116*IF(N3116="USD",TasaUSD,1))</f>
        <v/>
      </c>
      <c r="P3116" s="20">
        <f>IF(I3116="","",IF(I3116="Gasto",O3116,0))</f>
        <v/>
      </c>
      <c r="Q3116" s="20">
        <f>IF(I3116="","",IF(I3116="Ingreso",O3116,0))</f>
        <v/>
      </c>
      <c r="R3116" s="20">
        <f>IF(I3116="","",IF(I3116="Trading",O3116,0))</f>
        <v/>
      </c>
      <c r="S3116" s="19">
        <f>IF(I3116="","",IF(AND(I3116="Gasto",K3116="Variable",J3116&lt;&gt;"Trading",O3116&gt;0,O3116&lt;=Umbral),1,0))</f>
        <v/>
      </c>
      <c r="T3116" s="20">
        <f>IF(OR(I3116="",E3116=""),"",IF(OR(I3116="Gasto",I3116="Transferencia",I3116="Pago tarjeta"),-1,1)*C3116)</f>
        <v/>
      </c>
      <c r="U3116" s="20">
        <f>IF(OR(G3116="",AND(I3116&lt;&gt;"Transferencia",I3116&lt;&gt;"Pago tarjeta")),"",IF(IFERROR(INDEX(ctaMon,MATCH(G3116,ctaNom,0))&amp;"","DOP")=N3116,C3116,IF(N3116="USD",C3116*TasaUSD,C3116/TasaUSD)))</f>
        <v/>
      </c>
      <c r="V3116" s="20">
        <f>IF(I3116="","",IF(IFERROR(INDEX(ctaLiq,MATCH(E3116,ctaNom,0))="Sí",FALSE),IF(OR(I3116="Gasto",I3116="Transferencia",I3116="Pago tarjeta"),-1,1)*O3116,0)+IF(AND(U3116&lt;&gt;"",IFERROR(INDEX(ctaLiq,MATCH(G3116,ctaNom,0))="Sí",FALSE)),O3116,0))</f>
        <v/>
      </c>
      <c r="W3116" s="19">
        <f>IF(OR(F3116="",I3116=""),"",IF(COUNTIFS(F$6:F3116,F3116,I$6:I3116,"?*")=1,MAX(W$5:W3115)+1,""))</f>
        <v/>
      </c>
    </row>
    <row r="3117">
      <c r="B3117" s="15" t="n"/>
      <c r="C3117" s="16" t="n"/>
      <c r="D3117" s="17" t="n"/>
      <c r="E3117" s="17" t="n"/>
      <c r="F3117" s="17" t="n"/>
      <c r="G3117" s="17" t="n"/>
      <c r="H3117" s="18">
        <f>IF(AND(B3117="",C3117="",D3117="",E3117=""),"",IF(B3117="","⚠ Falta fecha",IF(C3117="","⚠ Falta monto",IF(D3117="","⚠ Falta categoría",IF(ISNA(MATCH(D3117,catNom,0)),"⚠ Categoría no existe",IF(E3117="","⚠ Falta cuenta",IF(ISNA(MATCH(E3117,ctaNom,0)),"⚠ Cuenta no existe",IF(AND(OR(I3117="Transferencia",I3117="Pago tarjeta"),G3117=""),"⚠ Indica la cuenta «Hacia»",IF(AND(G3117&lt;&gt;"",G3117=E3117),"⚠ «Hacia» igual a la cuenta",IF(AND(G3117&lt;&gt;"",ISNA(MATCH(G3117,ctaNom,0))),"⚠ «Hacia» no existe",IF(AND(I3117="Pago tarjeta",IFERROR(INDEX(ctaTipo,MATCH(G3117,ctaNom,0)),"")&lt;&gt;"Tarjeta de crédito"),"⚠ «Hacia» debe ser la tarjeta",IF(AND(I3117="Trading",IFERROR(INDEX(ctaTipo,MATCH(E3117,ctaNom,0)),"")&lt;&gt;"Cuenta de trading"),"⚠ Usa la cuenta de trading","✓"))))))))))))</f>
        <v/>
      </c>
      <c r="I3117" s="19">
        <f>IF(OR(B3117="",C3117="",D3117=""),"",IFERROR(INDEX(catTipo,MATCH(D3117,catNom,0))&amp;"",""))</f>
        <v/>
      </c>
      <c r="J3117" s="19">
        <f>IF(I3117="","",IFERROR(INDEX(catGrupo,MATCH(D3117,catNom,0))&amp;"",""))</f>
        <v/>
      </c>
      <c r="K3117" s="19">
        <f>IF(I3117="Gasto",IF(IFERROR(INDEX(catClas,MATCH(D3117,catNom,0))&amp;"","")="","Variable",IFERROR(INDEX(catClas,MATCH(D3117,catNom,0))&amp;"","")),"")</f>
        <v/>
      </c>
      <c r="L3117" s="19">
        <f>IF(I3117="","",IFERROR(INDEX(catAlim,MATCH(D3117,catNom,0))&amp;"",""))</f>
        <v/>
      </c>
      <c r="M3117" s="19">
        <f>IF(I3117="","",IFERROR(INDEX(catComida,MATCH(D3117,catNom,0))&amp;"",""))</f>
        <v/>
      </c>
      <c r="N3117" s="19">
        <f>IF(I3117="","",IFERROR(INDEX(ctaMon,MATCH(E3117,ctaNom,0))&amp;"","DOP"))</f>
        <v/>
      </c>
      <c r="O3117" s="20">
        <f>IF(I3117="","",C3117*IF(N3117="USD",TasaUSD,1))</f>
        <v/>
      </c>
      <c r="P3117" s="20">
        <f>IF(I3117="","",IF(I3117="Gasto",O3117,0))</f>
        <v/>
      </c>
      <c r="Q3117" s="20">
        <f>IF(I3117="","",IF(I3117="Ingreso",O3117,0))</f>
        <v/>
      </c>
      <c r="R3117" s="20">
        <f>IF(I3117="","",IF(I3117="Trading",O3117,0))</f>
        <v/>
      </c>
      <c r="S3117" s="19">
        <f>IF(I3117="","",IF(AND(I3117="Gasto",K3117="Variable",J3117&lt;&gt;"Trading",O3117&gt;0,O3117&lt;=Umbral),1,0))</f>
        <v/>
      </c>
      <c r="T3117" s="20">
        <f>IF(OR(I3117="",E3117=""),"",IF(OR(I3117="Gasto",I3117="Transferencia",I3117="Pago tarjeta"),-1,1)*C3117)</f>
        <v/>
      </c>
      <c r="U3117" s="20">
        <f>IF(OR(G3117="",AND(I3117&lt;&gt;"Transferencia",I3117&lt;&gt;"Pago tarjeta")),"",IF(IFERROR(INDEX(ctaMon,MATCH(G3117,ctaNom,0))&amp;"","DOP")=N3117,C3117,IF(N3117="USD",C3117*TasaUSD,C3117/TasaUSD)))</f>
        <v/>
      </c>
      <c r="V3117" s="20">
        <f>IF(I3117="","",IF(IFERROR(INDEX(ctaLiq,MATCH(E3117,ctaNom,0))="Sí",FALSE),IF(OR(I3117="Gasto",I3117="Transferencia",I3117="Pago tarjeta"),-1,1)*O3117,0)+IF(AND(U3117&lt;&gt;"",IFERROR(INDEX(ctaLiq,MATCH(G3117,ctaNom,0))="Sí",FALSE)),O3117,0))</f>
        <v/>
      </c>
      <c r="W3117" s="19">
        <f>IF(OR(F3117="",I3117=""),"",IF(COUNTIFS(F$6:F3117,F3117,I$6:I3117,"?*")=1,MAX(W$5:W3116)+1,""))</f>
        <v/>
      </c>
    </row>
    <row r="3118">
      <c r="B3118" s="15" t="n"/>
      <c r="C3118" s="16" t="n"/>
      <c r="D3118" s="17" t="n"/>
      <c r="E3118" s="17" t="n"/>
      <c r="F3118" s="17" t="n"/>
      <c r="G3118" s="17" t="n"/>
      <c r="H3118" s="18">
        <f>IF(AND(B3118="",C3118="",D3118="",E3118=""),"",IF(B3118="","⚠ Falta fecha",IF(C3118="","⚠ Falta monto",IF(D3118="","⚠ Falta categoría",IF(ISNA(MATCH(D3118,catNom,0)),"⚠ Categoría no existe",IF(E3118="","⚠ Falta cuenta",IF(ISNA(MATCH(E3118,ctaNom,0)),"⚠ Cuenta no existe",IF(AND(OR(I3118="Transferencia",I3118="Pago tarjeta"),G3118=""),"⚠ Indica la cuenta «Hacia»",IF(AND(G3118&lt;&gt;"",G3118=E3118),"⚠ «Hacia» igual a la cuenta",IF(AND(G3118&lt;&gt;"",ISNA(MATCH(G3118,ctaNom,0))),"⚠ «Hacia» no existe",IF(AND(I3118="Pago tarjeta",IFERROR(INDEX(ctaTipo,MATCH(G3118,ctaNom,0)),"")&lt;&gt;"Tarjeta de crédito"),"⚠ «Hacia» debe ser la tarjeta",IF(AND(I3118="Trading",IFERROR(INDEX(ctaTipo,MATCH(E3118,ctaNom,0)),"")&lt;&gt;"Cuenta de trading"),"⚠ Usa la cuenta de trading","✓"))))))))))))</f>
        <v/>
      </c>
      <c r="I3118" s="19">
        <f>IF(OR(B3118="",C3118="",D3118=""),"",IFERROR(INDEX(catTipo,MATCH(D3118,catNom,0))&amp;"",""))</f>
        <v/>
      </c>
      <c r="J3118" s="19">
        <f>IF(I3118="","",IFERROR(INDEX(catGrupo,MATCH(D3118,catNom,0))&amp;"",""))</f>
        <v/>
      </c>
      <c r="K3118" s="19">
        <f>IF(I3118="Gasto",IF(IFERROR(INDEX(catClas,MATCH(D3118,catNom,0))&amp;"","")="","Variable",IFERROR(INDEX(catClas,MATCH(D3118,catNom,0))&amp;"","")),"")</f>
        <v/>
      </c>
      <c r="L3118" s="19">
        <f>IF(I3118="","",IFERROR(INDEX(catAlim,MATCH(D3118,catNom,0))&amp;"",""))</f>
        <v/>
      </c>
      <c r="M3118" s="19">
        <f>IF(I3118="","",IFERROR(INDEX(catComida,MATCH(D3118,catNom,0))&amp;"",""))</f>
        <v/>
      </c>
      <c r="N3118" s="19">
        <f>IF(I3118="","",IFERROR(INDEX(ctaMon,MATCH(E3118,ctaNom,0))&amp;"","DOP"))</f>
        <v/>
      </c>
      <c r="O3118" s="20">
        <f>IF(I3118="","",C3118*IF(N3118="USD",TasaUSD,1))</f>
        <v/>
      </c>
      <c r="P3118" s="20">
        <f>IF(I3118="","",IF(I3118="Gasto",O3118,0))</f>
        <v/>
      </c>
      <c r="Q3118" s="20">
        <f>IF(I3118="","",IF(I3118="Ingreso",O3118,0))</f>
        <v/>
      </c>
      <c r="R3118" s="20">
        <f>IF(I3118="","",IF(I3118="Trading",O3118,0))</f>
        <v/>
      </c>
      <c r="S3118" s="19">
        <f>IF(I3118="","",IF(AND(I3118="Gasto",K3118="Variable",J3118&lt;&gt;"Trading",O3118&gt;0,O3118&lt;=Umbral),1,0))</f>
        <v/>
      </c>
      <c r="T3118" s="20">
        <f>IF(OR(I3118="",E3118=""),"",IF(OR(I3118="Gasto",I3118="Transferencia",I3118="Pago tarjeta"),-1,1)*C3118)</f>
        <v/>
      </c>
      <c r="U3118" s="20">
        <f>IF(OR(G3118="",AND(I3118&lt;&gt;"Transferencia",I3118&lt;&gt;"Pago tarjeta")),"",IF(IFERROR(INDEX(ctaMon,MATCH(G3118,ctaNom,0))&amp;"","DOP")=N3118,C3118,IF(N3118="USD",C3118*TasaUSD,C3118/TasaUSD)))</f>
        <v/>
      </c>
      <c r="V3118" s="20">
        <f>IF(I3118="","",IF(IFERROR(INDEX(ctaLiq,MATCH(E3118,ctaNom,0))="Sí",FALSE),IF(OR(I3118="Gasto",I3118="Transferencia",I3118="Pago tarjeta"),-1,1)*O3118,0)+IF(AND(U3118&lt;&gt;"",IFERROR(INDEX(ctaLiq,MATCH(G3118,ctaNom,0))="Sí",FALSE)),O3118,0))</f>
        <v/>
      </c>
      <c r="W3118" s="19">
        <f>IF(OR(F3118="",I3118=""),"",IF(COUNTIFS(F$6:F3118,F3118,I$6:I3118,"?*")=1,MAX(W$5:W3117)+1,""))</f>
        <v/>
      </c>
    </row>
    <row r="3119">
      <c r="B3119" s="15" t="n"/>
      <c r="C3119" s="16" t="n"/>
      <c r="D3119" s="17" t="n"/>
      <c r="E3119" s="17" t="n"/>
      <c r="F3119" s="17" t="n"/>
      <c r="G3119" s="17" t="n"/>
      <c r="H3119" s="18">
        <f>IF(AND(B3119="",C3119="",D3119="",E3119=""),"",IF(B3119="","⚠ Falta fecha",IF(C3119="","⚠ Falta monto",IF(D3119="","⚠ Falta categoría",IF(ISNA(MATCH(D3119,catNom,0)),"⚠ Categoría no existe",IF(E3119="","⚠ Falta cuenta",IF(ISNA(MATCH(E3119,ctaNom,0)),"⚠ Cuenta no existe",IF(AND(OR(I3119="Transferencia",I3119="Pago tarjeta"),G3119=""),"⚠ Indica la cuenta «Hacia»",IF(AND(G3119&lt;&gt;"",G3119=E3119),"⚠ «Hacia» igual a la cuenta",IF(AND(G3119&lt;&gt;"",ISNA(MATCH(G3119,ctaNom,0))),"⚠ «Hacia» no existe",IF(AND(I3119="Pago tarjeta",IFERROR(INDEX(ctaTipo,MATCH(G3119,ctaNom,0)),"")&lt;&gt;"Tarjeta de crédito"),"⚠ «Hacia» debe ser la tarjeta",IF(AND(I3119="Trading",IFERROR(INDEX(ctaTipo,MATCH(E3119,ctaNom,0)),"")&lt;&gt;"Cuenta de trading"),"⚠ Usa la cuenta de trading","✓"))))))))))))</f>
        <v/>
      </c>
      <c r="I3119" s="19">
        <f>IF(OR(B3119="",C3119="",D3119=""),"",IFERROR(INDEX(catTipo,MATCH(D3119,catNom,0))&amp;"",""))</f>
        <v/>
      </c>
      <c r="J3119" s="19">
        <f>IF(I3119="","",IFERROR(INDEX(catGrupo,MATCH(D3119,catNom,0))&amp;"",""))</f>
        <v/>
      </c>
      <c r="K3119" s="19">
        <f>IF(I3119="Gasto",IF(IFERROR(INDEX(catClas,MATCH(D3119,catNom,0))&amp;"","")="","Variable",IFERROR(INDEX(catClas,MATCH(D3119,catNom,0))&amp;"","")),"")</f>
        <v/>
      </c>
      <c r="L3119" s="19">
        <f>IF(I3119="","",IFERROR(INDEX(catAlim,MATCH(D3119,catNom,0))&amp;"",""))</f>
        <v/>
      </c>
      <c r="M3119" s="19">
        <f>IF(I3119="","",IFERROR(INDEX(catComida,MATCH(D3119,catNom,0))&amp;"",""))</f>
        <v/>
      </c>
      <c r="N3119" s="19">
        <f>IF(I3119="","",IFERROR(INDEX(ctaMon,MATCH(E3119,ctaNom,0))&amp;"","DOP"))</f>
        <v/>
      </c>
      <c r="O3119" s="20">
        <f>IF(I3119="","",C3119*IF(N3119="USD",TasaUSD,1))</f>
        <v/>
      </c>
      <c r="P3119" s="20">
        <f>IF(I3119="","",IF(I3119="Gasto",O3119,0))</f>
        <v/>
      </c>
      <c r="Q3119" s="20">
        <f>IF(I3119="","",IF(I3119="Ingreso",O3119,0))</f>
        <v/>
      </c>
      <c r="R3119" s="20">
        <f>IF(I3119="","",IF(I3119="Trading",O3119,0))</f>
        <v/>
      </c>
      <c r="S3119" s="19">
        <f>IF(I3119="","",IF(AND(I3119="Gasto",K3119="Variable",J3119&lt;&gt;"Trading",O3119&gt;0,O3119&lt;=Umbral),1,0))</f>
        <v/>
      </c>
      <c r="T3119" s="20">
        <f>IF(OR(I3119="",E3119=""),"",IF(OR(I3119="Gasto",I3119="Transferencia",I3119="Pago tarjeta"),-1,1)*C3119)</f>
        <v/>
      </c>
      <c r="U3119" s="20">
        <f>IF(OR(G3119="",AND(I3119&lt;&gt;"Transferencia",I3119&lt;&gt;"Pago tarjeta")),"",IF(IFERROR(INDEX(ctaMon,MATCH(G3119,ctaNom,0))&amp;"","DOP")=N3119,C3119,IF(N3119="USD",C3119*TasaUSD,C3119/TasaUSD)))</f>
        <v/>
      </c>
      <c r="V3119" s="20">
        <f>IF(I3119="","",IF(IFERROR(INDEX(ctaLiq,MATCH(E3119,ctaNom,0))="Sí",FALSE),IF(OR(I3119="Gasto",I3119="Transferencia",I3119="Pago tarjeta"),-1,1)*O3119,0)+IF(AND(U3119&lt;&gt;"",IFERROR(INDEX(ctaLiq,MATCH(G3119,ctaNom,0))="Sí",FALSE)),O3119,0))</f>
        <v/>
      </c>
      <c r="W3119" s="19">
        <f>IF(OR(F3119="",I3119=""),"",IF(COUNTIFS(F$6:F3119,F3119,I$6:I3119,"?*")=1,MAX(W$5:W3118)+1,""))</f>
        <v/>
      </c>
    </row>
    <row r="3120">
      <c r="B3120" s="15" t="n"/>
      <c r="C3120" s="16" t="n"/>
      <c r="D3120" s="17" t="n"/>
      <c r="E3120" s="17" t="n"/>
      <c r="F3120" s="17" t="n"/>
      <c r="G3120" s="17" t="n"/>
      <c r="H3120" s="18">
        <f>IF(AND(B3120="",C3120="",D3120="",E3120=""),"",IF(B3120="","⚠ Falta fecha",IF(C3120="","⚠ Falta monto",IF(D3120="","⚠ Falta categoría",IF(ISNA(MATCH(D3120,catNom,0)),"⚠ Categoría no existe",IF(E3120="","⚠ Falta cuenta",IF(ISNA(MATCH(E3120,ctaNom,0)),"⚠ Cuenta no existe",IF(AND(OR(I3120="Transferencia",I3120="Pago tarjeta"),G3120=""),"⚠ Indica la cuenta «Hacia»",IF(AND(G3120&lt;&gt;"",G3120=E3120),"⚠ «Hacia» igual a la cuenta",IF(AND(G3120&lt;&gt;"",ISNA(MATCH(G3120,ctaNom,0))),"⚠ «Hacia» no existe",IF(AND(I3120="Pago tarjeta",IFERROR(INDEX(ctaTipo,MATCH(G3120,ctaNom,0)),"")&lt;&gt;"Tarjeta de crédito"),"⚠ «Hacia» debe ser la tarjeta",IF(AND(I3120="Trading",IFERROR(INDEX(ctaTipo,MATCH(E3120,ctaNom,0)),"")&lt;&gt;"Cuenta de trading"),"⚠ Usa la cuenta de trading","✓"))))))))))))</f>
        <v/>
      </c>
      <c r="I3120" s="19">
        <f>IF(OR(B3120="",C3120="",D3120=""),"",IFERROR(INDEX(catTipo,MATCH(D3120,catNom,0))&amp;"",""))</f>
        <v/>
      </c>
      <c r="J3120" s="19">
        <f>IF(I3120="","",IFERROR(INDEX(catGrupo,MATCH(D3120,catNom,0))&amp;"",""))</f>
        <v/>
      </c>
      <c r="K3120" s="19">
        <f>IF(I3120="Gasto",IF(IFERROR(INDEX(catClas,MATCH(D3120,catNom,0))&amp;"","")="","Variable",IFERROR(INDEX(catClas,MATCH(D3120,catNom,0))&amp;"","")),"")</f>
        <v/>
      </c>
      <c r="L3120" s="19">
        <f>IF(I3120="","",IFERROR(INDEX(catAlim,MATCH(D3120,catNom,0))&amp;"",""))</f>
        <v/>
      </c>
      <c r="M3120" s="19">
        <f>IF(I3120="","",IFERROR(INDEX(catComida,MATCH(D3120,catNom,0))&amp;"",""))</f>
        <v/>
      </c>
      <c r="N3120" s="19">
        <f>IF(I3120="","",IFERROR(INDEX(ctaMon,MATCH(E3120,ctaNom,0))&amp;"","DOP"))</f>
        <v/>
      </c>
      <c r="O3120" s="20">
        <f>IF(I3120="","",C3120*IF(N3120="USD",TasaUSD,1))</f>
        <v/>
      </c>
      <c r="P3120" s="20">
        <f>IF(I3120="","",IF(I3120="Gasto",O3120,0))</f>
        <v/>
      </c>
      <c r="Q3120" s="20">
        <f>IF(I3120="","",IF(I3120="Ingreso",O3120,0))</f>
        <v/>
      </c>
      <c r="R3120" s="20">
        <f>IF(I3120="","",IF(I3120="Trading",O3120,0))</f>
        <v/>
      </c>
      <c r="S3120" s="19">
        <f>IF(I3120="","",IF(AND(I3120="Gasto",K3120="Variable",J3120&lt;&gt;"Trading",O3120&gt;0,O3120&lt;=Umbral),1,0))</f>
        <v/>
      </c>
      <c r="T3120" s="20">
        <f>IF(OR(I3120="",E3120=""),"",IF(OR(I3120="Gasto",I3120="Transferencia",I3120="Pago tarjeta"),-1,1)*C3120)</f>
        <v/>
      </c>
      <c r="U3120" s="20">
        <f>IF(OR(G3120="",AND(I3120&lt;&gt;"Transferencia",I3120&lt;&gt;"Pago tarjeta")),"",IF(IFERROR(INDEX(ctaMon,MATCH(G3120,ctaNom,0))&amp;"","DOP")=N3120,C3120,IF(N3120="USD",C3120*TasaUSD,C3120/TasaUSD)))</f>
        <v/>
      </c>
      <c r="V3120" s="20">
        <f>IF(I3120="","",IF(IFERROR(INDEX(ctaLiq,MATCH(E3120,ctaNom,0))="Sí",FALSE),IF(OR(I3120="Gasto",I3120="Transferencia",I3120="Pago tarjeta"),-1,1)*O3120,0)+IF(AND(U3120&lt;&gt;"",IFERROR(INDEX(ctaLiq,MATCH(G3120,ctaNom,0))="Sí",FALSE)),O3120,0))</f>
        <v/>
      </c>
      <c r="W3120" s="19">
        <f>IF(OR(F3120="",I3120=""),"",IF(COUNTIFS(F$6:F3120,F3120,I$6:I3120,"?*")=1,MAX(W$5:W3119)+1,""))</f>
        <v/>
      </c>
    </row>
    <row r="3121">
      <c r="B3121" s="15" t="n"/>
      <c r="C3121" s="16" t="n"/>
      <c r="D3121" s="17" t="n"/>
      <c r="E3121" s="17" t="n"/>
      <c r="F3121" s="17" t="n"/>
      <c r="G3121" s="17" t="n"/>
      <c r="H3121" s="18">
        <f>IF(AND(B3121="",C3121="",D3121="",E3121=""),"",IF(B3121="","⚠ Falta fecha",IF(C3121="","⚠ Falta monto",IF(D3121="","⚠ Falta categoría",IF(ISNA(MATCH(D3121,catNom,0)),"⚠ Categoría no existe",IF(E3121="","⚠ Falta cuenta",IF(ISNA(MATCH(E3121,ctaNom,0)),"⚠ Cuenta no existe",IF(AND(OR(I3121="Transferencia",I3121="Pago tarjeta"),G3121=""),"⚠ Indica la cuenta «Hacia»",IF(AND(G3121&lt;&gt;"",G3121=E3121),"⚠ «Hacia» igual a la cuenta",IF(AND(G3121&lt;&gt;"",ISNA(MATCH(G3121,ctaNom,0))),"⚠ «Hacia» no existe",IF(AND(I3121="Pago tarjeta",IFERROR(INDEX(ctaTipo,MATCH(G3121,ctaNom,0)),"")&lt;&gt;"Tarjeta de crédito"),"⚠ «Hacia» debe ser la tarjeta",IF(AND(I3121="Trading",IFERROR(INDEX(ctaTipo,MATCH(E3121,ctaNom,0)),"")&lt;&gt;"Cuenta de trading"),"⚠ Usa la cuenta de trading","✓"))))))))))))</f>
        <v/>
      </c>
      <c r="I3121" s="19">
        <f>IF(OR(B3121="",C3121="",D3121=""),"",IFERROR(INDEX(catTipo,MATCH(D3121,catNom,0))&amp;"",""))</f>
        <v/>
      </c>
      <c r="J3121" s="19">
        <f>IF(I3121="","",IFERROR(INDEX(catGrupo,MATCH(D3121,catNom,0))&amp;"",""))</f>
        <v/>
      </c>
      <c r="K3121" s="19">
        <f>IF(I3121="Gasto",IF(IFERROR(INDEX(catClas,MATCH(D3121,catNom,0))&amp;"","")="","Variable",IFERROR(INDEX(catClas,MATCH(D3121,catNom,0))&amp;"","")),"")</f>
        <v/>
      </c>
      <c r="L3121" s="19">
        <f>IF(I3121="","",IFERROR(INDEX(catAlim,MATCH(D3121,catNom,0))&amp;"",""))</f>
        <v/>
      </c>
      <c r="M3121" s="19">
        <f>IF(I3121="","",IFERROR(INDEX(catComida,MATCH(D3121,catNom,0))&amp;"",""))</f>
        <v/>
      </c>
      <c r="N3121" s="19">
        <f>IF(I3121="","",IFERROR(INDEX(ctaMon,MATCH(E3121,ctaNom,0))&amp;"","DOP"))</f>
        <v/>
      </c>
      <c r="O3121" s="20">
        <f>IF(I3121="","",C3121*IF(N3121="USD",TasaUSD,1))</f>
        <v/>
      </c>
      <c r="P3121" s="20">
        <f>IF(I3121="","",IF(I3121="Gasto",O3121,0))</f>
        <v/>
      </c>
      <c r="Q3121" s="20">
        <f>IF(I3121="","",IF(I3121="Ingreso",O3121,0))</f>
        <v/>
      </c>
      <c r="R3121" s="20">
        <f>IF(I3121="","",IF(I3121="Trading",O3121,0))</f>
        <v/>
      </c>
      <c r="S3121" s="19">
        <f>IF(I3121="","",IF(AND(I3121="Gasto",K3121="Variable",J3121&lt;&gt;"Trading",O3121&gt;0,O3121&lt;=Umbral),1,0))</f>
        <v/>
      </c>
      <c r="T3121" s="20">
        <f>IF(OR(I3121="",E3121=""),"",IF(OR(I3121="Gasto",I3121="Transferencia",I3121="Pago tarjeta"),-1,1)*C3121)</f>
        <v/>
      </c>
      <c r="U3121" s="20">
        <f>IF(OR(G3121="",AND(I3121&lt;&gt;"Transferencia",I3121&lt;&gt;"Pago tarjeta")),"",IF(IFERROR(INDEX(ctaMon,MATCH(G3121,ctaNom,0))&amp;"","DOP")=N3121,C3121,IF(N3121="USD",C3121*TasaUSD,C3121/TasaUSD)))</f>
        <v/>
      </c>
      <c r="V3121" s="20">
        <f>IF(I3121="","",IF(IFERROR(INDEX(ctaLiq,MATCH(E3121,ctaNom,0))="Sí",FALSE),IF(OR(I3121="Gasto",I3121="Transferencia",I3121="Pago tarjeta"),-1,1)*O3121,0)+IF(AND(U3121&lt;&gt;"",IFERROR(INDEX(ctaLiq,MATCH(G3121,ctaNom,0))="Sí",FALSE)),O3121,0))</f>
        <v/>
      </c>
      <c r="W3121" s="19">
        <f>IF(OR(F3121="",I3121=""),"",IF(COUNTIFS(F$6:F3121,F3121,I$6:I3121,"?*")=1,MAX(W$5:W3120)+1,""))</f>
        <v/>
      </c>
    </row>
    <row r="3122">
      <c r="B3122" s="15" t="n"/>
      <c r="C3122" s="16" t="n"/>
      <c r="D3122" s="17" t="n"/>
      <c r="E3122" s="17" t="n"/>
      <c r="F3122" s="17" t="n"/>
      <c r="G3122" s="17" t="n"/>
      <c r="H3122" s="18">
        <f>IF(AND(B3122="",C3122="",D3122="",E3122=""),"",IF(B3122="","⚠ Falta fecha",IF(C3122="","⚠ Falta monto",IF(D3122="","⚠ Falta categoría",IF(ISNA(MATCH(D3122,catNom,0)),"⚠ Categoría no existe",IF(E3122="","⚠ Falta cuenta",IF(ISNA(MATCH(E3122,ctaNom,0)),"⚠ Cuenta no existe",IF(AND(OR(I3122="Transferencia",I3122="Pago tarjeta"),G3122=""),"⚠ Indica la cuenta «Hacia»",IF(AND(G3122&lt;&gt;"",G3122=E3122),"⚠ «Hacia» igual a la cuenta",IF(AND(G3122&lt;&gt;"",ISNA(MATCH(G3122,ctaNom,0))),"⚠ «Hacia» no existe",IF(AND(I3122="Pago tarjeta",IFERROR(INDEX(ctaTipo,MATCH(G3122,ctaNom,0)),"")&lt;&gt;"Tarjeta de crédito"),"⚠ «Hacia» debe ser la tarjeta",IF(AND(I3122="Trading",IFERROR(INDEX(ctaTipo,MATCH(E3122,ctaNom,0)),"")&lt;&gt;"Cuenta de trading"),"⚠ Usa la cuenta de trading","✓"))))))))))))</f>
        <v/>
      </c>
      <c r="I3122" s="19">
        <f>IF(OR(B3122="",C3122="",D3122=""),"",IFERROR(INDEX(catTipo,MATCH(D3122,catNom,0))&amp;"",""))</f>
        <v/>
      </c>
      <c r="J3122" s="19">
        <f>IF(I3122="","",IFERROR(INDEX(catGrupo,MATCH(D3122,catNom,0))&amp;"",""))</f>
        <v/>
      </c>
      <c r="K3122" s="19">
        <f>IF(I3122="Gasto",IF(IFERROR(INDEX(catClas,MATCH(D3122,catNom,0))&amp;"","")="","Variable",IFERROR(INDEX(catClas,MATCH(D3122,catNom,0))&amp;"","")),"")</f>
        <v/>
      </c>
      <c r="L3122" s="19">
        <f>IF(I3122="","",IFERROR(INDEX(catAlim,MATCH(D3122,catNom,0))&amp;"",""))</f>
        <v/>
      </c>
      <c r="M3122" s="19">
        <f>IF(I3122="","",IFERROR(INDEX(catComida,MATCH(D3122,catNom,0))&amp;"",""))</f>
        <v/>
      </c>
      <c r="N3122" s="19">
        <f>IF(I3122="","",IFERROR(INDEX(ctaMon,MATCH(E3122,ctaNom,0))&amp;"","DOP"))</f>
        <v/>
      </c>
      <c r="O3122" s="20">
        <f>IF(I3122="","",C3122*IF(N3122="USD",TasaUSD,1))</f>
        <v/>
      </c>
      <c r="P3122" s="20">
        <f>IF(I3122="","",IF(I3122="Gasto",O3122,0))</f>
        <v/>
      </c>
      <c r="Q3122" s="20">
        <f>IF(I3122="","",IF(I3122="Ingreso",O3122,0))</f>
        <v/>
      </c>
      <c r="R3122" s="20">
        <f>IF(I3122="","",IF(I3122="Trading",O3122,0))</f>
        <v/>
      </c>
      <c r="S3122" s="19">
        <f>IF(I3122="","",IF(AND(I3122="Gasto",K3122="Variable",J3122&lt;&gt;"Trading",O3122&gt;0,O3122&lt;=Umbral),1,0))</f>
        <v/>
      </c>
      <c r="T3122" s="20">
        <f>IF(OR(I3122="",E3122=""),"",IF(OR(I3122="Gasto",I3122="Transferencia",I3122="Pago tarjeta"),-1,1)*C3122)</f>
        <v/>
      </c>
      <c r="U3122" s="20">
        <f>IF(OR(G3122="",AND(I3122&lt;&gt;"Transferencia",I3122&lt;&gt;"Pago tarjeta")),"",IF(IFERROR(INDEX(ctaMon,MATCH(G3122,ctaNom,0))&amp;"","DOP")=N3122,C3122,IF(N3122="USD",C3122*TasaUSD,C3122/TasaUSD)))</f>
        <v/>
      </c>
      <c r="V3122" s="20">
        <f>IF(I3122="","",IF(IFERROR(INDEX(ctaLiq,MATCH(E3122,ctaNom,0))="Sí",FALSE),IF(OR(I3122="Gasto",I3122="Transferencia",I3122="Pago tarjeta"),-1,1)*O3122,0)+IF(AND(U3122&lt;&gt;"",IFERROR(INDEX(ctaLiq,MATCH(G3122,ctaNom,0))="Sí",FALSE)),O3122,0))</f>
        <v/>
      </c>
      <c r="W3122" s="19">
        <f>IF(OR(F3122="",I3122=""),"",IF(COUNTIFS(F$6:F3122,F3122,I$6:I3122,"?*")=1,MAX(W$5:W3121)+1,""))</f>
        <v/>
      </c>
    </row>
    <row r="3123">
      <c r="B3123" s="15" t="n"/>
      <c r="C3123" s="16" t="n"/>
      <c r="D3123" s="17" t="n"/>
      <c r="E3123" s="17" t="n"/>
      <c r="F3123" s="17" t="n"/>
      <c r="G3123" s="17" t="n"/>
      <c r="H3123" s="18">
        <f>IF(AND(B3123="",C3123="",D3123="",E3123=""),"",IF(B3123="","⚠ Falta fecha",IF(C3123="","⚠ Falta monto",IF(D3123="","⚠ Falta categoría",IF(ISNA(MATCH(D3123,catNom,0)),"⚠ Categoría no existe",IF(E3123="","⚠ Falta cuenta",IF(ISNA(MATCH(E3123,ctaNom,0)),"⚠ Cuenta no existe",IF(AND(OR(I3123="Transferencia",I3123="Pago tarjeta"),G3123=""),"⚠ Indica la cuenta «Hacia»",IF(AND(G3123&lt;&gt;"",G3123=E3123),"⚠ «Hacia» igual a la cuenta",IF(AND(G3123&lt;&gt;"",ISNA(MATCH(G3123,ctaNom,0))),"⚠ «Hacia» no existe",IF(AND(I3123="Pago tarjeta",IFERROR(INDEX(ctaTipo,MATCH(G3123,ctaNom,0)),"")&lt;&gt;"Tarjeta de crédito"),"⚠ «Hacia» debe ser la tarjeta",IF(AND(I3123="Trading",IFERROR(INDEX(ctaTipo,MATCH(E3123,ctaNom,0)),"")&lt;&gt;"Cuenta de trading"),"⚠ Usa la cuenta de trading","✓"))))))))))))</f>
        <v/>
      </c>
      <c r="I3123" s="19">
        <f>IF(OR(B3123="",C3123="",D3123=""),"",IFERROR(INDEX(catTipo,MATCH(D3123,catNom,0))&amp;"",""))</f>
        <v/>
      </c>
      <c r="J3123" s="19">
        <f>IF(I3123="","",IFERROR(INDEX(catGrupo,MATCH(D3123,catNom,0))&amp;"",""))</f>
        <v/>
      </c>
      <c r="K3123" s="19">
        <f>IF(I3123="Gasto",IF(IFERROR(INDEX(catClas,MATCH(D3123,catNom,0))&amp;"","")="","Variable",IFERROR(INDEX(catClas,MATCH(D3123,catNom,0))&amp;"","")),"")</f>
        <v/>
      </c>
      <c r="L3123" s="19">
        <f>IF(I3123="","",IFERROR(INDEX(catAlim,MATCH(D3123,catNom,0))&amp;"",""))</f>
        <v/>
      </c>
      <c r="M3123" s="19">
        <f>IF(I3123="","",IFERROR(INDEX(catComida,MATCH(D3123,catNom,0))&amp;"",""))</f>
        <v/>
      </c>
      <c r="N3123" s="19">
        <f>IF(I3123="","",IFERROR(INDEX(ctaMon,MATCH(E3123,ctaNom,0))&amp;"","DOP"))</f>
        <v/>
      </c>
      <c r="O3123" s="20">
        <f>IF(I3123="","",C3123*IF(N3123="USD",TasaUSD,1))</f>
        <v/>
      </c>
      <c r="P3123" s="20">
        <f>IF(I3123="","",IF(I3123="Gasto",O3123,0))</f>
        <v/>
      </c>
      <c r="Q3123" s="20">
        <f>IF(I3123="","",IF(I3123="Ingreso",O3123,0))</f>
        <v/>
      </c>
      <c r="R3123" s="20">
        <f>IF(I3123="","",IF(I3123="Trading",O3123,0))</f>
        <v/>
      </c>
      <c r="S3123" s="19">
        <f>IF(I3123="","",IF(AND(I3123="Gasto",K3123="Variable",J3123&lt;&gt;"Trading",O3123&gt;0,O3123&lt;=Umbral),1,0))</f>
        <v/>
      </c>
      <c r="T3123" s="20">
        <f>IF(OR(I3123="",E3123=""),"",IF(OR(I3123="Gasto",I3123="Transferencia",I3123="Pago tarjeta"),-1,1)*C3123)</f>
        <v/>
      </c>
      <c r="U3123" s="20">
        <f>IF(OR(G3123="",AND(I3123&lt;&gt;"Transferencia",I3123&lt;&gt;"Pago tarjeta")),"",IF(IFERROR(INDEX(ctaMon,MATCH(G3123,ctaNom,0))&amp;"","DOP")=N3123,C3123,IF(N3123="USD",C3123*TasaUSD,C3123/TasaUSD)))</f>
        <v/>
      </c>
      <c r="V3123" s="20">
        <f>IF(I3123="","",IF(IFERROR(INDEX(ctaLiq,MATCH(E3123,ctaNom,0))="Sí",FALSE),IF(OR(I3123="Gasto",I3123="Transferencia",I3123="Pago tarjeta"),-1,1)*O3123,0)+IF(AND(U3123&lt;&gt;"",IFERROR(INDEX(ctaLiq,MATCH(G3123,ctaNom,0))="Sí",FALSE)),O3123,0))</f>
        <v/>
      </c>
      <c r="W3123" s="19">
        <f>IF(OR(F3123="",I3123=""),"",IF(COUNTIFS(F$6:F3123,F3123,I$6:I3123,"?*")=1,MAX(W$5:W3122)+1,""))</f>
        <v/>
      </c>
    </row>
    <row r="3124">
      <c r="B3124" s="15" t="n"/>
      <c r="C3124" s="16" t="n"/>
      <c r="D3124" s="17" t="n"/>
      <c r="E3124" s="17" t="n"/>
      <c r="F3124" s="17" t="n"/>
      <c r="G3124" s="17" t="n"/>
      <c r="H3124" s="18">
        <f>IF(AND(B3124="",C3124="",D3124="",E3124=""),"",IF(B3124="","⚠ Falta fecha",IF(C3124="","⚠ Falta monto",IF(D3124="","⚠ Falta categoría",IF(ISNA(MATCH(D3124,catNom,0)),"⚠ Categoría no existe",IF(E3124="","⚠ Falta cuenta",IF(ISNA(MATCH(E3124,ctaNom,0)),"⚠ Cuenta no existe",IF(AND(OR(I3124="Transferencia",I3124="Pago tarjeta"),G3124=""),"⚠ Indica la cuenta «Hacia»",IF(AND(G3124&lt;&gt;"",G3124=E3124),"⚠ «Hacia» igual a la cuenta",IF(AND(G3124&lt;&gt;"",ISNA(MATCH(G3124,ctaNom,0))),"⚠ «Hacia» no existe",IF(AND(I3124="Pago tarjeta",IFERROR(INDEX(ctaTipo,MATCH(G3124,ctaNom,0)),"")&lt;&gt;"Tarjeta de crédito"),"⚠ «Hacia» debe ser la tarjeta",IF(AND(I3124="Trading",IFERROR(INDEX(ctaTipo,MATCH(E3124,ctaNom,0)),"")&lt;&gt;"Cuenta de trading"),"⚠ Usa la cuenta de trading","✓"))))))))))))</f>
        <v/>
      </c>
      <c r="I3124" s="19">
        <f>IF(OR(B3124="",C3124="",D3124=""),"",IFERROR(INDEX(catTipo,MATCH(D3124,catNom,0))&amp;"",""))</f>
        <v/>
      </c>
      <c r="J3124" s="19">
        <f>IF(I3124="","",IFERROR(INDEX(catGrupo,MATCH(D3124,catNom,0))&amp;"",""))</f>
        <v/>
      </c>
      <c r="K3124" s="19">
        <f>IF(I3124="Gasto",IF(IFERROR(INDEX(catClas,MATCH(D3124,catNom,0))&amp;"","")="","Variable",IFERROR(INDEX(catClas,MATCH(D3124,catNom,0))&amp;"","")),"")</f>
        <v/>
      </c>
      <c r="L3124" s="19">
        <f>IF(I3124="","",IFERROR(INDEX(catAlim,MATCH(D3124,catNom,0))&amp;"",""))</f>
        <v/>
      </c>
      <c r="M3124" s="19">
        <f>IF(I3124="","",IFERROR(INDEX(catComida,MATCH(D3124,catNom,0))&amp;"",""))</f>
        <v/>
      </c>
      <c r="N3124" s="19">
        <f>IF(I3124="","",IFERROR(INDEX(ctaMon,MATCH(E3124,ctaNom,0))&amp;"","DOP"))</f>
        <v/>
      </c>
      <c r="O3124" s="20">
        <f>IF(I3124="","",C3124*IF(N3124="USD",TasaUSD,1))</f>
        <v/>
      </c>
      <c r="P3124" s="20">
        <f>IF(I3124="","",IF(I3124="Gasto",O3124,0))</f>
        <v/>
      </c>
      <c r="Q3124" s="20">
        <f>IF(I3124="","",IF(I3124="Ingreso",O3124,0))</f>
        <v/>
      </c>
      <c r="R3124" s="20">
        <f>IF(I3124="","",IF(I3124="Trading",O3124,0))</f>
        <v/>
      </c>
      <c r="S3124" s="19">
        <f>IF(I3124="","",IF(AND(I3124="Gasto",K3124="Variable",J3124&lt;&gt;"Trading",O3124&gt;0,O3124&lt;=Umbral),1,0))</f>
        <v/>
      </c>
      <c r="T3124" s="20">
        <f>IF(OR(I3124="",E3124=""),"",IF(OR(I3124="Gasto",I3124="Transferencia",I3124="Pago tarjeta"),-1,1)*C3124)</f>
        <v/>
      </c>
      <c r="U3124" s="20">
        <f>IF(OR(G3124="",AND(I3124&lt;&gt;"Transferencia",I3124&lt;&gt;"Pago tarjeta")),"",IF(IFERROR(INDEX(ctaMon,MATCH(G3124,ctaNom,0))&amp;"","DOP")=N3124,C3124,IF(N3124="USD",C3124*TasaUSD,C3124/TasaUSD)))</f>
        <v/>
      </c>
      <c r="V3124" s="20">
        <f>IF(I3124="","",IF(IFERROR(INDEX(ctaLiq,MATCH(E3124,ctaNom,0))="Sí",FALSE),IF(OR(I3124="Gasto",I3124="Transferencia",I3124="Pago tarjeta"),-1,1)*O3124,0)+IF(AND(U3124&lt;&gt;"",IFERROR(INDEX(ctaLiq,MATCH(G3124,ctaNom,0))="Sí",FALSE)),O3124,0))</f>
        <v/>
      </c>
      <c r="W3124" s="19">
        <f>IF(OR(F3124="",I3124=""),"",IF(COUNTIFS(F$6:F3124,F3124,I$6:I3124,"?*")=1,MAX(W$5:W3123)+1,""))</f>
        <v/>
      </c>
    </row>
    <row r="3125">
      <c r="B3125" s="15" t="n"/>
      <c r="C3125" s="16" t="n"/>
      <c r="D3125" s="17" t="n"/>
      <c r="E3125" s="17" t="n"/>
      <c r="F3125" s="17" t="n"/>
      <c r="G3125" s="17" t="n"/>
      <c r="H3125" s="18">
        <f>IF(AND(B3125="",C3125="",D3125="",E3125=""),"",IF(B3125="","⚠ Falta fecha",IF(C3125="","⚠ Falta monto",IF(D3125="","⚠ Falta categoría",IF(ISNA(MATCH(D3125,catNom,0)),"⚠ Categoría no existe",IF(E3125="","⚠ Falta cuenta",IF(ISNA(MATCH(E3125,ctaNom,0)),"⚠ Cuenta no existe",IF(AND(OR(I3125="Transferencia",I3125="Pago tarjeta"),G3125=""),"⚠ Indica la cuenta «Hacia»",IF(AND(G3125&lt;&gt;"",G3125=E3125),"⚠ «Hacia» igual a la cuenta",IF(AND(G3125&lt;&gt;"",ISNA(MATCH(G3125,ctaNom,0))),"⚠ «Hacia» no existe",IF(AND(I3125="Pago tarjeta",IFERROR(INDEX(ctaTipo,MATCH(G3125,ctaNom,0)),"")&lt;&gt;"Tarjeta de crédito"),"⚠ «Hacia» debe ser la tarjeta",IF(AND(I3125="Trading",IFERROR(INDEX(ctaTipo,MATCH(E3125,ctaNom,0)),"")&lt;&gt;"Cuenta de trading"),"⚠ Usa la cuenta de trading","✓"))))))))))))</f>
        <v/>
      </c>
      <c r="I3125" s="19">
        <f>IF(OR(B3125="",C3125="",D3125=""),"",IFERROR(INDEX(catTipo,MATCH(D3125,catNom,0))&amp;"",""))</f>
        <v/>
      </c>
      <c r="J3125" s="19">
        <f>IF(I3125="","",IFERROR(INDEX(catGrupo,MATCH(D3125,catNom,0))&amp;"",""))</f>
        <v/>
      </c>
      <c r="K3125" s="19">
        <f>IF(I3125="Gasto",IF(IFERROR(INDEX(catClas,MATCH(D3125,catNom,0))&amp;"","")="","Variable",IFERROR(INDEX(catClas,MATCH(D3125,catNom,0))&amp;"","")),"")</f>
        <v/>
      </c>
      <c r="L3125" s="19">
        <f>IF(I3125="","",IFERROR(INDEX(catAlim,MATCH(D3125,catNom,0))&amp;"",""))</f>
        <v/>
      </c>
      <c r="M3125" s="19">
        <f>IF(I3125="","",IFERROR(INDEX(catComida,MATCH(D3125,catNom,0))&amp;"",""))</f>
        <v/>
      </c>
      <c r="N3125" s="19">
        <f>IF(I3125="","",IFERROR(INDEX(ctaMon,MATCH(E3125,ctaNom,0))&amp;"","DOP"))</f>
        <v/>
      </c>
      <c r="O3125" s="20">
        <f>IF(I3125="","",C3125*IF(N3125="USD",TasaUSD,1))</f>
        <v/>
      </c>
      <c r="P3125" s="20">
        <f>IF(I3125="","",IF(I3125="Gasto",O3125,0))</f>
        <v/>
      </c>
      <c r="Q3125" s="20">
        <f>IF(I3125="","",IF(I3125="Ingreso",O3125,0))</f>
        <v/>
      </c>
      <c r="R3125" s="20">
        <f>IF(I3125="","",IF(I3125="Trading",O3125,0))</f>
        <v/>
      </c>
      <c r="S3125" s="19">
        <f>IF(I3125="","",IF(AND(I3125="Gasto",K3125="Variable",J3125&lt;&gt;"Trading",O3125&gt;0,O3125&lt;=Umbral),1,0))</f>
        <v/>
      </c>
      <c r="T3125" s="20">
        <f>IF(OR(I3125="",E3125=""),"",IF(OR(I3125="Gasto",I3125="Transferencia",I3125="Pago tarjeta"),-1,1)*C3125)</f>
        <v/>
      </c>
      <c r="U3125" s="20">
        <f>IF(OR(G3125="",AND(I3125&lt;&gt;"Transferencia",I3125&lt;&gt;"Pago tarjeta")),"",IF(IFERROR(INDEX(ctaMon,MATCH(G3125,ctaNom,0))&amp;"","DOP")=N3125,C3125,IF(N3125="USD",C3125*TasaUSD,C3125/TasaUSD)))</f>
        <v/>
      </c>
      <c r="V3125" s="20">
        <f>IF(I3125="","",IF(IFERROR(INDEX(ctaLiq,MATCH(E3125,ctaNom,0))="Sí",FALSE),IF(OR(I3125="Gasto",I3125="Transferencia",I3125="Pago tarjeta"),-1,1)*O3125,0)+IF(AND(U3125&lt;&gt;"",IFERROR(INDEX(ctaLiq,MATCH(G3125,ctaNom,0))="Sí",FALSE)),O3125,0))</f>
        <v/>
      </c>
      <c r="W3125" s="19">
        <f>IF(OR(F3125="",I3125=""),"",IF(COUNTIFS(F$6:F3125,F3125,I$6:I3125,"?*")=1,MAX(W$5:W3124)+1,""))</f>
        <v/>
      </c>
    </row>
    <row r="3126">
      <c r="B3126" s="15" t="n"/>
      <c r="C3126" s="16" t="n"/>
      <c r="D3126" s="17" t="n"/>
      <c r="E3126" s="17" t="n"/>
      <c r="F3126" s="17" t="n"/>
      <c r="G3126" s="17" t="n"/>
      <c r="H3126" s="18">
        <f>IF(AND(B3126="",C3126="",D3126="",E3126=""),"",IF(B3126="","⚠ Falta fecha",IF(C3126="","⚠ Falta monto",IF(D3126="","⚠ Falta categoría",IF(ISNA(MATCH(D3126,catNom,0)),"⚠ Categoría no existe",IF(E3126="","⚠ Falta cuenta",IF(ISNA(MATCH(E3126,ctaNom,0)),"⚠ Cuenta no existe",IF(AND(OR(I3126="Transferencia",I3126="Pago tarjeta"),G3126=""),"⚠ Indica la cuenta «Hacia»",IF(AND(G3126&lt;&gt;"",G3126=E3126),"⚠ «Hacia» igual a la cuenta",IF(AND(G3126&lt;&gt;"",ISNA(MATCH(G3126,ctaNom,0))),"⚠ «Hacia» no existe",IF(AND(I3126="Pago tarjeta",IFERROR(INDEX(ctaTipo,MATCH(G3126,ctaNom,0)),"")&lt;&gt;"Tarjeta de crédito"),"⚠ «Hacia» debe ser la tarjeta",IF(AND(I3126="Trading",IFERROR(INDEX(ctaTipo,MATCH(E3126,ctaNom,0)),"")&lt;&gt;"Cuenta de trading"),"⚠ Usa la cuenta de trading","✓"))))))))))))</f>
        <v/>
      </c>
      <c r="I3126" s="19">
        <f>IF(OR(B3126="",C3126="",D3126=""),"",IFERROR(INDEX(catTipo,MATCH(D3126,catNom,0))&amp;"",""))</f>
        <v/>
      </c>
      <c r="J3126" s="19">
        <f>IF(I3126="","",IFERROR(INDEX(catGrupo,MATCH(D3126,catNom,0))&amp;"",""))</f>
        <v/>
      </c>
      <c r="K3126" s="19">
        <f>IF(I3126="Gasto",IF(IFERROR(INDEX(catClas,MATCH(D3126,catNom,0))&amp;"","")="","Variable",IFERROR(INDEX(catClas,MATCH(D3126,catNom,0))&amp;"","")),"")</f>
        <v/>
      </c>
      <c r="L3126" s="19">
        <f>IF(I3126="","",IFERROR(INDEX(catAlim,MATCH(D3126,catNom,0))&amp;"",""))</f>
        <v/>
      </c>
      <c r="M3126" s="19">
        <f>IF(I3126="","",IFERROR(INDEX(catComida,MATCH(D3126,catNom,0))&amp;"",""))</f>
        <v/>
      </c>
      <c r="N3126" s="19">
        <f>IF(I3126="","",IFERROR(INDEX(ctaMon,MATCH(E3126,ctaNom,0))&amp;"","DOP"))</f>
        <v/>
      </c>
      <c r="O3126" s="20">
        <f>IF(I3126="","",C3126*IF(N3126="USD",TasaUSD,1))</f>
        <v/>
      </c>
      <c r="P3126" s="20">
        <f>IF(I3126="","",IF(I3126="Gasto",O3126,0))</f>
        <v/>
      </c>
      <c r="Q3126" s="20">
        <f>IF(I3126="","",IF(I3126="Ingreso",O3126,0))</f>
        <v/>
      </c>
      <c r="R3126" s="20">
        <f>IF(I3126="","",IF(I3126="Trading",O3126,0))</f>
        <v/>
      </c>
      <c r="S3126" s="19">
        <f>IF(I3126="","",IF(AND(I3126="Gasto",K3126="Variable",J3126&lt;&gt;"Trading",O3126&gt;0,O3126&lt;=Umbral),1,0))</f>
        <v/>
      </c>
      <c r="T3126" s="20">
        <f>IF(OR(I3126="",E3126=""),"",IF(OR(I3126="Gasto",I3126="Transferencia",I3126="Pago tarjeta"),-1,1)*C3126)</f>
        <v/>
      </c>
      <c r="U3126" s="20">
        <f>IF(OR(G3126="",AND(I3126&lt;&gt;"Transferencia",I3126&lt;&gt;"Pago tarjeta")),"",IF(IFERROR(INDEX(ctaMon,MATCH(G3126,ctaNom,0))&amp;"","DOP")=N3126,C3126,IF(N3126="USD",C3126*TasaUSD,C3126/TasaUSD)))</f>
        <v/>
      </c>
      <c r="V3126" s="20">
        <f>IF(I3126="","",IF(IFERROR(INDEX(ctaLiq,MATCH(E3126,ctaNom,0))="Sí",FALSE),IF(OR(I3126="Gasto",I3126="Transferencia",I3126="Pago tarjeta"),-1,1)*O3126,0)+IF(AND(U3126&lt;&gt;"",IFERROR(INDEX(ctaLiq,MATCH(G3126,ctaNom,0))="Sí",FALSE)),O3126,0))</f>
        <v/>
      </c>
      <c r="W3126" s="19">
        <f>IF(OR(F3126="",I3126=""),"",IF(COUNTIFS(F$6:F3126,F3126,I$6:I3126,"?*")=1,MAX(W$5:W3125)+1,""))</f>
        <v/>
      </c>
    </row>
    <row r="3127">
      <c r="B3127" s="15" t="n"/>
      <c r="C3127" s="16" t="n"/>
      <c r="D3127" s="17" t="n"/>
      <c r="E3127" s="17" t="n"/>
      <c r="F3127" s="17" t="n"/>
      <c r="G3127" s="17" t="n"/>
      <c r="H3127" s="18">
        <f>IF(AND(B3127="",C3127="",D3127="",E3127=""),"",IF(B3127="","⚠ Falta fecha",IF(C3127="","⚠ Falta monto",IF(D3127="","⚠ Falta categoría",IF(ISNA(MATCH(D3127,catNom,0)),"⚠ Categoría no existe",IF(E3127="","⚠ Falta cuenta",IF(ISNA(MATCH(E3127,ctaNom,0)),"⚠ Cuenta no existe",IF(AND(OR(I3127="Transferencia",I3127="Pago tarjeta"),G3127=""),"⚠ Indica la cuenta «Hacia»",IF(AND(G3127&lt;&gt;"",G3127=E3127),"⚠ «Hacia» igual a la cuenta",IF(AND(G3127&lt;&gt;"",ISNA(MATCH(G3127,ctaNom,0))),"⚠ «Hacia» no existe",IF(AND(I3127="Pago tarjeta",IFERROR(INDEX(ctaTipo,MATCH(G3127,ctaNom,0)),"")&lt;&gt;"Tarjeta de crédito"),"⚠ «Hacia» debe ser la tarjeta",IF(AND(I3127="Trading",IFERROR(INDEX(ctaTipo,MATCH(E3127,ctaNom,0)),"")&lt;&gt;"Cuenta de trading"),"⚠ Usa la cuenta de trading","✓"))))))))))))</f>
        <v/>
      </c>
      <c r="I3127" s="19">
        <f>IF(OR(B3127="",C3127="",D3127=""),"",IFERROR(INDEX(catTipo,MATCH(D3127,catNom,0))&amp;"",""))</f>
        <v/>
      </c>
      <c r="J3127" s="19">
        <f>IF(I3127="","",IFERROR(INDEX(catGrupo,MATCH(D3127,catNom,0))&amp;"",""))</f>
        <v/>
      </c>
      <c r="K3127" s="19">
        <f>IF(I3127="Gasto",IF(IFERROR(INDEX(catClas,MATCH(D3127,catNom,0))&amp;"","")="","Variable",IFERROR(INDEX(catClas,MATCH(D3127,catNom,0))&amp;"","")),"")</f>
        <v/>
      </c>
      <c r="L3127" s="19">
        <f>IF(I3127="","",IFERROR(INDEX(catAlim,MATCH(D3127,catNom,0))&amp;"",""))</f>
        <v/>
      </c>
      <c r="M3127" s="19">
        <f>IF(I3127="","",IFERROR(INDEX(catComida,MATCH(D3127,catNom,0))&amp;"",""))</f>
        <v/>
      </c>
      <c r="N3127" s="19">
        <f>IF(I3127="","",IFERROR(INDEX(ctaMon,MATCH(E3127,ctaNom,0))&amp;"","DOP"))</f>
        <v/>
      </c>
      <c r="O3127" s="20">
        <f>IF(I3127="","",C3127*IF(N3127="USD",TasaUSD,1))</f>
        <v/>
      </c>
      <c r="P3127" s="20">
        <f>IF(I3127="","",IF(I3127="Gasto",O3127,0))</f>
        <v/>
      </c>
      <c r="Q3127" s="20">
        <f>IF(I3127="","",IF(I3127="Ingreso",O3127,0))</f>
        <v/>
      </c>
      <c r="R3127" s="20">
        <f>IF(I3127="","",IF(I3127="Trading",O3127,0))</f>
        <v/>
      </c>
      <c r="S3127" s="19">
        <f>IF(I3127="","",IF(AND(I3127="Gasto",K3127="Variable",J3127&lt;&gt;"Trading",O3127&gt;0,O3127&lt;=Umbral),1,0))</f>
        <v/>
      </c>
      <c r="T3127" s="20">
        <f>IF(OR(I3127="",E3127=""),"",IF(OR(I3127="Gasto",I3127="Transferencia",I3127="Pago tarjeta"),-1,1)*C3127)</f>
        <v/>
      </c>
      <c r="U3127" s="20">
        <f>IF(OR(G3127="",AND(I3127&lt;&gt;"Transferencia",I3127&lt;&gt;"Pago tarjeta")),"",IF(IFERROR(INDEX(ctaMon,MATCH(G3127,ctaNom,0))&amp;"","DOP")=N3127,C3127,IF(N3127="USD",C3127*TasaUSD,C3127/TasaUSD)))</f>
        <v/>
      </c>
      <c r="V3127" s="20">
        <f>IF(I3127="","",IF(IFERROR(INDEX(ctaLiq,MATCH(E3127,ctaNom,0))="Sí",FALSE),IF(OR(I3127="Gasto",I3127="Transferencia",I3127="Pago tarjeta"),-1,1)*O3127,0)+IF(AND(U3127&lt;&gt;"",IFERROR(INDEX(ctaLiq,MATCH(G3127,ctaNom,0))="Sí",FALSE)),O3127,0))</f>
        <v/>
      </c>
      <c r="W3127" s="19">
        <f>IF(OR(F3127="",I3127=""),"",IF(COUNTIFS(F$6:F3127,F3127,I$6:I3127,"?*")=1,MAX(W$5:W3126)+1,""))</f>
        <v/>
      </c>
    </row>
    <row r="3128">
      <c r="B3128" s="15" t="n"/>
      <c r="C3128" s="16" t="n"/>
      <c r="D3128" s="17" t="n"/>
      <c r="E3128" s="17" t="n"/>
      <c r="F3128" s="17" t="n"/>
      <c r="G3128" s="17" t="n"/>
      <c r="H3128" s="18">
        <f>IF(AND(B3128="",C3128="",D3128="",E3128=""),"",IF(B3128="","⚠ Falta fecha",IF(C3128="","⚠ Falta monto",IF(D3128="","⚠ Falta categoría",IF(ISNA(MATCH(D3128,catNom,0)),"⚠ Categoría no existe",IF(E3128="","⚠ Falta cuenta",IF(ISNA(MATCH(E3128,ctaNom,0)),"⚠ Cuenta no existe",IF(AND(OR(I3128="Transferencia",I3128="Pago tarjeta"),G3128=""),"⚠ Indica la cuenta «Hacia»",IF(AND(G3128&lt;&gt;"",G3128=E3128),"⚠ «Hacia» igual a la cuenta",IF(AND(G3128&lt;&gt;"",ISNA(MATCH(G3128,ctaNom,0))),"⚠ «Hacia» no existe",IF(AND(I3128="Pago tarjeta",IFERROR(INDEX(ctaTipo,MATCH(G3128,ctaNom,0)),"")&lt;&gt;"Tarjeta de crédito"),"⚠ «Hacia» debe ser la tarjeta",IF(AND(I3128="Trading",IFERROR(INDEX(ctaTipo,MATCH(E3128,ctaNom,0)),"")&lt;&gt;"Cuenta de trading"),"⚠ Usa la cuenta de trading","✓"))))))))))))</f>
        <v/>
      </c>
      <c r="I3128" s="19">
        <f>IF(OR(B3128="",C3128="",D3128=""),"",IFERROR(INDEX(catTipo,MATCH(D3128,catNom,0))&amp;"",""))</f>
        <v/>
      </c>
      <c r="J3128" s="19">
        <f>IF(I3128="","",IFERROR(INDEX(catGrupo,MATCH(D3128,catNom,0))&amp;"",""))</f>
        <v/>
      </c>
      <c r="K3128" s="19">
        <f>IF(I3128="Gasto",IF(IFERROR(INDEX(catClas,MATCH(D3128,catNom,0))&amp;"","")="","Variable",IFERROR(INDEX(catClas,MATCH(D3128,catNom,0))&amp;"","")),"")</f>
        <v/>
      </c>
      <c r="L3128" s="19">
        <f>IF(I3128="","",IFERROR(INDEX(catAlim,MATCH(D3128,catNom,0))&amp;"",""))</f>
        <v/>
      </c>
      <c r="M3128" s="19">
        <f>IF(I3128="","",IFERROR(INDEX(catComida,MATCH(D3128,catNom,0))&amp;"",""))</f>
        <v/>
      </c>
      <c r="N3128" s="19">
        <f>IF(I3128="","",IFERROR(INDEX(ctaMon,MATCH(E3128,ctaNom,0))&amp;"","DOP"))</f>
        <v/>
      </c>
      <c r="O3128" s="20">
        <f>IF(I3128="","",C3128*IF(N3128="USD",TasaUSD,1))</f>
        <v/>
      </c>
      <c r="P3128" s="20">
        <f>IF(I3128="","",IF(I3128="Gasto",O3128,0))</f>
        <v/>
      </c>
      <c r="Q3128" s="20">
        <f>IF(I3128="","",IF(I3128="Ingreso",O3128,0))</f>
        <v/>
      </c>
      <c r="R3128" s="20">
        <f>IF(I3128="","",IF(I3128="Trading",O3128,0))</f>
        <v/>
      </c>
      <c r="S3128" s="19">
        <f>IF(I3128="","",IF(AND(I3128="Gasto",K3128="Variable",J3128&lt;&gt;"Trading",O3128&gt;0,O3128&lt;=Umbral),1,0))</f>
        <v/>
      </c>
      <c r="T3128" s="20">
        <f>IF(OR(I3128="",E3128=""),"",IF(OR(I3128="Gasto",I3128="Transferencia",I3128="Pago tarjeta"),-1,1)*C3128)</f>
        <v/>
      </c>
      <c r="U3128" s="20">
        <f>IF(OR(G3128="",AND(I3128&lt;&gt;"Transferencia",I3128&lt;&gt;"Pago tarjeta")),"",IF(IFERROR(INDEX(ctaMon,MATCH(G3128,ctaNom,0))&amp;"","DOP")=N3128,C3128,IF(N3128="USD",C3128*TasaUSD,C3128/TasaUSD)))</f>
        <v/>
      </c>
      <c r="V3128" s="20">
        <f>IF(I3128="","",IF(IFERROR(INDEX(ctaLiq,MATCH(E3128,ctaNom,0))="Sí",FALSE),IF(OR(I3128="Gasto",I3128="Transferencia",I3128="Pago tarjeta"),-1,1)*O3128,0)+IF(AND(U3128&lt;&gt;"",IFERROR(INDEX(ctaLiq,MATCH(G3128,ctaNom,0))="Sí",FALSE)),O3128,0))</f>
        <v/>
      </c>
      <c r="W3128" s="19">
        <f>IF(OR(F3128="",I3128=""),"",IF(COUNTIFS(F$6:F3128,F3128,I$6:I3128,"?*")=1,MAX(W$5:W3127)+1,""))</f>
        <v/>
      </c>
    </row>
    <row r="3129">
      <c r="B3129" s="15" t="n"/>
      <c r="C3129" s="16" t="n"/>
      <c r="D3129" s="17" t="n"/>
      <c r="E3129" s="17" t="n"/>
      <c r="F3129" s="17" t="n"/>
      <c r="G3129" s="17" t="n"/>
      <c r="H3129" s="18">
        <f>IF(AND(B3129="",C3129="",D3129="",E3129=""),"",IF(B3129="","⚠ Falta fecha",IF(C3129="","⚠ Falta monto",IF(D3129="","⚠ Falta categoría",IF(ISNA(MATCH(D3129,catNom,0)),"⚠ Categoría no existe",IF(E3129="","⚠ Falta cuenta",IF(ISNA(MATCH(E3129,ctaNom,0)),"⚠ Cuenta no existe",IF(AND(OR(I3129="Transferencia",I3129="Pago tarjeta"),G3129=""),"⚠ Indica la cuenta «Hacia»",IF(AND(G3129&lt;&gt;"",G3129=E3129),"⚠ «Hacia» igual a la cuenta",IF(AND(G3129&lt;&gt;"",ISNA(MATCH(G3129,ctaNom,0))),"⚠ «Hacia» no existe",IF(AND(I3129="Pago tarjeta",IFERROR(INDEX(ctaTipo,MATCH(G3129,ctaNom,0)),"")&lt;&gt;"Tarjeta de crédito"),"⚠ «Hacia» debe ser la tarjeta",IF(AND(I3129="Trading",IFERROR(INDEX(ctaTipo,MATCH(E3129,ctaNom,0)),"")&lt;&gt;"Cuenta de trading"),"⚠ Usa la cuenta de trading","✓"))))))))))))</f>
        <v/>
      </c>
      <c r="I3129" s="19">
        <f>IF(OR(B3129="",C3129="",D3129=""),"",IFERROR(INDEX(catTipo,MATCH(D3129,catNom,0))&amp;"",""))</f>
        <v/>
      </c>
      <c r="J3129" s="19">
        <f>IF(I3129="","",IFERROR(INDEX(catGrupo,MATCH(D3129,catNom,0))&amp;"",""))</f>
        <v/>
      </c>
      <c r="K3129" s="19">
        <f>IF(I3129="Gasto",IF(IFERROR(INDEX(catClas,MATCH(D3129,catNom,0))&amp;"","")="","Variable",IFERROR(INDEX(catClas,MATCH(D3129,catNom,0))&amp;"","")),"")</f>
        <v/>
      </c>
      <c r="L3129" s="19">
        <f>IF(I3129="","",IFERROR(INDEX(catAlim,MATCH(D3129,catNom,0))&amp;"",""))</f>
        <v/>
      </c>
      <c r="M3129" s="19">
        <f>IF(I3129="","",IFERROR(INDEX(catComida,MATCH(D3129,catNom,0))&amp;"",""))</f>
        <v/>
      </c>
      <c r="N3129" s="19">
        <f>IF(I3129="","",IFERROR(INDEX(ctaMon,MATCH(E3129,ctaNom,0))&amp;"","DOP"))</f>
        <v/>
      </c>
      <c r="O3129" s="20">
        <f>IF(I3129="","",C3129*IF(N3129="USD",TasaUSD,1))</f>
        <v/>
      </c>
      <c r="P3129" s="20">
        <f>IF(I3129="","",IF(I3129="Gasto",O3129,0))</f>
        <v/>
      </c>
      <c r="Q3129" s="20">
        <f>IF(I3129="","",IF(I3129="Ingreso",O3129,0))</f>
        <v/>
      </c>
      <c r="R3129" s="20">
        <f>IF(I3129="","",IF(I3129="Trading",O3129,0))</f>
        <v/>
      </c>
      <c r="S3129" s="19">
        <f>IF(I3129="","",IF(AND(I3129="Gasto",K3129="Variable",J3129&lt;&gt;"Trading",O3129&gt;0,O3129&lt;=Umbral),1,0))</f>
        <v/>
      </c>
      <c r="T3129" s="20">
        <f>IF(OR(I3129="",E3129=""),"",IF(OR(I3129="Gasto",I3129="Transferencia",I3129="Pago tarjeta"),-1,1)*C3129)</f>
        <v/>
      </c>
      <c r="U3129" s="20">
        <f>IF(OR(G3129="",AND(I3129&lt;&gt;"Transferencia",I3129&lt;&gt;"Pago tarjeta")),"",IF(IFERROR(INDEX(ctaMon,MATCH(G3129,ctaNom,0))&amp;"","DOP")=N3129,C3129,IF(N3129="USD",C3129*TasaUSD,C3129/TasaUSD)))</f>
        <v/>
      </c>
      <c r="V3129" s="20">
        <f>IF(I3129="","",IF(IFERROR(INDEX(ctaLiq,MATCH(E3129,ctaNom,0))="Sí",FALSE),IF(OR(I3129="Gasto",I3129="Transferencia",I3129="Pago tarjeta"),-1,1)*O3129,0)+IF(AND(U3129&lt;&gt;"",IFERROR(INDEX(ctaLiq,MATCH(G3129,ctaNom,0))="Sí",FALSE)),O3129,0))</f>
        <v/>
      </c>
      <c r="W3129" s="19">
        <f>IF(OR(F3129="",I3129=""),"",IF(COUNTIFS(F$6:F3129,F3129,I$6:I3129,"?*")=1,MAX(W$5:W3128)+1,""))</f>
        <v/>
      </c>
    </row>
    <row r="3130">
      <c r="B3130" s="15" t="n"/>
      <c r="C3130" s="16" t="n"/>
      <c r="D3130" s="17" t="n"/>
      <c r="E3130" s="17" t="n"/>
      <c r="F3130" s="17" t="n"/>
      <c r="G3130" s="17" t="n"/>
      <c r="H3130" s="18">
        <f>IF(AND(B3130="",C3130="",D3130="",E3130=""),"",IF(B3130="","⚠ Falta fecha",IF(C3130="","⚠ Falta monto",IF(D3130="","⚠ Falta categoría",IF(ISNA(MATCH(D3130,catNom,0)),"⚠ Categoría no existe",IF(E3130="","⚠ Falta cuenta",IF(ISNA(MATCH(E3130,ctaNom,0)),"⚠ Cuenta no existe",IF(AND(OR(I3130="Transferencia",I3130="Pago tarjeta"),G3130=""),"⚠ Indica la cuenta «Hacia»",IF(AND(G3130&lt;&gt;"",G3130=E3130),"⚠ «Hacia» igual a la cuenta",IF(AND(G3130&lt;&gt;"",ISNA(MATCH(G3130,ctaNom,0))),"⚠ «Hacia» no existe",IF(AND(I3130="Pago tarjeta",IFERROR(INDEX(ctaTipo,MATCH(G3130,ctaNom,0)),"")&lt;&gt;"Tarjeta de crédito"),"⚠ «Hacia» debe ser la tarjeta",IF(AND(I3130="Trading",IFERROR(INDEX(ctaTipo,MATCH(E3130,ctaNom,0)),"")&lt;&gt;"Cuenta de trading"),"⚠ Usa la cuenta de trading","✓"))))))))))))</f>
        <v/>
      </c>
      <c r="I3130" s="19">
        <f>IF(OR(B3130="",C3130="",D3130=""),"",IFERROR(INDEX(catTipo,MATCH(D3130,catNom,0))&amp;"",""))</f>
        <v/>
      </c>
      <c r="J3130" s="19">
        <f>IF(I3130="","",IFERROR(INDEX(catGrupo,MATCH(D3130,catNom,0))&amp;"",""))</f>
        <v/>
      </c>
      <c r="K3130" s="19">
        <f>IF(I3130="Gasto",IF(IFERROR(INDEX(catClas,MATCH(D3130,catNom,0))&amp;"","")="","Variable",IFERROR(INDEX(catClas,MATCH(D3130,catNom,0))&amp;"","")),"")</f>
        <v/>
      </c>
      <c r="L3130" s="19">
        <f>IF(I3130="","",IFERROR(INDEX(catAlim,MATCH(D3130,catNom,0))&amp;"",""))</f>
        <v/>
      </c>
      <c r="M3130" s="19">
        <f>IF(I3130="","",IFERROR(INDEX(catComida,MATCH(D3130,catNom,0))&amp;"",""))</f>
        <v/>
      </c>
      <c r="N3130" s="19">
        <f>IF(I3130="","",IFERROR(INDEX(ctaMon,MATCH(E3130,ctaNom,0))&amp;"","DOP"))</f>
        <v/>
      </c>
      <c r="O3130" s="20">
        <f>IF(I3130="","",C3130*IF(N3130="USD",TasaUSD,1))</f>
        <v/>
      </c>
      <c r="P3130" s="20">
        <f>IF(I3130="","",IF(I3130="Gasto",O3130,0))</f>
        <v/>
      </c>
      <c r="Q3130" s="20">
        <f>IF(I3130="","",IF(I3130="Ingreso",O3130,0))</f>
        <v/>
      </c>
      <c r="R3130" s="20">
        <f>IF(I3130="","",IF(I3130="Trading",O3130,0))</f>
        <v/>
      </c>
      <c r="S3130" s="19">
        <f>IF(I3130="","",IF(AND(I3130="Gasto",K3130="Variable",J3130&lt;&gt;"Trading",O3130&gt;0,O3130&lt;=Umbral),1,0))</f>
        <v/>
      </c>
      <c r="T3130" s="20">
        <f>IF(OR(I3130="",E3130=""),"",IF(OR(I3130="Gasto",I3130="Transferencia",I3130="Pago tarjeta"),-1,1)*C3130)</f>
        <v/>
      </c>
      <c r="U3130" s="20">
        <f>IF(OR(G3130="",AND(I3130&lt;&gt;"Transferencia",I3130&lt;&gt;"Pago tarjeta")),"",IF(IFERROR(INDEX(ctaMon,MATCH(G3130,ctaNom,0))&amp;"","DOP")=N3130,C3130,IF(N3130="USD",C3130*TasaUSD,C3130/TasaUSD)))</f>
        <v/>
      </c>
      <c r="V3130" s="20">
        <f>IF(I3130="","",IF(IFERROR(INDEX(ctaLiq,MATCH(E3130,ctaNom,0))="Sí",FALSE),IF(OR(I3130="Gasto",I3130="Transferencia",I3130="Pago tarjeta"),-1,1)*O3130,0)+IF(AND(U3130&lt;&gt;"",IFERROR(INDEX(ctaLiq,MATCH(G3130,ctaNom,0))="Sí",FALSE)),O3130,0))</f>
        <v/>
      </c>
      <c r="W3130" s="19">
        <f>IF(OR(F3130="",I3130=""),"",IF(COUNTIFS(F$6:F3130,F3130,I$6:I3130,"?*")=1,MAX(W$5:W3129)+1,""))</f>
        <v/>
      </c>
    </row>
    <row r="3131">
      <c r="B3131" s="15" t="n"/>
      <c r="C3131" s="16" t="n"/>
      <c r="D3131" s="17" t="n"/>
      <c r="E3131" s="17" t="n"/>
      <c r="F3131" s="17" t="n"/>
      <c r="G3131" s="17" t="n"/>
      <c r="H3131" s="18">
        <f>IF(AND(B3131="",C3131="",D3131="",E3131=""),"",IF(B3131="","⚠ Falta fecha",IF(C3131="","⚠ Falta monto",IF(D3131="","⚠ Falta categoría",IF(ISNA(MATCH(D3131,catNom,0)),"⚠ Categoría no existe",IF(E3131="","⚠ Falta cuenta",IF(ISNA(MATCH(E3131,ctaNom,0)),"⚠ Cuenta no existe",IF(AND(OR(I3131="Transferencia",I3131="Pago tarjeta"),G3131=""),"⚠ Indica la cuenta «Hacia»",IF(AND(G3131&lt;&gt;"",G3131=E3131),"⚠ «Hacia» igual a la cuenta",IF(AND(G3131&lt;&gt;"",ISNA(MATCH(G3131,ctaNom,0))),"⚠ «Hacia» no existe",IF(AND(I3131="Pago tarjeta",IFERROR(INDEX(ctaTipo,MATCH(G3131,ctaNom,0)),"")&lt;&gt;"Tarjeta de crédito"),"⚠ «Hacia» debe ser la tarjeta",IF(AND(I3131="Trading",IFERROR(INDEX(ctaTipo,MATCH(E3131,ctaNom,0)),"")&lt;&gt;"Cuenta de trading"),"⚠ Usa la cuenta de trading","✓"))))))))))))</f>
        <v/>
      </c>
      <c r="I3131" s="19">
        <f>IF(OR(B3131="",C3131="",D3131=""),"",IFERROR(INDEX(catTipo,MATCH(D3131,catNom,0))&amp;"",""))</f>
        <v/>
      </c>
      <c r="J3131" s="19">
        <f>IF(I3131="","",IFERROR(INDEX(catGrupo,MATCH(D3131,catNom,0))&amp;"",""))</f>
        <v/>
      </c>
      <c r="K3131" s="19">
        <f>IF(I3131="Gasto",IF(IFERROR(INDEX(catClas,MATCH(D3131,catNom,0))&amp;"","")="","Variable",IFERROR(INDEX(catClas,MATCH(D3131,catNom,0))&amp;"","")),"")</f>
        <v/>
      </c>
      <c r="L3131" s="19">
        <f>IF(I3131="","",IFERROR(INDEX(catAlim,MATCH(D3131,catNom,0))&amp;"",""))</f>
        <v/>
      </c>
      <c r="M3131" s="19">
        <f>IF(I3131="","",IFERROR(INDEX(catComida,MATCH(D3131,catNom,0))&amp;"",""))</f>
        <v/>
      </c>
      <c r="N3131" s="19">
        <f>IF(I3131="","",IFERROR(INDEX(ctaMon,MATCH(E3131,ctaNom,0))&amp;"","DOP"))</f>
        <v/>
      </c>
      <c r="O3131" s="20">
        <f>IF(I3131="","",C3131*IF(N3131="USD",TasaUSD,1))</f>
        <v/>
      </c>
      <c r="P3131" s="20">
        <f>IF(I3131="","",IF(I3131="Gasto",O3131,0))</f>
        <v/>
      </c>
      <c r="Q3131" s="20">
        <f>IF(I3131="","",IF(I3131="Ingreso",O3131,0))</f>
        <v/>
      </c>
      <c r="R3131" s="20">
        <f>IF(I3131="","",IF(I3131="Trading",O3131,0))</f>
        <v/>
      </c>
      <c r="S3131" s="19">
        <f>IF(I3131="","",IF(AND(I3131="Gasto",K3131="Variable",J3131&lt;&gt;"Trading",O3131&gt;0,O3131&lt;=Umbral),1,0))</f>
        <v/>
      </c>
      <c r="T3131" s="20">
        <f>IF(OR(I3131="",E3131=""),"",IF(OR(I3131="Gasto",I3131="Transferencia",I3131="Pago tarjeta"),-1,1)*C3131)</f>
        <v/>
      </c>
      <c r="U3131" s="20">
        <f>IF(OR(G3131="",AND(I3131&lt;&gt;"Transferencia",I3131&lt;&gt;"Pago tarjeta")),"",IF(IFERROR(INDEX(ctaMon,MATCH(G3131,ctaNom,0))&amp;"","DOP")=N3131,C3131,IF(N3131="USD",C3131*TasaUSD,C3131/TasaUSD)))</f>
        <v/>
      </c>
      <c r="V3131" s="20">
        <f>IF(I3131="","",IF(IFERROR(INDEX(ctaLiq,MATCH(E3131,ctaNom,0))="Sí",FALSE),IF(OR(I3131="Gasto",I3131="Transferencia",I3131="Pago tarjeta"),-1,1)*O3131,0)+IF(AND(U3131&lt;&gt;"",IFERROR(INDEX(ctaLiq,MATCH(G3131,ctaNom,0))="Sí",FALSE)),O3131,0))</f>
        <v/>
      </c>
      <c r="W3131" s="19">
        <f>IF(OR(F3131="",I3131=""),"",IF(COUNTIFS(F$6:F3131,F3131,I$6:I3131,"?*")=1,MAX(W$5:W3130)+1,""))</f>
        <v/>
      </c>
    </row>
    <row r="3132">
      <c r="B3132" s="15" t="n"/>
      <c r="C3132" s="16" t="n"/>
      <c r="D3132" s="17" t="n"/>
      <c r="E3132" s="17" t="n"/>
      <c r="F3132" s="17" t="n"/>
      <c r="G3132" s="17" t="n"/>
      <c r="H3132" s="18">
        <f>IF(AND(B3132="",C3132="",D3132="",E3132=""),"",IF(B3132="","⚠ Falta fecha",IF(C3132="","⚠ Falta monto",IF(D3132="","⚠ Falta categoría",IF(ISNA(MATCH(D3132,catNom,0)),"⚠ Categoría no existe",IF(E3132="","⚠ Falta cuenta",IF(ISNA(MATCH(E3132,ctaNom,0)),"⚠ Cuenta no existe",IF(AND(OR(I3132="Transferencia",I3132="Pago tarjeta"),G3132=""),"⚠ Indica la cuenta «Hacia»",IF(AND(G3132&lt;&gt;"",G3132=E3132),"⚠ «Hacia» igual a la cuenta",IF(AND(G3132&lt;&gt;"",ISNA(MATCH(G3132,ctaNom,0))),"⚠ «Hacia» no existe",IF(AND(I3132="Pago tarjeta",IFERROR(INDEX(ctaTipo,MATCH(G3132,ctaNom,0)),"")&lt;&gt;"Tarjeta de crédito"),"⚠ «Hacia» debe ser la tarjeta",IF(AND(I3132="Trading",IFERROR(INDEX(ctaTipo,MATCH(E3132,ctaNom,0)),"")&lt;&gt;"Cuenta de trading"),"⚠ Usa la cuenta de trading","✓"))))))))))))</f>
        <v/>
      </c>
      <c r="I3132" s="19">
        <f>IF(OR(B3132="",C3132="",D3132=""),"",IFERROR(INDEX(catTipo,MATCH(D3132,catNom,0))&amp;"",""))</f>
        <v/>
      </c>
      <c r="J3132" s="19">
        <f>IF(I3132="","",IFERROR(INDEX(catGrupo,MATCH(D3132,catNom,0))&amp;"",""))</f>
        <v/>
      </c>
      <c r="K3132" s="19">
        <f>IF(I3132="Gasto",IF(IFERROR(INDEX(catClas,MATCH(D3132,catNom,0))&amp;"","")="","Variable",IFERROR(INDEX(catClas,MATCH(D3132,catNom,0))&amp;"","")),"")</f>
        <v/>
      </c>
      <c r="L3132" s="19">
        <f>IF(I3132="","",IFERROR(INDEX(catAlim,MATCH(D3132,catNom,0))&amp;"",""))</f>
        <v/>
      </c>
      <c r="M3132" s="19">
        <f>IF(I3132="","",IFERROR(INDEX(catComida,MATCH(D3132,catNom,0))&amp;"",""))</f>
        <v/>
      </c>
      <c r="N3132" s="19">
        <f>IF(I3132="","",IFERROR(INDEX(ctaMon,MATCH(E3132,ctaNom,0))&amp;"","DOP"))</f>
        <v/>
      </c>
      <c r="O3132" s="20">
        <f>IF(I3132="","",C3132*IF(N3132="USD",TasaUSD,1))</f>
        <v/>
      </c>
      <c r="P3132" s="20">
        <f>IF(I3132="","",IF(I3132="Gasto",O3132,0))</f>
        <v/>
      </c>
      <c r="Q3132" s="20">
        <f>IF(I3132="","",IF(I3132="Ingreso",O3132,0))</f>
        <v/>
      </c>
      <c r="R3132" s="20">
        <f>IF(I3132="","",IF(I3132="Trading",O3132,0))</f>
        <v/>
      </c>
      <c r="S3132" s="19">
        <f>IF(I3132="","",IF(AND(I3132="Gasto",K3132="Variable",J3132&lt;&gt;"Trading",O3132&gt;0,O3132&lt;=Umbral),1,0))</f>
        <v/>
      </c>
      <c r="T3132" s="20">
        <f>IF(OR(I3132="",E3132=""),"",IF(OR(I3132="Gasto",I3132="Transferencia",I3132="Pago tarjeta"),-1,1)*C3132)</f>
        <v/>
      </c>
      <c r="U3132" s="20">
        <f>IF(OR(G3132="",AND(I3132&lt;&gt;"Transferencia",I3132&lt;&gt;"Pago tarjeta")),"",IF(IFERROR(INDEX(ctaMon,MATCH(G3132,ctaNom,0))&amp;"","DOP")=N3132,C3132,IF(N3132="USD",C3132*TasaUSD,C3132/TasaUSD)))</f>
        <v/>
      </c>
      <c r="V3132" s="20">
        <f>IF(I3132="","",IF(IFERROR(INDEX(ctaLiq,MATCH(E3132,ctaNom,0))="Sí",FALSE),IF(OR(I3132="Gasto",I3132="Transferencia",I3132="Pago tarjeta"),-1,1)*O3132,0)+IF(AND(U3132&lt;&gt;"",IFERROR(INDEX(ctaLiq,MATCH(G3132,ctaNom,0))="Sí",FALSE)),O3132,0))</f>
        <v/>
      </c>
      <c r="W3132" s="19">
        <f>IF(OR(F3132="",I3132=""),"",IF(COUNTIFS(F$6:F3132,F3132,I$6:I3132,"?*")=1,MAX(W$5:W3131)+1,""))</f>
        <v/>
      </c>
    </row>
    <row r="3133">
      <c r="B3133" s="15" t="n"/>
      <c r="C3133" s="16" t="n"/>
      <c r="D3133" s="17" t="n"/>
      <c r="E3133" s="17" t="n"/>
      <c r="F3133" s="17" t="n"/>
      <c r="G3133" s="17" t="n"/>
      <c r="H3133" s="18">
        <f>IF(AND(B3133="",C3133="",D3133="",E3133=""),"",IF(B3133="","⚠ Falta fecha",IF(C3133="","⚠ Falta monto",IF(D3133="","⚠ Falta categoría",IF(ISNA(MATCH(D3133,catNom,0)),"⚠ Categoría no existe",IF(E3133="","⚠ Falta cuenta",IF(ISNA(MATCH(E3133,ctaNom,0)),"⚠ Cuenta no existe",IF(AND(OR(I3133="Transferencia",I3133="Pago tarjeta"),G3133=""),"⚠ Indica la cuenta «Hacia»",IF(AND(G3133&lt;&gt;"",G3133=E3133),"⚠ «Hacia» igual a la cuenta",IF(AND(G3133&lt;&gt;"",ISNA(MATCH(G3133,ctaNom,0))),"⚠ «Hacia» no existe",IF(AND(I3133="Pago tarjeta",IFERROR(INDEX(ctaTipo,MATCH(G3133,ctaNom,0)),"")&lt;&gt;"Tarjeta de crédito"),"⚠ «Hacia» debe ser la tarjeta",IF(AND(I3133="Trading",IFERROR(INDEX(ctaTipo,MATCH(E3133,ctaNom,0)),"")&lt;&gt;"Cuenta de trading"),"⚠ Usa la cuenta de trading","✓"))))))))))))</f>
        <v/>
      </c>
      <c r="I3133" s="19">
        <f>IF(OR(B3133="",C3133="",D3133=""),"",IFERROR(INDEX(catTipo,MATCH(D3133,catNom,0))&amp;"",""))</f>
        <v/>
      </c>
      <c r="J3133" s="19">
        <f>IF(I3133="","",IFERROR(INDEX(catGrupo,MATCH(D3133,catNom,0))&amp;"",""))</f>
        <v/>
      </c>
      <c r="K3133" s="19">
        <f>IF(I3133="Gasto",IF(IFERROR(INDEX(catClas,MATCH(D3133,catNom,0))&amp;"","")="","Variable",IFERROR(INDEX(catClas,MATCH(D3133,catNom,0))&amp;"","")),"")</f>
        <v/>
      </c>
      <c r="L3133" s="19">
        <f>IF(I3133="","",IFERROR(INDEX(catAlim,MATCH(D3133,catNom,0))&amp;"",""))</f>
        <v/>
      </c>
      <c r="M3133" s="19">
        <f>IF(I3133="","",IFERROR(INDEX(catComida,MATCH(D3133,catNom,0))&amp;"",""))</f>
        <v/>
      </c>
      <c r="N3133" s="19">
        <f>IF(I3133="","",IFERROR(INDEX(ctaMon,MATCH(E3133,ctaNom,0))&amp;"","DOP"))</f>
        <v/>
      </c>
      <c r="O3133" s="20">
        <f>IF(I3133="","",C3133*IF(N3133="USD",TasaUSD,1))</f>
        <v/>
      </c>
      <c r="P3133" s="20">
        <f>IF(I3133="","",IF(I3133="Gasto",O3133,0))</f>
        <v/>
      </c>
      <c r="Q3133" s="20">
        <f>IF(I3133="","",IF(I3133="Ingreso",O3133,0))</f>
        <v/>
      </c>
      <c r="R3133" s="20">
        <f>IF(I3133="","",IF(I3133="Trading",O3133,0))</f>
        <v/>
      </c>
      <c r="S3133" s="19">
        <f>IF(I3133="","",IF(AND(I3133="Gasto",K3133="Variable",J3133&lt;&gt;"Trading",O3133&gt;0,O3133&lt;=Umbral),1,0))</f>
        <v/>
      </c>
      <c r="T3133" s="20">
        <f>IF(OR(I3133="",E3133=""),"",IF(OR(I3133="Gasto",I3133="Transferencia",I3133="Pago tarjeta"),-1,1)*C3133)</f>
        <v/>
      </c>
      <c r="U3133" s="20">
        <f>IF(OR(G3133="",AND(I3133&lt;&gt;"Transferencia",I3133&lt;&gt;"Pago tarjeta")),"",IF(IFERROR(INDEX(ctaMon,MATCH(G3133,ctaNom,0))&amp;"","DOP")=N3133,C3133,IF(N3133="USD",C3133*TasaUSD,C3133/TasaUSD)))</f>
        <v/>
      </c>
      <c r="V3133" s="20">
        <f>IF(I3133="","",IF(IFERROR(INDEX(ctaLiq,MATCH(E3133,ctaNom,0))="Sí",FALSE),IF(OR(I3133="Gasto",I3133="Transferencia",I3133="Pago tarjeta"),-1,1)*O3133,0)+IF(AND(U3133&lt;&gt;"",IFERROR(INDEX(ctaLiq,MATCH(G3133,ctaNom,0))="Sí",FALSE)),O3133,0))</f>
        <v/>
      </c>
      <c r="W3133" s="19">
        <f>IF(OR(F3133="",I3133=""),"",IF(COUNTIFS(F$6:F3133,F3133,I$6:I3133,"?*")=1,MAX(W$5:W3132)+1,""))</f>
        <v/>
      </c>
    </row>
    <row r="3134">
      <c r="B3134" s="15" t="n"/>
      <c r="C3134" s="16" t="n"/>
      <c r="D3134" s="17" t="n"/>
      <c r="E3134" s="17" t="n"/>
      <c r="F3134" s="17" t="n"/>
      <c r="G3134" s="17" t="n"/>
      <c r="H3134" s="18">
        <f>IF(AND(B3134="",C3134="",D3134="",E3134=""),"",IF(B3134="","⚠ Falta fecha",IF(C3134="","⚠ Falta monto",IF(D3134="","⚠ Falta categoría",IF(ISNA(MATCH(D3134,catNom,0)),"⚠ Categoría no existe",IF(E3134="","⚠ Falta cuenta",IF(ISNA(MATCH(E3134,ctaNom,0)),"⚠ Cuenta no existe",IF(AND(OR(I3134="Transferencia",I3134="Pago tarjeta"),G3134=""),"⚠ Indica la cuenta «Hacia»",IF(AND(G3134&lt;&gt;"",G3134=E3134),"⚠ «Hacia» igual a la cuenta",IF(AND(G3134&lt;&gt;"",ISNA(MATCH(G3134,ctaNom,0))),"⚠ «Hacia» no existe",IF(AND(I3134="Pago tarjeta",IFERROR(INDEX(ctaTipo,MATCH(G3134,ctaNom,0)),"")&lt;&gt;"Tarjeta de crédito"),"⚠ «Hacia» debe ser la tarjeta",IF(AND(I3134="Trading",IFERROR(INDEX(ctaTipo,MATCH(E3134,ctaNom,0)),"")&lt;&gt;"Cuenta de trading"),"⚠ Usa la cuenta de trading","✓"))))))))))))</f>
        <v/>
      </c>
      <c r="I3134" s="19">
        <f>IF(OR(B3134="",C3134="",D3134=""),"",IFERROR(INDEX(catTipo,MATCH(D3134,catNom,0))&amp;"",""))</f>
        <v/>
      </c>
      <c r="J3134" s="19">
        <f>IF(I3134="","",IFERROR(INDEX(catGrupo,MATCH(D3134,catNom,0))&amp;"",""))</f>
        <v/>
      </c>
      <c r="K3134" s="19">
        <f>IF(I3134="Gasto",IF(IFERROR(INDEX(catClas,MATCH(D3134,catNom,0))&amp;"","")="","Variable",IFERROR(INDEX(catClas,MATCH(D3134,catNom,0))&amp;"","")),"")</f>
        <v/>
      </c>
      <c r="L3134" s="19">
        <f>IF(I3134="","",IFERROR(INDEX(catAlim,MATCH(D3134,catNom,0))&amp;"",""))</f>
        <v/>
      </c>
      <c r="M3134" s="19">
        <f>IF(I3134="","",IFERROR(INDEX(catComida,MATCH(D3134,catNom,0))&amp;"",""))</f>
        <v/>
      </c>
      <c r="N3134" s="19">
        <f>IF(I3134="","",IFERROR(INDEX(ctaMon,MATCH(E3134,ctaNom,0))&amp;"","DOP"))</f>
        <v/>
      </c>
      <c r="O3134" s="20">
        <f>IF(I3134="","",C3134*IF(N3134="USD",TasaUSD,1))</f>
        <v/>
      </c>
      <c r="P3134" s="20">
        <f>IF(I3134="","",IF(I3134="Gasto",O3134,0))</f>
        <v/>
      </c>
      <c r="Q3134" s="20">
        <f>IF(I3134="","",IF(I3134="Ingreso",O3134,0))</f>
        <v/>
      </c>
      <c r="R3134" s="20">
        <f>IF(I3134="","",IF(I3134="Trading",O3134,0))</f>
        <v/>
      </c>
      <c r="S3134" s="19">
        <f>IF(I3134="","",IF(AND(I3134="Gasto",K3134="Variable",J3134&lt;&gt;"Trading",O3134&gt;0,O3134&lt;=Umbral),1,0))</f>
        <v/>
      </c>
      <c r="T3134" s="20">
        <f>IF(OR(I3134="",E3134=""),"",IF(OR(I3134="Gasto",I3134="Transferencia",I3134="Pago tarjeta"),-1,1)*C3134)</f>
        <v/>
      </c>
      <c r="U3134" s="20">
        <f>IF(OR(G3134="",AND(I3134&lt;&gt;"Transferencia",I3134&lt;&gt;"Pago tarjeta")),"",IF(IFERROR(INDEX(ctaMon,MATCH(G3134,ctaNom,0))&amp;"","DOP")=N3134,C3134,IF(N3134="USD",C3134*TasaUSD,C3134/TasaUSD)))</f>
        <v/>
      </c>
      <c r="V3134" s="20">
        <f>IF(I3134="","",IF(IFERROR(INDEX(ctaLiq,MATCH(E3134,ctaNom,0))="Sí",FALSE),IF(OR(I3134="Gasto",I3134="Transferencia",I3134="Pago tarjeta"),-1,1)*O3134,0)+IF(AND(U3134&lt;&gt;"",IFERROR(INDEX(ctaLiq,MATCH(G3134,ctaNom,0))="Sí",FALSE)),O3134,0))</f>
        <v/>
      </c>
      <c r="W3134" s="19">
        <f>IF(OR(F3134="",I3134=""),"",IF(COUNTIFS(F$6:F3134,F3134,I$6:I3134,"?*")=1,MAX(W$5:W3133)+1,""))</f>
        <v/>
      </c>
    </row>
    <row r="3135">
      <c r="B3135" s="15" t="n"/>
      <c r="C3135" s="16" t="n"/>
      <c r="D3135" s="17" t="n"/>
      <c r="E3135" s="17" t="n"/>
      <c r="F3135" s="17" t="n"/>
      <c r="G3135" s="17" t="n"/>
      <c r="H3135" s="18">
        <f>IF(AND(B3135="",C3135="",D3135="",E3135=""),"",IF(B3135="","⚠ Falta fecha",IF(C3135="","⚠ Falta monto",IF(D3135="","⚠ Falta categoría",IF(ISNA(MATCH(D3135,catNom,0)),"⚠ Categoría no existe",IF(E3135="","⚠ Falta cuenta",IF(ISNA(MATCH(E3135,ctaNom,0)),"⚠ Cuenta no existe",IF(AND(OR(I3135="Transferencia",I3135="Pago tarjeta"),G3135=""),"⚠ Indica la cuenta «Hacia»",IF(AND(G3135&lt;&gt;"",G3135=E3135),"⚠ «Hacia» igual a la cuenta",IF(AND(G3135&lt;&gt;"",ISNA(MATCH(G3135,ctaNom,0))),"⚠ «Hacia» no existe",IF(AND(I3135="Pago tarjeta",IFERROR(INDEX(ctaTipo,MATCH(G3135,ctaNom,0)),"")&lt;&gt;"Tarjeta de crédito"),"⚠ «Hacia» debe ser la tarjeta",IF(AND(I3135="Trading",IFERROR(INDEX(ctaTipo,MATCH(E3135,ctaNom,0)),"")&lt;&gt;"Cuenta de trading"),"⚠ Usa la cuenta de trading","✓"))))))))))))</f>
        <v/>
      </c>
      <c r="I3135" s="19">
        <f>IF(OR(B3135="",C3135="",D3135=""),"",IFERROR(INDEX(catTipo,MATCH(D3135,catNom,0))&amp;"",""))</f>
        <v/>
      </c>
      <c r="J3135" s="19">
        <f>IF(I3135="","",IFERROR(INDEX(catGrupo,MATCH(D3135,catNom,0))&amp;"",""))</f>
        <v/>
      </c>
      <c r="K3135" s="19">
        <f>IF(I3135="Gasto",IF(IFERROR(INDEX(catClas,MATCH(D3135,catNom,0))&amp;"","")="","Variable",IFERROR(INDEX(catClas,MATCH(D3135,catNom,0))&amp;"","")),"")</f>
        <v/>
      </c>
      <c r="L3135" s="19">
        <f>IF(I3135="","",IFERROR(INDEX(catAlim,MATCH(D3135,catNom,0))&amp;"",""))</f>
        <v/>
      </c>
      <c r="M3135" s="19">
        <f>IF(I3135="","",IFERROR(INDEX(catComida,MATCH(D3135,catNom,0))&amp;"",""))</f>
        <v/>
      </c>
      <c r="N3135" s="19">
        <f>IF(I3135="","",IFERROR(INDEX(ctaMon,MATCH(E3135,ctaNom,0))&amp;"","DOP"))</f>
        <v/>
      </c>
      <c r="O3135" s="20">
        <f>IF(I3135="","",C3135*IF(N3135="USD",TasaUSD,1))</f>
        <v/>
      </c>
      <c r="P3135" s="20">
        <f>IF(I3135="","",IF(I3135="Gasto",O3135,0))</f>
        <v/>
      </c>
      <c r="Q3135" s="20">
        <f>IF(I3135="","",IF(I3135="Ingreso",O3135,0))</f>
        <v/>
      </c>
      <c r="R3135" s="20">
        <f>IF(I3135="","",IF(I3135="Trading",O3135,0))</f>
        <v/>
      </c>
      <c r="S3135" s="19">
        <f>IF(I3135="","",IF(AND(I3135="Gasto",K3135="Variable",J3135&lt;&gt;"Trading",O3135&gt;0,O3135&lt;=Umbral),1,0))</f>
        <v/>
      </c>
      <c r="T3135" s="20">
        <f>IF(OR(I3135="",E3135=""),"",IF(OR(I3135="Gasto",I3135="Transferencia",I3135="Pago tarjeta"),-1,1)*C3135)</f>
        <v/>
      </c>
      <c r="U3135" s="20">
        <f>IF(OR(G3135="",AND(I3135&lt;&gt;"Transferencia",I3135&lt;&gt;"Pago tarjeta")),"",IF(IFERROR(INDEX(ctaMon,MATCH(G3135,ctaNom,0))&amp;"","DOP")=N3135,C3135,IF(N3135="USD",C3135*TasaUSD,C3135/TasaUSD)))</f>
        <v/>
      </c>
      <c r="V3135" s="20">
        <f>IF(I3135="","",IF(IFERROR(INDEX(ctaLiq,MATCH(E3135,ctaNom,0))="Sí",FALSE),IF(OR(I3135="Gasto",I3135="Transferencia",I3135="Pago tarjeta"),-1,1)*O3135,0)+IF(AND(U3135&lt;&gt;"",IFERROR(INDEX(ctaLiq,MATCH(G3135,ctaNom,0))="Sí",FALSE)),O3135,0))</f>
        <v/>
      </c>
      <c r="W3135" s="19">
        <f>IF(OR(F3135="",I3135=""),"",IF(COUNTIFS(F$6:F3135,F3135,I$6:I3135,"?*")=1,MAX(W$5:W3134)+1,""))</f>
        <v/>
      </c>
    </row>
    <row r="3136">
      <c r="B3136" s="15" t="n"/>
      <c r="C3136" s="16" t="n"/>
      <c r="D3136" s="17" t="n"/>
      <c r="E3136" s="17" t="n"/>
      <c r="F3136" s="17" t="n"/>
      <c r="G3136" s="17" t="n"/>
      <c r="H3136" s="18">
        <f>IF(AND(B3136="",C3136="",D3136="",E3136=""),"",IF(B3136="","⚠ Falta fecha",IF(C3136="","⚠ Falta monto",IF(D3136="","⚠ Falta categoría",IF(ISNA(MATCH(D3136,catNom,0)),"⚠ Categoría no existe",IF(E3136="","⚠ Falta cuenta",IF(ISNA(MATCH(E3136,ctaNom,0)),"⚠ Cuenta no existe",IF(AND(OR(I3136="Transferencia",I3136="Pago tarjeta"),G3136=""),"⚠ Indica la cuenta «Hacia»",IF(AND(G3136&lt;&gt;"",G3136=E3136),"⚠ «Hacia» igual a la cuenta",IF(AND(G3136&lt;&gt;"",ISNA(MATCH(G3136,ctaNom,0))),"⚠ «Hacia» no existe",IF(AND(I3136="Pago tarjeta",IFERROR(INDEX(ctaTipo,MATCH(G3136,ctaNom,0)),"")&lt;&gt;"Tarjeta de crédito"),"⚠ «Hacia» debe ser la tarjeta",IF(AND(I3136="Trading",IFERROR(INDEX(ctaTipo,MATCH(E3136,ctaNom,0)),"")&lt;&gt;"Cuenta de trading"),"⚠ Usa la cuenta de trading","✓"))))))))))))</f>
        <v/>
      </c>
      <c r="I3136" s="19">
        <f>IF(OR(B3136="",C3136="",D3136=""),"",IFERROR(INDEX(catTipo,MATCH(D3136,catNom,0))&amp;"",""))</f>
        <v/>
      </c>
      <c r="J3136" s="19">
        <f>IF(I3136="","",IFERROR(INDEX(catGrupo,MATCH(D3136,catNom,0))&amp;"",""))</f>
        <v/>
      </c>
      <c r="K3136" s="19">
        <f>IF(I3136="Gasto",IF(IFERROR(INDEX(catClas,MATCH(D3136,catNom,0))&amp;"","")="","Variable",IFERROR(INDEX(catClas,MATCH(D3136,catNom,0))&amp;"","")),"")</f>
        <v/>
      </c>
      <c r="L3136" s="19">
        <f>IF(I3136="","",IFERROR(INDEX(catAlim,MATCH(D3136,catNom,0))&amp;"",""))</f>
        <v/>
      </c>
      <c r="M3136" s="19">
        <f>IF(I3136="","",IFERROR(INDEX(catComida,MATCH(D3136,catNom,0))&amp;"",""))</f>
        <v/>
      </c>
      <c r="N3136" s="19">
        <f>IF(I3136="","",IFERROR(INDEX(ctaMon,MATCH(E3136,ctaNom,0))&amp;"","DOP"))</f>
        <v/>
      </c>
      <c r="O3136" s="20">
        <f>IF(I3136="","",C3136*IF(N3136="USD",TasaUSD,1))</f>
        <v/>
      </c>
      <c r="P3136" s="20">
        <f>IF(I3136="","",IF(I3136="Gasto",O3136,0))</f>
        <v/>
      </c>
      <c r="Q3136" s="20">
        <f>IF(I3136="","",IF(I3136="Ingreso",O3136,0))</f>
        <v/>
      </c>
      <c r="R3136" s="20">
        <f>IF(I3136="","",IF(I3136="Trading",O3136,0))</f>
        <v/>
      </c>
      <c r="S3136" s="19">
        <f>IF(I3136="","",IF(AND(I3136="Gasto",K3136="Variable",J3136&lt;&gt;"Trading",O3136&gt;0,O3136&lt;=Umbral),1,0))</f>
        <v/>
      </c>
      <c r="T3136" s="20">
        <f>IF(OR(I3136="",E3136=""),"",IF(OR(I3136="Gasto",I3136="Transferencia",I3136="Pago tarjeta"),-1,1)*C3136)</f>
        <v/>
      </c>
      <c r="U3136" s="20">
        <f>IF(OR(G3136="",AND(I3136&lt;&gt;"Transferencia",I3136&lt;&gt;"Pago tarjeta")),"",IF(IFERROR(INDEX(ctaMon,MATCH(G3136,ctaNom,0))&amp;"","DOP")=N3136,C3136,IF(N3136="USD",C3136*TasaUSD,C3136/TasaUSD)))</f>
        <v/>
      </c>
      <c r="V3136" s="20">
        <f>IF(I3136="","",IF(IFERROR(INDEX(ctaLiq,MATCH(E3136,ctaNom,0))="Sí",FALSE),IF(OR(I3136="Gasto",I3136="Transferencia",I3136="Pago tarjeta"),-1,1)*O3136,0)+IF(AND(U3136&lt;&gt;"",IFERROR(INDEX(ctaLiq,MATCH(G3136,ctaNom,0))="Sí",FALSE)),O3136,0))</f>
        <v/>
      </c>
      <c r="W3136" s="19">
        <f>IF(OR(F3136="",I3136=""),"",IF(COUNTIFS(F$6:F3136,F3136,I$6:I3136,"?*")=1,MAX(W$5:W3135)+1,""))</f>
        <v/>
      </c>
    </row>
    <row r="3137">
      <c r="B3137" s="15" t="n"/>
      <c r="C3137" s="16" t="n"/>
      <c r="D3137" s="17" t="n"/>
      <c r="E3137" s="17" t="n"/>
      <c r="F3137" s="17" t="n"/>
      <c r="G3137" s="17" t="n"/>
      <c r="H3137" s="18">
        <f>IF(AND(B3137="",C3137="",D3137="",E3137=""),"",IF(B3137="","⚠ Falta fecha",IF(C3137="","⚠ Falta monto",IF(D3137="","⚠ Falta categoría",IF(ISNA(MATCH(D3137,catNom,0)),"⚠ Categoría no existe",IF(E3137="","⚠ Falta cuenta",IF(ISNA(MATCH(E3137,ctaNom,0)),"⚠ Cuenta no existe",IF(AND(OR(I3137="Transferencia",I3137="Pago tarjeta"),G3137=""),"⚠ Indica la cuenta «Hacia»",IF(AND(G3137&lt;&gt;"",G3137=E3137),"⚠ «Hacia» igual a la cuenta",IF(AND(G3137&lt;&gt;"",ISNA(MATCH(G3137,ctaNom,0))),"⚠ «Hacia» no existe",IF(AND(I3137="Pago tarjeta",IFERROR(INDEX(ctaTipo,MATCH(G3137,ctaNom,0)),"")&lt;&gt;"Tarjeta de crédito"),"⚠ «Hacia» debe ser la tarjeta",IF(AND(I3137="Trading",IFERROR(INDEX(ctaTipo,MATCH(E3137,ctaNom,0)),"")&lt;&gt;"Cuenta de trading"),"⚠ Usa la cuenta de trading","✓"))))))))))))</f>
        <v/>
      </c>
      <c r="I3137" s="19">
        <f>IF(OR(B3137="",C3137="",D3137=""),"",IFERROR(INDEX(catTipo,MATCH(D3137,catNom,0))&amp;"",""))</f>
        <v/>
      </c>
      <c r="J3137" s="19">
        <f>IF(I3137="","",IFERROR(INDEX(catGrupo,MATCH(D3137,catNom,0))&amp;"",""))</f>
        <v/>
      </c>
      <c r="K3137" s="19">
        <f>IF(I3137="Gasto",IF(IFERROR(INDEX(catClas,MATCH(D3137,catNom,0))&amp;"","")="","Variable",IFERROR(INDEX(catClas,MATCH(D3137,catNom,0))&amp;"","")),"")</f>
        <v/>
      </c>
      <c r="L3137" s="19">
        <f>IF(I3137="","",IFERROR(INDEX(catAlim,MATCH(D3137,catNom,0))&amp;"",""))</f>
        <v/>
      </c>
      <c r="M3137" s="19">
        <f>IF(I3137="","",IFERROR(INDEX(catComida,MATCH(D3137,catNom,0))&amp;"",""))</f>
        <v/>
      </c>
      <c r="N3137" s="19">
        <f>IF(I3137="","",IFERROR(INDEX(ctaMon,MATCH(E3137,ctaNom,0))&amp;"","DOP"))</f>
        <v/>
      </c>
      <c r="O3137" s="20">
        <f>IF(I3137="","",C3137*IF(N3137="USD",TasaUSD,1))</f>
        <v/>
      </c>
      <c r="P3137" s="20">
        <f>IF(I3137="","",IF(I3137="Gasto",O3137,0))</f>
        <v/>
      </c>
      <c r="Q3137" s="20">
        <f>IF(I3137="","",IF(I3137="Ingreso",O3137,0))</f>
        <v/>
      </c>
      <c r="R3137" s="20">
        <f>IF(I3137="","",IF(I3137="Trading",O3137,0))</f>
        <v/>
      </c>
      <c r="S3137" s="19">
        <f>IF(I3137="","",IF(AND(I3137="Gasto",K3137="Variable",J3137&lt;&gt;"Trading",O3137&gt;0,O3137&lt;=Umbral),1,0))</f>
        <v/>
      </c>
      <c r="T3137" s="20">
        <f>IF(OR(I3137="",E3137=""),"",IF(OR(I3137="Gasto",I3137="Transferencia",I3137="Pago tarjeta"),-1,1)*C3137)</f>
        <v/>
      </c>
      <c r="U3137" s="20">
        <f>IF(OR(G3137="",AND(I3137&lt;&gt;"Transferencia",I3137&lt;&gt;"Pago tarjeta")),"",IF(IFERROR(INDEX(ctaMon,MATCH(G3137,ctaNom,0))&amp;"","DOP")=N3137,C3137,IF(N3137="USD",C3137*TasaUSD,C3137/TasaUSD)))</f>
        <v/>
      </c>
      <c r="V3137" s="20">
        <f>IF(I3137="","",IF(IFERROR(INDEX(ctaLiq,MATCH(E3137,ctaNom,0))="Sí",FALSE),IF(OR(I3137="Gasto",I3137="Transferencia",I3137="Pago tarjeta"),-1,1)*O3137,0)+IF(AND(U3137&lt;&gt;"",IFERROR(INDEX(ctaLiq,MATCH(G3137,ctaNom,0))="Sí",FALSE)),O3137,0))</f>
        <v/>
      </c>
      <c r="W3137" s="19">
        <f>IF(OR(F3137="",I3137=""),"",IF(COUNTIFS(F$6:F3137,F3137,I$6:I3137,"?*")=1,MAX(W$5:W3136)+1,""))</f>
        <v/>
      </c>
    </row>
    <row r="3138">
      <c r="B3138" s="15" t="n"/>
      <c r="C3138" s="16" t="n"/>
      <c r="D3138" s="17" t="n"/>
      <c r="E3138" s="17" t="n"/>
      <c r="F3138" s="17" t="n"/>
      <c r="G3138" s="17" t="n"/>
      <c r="H3138" s="18">
        <f>IF(AND(B3138="",C3138="",D3138="",E3138=""),"",IF(B3138="","⚠ Falta fecha",IF(C3138="","⚠ Falta monto",IF(D3138="","⚠ Falta categoría",IF(ISNA(MATCH(D3138,catNom,0)),"⚠ Categoría no existe",IF(E3138="","⚠ Falta cuenta",IF(ISNA(MATCH(E3138,ctaNom,0)),"⚠ Cuenta no existe",IF(AND(OR(I3138="Transferencia",I3138="Pago tarjeta"),G3138=""),"⚠ Indica la cuenta «Hacia»",IF(AND(G3138&lt;&gt;"",G3138=E3138),"⚠ «Hacia» igual a la cuenta",IF(AND(G3138&lt;&gt;"",ISNA(MATCH(G3138,ctaNom,0))),"⚠ «Hacia» no existe",IF(AND(I3138="Pago tarjeta",IFERROR(INDEX(ctaTipo,MATCH(G3138,ctaNom,0)),"")&lt;&gt;"Tarjeta de crédito"),"⚠ «Hacia» debe ser la tarjeta",IF(AND(I3138="Trading",IFERROR(INDEX(ctaTipo,MATCH(E3138,ctaNom,0)),"")&lt;&gt;"Cuenta de trading"),"⚠ Usa la cuenta de trading","✓"))))))))))))</f>
        <v/>
      </c>
      <c r="I3138" s="19">
        <f>IF(OR(B3138="",C3138="",D3138=""),"",IFERROR(INDEX(catTipo,MATCH(D3138,catNom,0))&amp;"",""))</f>
        <v/>
      </c>
      <c r="J3138" s="19">
        <f>IF(I3138="","",IFERROR(INDEX(catGrupo,MATCH(D3138,catNom,0))&amp;"",""))</f>
        <v/>
      </c>
      <c r="K3138" s="19">
        <f>IF(I3138="Gasto",IF(IFERROR(INDEX(catClas,MATCH(D3138,catNom,0))&amp;"","")="","Variable",IFERROR(INDEX(catClas,MATCH(D3138,catNom,0))&amp;"","")),"")</f>
        <v/>
      </c>
      <c r="L3138" s="19">
        <f>IF(I3138="","",IFERROR(INDEX(catAlim,MATCH(D3138,catNom,0))&amp;"",""))</f>
        <v/>
      </c>
      <c r="M3138" s="19">
        <f>IF(I3138="","",IFERROR(INDEX(catComida,MATCH(D3138,catNom,0))&amp;"",""))</f>
        <v/>
      </c>
      <c r="N3138" s="19">
        <f>IF(I3138="","",IFERROR(INDEX(ctaMon,MATCH(E3138,ctaNom,0))&amp;"","DOP"))</f>
        <v/>
      </c>
      <c r="O3138" s="20">
        <f>IF(I3138="","",C3138*IF(N3138="USD",TasaUSD,1))</f>
        <v/>
      </c>
      <c r="P3138" s="20">
        <f>IF(I3138="","",IF(I3138="Gasto",O3138,0))</f>
        <v/>
      </c>
      <c r="Q3138" s="20">
        <f>IF(I3138="","",IF(I3138="Ingreso",O3138,0))</f>
        <v/>
      </c>
      <c r="R3138" s="20">
        <f>IF(I3138="","",IF(I3138="Trading",O3138,0))</f>
        <v/>
      </c>
      <c r="S3138" s="19">
        <f>IF(I3138="","",IF(AND(I3138="Gasto",K3138="Variable",J3138&lt;&gt;"Trading",O3138&gt;0,O3138&lt;=Umbral),1,0))</f>
        <v/>
      </c>
      <c r="T3138" s="20">
        <f>IF(OR(I3138="",E3138=""),"",IF(OR(I3138="Gasto",I3138="Transferencia",I3138="Pago tarjeta"),-1,1)*C3138)</f>
        <v/>
      </c>
      <c r="U3138" s="20">
        <f>IF(OR(G3138="",AND(I3138&lt;&gt;"Transferencia",I3138&lt;&gt;"Pago tarjeta")),"",IF(IFERROR(INDEX(ctaMon,MATCH(G3138,ctaNom,0))&amp;"","DOP")=N3138,C3138,IF(N3138="USD",C3138*TasaUSD,C3138/TasaUSD)))</f>
        <v/>
      </c>
      <c r="V3138" s="20">
        <f>IF(I3138="","",IF(IFERROR(INDEX(ctaLiq,MATCH(E3138,ctaNom,0))="Sí",FALSE),IF(OR(I3138="Gasto",I3138="Transferencia",I3138="Pago tarjeta"),-1,1)*O3138,0)+IF(AND(U3138&lt;&gt;"",IFERROR(INDEX(ctaLiq,MATCH(G3138,ctaNom,0))="Sí",FALSE)),O3138,0))</f>
        <v/>
      </c>
      <c r="W3138" s="19">
        <f>IF(OR(F3138="",I3138=""),"",IF(COUNTIFS(F$6:F3138,F3138,I$6:I3138,"?*")=1,MAX(W$5:W3137)+1,""))</f>
        <v/>
      </c>
    </row>
    <row r="3139">
      <c r="B3139" s="15" t="n"/>
      <c r="C3139" s="16" t="n"/>
      <c r="D3139" s="17" t="n"/>
      <c r="E3139" s="17" t="n"/>
      <c r="F3139" s="17" t="n"/>
      <c r="G3139" s="17" t="n"/>
      <c r="H3139" s="18">
        <f>IF(AND(B3139="",C3139="",D3139="",E3139=""),"",IF(B3139="","⚠ Falta fecha",IF(C3139="","⚠ Falta monto",IF(D3139="","⚠ Falta categoría",IF(ISNA(MATCH(D3139,catNom,0)),"⚠ Categoría no existe",IF(E3139="","⚠ Falta cuenta",IF(ISNA(MATCH(E3139,ctaNom,0)),"⚠ Cuenta no existe",IF(AND(OR(I3139="Transferencia",I3139="Pago tarjeta"),G3139=""),"⚠ Indica la cuenta «Hacia»",IF(AND(G3139&lt;&gt;"",G3139=E3139),"⚠ «Hacia» igual a la cuenta",IF(AND(G3139&lt;&gt;"",ISNA(MATCH(G3139,ctaNom,0))),"⚠ «Hacia» no existe",IF(AND(I3139="Pago tarjeta",IFERROR(INDEX(ctaTipo,MATCH(G3139,ctaNom,0)),"")&lt;&gt;"Tarjeta de crédito"),"⚠ «Hacia» debe ser la tarjeta",IF(AND(I3139="Trading",IFERROR(INDEX(ctaTipo,MATCH(E3139,ctaNom,0)),"")&lt;&gt;"Cuenta de trading"),"⚠ Usa la cuenta de trading","✓"))))))))))))</f>
        <v/>
      </c>
      <c r="I3139" s="19">
        <f>IF(OR(B3139="",C3139="",D3139=""),"",IFERROR(INDEX(catTipo,MATCH(D3139,catNom,0))&amp;"",""))</f>
        <v/>
      </c>
      <c r="J3139" s="19">
        <f>IF(I3139="","",IFERROR(INDEX(catGrupo,MATCH(D3139,catNom,0))&amp;"",""))</f>
        <v/>
      </c>
      <c r="K3139" s="19">
        <f>IF(I3139="Gasto",IF(IFERROR(INDEX(catClas,MATCH(D3139,catNom,0))&amp;"","")="","Variable",IFERROR(INDEX(catClas,MATCH(D3139,catNom,0))&amp;"","")),"")</f>
        <v/>
      </c>
      <c r="L3139" s="19">
        <f>IF(I3139="","",IFERROR(INDEX(catAlim,MATCH(D3139,catNom,0))&amp;"",""))</f>
        <v/>
      </c>
      <c r="M3139" s="19">
        <f>IF(I3139="","",IFERROR(INDEX(catComida,MATCH(D3139,catNom,0))&amp;"",""))</f>
        <v/>
      </c>
      <c r="N3139" s="19">
        <f>IF(I3139="","",IFERROR(INDEX(ctaMon,MATCH(E3139,ctaNom,0))&amp;"","DOP"))</f>
        <v/>
      </c>
      <c r="O3139" s="20">
        <f>IF(I3139="","",C3139*IF(N3139="USD",TasaUSD,1))</f>
        <v/>
      </c>
      <c r="P3139" s="20">
        <f>IF(I3139="","",IF(I3139="Gasto",O3139,0))</f>
        <v/>
      </c>
      <c r="Q3139" s="20">
        <f>IF(I3139="","",IF(I3139="Ingreso",O3139,0))</f>
        <v/>
      </c>
      <c r="R3139" s="20">
        <f>IF(I3139="","",IF(I3139="Trading",O3139,0))</f>
        <v/>
      </c>
      <c r="S3139" s="19">
        <f>IF(I3139="","",IF(AND(I3139="Gasto",K3139="Variable",J3139&lt;&gt;"Trading",O3139&gt;0,O3139&lt;=Umbral),1,0))</f>
        <v/>
      </c>
      <c r="T3139" s="20">
        <f>IF(OR(I3139="",E3139=""),"",IF(OR(I3139="Gasto",I3139="Transferencia",I3139="Pago tarjeta"),-1,1)*C3139)</f>
        <v/>
      </c>
      <c r="U3139" s="20">
        <f>IF(OR(G3139="",AND(I3139&lt;&gt;"Transferencia",I3139&lt;&gt;"Pago tarjeta")),"",IF(IFERROR(INDEX(ctaMon,MATCH(G3139,ctaNom,0))&amp;"","DOP")=N3139,C3139,IF(N3139="USD",C3139*TasaUSD,C3139/TasaUSD)))</f>
        <v/>
      </c>
      <c r="V3139" s="20">
        <f>IF(I3139="","",IF(IFERROR(INDEX(ctaLiq,MATCH(E3139,ctaNom,0))="Sí",FALSE),IF(OR(I3139="Gasto",I3139="Transferencia",I3139="Pago tarjeta"),-1,1)*O3139,0)+IF(AND(U3139&lt;&gt;"",IFERROR(INDEX(ctaLiq,MATCH(G3139,ctaNom,0))="Sí",FALSE)),O3139,0))</f>
        <v/>
      </c>
      <c r="W3139" s="19">
        <f>IF(OR(F3139="",I3139=""),"",IF(COUNTIFS(F$6:F3139,F3139,I$6:I3139,"?*")=1,MAX(W$5:W3138)+1,""))</f>
        <v/>
      </c>
    </row>
    <row r="3140">
      <c r="B3140" s="15" t="n"/>
      <c r="C3140" s="16" t="n"/>
      <c r="D3140" s="17" t="n"/>
      <c r="E3140" s="17" t="n"/>
      <c r="F3140" s="17" t="n"/>
      <c r="G3140" s="17" t="n"/>
      <c r="H3140" s="18">
        <f>IF(AND(B3140="",C3140="",D3140="",E3140=""),"",IF(B3140="","⚠ Falta fecha",IF(C3140="","⚠ Falta monto",IF(D3140="","⚠ Falta categoría",IF(ISNA(MATCH(D3140,catNom,0)),"⚠ Categoría no existe",IF(E3140="","⚠ Falta cuenta",IF(ISNA(MATCH(E3140,ctaNom,0)),"⚠ Cuenta no existe",IF(AND(OR(I3140="Transferencia",I3140="Pago tarjeta"),G3140=""),"⚠ Indica la cuenta «Hacia»",IF(AND(G3140&lt;&gt;"",G3140=E3140),"⚠ «Hacia» igual a la cuenta",IF(AND(G3140&lt;&gt;"",ISNA(MATCH(G3140,ctaNom,0))),"⚠ «Hacia» no existe",IF(AND(I3140="Pago tarjeta",IFERROR(INDEX(ctaTipo,MATCH(G3140,ctaNom,0)),"")&lt;&gt;"Tarjeta de crédito"),"⚠ «Hacia» debe ser la tarjeta",IF(AND(I3140="Trading",IFERROR(INDEX(ctaTipo,MATCH(E3140,ctaNom,0)),"")&lt;&gt;"Cuenta de trading"),"⚠ Usa la cuenta de trading","✓"))))))))))))</f>
        <v/>
      </c>
      <c r="I3140" s="19">
        <f>IF(OR(B3140="",C3140="",D3140=""),"",IFERROR(INDEX(catTipo,MATCH(D3140,catNom,0))&amp;"",""))</f>
        <v/>
      </c>
      <c r="J3140" s="19">
        <f>IF(I3140="","",IFERROR(INDEX(catGrupo,MATCH(D3140,catNom,0))&amp;"",""))</f>
        <v/>
      </c>
      <c r="K3140" s="19">
        <f>IF(I3140="Gasto",IF(IFERROR(INDEX(catClas,MATCH(D3140,catNom,0))&amp;"","")="","Variable",IFERROR(INDEX(catClas,MATCH(D3140,catNom,0))&amp;"","")),"")</f>
        <v/>
      </c>
      <c r="L3140" s="19">
        <f>IF(I3140="","",IFERROR(INDEX(catAlim,MATCH(D3140,catNom,0))&amp;"",""))</f>
        <v/>
      </c>
      <c r="M3140" s="19">
        <f>IF(I3140="","",IFERROR(INDEX(catComida,MATCH(D3140,catNom,0))&amp;"",""))</f>
        <v/>
      </c>
      <c r="N3140" s="19">
        <f>IF(I3140="","",IFERROR(INDEX(ctaMon,MATCH(E3140,ctaNom,0))&amp;"","DOP"))</f>
        <v/>
      </c>
      <c r="O3140" s="20">
        <f>IF(I3140="","",C3140*IF(N3140="USD",TasaUSD,1))</f>
        <v/>
      </c>
      <c r="P3140" s="20">
        <f>IF(I3140="","",IF(I3140="Gasto",O3140,0))</f>
        <v/>
      </c>
      <c r="Q3140" s="20">
        <f>IF(I3140="","",IF(I3140="Ingreso",O3140,0))</f>
        <v/>
      </c>
      <c r="R3140" s="20">
        <f>IF(I3140="","",IF(I3140="Trading",O3140,0))</f>
        <v/>
      </c>
      <c r="S3140" s="19">
        <f>IF(I3140="","",IF(AND(I3140="Gasto",K3140="Variable",J3140&lt;&gt;"Trading",O3140&gt;0,O3140&lt;=Umbral),1,0))</f>
        <v/>
      </c>
      <c r="T3140" s="20">
        <f>IF(OR(I3140="",E3140=""),"",IF(OR(I3140="Gasto",I3140="Transferencia",I3140="Pago tarjeta"),-1,1)*C3140)</f>
        <v/>
      </c>
      <c r="U3140" s="20">
        <f>IF(OR(G3140="",AND(I3140&lt;&gt;"Transferencia",I3140&lt;&gt;"Pago tarjeta")),"",IF(IFERROR(INDEX(ctaMon,MATCH(G3140,ctaNom,0))&amp;"","DOP")=N3140,C3140,IF(N3140="USD",C3140*TasaUSD,C3140/TasaUSD)))</f>
        <v/>
      </c>
      <c r="V3140" s="20">
        <f>IF(I3140="","",IF(IFERROR(INDEX(ctaLiq,MATCH(E3140,ctaNom,0))="Sí",FALSE),IF(OR(I3140="Gasto",I3140="Transferencia",I3140="Pago tarjeta"),-1,1)*O3140,0)+IF(AND(U3140&lt;&gt;"",IFERROR(INDEX(ctaLiq,MATCH(G3140,ctaNom,0))="Sí",FALSE)),O3140,0))</f>
        <v/>
      </c>
      <c r="W3140" s="19">
        <f>IF(OR(F3140="",I3140=""),"",IF(COUNTIFS(F$6:F3140,F3140,I$6:I3140,"?*")=1,MAX(W$5:W3139)+1,""))</f>
        <v/>
      </c>
    </row>
    <row r="3141">
      <c r="B3141" s="15" t="n"/>
      <c r="C3141" s="16" t="n"/>
      <c r="D3141" s="17" t="n"/>
      <c r="E3141" s="17" t="n"/>
      <c r="F3141" s="17" t="n"/>
      <c r="G3141" s="17" t="n"/>
      <c r="H3141" s="18">
        <f>IF(AND(B3141="",C3141="",D3141="",E3141=""),"",IF(B3141="","⚠ Falta fecha",IF(C3141="","⚠ Falta monto",IF(D3141="","⚠ Falta categoría",IF(ISNA(MATCH(D3141,catNom,0)),"⚠ Categoría no existe",IF(E3141="","⚠ Falta cuenta",IF(ISNA(MATCH(E3141,ctaNom,0)),"⚠ Cuenta no existe",IF(AND(OR(I3141="Transferencia",I3141="Pago tarjeta"),G3141=""),"⚠ Indica la cuenta «Hacia»",IF(AND(G3141&lt;&gt;"",G3141=E3141),"⚠ «Hacia» igual a la cuenta",IF(AND(G3141&lt;&gt;"",ISNA(MATCH(G3141,ctaNom,0))),"⚠ «Hacia» no existe",IF(AND(I3141="Pago tarjeta",IFERROR(INDEX(ctaTipo,MATCH(G3141,ctaNom,0)),"")&lt;&gt;"Tarjeta de crédito"),"⚠ «Hacia» debe ser la tarjeta",IF(AND(I3141="Trading",IFERROR(INDEX(ctaTipo,MATCH(E3141,ctaNom,0)),"")&lt;&gt;"Cuenta de trading"),"⚠ Usa la cuenta de trading","✓"))))))))))))</f>
        <v/>
      </c>
      <c r="I3141" s="19">
        <f>IF(OR(B3141="",C3141="",D3141=""),"",IFERROR(INDEX(catTipo,MATCH(D3141,catNom,0))&amp;"",""))</f>
        <v/>
      </c>
      <c r="J3141" s="19">
        <f>IF(I3141="","",IFERROR(INDEX(catGrupo,MATCH(D3141,catNom,0))&amp;"",""))</f>
        <v/>
      </c>
      <c r="K3141" s="19">
        <f>IF(I3141="Gasto",IF(IFERROR(INDEX(catClas,MATCH(D3141,catNom,0))&amp;"","")="","Variable",IFERROR(INDEX(catClas,MATCH(D3141,catNom,0))&amp;"","")),"")</f>
        <v/>
      </c>
      <c r="L3141" s="19">
        <f>IF(I3141="","",IFERROR(INDEX(catAlim,MATCH(D3141,catNom,0))&amp;"",""))</f>
        <v/>
      </c>
      <c r="M3141" s="19">
        <f>IF(I3141="","",IFERROR(INDEX(catComida,MATCH(D3141,catNom,0))&amp;"",""))</f>
        <v/>
      </c>
      <c r="N3141" s="19">
        <f>IF(I3141="","",IFERROR(INDEX(ctaMon,MATCH(E3141,ctaNom,0))&amp;"","DOP"))</f>
        <v/>
      </c>
      <c r="O3141" s="20">
        <f>IF(I3141="","",C3141*IF(N3141="USD",TasaUSD,1))</f>
        <v/>
      </c>
      <c r="P3141" s="20">
        <f>IF(I3141="","",IF(I3141="Gasto",O3141,0))</f>
        <v/>
      </c>
      <c r="Q3141" s="20">
        <f>IF(I3141="","",IF(I3141="Ingreso",O3141,0))</f>
        <v/>
      </c>
      <c r="R3141" s="20">
        <f>IF(I3141="","",IF(I3141="Trading",O3141,0))</f>
        <v/>
      </c>
      <c r="S3141" s="19">
        <f>IF(I3141="","",IF(AND(I3141="Gasto",K3141="Variable",J3141&lt;&gt;"Trading",O3141&gt;0,O3141&lt;=Umbral),1,0))</f>
        <v/>
      </c>
      <c r="T3141" s="20">
        <f>IF(OR(I3141="",E3141=""),"",IF(OR(I3141="Gasto",I3141="Transferencia",I3141="Pago tarjeta"),-1,1)*C3141)</f>
        <v/>
      </c>
      <c r="U3141" s="20">
        <f>IF(OR(G3141="",AND(I3141&lt;&gt;"Transferencia",I3141&lt;&gt;"Pago tarjeta")),"",IF(IFERROR(INDEX(ctaMon,MATCH(G3141,ctaNom,0))&amp;"","DOP")=N3141,C3141,IF(N3141="USD",C3141*TasaUSD,C3141/TasaUSD)))</f>
        <v/>
      </c>
      <c r="V3141" s="20">
        <f>IF(I3141="","",IF(IFERROR(INDEX(ctaLiq,MATCH(E3141,ctaNom,0))="Sí",FALSE),IF(OR(I3141="Gasto",I3141="Transferencia",I3141="Pago tarjeta"),-1,1)*O3141,0)+IF(AND(U3141&lt;&gt;"",IFERROR(INDEX(ctaLiq,MATCH(G3141,ctaNom,0))="Sí",FALSE)),O3141,0))</f>
        <v/>
      </c>
      <c r="W3141" s="19">
        <f>IF(OR(F3141="",I3141=""),"",IF(COUNTIFS(F$6:F3141,F3141,I$6:I3141,"?*")=1,MAX(W$5:W3140)+1,""))</f>
        <v/>
      </c>
    </row>
    <row r="3142">
      <c r="B3142" s="15" t="n"/>
      <c r="C3142" s="16" t="n"/>
      <c r="D3142" s="17" t="n"/>
      <c r="E3142" s="17" t="n"/>
      <c r="F3142" s="17" t="n"/>
      <c r="G3142" s="17" t="n"/>
      <c r="H3142" s="18">
        <f>IF(AND(B3142="",C3142="",D3142="",E3142=""),"",IF(B3142="","⚠ Falta fecha",IF(C3142="","⚠ Falta monto",IF(D3142="","⚠ Falta categoría",IF(ISNA(MATCH(D3142,catNom,0)),"⚠ Categoría no existe",IF(E3142="","⚠ Falta cuenta",IF(ISNA(MATCH(E3142,ctaNom,0)),"⚠ Cuenta no existe",IF(AND(OR(I3142="Transferencia",I3142="Pago tarjeta"),G3142=""),"⚠ Indica la cuenta «Hacia»",IF(AND(G3142&lt;&gt;"",G3142=E3142),"⚠ «Hacia» igual a la cuenta",IF(AND(G3142&lt;&gt;"",ISNA(MATCH(G3142,ctaNom,0))),"⚠ «Hacia» no existe",IF(AND(I3142="Pago tarjeta",IFERROR(INDEX(ctaTipo,MATCH(G3142,ctaNom,0)),"")&lt;&gt;"Tarjeta de crédito"),"⚠ «Hacia» debe ser la tarjeta",IF(AND(I3142="Trading",IFERROR(INDEX(ctaTipo,MATCH(E3142,ctaNom,0)),"")&lt;&gt;"Cuenta de trading"),"⚠ Usa la cuenta de trading","✓"))))))))))))</f>
        <v/>
      </c>
      <c r="I3142" s="19">
        <f>IF(OR(B3142="",C3142="",D3142=""),"",IFERROR(INDEX(catTipo,MATCH(D3142,catNom,0))&amp;"",""))</f>
        <v/>
      </c>
      <c r="J3142" s="19">
        <f>IF(I3142="","",IFERROR(INDEX(catGrupo,MATCH(D3142,catNom,0))&amp;"",""))</f>
        <v/>
      </c>
      <c r="K3142" s="19">
        <f>IF(I3142="Gasto",IF(IFERROR(INDEX(catClas,MATCH(D3142,catNom,0))&amp;"","")="","Variable",IFERROR(INDEX(catClas,MATCH(D3142,catNom,0))&amp;"","")),"")</f>
        <v/>
      </c>
      <c r="L3142" s="19">
        <f>IF(I3142="","",IFERROR(INDEX(catAlim,MATCH(D3142,catNom,0))&amp;"",""))</f>
        <v/>
      </c>
      <c r="M3142" s="19">
        <f>IF(I3142="","",IFERROR(INDEX(catComida,MATCH(D3142,catNom,0))&amp;"",""))</f>
        <v/>
      </c>
      <c r="N3142" s="19">
        <f>IF(I3142="","",IFERROR(INDEX(ctaMon,MATCH(E3142,ctaNom,0))&amp;"","DOP"))</f>
        <v/>
      </c>
      <c r="O3142" s="20">
        <f>IF(I3142="","",C3142*IF(N3142="USD",TasaUSD,1))</f>
        <v/>
      </c>
      <c r="P3142" s="20">
        <f>IF(I3142="","",IF(I3142="Gasto",O3142,0))</f>
        <v/>
      </c>
      <c r="Q3142" s="20">
        <f>IF(I3142="","",IF(I3142="Ingreso",O3142,0))</f>
        <v/>
      </c>
      <c r="R3142" s="20">
        <f>IF(I3142="","",IF(I3142="Trading",O3142,0))</f>
        <v/>
      </c>
      <c r="S3142" s="19">
        <f>IF(I3142="","",IF(AND(I3142="Gasto",K3142="Variable",J3142&lt;&gt;"Trading",O3142&gt;0,O3142&lt;=Umbral),1,0))</f>
        <v/>
      </c>
      <c r="T3142" s="20">
        <f>IF(OR(I3142="",E3142=""),"",IF(OR(I3142="Gasto",I3142="Transferencia",I3142="Pago tarjeta"),-1,1)*C3142)</f>
        <v/>
      </c>
      <c r="U3142" s="20">
        <f>IF(OR(G3142="",AND(I3142&lt;&gt;"Transferencia",I3142&lt;&gt;"Pago tarjeta")),"",IF(IFERROR(INDEX(ctaMon,MATCH(G3142,ctaNom,0))&amp;"","DOP")=N3142,C3142,IF(N3142="USD",C3142*TasaUSD,C3142/TasaUSD)))</f>
        <v/>
      </c>
      <c r="V3142" s="20">
        <f>IF(I3142="","",IF(IFERROR(INDEX(ctaLiq,MATCH(E3142,ctaNom,0))="Sí",FALSE),IF(OR(I3142="Gasto",I3142="Transferencia",I3142="Pago tarjeta"),-1,1)*O3142,0)+IF(AND(U3142&lt;&gt;"",IFERROR(INDEX(ctaLiq,MATCH(G3142,ctaNom,0))="Sí",FALSE)),O3142,0))</f>
        <v/>
      </c>
      <c r="W3142" s="19">
        <f>IF(OR(F3142="",I3142=""),"",IF(COUNTIFS(F$6:F3142,F3142,I$6:I3142,"?*")=1,MAX(W$5:W3141)+1,""))</f>
        <v/>
      </c>
    </row>
    <row r="3143">
      <c r="B3143" s="15" t="n"/>
      <c r="C3143" s="16" t="n"/>
      <c r="D3143" s="17" t="n"/>
      <c r="E3143" s="17" t="n"/>
      <c r="F3143" s="17" t="n"/>
      <c r="G3143" s="17" t="n"/>
      <c r="H3143" s="18">
        <f>IF(AND(B3143="",C3143="",D3143="",E3143=""),"",IF(B3143="","⚠ Falta fecha",IF(C3143="","⚠ Falta monto",IF(D3143="","⚠ Falta categoría",IF(ISNA(MATCH(D3143,catNom,0)),"⚠ Categoría no existe",IF(E3143="","⚠ Falta cuenta",IF(ISNA(MATCH(E3143,ctaNom,0)),"⚠ Cuenta no existe",IF(AND(OR(I3143="Transferencia",I3143="Pago tarjeta"),G3143=""),"⚠ Indica la cuenta «Hacia»",IF(AND(G3143&lt;&gt;"",G3143=E3143),"⚠ «Hacia» igual a la cuenta",IF(AND(G3143&lt;&gt;"",ISNA(MATCH(G3143,ctaNom,0))),"⚠ «Hacia» no existe",IF(AND(I3143="Pago tarjeta",IFERROR(INDEX(ctaTipo,MATCH(G3143,ctaNom,0)),"")&lt;&gt;"Tarjeta de crédito"),"⚠ «Hacia» debe ser la tarjeta",IF(AND(I3143="Trading",IFERROR(INDEX(ctaTipo,MATCH(E3143,ctaNom,0)),"")&lt;&gt;"Cuenta de trading"),"⚠ Usa la cuenta de trading","✓"))))))))))))</f>
        <v/>
      </c>
      <c r="I3143" s="19">
        <f>IF(OR(B3143="",C3143="",D3143=""),"",IFERROR(INDEX(catTipo,MATCH(D3143,catNom,0))&amp;"",""))</f>
        <v/>
      </c>
      <c r="J3143" s="19">
        <f>IF(I3143="","",IFERROR(INDEX(catGrupo,MATCH(D3143,catNom,0))&amp;"",""))</f>
        <v/>
      </c>
      <c r="K3143" s="19">
        <f>IF(I3143="Gasto",IF(IFERROR(INDEX(catClas,MATCH(D3143,catNom,0))&amp;"","")="","Variable",IFERROR(INDEX(catClas,MATCH(D3143,catNom,0))&amp;"","")),"")</f>
        <v/>
      </c>
      <c r="L3143" s="19">
        <f>IF(I3143="","",IFERROR(INDEX(catAlim,MATCH(D3143,catNom,0))&amp;"",""))</f>
        <v/>
      </c>
      <c r="M3143" s="19">
        <f>IF(I3143="","",IFERROR(INDEX(catComida,MATCH(D3143,catNom,0))&amp;"",""))</f>
        <v/>
      </c>
      <c r="N3143" s="19">
        <f>IF(I3143="","",IFERROR(INDEX(ctaMon,MATCH(E3143,ctaNom,0))&amp;"","DOP"))</f>
        <v/>
      </c>
      <c r="O3143" s="20">
        <f>IF(I3143="","",C3143*IF(N3143="USD",TasaUSD,1))</f>
        <v/>
      </c>
      <c r="P3143" s="20">
        <f>IF(I3143="","",IF(I3143="Gasto",O3143,0))</f>
        <v/>
      </c>
      <c r="Q3143" s="20">
        <f>IF(I3143="","",IF(I3143="Ingreso",O3143,0))</f>
        <v/>
      </c>
      <c r="R3143" s="20">
        <f>IF(I3143="","",IF(I3143="Trading",O3143,0))</f>
        <v/>
      </c>
      <c r="S3143" s="19">
        <f>IF(I3143="","",IF(AND(I3143="Gasto",K3143="Variable",J3143&lt;&gt;"Trading",O3143&gt;0,O3143&lt;=Umbral),1,0))</f>
        <v/>
      </c>
      <c r="T3143" s="20">
        <f>IF(OR(I3143="",E3143=""),"",IF(OR(I3143="Gasto",I3143="Transferencia",I3143="Pago tarjeta"),-1,1)*C3143)</f>
        <v/>
      </c>
      <c r="U3143" s="20">
        <f>IF(OR(G3143="",AND(I3143&lt;&gt;"Transferencia",I3143&lt;&gt;"Pago tarjeta")),"",IF(IFERROR(INDEX(ctaMon,MATCH(G3143,ctaNom,0))&amp;"","DOP")=N3143,C3143,IF(N3143="USD",C3143*TasaUSD,C3143/TasaUSD)))</f>
        <v/>
      </c>
      <c r="V3143" s="20">
        <f>IF(I3143="","",IF(IFERROR(INDEX(ctaLiq,MATCH(E3143,ctaNom,0))="Sí",FALSE),IF(OR(I3143="Gasto",I3143="Transferencia",I3143="Pago tarjeta"),-1,1)*O3143,0)+IF(AND(U3143&lt;&gt;"",IFERROR(INDEX(ctaLiq,MATCH(G3143,ctaNom,0))="Sí",FALSE)),O3143,0))</f>
        <v/>
      </c>
      <c r="W3143" s="19">
        <f>IF(OR(F3143="",I3143=""),"",IF(COUNTIFS(F$6:F3143,F3143,I$6:I3143,"?*")=1,MAX(W$5:W3142)+1,""))</f>
        <v/>
      </c>
    </row>
    <row r="3144">
      <c r="B3144" s="15" t="n"/>
      <c r="C3144" s="16" t="n"/>
      <c r="D3144" s="17" t="n"/>
      <c r="E3144" s="17" t="n"/>
      <c r="F3144" s="17" t="n"/>
      <c r="G3144" s="17" t="n"/>
      <c r="H3144" s="18">
        <f>IF(AND(B3144="",C3144="",D3144="",E3144=""),"",IF(B3144="","⚠ Falta fecha",IF(C3144="","⚠ Falta monto",IF(D3144="","⚠ Falta categoría",IF(ISNA(MATCH(D3144,catNom,0)),"⚠ Categoría no existe",IF(E3144="","⚠ Falta cuenta",IF(ISNA(MATCH(E3144,ctaNom,0)),"⚠ Cuenta no existe",IF(AND(OR(I3144="Transferencia",I3144="Pago tarjeta"),G3144=""),"⚠ Indica la cuenta «Hacia»",IF(AND(G3144&lt;&gt;"",G3144=E3144),"⚠ «Hacia» igual a la cuenta",IF(AND(G3144&lt;&gt;"",ISNA(MATCH(G3144,ctaNom,0))),"⚠ «Hacia» no existe",IF(AND(I3144="Pago tarjeta",IFERROR(INDEX(ctaTipo,MATCH(G3144,ctaNom,0)),"")&lt;&gt;"Tarjeta de crédito"),"⚠ «Hacia» debe ser la tarjeta",IF(AND(I3144="Trading",IFERROR(INDEX(ctaTipo,MATCH(E3144,ctaNom,0)),"")&lt;&gt;"Cuenta de trading"),"⚠ Usa la cuenta de trading","✓"))))))))))))</f>
        <v/>
      </c>
      <c r="I3144" s="19">
        <f>IF(OR(B3144="",C3144="",D3144=""),"",IFERROR(INDEX(catTipo,MATCH(D3144,catNom,0))&amp;"",""))</f>
        <v/>
      </c>
      <c r="J3144" s="19">
        <f>IF(I3144="","",IFERROR(INDEX(catGrupo,MATCH(D3144,catNom,0))&amp;"",""))</f>
        <v/>
      </c>
      <c r="K3144" s="19">
        <f>IF(I3144="Gasto",IF(IFERROR(INDEX(catClas,MATCH(D3144,catNom,0))&amp;"","")="","Variable",IFERROR(INDEX(catClas,MATCH(D3144,catNom,0))&amp;"","")),"")</f>
        <v/>
      </c>
      <c r="L3144" s="19">
        <f>IF(I3144="","",IFERROR(INDEX(catAlim,MATCH(D3144,catNom,0))&amp;"",""))</f>
        <v/>
      </c>
      <c r="M3144" s="19">
        <f>IF(I3144="","",IFERROR(INDEX(catComida,MATCH(D3144,catNom,0))&amp;"",""))</f>
        <v/>
      </c>
      <c r="N3144" s="19">
        <f>IF(I3144="","",IFERROR(INDEX(ctaMon,MATCH(E3144,ctaNom,0))&amp;"","DOP"))</f>
        <v/>
      </c>
      <c r="O3144" s="20">
        <f>IF(I3144="","",C3144*IF(N3144="USD",TasaUSD,1))</f>
        <v/>
      </c>
      <c r="P3144" s="20">
        <f>IF(I3144="","",IF(I3144="Gasto",O3144,0))</f>
        <v/>
      </c>
      <c r="Q3144" s="20">
        <f>IF(I3144="","",IF(I3144="Ingreso",O3144,0))</f>
        <v/>
      </c>
      <c r="R3144" s="20">
        <f>IF(I3144="","",IF(I3144="Trading",O3144,0))</f>
        <v/>
      </c>
      <c r="S3144" s="19">
        <f>IF(I3144="","",IF(AND(I3144="Gasto",K3144="Variable",J3144&lt;&gt;"Trading",O3144&gt;0,O3144&lt;=Umbral),1,0))</f>
        <v/>
      </c>
      <c r="T3144" s="20">
        <f>IF(OR(I3144="",E3144=""),"",IF(OR(I3144="Gasto",I3144="Transferencia",I3144="Pago tarjeta"),-1,1)*C3144)</f>
        <v/>
      </c>
      <c r="U3144" s="20">
        <f>IF(OR(G3144="",AND(I3144&lt;&gt;"Transferencia",I3144&lt;&gt;"Pago tarjeta")),"",IF(IFERROR(INDEX(ctaMon,MATCH(G3144,ctaNom,0))&amp;"","DOP")=N3144,C3144,IF(N3144="USD",C3144*TasaUSD,C3144/TasaUSD)))</f>
        <v/>
      </c>
      <c r="V3144" s="20">
        <f>IF(I3144="","",IF(IFERROR(INDEX(ctaLiq,MATCH(E3144,ctaNom,0))="Sí",FALSE),IF(OR(I3144="Gasto",I3144="Transferencia",I3144="Pago tarjeta"),-1,1)*O3144,0)+IF(AND(U3144&lt;&gt;"",IFERROR(INDEX(ctaLiq,MATCH(G3144,ctaNom,0))="Sí",FALSE)),O3144,0))</f>
        <v/>
      </c>
      <c r="W3144" s="19">
        <f>IF(OR(F3144="",I3144=""),"",IF(COUNTIFS(F$6:F3144,F3144,I$6:I3144,"?*")=1,MAX(W$5:W3143)+1,""))</f>
        <v/>
      </c>
    </row>
    <row r="3145">
      <c r="B3145" s="15" t="n"/>
      <c r="C3145" s="16" t="n"/>
      <c r="D3145" s="17" t="n"/>
      <c r="E3145" s="17" t="n"/>
      <c r="F3145" s="17" t="n"/>
      <c r="G3145" s="17" t="n"/>
      <c r="H3145" s="18">
        <f>IF(AND(B3145="",C3145="",D3145="",E3145=""),"",IF(B3145="","⚠ Falta fecha",IF(C3145="","⚠ Falta monto",IF(D3145="","⚠ Falta categoría",IF(ISNA(MATCH(D3145,catNom,0)),"⚠ Categoría no existe",IF(E3145="","⚠ Falta cuenta",IF(ISNA(MATCH(E3145,ctaNom,0)),"⚠ Cuenta no existe",IF(AND(OR(I3145="Transferencia",I3145="Pago tarjeta"),G3145=""),"⚠ Indica la cuenta «Hacia»",IF(AND(G3145&lt;&gt;"",G3145=E3145),"⚠ «Hacia» igual a la cuenta",IF(AND(G3145&lt;&gt;"",ISNA(MATCH(G3145,ctaNom,0))),"⚠ «Hacia» no existe",IF(AND(I3145="Pago tarjeta",IFERROR(INDEX(ctaTipo,MATCH(G3145,ctaNom,0)),"")&lt;&gt;"Tarjeta de crédito"),"⚠ «Hacia» debe ser la tarjeta",IF(AND(I3145="Trading",IFERROR(INDEX(ctaTipo,MATCH(E3145,ctaNom,0)),"")&lt;&gt;"Cuenta de trading"),"⚠ Usa la cuenta de trading","✓"))))))))))))</f>
        <v/>
      </c>
      <c r="I3145" s="19">
        <f>IF(OR(B3145="",C3145="",D3145=""),"",IFERROR(INDEX(catTipo,MATCH(D3145,catNom,0))&amp;"",""))</f>
        <v/>
      </c>
      <c r="J3145" s="19">
        <f>IF(I3145="","",IFERROR(INDEX(catGrupo,MATCH(D3145,catNom,0))&amp;"",""))</f>
        <v/>
      </c>
      <c r="K3145" s="19">
        <f>IF(I3145="Gasto",IF(IFERROR(INDEX(catClas,MATCH(D3145,catNom,0))&amp;"","")="","Variable",IFERROR(INDEX(catClas,MATCH(D3145,catNom,0))&amp;"","")),"")</f>
        <v/>
      </c>
      <c r="L3145" s="19">
        <f>IF(I3145="","",IFERROR(INDEX(catAlim,MATCH(D3145,catNom,0))&amp;"",""))</f>
        <v/>
      </c>
      <c r="M3145" s="19">
        <f>IF(I3145="","",IFERROR(INDEX(catComida,MATCH(D3145,catNom,0))&amp;"",""))</f>
        <v/>
      </c>
      <c r="N3145" s="19">
        <f>IF(I3145="","",IFERROR(INDEX(ctaMon,MATCH(E3145,ctaNom,0))&amp;"","DOP"))</f>
        <v/>
      </c>
      <c r="O3145" s="20">
        <f>IF(I3145="","",C3145*IF(N3145="USD",TasaUSD,1))</f>
        <v/>
      </c>
      <c r="P3145" s="20">
        <f>IF(I3145="","",IF(I3145="Gasto",O3145,0))</f>
        <v/>
      </c>
      <c r="Q3145" s="20">
        <f>IF(I3145="","",IF(I3145="Ingreso",O3145,0))</f>
        <v/>
      </c>
      <c r="R3145" s="20">
        <f>IF(I3145="","",IF(I3145="Trading",O3145,0))</f>
        <v/>
      </c>
      <c r="S3145" s="19">
        <f>IF(I3145="","",IF(AND(I3145="Gasto",K3145="Variable",J3145&lt;&gt;"Trading",O3145&gt;0,O3145&lt;=Umbral),1,0))</f>
        <v/>
      </c>
      <c r="T3145" s="20">
        <f>IF(OR(I3145="",E3145=""),"",IF(OR(I3145="Gasto",I3145="Transferencia",I3145="Pago tarjeta"),-1,1)*C3145)</f>
        <v/>
      </c>
      <c r="U3145" s="20">
        <f>IF(OR(G3145="",AND(I3145&lt;&gt;"Transferencia",I3145&lt;&gt;"Pago tarjeta")),"",IF(IFERROR(INDEX(ctaMon,MATCH(G3145,ctaNom,0))&amp;"","DOP")=N3145,C3145,IF(N3145="USD",C3145*TasaUSD,C3145/TasaUSD)))</f>
        <v/>
      </c>
      <c r="V3145" s="20">
        <f>IF(I3145="","",IF(IFERROR(INDEX(ctaLiq,MATCH(E3145,ctaNom,0))="Sí",FALSE),IF(OR(I3145="Gasto",I3145="Transferencia",I3145="Pago tarjeta"),-1,1)*O3145,0)+IF(AND(U3145&lt;&gt;"",IFERROR(INDEX(ctaLiq,MATCH(G3145,ctaNom,0))="Sí",FALSE)),O3145,0))</f>
        <v/>
      </c>
      <c r="W3145" s="19">
        <f>IF(OR(F3145="",I3145=""),"",IF(COUNTIFS(F$6:F3145,F3145,I$6:I3145,"?*")=1,MAX(W$5:W3144)+1,""))</f>
        <v/>
      </c>
    </row>
    <row r="3146">
      <c r="B3146" s="15" t="n"/>
      <c r="C3146" s="16" t="n"/>
      <c r="D3146" s="17" t="n"/>
      <c r="E3146" s="17" t="n"/>
      <c r="F3146" s="17" t="n"/>
      <c r="G3146" s="17" t="n"/>
      <c r="H3146" s="18">
        <f>IF(AND(B3146="",C3146="",D3146="",E3146=""),"",IF(B3146="","⚠ Falta fecha",IF(C3146="","⚠ Falta monto",IF(D3146="","⚠ Falta categoría",IF(ISNA(MATCH(D3146,catNom,0)),"⚠ Categoría no existe",IF(E3146="","⚠ Falta cuenta",IF(ISNA(MATCH(E3146,ctaNom,0)),"⚠ Cuenta no existe",IF(AND(OR(I3146="Transferencia",I3146="Pago tarjeta"),G3146=""),"⚠ Indica la cuenta «Hacia»",IF(AND(G3146&lt;&gt;"",G3146=E3146),"⚠ «Hacia» igual a la cuenta",IF(AND(G3146&lt;&gt;"",ISNA(MATCH(G3146,ctaNom,0))),"⚠ «Hacia» no existe",IF(AND(I3146="Pago tarjeta",IFERROR(INDEX(ctaTipo,MATCH(G3146,ctaNom,0)),"")&lt;&gt;"Tarjeta de crédito"),"⚠ «Hacia» debe ser la tarjeta",IF(AND(I3146="Trading",IFERROR(INDEX(ctaTipo,MATCH(E3146,ctaNom,0)),"")&lt;&gt;"Cuenta de trading"),"⚠ Usa la cuenta de trading","✓"))))))))))))</f>
        <v/>
      </c>
      <c r="I3146" s="19">
        <f>IF(OR(B3146="",C3146="",D3146=""),"",IFERROR(INDEX(catTipo,MATCH(D3146,catNom,0))&amp;"",""))</f>
        <v/>
      </c>
      <c r="J3146" s="19">
        <f>IF(I3146="","",IFERROR(INDEX(catGrupo,MATCH(D3146,catNom,0))&amp;"",""))</f>
        <v/>
      </c>
      <c r="K3146" s="19">
        <f>IF(I3146="Gasto",IF(IFERROR(INDEX(catClas,MATCH(D3146,catNom,0))&amp;"","")="","Variable",IFERROR(INDEX(catClas,MATCH(D3146,catNom,0))&amp;"","")),"")</f>
        <v/>
      </c>
      <c r="L3146" s="19">
        <f>IF(I3146="","",IFERROR(INDEX(catAlim,MATCH(D3146,catNom,0))&amp;"",""))</f>
        <v/>
      </c>
      <c r="M3146" s="19">
        <f>IF(I3146="","",IFERROR(INDEX(catComida,MATCH(D3146,catNom,0))&amp;"",""))</f>
        <v/>
      </c>
      <c r="N3146" s="19">
        <f>IF(I3146="","",IFERROR(INDEX(ctaMon,MATCH(E3146,ctaNom,0))&amp;"","DOP"))</f>
        <v/>
      </c>
      <c r="O3146" s="20">
        <f>IF(I3146="","",C3146*IF(N3146="USD",TasaUSD,1))</f>
        <v/>
      </c>
      <c r="P3146" s="20">
        <f>IF(I3146="","",IF(I3146="Gasto",O3146,0))</f>
        <v/>
      </c>
      <c r="Q3146" s="20">
        <f>IF(I3146="","",IF(I3146="Ingreso",O3146,0))</f>
        <v/>
      </c>
      <c r="R3146" s="20">
        <f>IF(I3146="","",IF(I3146="Trading",O3146,0))</f>
        <v/>
      </c>
      <c r="S3146" s="19">
        <f>IF(I3146="","",IF(AND(I3146="Gasto",K3146="Variable",J3146&lt;&gt;"Trading",O3146&gt;0,O3146&lt;=Umbral),1,0))</f>
        <v/>
      </c>
      <c r="T3146" s="20">
        <f>IF(OR(I3146="",E3146=""),"",IF(OR(I3146="Gasto",I3146="Transferencia",I3146="Pago tarjeta"),-1,1)*C3146)</f>
        <v/>
      </c>
      <c r="U3146" s="20">
        <f>IF(OR(G3146="",AND(I3146&lt;&gt;"Transferencia",I3146&lt;&gt;"Pago tarjeta")),"",IF(IFERROR(INDEX(ctaMon,MATCH(G3146,ctaNom,0))&amp;"","DOP")=N3146,C3146,IF(N3146="USD",C3146*TasaUSD,C3146/TasaUSD)))</f>
        <v/>
      </c>
      <c r="V3146" s="20">
        <f>IF(I3146="","",IF(IFERROR(INDEX(ctaLiq,MATCH(E3146,ctaNom,0))="Sí",FALSE),IF(OR(I3146="Gasto",I3146="Transferencia",I3146="Pago tarjeta"),-1,1)*O3146,0)+IF(AND(U3146&lt;&gt;"",IFERROR(INDEX(ctaLiq,MATCH(G3146,ctaNom,0))="Sí",FALSE)),O3146,0))</f>
        <v/>
      </c>
      <c r="W3146" s="19">
        <f>IF(OR(F3146="",I3146=""),"",IF(COUNTIFS(F$6:F3146,F3146,I$6:I3146,"?*")=1,MAX(W$5:W3145)+1,""))</f>
        <v/>
      </c>
    </row>
    <row r="3147">
      <c r="B3147" s="15" t="n"/>
      <c r="C3147" s="16" t="n"/>
      <c r="D3147" s="17" t="n"/>
      <c r="E3147" s="17" t="n"/>
      <c r="F3147" s="17" t="n"/>
      <c r="G3147" s="17" t="n"/>
      <c r="H3147" s="18">
        <f>IF(AND(B3147="",C3147="",D3147="",E3147=""),"",IF(B3147="","⚠ Falta fecha",IF(C3147="","⚠ Falta monto",IF(D3147="","⚠ Falta categoría",IF(ISNA(MATCH(D3147,catNom,0)),"⚠ Categoría no existe",IF(E3147="","⚠ Falta cuenta",IF(ISNA(MATCH(E3147,ctaNom,0)),"⚠ Cuenta no existe",IF(AND(OR(I3147="Transferencia",I3147="Pago tarjeta"),G3147=""),"⚠ Indica la cuenta «Hacia»",IF(AND(G3147&lt;&gt;"",G3147=E3147),"⚠ «Hacia» igual a la cuenta",IF(AND(G3147&lt;&gt;"",ISNA(MATCH(G3147,ctaNom,0))),"⚠ «Hacia» no existe",IF(AND(I3147="Pago tarjeta",IFERROR(INDEX(ctaTipo,MATCH(G3147,ctaNom,0)),"")&lt;&gt;"Tarjeta de crédito"),"⚠ «Hacia» debe ser la tarjeta",IF(AND(I3147="Trading",IFERROR(INDEX(ctaTipo,MATCH(E3147,ctaNom,0)),"")&lt;&gt;"Cuenta de trading"),"⚠ Usa la cuenta de trading","✓"))))))))))))</f>
        <v/>
      </c>
      <c r="I3147" s="19">
        <f>IF(OR(B3147="",C3147="",D3147=""),"",IFERROR(INDEX(catTipo,MATCH(D3147,catNom,0))&amp;"",""))</f>
        <v/>
      </c>
      <c r="J3147" s="19">
        <f>IF(I3147="","",IFERROR(INDEX(catGrupo,MATCH(D3147,catNom,0))&amp;"",""))</f>
        <v/>
      </c>
      <c r="K3147" s="19">
        <f>IF(I3147="Gasto",IF(IFERROR(INDEX(catClas,MATCH(D3147,catNom,0))&amp;"","")="","Variable",IFERROR(INDEX(catClas,MATCH(D3147,catNom,0))&amp;"","")),"")</f>
        <v/>
      </c>
      <c r="L3147" s="19">
        <f>IF(I3147="","",IFERROR(INDEX(catAlim,MATCH(D3147,catNom,0))&amp;"",""))</f>
        <v/>
      </c>
      <c r="M3147" s="19">
        <f>IF(I3147="","",IFERROR(INDEX(catComida,MATCH(D3147,catNom,0))&amp;"",""))</f>
        <v/>
      </c>
      <c r="N3147" s="19">
        <f>IF(I3147="","",IFERROR(INDEX(ctaMon,MATCH(E3147,ctaNom,0))&amp;"","DOP"))</f>
        <v/>
      </c>
      <c r="O3147" s="20">
        <f>IF(I3147="","",C3147*IF(N3147="USD",TasaUSD,1))</f>
        <v/>
      </c>
      <c r="P3147" s="20">
        <f>IF(I3147="","",IF(I3147="Gasto",O3147,0))</f>
        <v/>
      </c>
      <c r="Q3147" s="20">
        <f>IF(I3147="","",IF(I3147="Ingreso",O3147,0))</f>
        <v/>
      </c>
      <c r="R3147" s="20">
        <f>IF(I3147="","",IF(I3147="Trading",O3147,0))</f>
        <v/>
      </c>
      <c r="S3147" s="19">
        <f>IF(I3147="","",IF(AND(I3147="Gasto",K3147="Variable",J3147&lt;&gt;"Trading",O3147&gt;0,O3147&lt;=Umbral),1,0))</f>
        <v/>
      </c>
      <c r="T3147" s="20">
        <f>IF(OR(I3147="",E3147=""),"",IF(OR(I3147="Gasto",I3147="Transferencia",I3147="Pago tarjeta"),-1,1)*C3147)</f>
        <v/>
      </c>
      <c r="U3147" s="20">
        <f>IF(OR(G3147="",AND(I3147&lt;&gt;"Transferencia",I3147&lt;&gt;"Pago tarjeta")),"",IF(IFERROR(INDEX(ctaMon,MATCH(G3147,ctaNom,0))&amp;"","DOP")=N3147,C3147,IF(N3147="USD",C3147*TasaUSD,C3147/TasaUSD)))</f>
        <v/>
      </c>
      <c r="V3147" s="20">
        <f>IF(I3147="","",IF(IFERROR(INDEX(ctaLiq,MATCH(E3147,ctaNom,0))="Sí",FALSE),IF(OR(I3147="Gasto",I3147="Transferencia",I3147="Pago tarjeta"),-1,1)*O3147,0)+IF(AND(U3147&lt;&gt;"",IFERROR(INDEX(ctaLiq,MATCH(G3147,ctaNom,0))="Sí",FALSE)),O3147,0))</f>
        <v/>
      </c>
      <c r="W3147" s="19">
        <f>IF(OR(F3147="",I3147=""),"",IF(COUNTIFS(F$6:F3147,F3147,I$6:I3147,"?*")=1,MAX(W$5:W3146)+1,""))</f>
        <v/>
      </c>
    </row>
    <row r="3148">
      <c r="B3148" s="15" t="n"/>
      <c r="C3148" s="16" t="n"/>
      <c r="D3148" s="17" t="n"/>
      <c r="E3148" s="17" t="n"/>
      <c r="F3148" s="17" t="n"/>
      <c r="G3148" s="17" t="n"/>
      <c r="H3148" s="18">
        <f>IF(AND(B3148="",C3148="",D3148="",E3148=""),"",IF(B3148="","⚠ Falta fecha",IF(C3148="","⚠ Falta monto",IF(D3148="","⚠ Falta categoría",IF(ISNA(MATCH(D3148,catNom,0)),"⚠ Categoría no existe",IF(E3148="","⚠ Falta cuenta",IF(ISNA(MATCH(E3148,ctaNom,0)),"⚠ Cuenta no existe",IF(AND(OR(I3148="Transferencia",I3148="Pago tarjeta"),G3148=""),"⚠ Indica la cuenta «Hacia»",IF(AND(G3148&lt;&gt;"",G3148=E3148),"⚠ «Hacia» igual a la cuenta",IF(AND(G3148&lt;&gt;"",ISNA(MATCH(G3148,ctaNom,0))),"⚠ «Hacia» no existe",IF(AND(I3148="Pago tarjeta",IFERROR(INDEX(ctaTipo,MATCH(G3148,ctaNom,0)),"")&lt;&gt;"Tarjeta de crédito"),"⚠ «Hacia» debe ser la tarjeta",IF(AND(I3148="Trading",IFERROR(INDEX(ctaTipo,MATCH(E3148,ctaNom,0)),"")&lt;&gt;"Cuenta de trading"),"⚠ Usa la cuenta de trading","✓"))))))))))))</f>
        <v/>
      </c>
      <c r="I3148" s="19">
        <f>IF(OR(B3148="",C3148="",D3148=""),"",IFERROR(INDEX(catTipo,MATCH(D3148,catNom,0))&amp;"",""))</f>
        <v/>
      </c>
      <c r="J3148" s="19">
        <f>IF(I3148="","",IFERROR(INDEX(catGrupo,MATCH(D3148,catNom,0))&amp;"",""))</f>
        <v/>
      </c>
      <c r="K3148" s="19">
        <f>IF(I3148="Gasto",IF(IFERROR(INDEX(catClas,MATCH(D3148,catNom,0))&amp;"","")="","Variable",IFERROR(INDEX(catClas,MATCH(D3148,catNom,0))&amp;"","")),"")</f>
        <v/>
      </c>
      <c r="L3148" s="19">
        <f>IF(I3148="","",IFERROR(INDEX(catAlim,MATCH(D3148,catNom,0))&amp;"",""))</f>
        <v/>
      </c>
      <c r="M3148" s="19">
        <f>IF(I3148="","",IFERROR(INDEX(catComida,MATCH(D3148,catNom,0))&amp;"",""))</f>
        <v/>
      </c>
      <c r="N3148" s="19">
        <f>IF(I3148="","",IFERROR(INDEX(ctaMon,MATCH(E3148,ctaNom,0))&amp;"","DOP"))</f>
        <v/>
      </c>
      <c r="O3148" s="20">
        <f>IF(I3148="","",C3148*IF(N3148="USD",TasaUSD,1))</f>
        <v/>
      </c>
      <c r="P3148" s="20">
        <f>IF(I3148="","",IF(I3148="Gasto",O3148,0))</f>
        <v/>
      </c>
      <c r="Q3148" s="20">
        <f>IF(I3148="","",IF(I3148="Ingreso",O3148,0))</f>
        <v/>
      </c>
      <c r="R3148" s="20">
        <f>IF(I3148="","",IF(I3148="Trading",O3148,0))</f>
        <v/>
      </c>
      <c r="S3148" s="19">
        <f>IF(I3148="","",IF(AND(I3148="Gasto",K3148="Variable",J3148&lt;&gt;"Trading",O3148&gt;0,O3148&lt;=Umbral),1,0))</f>
        <v/>
      </c>
      <c r="T3148" s="20">
        <f>IF(OR(I3148="",E3148=""),"",IF(OR(I3148="Gasto",I3148="Transferencia",I3148="Pago tarjeta"),-1,1)*C3148)</f>
        <v/>
      </c>
      <c r="U3148" s="20">
        <f>IF(OR(G3148="",AND(I3148&lt;&gt;"Transferencia",I3148&lt;&gt;"Pago tarjeta")),"",IF(IFERROR(INDEX(ctaMon,MATCH(G3148,ctaNom,0))&amp;"","DOP")=N3148,C3148,IF(N3148="USD",C3148*TasaUSD,C3148/TasaUSD)))</f>
        <v/>
      </c>
      <c r="V3148" s="20">
        <f>IF(I3148="","",IF(IFERROR(INDEX(ctaLiq,MATCH(E3148,ctaNom,0))="Sí",FALSE),IF(OR(I3148="Gasto",I3148="Transferencia",I3148="Pago tarjeta"),-1,1)*O3148,0)+IF(AND(U3148&lt;&gt;"",IFERROR(INDEX(ctaLiq,MATCH(G3148,ctaNom,0))="Sí",FALSE)),O3148,0))</f>
        <v/>
      </c>
      <c r="W3148" s="19">
        <f>IF(OR(F3148="",I3148=""),"",IF(COUNTIFS(F$6:F3148,F3148,I$6:I3148,"?*")=1,MAX(W$5:W3147)+1,""))</f>
        <v/>
      </c>
    </row>
    <row r="3149">
      <c r="B3149" s="15" t="n"/>
      <c r="C3149" s="16" t="n"/>
      <c r="D3149" s="17" t="n"/>
      <c r="E3149" s="17" t="n"/>
      <c r="F3149" s="17" t="n"/>
      <c r="G3149" s="17" t="n"/>
      <c r="H3149" s="18">
        <f>IF(AND(B3149="",C3149="",D3149="",E3149=""),"",IF(B3149="","⚠ Falta fecha",IF(C3149="","⚠ Falta monto",IF(D3149="","⚠ Falta categoría",IF(ISNA(MATCH(D3149,catNom,0)),"⚠ Categoría no existe",IF(E3149="","⚠ Falta cuenta",IF(ISNA(MATCH(E3149,ctaNom,0)),"⚠ Cuenta no existe",IF(AND(OR(I3149="Transferencia",I3149="Pago tarjeta"),G3149=""),"⚠ Indica la cuenta «Hacia»",IF(AND(G3149&lt;&gt;"",G3149=E3149),"⚠ «Hacia» igual a la cuenta",IF(AND(G3149&lt;&gt;"",ISNA(MATCH(G3149,ctaNom,0))),"⚠ «Hacia» no existe",IF(AND(I3149="Pago tarjeta",IFERROR(INDEX(ctaTipo,MATCH(G3149,ctaNom,0)),"")&lt;&gt;"Tarjeta de crédito"),"⚠ «Hacia» debe ser la tarjeta",IF(AND(I3149="Trading",IFERROR(INDEX(ctaTipo,MATCH(E3149,ctaNom,0)),"")&lt;&gt;"Cuenta de trading"),"⚠ Usa la cuenta de trading","✓"))))))))))))</f>
        <v/>
      </c>
      <c r="I3149" s="19">
        <f>IF(OR(B3149="",C3149="",D3149=""),"",IFERROR(INDEX(catTipo,MATCH(D3149,catNom,0))&amp;"",""))</f>
        <v/>
      </c>
      <c r="J3149" s="19">
        <f>IF(I3149="","",IFERROR(INDEX(catGrupo,MATCH(D3149,catNom,0))&amp;"",""))</f>
        <v/>
      </c>
      <c r="K3149" s="19">
        <f>IF(I3149="Gasto",IF(IFERROR(INDEX(catClas,MATCH(D3149,catNom,0))&amp;"","")="","Variable",IFERROR(INDEX(catClas,MATCH(D3149,catNom,0))&amp;"","")),"")</f>
        <v/>
      </c>
      <c r="L3149" s="19">
        <f>IF(I3149="","",IFERROR(INDEX(catAlim,MATCH(D3149,catNom,0))&amp;"",""))</f>
        <v/>
      </c>
      <c r="M3149" s="19">
        <f>IF(I3149="","",IFERROR(INDEX(catComida,MATCH(D3149,catNom,0))&amp;"",""))</f>
        <v/>
      </c>
      <c r="N3149" s="19">
        <f>IF(I3149="","",IFERROR(INDEX(ctaMon,MATCH(E3149,ctaNom,0))&amp;"","DOP"))</f>
        <v/>
      </c>
      <c r="O3149" s="20">
        <f>IF(I3149="","",C3149*IF(N3149="USD",TasaUSD,1))</f>
        <v/>
      </c>
      <c r="P3149" s="20">
        <f>IF(I3149="","",IF(I3149="Gasto",O3149,0))</f>
        <v/>
      </c>
      <c r="Q3149" s="20">
        <f>IF(I3149="","",IF(I3149="Ingreso",O3149,0))</f>
        <v/>
      </c>
      <c r="R3149" s="20">
        <f>IF(I3149="","",IF(I3149="Trading",O3149,0))</f>
        <v/>
      </c>
      <c r="S3149" s="19">
        <f>IF(I3149="","",IF(AND(I3149="Gasto",K3149="Variable",J3149&lt;&gt;"Trading",O3149&gt;0,O3149&lt;=Umbral),1,0))</f>
        <v/>
      </c>
      <c r="T3149" s="20">
        <f>IF(OR(I3149="",E3149=""),"",IF(OR(I3149="Gasto",I3149="Transferencia",I3149="Pago tarjeta"),-1,1)*C3149)</f>
        <v/>
      </c>
      <c r="U3149" s="20">
        <f>IF(OR(G3149="",AND(I3149&lt;&gt;"Transferencia",I3149&lt;&gt;"Pago tarjeta")),"",IF(IFERROR(INDEX(ctaMon,MATCH(G3149,ctaNom,0))&amp;"","DOP")=N3149,C3149,IF(N3149="USD",C3149*TasaUSD,C3149/TasaUSD)))</f>
        <v/>
      </c>
      <c r="V3149" s="20">
        <f>IF(I3149="","",IF(IFERROR(INDEX(ctaLiq,MATCH(E3149,ctaNom,0))="Sí",FALSE),IF(OR(I3149="Gasto",I3149="Transferencia",I3149="Pago tarjeta"),-1,1)*O3149,0)+IF(AND(U3149&lt;&gt;"",IFERROR(INDEX(ctaLiq,MATCH(G3149,ctaNom,0))="Sí",FALSE)),O3149,0))</f>
        <v/>
      </c>
      <c r="W3149" s="19">
        <f>IF(OR(F3149="",I3149=""),"",IF(COUNTIFS(F$6:F3149,F3149,I$6:I3149,"?*")=1,MAX(W$5:W3148)+1,""))</f>
        <v/>
      </c>
    </row>
    <row r="3150">
      <c r="B3150" s="15" t="n"/>
      <c r="C3150" s="16" t="n"/>
      <c r="D3150" s="17" t="n"/>
      <c r="E3150" s="17" t="n"/>
      <c r="F3150" s="17" t="n"/>
      <c r="G3150" s="17" t="n"/>
      <c r="H3150" s="18">
        <f>IF(AND(B3150="",C3150="",D3150="",E3150=""),"",IF(B3150="","⚠ Falta fecha",IF(C3150="","⚠ Falta monto",IF(D3150="","⚠ Falta categoría",IF(ISNA(MATCH(D3150,catNom,0)),"⚠ Categoría no existe",IF(E3150="","⚠ Falta cuenta",IF(ISNA(MATCH(E3150,ctaNom,0)),"⚠ Cuenta no existe",IF(AND(OR(I3150="Transferencia",I3150="Pago tarjeta"),G3150=""),"⚠ Indica la cuenta «Hacia»",IF(AND(G3150&lt;&gt;"",G3150=E3150),"⚠ «Hacia» igual a la cuenta",IF(AND(G3150&lt;&gt;"",ISNA(MATCH(G3150,ctaNom,0))),"⚠ «Hacia» no existe",IF(AND(I3150="Pago tarjeta",IFERROR(INDEX(ctaTipo,MATCH(G3150,ctaNom,0)),"")&lt;&gt;"Tarjeta de crédito"),"⚠ «Hacia» debe ser la tarjeta",IF(AND(I3150="Trading",IFERROR(INDEX(ctaTipo,MATCH(E3150,ctaNom,0)),"")&lt;&gt;"Cuenta de trading"),"⚠ Usa la cuenta de trading","✓"))))))))))))</f>
        <v/>
      </c>
      <c r="I3150" s="19">
        <f>IF(OR(B3150="",C3150="",D3150=""),"",IFERROR(INDEX(catTipo,MATCH(D3150,catNom,0))&amp;"",""))</f>
        <v/>
      </c>
      <c r="J3150" s="19">
        <f>IF(I3150="","",IFERROR(INDEX(catGrupo,MATCH(D3150,catNom,0))&amp;"",""))</f>
        <v/>
      </c>
      <c r="K3150" s="19">
        <f>IF(I3150="Gasto",IF(IFERROR(INDEX(catClas,MATCH(D3150,catNom,0))&amp;"","")="","Variable",IFERROR(INDEX(catClas,MATCH(D3150,catNom,0))&amp;"","")),"")</f>
        <v/>
      </c>
      <c r="L3150" s="19">
        <f>IF(I3150="","",IFERROR(INDEX(catAlim,MATCH(D3150,catNom,0))&amp;"",""))</f>
        <v/>
      </c>
      <c r="M3150" s="19">
        <f>IF(I3150="","",IFERROR(INDEX(catComida,MATCH(D3150,catNom,0))&amp;"",""))</f>
        <v/>
      </c>
      <c r="N3150" s="19">
        <f>IF(I3150="","",IFERROR(INDEX(ctaMon,MATCH(E3150,ctaNom,0))&amp;"","DOP"))</f>
        <v/>
      </c>
      <c r="O3150" s="20">
        <f>IF(I3150="","",C3150*IF(N3150="USD",TasaUSD,1))</f>
        <v/>
      </c>
      <c r="P3150" s="20">
        <f>IF(I3150="","",IF(I3150="Gasto",O3150,0))</f>
        <v/>
      </c>
      <c r="Q3150" s="20">
        <f>IF(I3150="","",IF(I3150="Ingreso",O3150,0))</f>
        <v/>
      </c>
      <c r="R3150" s="20">
        <f>IF(I3150="","",IF(I3150="Trading",O3150,0))</f>
        <v/>
      </c>
      <c r="S3150" s="19">
        <f>IF(I3150="","",IF(AND(I3150="Gasto",K3150="Variable",J3150&lt;&gt;"Trading",O3150&gt;0,O3150&lt;=Umbral),1,0))</f>
        <v/>
      </c>
      <c r="T3150" s="20">
        <f>IF(OR(I3150="",E3150=""),"",IF(OR(I3150="Gasto",I3150="Transferencia",I3150="Pago tarjeta"),-1,1)*C3150)</f>
        <v/>
      </c>
      <c r="U3150" s="20">
        <f>IF(OR(G3150="",AND(I3150&lt;&gt;"Transferencia",I3150&lt;&gt;"Pago tarjeta")),"",IF(IFERROR(INDEX(ctaMon,MATCH(G3150,ctaNom,0))&amp;"","DOP")=N3150,C3150,IF(N3150="USD",C3150*TasaUSD,C3150/TasaUSD)))</f>
        <v/>
      </c>
      <c r="V3150" s="20">
        <f>IF(I3150="","",IF(IFERROR(INDEX(ctaLiq,MATCH(E3150,ctaNom,0))="Sí",FALSE),IF(OR(I3150="Gasto",I3150="Transferencia",I3150="Pago tarjeta"),-1,1)*O3150,0)+IF(AND(U3150&lt;&gt;"",IFERROR(INDEX(ctaLiq,MATCH(G3150,ctaNom,0))="Sí",FALSE)),O3150,0))</f>
        <v/>
      </c>
      <c r="W3150" s="19">
        <f>IF(OR(F3150="",I3150=""),"",IF(COUNTIFS(F$6:F3150,F3150,I$6:I3150,"?*")=1,MAX(W$5:W3149)+1,""))</f>
        <v/>
      </c>
    </row>
    <row r="3151">
      <c r="B3151" s="15" t="n"/>
      <c r="C3151" s="16" t="n"/>
      <c r="D3151" s="17" t="n"/>
      <c r="E3151" s="17" t="n"/>
      <c r="F3151" s="17" t="n"/>
      <c r="G3151" s="17" t="n"/>
      <c r="H3151" s="18">
        <f>IF(AND(B3151="",C3151="",D3151="",E3151=""),"",IF(B3151="","⚠ Falta fecha",IF(C3151="","⚠ Falta monto",IF(D3151="","⚠ Falta categoría",IF(ISNA(MATCH(D3151,catNom,0)),"⚠ Categoría no existe",IF(E3151="","⚠ Falta cuenta",IF(ISNA(MATCH(E3151,ctaNom,0)),"⚠ Cuenta no existe",IF(AND(OR(I3151="Transferencia",I3151="Pago tarjeta"),G3151=""),"⚠ Indica la cuenta «Hacia»",IF(AND(G3151&lt;&gt;"",G3151=E3151),"⚠ «Hacia» igual a la cuenta",IF(AND(G3151&lt;&gt;"",ISNA(MATCH(G3151,ctaNom,0))),"⚠ «Hacia» no existe",IF(AND(I3151="Pago tarjeta",IFERROR(INDEX(ctaTipo,MATCH(G3151,ctaNom,0)),"")&lt;&gt;"Tarjeta de crédito"),"⚠ «Hacia» debe ser la tarjeta",IF(AND(I3151="Trading",IFERROR(INDEX(ctaTipo,MATCH(E3151,ctaNom,0)),"")&lt;&gt;"Cuenta de trading"),"⚠ Usa la cuenta de trading","✓"))))))))))))</f>
        <v/>
      </c>
      <c r="I3151" s="19">
        <f>IF(OR(B3151="",C3151="",D3151=""),"",IFERROR(INDEX(catTipo,MATCH(D3151,catNom,0))&amp;"",""))</f>
        <v/>
      </c>
      <c r="J3151" s="19">
        <f>IF(I3151="","",IFERROR(INDEX(catGrupo,MATCH(D3151,catNom,0))&amp;"",""))</f>
        <v/>
      </c>
      <c r="K3151" s="19">
        <f>IF(I3151="Gasto",IF(IFERROR(INDEX(catClas,MATCH(D3151,catNom,0))&amp;"","")="","Variable",IFERROR(INDEX(catClas,MATCH(D3151,catNom,0))&amp;"","")),"")</f>
        <v/>
      </c>
      <c r="L3151" s="19">
        <f>IF(I3151="","",IFERROR(INDEX(catAlim,MATCH(D3151,catNom,0))&amp;"",""))</f>
        <v/>
      </c>
      <c r="M3151" s="19">
        <f>IF(I3151="","",IFERROR(INDEX(catComida,MATCH(D3151,catNom,0))&amp;"",""))</f>
        <v/>
      </c>
      <c r="N3151" s="19">
        <f>IF(I3151="","",IFERROR(INDEX(ctaMon,MATCH(E3151,ctaNom,0))&amp;"","DOP"))</f>
        <v/>
      </c>
      <c r="O3151" s="20">
        <f>IF(I3151="","",C3151*IF(N3151="USD",TasaUSD,1))</f>
        <v/>
      </c>
      <c r="P3151" s="20">
        <f>IF(I3151="","",IF(I3151="Gasto",O3151,0))</f>
        <v/>
      </c>
      <c r="Q3151" s="20">
        <f>IF(I3151="","",IF(I3151="Ingreso",O3151,0))</f>
        <v/>
      </c>
      <c r="R3151" s="20">
        <f>IF(I3151="","",IF(I3151="Trading",O3151,0))</f>
        <v/>
      </c>
      <c r="S3151" s="19">
        <f>IF(I3151="","",IF(AND(I3151="Gasto",K3151="Variable",J3151&lt;&gt;"Trading",O3151&gt;0,O3151&lt;=Umbral),1,0))</f>
        <v/>
      </c>
      <c r="T3151" s="20">
        <f>IF(OR(I3151="",E3151=""),"",IF(OR(I3151="Gasto",I3151="Transferencia",I3151="Pago tarjeta"),-1,1)*C3151)</f>
        <v/>
      </c>
      <c r="U3151" s="20">
        <f>IF(OR(G3151="",AND(I3151&lt;&gt;"Transferencia",I3151&lt;&gt;"Pago tarjeta")),"",IF(IFERROR(INDEX(ctaMon,MATCH(G3151,ctaNom,0))&amp;"","DOP")=N3151,C3151,IF(N3151="USD",C3151*TasaUSD,C3151/TasaUSD)))</f>
        <v/>
      </c>
      <c r="V3151" s="20">
        <f>IF(I3151="","",IF(IFERROR(INDEX(ctaLiq,MATCH(E3151,ctaNom,0))="Sí",FALSE),IF(OR(I3151="Gasto",I3151="Transferencia",I3151="Pago tarjeta"),-1,1)*O3151,0)+IF(AND(U3151&lt;&gt;"",IFERROR(INDEX(ctaLiq,MATCH(G3151,ctaNom,0))="Sí",FALSE)),O3151,0))</f>
        <v/>
      </c>
      <c r="W3151" s="19">
        <f>IF(OR(F3151="",I3151=""),"",IF(COUNTIFS(F$6:F3151,F3151,I$6:I3151,"?*")=1,MAX(W$5:W3150)+1,""))</f>
        <v/>
      </c>
    </row>
    <row r="3152">
      <c r="B3152" s="15" t="n"/>
      <c r="C3152" s="16" t="n"/>
      <c r="D3152" s="17" t="n"/>
      <c r="E3152" s="17" t="n"/>
      <c r="F3152" s="17" t="n"/>
      <c r="G3152" s="17" t="n"/>
      <c r="H3152" s="18">
        <f>IF(AND(B3152="",C3152="",D3152="",E3152=""),"",IF(B3152="","⚠ Falta fecha",IF(C3152="","⚠ Falta monto",IF(D3152="","⚠ Falta categoría",IF(ISNA(MATCH(D3152,catNom,0)),"⚠ Categoría no existe",IF(E3152="","⚠ Falta cuenta",IF(ISNA(MATCH(E3152,ctaNom,0)),"⚠ Cuenta no existe",IF(AND(OR(I3152="Transferencia",I3152="Pago tarjeta"),G3152=""),"⚠ Indica la cuenta «Hacia»",IF(AND(G3152&lt;&gt;"",G3152=E3152),"⚠ «Hacia» igual a la cuenta",IF(AND(G3152&lt;&gt;"",ISNA(MATCH(G3152,ctaNom,0))),"⚠ «Hacia» no existe",IF(AND(I3152="Pago tarjeta",IFERROR(INDEX(ctaTipo,MATCH(G3152,ctaNom,0)),"")&lt;&gt;"Tarjeta de crédito"),"⚠ «Hacia» debe ser la tarjeta",IF(AND(I3152="Trading",IFERROR(INDEX(ctaTipo,MATCH(E3152,ctaNom,0)),"")&lt;&gt;"Cuenta de trading"),"⚠ Usa la cuenta de trading","✓"))))))))))))</f>
        <v/>
      </c>
      <c r="I3152" s="19">
        <f>IF(OR(B3152="",C3152="",D3152=""),"",IFERROR(INDEX(catTipo,MATCH(D3152,catNom,0))&amp;"",""))</f>
        <v/>
      </c>
      <c r="J3152" s="19">
        <f>IF(I3152="","",IFERROR(INDEX(catGrupo,MATCH(D3152,catNom,0))&amp;"",""))</f>
        <v/>
      </c>
      <c r="K3152" s="19">
        <f>IF(I3152="Gasto",IF(IFERROR(INDEX(catClas,MATCH(D3152,catNom,0))&amp;"","")="","Variable",IFERROR(INDEX(catClas,MATCH(D3152,catNom,0))&amp;"","")),"")</f>
        <v/>
      </c>
      <c r="L3152" s="19">
        <f>IF(I3152="","",IFERROR(INDEX(catAlim,MATCH(D3152,catNom,0))&amp;"",""))</f>
        <v/>
      </c>
      <c r="M3152" s="19">
        <f>IF(I3152="","",IFERROR(INDEX(catComida,MATCH(D3152,catNom,0))&amp;"",""))</f>
        <v/>
      </c>
      <c r="N3152" s="19">
        <f>IF(I3152="","",IFERROR(INDEX(ctaMon,MATCH(E3152,ctaNom,0))&amp;"","DOP"))</f>
        <v/>
      </c>
      <c r="O3152" s="20">
        <f>IF(I3152="","",C3152*IF(N3152="USD",TasaUSD,1))</f>
        <v/>
      </c>
      <c r="P3152" s="20">
        <f>IF(I3152="","",IF(I3152="Gasto",O3152,0))</f>
        <v/>
      </c>
      <c r="Q3152" s="20">
        <f>IF(I3152="","",IF(I3152="Ingreso",O3152,0))</f>
        <v/>
      </c>
      <c r="R3152" s="20">
        <f>IF(I3152="","",IF(I3152="Trading",O3152,0))</f>
        <v/>
      </c>
      <c r="S3152" s="19">
        <f>IF(I3152="","",IF(AND(I3152="Gasto",K3152="Variable",J3152&lt;&gt;"Trading",O3152&gt;0,O3152&lt;=Umbral),1,0))</f>
        <v/>
      </c>
      <c r="T3152" s="20">
        <f>IF(OR(I3152="",E3152=""),"",IF(OR(I3152="Gasto",I3152="Transferencia",I3152="Pago tarjeta"),-1,1)*C3152)</f>
        <v/>
      </c>
      <c r="U3152" s="20">
        <f>IF(OR(G3152="",AND(I3152&lt;&gt;"Transferencia",I3152&lt;&gt;"Pago tarjeta")),"",IF(IFERROR(INDEX(ctaMon,MATCH(G3152,ctaNom,0))&amp;"","DOP")=N3152,C3152,IF(N3152="USD",C3152*TasaUSD,C3152/TasaUSD)))</f>
        <v/>
      </c>
      <c r="V3152" s="20">
        <f>IF(I3152="","",IF(IFERROR(INDEX(ctaLiq,MATCH(E3152,ctaNom,0))="Sí",FALSE),IF(OR(I3152="Gasto",I3152="Transferencia",I3152="Pago tarjeta"),-1,1)*O3152,0)+IF(AND(U3152&lt;&gt;"",IFERROR(INDEX(ctaLiq,MATCH(G3152,ctaNom,0))="Sí",FALSE)),O3152,0))</f>
        <v/>
      </c>
      <c r="W3152" s="19">
        <f>IF(OR(F3152="",I3152=""),"",IF(COUNTIFS(F$6:F3152,F3152,I$6:I3152,"?*")=1,MAX(W$5:W3151)+1,""))</f>
        <v/>
      </c>
    </row>
    <row r="3153">
      <c r="B3153" s="15" t="n"/>
      <c r="C3153" s="16" t="n"/>
      <c r="D3153" s="17" t="n"/>
      <c r="E3153" s="17" t="n"/>
      <c r="F3153" s="17" t="n"/>
      <c r="G3153" s="17" t="n"/>
      <c r="H3153" s="18">
        <f>IF(AND(B3153="",C3153="",D3153="",E3153=""),"",IF(B3153="","⚠ Falta fecha",IF(C3153="","⚠ Falta monto",IF(D3153="","⚠ Falta categoría",IF(ISNA(MATCH(D3153,catNom,0)),"⚠ Categoría no existe",IF(E3153="","⚠ Falta cuenta",IF(ISNA(MATCH(E3153,ctaNom,0)),"⚠ Cuenta no existe",IF(AND(OR(I3153="Transferencia",I3153="Pago tarjeta"),G3153=""),"⚠ Indica la cuenta «Hacia»",IF(AND(G3153&lt;&gt;"",G3153=E3153),"⚠ «Hacia» igual a la cuenta",IF(AND(G3153&lt;&gt;"",ISNA(MATCH(G3153,ctaNom,0))),"⚠ «Hacia» no existe",IF(AND(I3153="Pago tarjeta",IFERROR(INDEX(ctaTipo,MATCH(G3153,ctaNom,0)),"")&lt;&gt;"Tarjeta de crédito"),"⚠ «Hacia» debe ser la tarjeta",IF(AND(I3153="Trading",IFERROR(INDEX(ctaTipo,MATCH(E3153,ctaNom,0)),"")&lt;&gt;"Cuenta de trading"),"⚠ Usa la cuenta de trading","✓"))))))))))))</f>
        <v/>
      </c>
      <c r="I3153" s="19">
        <f>IF(OR(B3153="",C3153="",D3153=""),"",IFERROR(INDEX(catTipo,MATCH(D3153,catNom,0))&amp;"",""))</f>
        <v/>
      </c>
      <c r="J3153" s="19">
        <f>IF(I3153="","",IFERROR(INDEX(catGrupo,MATCH(D3153,catNom,0))&amp;"",""))</f>
        <v/>
      </c>
      <c r="K3153" s="19">
        <f>IF(I3153="Gasto",IF(IFERROR(INDEX(catClas,MATCH(D3153,catNom,0))&amp;"","")="","Variable",IFERROR(INDEX(catClas,MATCH(D3153,catNom,0))&amp;"","")),"")</f>
        <v/>
      </c>
      <c r="L3153" s="19">
        <f>IF(I3153="","",IFERROR(INDEX(catAlim,MATCH(D3153,catNom,0))&amp;"",""))</f>
        <v/>
      </c>
      <c r="M3153" s="19">
        <f>IF(I3153="","",IFERROR(INDEX(catComida,MATCH(D3153,catNom,0))&amp;"",""))</f>
        <v/>
      </c>
      <c r="N3153" s="19">
        <f>IF(I3153="","",IFERROR(INDEX(ctaMon,MATCH(E3153,ctaNom,0))&amp;"","DOP"))</f>
        <v/>
      </c>
      <c r="O3153" s="20">
        <f>IF(I3153="","",C3153*IF(N3153="USD",TasaUSD,1))</f>
        <v/>
      </c>
      <c r="P3153" s="20">
        <f>IF(I3153="","",IF(I3153="Gasto",O3153,0))</f>
        <v/>
      </c>
      <c r="Q3153" s="20">
        <f>IF(I3153="","",IF(I3153="Ingreso",O3153,0))</f>
        <v/>
      </c>
      <c r="R3153" s="20">
        <f>IF(I3153="","",IF(I3153="Trading",O3153,0))</f>
        <v/>
      </c>
      <c r="S3153" s="19">
        <f>IF(I3153="","",IF(AND(I3153="Gasto",K3153="Variable",J3153&lt;&gt;"Trading",O3153&gt;0,O3153&lt;=Umbral),1,0))</f>
        <v/>
      </c>
      <c r="T3153" s="20">
        <f>IF(OR(I3153="",E3153=""),"",IF(OR(I3153="Gasto",I3153="Transferencia",I3153="Pago tarjeta"),-1,1)*C3153)</f>
        <v/>
      </c>
      <c r="U3153" s="20">
        <f>IF(OR(G3153="",AND(I3153&lt;&gt;"Transferencia",I3153&lt;&gt;"Pago tarjeta")),"",IF(IFERROR(INDEX(ctaMon,MATCH(G3153,ctaNom,0))&amp;"","DOP")=N3153,C3153,IF(N3153="USD",C3153*TasaUSD,C3153/TasaUSD)))</f>
        <v/>
      </c>
      <c r="V3153" s="20">
        <f>IF(I3153="","",IF(IFERROR(INDEX(ctaLiq,MATCH(E3153,ctaNom,0))="Sí",FALSE),IF(OR(I3153="Gasto",I3153="Transferencia",I3153="Pago tarjeta"),-1,1)*O3153,0)+IF(AND(U3153&lt;&gt;"",IFERROR(INDEX(ctaLiq,MATCH(G3153,ctaNom,0))="Sí",FALSE)),O3153,0))</f>
        <v/>
      </c>
      <c r="W3153" s="19">
        <f>IF(OR(F3153="",I3153=""),"",IF(COUNTIFS(F$6:F3153,F3153,I$6:I3153,"?*")=1,MAX(W$5:W3152)+1,""))</f>
        <v/>
      </c>
    </row>
    <row r="3154">
      <c r="B3154" s="15" t="n"/>
      <c r="C3154" s="16" t="n"/>
      <c r="D3154" s="17" t="n"/>
      <c r="E3154" s="17" t="n"/>
      <c r="F3154" s="17" t="n"/>
      <c r="G3154" s="17" t="n"/>
      <c r="H3154" s="18">
        <f>IF(AND(B3154="",C3154="",D3154="",E3154=""),"",IF(B3154="","⚠ Falta fecha",IF(C3154="","⚠ Falta monto",IF(D3154="","⚠ Falta categoría",IF(ISNA(MATCH(D3154,catNom,0)),"⚠ Categoría no existe",IF(E3154="","⚠ Falta cuenta",IF(ISNA(MATCH(E3154,ctaNom,0)),"⚠ Cuenta no existe",IF(AND(OR(I3154="Transferencia",I3154="Pago tarjeta"),G3154=""),"⚠ Indica la cuenta «Hacia»",IF(AND(G3154&lt;&gt;"",G3154=E3154),"⚠ «Hacia» igual a la cuenta",IF(AND(G3154&lt;&gt;"",ISNA(MATCH(G3154,ctaNom,0))),"⚠ «Hacia» no existe",IF(AND(I3154="Pago tarjeta",IFERROR(INDEX(ctaTipo,MATCH(G3154,ctaNom,0)),"")&lt;&gt;"Tarjeta de crédito"),"⚠ «Hacia» debe ser la tarjeta",IF(AND(I3154="Trading",IFERROR(INDEX(ctaTipo,MATCH(E3154,ctaNom,0)),"")&lt;&gt;"Cuenta de trading"),"⚠ Usa la cuenta de trading","✓"))))))))))))</f>
        <v/>
      </c>
      <c r="I3154" s="19">
        <f>IF(OR(B3154="",C3154="",D3154=""),"",IFERROR(INDEX(catTipo,MATCH(D3154,catNom,0))&amp;"",""))</f>
        <v/>
      </c>
      <c r="J3154" s="19">
        <f>IF(I3154="","",IFERROR(INDEX(catGrupo,MATCH(D3154,catNom,0))&amp;"",""))</f>
        <v/>
      </c>
      <c r="K3154" s="19">
        <f>IF(I3154="Gasto",IF(IFERROR(INDEX(catClas,MATCH(D3154,catNom,0))&amp;"","")="","Variable",IFERROR(INDEX(catClas,MATCH(D3154,catNom,0))&amp;"","")),"")</f>
        <v/>
      </c>
      <c r="L3154" s="19">
        <f>IF(I3154="","",IFERROR(INDEX(catAlim,MATCH(D3154,catNom,0))&amp;"",""))</f>
        <v/>
      </c>
      <c r="M3154" s="19">
        <f>IF(I3154="","",IFERROR(INDEX(catComida,MATCH(D3154,catNom,0))&amp;"",""))</f>
        <v/>
      </c>
      <c r="N3154" s="19">
        <f>IF(I3154="","",IFERROR(INDEX(ctaMon,MATCH(E3154,ctaNom,0))&amp;"","DOP"))</f>
        <v/>
      </c>
      <c r="O3154" s="20">
        <f>IF(I3154="","",C3154*IF(N3154="USD",TasaUSD,1))</f>
        <v/>
      </c>
      <c r="P3154" s="20">
        <f>IF(I3154="","",IF(I3154="Gasto",O3154,0))</f>
        <v/>
      </c>
      <c r="Q3154" s="20">
        <f>IF(I3154="","",IF(I3154="Ingreso",O3154,0))</f>
        <v/>
      </c>
      <c r="R3154" s="20">
        <f>IF(I3154="","",IF(I3154="Trading",O3154,0))</f>
        <v/>
      </c>
      <c r="S3154" s="19">
        <f>IF(I3154="","",IF(AND(I3154="Gasto",K3154="Variable",J3154&lt;&gt;"Trading",O3154&gt;0,O3154&lt;=Umbral),1,0))</f>
        <v/>
      </c>
      <c r="T3154" s="20">
        <f>IF(OR(I3154="",E3154=""),"",IF(OR(I3154="Gasto",I3154="Transferencia",I3154="Pago tarjeta"),-1,1)*C3154)</f>
        <v/>
      </c>
      <c r="U3154" s="20">
        <f>IF(OR(G3154="",AND(I3154&lt;&gt;"Transferencia",I3154&lt;&gt;"Pago tarjeta")),"",IF(IFERROR(INDEX(ctaMon,MATCH(G3154,ctaNom,0))&amp;"","DOP")=N3154,C3154,IF(N3154="USD",C3154*TasaUSD,C3154/TasaUSD)))</f>
        <v/>
      </c>
      <c r="V3154" s="20">
        <f>IF(I3154="","",IF(IFERROR(INDEX(ctaLiq,MATCH(E3154,ctaNom,0))="Sí",FALSE),IF(OR(I3154="Gasto",I3154="Transferencia",I3154="Pago tarjeta"),-1,1)*O3154,0)+IF(AND(U3154&lt;&gt;"",IFERROR(INDEX(ctaLiq,MATCH(G3154,ctaNom,0))="Sí",FALSE)),O3154,0))</f>
        <v/>
      </c>
      <c r="W3154" s="19">
        <f>IF(OR(F3154="",I3154=""),"",IF(COUNTIFS(F$6:F3154,F3154,I$6:I3154,"?*")=1,MAX(W$5:W3153)+1,""))</f>
        <v/>
      </c>
    </row>
    <row r="3155">
      <c r="B3155" s="15" t="n"/>
      <c r="C3155" s="16" t="n"/>
      <c r="D3155" s="17" t="n"/>
      <c r="E3155" s="17" t="n"/>
      <c r="F3155" s="17" t="n"/>
      <c r="G3155" s="17" t="n"/>
      <c r="H3155" s="18">
        <f>IF(AND(B3155="",C3155="",D3155="",E3155=""),"",IF(B3155="","⚠ Falta fecha",IF(C3155="","⚠ Falta monto",IF(D3155="","⚠ Falta categoría",IF(ISNA(MATCH(D3155,catNom,0)),"⚠ Categoría no existe",IF(E3155="","⚠ Falta cuenta",IF(ISNA(MATCH(E3155,ctaNom,0)),"⚠ Cuenta no existe",IF(AND(OR(I3155="Transferencia",I3155="Pago tarjeta"),G3155=""),"⚠ Indica la cuenta «Hacia»",IF(AND(G3155&lt;&gt;"",G3155=E3155),"⚠ «Hacia» igual a la cuenta",IF(AND(G3155&lt;&gt;"",ISNA(MATCH(G3155,ctaNom,0))),"⚠ «Hacia» no existe",IF(AND(I3155="Pago tarjeta",IFERROR(INDEX(ctaTipo,MATCH(G3155,ctaNom,0)),"")&lt;&gt;"Tarjeta de crédito"),"⚠ «Hacia» debe ser la tarjeta",IF(AND(I3155="Trading",IFERROR(INDEX(ctaTipo,MATCH(E3155,ctaNom,0)),"")&lt;&gt;"Cuenta de trading"),"⚠ Usa la cuenta de trading","✓"))))))))))))</f>
        <v/>
      </c>
      <c r="I3155" s="19">
        <f>IF(OR(B3155="",C3155="",D3155=""),"",IFERROR(INDEX(catTipo,MATCH(D3155,catNom,0))&amp;"",""))</f>
        <v/>
      </c>
      <c r="J3155" s="19">
        <f>IF(I3155="","",IFERROR(INDEX(catGrupo,MATCH(D3155,catNom,0))&amp;"",""))</f>
        <v/>
      </c>
      <c r="K3155" s="19">
        <f>IF(I3155="Gasto",IF(IFERROR(INDEX(catClas,MATCH(D3155,catNom,0))&amp;"","")="","Variable",IFERROR(INDEX(catClas,MATCH(D3155,catNom,0))&amp;"","")),"")</f>
        <v/>
      </c>
      <c r="L3155" s="19">
        <f>IF(I3155="","",IFERROR(INDEX(catAlim,MATCH(D3155,catNom,0))&amp;"",""))</f>
        <v/>
      </c>
      <c r="M3155" s="19">
        <f>IF(I3155="","",IFERROR(INDEX(catComida,MATCH(D3155,catNom,0))&amp;"",""))</f>
        <v/>
      </c>
      <c r="N3155" s="19">
        <f>IF(I3155="","",IFERROR(INDEX(ctaMon,MATCH(E3155,ctaNom,0))&amp;"","DOP"))</f>
        <v/>
      </c>
      <c r="O3155" s="20">
        <f>IF(I3155="","",C3155*IF(N3155="USD",TasaUSD,1))</f>
        <v/>
      </c>
      <c r="P3155" s="20">
        <f>IF(I3155="","",IF(I3155="Gasto",O3155,0))</f>
        <v/>
      </c>
      <c r="Q3155" s="20">
        <f>IF(I3155="","",IF(I3155="Ingreso",O3155,0))</f>
        <v/>
      </c>
      <c r="R3155" s="20">
        <f>IF(I3155="","",IF(I3155="Trading",O3155,0))</f>
        <v/>
      </c>
      <c r="S3155" s="19">
        <f>IF(I3155="","",IF(AND(I3155="Gasto",K3155="Variable",J3155&lt;&gt;"Trading",O3155&gt;0,O3155&lt;=Umbral),1,0))</f>
        <v/>
      </c>
      <c r="T3155" s="20">
        <f>IF(OR(I3155="",E3155=""),"",IF(OR(I3155="Gasto",I3155="Transferencia",I3155="Pago tarjeta"),-1,1)*C3155)</f>
        <v/>
      </c>
      <c r="U3155" s="20">
        <f>IF(OR(G3155="",AND(I3155&lt;&gt;"Transferencia",I3155&lt;&gt;"Pago tarjeta")),"",IF(IFERROR(INDEX(ctaMon,MATCH(G3155,ctaNom,0))&amp;"","DOP")=N3155,C3155,IF(N3155="USD",C3155*TasaUSD,C3155/TasaUSD)))</f>
        <v/>
      </c>
      <c r="V3155" s="20">
        <f>IF(I3155="","",IF(IFERROR(INDEX(ctaLiq,MATCH(E3155,ctaNom,0))="Sí",FALSE),IF(OR(I3155="Gasto",I3155="Transferencia",I3155="Pago tarjeta"),-1,1)*O3155,0)+IF(AND(U3155&lt;&gt;"",IFERROR(INDEX(ctaLiq,MATCH(G3155,ctaNom,0))="Sí",FALSE)),O3155,0))</f>
        <v/>
      </c>
      <c r="W3155" s="19">
        <f>IF(OR(F3155="",I3155=""),"",IF(COUNTIFS(F$6:F3155,F3155,I$6:I3155,"?*")=1,MAX(W$5:W3154)+1,""))</f>
        <v/>
      </c>
    </row>
    <row r="3156">
      <c r="B3156" s="15" t="n"/>
      <c r="C3156" s="16" t="n"/>
      <c r="D3156" s="17" t="n"/>
      <c r="E3156" s="17" t="n"/>
      <c r="F3156" s="17" t="n"/>
      <c r="G3156" s="17" t="n"/>
      <c r="H3156" s="18">
        <f>IF(AND(B3156="",C3156="",D3156="",E3156=""),"",IF(B3156="","⚠ Falta fecha",IF(C3156="","⚠ Falta monto",IF(D3156="","⚠ Falta categoría",IF(ISNA(MATCH(D3156,catNom,0)),"⚠ Categoría no existe",IF(E3156="","⚠ Falta cuenta",IF(ISNA(MATCH(E3156,ctaNom,0)),"⚠ Cuenta no existe",IF(AND(OR(I3156="Transferencia",I3156="Pago tarjeta"),G3156=""),"⚠ Indica la cuenta «Hacia»",IF(AND(G3156&lt;&gt;"",G3156=E3156),"⚠ «Hacia» igual a la cuenta",IF(AND(G3156&lt;&gt;"",ISNA(MATCH(G3156,ctaNom,0))),"⚠ «Hacia» no existe",IF(AND(I3156="Pago tarjeta",IFERROR(INDEX(ctaTipo,MATCH(G3156,ctaNom,0)),"")&lt;&gt;"Tarjeta de crédito"),"⚠ «Hacia» debe ser la tarjeta",IF(AND(I3156="Trading",IFERROR(INDEX(ctaTipo,MATCH(E3156,ctaNom,0)),"")&lt;&gt;"Cuenta de trading"),"⚠ Usa la cuenta de trading","✓"))))))))))))</f>
        <v/>
      </c>
      <c r="I3156" s="19">
        <f>IF(OR(B3156="",C3156="",D3156=""),"",IFERROR(INDEX(catTipo,MATCH(D3156,catNom,0))&amp;"",""))</f>
        <v/>
      </c>
      <c r="J3156" s="19">
        <f>IF(I3156="","",IFERROR(INDEX(catGrupo,MATCH(D3156,catNom,0))&amp;"",""))</f>
        <v/>
      </c>
      <c r="K3156" s="19">
        <f>IF(I3156="Gasto",IF(IFERROR(INDEX(catClas,MATCH(D3156,catNom,0))&amp;"","")="","Variable",IFERROR(INDEX(catClas,MATCH(D3156,catNom,0))&amp;"","")),"")</f>
        <v/>
      </c>
      <c r="L3156" s="19">
        <f>IF(I3156="","",IFERROR(INDEX(catAlim,MATCH(D3156,catNom,0))&amp;"",""))</f>
        <v/>
      </c>
      <c r="M3156" s="19">
        <f>IF(I3156="","",IFERROR(INDEX(catComida,MATCH(D3156,catNom,0))&amp;"",""))</f>
        <v/>
      </c>
      <c r="N3156" s="19">
        <f>IF(I3156="","",IFERROR(INDEX(ctaMon,MATCH(E3156,ctaNom,0))&amp;"","DOP"))</f>
        <v/>
      </c>
      <c r="O3156" s="20">
        <f>IF(I3156="","",C3156*IF(N3156="USD",TasaUSD,1))</f>
        <v/>
      </c>
      <c r="P3156" s="20">
        <f>IF(I3156="","",IF(I3156="Gasto",O3156,0))</f>
        <v/>
      </c>
      <c r="Q3156" s="20">
        <f>IF(I3156="","",IF(I3156="Ingreso",O3156,0))</f>
        <v/>
      </c>
      <c r="R3156" s="20">
        <f>IF(I3156="","",IF(I3156="Trading",O3156,0))</f>
        <v/>
      </c>
      <c r="S3156" s="19">
        <f>IF(I3156="","",IF(AND(I3156="Gasto",K3156="Variable",J3156&lt;&gt;"Trading",O3156&gt;0,O3156&lt;=Umbral),1,0))</f>
        <v/>
      </c>
      <c r="T3156" s="20">
        <f>IF(OR(I3156="",E3156=""),"",IF(OR(I3156="Gasto",I3156="Transferencia",I3156="Pago tarjeta"),-1,1)*C3156)</f>
        <v/>
      </c>
      <c r="U3156" s="20">
        <f>IF(OR(G3156="",AND(I3156&lt;&gt;"Transferencia",I3156&lt;&gt;"Pago tarjeta")),"",IF(IFERROR(INDEX(ctaMon,MATCH(G3156,ctaNom,0))&amp;"","DOP")=N3156,C3156,IF(N3156="USD",C3156*TasaUSD,C3156/TasaUSD)))</f>
        <v/>
      </c>
      <c r="V3156" s="20">
        <f>IF(I3156="","",IF(IFERROR(INDEX(ctaLiq,MATCH(E3156,ctaNom,0))="Sí",FALSE),IF(OR(I3156="Gasto",I3156="Transferencia",I3156="Pago tarjeta"),-1,1)*O3156,0)+IF(AND(U3156&lt;&gt;"",IFERROR(INDEX(ctaLiq,MATCH(G3156,ctaNom,0))="Sí",FALSE)),O3156,0))</f>
        <v/>
      </c>
      <c r="W3156" s="19">
        <f>IF(OR(F3156="",I3156=""),"",IF(COUNTIFS(F$6:F3156,F3156,I$6:I3156,"?*")=1,MAX(W$5:W3155)+1,""))</f>
        <v/>
      </c>
    </row>
    <row r="3157">
      <c r="B3157" s="15" t="n"/>
      <c r="C3157" s="16" t="n"/>
      <c r="D3157" s="17" t="n"/>
      <c r="E3157" s="17" t="n"/>
      <c r="F3157" s="17" t="n"/>
      <c r="G3157" s="17" t="n"/>
      <c r="H3157" s="18">
        <f>IF(AND(B3157="",C3157="",D3157="",E3157=""),"",IF(B3157="","⚠ Falta fecha",IF(C3157="","⚠ Falta monto",IF(D3157="","⚠ Falta categoría",IF(ISNA(MATCH(D3157,catNom,0)),"⚠ Categoría no existe",IF(E3157="","⚠ Falta cuenta",IF(ISNA(MATCH(E3157,ctaNom,0)),"⚠ Cuenta no existe",IF(AND(OR(I3157="Transferencia",I3157="Pago tarjeta"),G3157=""),"⚠ Indica la cuenta «Hacia»",IF(AND(G3157&lt;&gt;"",G3157=E3157),"⚠ «Hacia» igual a la cuenta",IF(AND(G3157&lt;&gt;"",ISNA(MATCH(G3157,ctaNom,0))),"⚠ «Hacia» no existe",IF(AND(I3157="Pago tarjeta",IFERROR(INDEX(ctaTipo,MATCH(G3157,ctaNom,0)),"")&lt;&gt;"Tarjeta de crédito"),"⚠ «Hacia» debe ser la tarjeta",IF(AND(I3157="Trading",IFERROR(INDEX(ctaTipo,MATCH(E3157,ctaNom,0)),"")&lt;&gt;"Cuenta de trading"),"⚠ Usa la cuenta de trading","✓"))))))))))))</f>
        <v/>
      </c>
      <c r="I3157" s="19">
        <f>IF(OR(B3157="",C3157="",D3157=""),"",IFERROR(INDEX(catTipo,MATCH(D3157,catNom,0))&amp;"",""))</f>
        <v/>
      </c>
      <c r="J3157" s="19">
        <f>IF(I3157="","",IFERROR(INDEX(catGrupo,MATCH(D3157,catNom,0))&amp;"",""))</f>
        <v/>
      </c>
      <c r="K3157" s="19">
        <f>IF(I3157="Gasto",IF(IFERROR(INDEX(catClas,MATCH(D3157,catNom,0))&amp;"","")="","Variable",IFERROR(INDEX(catClas,MATCH(D3157,catNom,0))&amp;"","")),"")</f>
        <v/>
      </c>
      <c r="L3157" s="19">
        <f>IF(I3157="","",IFERROR(INDEX(catAlim,MATCH(D3157,catNom,0))&amp;"",""))</f>
        <v/>
      </c>
      <c r="M3157" s="19">
        <f>IF(I3157="","",IFERROR(INDEX(catComida,MATCH(D3157,catNom,0))&amp;"",""))</f>
        <v/>
      </c>
      <c r="N3157" s="19">
        <f>IF(I3157="","",IFERROR(INDEX(ctaMon,MATCH(E3157,ctaNom,0))&amp;"","DOP"))</f>
        <v/>
      </c>
      <c r="O3157" s="20">
        <f>IF(I3157="","",C3157*IF(N3157="USD",TasaUSD,1))</f>
        <v/>
      </c>
      <c r="P3157" s="20">
        <f>IF(I3157="","",IF(I3157="Gasto",O3157,0))</f>
        <v/>
      </c>
      <c r="Q3157" s="20">
        <f>IF(I3157="","",IF(I3157="Ingreso",O3157,0))</f>
        <v/>
      </c>
      <c r="R3157" s="20">
        <f>IF(I3157="","",IF(I3157="Trading",O3157,0))</f>
        <v/>
      </c>
      <c r="S3157" s="19">
        <f>IF(I3157="","",IF(AND(I3157="Gasto",K3157="Variable",J3157&lt;&gt;"Trading",O3157&gt;0,O3157&lt;=Umbral),1,0))</f>
        <v/>
      </c>
      <c r="T3157" s="20">
        <f>IF(OR(I3157="",E3157=""),"",IF(OR(I3157="Gasto",I3157="Transferencia",I3157="Pago tarjeta"),-1,1)*C3157)</f>
        <v/>
      </c>
      <c r="U3157" s="20">
        <f>IF(OR(G3157="",AND(I3157&lt;&gt;"Transferencia",I3157&lt;&gt;"Pago tarjeta")),"",IF(IFERROR(INDEX(ctaMon,MATCH(G3157,ctaNom,0))&amp;"","DOP")=N3157,C3157,IF(N3157="USD",C3157*TasaUSD,C3157/TasaUSD)))</f>
        <v/>
      </c>
      <c r="V3157" s="20">
        <f>IF(I3157="","",IF(IFERROR(INDEX(ctaLiq,MATCH(E3157,ctaNom,0))="Sí",FALSE),IF(OR(I3157="Gasto",I3157="Transferencia",I3157="Pago tarjeta"),-1,1)*O3157,0)+IF(AND(U3157&lt;&gt;"",IFERROR(INDEX(ctaLiq,MATCH(G3157,ctaNom,0))="Sí",FALSE)),O3157,0))</f>
        <v/>
      </c>
      <c r="W3157" s="19">
        <f>IF(OR(F3157="",I3157=""),"",IF(COUNTIFS(F$6:F3157,F3157,I$6:I3157,"?*")=1,MAX(W$5:W3156)+1,""))</f>
        <v/>
      </c>
    </row>
    <row r="3158">
      <c r="B3158" s="15" t="n"/>
      <c r="C3158" s="16" t="n"/>
      <c r="D3158" s="17" t="n"/>
      <c r="E3158" s="17" t="n"/>
      <c r="F3158" s="17" t="n"/>
      <c r="G3158" s="17" t="n"/>
      <c r="H3158" s="18">
        <f>IF(AND(B3158="",C3158="",D3158="",E3158=""),"",IF(B3158="","⚠ Falta fecha",IF(C3158="","⚠ Falta monto",IF(D3158="","⚠ Falta categoría",IF(ISNA(MATCH(D3158,catNom,0)),"⚠ Categoría no existe",IF(E3158="","⚠ Falta cuenta",IF(ISNA(MATCH(E3158,ctaNom,0)),"⚠ Cuenta no existe",IF(AND(OR(I3158="Transferencia",I3158="Pago tarjeta"),G3158=""),"⚠ Indica la cuenta «Hacia»",IF(AND(G3158&lt;&gt;"",G3158=E3158),"⚠ «Hacia» igual a la cuenta",IF(AND(G3158&lt;&gt;"",ISNA(MATCH(G3158,ctaNom,0))),"⚠ «Hacia» no existe",IF(AND(I3158="Pago tarjeta",IFERROR(INDEX(ctaTipo,MATCH(G3158,ctaNom,0)),"")&lt;&gt;"Tarjeta de crédito"),"⚠ «Hacia» debe ser la tarjeta",IF(AND(I3158="Trading",IFERROR(INDEX(ctaTipo,MATCH(E3158,ctaNom,0)),"")&lt;&gt;"Cuenta de trading"),"⚠ Usa la cuenta de trading","✓"))))))))))))</f>
        <v/>
      </c>
      <c r="I3158" s="19">
        <f>IF(OR(B3158="",C3158="",D3158=""),"",IFERROR(INDEX(catTipo,MATCH(D3158,catNom,0))&amp;"",""))</f>
        <v/>
      </c>
      <c r="J3158" s="19">
        <f>IF(I3158="","",IFERROR(INDEX(catGrupo,MATCH(D3158,catNom,0))&amp;"",""))</f>
        <v/>
      </c>
      <c r="K3158" s="19">
        <f>IF(I3158="Gasto",IF(IFERROR(INDEX(catClas,MATCH(D3158,catNom,0))&amp;"","")="","Variable",IFERROR(INDEX(catClas,MATCH(D3158,catNom,0))&amp;"","")),"")</f>
        <v/>
      </c>
      <c r="L3158" s="19">
        <f>IF(I3158="","",IFERROR(INDEX(catAlim,MATCH(D3158,catNom,0))&amp;"",""))</f>
        <v/>
      </c>
      <c r="M3158" s="19">
        <f>IF(I3158="","",IFERROR(INDEX(catComida,MATCH(D3158,catNom,0))&amp;"",""))</f>
        <v/>
      </c>
      <c r="N3158" s="19">
        <f>IF(I3158="","",IFERROR(INDEX(ctaMon,MATCH(E3158,ctaNom,0))&amp;"","DOP"))</f>
        <v/>
      </c>
      <c r="O3158" s="20">
        <f>IF(I3158="","",C3158*IF(N3158="USD",TasaUSD,1))</f>
        <v/>
      </c>
      <c r="P3158" s="20">
        <f>IF(I3158="","",IF(I3158="Gasto",O3158,0))</f>
        <v/>
      </c>
      <c r="Q3158" s="20">
        <f>IF(I3158="","",IF(I3158="Ingreso",O3158,0))</f>
        <v/>
      </c>
      <c r="R3158" s="20">
        <f>IF(I3158="","",IF(I3158="Trading",O3158,0))</f>
        <v/>
      </c>
      <c r="S3158" s="19">
        <f>IF(I3158="","",IF(AND(I3158="Gasto",K3158="Variable",J3158&lt;&gt;"Trading",O3158&gt;0,O3158&lt;=Umbral),1,0))</f>
        <v/>
      </c>
      <c r="T3158" s="20">
        <f>IF(OR(I3158="",E3158=""),"",IF(OR(I3158="Gasto",I3158="Transferencia",I3158="Pago tarjeta"),-1,1)*C3158)</f>
        <v/>
      </c>
      <c r="U3158" s="20">
        <f>IF(OR(G3158="",AND(I3158&lt;&gt;"Transferencia",I3158&lt;&gt;"Pago tarjeta")),"",IF(IFERROR(INDEX(ctaMon,MATCH(G3158,ctaNom,0))&amp;"","DOP")=N3158,C3158,IF(N3158="USD",C3158*TasaUSD,C3158/TasaUSD)))</f>
        <v/>
      </c>
      <c r="V3158" s="20">
        <f>IF(I3158="","",IF(IFERROR(INDEX(ctaLiq,MATCH(E3158,ctaNom,0))="Sí",FALSE),IF(OR(I3158="Gasto",I3158="Transferencia",I3158="Pago tarjeta"),-1,1)*O3158,0)+IF(AND(U3158&lt;&gt;"",IFERROR(INDEX(ctaLiq,MATCH(G3158,ctaNom,0))="Sí",FALSE)),O3158,0))</f>
        <v/>
      </c>
      <c r="W3158" s="19">
        <f>IF(OR(F3158="",I3158=""),"",IF(COUNTIFS(F$6:F3158,F3158,I$6:I3158,"?*")=1,MAX(W$5:W3157)+1,""))</f>
        <v/>
      </c>
    </row>
    <row r="3159">
      <c r="B3159" s="15" t="n"/>
      <c r="C3159" s="16" t="n"/>
      <c r="D3159" s="17" t="n"/>
      <c r="E3159" s="17" t="n"/>
      <c r="F3159" s="17" t="n"/>
      <c r="G3159" s="17" t="n"/>
      <c r="H3159" s="18">
        <f>IF(AND(B3159="",C3159="",D3159="",E3159=""),"",IF(B3159="","⚠ Falta fecha",IF(C3159="","⚠ Falta monto",IF(D3159="","⚠ Falta categoría",IF(ISNA(MATCH(D3159,catNom,0)),"⚠ Categoría no existe",IF(E3159="","⚠ Falta cuenta",IF(ISNA(MATCH(E3159,ctaNom,0)),"⚠ Cuenta no existe",IF(AND(OR(I3159="Transferencia",I3159="Pago tarjeta"),G3159=""),"⚠ Indica la cuenta «Hacia»",IF(AND(G3159&lt;&gt;"",G3159=E3159),"⚠ «Hacia» igual a la cuenta",IF(AND(G3159&lt;&gt;"",ISNA(MATCH(G3159,ctaNom,0))),"⚠ «Hacia» no existe",IF(AND(I3159="Pago tarjeta",IFERROR(INDEX(ctaTipo,MATCH(G3159,ctaNom,0)),"")&lt;&gt;"Tarjeta de crédito"),"⚠ «Hacia» debe ser la tarjeta",IF(AND(I3159="Trading",IFERROR(INDEX(ctaTipo,MATCH(E3159,ctaNom,0)),"")&lt;&gt;"Cuenta de trading"),"⚠ Usa la cuenta de trading","✓"))))))))))))</f>
        <v/>
      </c>
      <c r="I3159" s="19">
        <f>IF(OR(B3159="",C3159="",D3159=""),"",IFERROR(INDEX(catTipo,MATCH(D3159,catNom,0))&amp;"",""))</f>
        <v/>
      </c>
      <c r="J3159" s="19">
        <f>IF(I3159="","",IFERROR(INDEX(catGrupo,MATCH(D3159,catNom,0))&amp;"",""))</f>
        <v/>
      </c>
      <c r="K3159" s="19">
        <f>IF(I3159="Gasto",IF(IFERROR(INDEX(catClas,MATCH(D3159,catNom,0))&amp;"","")="","Variable",IFERROR(INDEX(catClas,MATCH(D3159,catNom,0))&amp;"","")),"")</f>
        <v/>
      </c>
      <c r="L3159" s="19">
        <f>IF(I3159="","",IFERROR(INDEX(catAlim,MATCH(D3159,catNom,0))&amp;"",""))</f>
        <v/>
      </c>
      <c r="M3159" s="19">
        <f>IF(I3159="","",IFERROR(INDEX(catComida,MATCH(D3159,catNom,0))&amp;"",""))</f>
        <v/>
      </c>
      <c r="N3159" s="19">
        <f>IF(I3159="","",IFERROR(INDEX(ctaMon,MATCH(E3159,ctaNom,0))&amp;"","DOP"))</f>
        <v/>
      </c>
      <c r="O3159" s="20">
        <f>IF(I3159="","",C3159*IF(N3159="USD",TasaUSD,1))</f>
        <v/>
      </c>
      <c r="P3159" s="20">
        <f>IF(I3159="","",IF(I3159="Gasto",O3159,0))</f>
        <v/>
      </c>
      <c r="Q3159" s="20">
        <f>IF(I3159="","",IF(I3159="Ingreso",O3159,0))</f>
        <v/>
      </c>
      <c r="R3159" s="20">
        <f>IF(I3159="","",IF(I3159="Trading",O3159,0))</f>
        <v/>
      </c>
      <c r="S3159" s="19">
        <f>IF(I3159="","",IF(AND(I3159="Gasto",K3159="Variable",J3159&lt;&gt;"Trading",O3159&gt;0,O3159&lt;=Umbral),1,0))</f>
        <v/>
      </c>
      <c r="T3159" s="20">
        <f>IF(OR(I3159="",E3159=""),"",IF(OR(I3159="Gasto",I3159="Transferencia",I3159="Pago tarjeta"),-1,1)*C3159)</f>
        <v/>
      </c>
      <c r="U3159" s="20">
        <f>IF(OR(G3159="",AND(I3159&lt;&gt;"Transferencia",I3159&lt;&gt;"Pago tarjeta")),"",IF(IFERROR(INDEX(ctaMon,MATCH(G3159,ctaNom,0))&amp;"","DOP")=N3159,C3159,IF(N3159="USD",C3159*TasaUSD,C3159/TasaUSD)))</f>
        <v/>
      </c>
      <c r="V3159" s="20">
        <f>IF(I3159="","",IF(IFERROR(INDEX(ctaLiq,MATCH(E3159,ctaNom,0))="Sí",FALSE),IF(OR(I3159="Gasto",I3159="Transferencia",I3159="Pago tarjeta"),-1,1)*O3159,0)+IF(AND(U3159&lt;&gt;"",IFERROR(INDEX(ctaLiq,MATCH(G3159,ctaNom,0))="Sí",FALSE)),O3159,0))</f>
        <v/>
      </c>
      <c r="W3159" s="19">
        <f>IF(OR(F3159="",I3159=""),"",IF(COUNTIFS(F$6:F3159,F3159,I$6:I3159,"?*")=1,MAX(W$5:W3158)+1,""))</f>
        <v/>
      </c>
    </row>
    <row r="3160">
      <c r="B3160" s="15" t="n"/>
      <c r="C3160" s="16" t="n"/>
      <c r="D3160" s="17" t="n"/>
      <c r="E3160" s="17" t="n"/>
      <c r="F3160" s="17" t="n"/>
      <c r="G3160" s="17" t="n"/>
      <c r="H3160" s="18">
        <f>IF(AND(B3160="",C3160="",D3160="",E3160=""),"",IF(B3160="","⚠ Falta fecha",IF(C3160="","⚠ Falta monto",IF(D3160="","⚠ Falta categoría",IF(ISNA(MATCH(D3160,catNom,0)),"⚠ Categoría no existe",IF(E3160="","⚠ Falta cuenta",IF(ISNA(MATCH(E3160,ctaNom,0)),"⚠ Cuenta no existe",IF(AND(OR(I3160="Transferencia",I3160="Pago tarjeta"),G3160=""),"⚠ Indica la cuenta «Hacia»",IF(AND(G3160&lt;&gt;"",G3160=E3160),"⚠ «Hacia» igual a la cuenta",IF(AND(G3160&lt;&gt;"",ISNA(MATCH(G3160,ctaNom,0))),"⚠ «Hacia» no existe",IF(AND(I3160="Pago tarjeta",IFERROR(INDEX(ctaTipo,MATCH(G3160,ctaNom,0)),"")&lt;&gt;"Tarjeta de crédito"),"⚠ «Hacia» debe ser la tarjeta",IF(AND(I3160="Trading",IFERROR(INDEX(ctaTipo,MATCH(E3160,ctaNom,0)),"")&lt;&gt;"Cuenta de trading"),"⚠ Usa la cuenta de trading","✓"))))))))))))</f>
        <v/>
      </c>
      <c r="I3160" s="19">
        <f>IF(OR(B3160="",C3160="",D3160=""),"",IFERROR(INDEX(catTipo,MATCH(D3160,catNom,0))&amp;"",""))</f>
        <v/>
      </c>
      <c r="J3160" s="19">
        <f>IF(I3160="","",IFERROR(INDEX(catGrupo,MATCH(D3160,catNom,0))&amp;"",""))</f>
        <v/>
      </c>
      <c r="K3160" s="19">
        <f>IF(I3160="Gasto",IF(IFERROR(INDEX(catClas,MATCH(D3160,catNom,0))&amp;"","")="","Variable",IFERROR(INDEX(catClas,MATCH(D3160,catNom,0))&amp;"","")),"")</f>
        <v/>
      </c>
      <c r="L3160" s="19">
        <f>IF(I3160="","",IFERROR(INDEX(catAlim,MATCH(D3160,catNom,0))&amp;"",""))</f>
        <v/>
      </c>
      <c r="M3160" s="19">
        <f>IF(I3160="","",IFERROR(INDEX(catComida,MATCH(D3160,catNom,0))&amp;"",""))</f>
        <v/>
      </c>
      <c r="N3160" s="19">
        <f>IF(I3160="","",IFERROR(INDEX(ctaMon,MATCH(E3160,ctaNom,0))&amp;"","DOP"))</f>
        <v/>
      </c>
      <c r="O3160" s="20">
        <f>IF(I3160="","",C3160*IF(N3160="USD",TasaUSD,1))</f>
        <v/>
      </c>
      <c r="P3160" s="20">
        <f>IF(I3160="","",IF(I3160="Gasto",O3160,0))</f>
        <v/>
      </c>
      <c r="Q3160" s="20">
        <f>IF(I3160="","",IF(I3160="Ingreso",O3160,0))</f>
        <v/>
      </c>
      <c r="R3160" s="20">
        <f>IF(I3160="","",IF(I3160="Trading",O3160,0))</f>
        <v/>
      </c>
      <c r="S3160" s="19">
        <f>IF(I3160="","",IF(AND(I3160="Gasto",K3160="Variable",J3160&lt;&gt;"Trading",O3160&gt;0,O3160&lt;=Umbral),1,0))</f>
        <v/>
      </c>
      <c r="T3160" s="20">
        <f>IF(OR(I3160="",E3160=""),"",IF(OR(I3160="Gasto",I3160="Transferencia",I3160="Pago tarjeta"),-1,1)*C3160)</f>
        <v/>
      </c>
      <c r="U3160" s="20">
        <f>IF(OR(G3160="",AND(I3160&lt;&gt;"Transferencia",I3160&lt;&gt;"Pago tarjeta")),"",IF(IFERROR(INDEX(ctaMon,MATCH(G3160,ctaNom,0))&amp;"","DOP")=N3160,C3160,IF(N3160="USD",C3160*TasaUSD,C3160/TasaUSD)))</f>
        <v/>
      </c>
      <c r="V3160" s="20">
        <f>IF(I3160="","",IF(IFERROR(INDEX(ctaLiq,MATCH(E3160,ctaNom,0))="Sí",FALSE),IF(OR(I3160="Gasto",I3160="Transferencia",I3160="Pago tarjeta"),-1,1)*O3160,0)+IF(AND(U3160&lt;&gt;"",IFERROR(INDEX(ctaLiq,MATCH(G3160,ctaNom,0))="Sí",FALSE)),O3160,0))</f>
        <v/>
      </c>
      <c r="W3160" s="19">
        <f>IF(OR(F3160="",I3160=""),"",IF(COUNTIFS(F$6:F3160,F3160,I$6:I3160,"?*")=1,MAX(W$5:W3159)+1,""))</f>
        <v/>
      </c>
    </row>
    <row r="3161">
      <c r="B3161" s="15" t="n"/>
      <c r="C3161" s="16" t="n"/>
      <c r="D3161" s="17" t="n"/>
      <c r="E3161" s="17" t="n"/>
      <c r="F3161" s="17" t="n"/>
      <c r="G3161" s="17" t="n"/>
      <c r="H3161" s="18">
        <f>IF(AND(B3161="",C3161="",D3161="",E3161=""),"",IF(B3161="","⚠ Falta fecha",IF(C3161="","⚠ Falta monto",IF(D3161="","⚠ Falta categoría",IF(ISNA(MATCH(D3161,catNom,0)),"⚠ Categoría no existe",IF(E3161="","⚠ Falta cuenta",IF(ISNA(MATCH(E3161,ctaNom,0)),"⚠ Cuenta no existe",IF(AND(OR(I3161="Transferencia",I3161="Pago tarjeta"),G3161=""),"⚠ Indica la cuenta «Hacia»",IF(AND(G3161&lt;&gt;"",G3161=E3161),"⚠ «Hacia» igual a la cuenta",IF(AND(G3161&lt;&gt;"",ISNA(MATCH(G3161,ctaNom,0))),"⚠ «Hacia» no existe",IF(AND(I3161="Pago tarjeta",IFERROR(INDEX(ctaTipo,MATCH(G3161,ctaNom,0)),"")&lt;&gt;"Tarjeta de crédito"),"⚠ «Hacia» debe ser la tarjeta",IF(AND(I3161="Trading",IFERROR(INDEX(ctaTipo,MATCH(E3161,ctaNom,0)),"")&lt;&gt;"Cuenta de trading"),"⚠ Usa la cuenta de trading","✓"))))))))))))</f>
        <v/>
      </c>
      <c r="I3161" s="19">
        <f>IF(OR(B3161="",C3161="",D3161=""),"",IFERROR(INDEX(catTipo,MATCH(D3161,catNom,0))&amp;"",""))</f>
        <v/>
      </c>
      <c r="J3161" s="19">
        <f>IF(I3161="","",IFERROR(INDEX(catGrupo,MATCH(D3161,catNom,0))&amp;"",""))</f>
        <v/>
      </c>
      <c r="K3161" s="19">
        <f>IF(I3161="Gasto",IF(IFERROR(INDEX(catClas,MATCH(D3161,catNom,0))&amp;"","")="","Variable",IFERROR(INDEX(catClas,MATCH(D3161,catNom,0))&amp;"","")),"")</f>
        <v/>
      </c>
      <c r="L3161" s="19">
        <f>IF(I3161="","",IFERROR(INDEX(catAlim,MATCH(D3161,catNom,0))&amp;"",""))</f>
        <v/>
      </c>
      <c r="M3161" s="19">
        <f>IF(I3161="","",IFERROR(INDEX(catComida,MATCH(D3161,catNom,0))&amp;"",""))</f>
        <v/>
      </c>
      <c r="N3161" s="19">
        <f>IF(I3161="","",IFERROR(INDEX(ctaMon,MATCH(E3161,ctaNom,0))&amp;"","DOP"))</f>
        <v/>
      </c>
      <c r="O3161" s="20">
        <f>IF(I3161="","",C3161*IF(N3161="USD",TasaUSD,1))</f>
        <v/>
      </c>
      <c r="P3161" s="20">
        <f>IF(I3161="","",IF(I3161="Gasto",O3161,0))</f>
        <v/>
      </c>
      <c r="Q3161" s="20">
        <f>IF(I3161="","",IF(I3161="Ingreso",O3161,0))</f>
        <v/>
      </c>
      <c r="R3161" s="20">
        <f>IF(I3161="","",IF(I3161="Trading",O3161,0))</f>
        <v/>
      </c>
      <c r="S3161" s="19">
        <f>IF(I3161="","",IF(AND(I3161="Gasto",K3161="Variable",J3161&lt;&gt;"Trading",O3161&gt;0,O3161&lt;=Umbral),1,0))</f>
        <v/>
      </c>
      <c r="T3161" s="20">
        <f>IF(OR(I3161="",E3161=""),"",IF(OR(I3161="Gasto",I3161="Transferencia",I3161="Pago tarjeta"),-1,1)*C3161)</f>
        <v/>
      </c>
      <c r="U3161" s="20">
        <f>IF(OR(G3161="",AND(I3161&lt;&gt;"Transferencia",I3161&lt;&gt;"Pago tarjeta")),"",IF(IFERROR(INDEX(ctaMon,MATCH(G3161,ctaNom,0))&amp;"","DOP")=N3161,C3161,IF(N3161="USD",C3161*TasaUSD,C3161/TasaUSD)))</f>
        <v/>
      </c>
      <c r="V3161" s="20">
        <f>IF(I3161="","",IF(IFERROR(INDEX(ctaLiq,MATCH(E3161,ctaNom,0))="Sí",FALSE),IF(OR(I3161="Gasto",I3161="Transferencia",I3161="Pago tarjeta"),-1,1)*O3161,0)+IF(AND(U3161&lt;&gt;"",IFERROR(INDEX(ctaLiq,MATCH(G3161,ctaNom,0))="Sí",FALSE)),O3161,0))</f>
        <v/>
      </c>
      <c r="W3161" s="19">
        <f>IF(OR(F3161="",I3161=""),"",IF(COUNTIFS(F$6:F3161,F3161,I$6:I3161,"?*")=1,MAX(W$5:W3160)+1,""))</f>
        <v/>
      </c>
    </row>
    <row r="3162">
      <c r="B3162" s="15" t="n"/>
      <c r="C3162" s="16" t="n"/>
      <c r="D3162" s="17" t="n"/>
      <c r="E3162" s="17" t="n"/>
      <c r="F3162" s="17" t="n"/>
      <c r="G3162" s="17" t="n"/>
      <c r="H3162" s="18">
        <f>IF(AND(B3162="",C3162="",D3162="",E3162=""),"",IF(B3162="","⚠ Falta fecha",IF(C3162="","⚠ Falta monto",IF(D3162="","⚠ Falta categoría",IF(ISNA(MATCH(D3162,catNom,0)),"⚠ Categoría no existe",IF(E3162="","⚠ Falta cuenta",IF(ISNA(MATCH(E3162,ctaNom,0)),"⚠ Cuenta no existe",IF(AND(OR(I3162="Transferencia",I3162="Pago tarjeta"),G3162=""),"⚠ Indica la cuenta «Hacia»",IF(AND(G3162&lt;&gt;"",G3162=E3162),"⚠ «Hacia» igual a la cuenta",IF(AND(G3162&lt;&gt;"",ISNA(MATCH(G3162,ctaNom,0))),"⚠ «Hacia» no existe",IF(AND(I3162="Pago tarjeta",IFERROR(INDEX(ctaTipo,MATCH(G3162,ctaNom,0)),"")&lt;&gt;"Tarjeta de crédito"),"⚠ «Hacia» debe ser la tarjeta",IF(AND(I3162="Trading",IFERROR(INDEX(ctaTipo,MATCH(E3162,ctaNom,0)),"")&lt;&gt;"Cuenta de trading"),"⚠ Usa la cuenta de trading","✓"))))))))))))</f>
        <v/>
      </c>
      <c r="I3162" s="19">
        <f>IF(OR(B3162="",C3162="",D3162=""),"",IFERROR(INDEX(catTipo,MATCH(D3162,catNom,0))&amp;"",""))</f>
        <v/>
      </c>
      <c r="J3162" s="19">
        <f>IF(I3162="","",IFERROR(INDEX(catGrupo,MATCH(D3162,catNom,0))&amp;"",""))</f>
        <v/>
      </c>
      <c r="K3162" s="19">
        <f>IF(I3162="Gasto",IF(IFERROR(INDEX(catClas,MATCH(D3162,catNom,0))&amp;"","")="","Variable",IFERROR(INDEX(catClas,MATCH(D3162,catNom,0))&amp;"","")),"")</f>
        <v/>
      </c>
      <c r="L3162" s="19">
        <f>IF(I3162="","",IFERROR(INDEX(catAlim,MATCH(D3162,catNom,0))&amp;"",""))</f>
        <v/>
      </c>
      <c r="M3162" s="19">
        <f>IF(I3162="","",IFERROR(INDEX(catComida,MATCH(D3162,catNom,0))&amp;"",""))</f>
        <v/>
      </c>
      <c r="N3162" s="19">
        <f>IF(I3162="","",IFERROR(INDEX(ctaMon,MATCH(E3162,ctaNom,0))&amp;"","DOP"))</f>
        <v/>
      </c>
      <c r="O3162" s="20">
        <f>IF(I3162="","",C3162*IF(N3162="USD",TasaUSD,1))</f>
        <v/>
      </c>
      <c r="P3162" s="20">
        <f>IF(I3162="","",IF(I3162="Gasto",O3162,0))</f>
        <v/>
      </c>
      <c r="Q3162" s="20">
        <f>IF(I3162="","",IF(I3162="Ingreso",O3162,0))</f>
        <v/>
      </c>
      <c r="R3162" s="20">
        <f>IF(I3162="","",IF(I3162="Trading",O3162,0))</f>
        <v/>
      </c>
      <c r="S3162" s="19">
        <f>IF(I3162="","",IF(AND(I3162="Gasto",K3162="Variable",J3162&lt;&gt;"Trading",O3162&gt;0,O3162&lt;=Umbral),1,0))</f>
        <v/>
      </c>
      <c r="T3162" s="20">
        <f>IF(OR(I3162="",E3162=""),"",IF(OR(I3162="Gasto",I3162="Transferencia",I3162="Pago tarjeta"),-1,1)*C3162)</f>
        <v/>
      </c>
      <c r="U3162" s="20">
        <f>IF(OR(G3162="",AND(I3162&lt;&gt;"Transferencia",I3162&lt;&gt;"Pago tarjeta")),"",IF(IFERROR(INDEX(ctaMon,MATCH(G3162,ctaNom,0))&amp;"","DOP")=N3162,C3162,IF(N3162="USD",C3162*TasaUSD,C3162/TasaUSD)))</f>
        <v/>
      </c>
      <c r="V3162" s="20">
        <f>IF(I3162="","",IF(IFERROR(INDEX(ctaLiq,MATCH(E3162,ctaNom,0))="Sí",FALSE),IF(OR(I3162="Gasto",I3162="Transferencia",I3162="Pago tarjeta"),-1,1)*O3162,0)+IF(AND(U3162&lt;&gt;"",IFERROR(INDEX(ctaLiq,MATCH(G3162,ctaNom,0))="Sí",FALSE)),O3162,0))</f>
        <v/>
      </c>
      <c r="W3162" s="19">
        <f>IF(OR(F3162="",I3162=""),"",IF(COUNTIFS(F$6:F3162,F3162,I$6:I3162,"?*")=1,MAX(W$5:W3161)+1,""))</f>
        <v/>
      </c>
    </row>
    <row r="3163">
      <c r="B3163" s="15" t="n"/>
      <c r="C3163" s="16" t="n"/>
      <c r="D3163" s="17" t="n"/>
      <c r="E3163" s="17" t="n"/>
      <c r="F3163" s="17" t="n"/>
      <c r="G3163" s="17" t="n"/>
      <c r="H3163" s="18">
        <f>IF(AND(B3163="",C3163="",D3163="",E3163=""),"",IF(B3163="","⚠ Falta fecha",IF(C3163="","⚠ Falta monto",IF(D3163="","⚠ Falta categoría",IF(ISNA(MATCH(D3163,catNom,0)),"⚠ Categoría no existe",IF(E3163="","⚠ Falta cuenta",IF(ISNA(MATCH(E3163,ctaNom,0)),"⚠ Cuenta no existe",IF(AND(OR(I3163="Transferencia",I3163="Pago tarjeta"),G3163=""),"⚠ Indica la cuenta «Hacia»",IF(AND(G3163&lt;&gt;"",G3163=E3163),"⚠ «Hacia» igual a la cuenta",IF(AND(G3163&lt;&gt;"",ISNA(MATCH(G3163,ctaNom,0))),"⚠ «Hacia» no existe",IF(AND(I3163="Pago tarjeta",IFERROR(INDEX(ctaTipo,MATCH(G3163,ctaNom,0)),"")&lt;&gt;"Tarjeta de crédito"),"⚠ «Hacia» debe ser la tarjeta",IF(AND(I3163="Trading",IFERROR(INDEX(ctaTipo,MATCH(E3163,ctaNom,0)),"")&lt;&gt;"Cuenta de trading"),"⚠ Usa la cuenta de trading","✓"))))))))))))</f>
        <v/>
      </c>
      <c r="I3163" s="19">
        <f>IF(OR(B3163="",C3163="",D3163=""),"",IFERROR(INDEX(catTipo,MATCH(D3163,catNom,0))&amp;"",""))</f>
        <v/>
      </c>
      <c r="J3163" s="19">
        <f>IF(I3163="","",IFERROR(INDEX(catGrupo,MATCH(D3163,catNom,0))&amp;"",""))</f>
        <v/>
      </c>
      <c r="K3163" s="19">
        <f>IF(I3163="Gasto",IF(IFERROR(INDEX(catClas,MATCH(D3163,catNom,0))&amp;"","")="","Variable",IFERROR(INDEX(catClas,MATCH(D3163,catNom,0))&amp;"","")),"")</f>
        <v/>
      </c>
      <c r="L3163" s="19">
        <f>IF(I3163="","",IFERROR(INDEX(catAlim,MATCH(D3163,catNom,0))&amp;"",""))</f>
        <v/>
      </c>
      <c r="M3163" s="19">
        <f>IF(I3163="","",IFERROR(INDEX(catComida,MATCH(D3163,catNom,0))&amp;"",""))</f>
        <v/>
      </c>
      <c r="N3163" s="19">
        <f>IF(I3163="","",IFERROR(INDEX(ctaMon,MATCH(E3163,ctaNom,0))&amp;"","DOP"))</f>
        <v/>
      </c>
      <c r="O3163" s="20">
        <f>IF(I3163="","",C3163*IF(N3163="USD",TasaUSD,1))</f>
        <v/>
      </c>
      <c r="P3163" s="20">
        <f>IF(I3163="","",IF(I3163="Gasto",O3163,0))</f>
        <v/>
      </c>
      <c r="Q3163" s="20">
        <f>IF(I3163="","",IF(I3163="Ingreso",O3163,0))</f>
        <v/>
      </c>
      <c r="R3163" s="20">
        <f>IF(I3163="","",IF(I3163="Trading",O3163,0))</f>
        <v/>
      </c>
      <c r="S3163" s="19">
        <f>IF(I3163="","",IF(AND(I3163="Gasto",K3163="Variable",J3163&lt;&gt;"Trading",O3163&gt;0,O3163&lt;=Umbral),1,0))</f>
        <v/>
      </c>
      <c r="T3163" s="20">
        <f>IF(OR(I3163="",E3163=""),"",IF(OR(I3163="Gasto",I3163="Transferencia",I3163="Pago tarjeta"),-1,1)*C3163)</f>
        <v/>
      </c>
      <c r="U3163" s="20">
        <f>IF(OR(G3163="",AND(I3163&lt;&gt;"Transferencia",I3163&lt;&gt;"Pago tarjeta")),"",IF(IFERROR(INDEX(ctaMon,MATCH(G3163,ctaNom,0))&amp;"","DOP")=N3163,C3163,IF(N3163="USD",C3163*TasaUSD,C3163/TasaUSD)))</f>
        <v/>
      </c>
      <c r="V3163" s="20">
        <f>IF(I3163="","",IF(IFERROR(INDEX(ctaLiq,MATCH(E3163,ctaNom,0))="Sí",FALSE),IF(OR(I3163="Gasto",I3163="Transferencia",I3163="Pago tarjeta"),-1,1)*O3163,0)+IF(AND(U3163&lt;&gt;"",IFERROR(INDEX(ctaLiq,MATCH(G3163,ctaNom,0))="Sí",FALSE)),O3163,0))</f>
        <v/>
      </c>
      <c r="W3163" s="19">
        <f>IF(OR(F3163="",I3163=""),"",IF(COUNTIFS(F$6:F3163,F3163,I$6:I3163,"?*")=1,MAX(W$5:W3162)+1,""))</f>
        <v/>
      </c>
    </row>
    <row r="3164">
      <c r="B3164" s="15" t="n"/>
      <c r="C3164" s="16" t="n"/>
      <c r="D3164" s="17" t="n"/>
      <c r="E3164" s="17" t="n"/>
      <c r="F3164" s="17" t="n"/>
      <c r="G3164" s="17" t="n"/>
      <c r="H3164" s="18">
        <f>IF(AND(B3164="",C3164="",D3164="",E3164=""),"",IF(B3164="","⚠ Falta fecha",IF(C3164="","⚠ Falta monto",IF(D3164="","⚠ Falta categoría",IF(ISNA(MATCH(D3164,catNom,0)),"⚠ Categoría no existe",IF(E3164="","⚠ Falta cuenta",IF(ISNA(MATCH(E3164,ctaNom,0)),"⚠ Cuenta no existe",IF(AND(OR(I3164="Transferencia",I3164="Pago tarjeta"),G3164=""),"⚠ Indica la cuenta «Hacia»",IF(AND(G3164&lt;&gt;"",G3164=E3164),"⚠ «Hacia» igual a la cuenta",IF(AND(G3164&lt;&gt;"",ISNA(MATCH(G3164,ctaNom,0))),"⚠ «Hacia» no existe",IF(AND(I3164="Pago tarjeta",IFERROR(INDEX(ctaTipo,MATCH(G3164,ctaNom,0)),"")&lt;&gt;"Tarjeta de crédito"),"⚠ «Hacia» debe ser la tarjeta",IF(AND(I3164="Trading",IFERROR(INDEX(ctaTipo,MATCH(E3164,ctaNom,0)),"")&lt;&gt;"Cuenta de trading"),"⚠ Usa la cuenta de trading","✓"))))))))))))</f>
        <v/>
      </c>
      <c r="I3164" s="19">
        <f>IF(OR(B3164="",C3164="",D3164=""),"",IFERROR(INDEX(catTipo,MATCH(D3164,catNom,0))&amp;"",""))</f>
        <v/>
      </c>
      <c r="J3164" s="19">
        <f>IF(I3164="","",IFERROR(INDEX(catGrupo,MATCH(D3164,catNom,0))&amp;"",""))</f>
        <v/>
      </c>
      <c r="K3164" s="19">
        <f>IF(I3164="Gasto",IF(IFERROR(INDEX(catClas,MATCH(D3164,catNom,0))&amp;"","")="","Variable",IFERROR(INDEX(catClas,MATCH(D3164,catNom,0))&amp;"","")),"")</f>
        <v/>
      </c>
      <c r="L3164" s="19">
        <f>IF(I3164="","",IFERROR(INDEX(catAlim,MATCH(D3164,catNom,0))&amp;"",""))</f>
        <v/>
      </c>
      <c r="M3164" s="19">
        <f>IF(I3164="","",IFERROR(INDEX(catComida,MATCH(D3164,catNom,0))&amp;"",""))</f>
        <v/>
      </c>
      <c r="N3164" s="19">
        <f>IF(I3164="","",IFERROR(INDEX(ctaMon,MATCH(E3164,ctaNom,0))&amp;"","DOP"))</f>
        <v/>
      </c>
      <c r="O3164" s="20">
        <f>IF(I3164="","",C3164*IF(N3164="USD",TasaUSD,1))</f>
        <v/>
      </c>
      <c r="P3164" s="20">
        <f>IF(I3164="","",IF(I3164="Gasto",O3164,0))</f>
        <v/>
      </c>
      <c r="Q3164" s="20">
        <f>IF(I3164="","",IF(I3164="Ingreso",O3164,0))</f>
        <v/>
      </c>
      <c r="R3164" s="20">
        <f>IF(I3164="","",IF(I3164="Trading",O3164,0))</f>
        <v/>
      </c>
      <c r="S3164" s="19">
        <f>IF(I3164="","",IF(AND(I3164="Gasto",K3164="Variable",J3164&lt;&gt;"Trading",O3164&gt;0,O3164&lt;=Umbral),1,0))</f>
        <v/>
      </c>
      <c r="T3164" s="20">
        <f>IF(OR(I3164="",E3164=""),"",IF(OR(I3164="Gasto",I3164="Transferencia",I3164="Pago tarjeta"),-1,1)*C3164)</f>
        <v/>
      </c>
      <c r="U3164" s="20">
        <f>IF(OR(G3164="",AND(I3164&lt;&gt;"Transferencia",I3164&lt;&gt;"Pago tarjeta")),"",IF(IFERROR(INDEX(ctaMon,MATCH(G3164,ctaNom,0))&amp;"","DOP")=N3164,C3164,IF(N3164="USD",C3164*TasaUSD,C3164/TasaUSD)))</f>
        <v/>
      </c>
      <c r="V3164" s="20">
        <f>IF(I3164="","",IF(IFERROR(INDEX(ctaLiq,MATCH(E3164,ctaNom,0))="Sí",FALSE),IF(OR(I3164="Gasto",I3164="Transferencia",I3164="Pago tarjeta"),-1,1)*O3164,0)+IF(AND(U3164&lt;&gt;"",IFERROR(INDEX(ctaLiq,MATCH(G3164,ctaNom,0))="Sí",FALSE)),O3164,0))</f>
        <v/>
      </c>
      <c r="W3164" s="19">
        <f>IF(OR(F3164="",I3164=""),"",IF(COUNTIFS(F$6:F3164,F3164,I$6:I3164,"?*")=1,MAX(W$5:W3163)+1,""))</f>
        <v/>
      </c>
    </row>
    <row r="3165">
      <c r="B3165" s="15" t="n"/>
      <c r="C3165" s="16" t="n"/>
      <c r="D3165" s="17" t="n"/>
      <c r="E3165" s="17" t="n"/>
      <c r="F3165" s="17" t="n"/>
      <c r="G3165" s="17" t="n"/>
      <c r="H3165" s="18">
        <f>IF(AND(B3165="",C3165="",D3165="",E3165=""),"",IF(B3165="","⚠ Falta fecha",IF(C3165="","⚠ Falta monto",IF(D3165="","⚠ Falta categoría",IF(ISNA(MATCH(D3165,catNom,0)),"⚠ Categoría no existe",IF(E3165="","⚠ Falta cuenta",IF(ISNA(MATCH(E3165,ctaNom,0)),"⚠ Cuenta no existe",IF(AND(OR(I3165="Transferencia",I3165="Pago tarjeta"),G3165=""),"⚠ Indica la cuenta «Hacia»",IF(AND(G3165&lt;&gt;"",G3165=E3165),"⚠ «Hacia» igual a la cuenta",IF(AND(G3165&lt;&gt;"",ISNA(MATCH(G3165,ctaNom,0))),"⚠ «Hacia» no existe",IF(AND(I3165="Pago tarjeta",IFERROR(INDEX(ctaTipo,MATCH(G3165,ctaNom,0)),"")&lt;&gt;"Tarjeta de crédito"),"⚠ «Hacia» debe ser la tarjeta",IF(AND(I3165="Trading",IFERROR(INDEX(ctaTipo,MATCH(E3165,ctaNom,0)),"")&lt;&gt;"Cuenta de trading"),"⚠ Usa la cuenta de trading","✓"))))))))))))</f>
        <v/>
      </c>
      <c r="I3165" s="19">
        <f>IF(OR(B3165="",C3165="",D3165=""),"",IFERROR(INDEX(catTipo,MATCH(D3165,catNom,0))&amp;"",""))</f>
        <v/>
      </c>
      <c r="J3165" s="19">
        <f>IF(I3165="","",IFERROR(INDEX(catGrupo,MATCH(D3165,catNom,0))&amp;"",""))</f>
        <v/>
      </c>
      <c r="K3165" s="19">
        <f>IF(I3165="Gasto",IF(IFERROR(INDEX(catClas,MATCH(D3165,catNom,0))&amp;"","")="","Variable",IFERROR(INDEX(catClas,MATCH(D3165,catNom,0))&amp;"","")),"")</f>
        <v/>
      </c>
      <c r="L3165" s="19">
        <f>IF(I3165="","",IFERROR(INDEX(catAlim,MATCH(D3165,catNom,0))&amp;"",""))</f>
        <v/>
      </c>
      <c r="M3165" s="19">
        <f>IF(I3165="","",IFERROR(INDEX(catComida,MATCH(D3165,catNom,0))&amp;"",""))</f>
        <v/>
      </c>
      <c r="N3165" s="19">
        <f>IF(I3165="","",IFERROR(INDEX(ctaMon,MATCH(E3165,ctaNom,0))&amp;"","DOP"))</f>
        <v/>
      </c>
      <c r="O3165" s="20">
        <f>IF(I3165="","",C3165*IF(N3165="USD",TasaUSD,1))</f>
        <v/>
      </c>
      <c r="P3165" s="20">
        <f>IF(I3165="","",IF(I3165="Gasto",O3165,0))</f>
        <v/>
      </c>
      <c r="Q3165" s="20">
        <f>IF(I3165="","",IF(I3165="Ingreso",O3165,0))</f>
        <v/>
      </c>
      <c r="R3165" s="20">
        <f>IF(I3165="","",IF(I3165="Trading",O3165,0))</f>
        <v/>
      </c>
      <c r="S3165" s="19">
        <f>IF(I3165="","",IF(AND(I3165="Gasto",K3165="Variable",J3165&lt;&gt;"Trading",O3165&gt;0,O3165&lt;=Umbral),1,0))</f>
        <v/>
      </c>
      <c r="T3165" s="20">
        <f>IF(OR(I3165="",E3165=""),"",IF(OR(I3165="Gasto",I3165="Transferencia",I3165="Pago tarjeta"),-1,1)*C3165)</f>
        <v/>
      </c>
      <c r="U3165" s="20">
        <f>IF(OR(G3165="",AND(I3165&lt;&gt;"Transferencia",I3165&lt;&gt;"Pago tarjeta")),"",IF(IFERROR(INDEX(ctaMon,MATCH(G3165,ctaNom,0))&amp;"","DOP")=N3165,C3165,IF(N3165="USD",C3165*TasaUSD,C3165/TasaUSD)))</f>
        <v/>
      </c>
      <c r="V3165" s="20">
        <f>IF(I3165="","",IF(IFERROR(INDEX(ctaLiq,MATCH(E3165,ctaNom,0))="Sí",FALSE),IF(OR(I3165="Gasto",I3165="Transferencia",I3165="Pago tarjeta"),-1,1)*O3165,0)+IF(AND(U3165&lt;&gt;"",IFERROR(INDEX(ctaLiq,MATCH(G3165,ctaNom,0))="Sí",FALSE)),O3165,0))</f>
        <v/>
      </c>
      <c r="W3165" s="19">
        <f>IF(OR(F3165="",I3165=""),"",IF(COUNTIFS(F$6:F3165,F3165,I$6:I3165,"?*")=1,MAX(W$5:W3164)+1,""))</f>
        <v/>
      </c>
    </row>
    <row r="3166">
      <c r="B3166" s="15" t="n"/>
      <c r="C3166" s="16" t="n"/>
      <c r="D3166" s="17" t="n"/>
      <c r="E3166" s="17" t="n"/>
      <c r="F3166" s="17" t="n"/>
      <c r="G3166" s="17" t="n"/>
      <c r="H3166" s="18">
        <f>IF(AND(B3166="",C3166="",D3166="",E3166=""),"",IF(B3166="","⚠ Falta fecha",IF(C3166="","⚠ Falta monto",IF(D3166="","⚠ Falta categoría",IF(ISNA(MATCH(D3166,catNom,0)),"⚠ Categoría no existe",IF(E3166="","⚠ Falta cuenta",IF(ISNA(MATCH(E3166,ctaNom,0)),"⚠ Cuenta no existe",IF(AND(OR(I3166="Transferencia",I3166="Pago tarjeta"),G3166=""),"⚠ Indica la cuenta «Hacia»",IF(AND(G3166&lt;&gt;"",G3166=E3166),"⚠ «Hacia» igual a la cuenta",IF(AND(G3166&lt;&gt;"",ISNA(MATCH(G3166,ctaNom,0))),"⚠ «Hacia» no existe",IF(AND(I3166="Pago tarjeta",IFERROR(INDEX(ctaTipo,MATCH(G3166,ctaNom,0)),"")&lt;&gt;"Tarjeta de crédito"),"⚠ «Hacia» debe ser la tarjeta",IF(AND(I3166="Trading",IFERROR(INDEX(ctaTipo,MATCH(E3166,ctaNom,0)),"")&lt;&gt;"Cuenta de trading"),"⚠ Usa la cuenta de trading","✓"))))))))))))</f>
        <v/>
      </c>
      <c r="I3166" s="19">
        <f>IF(OR(B3166="",C3166="",D3166=""),"",IFERROR(INDEX(catTipo,MATCH(D3166,catNom,0))&amp;"",""))</f>
        <v/>
      </c>
      <c r="J3166" s="19">
        <f>IF(I3166="","",IFERROR(INDEX(catGrupo,MATCH(D3166,catNom,0))&amp;"",""))</f>
        <v/>
      </c>
      <c r="K3166" s="19">
        <f>IF(I3166="Gasto",IF(IFERROR(INDEX(catClas,MATCH(D3166,catNom,0))&amp;"","")="","Variable",IFERROR(INDEX(catClas,MATCH(D3166,catNom,0))&amp;"","")),"")</f>
        <v/>
      </c>
      <c r="L3166" s="19">
        <f>IF(I3166="","",IFERROR(INDEX(catAlim,MATCH(D3166,catNom,0))&amp;"",""))</f>
        <v/>
      </c>
      <c r="M3166" s="19">
        <f>IF(I3166="","",IFERROR(INDEX(catComida,MATCH(D3166,catNom,0))&amp;"",""))</f>
        <v/>
      </c>
      <c r="N3166" s="19">
        <f>IF(I3166="","",IFERROR(INDEX(ctaMon,MATCH(E3166,ctaNom,0))&amp;"","DOP"))</f>
        <v/>
      </c>
      <c r="O3166" s="20">
        <f>IF(I3166="","",C3166*IF(N3166="USD",TasaUSD,1))</f>
        <v/>
      </c>
      <c r="P3166" s="20">
        <f>IF(I3166="","",IF(I3166="Gasto",O3166,0))</f>
        <v/>
      </c>
      <c r="Q3166" s="20">
        <f>IF(I3166="","",IF(I3166="Ingreso",O3166,0))</f>
        <v/>
      </c>
      <c r="R3166" s="20">
        <f>IF(I3166="","",IF(I3166="Trading",O3166,0))</f>
        <v/>
      </c>
      <c r="S3166" s="19">
        <f>IF(I3166="","",IF(AND(I3166="Gasto",K3166="Variable",J3166&lt;&gt;"Trading",O3166&gt;0,O3166&lt;=Umbral),1,0))</f>
        <v/>
      </c>
      <c r="T3166" s="20">
        <f>IF(OR(I3166="",E3166=""),"",IF(OR(I3166="Gasto",I3166="Transferencia",I3166="Pago tarjeta"),-1,1)*C3166)</f>
        <v/>
      </c>
      <c r="U3166" s="20">
        <f>IF(OR(G3166="",AND(I3166&lt;&gt;"Transferencia",I3166&lt;&gt;"Pago tarjeta")),"",IF(IFERROR(INDEX(ctaMon,MATCH(G3166,ctaNom,0))&amp;"","DOP")=N3166,C3166,IF(N3166="USD",C3166*TasaUSD,C3166/TasaUSD)))</f>
        <v/>
      </c>
      <c r="V3166" s="20">
        <f>IF(I3166="","",IF(IFERROR(INDEX(ctaLiq,MATCH(E3166,ctaNom,0))="Sí",FALSE),IF(OR(I3166="Gasto",I3166="Transferencia",I3166="Pago tarjeta"),-1,1)*O3166,0)+IF(AND(U3166&lt;&gt;"",IFERROR(INDEX(ctaLiq,MATCH(G3166,ctaNom,0))="Sí",FALSE)),O3166,0))</f>
        <v/>
      </c>
      <c r="W3166" s="19">
        <f>IF(OR(F3166="",I3166=""),"",IF(COUNTIFS(F$6:F3166,F3166,I$6:I3166,"?*")=1,MAX(W$5:W3165)+1,""))</f>
        <v/>
      </c>
    </row>
    <row r="3167">
      <c r="B3167" s="15" t="n"/>
      <c r="C3167" s="16" t="n"/>
      <c r="D3167" s="17" t="n"/>
      <c r="E3167" s="17" t="n"/>
      <c r="F3167" s="17" t="n"/>
      <c r="G3167" s="17" t="n"/>
      <c r="H3167" s="18">
        <f>IF(AND(B3167="",C3167="",D3167="",E3167=""),"",IF(B3167="","⚠ Falta fecha",IF(C3167="","⚠ Falta monto",IF(D3167="","⚠ Falta categoría",IF(ISNA(MATCH(D3167,catNom,0)),"⚠ Categoría no existe",IF(E3167="","⚠ Falta cuenta",IF(ISNA(MATCH(E3167,ctaNom,0)),"⚠ Cuenta no existe",IF(AND(OR(I3167="Transferencia",I3167="Pago tarjeta"),G3167=""),"⚠ Indica la cuenta «Hacia»",IF(AND(G3167&lt;&gt;"",G3167=E3167),"⚠ «Hacia» igual a la cuenta",IF(AND(G3167&lt;&gt;"",ISNA(MATCH(G3167,ctaNom,0))),"⚠ «Hacia» no existe",IF(AND(I3167="Pago tarjeta",IFERROR(INDEX(ctaTipo,MATCH(G3167,ctaNom,0)),"")&lt;&gt;"Tarjeta de crédito"),"⚠ «Hacia» debe ser la tarjeta",IF(AND(I3167="Trading",IFERROR(INDEX(ctaTipo,MATCH(E3167,ctaNom,0)),"")&lt;&gt;"Cuenta de trading"),"⚠ Usa la cuenta de trading","✓"))))))))))))</f>
        <v/>
      </c>
      <c r="I3167" s="19">
        <f>IF(OR(B3167="",C3167="",D3167=""),"",IFERROR(INDEX(catTipo,MATCH(D3167,catNom,0))&amp;"",""))</f>
        <v/>
      </c>
      <c r="J3167" s="19">
        <f>IF(I3167="","",IFERROR(INDEX(catGrupo,MATCH(D3167,catNom,0))&amp;"",""))</f>
        <v/>
      </c>
      <c r="K3167" s="19">
        <f>IF(I3167="Gasto",IF(IFERROR(INDEX(catClas,MATCH(D3167,catNom,0))&amp;"","")="","Variable",IFERROR(INDEX(catClas,MATCH(D3167,catNom,0))&amp;"","")),"")</f>
        <v/>
      </c>
      <c r="L3167" s="19">
        <f>IF(I3167="","",IFERROR(INDEX(catAlim,MATCH(D3167,catNom,0))&amp;"",""))</f>
        <v/>
      </c>
      <c r="M3167" s="19">
        <f>IF(I3167="","",IFERROR(INDEX(catComida,MATCH(D3167,catNom,0))&amp;"",""))</f>
        <v/>
      </c>
      <c r="N3167" s="19">
        <f>IF(I3167="","",IFERROR(INDEX(ctaMon,MATCH(E3167,ctaNom,0))&amp;"","DOP"))</f>
        <v/>
      </c>
      <c r="O3167" s="20">
        <f>IF(I3167="","",C3167*IF(N3167="USD",TasaUSD,1))</f>
        <v/>
      </c>
      <c r="P3167" s="20">
        <f>IF(I3167="","",IF(I3167="Gasto",O3167,0))</f>
        <v/>
      </c>
      <c r="Q3167" s="20">
        <f>IF(I3167="","",IF(I3167="Ingreso",O3167,0))</f>
        <v/>
      </c>
      <c r="R3167" s="20">
        <f>IF(I3167="","",IF(I3167="Trading",O3167,0))</f>
        <v/>
      </c>
      <c r="S3167" s="19">
        <f>IF(I3167="","",IF(AND(I3167="Gasto",K3167="Variable",J3167&lt;&gt;"Trading",O3167&gt;0,O3167&lt;=Umbral),1,0))</f>
        <v/>
      </c>
      <c r="T3167" s="20">
        <f>IF(OR(I3167="",E3167=""),"",IF(OR(I3167="Gasto",I3167="Transferencia",I3167="Pago tarjeta"),-1,1)*C3167)</f>
        <v/>
      </c>
      <c r="U3167" s="20">
        <f>IF(OR(G3167="",AND(I3167&lt;&gt;"Transferencia",I3167&lt;&gt;"Pago tarjeta")),"",IF(IFERROR(INDEX(ctaMon,MATCH(G3167,ctaNom,0))&amp;"","DOP")=N3167,C3167,IF(N3167="USD",C3167*TasaUSD,C3167/TasaUSD)))</f>
        <v/>
      </c>
      <c r="V3167" s="20">
        <f>IF(I3167="","",IF(IFERROR(INDEX(ctaLiq,MATCH(E3167,ctaNom,0))="Sí",FALSE),IF(OR(I3167="Gasto",I3167="Transferencia",I3167="Pago tarjeta"),-1,1)*O3167,0)+IF(AND(U3167&lt;&gt;"",IFERROR(INDEX(ctaLiq,MATCH(G3167,ctaNom,0))="Sí",FALSE)),O3167,0))</f>
        <v/>
      </c>
      <c r="W3167" s="19">
        <f>IF(OR(F3167="",I3167=""),"",IF(COUNTIFS(F$6:F3167,F3167,I$6:I3167,"?*")=1,MAX(W$5:W3166)+1,""))</f>
        <v/>
      </c>
    </row>
    <row r="3168">
      <c r="B3168" s="15" t="n"/>
      <c r="C3168" s="16" t="n"/>
      <c r="D3168" s="17" t="n"/>
      <c r="E3168" s="17" t="n"/>
      <c r="F3168" s="17" t="n"/>
      <c r="G3168" s="17" t="n"/>
      <c r="H3168" s="18">
        <f>IF(AND(B3168="",C3168="",D3168="",E3168=""),"",IF(B3168="","⚠ Falta fecha",IF(C3168="","⚠ Falta monto",IF(D3168="","⚠ Falta categoría",IF(ISNA(MATCH(D3168,catNom,0)),"⚠ Categoría no existe",IF(E3168="","⚠ Falta cuenta",IF(ISNA(MATCH(E3168,ctaNom,0)),"⚠ Cuenta no existe",IF(AND(OR(I3168="Transferencia",I3168="Pago tarjeta"),G3168=""),"⚠ Indica la cuenta «Hacia»",IF(AND(G3168&lt;&gt;"",G3168=E3168),"⚠ «Hacia» igual a la cuenta",IF(AND(G3168&lt;&gt;"",ISNA(MATCH(G3168,ctaNom,0))),"⚠ «Hacia» no existe",IF(AND(I3168="Pago tarjeta",IFERROR(INDEX(ctaTipo,MATCH(G3168,ctaNom,0)),"")&lt;&gt;"Tarjeta de crédito"),"⚠ «Hacia» debe ser la tarjeta",IF(AND(I3168="Trading",IFERROR(INDEX(ctaTipo,MATCH(E3168,ctaNom,0)),"")&lt;&gt;"Cuenta de trading"),"⚠ Usa la cuenta de trading","✓"))))))))))))</f>
        <v/>
      </c>
      <c r="I3168" s="19">
        <f>IF(OR(B3168="",C3168="",D3168=""),"",IFERROR(INDEX(catTipo,MATCH(D3168,catNom,0))&amp;"",""))</f>
        <v/>
      </c>
      <c r="J3168" s="19">
        <f>IF(I3168="","",IFERROR(INDEX(catGrupo,MATCH(D3168,catNom,0))&amp;"",""))</f>
        <v/>
      </c>
      <c r="K3168" s="19">
        <f>IF(I3168="Gasto",IF(IFERROR(INDEX(catClas,MATCH(D3168,catNom,0))&amp;"","")="","Variable",IFERROR(INDEX(catClas,MATCH(D3168,catNom,0))&amp;"","")),"")</f>
        <v/>
      </c>
      <c r="L3168" s="19">
        <f>IF(I3168="","",IFERROR(INDEX(catAlim,MATCH(D3168,catNom,0))&amp;"",""))</f>
        <v/>
      </c>
      <c r="M3168" s="19">
        <f>IF(I3168="","",IFERROR(INDEX(catComida,MATCH(D3168,catNom,0))&amp;"",""))</f>
        <v/>
      </c>
      <c r="N3168" s="19">
        <f>IF(I3168="","",IFERROR(INDEX(ctaMon,MATCH(E3168,ctaNom,0))&amp;"","DOP"))</f>
        <v/>
      </c>
      <c r="O3168" s="20">
        <f>IF(I3168="","",C3168*IF(N3168="USD",TasaUSD,1))</f>
        <v/>
      </c>
      <c r="P3168" s="20">
        <f>IF(I3168="","",IF(I3168="Gasto",O3168,0))</f>
        <v/>
      </c>
      <c r="Q3168" s="20">
        <f>IF(I3168="","",IF(I3168="Ingreso",O3168,0))</f>
        <v/>
      </c>
      <c r="R3168" s="20">
        <f>IF(I3168="","",IF(I3168="Trading",O3168,0))</f>
        <v/>
      </c>
      <c r="S3168" s="19">
        <f>IF(I3168="","",IF(AND(I3168="Gasto",K3168="Variable",J3168&lt;&gt;"Trading",O3168&gt;0,O3168&lt;=Umbral),1,0))</f>
        <v/>
      </c>
      <c r="T3168" s="20">
        <f>IF(OR(I3168="",E3168=""),"",IF(OR(I3168="Gasto",I3168="Transferencia",I3168="Pago tarjeta"),-1,1)*C3168)</f>
        <v/>
      </c>
      <c r="U3168" s="20">
        <f>IF(OR(G3168="",AND(I3168&lt;&gt;"Transferencia",I3168&lt;&gt;"Pago tarjeta")),"",IF(IFERROR(INDEX(ctaMon,MATCH(G3168,ctaNom,0))&amp;"","DOP")=N3168,C3168,IF(N3168="USD",C3168*TasaUSD,C3168/TasaUSD)))</f>
        <v/>
      </c>
      <c r="V3168" s="20">
        <f>IF(I3168="","",IF(IFERROR(INDEX(ctaLiq,MATCH(E3168,ctaNom,0))="Sí",FALSE),IF(OR(I3168="Gasto",I3168="Transferencia",I3168="Pago tarjeta"),-1,1)*O3168,0)+IF(AND(U3168&lt;&gt;"",IFERROR(INDEX(ctaLiq,MATCH(G3168,ctaNom,0))="Sí",FALSE)),O3168,0))</f>
        <v/>
      </c>
      <c r="W3168" s="19">
        <f>IF(OR(F3168="",I3168=""),"",IF(COUNTIFS(F$6:F3168,F3168,I$6:I3168,"?*")=1,MAX(W$5:W3167)+1,""))</f>
        <v/>
      </c>
    </row>
    <row r="3169">
      <c r="B3169" s="15" t="n"/>
      <c r="C3169" s="16" t="n"/>
      <c r="D3169" s="17" t="n"/>
      <c r="E3169" s="17" t="n"/>
      <c r="F3169" s="17" t="n"/>
      <c r="G3169" s="17" t="n"/>
      <c r="H3169" s="18">
        <f>IF(AND(B3169="",C3169="",D3169="",E3169=""),"",IF(B3169="","⚠ Falta fecha",IF(C3169="","⚠ Falta monto",IF(D3169="","⚠ Falta categoría",IF(ISNA(MATCH(D3169,catNom,0)),"⚠ Categoría no existe",IF(E3169="","⚠ Falta cuenta",IF(ISNA(MATCH(E3169,ctaNom,0)),"⚠ Cuenta no existe",IF(AND(OR(I3169="Transferencia",I3169="Pago tarjeta"),G3169=""),"⚠ Indica la cuenta «Hacia»",IF(AND(G3169&lt;&gt;"",G3169=E3169),"⚠ «Hacia» igual a la cuenta",IF(AND(G3169&lt;&gt;"",ISNA(MATCH(G3169,ctaNom,0))),"⚠ «Hacia» no existe",IF(AND(I3169="Pago tarjeta",IFERROR(INDEX(ctaTipo,MATCH(G3169,ctaNom,0)),"")&lt;&gt;"Tarjeta de crédito"),"⚠ «Hacia» debe ser la tarjeta",IF(AND(I3169="Trading",IFERROR(INDEX(ctaTipo,MATCH(E3169,ctaNom,0)),"")&lt;&gt;"Cuenta de trading"),"⚠ Usa la cuenta de trading","✓"))))))))))))</f>
        <v/>
      </c>
      <c r="I3169" s="19">
        <f>IF(OR(B3169="",C3169="",D3169=""),"",IFERROR(INDEX(catTipo,MATCH(D3169,catNom,0))&amp;"",""))</f>
        <v/>
      </c>
      <c r="J3169" s="19">
        <f>IF(I3169="","",IFERROR(INDEX(catGrupo,MATCH(D3169,catNom,0))&amp;"",""))</f>
        <v/>
      </c>
      <c r="K3169" s="19">
        <f>IF(I3169="Gasto",IF(IFERROR(INDEX(catClas,MATCH(D3169,catNom,0))&amp;"","")="","Variable",IFERROR(INDEX(catClas,MATCH(D3169,catNom,0))&amp;"","")),"")</f>
        <v/>
      </c>
      <c r="L3169" s="19">
        <f>IF(I3169="","",IFERROR(INDEX(catAlim,MATCH(D3169,catNom,0))&amp;"",""))</f>
        <v/>
      </c>
      <c r="M3169" s="19">
        <f>IF(I3169="","",IFERROR(INDEX(catComida,MATCH(D3169,catNom,0))&amp;"",""))</f>
        <v/>
      </c>
      <c r="N3169" s="19">
        <f>IF(I3169="","",IFERROR(INDEX(ctaMon,MATCH(E3169,ctaNom,0))&amp;"","DOP"))</f>
        <v/>
      </c>
      <c r="O3169" s="20">
        <f>IF(I3169="","",C3169*IF(N3169="USD",TasaUSD,1))</f>
        <v/>
      </c>
      <c r="P3169" s="20">
        <f>IF(I3169="","",IF(I3169="Gasto",O3169,0))</f>
        <v/>
      </c>
      <c r="Q3169" s="20">
        <f>IF(I3169="","",IF(I3169="Ingreso",O3169,0))</f>
        <v/>
      </c>
      <c r="R3169" s="20">
        <f>IF(I3169="","",IF(I3169="Trading",O3169,0))</f>
        <v/>
      </c>
      <c r="S3169" s="19">
        <f>IF(I3169="","",IF(AND(I3169="Gasto",K3169="Variable",J3169&lt;&gt;"Trading",O3169&gt;0,O3169&lt;=Umbral),1,0))</f>
        <v/>
      </c>
      <c r="T3169" s="20">
        <f>IF(OR(I3169="",E3169=""),"",IF(OR(I3169="Gasto",I3169="Transferencia",I3169="Pago tarjeta"),-1,1)*C3169)</f>
        <v/>
      </c>
      <c r="U3169" s="20">
        <f>IF(OR(G3169="",AND(I3169&lt;&gt;"Transferencia",I3169&lt;&gt;"Pago tarjeta")),"",IF(IFERROR(INDEX(ctaMon,MATCH(G3169,ctaNom,0))&amp;"","DOP")=N3169,C3169,IF(N3169="USD",C3169*TasaUSD,C3169/TasaUSD)))</f>
        <v/>
      </c>
      <c r="V3169" s="20">
        <f>IF(I3169="","",IF(IFERROR(INDEX(ctaLiq,MATCH(E3169,ctaNom,0))="Sí",FALSE),IF(OR(I3169="Gasto",I3169="Transferencia",I3169="Pago tarjeta"),-1,1)*O3169,0)+IF(AND(U3169&lt;&gt;"",IFERROR(INDEX(ctaLiq,MATCH(G3169,ctaNom,0))="Sí",FALSE)),O3169,0))</f>
        <v/>
      </c>
      <c r="W3169" s="19">
        <f>IF(OR(F3169="",I3169=""),"",IF(COUNTIFS(F$6:F3169,F3169,I$6:I3169,"?*")=1,MAX(W$5:W3168)+1,""))</f>
        <v/>
      </c>
    </row>
    <row r="3170">
      <c r="B3170" s="15" t="n"/>
      <c r="C3170" s="16" t="n"/>
      <c r="D3170" s="17" t="n"/>
      <c r="E3170" s="17" t="n"/>
      <c r="F3170" s="17" t="n"/>
      <c r="G3170" s="17" t="n"/>
      <c r="H3170" s="18">
        <f>IF(AND(B3170="",C3170="",D3170="",E3170=""),"",IF(B3170="","⚠ Falta fecha",IF(C3170="","⚠ Falta monto",IF(D3170="","⚠ Falta categoría",IF(ISNA(MATCH(D3170,catNom,0)),"⚠ Categoría no existe",IF(E3170="","⚠ Falta cuenta",IF(ISNA(MATCH(E3170,ctaNom,0)),"⚠ Cuenta no existe",IF(AND(OR(I3170="Transferencia",I3170="Pago tarjeta"),G3170=""),"⚠ Indica la cuenta «Hacia»",IF(AND(G3170&lt;&gt;"",G3170=E3170),"⚠ «Hacia» igual a la cuenta",IF(AND(G3170&lt;&gt;"",ISNA(MATCH(G3170,ctaNom,0))),"⚠ «Hacia» no existe",IF(AND(I3170="Pago tarjeta",IFERROR(INDEX(ctaTipo,MATCH(G3170,ctaNom,0)),"")&lt;&gt;"Tarjeta de crédito"),"⚠ «Hacia» debe ser la tarjeta",IF(AND(I3170="Trading",IFERROR(INDEX(ctaTipo,MATCH(E3170,ctaNom,0)),"")&lt;&gt;"Cuenta de trading"),"⚠ Usa la cuenta de trading","✓"))))))))))))</f>
        <v/>
      </c>
      <c r="I3170" s="19">
        <f>IF(OR(B3170="",C3170="",D3170=""),"",IFERROR(INDEX(catTipo,MATCH(D3170,catNom,0))&amp;"",""))</f>
        <v/>
      </c>
      <c r="J3170" s="19">
        <f>IF(I3170="","",IFERROR(INDEX(catGrupo,MATCH(D3170,catNom,0))&amp;"",""))</f>
        <v/>
      </c>
      <c r="K3170" s="19">
        <f>IF(I3170="Gasto",IF(IFERROR(INDEX(catClas,MATCH(D3170,catNom,0))&amp;"","")="","Variable",IFERROR(INDEX(catClas,MATCH(D3170,catNom,0))&amp;"","")),"")</f>
        <v/>
      </c>
      <c r="L3170" s="19">
        <f>IF(I3170="","",IFERROR(INDEX(catAlim,MATCH(D3170,catNom,0))&amp;"",""))</f>
        <v/>
      </c>
      <c r="M3170" s="19">
        <f>IF(I3170="","",IFERROR(INDEX(catComida,MATCH(D3170,catNom,0))&amp;"",""))</f>
        <v/>
      </c>
      <c r="N3170" s="19">
        <f>IF(I3170="","",IFERROR(INDEX(ctaMon,MATCH(E3170,ctaNom,0))&amp;"","DOP"))</f>
        <v/>
      </c>
      <c r="O3170" s="20">
        <f>IF(I3170="","",C3170*IF(N3170="USD",TasaUSD,1))</f>
        <v/>
      </c>
      <c r="P3170" s="20">
        <f>IF(I3170="","",IF(I3170="Gasto",O3170,0))</f>
        <v/>
      </c>
      <c r="Q3170" s="20">
        <f>IF(I3170="","",IF(I3170="Ingreso",O3170,0))</f>
        <v/>
      </c>
      <c r="R3170" s="20">
        <f>IF(I3170="","",IF(I3170="Trading",O3170,0))</f>
        <v/>
      </c>
      <c r="S3170" s="19">
        <f>IF(I3170="","",IF(AND(I3170="Gasto",K3170="Variable",J3170&lt;&gt;"Trading",O3170&gt;0,O3170&lt;=Umbral),1,0))</f>
        <v/>
      </c>
      <c r="T3170" s="20">
        <f>IF(OR(I3170="",E3170=""),"",IF(OR(I3170="Gasto",I3170="Transferencia",I3170="Pago tarjeta"),-1,1)*C3170)</f>
        <v/>
      </c>
      <c r="U3170" s="20">
        <f>IF(OR(G3170="",AND(I3170&lt;&gt;"Transferencia",I3170&lt;&gt;"Pago tarjeta")),"",IF(IFERROR(INDEX(ctaMon,MATCH(G3170,ctaNom,0))&amp;"","DOP")=N3170,C3170,IF(N3170="USD",C3170*TasaUSD,C3170/TasaUSD)))</f>
        <v/>
      </c>
      <c r="V3170" s="20">
        <f>IF(I3170="","",IF(IFERROR(INDEX(ctaLiq,MATCH(E3170,ctaNom,0))="Sí",FALSE),IF(OR(I3170="Gasto",I3170="Transferencia",I3170="Pago tarjeta"),-1,1)*O3170,0)+IF(AND(U3170&lt;&gt;"",IFERROR(INDEX(ctaLiq,MATCH(G3170,ctaNom,0))="Sí",FALSE)),O3170,0))</f>
        <v/>
      </c>
      <c r="W3170" s="19">
        <f>IF(OR(F3170="",I3170=""),"",IF(COUNTIFS(F$6:F3170,F3170,I$6:I3170,"?*")=1,MAX(W$5:W3169)+1,""))</f>
        <v/>
      </c>
    </row>
    <row r="3171">
      <c r="B3171" s="15" t="n"/>
      <c r="C3171" s="16" t="n"/>
      <c r="D3171" s="17" t="n"/>
      <c r="E3171" s="17" t="n"/>
      <c r="F3171" s="17" t="n"/>
      <c r="G3171" s="17" t="n"/>
      <c r="H3171" s="18">
        <f>IF(AND(B3171="",C3171="",D3171="",E3171=""),"",IF(B3171="","⚠ Falta fecha",IF(C3171="","⚠ Falta monto",IF(D3171="","⚠ Falta categoría",IF(ISNA(MATCH(D3171,catNom,0)),"⚠ Categoría no existe",IF(E3171="","⚠ Falta cuenta",IF(ISNA(MATCH(E3171,ctaNom,0)),"⚠ Cuenta no existe",IF(AND(OR(I3171="Transferencia",I3171="Pago tarjeta"),G3171=""),"⚠ Indica la cuenta «Hacia»",IF(AND(G3171&lt;&gt;"",G3171=E3171),"⚠ «Hacia» igual a la cuenta",IF(AND(G3171&lt;&gt;"",ISNA(MATCH(G3171,ctaNom,0))),"⚠ «Hacia» no existe",IF(AND(I3171="Pago tarjeta",IFERROR(INDEX(ctaTipo,MATCH(G3171,ctaNom,0)),"")&lt;&gt;"Tarjeta de crédito"),"⚠ «Hacia» debe ser la tarjeta",IF(AND(I3171="Trading",IFERROR(INDEX(ctaTipo,MATCH(E3171,ctaNom,0)),"")&lt;&gt;"Cuenta de trading"),"⚠ Usa la cuenta de trading","✓"))))))))))))</f>
        <v/>
      </c>
      <c r="I3171" s="19">
        <f>IF(OR(B3171="",C3171="",D3171=""),"",IFERROR(INDEX(catTipo,MATCH(D3171,catNom,0))&amp;"",""))</f>
        <v/>
      </c>
      <c r="J3171" s="19">
        <f>IF(I3171="","",IFERROR(INDEX(catGrupo,MATCH(D3171,catNom,0))&amp;"",""))</f>
        <v/>
      </c>
      <c r="K3171" s="19">
        <f>IF(I3171="Gasto",IF(IFERROR(INDEX(catClas,MATCH(D3171,catNom,0))&amp;"","")="","Variable",IFERROR(INDEX(catClas,MATCH(D3171,catNom,0))&amp;"","")),"")</f>
        <v/>
      </c>
      <c r="L3171" s="19">
        <f>IF(I3171="","",IFERROR(INDEX(catAlim,MATCH(D3171,catNom,0))&amp;"",""))</f>
        <v/>
      </c>
      <c r="M3171" s="19">
        <f>IF(I3171="","",IFERROR(INDEX(catComida,MATCH(D3171,catNom,0))&amp;"",""))</f>
        <v/>
      </c>
      <c r="N3171" s="19">
        <f>IF(I3171="","",IFERROR(INDEX(ctaMon,MATCH(E3171,ctaNom,0))&amp;"","DOP"))</f>
        <v/>
      </c>
      <c r="O3171" s="20">
        <f>IF(I3171="","",C3171*IF(N3171="USD",TasaUSD,1))</f>
        <v/>
      </c>
      <c r="P3171" s="20">
        <f>IF(I3171="","",IF(I3171="Gasto",O3171,0))</f>
        <v/>
      </c>
      <c r="Q3171" s="20">
        <f>IF(I3171="","",IF(I3171="Ingreso",O3171,0))</f>
        <v/>
      </c>
      <c r="R3171" s="20">
        <f>IF(I3171="","",IF(I3171="Trading",O3171,0))</f>
        <v/>
      </c>
      <c r="S3171" s="19">
        <f>IF(I3171="","",IF(AND(I3171="Gasto",K3171="Variable",J3171&lt;&gt;"Trading",O3171&gt;0,O3171&lt;=Umbral),1,0))</f>
        <v/>
      </c>
      <c r="T3171" s="20">
        <f>IF(OR(I3171="",E3171=""),"",IF(OR(I3171="Gasto",I3171="Transferencia",I3171="Pago tarjeta"),-1,1)*C3171)</f>
        <v/>
      </c>
      <c r="U3171" s="20">
        <f>IF(OR(G3171="",AND(I3171&lt;&gt;"Transferencia",I3171&lt;&gt;"Pago tarjeta")),"",IF(IFERROR(INDEX(ctaMon,MATCH(G3171,ctaNom,0))&amp;"","DOP")=N3171,C3171,IF(N3171="USD",C3171*TasaUSD,C3171/TasaUSD)))</f>
        <v/>
      </c>
      <c r="V3171" s="20">
        <f>IF(I3171="","",IF(IFERROR(INDEX(ctaLiq,MATCH(E3171,ctaNom,0))="Sí",FALSE),IF(OR(I3171="Gasto",I3171="Transferencia",I3171="Pago tarjeta"),-1,1)*O3171,0)+IF(AND(U3171&lt;&gt;"",IFERROR(INDEX(ctaLiq,MATCH(G3171,ctaNom,0))="Sí",FALSE)),O3171,0))</f>
        <v/>
      </c>
      <c r="W3171" s="19">
        <f>IF(OR(F3171="",I3171=""),"",IF(COUNTIFS(F$6:F3171,F3171,I$6:I3171,"?*")=1,MAX(W$5:W3170)+1,""))</f>
        <v/>
      </c>
    </row>
    <row r="3172">
      <c r="B3172" s="15" t="n"/>
      <c r="C3172" s="16" t="n"/>
      <c r="D3172" s="17" t="n"/>
      <c r="E3172" s="17" t="n"/>
      <c r="F3172" s="17" t="n"/>
      <c r="G3172" s="17" t="n"/>
      <c r="H3172" s="18">
        <f>IF(AND(B3172="",C3172="",D3172="",E3172=""),"",IF(B3172="","⚠ Falta fecha",IF(C3172="","⚠ Falta monto",IF(D3172="","⚠ Falta categoría",IF(ISNA(MATCH(D3172,catNom,0)),"⚠ Categoría no existe",IF(E3172="","⚠ Falta cuenta",IF(ISNA(MATCH(E3172,ctaNom,0)),"⚠ Cuenta no existe",IF(AND(OR(I3172="Transferencia",I3172="Pago tarjeta"),G3172=""),"⚠ Indica la cuenta «Hacia»",IF(AND(G3172&lt;&gt;"",G3172=E3172),"⚠ «Hacia» igual a la cuenta",IF(AND(G3172&lt;&gt;"",ISNA(MATCH(G3172,ctaNom,0))),"⚠ «Hacia» no existe",IF(AND(I3172="Pago tarjeta",IFERROR(INDEX(ctaTipo,MATCH(G3172,ctaNom,0)),"")&lt;&gt;"Tarjeta de crédito"),"⚠ «Hacia» debe ser la tarjeta",IF(AND(I3172="Trading",IFERROR(INDEX(ctaTipo,MATCH(E3172,ctaNom,0)),"")&lt;&gt;"Cuenta de trading"),"⚠ Usa la cuenta de trading","✓"))))))))))))</f>
        <v/>
      </c>
      <c r="I3172" s="19">
        <f>IF(OR(B3172="",C3172="",D3172=""),"",IFERROR(INDEX(catTipo,MATCH(D3172,catNom,0))&amp;"",""))</f>
        <v/>
      </c>
      <c r="J3172" s="19">
        <f>IF(I3172="","",IFERROR(INDEX(catGrupo,MATCH(D3172,catNom,0))&amp;"",""))</f>
        <v/>
      </c>
      <c r="K3172" s="19">
        <f>IF(I3172="Gasto",IF(IFERROR(INDEX(catClas,MATCH(D3172,catNom,0))&amp;"","")="","Variable",IFERROR(INDEX(catClas,MATCH(D3172,catNom,0))&amp;"","")),"")</f>
        <v/>
      </c>
      <c r="L3172" s="19">
        <f>IF(I3172="","",IFERROR(INDEX(catAlim,MATCH(D3172,catNom,0))&amp;"",""))</f>
        <v/>
      </c>
      <c r="M3172" s="19">
        <f>IF(I3172="","",IFERROR(INDEX(catComida,MATCH(D3172,catNom,0))&amp;"",""))</f>
        <v/>
      </c>
      <c r="N3172" s="19">
        <f>IF(I3172="","",IFERROR(INDEX(ctaMon,MATCH(E3172,ctaNom,0))&amp;"","DOP"))</f>
        <v/>
      </c>
      <c r="O3172" s="20">
        <f>IF(I3172="","",C3172*IF(N3172="USD",TasaUSD,1))</f>
        <v/>
      </c>
      <c r="P3172" s="20">
        <f>IF(I3172="","",IF(I3172="Gasto",O3172,0))</f>
        <v/>
      </c>
      <c r="Q3172" s="20">
        <f>IF(I3172="","",IF(I3172="Ingreso",O3172,0))</f>
        <v/>
      </c>
      <c r="R3172" s="20">
        <f>IF(I3172="","",IF(I3172="Trading",O3172,0))</f>
        <v/>
      </c>
      <c r="S3172" s="19">
        <f>IF(I3172="","",IF(AND(I3172="Gasto",K3172="Variable",J3172&lt;&gt;"Trading",O3172&gt;0,O3172&lt;=Umbral),1,0))</f>
        <v/>
      </c>
      <c r="T3172" s="20">
        <f>IF(OR(I3172="",E3172=""),"",IF(OR(I3172="Gasto",I3172="Transferencia",I3172="Pago tarjeta"),-1,1)*C3172)</f>
        <v/>
      </c>
      <c r="U3172" s="20">
        <f>IF(OR(G3172="",AND(I3172&lt;&gt;"Transferencia",I3172&lt;&gt;"Pago tarjeta")),"",IF(IFERROR(INDEX(ctaMon,MATCH(G3172,ctaNom,0))&amp;"","DOP")=N3172,C3172,IF(N3172="USD",C3172*TasaUSD,C3172/TasaUSD)))</f>
        <v/>
      </c>
      <c r="V3172" s="20">
        <f>IF(I3172="","",IF(IFERROR(INDEX(ctaLiq,MATCH(E3172,ctaNom,0))="Sí",FALSE),IF(OR(I3172="Gasto",I3172="Transferencia",I3172="Pago tarjeta"),-1,1)*O3172,0)+IF(AND(U3172&lt;&gt;"",IFERROR(INDEX(ctaLiq,MATCH(G3172,ctaNom,0))="Sí",FALSE)),O3172,0))</f>
        <v/>
      </c>
      <c r="W3172" s="19">
        <f>IF(OR(F3172="",I3172=""),"",IF(COUNTIFS(F$6:F3172,F3172,I$6:I3172,"?*")=1,MAX(W$5:W3171)+1,""))</f>
        <v/>
      </c>
    </row>
    <row r="3173">
      <c r="B3173" s="15" t="n"/>
      <c r="C3173" s="16" t="n"/>
      <c r="D3173" s="17" t="n"/>
      <c r="E3173" s="17" t="n"/>
      <c r="F3173" s="17" t="n"/>
      <c r="G3173" s="17" t="n"/>
      <c r="H3173" s="18">
        <f>IF(AND(B3173="",C3173="",D3173="",E3173=""),"",IF(B3173="","⚠ Falta fecha",IF(C3173="","⚠ Falta monto",IF(D3173="","⚠ Falta categoría",IF(ISNA(MATCH(D3173,catNom,0)),"⚠ Categoría no existe",IF(E3173="","⚠ Falta cuenta",IF(ISNA(MATCH(E3173,ctaNom,0)),"⚠ Cuenta no existe",IF(AND(OR(I3173="Transferencia",I3173="Pago tarjeta"),G3173=""),"⚠ Indica la cuenta «Hacia»",IF(AND(G3173&lt;&gt;"",G3173=E3173),"⚠ «Hacia» igual a la cuenta",IF(AND(G3173&lt;&gt;"",ISNA(MATCH(G3173,ctaNom,0))),"⚠ «Hacia» no existe",IF(AND(I3173="Pago tarjeta",IFERROR(INDEX(ctaTipo,MATCH(G3173,ctaNom,0)),"")&lt;&gt;"Tarjeta de crédito"),"⚠ «Hacia» debe ser la tarjeta",IF(AND(I3173="Trading",IFERROR(INDEX(ctaTipo,MATCH(E3173,ctaNom,0)),"")&lt;&gt;"Cuenta de trading"),"⚠ Usa la cuenta de trading","✓"))))))))))))</f>
        <v/>
      </c>
      <c r="I3173" s="19">
        <f>IF(OR(B3173="",C3173="",D3173=""),"",IFERROR(INDEX(catTipo,MATCH(D3173,catNom,0))&amp;"",""))</f>
        <v/>
      </c>
      <c r="J3173" s="19">
        <f>IF(I3173="","",IFERROR(INDEX(catGrupo,MATCH(D3173,catNom,0))&amp;"",""))</f>
        <v/>
      </c>
      <c r="K3173" s="19">
        <f>IF(I3173="Gasto",IF(IFERROR(INDEX(catClas,MATCH(D3173,catNom,0))&amp;"","")="","Variable",IFERROR(INDEX(catClas,MATCH(D3173,catNom,0))&amp;"","")),"")</f>
        <v/>
      </c>
      <c r="L3173" s="19">
        <f>IF(I3173="","",IFERROR(INDEX(catAlim,MATCH(D3173,catNom,0))&amp;"",""))</f>
        <v/>
      </c>
      <c r="M3173" s="19">
        <f>IF(I3173="","",IFERROR(INDEX(catComida,MATCH(D3173,catNom,0))&amp;"",""))</f>
        <v/>
      </c>
      <c r="N3173" s="19">
        <f>IF(I3173="","",IFERROR(INDEX(ctaMon,MATCH(E3173,ctaNom,0))&amp;"","DOP"))</f>
        <v/>
      </c>
      <c r="O3173" s="20">
        <f>IF(I3173="","",C3173*IF(N3173="USD",TasaUSD,1))</f>
        <v/>
      </c>
      <c r="P3173" s="20">
        <f>IF(I3173="","",IF(I3173="Gasto",O3173,0))</f>
        <v/>
      </c>
      <c r="Q3173" s="20">
        <f>IF(I3173="","",IF(I3173="Ingreso",O3173,0))</f>
        <v/>
      </c>
      <c r="R3173" s="20">
        <f>IF(I3173="","",IF(I3173="Trading",O3173,0))</f>
        <v/>
      </c>
      <c r="S3173" s="19">
        <f>IF(I3173="","",IF(AND(I3173="Gasto",K3173="Variable",J3173&lt;&gt;"Trading",O3173&gt;0,O3173&lt;=Umbral),1,0))</f>
        <v/>
      </c>
      <c r="T3173" s="20">
        <f>IF(OR(I3173="",E3173=""),"",IF(OR(I3173="Gasto",I3173="Transferencia",I3173="Pago tarjeta"),-1,1)*C3173)</f>
        <v/>
      </c>
      <c r="U3173" s="20">
        <f>IF(OR(G3173="",AND(I3173&lt;&gt;"Transferencia",I3173&lt;&gt;"Pago tarjeta")),"",IF(IFERROR(INDEX(ctaMon,MATCH(G3173,ctaNom,0))&amp;"","DOP")=N3173,C3173,IF(N3173="USD",C3173*TasaUSD,C3173/TasaUSD)))</f>
        <v/>
      </c>
      <c r="V3173" s="20">
        <f>IF(I3173="","",IF(IFERROR(INDEX(ctaLiq,MATCH(E3173,ctaNom,0))="Sí",FALSE),IF(OR(I3173="Gasto",I3173="Transferencia",I3173="Pago tarjeta"),-1,1)*O3173,0)+IF(AND(U3173&lt;&gt;"",IFERROR(INDEX(ctaLiq,MATCH(G3173,ctaNom,0))="Sí",FALSE)),O3173,0))</f>
        <v/>
      </c>
      <c r="W3173" s="19">
        <f>IF(OR(F3173="",I3173=""),"",IF(COUNTIFS(F$6:F3173,F3173,I$6:I3173,"?*")=1,MAX(W$5:W3172)+1,""))</f>
        <v/>
      </c>
    </row>
    <row r="3174">
      <c r="B3174" s="15" t="n"/>
      <c r="C3174" s="16" t="n"/>
      <c r="D3174" s="17" t="n"/>
      <c r="E3174" s="17" t="n"/>
      <c r="F3174" s="17" t="n"/>
      <c r="G3174" s="17" t="n"/>
      <c r="H3174" s="18">
        <f>IF(AND(B3174="",C3174="",D3174="",E3174=""),"",IF(B3174="","⚠ Falta fecha",IF(C3174="","⚠ Falta monto",IF(D3174="","⚠ Falta categoría",IF(ISNA(MATCH(D3174,catNom,0)),"⚠ Categoría no existe",IF(E3174="","⚠ Falta cuenta",IF(ISNA(MATCH(E3174,ctaNom,0)),"⚠ Cuenta no existe",IF(AND(OR(I3174="Transferencia",I3174="Pago tarjeta"),G3174=""),"⚠ Indica la cuenta «Hacia»",IF(AND(G3174&lt;&gt;"",G3174=E3174),"⚠ «Hacia» igual a la cuenta",IF(AND(G3174&lt;&gt;"",ISNA(MATCH(G3174,ctaNom,0))),"⚠ «Hacia» no existe",IF(AND(I3174="Pago tarjeta",IFERROR(INDEX(ctaTipo,MATCH(G3174,ctaNom,0)),"")&lt;&gt;"Tarjeta de crédito"),"⚠ «Hacia» debe ser la tarjeta",IF(AND(I3174="Trading",IFERROR(INDEX(ctaTipo,MATCH(E3174,ctaNom,0)),"")&lt;&gt;"Cuenta de trading"),"⚠ Usa la cuenta de trading","✓"))))))))))))</f>
        <v/>
      </c>
      <c r="I3174" s="19">
        <f>IF(OR(B3174="",C3174="",D3174=""),"",IFERROR(INDEX(catTipo,MATCH(D3174,catNom,0))&amp;"",""))</f>
        <v/>
      </c>
      <c r="J3174" s="19">
        <f>IF(I3174="","",IFERROR(INDEX(catGrupo,MATCH(D3174,catNom,0))&amp;"",""))</f>
        <v/>
      </c>
      <c r="K3174" s="19">
        <f>IF(I3174="Gasto",IF(IFERROR(INDEX(catClas,MATCH(D3174,catNom,0))&amp;"","")="","Variable",IFERROR(INDEX(catClas,MATCH(D3174,catNom,0))&amp;"","")),"")</f>
        <v/>
      </c>
      <c r="L3174" s="19">
        <f>IF(I3174="","",IFERROR(INDEX(catAlim,MATCH(D3174,catNom,0))&amp;"",""))</f>
        <v/>
      </c>
      <c r="M3174" s="19">
        <f>IF(I3174="","",IFERROR(INDEX(catComida,MATCH(D3174,catNom,0))&amp;"",""))</f>
        <v/>
      </c>
      <c r="N3174" s="19">
        <f>IF(I3174="","",IFERROR(INDEX(ctaMon,MATCH(E3174,ctaNom,0))&amp;"","DOP"))</f>
        <v/>
      </c>
      <c r="O3174" s="20">
        <f>IF(I3174="","",C3174*IF(N3174="USD",TasaUSD,1))</f>
        <v/>
      </c>
      <c r="P3174" s="20">
        <f>IF(I3174="","",IF(I3174="Gasto",O3174,0))</f>
        <v/>
      </c>
      <c r="Q3174" s="20">
        <f>IF(I3174="","",IF(I3174="Ingreso",O3174,0))</f>
        <v/>
      </c>
      <c r="R3174" s="20">
        <f>IF(I3174="","",IF(I3174="Trading",O3174,0))</f>
        <v/>
      </c>
      <c r="S3174" s="19">
        <f>IF(I3174="","",IF(AND(I3174="Gasto",K3174="Variable",J3174&lt;&gt;"Trading",O3174&gt;0,O3174&lt;=Umbral),1,0))</f>
        <v/>
      </c>
      <c r="T3174" s="20">
        <f>IF(OR(I3174="",E3174=""),"",IF(OR(I3174="Gasto",I3174="Transferencia",I3174="Pago tarjeta"),-1,1)*C3174)</f>
        <v/>
      </c>
      <c r="U3174" s="20">
        <f>IF(OR(G3174="",AND(I3174&lt;&gt;"Transferencia",I3174&lt;&gt;"Pago tarjeta")),"",IF(IFERROR(INDEX(ctaMon,MATCH(G3174,ctaNom,0))&amp;"","DOP")=N3174,C3174,IF(N3174="USD",C3174*TasaUSD,C3174/TasaUSD)))</f>
        <v/>
      </c>
      <c r="V3174" s="20">
        <f>IF(I3174="","",IF(IFERROR(INDEX(ctaLiq,MATCH(E3174,ctaNom,0))="Sí",FALSE),IF(OR(I3174="Gasto",I3174="Transferencia",I3174="Pago tarjeta"),-1,1)*O3174,0)+IF(AND(U3174&lt;&gt;"",IFERROR(INDEX(ctaLiq,MATCH(G3174,ctaNom,0))="Sí",FALSE)),O3174,0))</f>
        <v/>
      </c>
      <c r="W3174" s="19">
        <f>IF(OR(F3174="",I3174=""),"",IF(COUNTIFS(F$6:F3174,F3174,I$6:I3174,"?*")=1,MAX(W$5:W3173)+1,""))</f>
        <v/>
      </c>
    </row>
    <row r="3175">
      <c r="B3175" s="15" t="n"/>
      <c r="C3175" s="16" t="n"/>
      <c r="D3175" s="17" t="n"/>
      <c r="E3175" s="17" t="n"/>
      <c r="F3175" s="17" t="n"/>
      <c r="G3175" s="17" t="n"/>
      <c r="H3175" s="18">
        <f>IF(AND(B3175="",C3175="",D3175="",E3175=""),"",IF(B3175="","⚠ Falta fecha",IF(C3175="","⚠ Falta monto",IF(D3175="","⚠ Falta categoría",IF(ISNA(MATCH(D3175,catNom,0)),"⚠ Categoría no existe",IF(E3175="","⚠ Falta cuenta",IF(ISNA(MATCH(E3175,ctaNom,0)),"⚠ Cuenta no existe",IF(AND(OR(I3175="Transferencia",I3175="Pago tarjeta"),G3175=""),"⚠ Indica la cuenta «Hacia»",IF(AND(G3175&lt;&gt;"",G3175=E3175),"⚠ «Hacia» igual a la cuenta",IF(AND(G3175&lt;&gt;"",ISNA(MATCH(G3175,ctaNom,0))),"⚠ «Hacia» no existe",IF(AND(I3175="Pago tarjeta",IFERROR(INDEX(ctaTipo,MATCH(G3175,ctaNom,0)),"")&lt;&gt;"Tarjeta de crédito"),"⚠ «Hacia» debe ser la tarjeta",IF(AND(I3175="Trading",IFERROR(INDEX(ctaTipo,MATCH(E3175,ctaNom,0)),"")&lt;&gt;"Cuenta de trading"),"⚠ Usa la cuenta de trading","✓"))))))))))))</f>
        <v/>
      </c>
      <c r="I3175" s="19">
        <f>IF(OR(B3175="",C3175="",D3175=""),"",IFERROR(INDEX(catTipo,MATCH(D3175,catNom,0))&amp;"",""))</f>
        <v/>
      </c>
      <c r="J3175" s="19">
        <f>IF(I3175="","",IFERROR(INDEX(catGrupo,MATCH(D3175,catNom,0))&amp;"",""))</f>
        <v/>
      </c>
      <c r="K3175" s="19">
        <f>IF(I3175="Gasto",IF(IFERROR(INDEX(catClas,MATCH(D3175,catNom,0))&amp;"","")="","Variable",IFERROR(INDEX(catClas,MATCH(D3175,catNom,0))&amp;"","")),"")</f>
        <v/>
      </c>
      <c r="L3175" s="19">
        <f>IF(I3175="","",IFERROR(INDEX(catAlim,MATCH(D3175,catNom,0))&amp;"",""))</f>
        <v/>
      </c>
      <c r="M3175" s="19">
        <f>IF(I3175="","",IFERROR(INDEX(catComida,MATCH(D3175,catNom,0))&amp;"",""))</f>
        <v/>
      </c>
      <c r="N3175" s="19">
        <f>IF(I3175="","",IFERROR(INDEX(ctaMon,MATCH(E3175,ctaNom,0))&amp;"","DOP"))</f>
        <v/>
      </c>
      <c r="O3175" s="20">
        <f>IF(I3175="","",C3175*IF(N3175="USD",TasaUSD,1))</f>
        <v/>
      </c>
      <c r="P3175" s="20">
        <f>IF(I3175="","",IF(I3175="Gasto",O3175,0))</f>
        <v/>
      </c>
      <c r="Q3175" s="20">
        <f>IF(I3175="","",IF(I3175="Ingreso",O3175,0))</f>
        <v/>
      </c>
      <c r="R3175" s="20">
        <f>IF(I3175="","",IF(I3175="Trading",O3175,0))</f>
        <v/>
      </c>
      <c r="S3175" s="19">
        <f>IF(I3175="","",IF(AND(I3175="Gasto",K3175="Variable",J3175&lt;&gt;"Trading",O3175&gt;0,O3175&lt;=Umbral),1,0))</f>
        <v/>
      </c>
      <c r="T3175" s="20">
        <f>IF(OR(I3175="",E3175=""),"",IF(OR(I3175="Gasto",I3175="Transferencia",I3175="Pago tarjeta"),-1,1)*C3175)</f>
        <v/>
      </c>
      <c r="U3175" s="20">
        <f>IF(OR(G3175="",AND(I3175&lt;&gt;"Transferencia",I3175&lt;&gt;"Pago tarjeta")),"",IF(IFERROR(INDEX(ctaMon,MATCH(G3175,ctaNom,0))&amp;"","DOP")=N3175,C3175,IF(N3175="USD",C3175*TasaUSD,C3175/TasaUSD)))</f>
        <v/>
      </c>
      <c r="V3175" s="20">
        <f>IF(I3175="","",IF(IFERROR(INDEX(ctaLiq,MATCH(E3175,ctaNom,0))="Sí",FALSE),IF(OR(I3175="Gasto",I3175="Transferencia",I3175="Pago tarjeta"),-1,1)*O3175,0)+IF(AND(U3175&lt;&gt;"",IFERROR(INDEX(ctaLiq,MATCH(G3175,ctaNom,0))="Sí",FALSE)),O3175,0))</f>
        <v/>
      </c>
      <c r="W3175" s="19">
        <f>IF(OR(F3175="",I3175=""),"",IF(COUNTIFS(F$6:F3175,F3175,I$6:I3175,"?*")=1,MAX(W$5:W3174)+1,""))</f>
        <v/>
      </c>
    </row>
    <row r="3176">
      <c r="B3176" s="15" t="n"/>
      <c r="C3176" s="16" t="n"/>
      <c r="D3176" s="17" t="n"/>
      <c r="E3176" s="17" t="n"/>
      <c r="F3176" s="17" t="n"/>
      <c r="G3176" s="17" t="n"/>
      <c r="H3176" s="18">
        <f>IF(AND(B3176="",C3176="",D3176="",E3176=""),"",IF(B3176="","⚠ Falta fecha",IF(C3176="","⚠ Falta monto",IF(D3176="","⚠ Falta categoría",IF(ISNA(MATCH(D3176,catNom,0)),"⚠ Categoría no existe",IF(E3176="","⚠ Falta cuenta",IF(ISNA(MATCH(E3176,ctaNom,0)),"⚠ Cuenta no existe",IF(AND(OR(I3176="Transferencia",I3176="Pago tarjeta"),G3176=""),"⚠ Indica la cuenta «Hacia»",IF(AND(G3176&lt;&gt;"",G3176=E3176),"⚠ «Hacia» igual a la cuenta",IF(AND(G3176&lt;&gt;"",ISNA(MATCH(G3176,ctaNom,0))),"⚠ «Hacia» no existe",IF(AND(I3176="Pago tarjeta",IFERROR(INDEX(ctaTipo,MATCH(G3176,ctaNom,0)),"")&lt;&gt;"Tarjeta de crédito"),"⚠ «Hacia» debe ser la tarjeta",IF(AND(I3176="Trading",IFERROR(INDEX(ctaTipo,MATCH(E3176,ctaNom,0)),"")&lt;&gt;"Cuenta de trading"),"⚠ Usa la cuenta de trading","✓"))))))))))))</f>
        <v/>
      </c>
      <c r="I3176" s="19">
        <f>IF(OR(B3176="",C3176="",D3176=""),"",IFERROR(INDEX(catTipo,MATCH(D3176,catNom,0))&amp;"",""))</f>
        <v/>
      </c>
      <c r="J3176" s="19">
        <f>IF(I3176="","",IFERROR(INDEX(catGrupo,MATCH(D3176,catNom,0))&amp;"",""))</f>
        <v/>
      </c>
      <c r="K3176" s="19">
        <f>IF(I3176="Gasto",IF(IFERROR(INDEX(catClas,MATCH(D3176,catNom,0))&amp;"","")="","Variable",IFERROR(INDEX(catClas,MATCH(D3176,catNom,0))&amp;"","")),"")</f>
        <v/>
      </c>
      <c r="L3176" s="19">
        <f>IF(I3176="","",IFERROR(INDEX(catAlim,MATCH(D3176,catNom,0))&amp;"",""))</f>
        <v/>
      </c>
      <c r="M3176" s="19">
        <f>IF(I3176="","",IFERROR(INDEX(catComida,MATCH(D3176,catNom,0))&amp;"",""))</f>
        <v/>
      </c>
      <c r="N3176" s="19">
        <f>IF(I3176="","",IFERROR(INDEX(ctaMon,MATCH(E3176,ctaNom,0))&amp;"","DOP"))</f>
        <v/>
      </c>
      <c r="O3176" s="20">
        <f>IF(I3176="","",C3176*IF(N3176="USD",TasaUSD,1))</f>
        <v/>
      </c>
      <c r="P3176" s="20">
        <f>IF(I3176="","",IF(I3176="Gasto",O3176,0))</f>
        <v/>
      </c>
      <c r="Q3176" s="20">
        <f>IF(I3176="","",IF(I3176="Ingreso",O3176,0))</f>
        <v/>
      </c>
      <c r="R3176" s="20">
        <f>IF(I3176="","",IF(I3176="Trading",O3176,0))</f>
        <v/>
      </c>
      <c r="S3176" s="19">
        <f>IF(I3176="","",IF(AND(I3176="Gasto",K3176="Variable",J3176&lt;&gt;"Trading",O3176&gt;0,O3176&lt;=Umbral),1,0))</f>
        <v/>
      </c>
      <c r="T3176" s="20">
        <f>IF(OR(I3176="",E3176=""),"",IF(OR(I3176="Gasto",I3176="Transferencia",I3176="Pago tarjeta"),-1,1)*C3176)</f>
        <v/>
      </c>
      <c r="U3176" s="20">
        <f>IF(OR(G3176="",AND(I3176&lt;&gt;"Transferencia",I3176&lt;&gt;"Pago tarjeta")),"",IF(IFERROR(INDEX(ctaMon,MATCH(G3176,ctaNom,0))&amp;"","DOP")=N3176,C3176,IF(N3176="USD",C3176*TasaUSD,C3176/TasaUSD)))</f>
        <v/>
      </c>
      <c r="V3176" s="20">
        <f>IF(I3176="","",IF(IFERROR(INDEX(ctaLiq,MATCH(E3176,ctaNom,0))="Sí",FALSE),IF(OR(I3176="Gasto",I3176="Transferencia",I3176="Pago tarjeta"),-1,1)*O3176,0)+IF(AND(U3176&lt;&gt;"",IFERROR(INDEX(ctaLiq,MATCH(G3176,ctaNom,0))="Sí",FALSE)),O3176,0))</f>
        <v/>
      </c>
      <c r="W3176" s="19">
        <f>IF(OR(F3176="",I3176=""),"",IF(COUNTIFS(F$6:F3176,F3176,I$6:I3176,"?*")=1,MAX(W$5:W3175)+1,""))</f>
        <v/>
      </c>
    </row>
    <row r="3177">
      <c r="B3177" s="15" t="n"/>
      <c r="C3177" s="16" t="n"/>
      <c r="D3177" s="17" t="n"/>
      <c r="E3177" s="17" t="n"/>
      <c r="F3177" s="17" t="n"/>
      <c r="G3177" s="17" t="n"/>
      <c r="H3177" s="18">
        <f>IF(AND(B3177="",C3177="",D3177="",E3177=""),"",IF(B3177="","⚠ Falta fecha",IF(C3177="","⚠ Falta monto",IF(D3177="","⚠ Falta categoría",IF(ISNA(MATCH(D3177,catNom,0)),"⚠ Categoría no existe",IF(E3177="","⚠ Falta cuenta",IF(ISNA(MATCH(E3177,ctaNom,0)),"⚠ Cuenta no existe",IF(AND(OR(I3177="Transferencia",I3177="Pago tarjeta"),G3177=""),"⚠ Indica la cuenta «Hacia»",IF(AND(G3177&lt;&gt;"",G3177=E3177),"⚠ «Hacia» igual a la cuenta",IF(AND(G3177&lt;&gt;"",ISNA(MATCH(G3177,ctaNom,0))),"⚠ «Hacia» no existe",IF(AND(I3177="Pago tarjeta",IFERROR(INDEX(ctaTipo,MATCH(G3177,ctaNom,0)),"")&lt;&gt;"Tarjeta de crédito"),"⚠ «Hacia» debe ser la tarjeta",IF(AND(I3177="Trading",IFERROR(INDEX(ctaTipo,MATCH(E3177,ctaNom,0)),"")&lt;&gt;"Cuenta de trading"),"⚠ Usa la cuenta de trading","✓"))))))))))))</f>
        <v/>
      </c>
      <c r="I3177" s="19">
        <f>IF(OR(B3177="",C3177="",D3177=""),"",IFERROR(INDEX(catTipo,MATCH(D3177,catNom,0))&amp;"",""))</f>
        <v/>
      </c>
      <c r="J3177" s="19">
        <f>IF(I3177="","",IFERROR(INDEX(catGrupo,MATCH(D3177,catNom,0))&amp;"",""))</f>
        <v/>
      </c>
      <c r="K3177" s="19">
        <f>IF(I3177="Gasto",IF(IFERROR(INDEX(catClas,MATCH(D3177,catNom,0))&amp;"","")="","Variable",IFERROR(INDEX(catClas,MATCH(D3177,catNom,0))&amp;"","")),"")</f>
        <v/>
      </c>
      <c r="L3177" s="19">
        <f>IF(I3177="","",IFERROR(INDEX(catAlim,MATCH(D3177,catNom,0))&amp;"",""))</f>
        <v/>
      </c>
      <c r="M3177" s="19">
        <f>IF(I3177="","",IFERROR(INDEX(catComida,MATCH(D3177,catNom,0))&amp;"",""))</f>
        <v/>
      </c>
      <c r="N3177" s="19">
        <f>IF(I3177="","",IFERROR(INDEX(ctaMon,MATCH(E3177,ctaNom,0))&amp;"","DOP"))</f>
        <v/>
      </c>
      <c r="O3177" s="20">
        <f>IF(I3177="","",C3177*IF(N3177="USD",TasaUSD,1))</f>
        <v/>
      </c>
      <c r="P3177" s="20">
        <f>IF(I3177="","",IF(I3177="Gasto",O3177,0))</f>
        <v/>
      </c>
      <c r="Q3177" s="20">
        <f>IF(I3177="","",IF(I3177="Ingreso",O3177,0))</f>
        <v/>
      </c>
      <c r="R3177" s="20">
        <f>IF(I3177="","",IF(I3177="Trading",O3177,0))</f>
        <v/>
      </c>
      <c r="S3177" s="19">
        <f>IF(I3177="","",IF(AND(I3177="Gasto",K3177="Variable",J3177&lt;&gt;"Trading",O3177&gt;0,O3177&lt;=Umbral),1,0))</f>
        <v/>
      </c>
      <c r="T3177" s="20">
        <f>IF(OR(I3177="",E3177=""),"",IF(OR(I3177="Gasto",I3177="Transferencia",I3177="Pago tarjeta"),-1,1)*C3177)</f>
        <v/>
      </c>
      <c r="U3177" s="20">
        <f>IF(OR(G3177="",AND(I3177&lt;&gt;"Transferencia",I3177&lt;&gt;"Pago tarjeta")),"",IF(IFERROR(INDEX(ctaMon,MATCH(G3177,ctaNom,0))&amp;"","DOP")=N3177,C3177,IF(N3177="USD",C3177*TasaUSD,C3177/TasaUSD)))</f>
        <v/>
      </c>
      <c r="V3177" s="20">
        <f>IF(I3177="","",IF(IFERROR(INDEX(ctaLiq,MATCH(E3177,ctaNom,0))="Sí",FALSE),IF(OR(I3177="Gasto",I3177="Transferencia",I3177="Pago tarjeta"),-1,1)*O3177,0)+IF(AND(U3177&lt;&gt;"",IFERROR(INDEX(ctaLiq,MATCH(G3177,ctaNom,0))="Sí",FALSE)),O3177,0))</f>
        <v/>
      </c>
      <c r="W3177" s="19">
        <f>IF(OR(F3177="",I3177=""),"",IF(COUNTIFS(F$6:F3177,F3177,I$6:I3177,"?*")=1,MAX(W$5:W3176)+1,""))</f>
        <v/>
      </c>
    </row>
    <row r="3178">
      <c r="B3178" s="15" t="n"/>
      <c r="C3178" s="16" t="n"/>
      <c r="D3178" s="17" t="n"/>
      <c r="E3178" s="17" t="n"/>
      <c r="F3178" s="17" t="n"/>
      <c r="G3178" s="17" t="n"/>
      <c r="H3178" s="18">
        <f>IF(AND(B3178="",C3178="",D3178="",E3178=""),"",IF(B3178="","⚠ Falta fecha",IF(C3178="","⚠ Falta monto",IF(D3178="","⚠ Falta categoría",IF(ISNA(MATCH(D3178,catNom,0)),"⚠ Categoría no existe",IF(E3178="","⚠ Falta cuenta",IF(ISNA(MATCH(E3178,ctaNom,0)),"⚠ Cuenta no existe",IF(AND(OR(I3178="Transferencia",I3178="Pago tarjeta"),G3178=""),"⚠ Indica la cuenta «Hacia»",IF(AND(G3178&lt;&gt;"",G3178=E3178),"⚠ «Hacia» igual a la cuenta",IF(AND(G3178&lt;&gt;"",ISNA(MATCH(G3178,ctaNom,0))),"⚠ «Hacia» no existe",IF(AND(I3178="Pago tarjeta",IFERROR(INDEX(ctaTipo,MATCH(G3178,ctaNom,0)),"")&lt;&gt;"Tarjeta de crédito"),"⚠ «Hacia» debe ser la tarjeta",IF(AND(I3178="Trading",IFERROR(INDEX(ctaTipo,MATCH(E3178,ctaNom,0)),"")&lt;&gt;"Cuenta de trading"),"⚠ Usa la cuenta de trading","✓"))))))))))))</f>
        <v/>
      </c>
      <c r="I3178" s="19">
        <f>IF(OR(B3178="",C3178="",D3178=""),"",IFERROR(INDEX(catTipo,MATCH(D3178,catNom,0))&amp;"",""))</f>
        <v/>
      </c>
      <c r="J3178" s="19">
        <f>IF(I3178="","",IFERROR(INDEX(catGrupo,MATCH(D3178,catNom,0))&amp;"",""))</f>
        <v/>
      </c>
      <c r="K3178" s="19">
        <f>IF(I3178="Gasto",IF(IFERROR(INDEX(catClas,MATCH(D3178,catNom,0))&amp;"","")="","Variable",IFERROR(INDEX(catClas,MATCH(D3178,catNom,0))&amp;"","")),"")</f>
        <v/>
      </c>
      <c r="L3178" s="19">
        <f>IF(I3178="","",IFERROR(INDEX(catAlim,MATCH(D3178,catNom,0))&amp;"",""))</f>
        <v/>
      </c>
      <c r="M3178" s="19">
        <f>IF(I3178="","",IFERROR(INDEX(catComida,MATCH(D3178,catNom,0))&amp;"",""))</f>
        <v/>
      </c>
      <c r="N3178" s="19">
        <f>IF(I3178="","",IFERROR(INDEX(ctaMon,MATCH(E3178,ctaNom,0))&amp;"","DOP"))</f>
        <v/>
      </c>
      <c r="O3178" s="20">
        <f>IF(I3178="","",C3178*IF(N3178="USD",TasaUSD,1))</f>
        <v/>
      </c>
      <c r="P3178" s="20">
        <f>IF(I3178="","",IF(I3178="Gasto",O3178,0))</f>
        <v/>
      </c>
      <c r="Q3178" s="20">
        <f>IF(I3178="","",IF(I3178="Ingreso",O3178,0))</f>
        <v/>
      </c>
      <c r="R3178" s="20">
        <f>IF(I3178="","",IF(I3178="Trading",O3178,0))</f>
        <v/>
      </c>
      <c r="S3178" s="19">
        <f>IF(I3178="","",IF(AND(I3178="Gasto",K3178="Variable",J3178&lt;&gt;"Trading",O3178&gt;0,O3178&lt;=Umbral),1,0))</f>
        <v/>
      </c>
      <c r="T3178" s="20">
        <f>IF(OR(I3178="",E3178=""),"",IF(OR(I3178="Gasto",I3178="Transferencia",I3178="Pago tarjeta"),-1,1)*C3178)</f>
        <v/>
      </c>
      <c r="U3178" s="20">
        <f>IF(OR(G3178="",AND(I3178&lt;&gt;"Transferencia",I3178&lt;&gt;"Pago tarjeta")),"",IF(IFERROR(INDEX(ctaMon,MATCH(G3178,ctaNom,0))&amp;"","DOP")=N3178,C3178,IF(N3178="USD",C3178*TasaUSD,C3178/TasaUSD)))</f>
        <v/>
      </c>
      <c r="V3178" s="20">
        <f>IF(I3178="","",IF(IFERROR(INDEX(ctaLiq,MATCH(E3178,ctaNom,0))="Sí",FALSE),IF(OR(I3178="Gasto",I3178="Transferencia",I3178="Pago tarjeta"),-1,1)*O3178,0)+IF(AND(U3178&lt;&gt;"",IFERROR(INDEX(ctaLiq,MATCH(G3178,ctaNom,0))="Sí",FALSE)),O3178,0))</f>
        <v/>
      </c>
      <c r="W3178" s="19">
        <f>IF(OR(F3178="",I3178=""),"",IF(COUNTIFS(F$6:F3178,F3178,I$6:I3178,"?*")=1,MAX(W$5:W3177)+1,""))</f>
        <v/>
      </c>
    </row>
    <row r="3179">
      <c r="B3179" s="15" t="n"/>
      <c r="C3179" s="16" t="n"/>
      <c r="D3179" s="17" t="n"/>
      <c r="E3179" s="17" t="n"/>
      <c r="F3179" s="17" t="n"/>
      <c r="G3179" s="17" t="n"/>
      <c r="H3179" s="18">
        <f>IF(AND(B3179="",C3179="",D3179="",E3179=""),"",IF(B3179="","⚠ Falta fecha",IF(C3179="","⚠ Falta monto",IF(D3179="","⚠ Falta categoría",IF(ISNA(MATCH(D3179,catNom,0)),"⚠ Categoría no existe",IF(E3179="","⚠ Falta cuenta",IF(ISNA(MATCH(E3179,ctaNom,0)),"⚠ Cuenta no existe",IF(AND(OR(I3179="Transferencia",I3179="Pago tarjeta"),G3179=""),"⚠ Indica la cuenta «Hacia»",IF(AND(G3179&lt;&gt;"",G3179=E3179),"⚠ «Hacia» igual a la cuenta",IF(AND(G3179&lt;&gt;"",ISNA(MATCH(G3179,ctaNom,0))),"⚠ «Hacia» no existe",IF(AND(I3179="Pago tarjeta",IFERROR(INDEX(ctaTipo,MATCH(G3179,ctaNom,0)),"")&lt;&gt;"Tarjeta de crédito"),"⚠ «Hacia» debe ser la tarjeta",IF(AND(I3179="Trading",IFERROR(INDEX(ctaTipo,MATCH(E3179,ctaNom,0)),"")&lt;&gt;"Cuenta de trading"),"⚠ Usa la cuenta de trading","✓"))))))))))))</f>
        <v/>
      </c>
      <c r="I3179" s="19">
        <f>IF(OR(B3179="",C3179="",D3179=""),"",IFERROR(INDEX(catTipo,MATCH(D3179,catNom,0))&amp;"",""))</f>
        <v/>
      </c>
      <c r="J3179" s="19">
        <f>IF(I3179="","",IFERROR(INDEX(catGrupo,MATCH(D3179,catNom,0))&amp;"",""))</f>
        <v/>
      </c>
      <c r="K3179" s="19">
        <f>IF(I3179="Gasto",IF(IFERROR(INDEX(catClas,MATCH(D3179,catNom,0))&amp;"","")="","Variable",IFERROR(INDEX(catClas,MATCH(D3179,catNom,0))&amp;"","")),"")</f>
        <v/>
      </c>
      <c r="L3179" s="19">
        <f>IF(I3179="","",IFERROR(INDEX(catAlim,MATCH(D3179,catNom,0))&amp;"",""))</f>
        <v/>
      </c>
      <c r="M3179" s="19">
        <f>IF(I3179="","",IFERROR(INDEX(catComida,MATCH(D3179,catNom,0))&amp;"",""))</f>
        <v/>
      </c>
      <c r="N3179" s="19">
        <f>IF(I3179="","",IFERROR(INDEX(ctaMon,MATCH(E3179,ctaNom,0))&amp;"","DOP"))</f>
        <v/>
      </c>
      <c r="O3179" s="20">
        <f>IF(I3179="","",C3179*IF(N3179="USD",TasaUSD,1))</f>
        <v/>
      </c>
      <c r="P3179" s="20">
        <f>IF(I3179="","",IF(I3179="Gasto",O3179,0))</f>
        <v/>
      </c>
      <c r="Q3179" s="20">
        <f>IF(I3179="","",IF(I3179="Ingreso",O3179,0))</f>
        <v/>
      </c>
      <c r="R3179" s="20">
        <f>IF(I3179="","",IF(I3179="Trading",O3179,0))</f>
        <v/>
      </c>
      <c r="S3179" s="19">
        <f>IF(I3179="","",IF(AND(I3179="Gasto",K3179="Variable",J3179&lt;&gt;"Trading",O3179&gt;0,O3179&lt;=Umbral),1,0))</f>
        <v/>
      </c>
      <c r="T3179" s="20">
        <f>IF(OR(I3179="",E3179=""),"",IF(OR(I3179="Gasto",I3179="Transferencia",I3179="Pago tarjeta"),-1,1)*C3179)</f>
        <v/>
      </c>
      <c r="U3179" s="20">
        <f>IF(OR(G3179="",AND(I3179&lt;&gt;"Transferencia",I3179&lt;&gt;"Pago tarjeta")),"",IF(IFERROR(INDEX(ctaMon,MATCH(G3179,ctaNom,0))&amp;"","DOP")=N3179,C3179,IF(N3179="USD",C3179*TasaUSD,C3179/TasaUSD)))</f>
        <v/>
      </c>
      <c r="V3179" s="20">
        <f>IF(I3179="","",IF(IFERROR(INDEX(ctaLiq,MATCH(E3179,ctaNom,0))="Sí",FALSE),IF(OR(I3179="Gasto",I3179="Transferencia",I3179="Pago tarjeta"),-1,1)*O3179,0)+IF(AND(U3179&lt;&gt;"",IFERROR(INDEX(ctaLiq,MATCH(G3179,ctaNom,0))="Sí",FALSE)),O3179,0))</f>
        <v/>
      </c>
      <c r="W3179" s="19">
        <f>IF(OR(F3179="",I3179=""),"",IF(COUNTIFS(F$6:F3179,F3179,I$6:I3179,"?*")=1,MAX(W$5:W3178)+1,""))</f>
        <v/>
      </c>
    </row>
    <row r="3180">
      <c r="B3180" s="15" t="n"/>
      <c r="C3180" s="16" t="n"/>
      <c r="D3180" s="17" t="n"/>
      <c r="E3180" s="17" t="n"/>
      <c r="F3180" s="17" t="n"/>
      <c r="G3180" s="17" t="n"/>
      <c r="H3180" s="18">
        <f>IF(AND(B3180="",C3180="",D3180="",E3180=""),"",IF(B3180="","⚠ Falta fecha",IF(C3180="","⚠ Falta monto",IF(D3180="","⚠ Falta categoría",IF(ISNA(MATCH(D3180,catNom,0)),"⚠ Categoría no existe",IF(E3180="","⚠ Falta cuenta",IF(ISNA(MATCH(E3180,ctaNom,0)),"⚠ Cuenta no existe",IF(AND(OR(I3180="Transferencia",I3180="Pago tarjeta"),G3180=""),"⚠ Indica la cuenta «Hacia»",IF(AND(G3180&lt;&gt;"",G3180=E3180),"⚠ «Hacia» igual a la cuenta",IF(AND(G3180&lt;&gt;"",ISNA(MATCH(G3180,ctaNom,0))),"⚠ «Hacia» no existe",IF(AND(I3180="Pago tarjeta",IFERROR(INDEX(ctaTipo,MATCH(G3180,ctaNom,0)),"")&lt;&gt;"Tarjeta de crédito"),"⚠ «Hacia» debe ser la tarjeta",IF(AND(I3180="Trading",IFERROR(INDEX(ctaTipo,MATCH(E3180,ctaNom,0)),"")&lt;&gt;"Cuenta de trading"),"⚠ Usa la cuenta de trading","✓"))))))))))))</f>
        <v/>
      </c>
      <c r="I3180" s="19">
        <f>IF(OR(B3180="",C3180="",D3180=""),"",IFERROR(INDEX(catTipo,MATCH(D3180,catNom,0))&amp;"",""))</f>
        <v/>
      </c>
      <c r="J3180" s="19">
        <f>IF(I3180="","",IFERROR(INDEX(catGrupo,MATCH(D3180,catNom,0))&amp;"",""))</f>
        <v/>
      </c>
      <c r="K3180" s="19">
        <f>IF(I3180="Gasto",IF(IFERROR(INDEX(catClas,MATCH(D3180,catNom,0))&amp;"","")="","Variable",IFERROR(INDEX(catClas,MATCH(D3180,catNom,0))&amp;"","")),"")</f>
        <v/>
      </c>
      <c r="L3180" s="19">
        <f>IF(I3180="","",IFERROR(INDEX(catAlim,MATCH(D3180,catNom,0))&amp;"",""))</f>
        <v/>
      </c>
      <c r="M3180" s="19">
        <f>IF(I3180="","",IFERROR(INDEX(catComida,MATCH(D3180,catNom,0))&amp;"",""))</f>
        <v/>
      </c>
      <c r="N3180" s="19">
        <f>IF(I3180="","",IFERROR(INDEX(ctaMon,MATCH(E3180,ctaNom,0))&amp;"","DOP"))</f>
        <v/>
      </c>
      <c r="O3180" s="20">
        <f>IF(I3180="","",C3180*IF(N3180="USD",TasaUSD,1))</f>
        <v/>
      </c>
      <c r="P3180" s="20">
        <f>IF(I3180="","",IF(I3180="Gasto",O3180,0))</f>
        <v/>
      </c>
      <c r="Q3180" s="20">
        <f>IF(I3180="","",IF(I3180="Ingreso",O3180,0))</f>
        <v/>
      </c>
      <c r="R3180" s="20">
        <f>IF(I3180="","",IF(I3180="Trading",O3180,0))</f>
        <v/>
      </c>
      <c r="S3180" s="19">
        <f>IF(I3180="","",IF(AND(I3180="Gasto",K3180="Variable",J3180&lt;&gt;"Trading",O3180&gt;0,O3180&lt;=Umbral),1,0))</f>
        <v/>
      </c>
      <c r="T3180" s="20">
        <f>IF(OR(I3180="",E3180=""),"",IF(OR(I3180="Gasto",I3180="Transferencia",I3180="Pago tarjeta"),-1,1)*C3180)</f>
        <v/>
      </c>
      <c r="U3180" s="20">
        <f>IF(OR(G3180="",AND(I3180&lt;&gt;"Transferencia",I3180&lt;&gt;"Pago tarjeta")),"",IF(IFERROR(INDEX(ctaMon,MATCH(G3180,ctaNom,0))&amp;"","DOP")=N3180,C3180,IF(N3180="USD",C3180*TasaUSD,C3180/TasaUSD)))</f>
        <v/>
      </c>
      <c r="V3180" s="20">
        <f>IF(I3180="","",IF(IFERROR(INDEX(ctaLiq,MATCH(E3180,ctaNom,0))="Sí",FALSE),IF(OR(I3180="Gasto",I3180="Transferencia",I3180="Pago tarjeta"),-1,1)*O3180,0)+IF(AND(U3180&lt;&gt;"",IFERROR(INDEX(ctaLiq,MATCH(G3180,ctaNom,0))="Sí",FALSE)),O3180,0))</f>
        <v/>
      </c>
      <c r="W3180" s="19">
        <f>IF(OR(F3180="",I3180=""),"",IF(COUNTIFS(F$6:F3180,F3180,I$6:I3180,"?*")=1,MAX(W$5:W3179)+1,""))</f>
        <v/>
      </c>
    </row>
    <row r="3181">
      <c r="B3181" s="15" t="n"/>
      <c r="C3181" s="16" t="n"/>
      <c r="D3181" s="17" t="n"/>
      <c r="E3181" s="17" t="n"/>
      <c r="F3181" s="17" t="n"/>
      <c r="G3181" s="17" t="n"/>
      <c r="H3181" s="18">
        <f>IF(AND(B3181="",C3181="",D3181="",E3181=""),"",IF(B3181="","⚠ Falta fecha",IF(C3181="","⚠ Falta monto",IF(D3181="","⚠ Falta categoría",IF(ISNA(MATCH(D3181,catNom,0)),"⚠ Categoría no existe",IF(E3181="","⚠ Falta cuenta",IF(ISNA(MATCH(E3181,ctaNom,0)),"⚠ Cuenta no existe",IF(AND(OR(I3181="Transferencia",I3181="Pago tarjeta"),G3181=""),"⚠ Indica la cuenta «Hacia»",IF(AND(G3181&lt;&gt;"",G3181=E3181),"⚠ «Hacia» igual a la cuenta",IF(AND(G3181&lt;&gt;"",ISNA(MATCH(G3181,ctaNom,0))),"⚠ «Hacia» no existe",IF(AND(I3181="Pago tarjeta",IFERROR(INDEX(ctaTipo,MATCH(G3181,ctaNom,0)),"")&lt;&gt;"Tarjeta de crédito"),"⚠ «Hacia» debe ser la tarjeta",IF(AND(I3181="Trading",IFERROR(INDEX(ctaTipo,MATCH(E3181,ctaNom,0)),"")&lt;&gt;"Cuenta de trading"),"⚠ Usa la cuenta de trading","✓"))))))))))))</f>
        <v/>
      </c>
      <c r="I3181" s="19">
        <f>IF(OR(B3181="",C3181="",D3181=""),"",IFERROR(INDEX(catTipo,MATCH(D3181,catNom,0))&amp;"",""))</f>
        <v/>
      </c>
      <c r="J3181" s="19">
        <f>IF(I3181="","",IFERROR(INDEX(catGrupo,MATCH(D3181,catNom,0))&amp;"",""))</f>
        <v/>
      </c>
      <c r="K3181" s="19">
        <f>IF(I3181="Gasto",IF(IFERROR(INDEX(catClas,MATCH(D3181,catNom,0))&amp;"","")="","Variable",IFERROR(INDEX(catClas,MATCH(D3181,catNom,0))&amp;"","")),"")</f>
        <v/>
      </c>
      <c r="L3181" s="19">
        <f>IF(I3181="","",IFERROR(INDEX(catAlim,MATCH(D3181,catNom,0))&amp;"",""))</f>
        <v/>
      </c>
      <c r="M3181" s="19">
        <f>IF(I3181="","",IFERROR(INDEX(catComida,MATCH(D3181,catNom,0))&amp;"",""))</f>
        <v/>
      </c>
      <c r="N3181" s="19">
        <f>IF(I3181="","",IFERROR(INDEX(ctaMon,MATCH(E3181,ctaNom,0))&amp;"","DOP"))</f>
        <v/>
      </c>
      <c r="O3181" s="20">
        <f>IF(I3181="","",C3181*IF(N3181="USD",TasaUSD,1))</f>
        <v/>
      </c>
      <c r="P3181" s="20">
        <f>IF(I3181="","",IF(I3181="Gasto",O3181,0))</f>
        <v/>
      </c>
      <c r="Q3181" s="20">
        <f>IF(I3181="","",IF(I3181="Ingreso",O3181,0))</f>
        <v/>
      </c>
      <c r="R3181" s="20">
        <f>IF(I3181="","",IF(I3181="Trading",O3181,0))</f>
        <v/>
      </c>
      <c r="S3181" s="19">
        <f>IF(I3181="","",IF(AND(I3181="Gasto",K3181="Variable",J3181&lt;&gt;"Trading",O3181&gt;0,O3181&lt;=Umbral),1,0))</f>
        <v/>
      </c>
      <c r="T3181" s="20">
        <f>IF(OR(I3181="",E3181=""),"",IF(OR(I3181="Gasto",I3181="Transferencia",I3181="Pago tarjeta"),-1,1)*C3181)</f>
        <v/>
      </c>
      <c r="U3181" s="20">
        <f>IF(OR(G3181="",AND(I3181&lt;&gt;"Transferencia",I3181&lt;&gt;"Pago tarjeta")),"",IF(IFERROR(INDEX(ctaMon,MATCH(G3181,ctaNom,0))&amp;"","DOP")=N3181,C3181,IF(N3181="USD",C3181*TasaUSD,C3181/TasaUSD)))</f>
        <v/>
      </c>
      <c r="V3181" s="20">
        <f>IF(I3181="","",IF(IFERROR(INDEX(ctaLiq,MATCH(E3181,ctaNom,0))="Sí",FALSE),IF(OR(I3181="Gasto",I3181="Transferencia",I3181="Pago tarjeta"),-1,1)*O3181,0)+IF(AND(U3181&lt;&gt;"",IFERROR(INDEX(ctaLiq,MATCH(G3181,ctaNom,0))="Sí",FALSE)),O3181,0))</f>
        <v/>
      </c>
      <c r="W3181" s="19">
        <f>IF(OR(F3181="",I3181=""),"",IF(COUNTIFS(F$6:F3181,F3181,I$6:I3181,"?*")=1,MAX(W$5:W3180)+1,""))</f>
        <v/>
      </c>
    </row>
    <row r="3182">
      <c r="B3182" s="15" t="n"/>
      <c r="C3182" s="16" t="n"/>
      <c r="D3182" s="17" t="n"/>
      <c r="E3182" s="17" t="n"/>
      <c r="F3182" s="17" t="n"/>
      <c r="G3182" s="17" t="n"/>
      <c r="H3182" s="18">
        <f>IF(AND(B3182="",C3182="",D3182="",E3182=""),"",IF(B3182="","⚠ Falta fecha",IF(C3182="","⚠ Falta monto",IF(D3182="","⚠ Falta categoría",IF(ISNA(MATCH(D3182,catNom,0)),"⚠ Categoría no existe",IF(E3182="","⚠ Falta cuenta",IF(ISNA(MATCH(E3182,ctaNom,0)),"⚠ Cuenta no existe",IF(AND(OR(I3182="Transferencia",I3182="Pago tarjeta"),G3182=""),"⚠ Indica la cuenta «Hacia»",IF(AND(G3182&lt;&gt;"",G3182=E3182),"⚠ «Hacia» igual a la cuenta",IF(AND(G3182&lt;&gt;"",ISNA(MATCH(G3182,ctaNom,0))),"⚠ «Hacia» no existe",IF(AND(I3182="Pago tarjeta",IFERROR(INDEX(ctaTipo,MATCH(G3182,ctaNom,0)),"")&lt;&gt;"Tarjeta de crédito"),"⚠ «Hacia» debe ser la tarjeta",IF(AND(I3182="Trading",IFERROR(INDEX(ctaTipo,MATCH(E3182,ctaNom,0)),"")&lt;&gt;"Cuenta de trading"),"⚠ Usa la cuenta de trading","✓"))))))))))))</f>
        <v/>
      </c>
      <c r="I3182" s="19">
        <f>IF(OR(B3182="",C3182="",D3182=""),"",IFERROR(INDEX(catTipo,MATCH(D3182,catNom,0))&amp;"",""))</f>
        <v/>
      </c>
      <c r="J3182" s="19">
        <f>IF(I3182="","",IFERROR(INDEX(catGrupo,MATCH(D3182,catNom,0))&amp;"",""))</f>
        <v/>
      </c>
      <c r="K3182" s="19">
        <f>IF(I3182="Gasto",IF(IFERROR(INDEX(catClas,MATCH(D3182,catNom,0))&amp;"","")="","Variable",IFERROR(INDEX(catClas,MATCH(D3182,catNom,0))&amp;"","")),"")</f>
        <v/>
      </c>
      <c r="L3182" s="19">
        <f>IF(I3182="","",IFERROR(INDEX(catAlim,MATCH(D3182,catNom,0))&amp;"",""))</f>
        <v/>
      </c>
      <c r="M3182" s="19">
        <f>IF(I3182="","",IFERROR(INDEX(catComida,MATCH(D3182,catNom,0))&amp;"",""))</f>
        <v/>
      </c>
      <c r="N3182" s="19">
        <f>IF(I3182="","",IFERROR(INDEX(ctaMon,MATCH(E3182,ctaNom,0))&amp;"","DOP"))</f>
        <v/>
      </c>
      <c r="O3182" s="20">
        <f>IF(I3182="","",C3182*IF(N3182="USD",TasaUSD,1))</f>
        <v/>
      </c>
      <c r="P3182" s="20">
        <f>IF(I3182="","",IF(I3182="Gasto",O3182,0))</f>
        <v/>
      </c>
      <c r="Q3182" s="20">
        <f>IF(I3182="","",IF(I3182="Ingreso",O3182,0))</f>
        <v/>
      </c>
      <c r="R3182" s="20">
        <f>IF(I3182="","",IF(I3182="Trading",O3182,0))</f>
        <v/>
      </c>
      <c r="S3182" s="19">
        <f>IF(I3182="","",IF(AND(I3182="Gasto",K3182="Variable",J3182&lt;&gt;"Trading",O3182&gt;0,O3182&lt;=Umbral),1,0))</f>
        <v/>
      </c>
      <c r="T3182" s="20">
        <f>IF(OR(I3182="",E3182=""),"",IF(OR(I3182="Gasto",I3182="Transferencia",I3182="Pago tarjeta"),-1,1)*C3182)</f>
        <v/>
      </c>
      <c r="U3182" s="20">
        <f>IF(OR(G3182="",AND(I3182&lt;&gt;"Transferencia",I3182&lt;&gt;"Pago tarjeta")),"",IF(IFERROR(INDEX(ctaMon,MATCH(G3182,ctaNom,0))&amp;"","DOP")=N3182,C3182,IF(N3182="USD",C3182*TasaUSD,C3182/TasaUSD)))</f>
        <v/>
      </c>
      <c r="V3182" s="20">
        <f>IF(I3182="","",IF(IFERROR(INDEX(ctaLiq,MATCH(E3182,ctaNom,0))="Sí",FALSE),IF(OR(I3182="Gasto",I3182="Transferencia",I3182="Pago tarjeta"),-1,1)*O3182,0)+IF(AND(U3182&lt;&gt;"",IFERROR(INDEX(ctaLiq,MATCH(G3182,ctaNom,0))="Sí",FALSE)),O3182,0))</f>
        <v/>
      </c>
      <c r="W3182" s="19">
        <f>IF(OR(F3182="",I3182=""),"",IF(COUNTIFS(F$6:F3182,F3182,I$6:I3182,"?*")=1,MAX(W$5:W3181)+1,""))</f>
        <v/>
      </c>
    </row>
    <row r="3183">
      <c r="B3183" s="15" t="n"/>
      <c r="C3183" s="16" t="n"/>
      <c r="D3183" s="17" t="n"/>
      <c r="E3183" s="17" t="n"/>
      <c r="F3183" s="17" t="n"/>
      <c r="G3183" s="17" t="n"/>
      <c r="H3183" s="18">
        <f>IF(AND(B3183="",C3183="",D3183="",E3183=""),"",IF(B3183="","⚠ Falta fecha",IF(C3183="","⚠ Falta monto",IF(D3183="","⚠ Falta categoría",IF(ISNA(MATCH(D3183,catNom,0)),"⚠ Categoría no existe",IF(E3183="","⚠ Falta cuenta",IF(ISNA(MATCH(E3183,ctaNom,0)),"⚠ Cuenta no existe",IF(AND(OR(I3183="Transferencia",I3183="Pago tarjeta"),G3183=""),"⚠ Indica la cuenta «Hacia»",IF(AND(G3183&lt;&gt;"",G3183=E3183),"⚠ «Hacia» igual a la cuenta",IF(AND(G3183&lt;&gt;"",ISNA(MATCH(G3183,ctaNom,0))),"⚠ «Hacia» no existe",IF(AND(I3183="Pago tarjeta",IFERROR(INDEX(ctaTipo,MATCH(G3183,ctaNom,0)),"")&lt;&gt;"Tarjeta de crédito"),"⚠ «Hacia» debe ser la tarjeta",IF(AND(I3183="Trading",IFERROR(INDEX(ctaTipo,MATCH(E3183,ctaNom,0)),"")&lt;&gt;"Cuenta de trading"),"⚠ Usa la cuenta de trading","✓"))))))))))))</f>
        <v/>
      </c>
      <c r="I3183" s="19">
        <f>IF(OR(B3183="",C3183="",D3183=""),"",IFERROR(INDEX(catTipo,MATCH(D3183,catNom,0))&amp;"",""))</f>
        <v/>
      </c>
      <c r="J3183" s="19">
        <f>IF(I3183="","",IFERROR(INDEX(catGrupo,MATCH(D3183,catNom,0))&amp;"",""))</f>
        <v/>
      </c>
      <c r="K3183" s="19">
        <f>IF(I3183="Gasto",IF(IFERROR(INDEX(catClas,MATCH(D3183,catNom,0))&amp;"","")="","Variable",IFERROR(INDEX(catClas,MATCH(D3183,catNom,0))&amp;"","")),"")</f>
        <v/>
      </c>
      <c r="L3183" s="19">
        <f>IF(I3183="","",IFERROR(INDEX(catAlim,MATCH(D3183,catNom,0))&amp;"",""))</f>
        <v/>
      </c>
      <c r="M3183" s="19">
        <f>IF(I3183="","",IFERROR(INDEX(catComida,MATCH(D3183,catNom,0))&amp;"",""))</f>
        <v/>
      </c>
      <c r="N3183" s="19">
        <f>IF(I3183="","",IFERROR(INDEX(ctaMon,MATCH(E3183,ctaNom,0))&amp;"","DOP"))</f>
        <v/>
      </c>
      <c r="O3183" s="20">
        <f>IF(I3183="","",C3183*IF(N3183="USD",TasaUSD,1))</f>
        <v/>
      </c>
      <c r="P3183" s="20">
        <f>IF(I3183="","",IF(I3183="Gasto",O3183,0))</f>
        <v/>
      </c>
      <c r="Q3183" s="20">
        <f>IF(I3183="","",IF(I3183="Ingreso",O3183,0))</f>
        <v/>
      </c>
      <c r="R3183" s="20">
        <f>IF(I3183="","",IF(I3183="Trading",O3183,0))</f>
        <v/>
      </c>
      <c r="S3183" s="19">
        <f>IF(I3183="","",IF(AND(I3183="Gasto",K3183="Variable",J3183&lt;&gt;"Trading",O3183&gt;0,O3183&lt;=Umbral),1,0))</f>
        <v/>
      </c>
      <c r="T3183" s="20">
        <f>IF(OR(I3183="",E3183=""),"",IF(OR(I3183="Gasto",I3183="Transferencia",I3183="Pago tarjeta"),-1,1)*C3183)</f>
        <v/>
      </c>
      <c r="U3183" s="20">
        <f>IF(OR(G3183="",AND(I3183&lt;&gt;"Transferencia",I3183&lt;&gt;"Pago tarjeta")),"",IF(IFERROR(INDEX(ctaMon,MATCH(G3183,ctaNom,0))&amp;"","DOP")=N3183,C3183,IF(N3183="USD",C3183*TasaUSD,C3183/TasaUSD)))</f>
        <v/>
      </c>
      <c r="V3183" s="20">
        <f>IF(I3183="","",IF(IFERROR(INDEX(ctaLiq,MATCH(E3183,ctaNom,0))="Sí",FALSE),IF(OR(I3183="Gasto",I3183="Transferencia",I3183="Pago tarjeta"),-1,1)*O3183,0)+IF(AND(U3183&lt;&gt;"",IFERROR(INDEX(ctaLiq,MATCH(G3183,ctaNom,0))="Sí",FALSE)),O3183,0))</f>
        <v/>
      </c>
      <c r="W3183" s="19">
        <f>IF(OR(F3183="",I3183=""),"",IF(COUNTIFS(F$6:F3183,F3183,I$6:I3183,"?*")=1,MAX(W$5:W3182)+1,""))</f>
        <v/>
      </c>
    </row>
    <row r="3184">
      <c r="B3184" s="15" t="n"/>
      <c r="C3184" s="16" t="n"/>
      <c r="D3184" s="17" t="n"/>
      <c r="E3184" s="17" t="n"/>
      <c r="F3184" s="17" t="n"/>
      <c r="G3184" s="17" t="n"/>
      <c r="H3184" s="18">
        <f>IF(AND(B3184="",C3184="",D3184="",E3184=""),"",IF(B3184="","⚠ Falta fecha",IF(C3184="","⚠ Falta monto",IF(D3184="","⚠ Falta categoría",IF(ISNA(MATCH(D3184,catNom,0)),"⚠ Categoría no existe",IF(E3184="","⚠ Falta cuenta",IF(ISNA(MATCH(E3184,ctaNom,0)),"⚠ Cuenta no existe",IF(AND(OR(I3184="Transferencia",I3184="Pago tarjeta"),G3184=""),"⚠ Indica la cuenta «Hacia»",IF(AND(G3184&lt;&gt;"",G3184=E3184),"⚠ «Hacia» igual a la cuenta",IF(AND(G3184&lt;&gt;"",ISNA(MATCH(G3184,ctaNom,0))),"⚠ «Hacia» no existe",IF(AND(I3184="Pago tarjeta",IFERROR(INDEX(ctaTipo,MATCH(G3184,ctaNom,0)),"")&lt;&gt;"Tarjeta de crédito"),"⚠ «Hacia» debe ser la tarjeta",IF(AND(I3184="Trading",IFERROR(INDEX(ctaTipo,MATCH(E3184,ctaNom,0)),"")&lt;&gt;"Cuenta de trading"),"⚠ Usa la cuenta de trading","✓"))))))))))))</f>
        <v/>
      </c>
      <c r="I3184" s="19">
        <f>IF(OR(B3184="",C3184="",D3184=""),"",IFERROR(INDEX(catTipo,MATCH(D3184,catNom,0))&amp;"",""))</f>
        <v/>
      </c>
      <c r="J3184" s="19">
        <f>IF(I3184="","",IFERROR(INDEX(catGrupo,MATCH(D3184,catNom,0))&amp;"",""))</f>
        <v/>
      </c>
      <c r="K3184" s="19">
        <f>IF(I3184="Gasto",IF(IFERROR(INDEX(catClas,MATCH(D3184,catNom,0))&amp;"","")="","Variable",IFERROR(INDEX(catClas,MATCH(D3184,catNom,0))&amp;"","")),"")</f>
        <v/>
      </c>
      <c r="L3184" s="19">
        <f>IF(I3184="","",IFERROR(INDEX(catAlim,MATCH(D3184,catNom,0))&amp;"",""))</f>
        <v/>
      </c>
      <c r="M3184" s="19">
        <f>IF(I3184="","",IFERROR(INDEX(catComida,MATCH(D3184,catNom,0))&amp;"",""))</f>
        <v/>
      </c>
      <c r="N3184" s="19">
        <f>IF(I3184="","",IFERROR(INDEX(ctaMon,MATCH(E3184,ctaNom,0))&amp;"","DOP"))</f>
        <v/>
      </c>
      <c r="O3184" s="20">
        <f>IF(I3184="","",C3184*IF(N3184="USD",TasaUSD,1))</f>
        <v/>
      </c>
      <c r="P3184" s="20">
        <f>IF(I3184="","",IF(I3184="Gasto",O3184,0))</f>
        <v/>
      </c>
      <c r="Q3184" s="20">
        <f>IF(I3184="","",IF(I3184="Ingreso",O3184,0))</f>
        <v/>
      </c>
      <c r="R3184" s="20">
        <f>IF(I3184="","",IF(I3184="Trading",O3184,0))</f>
        <v/>
      </c>
      <c r="S3184" s="19">
        <f>IF(I3184="","",IF(AND(I3184="Gasto",K3184="Variable",J3184&lt;&gt;"Trading",O3184&gt;0,O3184&lt;=Umbral),1,0))</f>
        <v/>
      </c>
      <c r="T3184" s="20">
        <f>IF(OR(I3184="",E3184=""),"",IF(OR(I3184="Gasto",I3184="Transferencia",I3184="Pago tarjeta"),-1,1)*C3184)</f>
        <v/>
      </c>
      <c r="U3184" s="20">
        <f>IF(OR(G3184="",AND(I3184&lt;&gt;"Transferencia",I3184&lt;&gt;"Pago tarjeta")),"",IF(IFERROR(INDEX(ctaMon,MATCH(G3184,ctaNom,0))&amp;"","DOP")=N3184,C3184,IF(N3184="USD",C3184*TasaUSD,C3184/TasaUSD)))</f>
        <v/>
      </c>
      <c r="V3184" s="20">
        <f>IF(I3184="","",IF(IFERROR(INDEX(ctaLiq,MATCH(E3184,ctaNom,0))="Sí",FALSE),IF(OR(I3184="Gasto",I3184="Transferencia",I3184="Pago tarjeta"),-1,1)*O3184,0)+IF(AND(U3184&lt;&gt;"",IFERROR(INDEX(ctaLiq,MATCH(G3184,ctaNom,0))="Sí",FALSE)),O3184,0))</f>
        <v/>
      </c>
      <c r="W3184" s="19">
        <f>IF(OR(F3184="",I3184=""),"",IF(COUNTIFS(F$6:F3184,F3184,I$6:I3184,"?*")=1,MAX(W$5:W3183)+1,""))</f>
        <v/>
      </c>
    </row>
    <row r="3185">
      <c r="B3185" s="15" t="n"/>
      <c r="C3185" s="16" t="n"/>
      <c r="D3185" s="17" t="n"/>
      <c r="E3185" s="17" t="n"/>
      <c r="F3185" s="17" t="n"/>
      <c r="G3185" s="17" t="n"/>
      <c r="H3185" s="18">
        <f>IF(AND(B3185="",C3185="",D3185="",E3185=""),"",IF(B3185="","⚠ Falta fecha",IF(C3185="","⚠ Falta monto",IF(D3185="","⚠ Falta categoría",IF(ISNA(MATCH(D3185,catNom,0)),"⚠ Categoría no existe",IF(E3185="","⚠ Falta cuenta",IF(ISNA(MATCH(E3185,ctaNom,0)),"⚠ Cuenta no existe",IF(AND(OR(I3185="Transferencia",I3185="Pago tarjeta"),G3185=""),"⚠ Indica la cuenta «Hacia»",IF(AND(G3185&lt;&gt;"",G3185=E3185),"⚠ «Hacia» igual a la cuenta",IF(AND(G3185&lt;&gt;"",ISNA(MATCH(G3185,ctaNom,0))),"⚠ «Hacia» no existe",IF(AND(I3185="Pago tarjeta",IFERROR(INDEX(ctaTipo,MATCH(G3185,ctaNom,0)),"")&lt;&gt;"Tarjeta de crédito"),"⚠ «Hacia» debe ser la tarjeta",IF(AND(I3185="Trading",IFERROR(INDEX(ctaTipo,MATCH(E3185,ctaNom,0)),"")&lt;&gt;"Cuenta de trading"),"⚠ Usa la cuenta de trading","✓"))))))))))))</f>
        <v/>
      </c>
      <c r="I3185" s="19">
        <f>IF(OR(B3185="",C3185="",D3185=""),"",IFERROR(INDEX(catTipo,MATCH(D3185,catNom,0))&amp;"",""))</f>
        <v/>
      </c>
      <c r="J3185" s="19">
        <f>IF(I3185="","",IFERROR(INDEX(catGrupo,MATCH(D3185,catNom,0))&amp;"",""))</f>
        <v/>
      </c>
      <c r="K3185" s="19">
        <f>IF(I3185="Gasto",IF(IFERROR(INDEX(catClas,MATCH(D3185,catNom,0))&amp;"","")="","Variable",IFERROR(INDEX(catClas,MATCH(D3185,catNom,0))&amp;"","")),"")</f>
        <v/>
      </c>
      <c r="L3185" s="19">
        <f>IF(I3185="","",IFERROR(INDEX(catAlim,MATCH(D3185,catNom,0))&amp;"",""))</f>
        <v/>
      </c>
      <c r="M3185" s="19">
        <f>IF(I3185="","",IFERROR(INDEX(catComida,MATCH(D3185,catNom,0))&amp;"",""))</f>
        <v/>
      </c>
      <c r="N3185" s="19">
        <f>IF(I3185="","",IFERROR(INDEX(ctaMon,MATCH(E3185,ctaNom,0))&amp;"","DOP"))</f>
        <v/>
      </c>
      <c r="O3185" s="20">
        <f>IF(I3185="","",C3185*IF(N3185="USD",TasaUSD,1))</f>
        <v/>
      </c>
      <c r="P3185" s="20">
        <f>IF(I3185="","",IF(I3185="Gasto",O3185,0))</f>
        <v/>
      </c>
      <c r="Q3185" s="20">
        <f>IF(I3185="","",IF(I3185="Ingreso",O3185,0))</f>
        <v/>
      </c>
      <c r="R3185" s="20">
        <f>IF(I3185="","",IF(I3185="Trading",O3185,0))</f>
        <v/>
      </c>
      <c r="S3185" s="19">
        <f>IF(I3185="","",IF(AND(I3185="Gasto",K3185="Variable",J3185&lt;&gt;"Trading",O3185&gt;0,O3185&lt;=Umbral),1,0))</f>
        <v/>
      </c>
      <c r="T3185" s="20">
        <f>IF(OR(I3185="",E3185=""),"",IF(OR(I3185="Gasto",I3185="Transferencia",I3185="Pago tarjeta"),-1,1)*C3185)</f>
        <v/>
      </c>
      <c r="U3185" s="20">
        <f>IF(OR(G3185="",AND(I3185&lt;&gt;"Transferencia",I3185&lt;&gt;"Pago tarjeta")),"",IF(IFERROR(INDEX(ctaMon,MATCH(G3185,ctaNom,0))&amp;"","DOP")=N3185,C3185,IF(N3185="USD",C3185*TasaUSD,C3185/TasaUSD)))</f>
        <v/>
      </c>
      <c r="V3185" s="20">
        <f>IF(I3185="","",IF(IFERROR(INDEX(ctaLiq,MATCH(E3185,ctaNom,0))="Sí",FALSE),IF(OR(I3185="Gasto",I3185="Transferencia",I3185="Pago tarjeta"),-1,1)*O3185,0)+IF(AND(U3185&lt;&gt;"",IFERROR(INDEX(ctaLiq,MATCH(G3185,ctaNom,0))="Sí",FALSE)),O3185,0))</f>
        <v/>
      </c>
      <c r="W3185" s="19">
        <f>IF(OR(F3185="",I3185=""),"",IF(COUNTIFS(F$6:F3185,F3185,I$6:I3185,"?*")=1,MAX(W$5:W3184)+1,""))</f>
        <v/>
      </c>
    </row>
    <row r="3186">
      <c r="B3186" s="15" t="n"/>
      <c r="C3186" s="16" t="n"/>
      <c r="D3186" s="17" t="n"/>
      <c r="E3186" s="17" t="n"/>
      <c r="F3186" s="17" t="n"/>
      <c r="G3186" s="17" t="n"/>
      <c r="H3186" s="18">
        <f>IF(AND(B3186="",C3186="",D3186="",E3186=""),"",IF(B3186="","⚠ Falta fecha",IF(C3186="","⚠ Falta monto",IF(D3186="","⚠ Falta categoría",IF(ISNA(MATCH(D3186,catNom,0)),"⚠ Categoría no existe",IF(E3186="","⚠ Falta cuenta",IF(ISNA(MATCH(E3186,ctaNom,0)),"⚠ Cuenta no existe",IF(AND(OR(I3186="Transferencia",I3186="Pago tarjeta"),G3186=""),"⚠ Indica la cuenta «Hacia»",IF(AND(G3186&lt;&gt;"",G3186=E3186),"⚠ «Hacia» igual a la cuenta",IF(AND(G3186&lt;&gt;"",ISNA(MATCH(G3186,ctaNom,0))),"⚠ «Hacia» no existe",IF(AND(I3186="Pago tarjeta",IFERROR(INDEX(ctaTipo,MATCH(G3186,ctaNom,0)),"")&lt;&gt;"Tarjeta de crédito"),"⚠ «Hacia» debe ser la tarjeta",IF(AND(I3186="Trading",IFERROR(INDEX(ctaTipo,MATCH(E3186,ctaNom,0)),"")&lt;&gt;"Cuenta de trading"),"⚠ Usa la cuenta de trading","✓"))))))))))))</f>
        <v/>
      </c>
      <c r="I3186" s="19">
        <f>IF(OR(B3186="",C3186="",D3186=""),"",IFERROR(INDEX(catTipo,MATCH(D3186,catNom,0))&amp;"",""))</f>
        <v/>
      </c>
      <c r="J3186" s="19">
        <f>IF(I3186="","",IFERROR(INDEX(catGrupo,MATCH(D3186,catNom,0))&amp;"",""))</f>
        <v/>
      </c>
      <c r="K3186" s="19">
        <f>IF(I3186="Gasto",IF(IFERROR(INDEX(catClas,MATCH(D3186,catNom,0))&amp;"","")="","Variable",IFERROR(INDEX(catClas,MATCH(D3186,catNom,0))&amp;"","")),"")</f>
        <v/>
      </c>
      <c r="L3186" s="19">
        <f>IF(I3186="","",IFERROR(INDEX(catAlim,MATCH(D3186,catNom,0))&amp;"",""))</f>
        <v/>
      </c>
      <c r="M3186" s="19">
        <f>IF(I3186="","",IFERROR(INDEX(catComida,MATCH(D3186,catNom,0))&amp;"",""))</f>
        <v/>
      </c>
      <c r="N3186" s="19">
        <f>IF(I3186="","",IFERROR(INDEX(ctaMon,MATCH(E3186,ctaNom,0))&amp;"","DOP"))</f>
        <v/>
      </c>
      <c r="O3186" s="20">
        <f>IF(I3186="","",C3186*IF(N3186="USD",TasaUSD,1))</f>
        <v/>
      </c>
      <c r="P3186" s="20">
        <f>IF(I3186="","",IF(I3186="Gasto",O3186,0))</f>
        <v/>
      </c>
      <c r="Q3186" s="20">
        <f>IF(I3186="","",IF(I3186="Ingreso",O3186,0))</f>
        <v/>
      </c>
      <c r="R3186" s="20">
        <f>IF(I3186="","",IF(I3186="Trading",O3186,0))</f>
        <v/>
      </c>
      <c r="S3186" s="19">
        <f>IF(I3186="","",IF(AND(I3186="Gasto",K3186="Variable",J3186&lt;&gt;"Trading",O3186&gt;0,O3186&lt;=Umbral),1,0))</f>
        <v/>
      </c>
      <c r="T3186" s="20">
        <f>IF(OR(I3186="",E3186=""),"",IF(OR(I3186="Gasto",I3186="Transferencia",I3186="Pago tarjeta"),-1,1)*C3186)</f>
        <v/>
      </c>
      <c r="U3186" s="20">
        <f>IF(OR(G3186="",AND(I3186&lt;&gt;"Transferencia",I3186&lt;&gt;"Pago tarjeta")),"",IF(IFERROR(INDEX(ctaMon,MATCH(G3186,ctaNom,0))&amp;"","DOP")=N3186,C3186,IF(N3186="USD",C3186*TasaUSD,C3186/TasaUSD)))</f>
        <v/>
      </c>
      <c r="V3186" s="20">
        <f>IF(I3186="","",IF(IFERROR(INDEX(ctaLiq,MATCH(E3186,ctaNom,0))="Sí",FALSE),IF(OR(I3186="Gasto",I3186="Transferencia",I3186="Pago tarjeta"),-1,1)*O3186,0)+IF(AND(U3186&lt;&gt;"",IFERROR(INDEX(ctaLiq,MATCH(G3186,ctaNom,0))="Sí",FALSE)),O3186,0))</f>
        <v/>
      </c>
      <c r="W3186" s="19">
        <f>IF(OR(F3186="",I3186=""),"",IF(COUNTIFS(F$6:F3186,F3186,I$6:I3186,"?*")=1,MAX(W$5:W3185)+1,""))</f>
        <v/>
      </c>
    </row>
    <row r="3187">
      <c r="B3187" s="15" t="n"/>
      <c r="C3187" s="16" t="n"/>
      <c r="D3187" s="17" t="n"/>
      <c r="E3187" s="17" t="n"/>
      <c r="F3187" s="17" t="n"/>
      <c r="G3187" s="17" t="n"/>
      <c r="H3187" s="18">
        <f>IF(AND(B3187="",C3187="",D3187="",E3187=""),"",IF(B3187="","⚠ Falta fecha",IF(C3187="","⚠ Falta monto",IF(D3187="","⚠ Falta categoría",IF(ISNA(MATCH(D3187,catNom,0)),"⚠ Categoría no existe",IF(E3187="","⚠ Falta cuenta",IF(ISNA(MATCH(E3187,ctaNom,0)),"⚠ Cuenta no existe",IF(AND(OR(I3187="Transferencia",I3187="Pago tarjeta"),G3187=""),"⚠ Indica la cuenta «Hacia»",IF(AND(G3187&lt;&gt;"",G3187=E3187),"⚠ «Hacia» igual a la cuenta",IF(AND(G3187&lt;&gt;"",ISNA(MATCH(G3187,ctaNom,0))),"⚠ «Hacia» no existe",IF(AND(I3187="Pago tarjeta",IFERROR(INDEX(ctaTipo,MATCH(G3187,ctaNom,0)),"")&lt;&gt;"Tarjeta de crédito"),"⚠ «Hacia» debe ser la tarjeta",IF(AND(I3187="Trading",IFERROR(INDEX(ctaTipo,MATCH(E3187,ctaNom,0)),"")&lt;&gt;"Cuenta de trading"),"⚠ Usa la cuenta de trading","✓"))))))))))))</f>
        <v/>
      </c>
      <c r="I3187" s="19">
        <f>IF(OR(B3187="",C3187="",D3187=""),"",IFERROR(INDEX(catTipo,MATCH(D3187,catNom,0))&amp;"",""))</f>
        <v/>
      </c>
      <c r="J3187" s="19">
        <f>IF(I3187="","",IFERROR(INDEX(catGrupo,MATCH(D3187,catNom,0))&amp;"",""))</f>
        <v/>
      </c>
      <c r="K3187" s="19">
        <f>IF(I3187="Gasto",IF(IFERROR(INDEX(catClas,MATCH(D3187,catNom,0))&amp;"","")="","Variable",IFERROR(INDEX(catClas,MATCH(D3187,catNom,0))&amp;"","")),"")</f>
        <v/>
      </c>
      <c r="L3187" s="19">
        <f>IF(I3187="","",IFERROR(INDEX(catAlim,MATCH(D3187,catNom,0))&amp;"",""))</f>
        <v/>
      </c>
      <c r="M3187" s="19">
        <f>IF(I3187="","",IFERROR(INDEX(catComida,MATCH(D3187,catNom,0))&amp;"",""))</f>
        <v/>
      </c>
      <c r="N3187" s="19">
        <f>IF(I3187="","",IFERROR(INDEX(ctaMon,MATCH(E3187,ctaNom,0))&amp;"","DOP"))</f>
        <v/>
      </c>
      <c r="O3187" s="20">
        <f>IF(I3187="","",C3187*IF(N3187="USD",TasaUSD,1))</f>
        <v/>
      </c>
      <c r="P3187" s="20">
        <f>IF(I3187="","",IF(I3187="Gasto",O3187,0))</f>
        <v/>
      </c>
      <c r="Q3187" s="20">
        <f>IF(I3187="","",IF(I3187="Ingreso",O3187,0))</f>
        <v/>
      </c>
      <c r="R3187" s="20">
        <f>IF(I3187="","",IF(I3187="Trading",O3187,0))</f>
        <v/>
      </c>
      <c r="S3187" s="19">
        <f>IF(I3187="","",IF(AND(I3187="Gasto",K3187="Variable",J3187&lt;&gt;"Trading",O3187&gt;0,O3187&lt;=Umbral),1,0))</f>
        <v/>
      </c>
      <c r="T3187" s="20">
        <f>IF(OR(I3187="",E3187=""),"",IF(OR(I3187="Gasto",I3187="Transferencia",I3187="Pago tarjeta"),-1,1)*C3187)</f>
        <v/>
      </c>
      <c r="U3187" s="20">
        <f>IF(OR(G3187="",AND(I3187&lt;&gt;"Transferencia",I3187&lt;&gt;"Pago tarjeta")),"",IF(IFERROR(INDEX(ctaMon,MATCH(G3187,ctaNom,0))&amp;"","DOP")=N3187,C3187,IF(N3187="USD",C3187*TasaUSD,C3187/TasaUSD)))</f>
        <v/>
      </c>
      <c r="V3187" s="20">
        <f>IF(I3187="","",IF(IFERROR(INDEX(ctaLiq,MATCH(E3187,ctaNom,0))="Sí",FALSE),IF(OR(I3187="Gasto",I3187="Transferencia",I3187="Pago tarjeta"),-1,1)*O3187,0)+IF(AND(U3187&lt;&gt;"",IFERROR(INDEX(ctaLiq,MATCH(G3187,ctaNom,0))="Sí",FALSE)),O3187,0))</f>
        <v/>
      </c>
      <c r="W3187" s="19">
        <f>IF(OR(F3187="",I3187=""),"",IF(COUNTIFS(F$6:F3187,F3187,I$6:I3187,"?*")=1,MAX(W$5:W3186)+1,""))</f>
        <v/>
      </c>
    </row>
    <row r="3188">
      <c r="B3188" s="15" t="n"/>
      <c r="C3188" s="16" t="n"/>
      <c r="D3188" s="17" t="n"/>
      <c r="E3188" s="17" t="n"/>
      <c r="F3188" s="17" t="n"/>
      <c r="G3188" s="17" t="n"/>
      <c r="H3188" s="18">
        <f>IF(AND(B3188="",C3188="",D3188="",E3188=""),"",IF(B3188="","⚠ Falta fecha",IF(C3188="","⚠ Falta monto",IF(D3188="","⚠ Falta categoría",IF(ISNA(MATCH(D3188,catNom,0)),"⚠ Categoría no existe",IF(E3188="","⚠ Falta cuenta",IF(ISNA(MATCH(E3188,ctaNom,0)),"⚠ Cuenta no existe",IF(AND(OR(I3188="Transferencia",I3188="Pago tarjeta"),G3188=""),"⚠ Indica la cuenta «Hacia»",IF(AND(G3188&lt;&gt;"",G3188=E3188),"⚠ «Hacia» igual a la cuenta",IF(AND(G3188&lt;&gt;"",ISNA(MATCH(G3188,ctaNom,0))),"⚠ «Hacia» no existe",IF(AND(I3188="Pago tarjeta",IFERROR(INDEX(ctaTipo,MATCH(G3188,ctaNom,0)),"")&lt;&gt;"Tarjeta de crédito"),"⚠ «Hacia» debe ser la tarjeta",IF(AND(I3188="Trading",IFERROR(INDEX(ctaTipo,MATCH(E3188,ctaNom,0)),"")&lt;&gt;"Cuenta de trading"),"⚠ Usa la cuenta de trading","✓"))))))))))))</f>
        <v/>
      </c>
      <c r="I3188" s="19">
        <f>IF(OR(B3188="",C3188="",D3188=""),"",IFERROR(INDEX(catTipo,MATCH(D3188,catNom,0))&amp;"",""))</f>
        <v/>
      </c>
      <c r="J3188" s="19">
        <f>IF(I3188="","",IFERROR(INDEX(catGrupo,MATCH(D3188,catNom,0))&amp;"",""))</f>
        <v/>
      </c>
      <c r="K3188" s="19">
        <f>IF(I3188="Gasto",IF(IFERROR(INDEX(catClas,MATCH(D3188,catNom,0))&amp;"","")="","Variable",IFERROR(INDEX(catClas,MATCH(D3188,catNom,0))&amp;"","")),"")</f>
        <v/>
      </c>
      <c r="L3188" s="19">
        <f>IF(I3188="","",IFERROR(INDEX(catAlim,MATCH(D3188,catNom,0))&amp;"",""))</f>
        <v/>
      </c>
      <c r="M3188" s="19">
        <f>IF(I3188="","",IFERROR(INDEX(catComida,MATCH(D3188,catNom,0))&amp;"",""))</f>
        <v/>
      </c>
      <c r="N3188" s="19">
        <f>IF(I3188="","",IFERROR(INDEX(ctaMon,MATCH(E3188,ctaNom,0))&amp;"","DOP"))</f>
        <v/>
      </c>
      <c r="O3188" s="20">
        <f>IF(I3188="","",C3188*IF(N3188="USD",TasaUSD,1))</f>
        <v/>
      </c>
      <c r="P3188" s="20">
        <f>IF(I3188="","",IF(I3188="Gasto",O3188,0))</f>
        <v/>
      </c>
      <c r="Q3188" s="20">
        <f>IF(I3188="","",IF(I3188="Ingreso",O3188,0))</f>
        <v/>
      </c>
      <c r="R3188" s="20">
        <f>IF(I3188="","",IF(I3188="Trading",O3188,0))</f>
        <v/>
      </c>
      <c r="S3188" s="19">
        <f>IF(I3188="","",IF(AND(I3188="Gasto",K3188="Variable",J3188&lt;&gt;"Trading",O3188&gt;0,O3188&lt;=Umbral),1,0))</f>
        <v/>
      </c>
      <c r="T3188" s="20">
        <f>IF(OR(I3188="",E3188=""),"",IF(OR(I3188="Gasto",I3188="Transferencia",I3188="Pago tarjeta"),-1,1)*C3188)</f>
        <v/>
      </c>
      <c r="U3188" s="20">
        <f>IF(OR(G3188="",AND(I3188&lt;&gt;"Transferencia",I3188&lt;&gt;"Pago tarjeta")),"",IF(IFERROR(INDEX(ctaMon,MATCH(G3188,ctaNom,0))&amp;"","DOP")=N3188,C3188,IF(N3188="USD",C3188*TasaUSD,C3188/TasaUSD)))</f>
        <v/>
      </c>
      <c r="V3188" s="20">
        <f>IF(I3188="","",IF(IFERROR(INDEX(ctaLiq,MATCH(E3188,ctaNom,0))="Sí",FALSE),IF(OR(I3188="Gasto",I3188="Transferencia",I3188="Pago tarjeta"),-1,1)*O3188,0)+IF(AND(U3188&lt;&gt;"",IFERROR(INDEX(ctaLiq,MATCH(G3188,ctaNom,0))="Sí",FALSE)),O3188,0))</f>
        <v/>
      </c>
      <c r="W3188" s="19">
        <f>IF(OR(F3188="",I3188=""),"",IF(COUNTIFS(F$6:F3188,F3188,I$6:I3188,"?*")=1,MAX(W$5:W3187)+1,""))</f>
        <v/>
      </c>
    </row>
    <row r="3189">
      <c r="B3189" s="15" t="n"/>
      <c r="C3189" s="16" t="n"/>
      <c r="D3189" s="17" t="n"/>
      <c r="E3189" s="17" t="n"/>
      <c r="F3189" s="17" t="n"/>
      <c r="G3189" s="17" t="n"/>
      <c r="H3189" s="18">
        <f>IF(AND(B3189="",C3189="",D3189="",E3189=""),"",IF(B3189="","⚠ Falta fecha",IF(C3189="","⚠ Falta monto",IF(D3189="","⚠ Falta categoría",IF(ISNA(MATCH(D3189,catNom,0)),"⚠ Categoría no existe",IF(E3189="","⚠ Falta cuenta",IF(ISNA(MATCH(E3189,ctaNom,0)),"⚠ Cuenta no existe",IF(AND(OR(I3189="Transferencia",I3189="Pago tarjeta"),G3189=""),"⚠ Indica la cuenta «Hacia»",IF(AND(G3189&lt;&gt;"",G3189=E3189),"⚠ «Hacia» igual a la cuenta",IF(AND(G3189&lt;&gt;"",ISNA(MATCH(G3189,ctaNom,0))),"⚠ «Hacia» no existe",IF(AND(I3189="Pago tarjeta",IFERROR(INDEX(ctaTipo,MATCH(G3189,ctaNom,0)),"")&lt;&gt;"Tarjeta de crédito"),"⚠ «Hacia» debe ser la tarjeta",IF(AND(I3189="Trading",IFERROR(INDEX(ctaTipo,MATCH(E3189,ctaNom,0)),"")&lt;&gt;"Cuenta de trading"),"⚠ Usa la cuenta de trading","✓"))))))))))))</f>
        <v/>
      </c>
      <c r="I3189" s="19">
        <f>IF(OR(B3189="",C3189="",D3189=""),"",IFERROR(INDEX(catTipo,MATCH(D3189,catNom,0))&amp;"",""))</f>
        <v/>
      </c>
      <c r="J3189" s="19">
        <f>IF(I3189="","",IFERROR(INDEX(catGrupo,MATCH(D3189,catNom,0))&amp;"",""))</f>
        <v/>
      </c>
      <c r="K3189" s="19">
        <f>IF(I3189="Gasto",IF(IFERROR(INDEX(catClas,MATCH(D3189,catNom,0))&amp;"","")="","Variable",IFERROR(INDEX(catClas,MATCH(D3189,catNom,0))&amp;"","")),"")</f>
        <v/>
      </c>
      <c r="L3189" s="19">
        <f>IF(I3189="","",IFERROR(INDEX(catAlim,MATCH(D3189,catNom,0))&amp;"",""))</f>
        <v/>
      </c>
      <c r="M3189" s="19">
        <f>IF(I3189="","",IFERROR(INDEX(catComida,MATCH(D3189,catNom,0))&amp;"",""))</f>
        <v/>
      </c>
      <c r="N3189" s="19">
        <f>IF(I3189="","",IFERROR(INDEX(ctaMon,MATCH(E3189,ctaNom,0))&amp;"","DOP"))</f>
        <v/>
      </c>
      <c r="O3189" s="20">
        <f>IF(I3189="","",C3189*IF(N3189="USD",TasaUSD,1))</f>
        <v/>
      </c>
      <c r="P3189" s="20">
        <f>IF(I3189="","",IF(I3189="Gasto",O3189,0))</f>
        <v/>
      </c>
      <c r="Q3189" s="20">
        <f>IF(I3189="","",IF(I3189="Ingreso",O3189,0))</f>
        <v/>
      </c>
      <c r="R3189" s="20">
        <f>IF(I3189="","",IF(I3189="Trading",O3189,0))</f>
        <v/>
      </c>
      <c r="S3189" s="19">
        <f>IF(I3189="","",IF(AND(I3189="Gasto",K3189="Variable",J3189&lt;&gt;"Trading",O3189&gt;0,O3189&lt;=Umbral),1,0))</f>
        <v/>
      </c>
      <c r="T3189" s="20">
        <f>IF(OR(I3189="",E3189=""),"",IF(OR(I3189="Gasto",I3189="Transferencia",I3189="Pago tarjeta"),-1,1)*C3189)</f>
        <v/>
      </c>
      <c r="U3189" s="20">
        <f>IF(OR(G3189="",AND(I3189&lt;&gt;"Transferencia",I3189&lt;&gt;"Pago tarjeta")),"",IF(IFERROR(INDEX(ctaMon,MATCH(G3189,ctaNom,0))&amp;"","DOP")=N3189,C3189,IF(N3189="USD",C3189*TasaUSD,C3189/TasaUSD)))</f>
        <v/>
      </c>
      <c r="V3189" s="20">
        <f>IF(I3189="","",IF(IFERROR(INDEX(ctaLiq,MATCH(E3189,ctaNom,0))="Sí",FALSE),IF(OR(I3189="Gasto",I3189="Transferencia",I3189="Pago tarjeta"),-1,1)*O3189,0)+IF(AND(U3189&lt;&gt;"",IFERROR(INDEX(ctaLiq,MATCH(G3189,ctaNom,0))="Sí",FALSE)),O3189,0))</f>
        <v/>
      </c>
      <c r="W3189" s="19">
        <f>IF(OR(F3189="",I3189=""),"",IF(COUNTIFS(F$6:F3189,F3189,I$6:I3189,"?*")=1,MAX(W$5:W3188)+1,""))</f>
        <v/>
      </c>
    </row>
    <row r="3190">
      <c r="B3190" s="15" t="n"/>
      <c r="C3190" s="16" t="n"/>
      <c r="D3190" s="17" t="n"/>
      <c r="E3190" s="17" t="n"/>
      <c r="F3190" s="17" t="n"/>
      <c r="G3190" s="17" t="n"/>
      <c r="H3190" s="18">
        <f>IF(AND(B3190="",C3190="",D3190="",E3190=""),"",IF(B3190="","⚠ Falta fecha",IF(C3190="","⚠ Falta monto",IF(D3190="","⚠ Falta categoría",IF(ISNA(MATCH(D3190,catNom,0)),"⚠ Categoría no existe",IF(E3190="","⚠ Falta cuenta",IF(ISNA(MATCH(E3190,ctaNom,0)),"⚠ Cuenta no existe",IF(AND(OR(I3190="Transferencia",I3190="Pago tarjeta"),G3190=""),"⚠ Indica la cuenta «Hacia»",IF(AND(G3190&lt;&gt;"",G3190=E3190),"⚠ «Hacia» igual a la cuenta",IF(AND(G3190&lt;&gt;"",ISNA(MATCH(G3190,ctaNom,0))),"⚠ «Hacia» no existe",IF(AND(I3190="Pago tarjeta",IFERROR(INDEX(ctaTipo,MATCH(G3190,ctaNom,0)),"")&lt;&gt;"Tarjeta de crédito"),"⚠ «Hacia» debe ser la tarjeta",IF(AND(I3190="Trading",IFERROR(INDEX(ctaTipo,MATCH(E3190,ctaNom,0)),"")&lt;&gt;"Cuenta de trading"),"⚠ Usa la cuenta de trading","✓"))))))))))))</f>
        <v/>
      </c>
      <c r="I3190" s="19">
        <f>IF(OR(B3190="",C3190="",D3190=""),"",IFERROR(INDEX(catTipo,MATCH(D3190,catNom,0))&amp;"",""))</f>
        <v/>
      </c>
      <c r="J3190" s="19">
        <f>IF(I3190="","",IFERROR(INDEX(catGrupo,MATCH(D3190,catNom,0))&amp;"",""))</f>
        <v/>
      </c>
      <c r="K3190" s="19">
        <f>IF(I3190="Gasto",IF(IFERROR(INDEX(catClas,MATCH(D3190,catNom,0))&amp;"","")="","Variable",IFERROR(INDEX(catClas,MATCH(D3190,catNom,0))&amp;"","")),"")</f>
        <v/>
      </c>
      <c r="L3190" s="19">
        <f>IF(I3190="","",IFERROR(INDEX(catAlim,MATCH(D3190,catNom,0))&amp;"",""))</f>
        <v/>
      </c>
      <c r="M3190" s="19">
        <f>IF(I3190="","",IFERROR(INDEX(catComida,MATCH(D3190,catNom,0))&amp;"",""))</f>
        <v/>
      </c>
      <c r="N3190" s="19">
        <f>IF(I3190="","",IFERROR(INDEX(ctaMon,MATCH(E3190,ctaNom,0))&amp;"","DOP"))</f>
        <v/>
      </c>
      <c r="O3190" s="20">
        <f>IF(I3190="","",C3190*IF(N3190="USD",TasaUSD,1))</f>
        <v/>
      </c>
      <c r="P3190" s="20">
        <f>IF(I3190="","",IF(I3190="Gasto",O3190,0))</f>
        <v/>
      </c>
      <c r="Q3190" s="20">
        <f>IF(I3190="","",IF(I3190="Ingreso",O3190,0))</f>
        <v/>
      </c>
      <c r="R3190" s="20">
        <f>IF(I3190="","",IF(I3190="Trading",O3190,0))</f>
        <v/>
      </c>
      <c r="S3190" s="19">
        <f>IF(I3190="","",IF(AND(I3190="Gasto",K3190="Variable",J3190&lt;&gt;"Trading",O3190&gt;0,O3190&lt;=Umbral),1,0))</f>
        <v/>
      </c>
      <c r="T3190" s="20">
        <f>IF(OR(I3190="",E3190=""),"",IF(OR(I3190="Gasto",I3190="Transferencia",I3190="Pago tarjeta"),-1,1)*C3190)</f>
        <v/>
      </c>
      <c r="U3190" s="20">
        <f>IF(OR(G3190="",AND(I3190&lt;&gt;"Transferencia",I3190&lt;&gt;"Pago tarjeta")),"",IF(IFERROR(INDEX(ctaMon,MATCH(G3190,ctaNom,0))&amp;"","DOP")=N3190,C3190,IF(N3190="USD",C3190*TasaUSD,C3190/TasaUSD)))</f>
        <v/>
      </c>
      <c r="V3190" s="20">
        <f>IF(I3190="","",IF(IFERROR(INDEX(ctaLiq,MATCH(E3190,ctaNom,0))="Sí",FALSE),IF(OR(I3190="Gasto",I3190="Transferencia",I3190="Pago tarjeta"),-1,1)*O3190,0)+IF(AND(U3190&lt;&gt;"",IFERROR(INDEX(ctaLiq,MATCH(G3190,ctaNom,0))="Sí",FALSE)),O3190,0))</f>
        <v/>
      </c>
      <c r="W3190" s="19">
        <f>IF(OR(F3190="",I3190=""),"",IF(COUNTIFS(F$6:F3190,F3190,I$6:I3190,"?*")=1,MAX(W$5:W3189)+1,""))</f>
        <v/>
      </c>
    </row>
    <row r="3191">
      <c r="B3191" s="15" t="n"/>
      <c r="C3191" s="16" t="n"/>
      <c r="D3191" s="17" t="n"/>
      <c r="E3191" s="17" t="n"/>
      <c r="F3191" s="17" t="n"/>
      <c r="G3191" s="17" t="n"/>
      <c r="H3191" s="18">
        <f>IF(AND(B3191="",C3191="",D3191="",E3191=""),"",IF(B3191="","⚠ Falta fecha",IF(C3191="","⚠ Falta monto",IF(D3191="","⚠ Falta categoría",IF(ISNA(MATCH(D3191,catNom,0)),"⚠ Categoría no existe",IF(E3191="","⚠ Falta cuenta",IF(ISNA(MATCH(E3191,ctaNom,0)),"⚠ Cuenta no existe",IF(AND(OR(I3191="Transferencia",I3191="Pago tarjeta"),G3191=""),"⚠ Indica la cuenta «Hacia»",IF(AND(G3191&lt;&gt;"",G3191=E3191),"⚠ «Hacia» igual a la cuenta",IF(AND(G3191&lt;&gt;"",ISNA(MATCH(G3191,ctaNom,0))),"⚠ «Hacia» no existe",IF(AND(I3191="Pago tarjeta",IFERROR(INDEX(ctaTipo,MATCH(G3191,ctaNom,0)),"")&lt;&gt;"Tarjeta de crédito"),"⚠ «Hacia» debe ser la tarjeta",IF(AND(I3191="Trading",IFERROR(INDEX(ctaTipo,MATCH(E3191,ctaNom,0)),"")&lt;&gt;"Cuenta de trading"),"⚠ Usa la cuenta de trading","✓"))))))))))))</f>
        <v/>
      </c>
      <c r="I3191" s="19">
        <f>IF(OR(B3191="",C3191="",D3191=""),"",IFERROR(INDEX(catTipo,MATCH(D3191,catNom,0))&amp;"",""))</f>
        <v/>
      </c>
      <c r="J3191" s="19">
        <f>IF(I3191="","",IFERROR(INDEX(catGrupo,MATCH(D3191,catNom,0))&amp;"",""))</f>
        <v/>
      </c>
      <c r="K3191" s="19">
        <f>IF(I3191="Gasto",IF(IFERROR(INDEX(catClas,MATCH(D3191,catNom,0))&amp;"","")="","Variable",IFERROR(INDEX(catClas,MATCH(D3191,catNom,0))&amp;"","")),"")</f>
        <v/>
      </c>
      <c r="L3191" s="19">
        <f>IF(I3191="","",IFERROR(INDEX(catAlim,MATCH(D3191,catNom,0))&amp;"",""))</f>
        <v/>
      </c>
      <c r="M3191" s="19">
        <f>IF(I3191="","",IFERROR(INDEX(catComida,MATCH(D3191,catNom,0))&amp;"",""))</f>
        <v/>
      </c>
      <c r="N3191" s="19">
        <f>IF(I3191="","",IFERROR(INDEX(ctaMon,MATCH(E3191,ctaNom,0))&amp;"","DOP"))</f>
        <v/>
      </c>
      <c r="O3191" s="20">
        <f>IF(I3191="","",C3191*IF(N3191="USD",TasaUSD,1))</f>
        <v/>
      </c>
      <c r="P3191" s="20">
        <f>IF(I3191="","",IF(I3191="Gasto",O3191,0))</f>
        <v/>
      </c>
      <c r="Q3191" s="20">
        <f>IF(I3191="","",IF(I3191="Ingreso",O3191,0))</f>
        <v/>
      </c>
      <c r="R3191" s="20">
        <f>IF(I3191="","",IF(I3191="Trading",O3191,0))</f>
        <v/>
      </c>
      <c r="S3191" s="19">
        <f>IF(I3191="","",IF(AND(I3191="Gasto",K3191="Variable",J3191&lt;&gt;"Trading",O3191&gt;0,O3191&lt;=Umbral),1,0))</f>
        <v/>
      </c>
      <c r="T3191" s="20">
        <f>IF(OR(I3191="",E3191=""),"",IF(OR(I3191="Gasto",I3191="Transferencia",I3191="Pago tarjeta"),-1,1)*C3191)</f>
        <v/>
      </c>
      <c r="U3191" s="20">
        <f>IF(OR(G3191="",AND(I3191&lt;&gt;"Transferencia",I3191&lt;&gt;"Pago tarjeta")),"",IF(IFERROR(INDEX(ctaMon,MATCH(G3191,ctaNom,0))&amp;"","DOP")=N3191,C3191,IF(N3191="USD",C3191*TasaUSD,C3191/TasaUSD)))</f>
        <v/>
      </c>
      <c r="V3191" s="20">
        <f>IF(I3191="","",IF(IFERROR(INDEX(ctaLiq,MATCH(E3191,ctaNom,0))="Sí",FALSE),IF(OR(I3191="Gasto",I3191="Transferencia",I3191="Pago tarjeta"),-1,1)*O3191,0)+IF(AND(U3191&lt;&gt;"",IFERROR(INDEX(ctaLiq,MATCH(G3191,ctaNom,0))="Sí",FALSE)),O3191,0))</f>
        <v/>
      </c>
      <c r="W3191" s="19">
        <f>IF(OR(F3191="",I3191=""),"",IF(COUNTIFS(F$6:F3191,F3191,I$6:I3191,"?*")=1,MAX(W$5:W3190)+1,""))</f>
        <v/>
      </c>
    </row>
    <row r="3192">
      <c r="B3192" s="15" t="n"/>
      <c r="C3192" s="16" t="n"/>
      <c r="D3192" s="17" t="n"/>
      <c r="E3192" s="17" t="n"/>
      <c r="F3192" s="17" t="n"/>
      <c r="G3192" s="17" t="n"/>
      <c r="H3192" s="18">
        <f>IF(AND(B3192="",C3192="",D3192="",E3192=""),"",IF(B3192="","⚠ Falta fecha",IF(C3192="","⚠ Falta monto",IF(D3192="","⚠ Falta categoría",IF(ISNA(MATCH(D3192,catNom,0)),"⚠ Categoría no existe",IF(E3192="","⚠ Falta cuenta",IF(ISNA(MATCH(E3192,ctaNom,0)),"⚠ Cuenta no existe",IF(AND(OR(I3192="Transferencia",I3192="Pago tarjeta"),G3192=""),"⚠ Indica la cuenta «Hacia»",IF(AND(G3192&lt;&gt;"",G3192=E3192),"⚠ «Hacia» igual a la cuenta",IF(AND(G3192&lt;&gt;"",ISNA(MATCH(G3192,ctaNom,0))),"⚠ «Hacia» no existe",IF(AND(I3192="Pago tarjeta",IFERROR(INDEX(ctaTipo,MATCH(G3192,ctaNom,0)),"")&lt;&gt;"Tarjeta de crédito"),"⚠ «Hacia» debe ser la tarjeta",IF(AND(I3192="Trading",IFERROR(INDEX(ctaTipo,MATCH(E3192,ctaNom,0)),"")&lt;&gt;"Cuenta de trading"),"⚠ Usa la cuenta de trading","✓"))))))))))))</f>
        <v/>
      </c>
      <c r="I3192" s="19">
        <f>IF(OR(B3192="",C3192="",D3192=""),"",IFERROR(INDEX(catTipo,MATCH(D3192,catNom,0))&amp;"",""))</f>
        <v/>
      </c>
      <c r="J3192" s="19">
        <f>IF(I3192="","",IFERROR(INDEX(catGrupo,MATCH(D3192,catNom,0))&amp;"",""))</f>
        <v/>
      </c>
      <c r="K3192" s="19">
        <f>IF(I3192="Gasto",IF(IFERROR(INDEX(catClas,MATCH(D3192,catNom,0))&amp;"","")="","Variable",IFERROR(INDEX(catClas,MATCH(D3192,catNom,0))&amp;"","")),"")</f>
        <v/>
      </c>
      <c r="L3192" s="19">
        <f>IF(I3192="","",IFERROR(INDEX(catAlim,MATCH(D3192,catNom,0))&amp;"",""))</f>
        <v/>
      </c>
      <c r="M3192" s="19">
        <f>IF(I3192="","",IFERROR(INDEX(catComida,MATCH(D3192,catNom,0))&amp;"",""))</f>
        <v/>
      </c>
      <c r="N3192" s="19">
        <f>IF(I3192="","",IFERROR(INDEX(ctaMon,MATCH(E3192,ctaNom,0))&amp;"","DOP"))</f>
        <v/>
      </c>
      <c r="O3192" s="20">
        <f>IF(I3192="","",C3192*IF(N3192="USD",TasaUSD,1))</f>
        <v/>
      </c>
      <c r="P3192" s="20">
        <f>IF(I3192="","",IF(I3192="Gasto",O3192,0))</f>
        <v/>
      </c>
      <c r="Q3192" s="20">
        <f>IF(I3192="","",IF(I3192="Ingreso",O3192,0))</f>
        <v/>
      </c>
      <c r="R3192" s="20">
        <f>IF(I3192="","",IF(I3192="Trading",O3192,0))</f>
        <v/>
      </c>
      <c r="S3192" s="19">
        <f>IF(I3192="","",IF(AND(I3192="Gasto",K3192="Variable",J3192&lt;&gt;"Trading",O3192&gt;0,O3192&lt;=Umbral),1,0))</f>
        <v/>
      </c>
      <c r="T3192" s="20">
        <f>IF(OR(I3192="",E3192=""),"",IF(OR(I3192="Gasto",I3192="Transferencia",I3192="Pago tarjeta"),-1,1)*C3192)</f>
        <v/>
      </c>
      <c r="U3192" s="20">
        <f>IF(OR(G3192="",AND(I3192&lt;&gt;"Transferencia",I3192&lt;&gt;"Pago tarjeta")),"",IF(IFERROR(INDEX(ctaMon,MATCH(G3192,ctaNom,0))&amp;"","DOP")=N3192,C3192,IF(N3192="USD",C3192*TasaUSD,C3192/TasaUSD)))</f>
        <v/>
      </c>
      <c r="V3192" s="20">
        <f>IF(I3192="","",IF(IFERROR(INDEX(ctaLiq,MATCH(E3192,ctaNom,0))="Sí",FALSE),IF(OR(I3192="Gasto",I3192="Transferencia",I3192="Pago tarjeta"),-1,1)*O3192,0)+IF(AND(U3192&lt;&gt;"",IFERROR(INDEX(ctaLiq,MATCH(G3192,ctaNom,0))="Sí",FALSE)),O3192,0))</f>
        <v/>
      </c>
      <c r="W3192" s="19">
        <f>IF(OR(F3192="",I3192=""),"",IF(COUNTIFS(F$6:F3192,F3192,I$6:I3192,"?*")=1,MAX(W$5:W3191)+1,""))</f>
        <v/>
      </c>
    </row>
    <row r="3193">
      <c r="B3193" s="15" t="n"/>
      <c r="C3193" s="16" t="n"/>
      <c r="D3193" s="17" t="n"/>
      <c r="E3193" s="17" t="n"/>
      <c r="F3193" s="17" t="n"/>
      <c r="G3193" s="17" t="n"/>
      <c r="H3193" s="18">
        <f>IF(AND(B3193="",C3193="",D3193="",E3193=""),"",IF(B3193="","⚠ Falta fecha",IF(C3193="","⚠ Falta monto",IF(D3193="","⚠ Falta categoría",IF(ISNA(MATCH(D3193,catNom,0)),"⚠ Categoría no existe",IF(E3193="","⚠ Falta cuenta",IF(ISNA(MATCH(E3193,ctaNom,0)),"⚠ Cuenta no existe",IF(AND(OR(I3193="Transferencia",I3193="Pago tarjeta"),G3193=""),"⚠ Indica la cuenta «Hacia»",IF(AND(G3193&lt;&gt;"",G3193=E3193),"⚠ «Hacia» igual a la cuenta",IF(AND(G3193&lt;&gt;"",ISNA(MATCH(G3193,ctaNom,0))),"⚠ «Hacia» no existe",IF(AND(I3193="Pago tarjeta",IFERROR(INDEX(ctaTipo,MATCH(G3193,ctaNom,0)),"")&lt;&gt;"Tarjeta de crédito"),"⚠ «Hacia» debe ser la tarjeta",IF(AND(I3193="Trading",IFERROR(INDEX(ctaTipo,MATCH(E3193,ctaNom,0)),"")&lt;&gt;"Cuenta de trading"),"⚠ Usa la cuenta de trading","✓"))))))))))))</f>
        <v/>
      </c>
      <c r="I3193" s="19">
        <f>IF(OR(B3193="",C3193="",D3193=""),"",IFERROR(INDEX(catTipo,MATCH(D3193,catNom,0))&amp;"",""))</f>
        <v/>
      </c>
      <c r="J3193" s="19">
        <f>IF(I3193="","",IFERROR(INDEX(catGrupo,MATCH(D3193,catNom,0))&amp;"",""))</f>
        <v/>
      </c>
      <c r="K3193" s="19">
        <f>IF(I3193="Gasto",IF(IFERROR(INDEX(catClas,MATCH(D3193,catNom,0))&amp;"","")="","Variable",IFERROR(INDEX(catClas,MATCH(D3193,catNom,0))&amp;"","")),"")</f>
        <v/>
      </c>
      <c r="L3193" s="19">
        <f>IF(I3193="","",IFERROR(INDEX(catAlim,MATCH(D3193,catNom,0))&amp;"",""))</f>
        <v/>
      </c>
      <c r="M3193" s="19">
        <f>IF(I3193="","",IFERROR(INDEX(catComida,MATCH(D3193,catNom,0))&amp;"",""))</f>
        <v/>
      </c>
      <c r="N3193" s="19">
        <f>IF(I3193="","",IFERROR(INDEX(ctaMon,MATCH(E3193,ctaNom,0))&amp;"","DOP"))</f>
        <v/>
      </c>
      <c r="O3193" s="20">
        <f>IF(I3193="","",C3193*IF(N3193="USD",TasaUSD,1))</f>
        <v/>
      </c>
      <c r="P3193" s="20">
        <f>IF(I3193="","",IF(I3193="Gasto",O3193,0))</f>
        <v/>
      </c>
      <c r="Q3193" s="20">
        <f>IF(I3193="","",IF(I3193="Ingreso",O3193,0))</f>
        <v/>
      </c>
      <c r="R3193" s="20">
        <f>IF(I3193="","",IF(I3193="Trading",O3193,0))</f>
        <v/>
      </c>
      <c r="S3193" s="19">
        <f>IF(I3193="","",IF(AND(I3193="Gasto",K3193="Variable",J3193&lt;&gt;"Trading",O3193&gt;0,O3193&lt;=Umbral),1,0))</f>
        <v/>
      </c>
      <c r="T3193" s="20">
        <f>IF(OR(I3193="",E3193=""),"",IF(OR(I3193="Gasto",I3193="Transferencia",I3193="Pago tarjeta"),-1,1)*C3193)</f>
        <v/>
      </c>
      <c r="U3193" s="20">
        <f>IF(OR(G3193="",AND(I3193&lt;&gt;"Transferencia",I3193&lt;&gt;"Pago tarjeta")),"",IF(IFERROR(INDEX(ctaMon,MATCH(G3193,ctaNom,0))&amp;"","DOP")=N3193,C3193,IF(N3193="USD",C3193*TasaUSD,C3193/TasaUSD)))</f>
        <v/>
      </c>
      <c r="V3193" s="20">
        <f>IF(I3193="","",IF(IFERROR(INDEX(ctaLiq,MATCH(E3193,ctaNom,0))="Sí",FALSE),IF(OR(I3193="Gasto",I3193="Transferencia",I3193="Pago tarjeta"),-1,1)*O3193,0)+IF(AND(U3193&lt;&gt;"",IFERROR(INDEX(ctaLiq,MATCH(G3193,ctaNom,0))="Sí",FALSE)),O3193,0))</f>
        <v/>
      </c>
      <c r="W3193" s="19">
        <f>IF(OR(F3193="",I3193=""),"",IF(COUNTIFS(F$6:F3193,F3193,I$6:I3193,"?*")=1,MAX(W$5:W3192)+1,""))</f>
        <v/>
      </c>
    </row>
    <row r="3194">
      <c r="B3194" s="15" t="n"/>
      <c r="C3194" s="16" t="n"/>
      <c r="D3194" s="17" t="n"/>
      <c r="E3194" s="17" t="n"/>
      <c r="F3194" s="17" t="n"/>
      <c r="G3194" s="17" t="n"/>
      <c r="H3194" s="18">
        <f>IF(AND(B3194="",C3194="",D3194="",E3194=""),"",IF(B3194="","⚠ Falta fecha",IF(C3194="","⚠ Falta monto",IF(D3194="","⚠ Falta categoría",IF(ISNA(MATCH(D3194,catNom,0)),"⚠ Categoría no existe",IF(E3194="","⚠ Falta cuenta",IF(ISNA(MATCH(E3194,ctaNom,0)),"⚠ Cuenta no existe",IF(AND(OR(I3194="Transferencia",I3194="Pago tarjeta"),G3194=""),"⚠ Indica la cuenta «Hacia»",IF(AND(G3194&lt;&gt;"",G3194=E3194),"⚠ «Hacia» igual a la cuenta",IF(AND(G3194&lt;&gt;"",ISNA(MATCH(G3194,ctaNom,0))),"⚠ «Hacia» no existe",IF(AND(I3194="Pago tarjeta",IFERROR(INDEX(ctaTipo,MATCH(G3194,ctaNom,0)),"")&lt;&gt;"Tarjeta de crédito"),"⚠ «Hacia» debe ser la tarjeta",IF(AND(I3194="Trading",IFERROR(INDEX(ctaTipo,MATCH(E3194,ctaNom,0)),"")&lt;&gt;"Cuenta de trading"),"⚠ Usa la cuenta de trading","✓"))))))))))))</f>
        <v/>
      </c>
      <c r="I3194" s="19">
        <f>IF(OR(B3194="",C3194="",D3194=""),"",IFERROR(INDEX(catTipo,MATCH(D3194,catNom,0))&amp;"",""))</f>
        <v/>
      </c>
      <c r="J3194" s="19">
        <f>IF(I3194="","",IFERROR(INDEX(catGrupo,MATCH(D3194,catNom,0))&amp;"",""))</f>
        <v/>
      </c>
      <c r="K3194" s="19">
        <f>IF(I3194="Gasto",IF(IFERROR(INDEX(catClas,MATCH(D3194,catNom,0))&amp;"","")="","Variable",IFERROR(INDEX(catClas,MATCH(D3194,catNom,0))&amp;"","")),"")</f>
        <v/>
      </c>
      <c r="L3194" s="19">
        <f>IF(I3194="","",IFERROR(INDEX(catAlim,MATCH(D3194,catNom,0))&amp;"",""))</f>
        <v/>
      </c>
      <c r="M3194" s="19">
        <f>IF(I3194="","",IFERROR(INDEX(catComida,MATCH(D3194,catNom,0))&amp;"",""))</f>
        <v/>
      </c>
      <c r="N3194" s="19">
        <f>IF(I3194="","",IFERROR(INDEX(ctaMon,MATCH(E3194,ctaNom,0))&amp;"","DOP"))</f>
        <v/>
      </c>
      <c r="O3194" s="20">
        <f>IF(I3194="","",C3194*IF(N3194="USD",TasaUSD,1))</f>
        <v/>
      </c>
      <c r="P3194" s="20">
        <f>IF(I3194="","",IF(I3194="Gasto",O3194,0))</f>
        <v/>
      </c>
      <c r="Q3194" s="20">
        <f>IF(I3194="","",IF(I3194="Ingreso",O3194,0))</f>
        <v/>
      </c>
      <c r="R3194" s="20">
        <f>IF(I3194="","",IF(I3194="Trading",O3194,0))</f>
        <v/>
      </c>
      <c r="S3194" s="19">
        <f>IF(I3194="","",IF(AND(I3194="Gasto",K3194="Variable",J3194&lt;&gt;"Trading",O3194&gt;0,O3194&lt;=Umbral),1,0))</f>
        <v/>
      </c>
      <c r="T3194" s="20">
        <f>IF(OR(I3194="",E3194=""),"",IF(OR(I3194="Gasto",I3194="Transferencia",I3194="Pago tarjeta"),-1,1)*C3194)</f>
        <v/>
      </c>
      <c r="U3194" s="20">
        <f>IF(OR(G3194="",AND(I3194&lt;&gt;"Transferencia",I3194&lt;&gt;"Pago tarjeta")),"",IF(IFERROR(INDEX(ctaMon,MATCH(G3194,ctaNom,0))&amp;"","DOP")=N3194,C3194,IF(N3194="USD",C3194*TasaUSD,C3194/TasaUSD)))</f>
        <v/>
      </c>
      <c r="V3194" s="20">
        <f>IF(I3194="","",IF(IFERROR(INDEX(ctaLiq,MATCH(E3194,ctaNom,0))="Sí",FALSE),IF(OR(I3194="Gasto",I3194="Transferencia",I3194="Pago tarjeta"),-1,1)*O3194,0)+IF(AND(U3194&lt;&gt;"",IFERROR(INDEX(ctaLiq,MATCH(G3194,ctaNom,0))="Sí",FALSE)),O3194,0))</f>
        <v/>
      </c>
      <c r="W3194" s="19">
        <f>IF(OR(F3194="",I3194=""),"",IF(COUNTIFS(F$6:F3194,F3194,I$6:I3194,"?*")=1,MAX(W$5:W3193)+1,""))</f>
        <v/>
      </c>
    </row>
    <row r="3195">
      <c r="B3195" s="15" t="n"/>
      <c r="C3195" s="16" t="n"/>
      <c r="D3195" s="17" t="n"/>
      <c r="E3195" s="17" t="n"/>
      <c r="F3195" s="17" t="n"/>
      <c r="G3195" s="17" t="n"/>
      <c r="H3195" s="18">
        <f>IF(AND(B3195="",C3195="",D3195="",E3195=""),"",IF(B3195="","⚠ Falta fecha",IF(C3195="","⚠ Falta monto",IF(D3195="","⚠ Falta categoría",IF(ISNA(MATCH(D3195,catNom,0)),"⚠ Categoría no existe",IF(E3195="","⚠ Falta cuenta",IF(ISNA(MATCH(E3195,ctaNom,0)),"⚠ Cuenta no existe",IF(AND(OR(I3195="Transferencia",I3195="Pago tarjeta"),G3195=""),"⚠ Indica la cuenta «Hacia»",IF(AND(G3195&lt;&gt;"",G3195=E3195),"⚠ «Hacia» igual a la cuenta",IF(AND(G3195&lt;&gt;"",ISNA(MATCH(G3195,ctaNom,0))),"⚠ «Hacia» no existe",IF(AND(I3195="Pago tarjeta",IFERROR(INDEX(ctaTipo,MATCH(G3195,ctaNom,0)),"")&lt;&gt;"Tarjeta de crédito"),"⚠ «Hacia» debe ser la tarjeta",IF(AND(I3195="Trading",IFERROR(INDEX(ctaTipo,MATCH(E3195,ctaNom,0)),"")&lt;&gt;"Cuenta de trading"),"⚠ Usa la cuenta de trading","✓"))))))))))))</f>
        <v/>
      </c>
      <c r="I3195" s="19">
        <f>IF(OR(B3195="",C3195="",D3195=""),"",IFERROR(INDEX(catTipo,MATCH(D3195,catNom,0))&amp;"",""))</f>
        <v/>
      </c>
      <c r="J3195" s="19">
        <f>IF(I3195="","",IFERROR(INDEX(catGrupo,MATCH(D3195,catNom,0))&amp;"",""))</f>
        <v/>
      </c>
      <c r="K3195" s="19">
        <f>IF(I3195="Gasto",IF(IFERROR(INDEX(catClas,MATCH(D3195,catNom,0))&amp;"","")="","Variable",IFERROR(INDEX(catClas,MATCH(D3195,catNom,0))&amp;"","")),"")</f>
        <v/>
      </c>
      <c r="L3195" s="19">
        <f>IF(I3195="","",IFERROR(INDEX(catAlim,MATCH(D3195,catNom,0))&amp;"",""))</f>
        <v/>
      </c>
      <c r="M3195" s="19">
        <f>IF(I3195="","",IFERROR(INDEX(catComida,MATCH(D3195,catNom,0))&amp;"",""))</f>
        <v/>
      </c>
      <c r="N3195" s="19">
        <f>IF(I3195="","",IFERROR(INDEX(ctaMon,MATCH(E3195,ctaNom,0))&amp;"","DOP"))</f>
        <v/>
      </c>
      <c r="O3195" s="20">
        <f>IF(I3195="","",C3195*IF(N3195="USD",TasaUSD,1))</f>
        <v/>
      </c>
      <c r="P3195" s="20">
        <f>IF(I3195="","",IF(I3195="Gasto",O3195,0))</f>
        <v/>
      </c>
      <c r="Q3195" s="20">
        <f>IF(I3195="","",IF(I3195="Ingreso",O3195,0))</f>
        <v/>
      </c>
      <c r="R3195" s="20">
        <f>IF(I3195="","",IF(I3195="Trading",O3195,0))</f>
        <v/>
      </c>
      <c r="S3195" s="19">
        <f>IF(I3195="","",IF(AND(I3195="Gasto",K3195="Variable",J3195&lt;&gt;"Trading",O3195&gt;0,O3195&lt;=Umbral),1,0))</f>
        <v/>
      </c>
      <c r="T3195" s="20">
        <f>IF(OR(I3195="",E3195=""),"",IF(OR(I3195="Gasto",I3195="Transferencia",I3195="Pago tarjeta"),-1,1)*C3195)</f>
        <v/>
      </c>
      <c r="U3195" s="20">
        <f>IF(OR(G3195="",AND(I3195&lt;&gt;"Transferencia",I3195&lt;&gt;"Pago tarjeta")),"",IF(IFERROR(INDEX(ctaMon,MATCH(G3195,ctaNom,0))&amp;"","DOP")=N3195,C3195,IF(N3195="USD",C3195*TasaUSD,C3195/TasaUSD)))</f>
        <v/>
      </c>
      <c r="V3195" s="20">
        <f>IF(I3195="","",IF(IFERROR(INDEX(ctaLiq,MATCH(E3195,ctaNom,0))="Sí",FALSE),IF(OR(I3195="Gasto",I3195="Transferencia",I3195="Pago tarjeta"),-1,1)*O3195,0)+IF(AND(U3195&lt;&gt;"",IFERROR(INDEX(ctaLiq,MATCH(G3195,ctaNom,0))="Sí",FALSE)),O3195,0))</f>
        <v/>
      </c>
      <c r="W3195" s="19">
        <f>IF(OR(F3195="",I3195=""),"",IF(COUNTIFS(F$6:F3195,F3195,I$6:I3195,"?*")=1,MAX(W$5:W3194)+1,""))</f>
        <v/>
      </c>
    </row>
    <row r="3196">
      <c r="B3196" s="15" t="n"/>
      <c r="C3196" s="16" t="n"/>
      <c r="D3196" s="17" t="n"/>
      <c r="E3196" s="17" t="n"/>
      <c r="F3196" s="17" t="n"/>
      <c r="G3196" s="17" t="n"/>
      <c r="H3196" s="18">
        <f>IF(AND(B3196="",C3196="",D3196="",E3196=""),"",IF(B3196="","⚠ Falta fecha",IF(C3196="","⚠ Falta monto",IF(D3196="","⚠ Falta categoría",IF(ISNA(MATCH(D3196,catNom,0)),"⚠ Categoría no existe",IF(E3196="","⚠ Falta cuenta",IF(ISNA(MATCH(E3196,ctaNom,0)),"⚠ Cuenta no existe",IF(AND(OR(I3196="Transferencia",I3196="Pago tarjeta"),G3196=""),"⚠ Indica la cuenta «Hacia»",IF(AND(G3196&lt;&gt;"",G3196=E3196),"⚠ «Hacia» igual a la cuenta",IF(AND(G3196&lt;&gt;"",ISNA(MATCH(G3196,ctaNom,0))),"⚠ «Hacia» no existe",IF(AND(I3196="Pago tarjeta",IFERROR(INDEX(ctaTipo,MATCH(G3196,ctaNom,0)),"")&lt;&gt;"Tarjeta de crédito"),"⚠ «Hacia» debe ser la tarjeta",IF(AND(I3196="Trading",IFERROR(INDEX(ctaTipo,MATCH(E3196,ctaNom,0)),"")&lt;&gt;"Cuenta de trading"),"⚠ Usa la cuenta de trading","✓"))))))))))))</f>
        <v/>
      </c>
      <c r="I3196" s="19">
        <f>IF(OR(B3196="",C3196="",D3196=""),"",IFERROR(INDEX(catTipo,MATCH(D3196,catNom,0))&amp;"",""))</f>
        <v/>
      </c>
      <c r="J3196" s="19">
        <f>IF(I3196="","",IFERROR(INDEX(catGrupo,MATCH(D3196,catNom,0))&amp;"",""))</f>
        <v/>
      </c>
      <c r="K3196" s="19">
        <f>IF(I3196="Gasto",IF(IFERROR(INDEX(catClas,MATCH(D3196,catNom,0))&amp;"","")="","Variable",IFERROR(INDEX(catClas,MATCH(D3196,catNom,0))&amp;"","")),"")</f>
        <v/>
      </c>
      <c r="L3196" s="19">
        <f>IF(I3196="","",IFERROR(INDEX(catAlim,MATCH(D3196,catNom,0))&amp;"",""))</f>
        <v/>
      </c>
      <c r="M3196" s="19">
        <f>IF(I3196="","",IFERROR(INDEX(catComida,MATCH(D3196,catNom,0))&amp;"",""))</f>
        <v/>
      </c>
      <c r="N3196" s="19">
        <f>IF(I3196="","",IFERROR(INDEX(ctaMon,MATCH(E3196,ctaNom,0))&amp;"","DOP"))</f>
        <v/>
      </c>
      <c r="O3196" s="20">
        <f>IF(I3196="","",C3196*IF(N3196="USD",TasaUSD,1))</f>
        <v/>
      </c>
      <c r="P3196" s="20">
        <f>IF(I3196="","",IF(I3196="Gasto",O3196,0))</f>
        <v/>
      </c>
      <c r="Q3196" s="20">
        <f>IF(I3196="","",IF(I3196="Ingreso",O3196,0))</f>
        <v/>
      </c>
      <c r="R3196" s="20">
        <f>IF(I3196="","",IF(I3196="Trading",O3196,0))</f>
        <v/>
      </c>
      <c r="S3196" s="19">
        <f>IF(I3196="","",IF(AND(I3196="Gasto",K3196="Variable",J3196&lt;&gt;"Trading",O3196&gt;0,O3196&lt;=Umbral),1,0))</f>
        <v/>
      </c>
      <c r="T3196" s="20">
        <f>IF(OR(I3196="",E3196=""),"",IF(OR(I3196="Gasto",I3196="Transferencia",I3196="Pago tarjeta"),-1,1)*C3196)</f>
        <v/>
      </c>
      <c r="U3196" s="20">
        <f>IF(OR(G3196="",AND(I3196&lt;&gt;"Transferencia",I3196&lt;&gt;"Pago tarjeta")),"",IF(IFERROR(INDEX(ctaMon,MATCH(G3196,ctaNom,0))&amp;"","DOP")=N3196,C3196,IF(N3196="USD",C3196*TasaUSD,C3196/TasaUSD)))</f>
        <v/>
      </c>
      <c r="V3196" s="20">
        <f>IF(I3196="","",IF(IFERROR(INDEX(ctaLiq,MATCH(E3196,ctaNom,0))="Sí",FALSE),IF(OR(I3196="Gasto",I3196="Transferencia",I3196="Pago tarjeta"),-1,1)*O3196,0)+IF(AND(U3196&lt;&gt;"",IFERROR(INDEX(ctaLiq,MATCH(G3196,ctaNom,0))="Sí",FALSE)),O3196,0))</f>
        <v/>
      </c>
      <c r="W3196" s="19">
        <f>IF(OR(F3196="",I3196=""),"",IF(COUNTIFS(F$6:F3196,F3196,I$6:I3196,"?*")=1,MAX(W$5:W3195)+1,""))</f>
        <v/>
      </c>
    </row>
    <row r="3197">
      <c r="B3197" s="15" t="n"/>
      <c r="C3197" s="16" t="n"/>
      <c r="D3197" s="17" t="n"/>
      <c r="E3197" s="17" t="n"/>
      <c r="F3197" s="17" t="n"/>
      <c r="G3197" s="17" t="n"/>
      <c r="H3197" s="18">
        <f>IF(AND(B3197="",C3197="",D3197="",E3197=""),"",IF(B3197="","⚠ Falta fecha",IF(C3197="","⚠ Falta monto",IF(D3197="","⚠ Falta categoría",IF(ISNA(MATCH(D3197,catNom,0)),"⚠ Categoría no existe",IF(E3197="","⚠ Falta cuenta",IF(ISNA(MATCH(E3197,ctaNom,0)),"⚠ Cuenta no existe",IF(AND(OR(I3197="Transferencia",I3197="Pago tarjeta"),G3197=""),"⚠ Indica la cuenta «Hacia»",IF(AND(G3197&lt;&gt;"",G3197=E3197),"⚠ «Hacia» igual a la cuenta",IF(AND(G3197&lt;&gt;"",ISNA(MATCH(G3197,ctaNom,0))),"⚠ «Hacia» no existe",IF(AND(I3197="Pago tarjeta",IFERROR(INDEX(ctaTipo,MATCH(G3197,ctaNom,0)),"")&lt;&gt;"Tarjeta de crédito"),"⚠ «Hacia» debe ser la tarjeta",IF(AND(I3197="Trading",IFERROR(INDEX(ctaTipo,MATCH(E3197,ctaNom,0)),"")&lt;&gt;"Cuenta de trading"),"⚠ Usa la cuenta de trading","✓"))))))))))))</f>
        <v/>
      </c>
      <c r="I3197" s="19">
        <f>IF(OR(B3197="",C3197="",D3197=""),"",IFERROR(INDEX(catTipo,MATCH(D3197,catNom,0))&amp;"",""))</f>
        <v/>
      </c>
      <c r="J3197" s="19">
        <f>IF(I3197="","",IFERROR(INDEX(catGrupo,MATCH(D3197,catNom,0))&amp;"",""))</f>
        <v/>
      </c>
      <c r="K3197" s="19">
        <f>IF(I3197="Gasto",IF(IFERROR(INDEX(catClas,MATCH(D3197,catNom,0))&amp;"","")="","Variable",IFERROR(INDEX(catClas,MATCH(D3197,catNom,0))&amp;"","")),"")</f>
        <v/>
      </c>
      <c r="L3197" s="19">
        <f>IF(I3197="","",IFERROR(INDEX(catAlim,MATCH(D3197,catNom,0))&amp;"",""))</f>
        <v/>
      </c>
      <c r="M3197" s="19">
        <f>IF(I3197="","",IFERROR(INDEX(catComida,MATCH(D3197,catNom,0))&amp;"",""))</f>
        <v/>
      </c>
      <c r="N3197" s="19">
        <f>IF(I3197="","",IFERROR(INDEX(ctaMon,MATCH(E3197,ctaNom,0))&amp;"","DOP"))</f>
        <v/>
      </c>
      <c r="O3197" s="20">
        <f>IF(I3197="","",C3197*IF(N3197="USD",TasaUSD,1))</f>
        <v/>
      </c>
      <c r="P3197" s="20">
        <f>IF(I3197="","",IF(I3197="Gasto",O3197,0))</f>
        <v/>
      </c>
      <c r="Q3197" s="20">
        <f>IF(I3197="","",IF(I3197="Ingreso",O3197,0))</f>
        <v/>
      </c>
      <c r="R3197" s="20">
        <f>IF(I3197="","",IF(I3197="Trading",O3197,0))</f>
        <v/>
      </c>
      <c r="S3197" s="19">
        <f>IF(I3197="","",IF(AND(I3197="Gasto",K3197="Variable",J3197&lt;&gt;"Trading",O3197&gt;0,O3197&lt;=Umbral),1,0))</f>
        <v/>
      </c>
      <c r="T3197" s="20">
        <f>IF(OR(I3197="",E3197=""),"",IF(OR(I3197="Gasto",I3197="Transferencia",I3197="Pago tarjeta"),-1,1)*C3197)</f>
        <v/>
      </c>
      <c r="U3197" s="20">
        <f>IF(OR(G3197="",AND(I3197&lt;&gt;"Transferencia",I3197&lt;&gt;"Pago tarjeta")),"",IF(IFERROR(INDEX(ctaMon,MATCH(G3197,ctaNom,0))&amp;"","DOP")=N3197,C3197,IF(N3197="USD",C3197*TasaUSD,C3197/TasaUSD)))</f>
        <v/>
      </c>
      <c r="V3197" s="20">
        <f>IF(I3197="","",IF(IFERROR(INDEX(ctaLiq,MATCH(E3197,ctaNom,0))="Sí",FALSE),IF(OR(I3197="Gasto",I3197="Transferencia",I3197="Pago tarjeta"),-1,1)*O3197,0)+IF(AND(U3197&lt;&gt;"",IFERROR(INDEX(ctaLiq,MATCH(G3197,ctaNom,0))="Sí",FALSE)),O3197,0))</f>
        <v/>
      </c>
      <c r="W3197" s="19">
        <f>IF(OR(F3197="",I3197=""),"",IF(COUNTIFS(F$6:F3197,F3197,I$6:I3197,"?*")=1,MAX(W$5:W3196)+1,""))</f>
        <v/>
      </c>
    </row>
    <row r="3198">
      <c r="B3198" s="15" t="n"/>
      <c r="C3198" s="16" t="n"/>
      <c r="D3198" s="17" t="n"/>
      <c r="E3198" s="17" t="n"/>
      <c r="F3198" s="17" t="n"/>
      <c r="G3198" s="17" t="n"/>
      <c r="H3198" s="18">
        <f>IF(AND(B3198="",C3198="",D3198="",E3198=""),"",IF(B3198="","⚠ Falta fecha",IF(C3198="","⚠ Falta monto",IF(D3198="","⚠ Falta categoría",IF(ISNA(MATCH(D3198,catNom,0)),"⚠ Categoría no existe",IF(E3198="","⚠ Falta cuenta",IF(ISNA(MATCH(E3198,ctaNom,0)),"⚠ Cuenta no existe",IF(AND(OR(I3198="Transferencia",I3198="Pago tarjeta"),G3198=""),"⚠ Indica la cuenta «Hacia»",IF(AND(G3198&lt;&gt;"",G3198=E3198),"⚠ «Hacia» igual a la cuenta",IF(AND(G3198&lt;&gt;"",ISNA(MATCH(G3198,ctaNom,0))),"⚠ «Hacia» no existe",IF(AND(I3198="Pago tarjeta",IFERROR(INDEX(ctaTipo,MATCH(G3198,ctaNom,0)),"")&lt;&gt;"Tarjeta de crédito"),"⚠ «Hacia» debe ser la tarjeta",IF(AND(I3198="Trading",IFERROR(INDEX(ctaTipo,MATCH(E3198,ctaNom,0)),"")&lt;&gt;"Cuenta de trading"),"⚠ Usa la cuenta de trading","✓"))))))))))))</f>
        <v/>
      </c>
      <c r="I3198" s="19">
        <f>IF(OR(B3198="",C3198="",D3198=""),"",IFERROR(INDEX(catTipo,MATCH(D3198,catNom,0))&amp;"",""))</f>
        <v/>
      </c>
      <c r="J3198" s="19">
        <f>IF(I3198="","",IFERROR(INDEX(catGrupo,MATCH(D3198,catNom,0))&amp;"",""))</f>
        <v/>
      </c>
      <c r="K3198" s="19">
        <f>IF(I3198="Gasto",IF(IFERROR(INDEX(catClas,MATCH(D3198,catNom,0))&amp;"","")="","Variable",IFERROR(INDEX(catClas,MATCH(D3198,catNom,0))&amp;"","")),"")</f>
        <v/>
      </c>
      <c r="L3198" s="19">
        <f>IF(I3198="","",IFERROR(INDEX(catAlim,MATCH(D3198,catNom,0))&amp;"",""))</f>
        <v/>
      </c>
      <c r="M3198" s="19">
        <f>IF(I3198="","",IFERROR(INDEX(catComida,MATCH(D3198,catNom,0))&amp;"",""))</f>
        <v/>
      </c>
      <c r="N3198" s="19">
        <f>IF(I3198="","",IFERROR(INDEX(ctaMon,MATCH(E3198,ctaNom,0))&amp;"","DOP"))</f>
        <v/>
      </c>
      <c r="O3198" s="20">
        <f>IF(I3198="","",C3198*IF(N3198="USD",TasaUSD,1))</f>
        <v/>
      </c>
      <c r="P3198" s="20">
        <f>IF(I3198="","",IF(I3198="Gasto",O3198,0))</f>
        <v/>
      </c>
      <c r="Q3198" s="20">
        <f>IF(I3198="","",IF(I3198="Ingreso",O3198,0))</f>
        <v/>
      </c>
      <c r="R3198" s="20">
        <f>IF(I3198="","",IF(I3198="Trading",O3198,0))</f>
        <v/>
      </c>
      <c r="S3198" s="19">
        <f>IF(I3198="","",IF(AND(I3198="Gasto",K3198="Variable",J3198&lt;&gt;"Trading",O3198&gt;0,O3198&lt;=Umbral),1,0))</f>
        <v/>
      </c>
      <c r="T3198" s="20">
        <f>IF(OR(I3198="",E3198=""),"",IF(OR(I3198="Gasto",I3198="Transferencia",I3198="Pago tarjeta"),-1,1)*C3198)</f>
        <v/>
      </c>
      <c r="U3198" s="20">
        <f>IF(OR(G3198="",AND(I3198&lt;&gt;"Transferencia",I3198&lt;&gt;"Pago tarjeta")),"",IF(IFERROR(INDEX(ctaMon,MATCH(G3198,ctaNom,0))&amp;"","DOP")=N3198,C3198,IF(N3198="USD",C3198*TasaUSD,C3198/TasaUSD)))</f>
        <v/>
      </c>
      <c r="V3198" s="20">
        <f>IF(I3198="","",IF(IFERROR(INDEX(ctaLiq,MATCH(E3198,ctaNom,0))="Sí",FALSE),IF(OR(I3198="Gasto",I3198="Transferencia",I3198="Pago tarjeta"),-1,1)*O3198,0)+IF(AND(U3198&lt;&gt;"",IFERROR(INDEX(ctaLiq,MATCH(G3198,ctaNom,0))="Sí",FALSE)),O3198,0))</f>
        <v/>
      </c>
      <c r="W3198" s="19">
        <f>IF(OR(F3198="",I3198=""),"",IF(COUNTIFS(F$6:F3198,F3198,I$6:I3198,"?*")=1,MAX(W$5:W3197)+1,""))</f>
        <v/>
      </c>
    </row>
    <row r="3199">
      <c r="B3199" s="15" t="n"/>
      <c r="C3199" s="16" t="n"/>
      <c r="D3199" s="17" t="n"/>
      <c r="E3199" s="17" t="n"/>
      <c r="F3199" s="17" t="n"/>
      <c r="G3199" s="17" t="n"/>
      <c r="H3199" s="18">
        <f>IF(AND(B3199="",C3199="",D3199="",E3199=""),"",IF(B3199="","⚠ Falta fecha",IF(C3199="","⚠ Falta monto",IF(D3199="","⚠ Falta categoría",IF(ISNA(MATCH(D3199,catNom,0)),"⚠ Categoría no existe",IF(E3199="","⚠ Falta cuenta",IF(ISNA(MATCH(E3199,ctaNom,0)),"⚠ Cuenta no existe",IF(AND(OR(I3199="Transferencia",I3199="Pago tarjeta"),G3199=""),"⚠ Indica la cuenta «Hacia»",IF(AND(G3199&lt;&gt;"",G3199=E3199),"⚠ «Hacia» igual a la cuenta",IF(AND(G3199&lt;&gt;"",ISNA(MATCH(G3199,ctaNom,0))),"⚠ «Hacia» no existe",IF(AND(I3199="Pago tarjeta",IFERROR(INDEX(ctaTipo,MATCH(G3199,ctaNom,0)),"")&lt;&gt;"Tarjeta de crédito"),"⚠ «Hacia» debe ser la tarjeta",IF(AND(I3199="Trading",IFERROR(INDEX(ctaTipo,MATCH(E3199,ctaNom,0)),"")&lt;&gt;"Cuenta de trading"),"⚠ Usa la cuenta de trading","✓"))))))))))))</f>
        <v/>
      </c>
      <c r="I3199" s="19">
        <f>IF(OR(B3199="",C3199="",D3199=""),"",IFERROR(INDEX(catTipo,MATCH(D3199,catNom,0))&amp;"",""))</f>
        <v/>
      </c>
      <c r="J3199" s="19">
        <f>IF(I3199="","",IFERROR(INDEX(catGrupo,MATCH(D3199,catNom,0))&amp;"",""))</f>
        <v/>
      </c>
      <c r="K3199" s="19">
        <f>IF(I3199="Gasto",IF(IFERROR(INDEX(catClas,MATCH(D3199,catNom,0))&amp;"","")="","Variable",IFERROR(INDEX(catClas,MATCH(D3199,catNom,0))&amp;"","")),"")</f>
        <v/>
      </c>
      <c r="L3199" s="19">
        <f>IF(I3199="","",IFERROR(INDEX(catAlim,MATCH(D3199,catNom,0))&amp;"",""))</f>
        <v/>
      </c>
      <c r="M3199" s="19">
        <f>IF(I3199="","",IFERROR(INDEX(catComida,MATCH(D3199,catNom,0))&amp;"",""))</f>
        <v/>
      </c>
      <c r="N3199" s="19">
        <f>IF(I3199="","",IFERROR(INDEX(ctaMon,MATCH(E3199,ctaNom,0))&amp;"","DOP"))</f>
        <v/>
      </c>
      <c r="O3199" s="20">
        <f>IF(I3199="","",C3199*IF(N3199="USD",TasaUSD,1))</f>
        <v/>
      </c>
      <c r="P3199" s="20">
        <f>IF(I3199="","",IF(I3199="Gasto",O3199,0))</f>
        <v/>
      </c>
      <c r="Q3199" s="20">
        <f>IF(I3199="","",IF(I3199="Ingreso",O3199,0))</f>
        <v/>
      </c>
      <c r="R3199" s="20">
        <f>IF(I3199="","",IF(I3199="Trading",O3199,0))</f>
        <v/>
      </c>
      <c r="S3199" s="19">
        <f>IF(I3199="","",IF(AND(I3199="Gasto",K3199="Variable",J3199&lt;&gt;"Trading",O3199&gt;0,O3199&lt;=Umbral),1,0))</f>
        <v/>
      </c>
      <c r="T3199" s="20">
        <f>IF(OR(I3199="",E3199=""),"",IF(OR(I3199="Gasto",I3199="Transferencia",I3199="Pago tarjeta"),-1,1)*C3199)</f>
        <v/>
      </c>
      <c r="U3199" s="20">
        <f>IF(OR(G3199="",AND(I3199&lt;&gt;"Transferencia",I3199&lt;&gt;"Pago tarjeta")),"",IF(IFERROR(INDEX(ctaMon,MATCH(G3199,ctaNom,0))&amp;"","DOP")=N3199,C3199,IF(N3199="USD",C3199*TasaUSD,C3199/TasaUSD)))</f>
        <v/>
      </c>
      <c r="V3199" s="20">
        <f>IF(I3199="","",IF(IFERROR(INDEX(ctaLiq,MATCH(E3199,ctaNom,0))="Sí",FALSE),IF(OR(I3199="Gasto",I3199="Transferencia",I3199="Pago tarjeta"),-1,1)*O3199,0)+IF(AND(U3199&lt;&gt;"",IFERROR(INDEX(ctaLiq,MATCH(G3199,ctaNom,0))="Sí",FALSE)),O3199,0))</f>
        <v/>
      </c>
      <c r="W3199" s="19">
        <f>IF(OR(F3199="",I3199=""),"",IF(COUNTIFS(F$6:F3199,F3199,I$6:I3199,"?*")=1,MAX(W$5:W3198)+1,""))</f>
        <v/>
      </c>
    </row>
    <row r="3200">
      <c r="B3200" s="15" t="n"/>
      <c r="C3200" s="16" t="n"/>
      <c r="D3200" s="17" t="n"/>
      <c r="E3200" s="17" t="n"/>
      <c r="F3200" s="17" t="n"/>
      <c r="G3200" s="17" t="n"/>
      <c r="H3200" s="18">
        <f>IF(AND(B3200="",C3200="",D3200="",E3200=""),"",IF(B3200="","⚠ Falta fecha",IF(C3200="","⚠ Falta monto",IF(D3200="","⚠ Falta categoría",IF(ISNA(MATCH(D3200,catNom,0)),"⚠ Categoría no existe",IF(E3200="","⚠ Falta cuenta",IF(ISNA(MATCH(E3200,ctaNom,0)),"⚠ Cuenta no existe",IF(AND(OR(I3200="Transferencia",I3200="Pago tarjeta"),G3200=""),"⚠ Indica la cuenta «Hacia»",IF(AND(G3200&lt;&gt;"",G3200=E3200),"⚠ «Hacia» igual a la cuenta",IF(AND(G3200&lt;&gt;"",ISNA(MATCH(G3200,ctaNom,0))),"⚠ «Hacia» no existe",IF(AND(I3200="Pago tarjeta",IFERROR(INDEX(ctaTipo,MATCH(G3200,ctaNom,0)),"")&lt;&gt;"Tarjeta de crédito"),"⚠ «Hacia» debe ser la tarjeta",IF(AND(I3200="Trading",IFERROR(INDEX(ctaTipo,MATCH(E3200,ctaNom,0)),"")&lt;&gt;"Cuenta de trading"),"⚠ Usa la cuenta de trading","✓"))))))))))))</f>
        <v/>
      </c>
      <c r="I3200" s="19">
        <f>IF(OR(B3200="",C3200="",D3200=""),"",IFERROR(INDEX(catTipo,MATCH(D3200,catNom,0))&amp;"",""))</f>
        <v/>
      </c>
      <c r="J3200" s="19">
        <f>IF(I3200="","",IFERROR(INDEX(catGrupo,MATCH(D3200,catNom,0))&amp;"",""))</f>
        <v/>
      </c>
      <c r="K3200" s="19">
        <f>IF(I3200="Gasto",IF(IFERROR(INDEX(catClas,MATCH(D3200,catNom,0))&amp;"","")="","Variable",IFERROR(INDEX(catClas,MATCH(D3200,catNom,0))&amp;"","")),"")</f>
        <v/>
      </c>
      <c r="L3200" s="19">
        <f>IF(I3200="","",IFERROR(INDEX(catAlim,MATCH(D3200,catNom,0))&amp;"",""))</f>
        <v/>
      </c>
      <c r="M3200" s="19">
        <f>IF(I3200="","",IFERROR(INDEX(catComida,MATCH(D3200,catNom,0))&amp;"",""))</f>
        <v/>
      </c>
      <c r="N3200" s="19">
        <f>IF(I3200="","",IFERROR(INDEX(ctaMon,MATCH(E3200,ctaNom,0))&amp;"","DOP"))</f>
        <v/>
      </c>
      <c r="O3200" s="20">
        <f>IF(I3200="","",C3200*IF(N3200="USD",TasaUSD,1))</f>
        <v/>
      </c>
      <c r="P3200" s="20">
        <f>IF(I3200="","",IF(I3200="Gasto",O3200,0))</f>
        <v/>
      </c>
      <c r="Q3200" s="20">
        <f>IF(I3200="","",IF(I3200="Ingreso",O3200,0))</f>
        <v/>
      </c>
      <c r="R3200" s="20">
        <f>IF(I3200="","",IF(I3200="Trading",O3200,0))</f>
        <v/>
      </c>
      <c r="S3200" s="19">
        <f>IF(I3200="","",IF(AND(I3200="Gasto",K3200="Variable",J3200&lt;&gt;"Trading",O3200&gt;0,O3200&lt;=Umbral),1,0))</f>
        <v/>
      </c>
      <c r="T3200" s="20">
        <f>IF(OR(I3200="",E3200=""),"",IF(OR(I3200="Gasto",I3200="Transferencia",I3200="Pago tarjeta"),-1,1)*C3200)</f>
        <v/>
      </c>
      <c r="U3200" s="20">
        <f>IF(OR(G3200="",AND(I3200&lt;&gt;"Transferencia",I3200&lt;&gt;"Pago tarjeta")),"",IF(IFERROR(INDEX(ctaMon,MATCH(G3200,ctaNom,0))&amp;"","DOP")=N3200,C3200,IF(N3200="USD",C3200*TasaUSD,C3200/TasaUSD)))</f>
        <v/>
      </c>
      <c r="V3200" s="20">
        <f>IF(I3200="","",IF(IFERROR(INDEX(ctaLiq,MATCH(E3200,ctaNom,0))="Sí",FALSE),IF(OR(I3200="Gasto",I3200="Transferencia",I3200="Pago tarjeta"),-1,1)*O3200,0)+IF(AND(U3200&lt;&gt;"",IFERROR(INDEX(ctaLiq,MATCH(G3200,ctaNom,0))="Sí",FALSE)),O3200,0))</f>
        <v/>
      </c>
      <c r="W3200" s="19">
        <f>IF(OR(F3200="",I3200=""),"",IF(COUNTIFS(F$6:F3200,F3200,I$6:I3200,"?*")=1,MAX(W$5:W3199)+1,""))</f>
        <v/>
      </c>
    </row>
    <row r="3201">
      <c r="B3201" s="15" t="n"/>
      <c r="C3201" s="16" t="n"/>
      <c r="D3201" s="17" t="n"/>
      <c r="E3201" s="17" t="n"/>
      <c r="F3201" s="17" t="n"/>
      <c r="G3201" s="17" t="n"/>
      <c r="H3201" s="18">
        <f>IF(AND(B3201="",C3201="",D3201="",E3201=""),"",IF(B3201="","⚠ Falta fecha",IF(C3201="","⚠ Falta monto",IF(D3201="","⚠ Falta categoría",IF(ISNA(MATCH(D3201,catNom,0)),"⚠ Categoría no existe",IF(E3201="","⚠ Falta cuenta",IF(ISNA(MATCH(E3201,ctaNom,0)),"⚠ Cuenta no existe",IF(AND(OR(I3201="Transferencia",I3201="Pago tarjeta"),G3201=""),"⚠ Indica la cuenta «Hacia»",IF(AND(G3201&lt;&gt;"",G3201=E3201),"⚠ «Hacia» igual a la cuenta",IF(AND(G3201&lt;&gt;"",ISNA(MATCH(G3201,ctaNom,0))),"⚠ «Hacia» no existe",IF(AND(I3201="Pago tarjeta",IFERROR(INDEX(ctaTipo,MATCH(G3201,ctaNom,0)),"")&lt;&gt;"Tarjeta de crédito"),"⚠ «Hacia» debe ser la tarjeta",IF(AND(I3201="Trading",IFERROR(INDEX(ctaTipo,MATCH(E3201,ctaNom,0)),"")&lt;&gt;"Cuenta de trading"),"⚠ Usa la cuenta de trading","✓"))))))))))))</f>
        <v/>
      </c>
      <c r="I3201" s="19">
        <f>IF(OR(B3201="",C3201="",D3201=""),"",IFERROR(INDEX(catTipo,MATCH(D3201,catNom,0))&amp;"",""))</f>
        <v/>
      </c>
      <c r="J3201" s="19">
        <f>IF(I3201="","",IFERROR(INDEX(catGrupo,MATCH(D3201,catNom,0))&amp;"",""))</f>
        <v/>
      </c>
      <c r="K3201" s="19">
        <f>IF(I3201="Gasto",IF(IFERROR(INDEX(catClas,MATCH(D3201,catNom,0))&amp;"","")="","Variable",IFERROR(INDEX(catClas,MATCH(D3201,catNom,0))&amp;"","")),"")</f>
        <v/>
      </c>
      <c r="L3201" s="19">
        <f>IF(I3201="","",IFERROR(INDEX(catAlim,MATCH(D3201,catNom,0))&amp;"",""))</f>
        <v/>
      </c>
      <c r="M3201" s="19">
        <f>IF(I3201="","",IFERROR(INDEX(catComida,MATCH(D3201,catNom,0))&amp;"",""))</f>
        <v/>
      </c>
      <c r="N3201" s="19">
        <f>IF(I3201="","",IFERROR(INDEX(ctaMon,MATCH(E3201,ctaNom,0))&amp;"","DOP"))</f>
        <v/>
      </c>
      <c r="O3201" s="20">
        <f>IF(I3201="","",C3201*IF(N3201="USD",TasaUSD,1))</f>
        <v/>
      </c>
      <c r="P3201" s="20">
        <f>IF(I3201="","",IF(I3201="Gasto",O3201,0))</f>
        <v/>
      </c>
      <c r="Q3201" s="20">
        <f>IF(I3201="","",IF(I3201="Ingreso",O3201,0))</f>
        <v/>
      </c>
      <c r="R3201" s="20">
        <f>IF(I3201="","",IF(I3201="Trading",O3201,0))</f>
        <v/>
      </c>
      <c r="S3201" s="19">
        <f>IF(I3201="","",IF(AND(I3201="Gasto",K3201="Variable",J3201&lt;&gt;"Trading",O3201&gt;0,O3201&lt;=Umbral),1,0))</f>
        <v/>
      </c>
      <c r="T3201" s="20">
        <f>IF(OR(I3201="",E3201=""),"",IF(OR(I3201="Gasto",I3201="Transferencia",I3201="Pago tarjeta"),-1,1)*C3201)</f>
        <v/>
      </c>
      <c r="U3201" s="20">
        <f>IF(OR(G3201="",AND(I3201&lt;&gt;"Transferencia",I3201&lt;&gt;"Pago tarjeta")),"",IF(IFERROR(INDEX(ctaMon,MATCH(G3201,ctaNom,0))&amp;"","DOP")=N3201,C3201,IF(N3201="USD",C3201*TasaUSD,C3201/TasaUSD)))</f>
        <v/>
      </c>
      <c r="V3201" s="20">
        <f>IF(I3201="","",IF(IFERROR(INDEX(ctaLiq,MATCH(E3201,ctaNom,0))="Sí",FALSE),IF(OR(I3201="Gasto",I3201="Transferencia",I3201="Pago tarjeta"),-1,1)*O3201,0)+IF(AND(U3201&lt;&gt;"",IFERROR(INDEX(ctaLiq,MATCH(G3201,ctaNom,0))="Sí",FALSE)),O3201,0))</f>
        <v/>
      </c>
      <c r="W3201" s="19">
        <f>IF(OR(F3201="",I3201=""),"",IF(COUNTIFS(F$6:F3201,F3201,I$6:I3201,"?*")=1,MAX(W$5:W3200)+1,""))</f>
        <v/>
      </c>
    </row>
    <row r="3202">
      <c r="B3202" s="15" t="n"/>
      <c r="C3202" s="16" t="n"/>
      <c r="D3202" s="17" t="n"/>
      <c r="E3202" s="17" t="n"/>
      <c r="F3202" s="17" t="n"/>
      <c r="G3202" s="17" t="n"/>
      <c r="H3202" s="18">
        <f>IF(AND(B3202="",C3202="",D3202="",E3202=""),"",IF(B3202="","⚠ Falta fecha",IF(C3202="","⚠ Falta monto",IF(D3202="","⚠ Falta categoría",IF(ISNA(MATCH(D3202,catNom,0)),"⚠ Categoría no existe",IF(E3202="","⚠ Falta cuenta",IF(ISNA(MATCH(E3202,ctaNom,0)),"⚠ Cuenta no existe",IF(AND(OR(I3202="Transferencia",I3202="Pago tarjeta"),G3202=""),"⚠ Indica la cuenta «Hacia»",IF(AND(G3202&lt;&gt;"",G3202=E3202),"⚠ «Hacia» igual a la cuenta",IF(AND(G3202&lt;&gt;"",ISNA(MATCH(G3202,ctaNom,0))),"⚠ «Hacia» no existe",IF(AND(I3202="Pago tarjeta",IFERROR(INDEX(ctaTipo,MATCH(G3202,ctaNom,0)),"")&lt;&gt;"Tarjeta de crédito"),"⚠ «Hacia» debe ser la tarjeta",IF(AND(I3202="Trading",IFERROR(INDEX(ctaTipo,MATCH(E3202,ctaNom,0)),"")&lt;&gt;"Cuenta de trading"),"⚠ Usa la cuenta de trading","✓"))))))))))))</f>
        <v/>
      </c>
      <c r="I3202" s="19">
        <f>IF(OR(B3202="",C3202="",D3202=""),"",IFERROR(INDEX(catTipo,MATCH(D3202,catNom,0))&amp;"",""))</f>
        <v/>
      </c>
      <c r="J3202" s="19">
        <f>IF(I3202="","",IFERROR(INDEX(catGrupo,MATCH(D3202,catNom,0))&amp;"",""))</f>
        <v/>
      </c>
      <c r="K3202" s="19">
        <f>IF(I3202="Gasto",IF(IFERROR(INDEX(catClas,MATCH(D3202,catNom,0))&amp;"","")="","Variable",IFERROR(INDEX(catClas,MATCH(D3202,catNom,0))&amp;"","")),"")</f>
        <v/>
      </c>
      <c r="L3202" s="19">
        <f>IF(I3202="","",IFERROR(INDEX(catAlim,MATCH(D3202,catNom,0))&amp;"",""))</f>
        <v/>
      </c>
      <c r="M3202" s="19">
        <f>IF(I3202="","",IFERROR(INDEX(catComida,MATCH(D3202,catNom,0))&amp;"",""))</f>
        <v/>
      </c>
      <c r="N3202" s="19">
        <f>IF(I3202="","",IFERROR(INDEX(ctaMon,MATCH(E3202,ctaNom,0))&amp;"","DOP"))</f>
        <v/>
      </c>
      <c r="O3202" s="20">
        <f>IF(I3202="","",C3202*IF(N3202="USD",TasaUSD,1))</f>
        <v/>
      </c>
      <c r="P3202" s="20">
        <f>IF(I3202="","",IF(I3202="Gasto",O3202,0))</f>
        <v/>
      </c>
      <c r="Q3202" s="20">
        <f>IF(I3202="","",IF(I3202="Ingreso",O3202,0))</f>
        <v/>
      </c>
      <c r="R3202" s="20">
        <f>IF(I3202="","",IF(I3202="Trading",O3202,0))</f>
        <v/>
      </c>
      <c r="S3202" s="19">
        <f>IF(I3202="","",IF(AND(I3202="Gasto",K3202="Variable",J3202&lt;&gt;"Trading",O3202&gt;0,O3202&lt;=Umbral),1,0))</f>
        <v/>
      </c>
      <c r="T3202" s="20">
        <f>IF(OR(I3202="",E3202=""),"",IF(OR(I3202="Gasto",I3202="Transferencia",I3202="Pago tarjeta"),-1,1)*C3202)</f>
        <v/>
      </c>
      <c r="U3202" s="20">
        <f>IF(OR(G3202="",AND(I3202&lt;&gt;"Transferencia",I3202&lt;&gt;"Pago tarjeta")),"",IF(IFERROR(INDEX(ctaMon,MATCH(G3202,ctaNom,0))&amp;"","DOP")=N3202,C3202,IF(N3202="USD",C3202*TasaUSD,C3202/TasaUSD)))</f>
        <v/>
      </c>
      <c r="V3202" s="20">
        <f>IF(I3202="","",IF(IFERROR(INDEX(ctaLiq,MATCH(E3202,ctaNom,0))="Sí",FALSE),IF(OR(I3202="Gasto",I3202="Transferencia",I3202="Pago tarjeta"),-1,1)*O3202,0)+IF(AND(U3202&lt;&gt;"",IFERROR(INDEX(ctaLiq,MATCH(G3202,ctaNom,0))="Sí",FALSE)),O3202,0))</f>
        <v/>
      </c>
      <c r="W3202" s="19">
        <f>IF(OR(F3202="",I3202=""),"",IF(COUNTIFS(F$6:F3202,F3202,I$6:I3202,"?*")=1,MAX(W$5:W3201)+1,""))</f>
        <v/>
      </c>
    </row>
    <row r="3203">
      <c r="B3203" s="15" t="n"/>
      <c r="C3203" s="16" t="n"/>
      <c r="D3203" s="17" t="n"/>
      <c r="E3203" s="17" t="n"/>
      <c r="F3203" s="17" t="n"/>
      <c r="G3203" s="17" t="n"/>
      <c r="H3203" s="18">
        <f>IF(AND(B3203="",C3203="",D3203="",E3203=""),"",IF(B3203="","⚠ Falta fecha",IF(C3203="","⚠ Falta monto",IF(D3203="","⚠ Falta categoría",IF(ISNA(MATCH(D3203,catNom,0)),"⚠ Categoría no existe",IF(E3203="","⚠ Falta cuenta",IF(ISNA(MATCH(E3203,ctaNom,0)),"⚠ Cuenta no existe",IF(AND(OR(I3203="Transferencia",I3203="Pago tarjeta"),G3203=""),"⚠ Indica la cuenta «Hacia»",IF(AND(G3203&lt;&gt;"",G3203=E3203),"⚠ «Hacia» igual a la cuenta",IF(AND(G3203&lt;&gt;"",ISNA(MATCH(G3203,ctaNom,0))),"⚠ «Hacia» no existe",IF(AND(I3203="Pago tarjeta",IFERROR(INDEX(ctaTipo,MATCH(G3203,ctaNom,0)),"")&lt;&gt;"Tarjeta de crédito"),"⚠ «Hacia» debe ser la tarjeta",IF(AND(I3203="Trading",IFERROR(INDEX(ctaTipo,MATCH(E3203,ctaNom,0)),"")&lt;&gt;"Cuenta de trading"),"⚠ Usa la cuenta de trading","✓"))))))))))))</f>
        <v/>
      </c>
      <c r="I3203" s="19">
        <f>IF(OR(B3203="",C3203="",D3203=""),"",IFERROR(INDEX(catTipo,MATCH(D3203,catNom,0))&amp;"",""))</f>
        <v/>
      </c>
      <c r="J3203" s="19">
        <f>IF(I3203="","",IFERROR(INDEX(catGrupo,MATCH(D3203,catNom,0))&amp;"",""))</f>
        <v/>
      </c>
      <c r="K3203" s="19">
        <f>IF(I3203="Gasto",IF(IFERROR(INDEX(catClas,MATCH(D3203,catNom,0))&amp;"","")="","Variable",IFERROR(INDEX(catClas,MATCH(D3203,catNom,0))&amp;"","")),"")</f>
        <v/>
      </c>
      <c r="L3203" s="19">
        <f>IF(I3203="","",IFERROR(INDEX(catAlim,MATCH(D3203,catNom,0))&amp;"",""))</f>
        <v/>
      </c>
      <c r="M3203" s="19">
        <f>IF(I3203="","",IFERROR(INDEX(catComida,MATCH(D3203,catNom,0))&amp;"",""))</f>
        <v/>
      </c>
      <c r="N3203" s="19">
        <f>IF(I3203="","",IFERROR(INDEX(ctaMon,MATCH(E3203,ctaNom,0))&amp;"","DOP"))</f>
        <v/>
      </c>
      <c r="O3203" s="20">
        <f>IF(I3203="","",C3203*IF(N3203="USD",TasaUSD,1))</f>
        <v/>
      </c>
      <c r="P3203" s="20">
        <f>IF(I3203="","",IF(I3203="Gasto",O3203,0))</f>
        <v/>
      </c>
      <c r="Q3203" s="20">
        <f>IF(I3203="","",IF(I3203="Ingreso",O3203,0))</f>
        <v/>
      </c>
      <c r="R3203" s="20">
        <f>IF(I3203="","",IF(I3203="Trading",O3203,0))</f>
        <v/>
      </c>
      <c r="S3203" s="19">
        <f>IF(I3203="","",IF(AND(I3203="Gasto",K3203="Variable",J3203&lt;&gt;"Trading",O3203&gt;0,O3203&lt;=Umbral),1,0))</f>
        <v/>
      </c>
      <c r="T3203" s="20">
        <f>IF(OR(I3203="",E3203=""),"",IF(OR(I3203="Gasto",I3203="Transferencia",I3203="Pago tarjeta"),-1,1)*C3203)</f>
        <v/>
      </c>
      <c r="U3203" s="20">
        <f>IF(OR(G3203="",AND(I3203&lt;&gt;"Transferencia",I3203&lt;&gt;"Pago tarjeta")),"",IF(IFERROR(INDEX(ctaMon,MATCH(G3203,ctaNom,0))&amp;"","DOP")=N3203,C3203,IF(N3203="USD",C3203*TasaUSD,C3203/TasaUSD)))</f>
        <v/>
      </c>
      <c r="V3203" s="20">
        <f>IF(I3203="","",IF(IFERROR(INDEX(ctaLiq,MATCH(E3203,ctaNom,0))="Sí",FALSE),IF(OR(I3203="Gasto",I3203="Transferencia",I3203="Pago tarjeta"),-1,1)*O3203,0)+IF(AND(U3203&lt;&gt;"",IFERROR(INDEX(ctaLiq,MATCH(G3203,ctaNom,0))="Sí",FALSE)),O3203,0))</f>
        <v/>
      </c>
      <c r="W3203" s="19">
        <f>IF(OR(F3203="",I3203=""),"",IF(COUNTIFS(F$6:F3203,F3203,I$6:I3203,"?*")=1,MAX(W$5:W3202)+1,""))</f>
        <v/>
      </c>
    </row>
    <row r="3204">
      <c r="B3204" s="15" t="n"/>
      <c r="C3204" s="16" t="n"/>
      <c r="D3204" s="17" t="n"/>
      <c r="E3204" s="17" t="n"/>
      <c r="F3204" s="17" t="n"/>
      <c r="G3204" s="17" t="n"/>
      <c r="H3204" s="18">
        <f>IF(AND(B3204="",C3204="",D3204="",E3204=""),"",IF(B3204="","⚠ Falta fecha",IF(C3204="","⚠ Falta monto",IF(D3204="","⚠ Falta categoría",IF(ISNA(MATCH(D3204,catNom,0)),"⚠ Categoría no existe",IF(E3204="","⚠ Falta cuenta",IF(ISNA(MATCH(E3204,ctaNom,0)),"⚠ Cuenta no existe",IF(AND(OR(I3204="Transferencia",I3204="Pago tarjeta"),G3204=""),"⚠ Indica la cuenta «Hacia»",IF(AND(G3204&lt;&gt;"",G3204=E3204),"⚠ «Hacia» igual a la cuenta",IF(AND(G3204&lt;&gt;"",ISNA(MATCH(G3204,ctaNom,0))),"⚠ «Hacia» no existe",IF(AND(I3204="Pago tarjeta",IFERROR(INDEX(ctaTipo,MATCH(G3204,ctaNom,0)),"")&lt;&gt;"Tarjeta de crédito"),"⚠ «Hacia» debe ser la tarjeta",IF(AND(I3204="Trading",IFERROR(INDEX(ctaTipo,MATCH(E3204,ctaNom,0)),"")&lt;&gt;"Cuenta de trading"),"⚠ Usa la cuenta de trading","✓"))))))))))))</f>
        <v/>
      </c>
      <c r="I3204" s="19">
        <f>IF(OR(B3204="",C3204="",D3204=""),"",IFERROR(INDEX(catTipo,MATCH(D3204,catNom,0))&amp;"",""))</f>
        <v/>
      </c>
      <c r="J3204" s="19">
        <f>IF(I3204="","",IFERROR(INDEX(catGrupo,MATCH(D3204,catNom,0))&amp;"",""))</f>
        <v/>
      </c>
      <c r="K3204" s="19">
        <f>IF(I3204="Gasto",IF(IFERROR(INDEX(catClas,MATCH(D3204,catNom,0))&amp;"","")="","Variable",IFERROR(INDEX(catClas,MATCH(D3204,catNom,0))&amp;"","")),"")</f>
        <v/>
      </c>
      <c r="L3204" s="19">
        <f>IF(I3204="","",IFERROR(INDEX(catAlim,MATCH(D3204,catNom,0))&amp;"",""))</f>
        <v/>
      </c>
      <c r="M3204" s="19">
        <f>IF(I3204="","",IFERROR(INDEX(catComida,MATCH(D3204,catNom,0))&amp;"",""))</f>
        <v/>
      </c>
      <c r="N3204" s="19">
        <f>IF(I3204="","",IFERROR(INDEX(ctaMon,MATCH(E3204,ctaNom,0))&amp;"","DOP"))</f>
        <v/>
      </c>
      <c r="O3204" s="20">
        <f>IF(I3204="","",C3204*IF(N3204="USD",TasaUSD,1))</f>
        <v/>
      </c>
      <c r="P3204" s="20">
        <f>IF(I3204="","",IF(I3204="Gasto",O3204,0))</f>
        <v/>
      </c>
      <c r="Q3204" s="20">
        <f>IF(I3204="","",IF(I3204="Ingreso",O3204,0))</f>
        <v/>
      </c>
      <c r="R3204" s="20">
        <f>IF(I3204="","",IF(I3204="Trading",O3204,0))</f>
        <v/>
      </c>
      <c r="S3204" s="19">
        <f>IF(I3204="","",IF(AND(I3204="Gasto",K3204="Variable",J3204&lt;&gt;"Trading",O3204&gt;0,O3204&lt;=Umbral),1,0))</f>
        <v/>
      </c>
      <c r="T3204" s="20">
        <f>IF(OR(I3204="",E3204=""),"",IF(OR(I3204="Gasto",I3204="Transferencia",I3204="Pago tarjeta"),-1,1)*C3204)</f>
        <v/>
      </c>
      <c r="U3204" s="20">
        <f>IF(OR(G3204="",AND(I3204&lt;&gt;"Transferencia",I3204&lt;&gt;"Pago tarjeta")),"",IF(IFERROR(INDEX(ctaMon,MATCH(G3204,ctaNom,0))&amp;"","DOP")=N3204,C3204,IF(N3204="USD",C3204*TasaUSD,C3204/TasaUSD)))</f>
        <v/>
      </c>
      <c r="V3204" s="20">
        <f>IF(I3204="","",IF(IFERROR(INDEX(ctaLiq,MATCH(E3204,ctaNom,0))="Sí",FALSE),IF(OR(I3204="Gasto",I3204="Transferencia",I3204="Pago tarjeta"),-1,1)*O3204,0)+IF(AND(U3204&lt;&gt;"",IFERROR(INDEX(ctaLiq,MATCH(G3204,ctaNom,0))="Sí",FALSE)),O3204,0))</f>
        <v/>
      </c>
      <c r="W3204" s="19">
        <f>IF(OR(F3204="",I3204=""),"",IF(COUNTIFS(F$6:F3204,F3204,I$6:I3204,"?*")=1,MAX(W$5:W3203)+1,""))</f>
        <v/>
      </c>
    </row>
    <row r="3205">
      <c r="B3205" s="15" t="n"/>
      <c r="C3205" s="16" t="n"/>
      <c r="D3205" s="17" t="n"/>
      <c r="E3205" s="17" t="n"/>
      <c r="F3205" s="17" t="n"/>
      <c r="G3205" s="17" t="n"/>
      <c r="H3205" s="18">
        <f>IF(AND(B3205="",C3205="",D3205="",E3205=""),"",IF(B3205="","⚠ Falta fecha",IF(C3205="","⚠ Falta monto",IF(D3205="","⚠ Falta categoría",IF(ISNA(MATCH(D3205,catNom,0)),"⚠ Categoría no existe",IF(E3205="","⚠ Falta cuenta",IF(ISNA(MATCH(E3205,ctaNom,0)),"⚠ Cuenta no existe",IF(AND(OR(I3205="Transferencia",I3205="Pago tarjeta"),G3205=""),"⚠ Indica la cuenta «Hacia»",IF(AND(G3205&lt;&gt;"",G3205=E3205),"⚠ «Hacia» igual a la cuenta",IF(AND(G3205&lt;&gt;"",ISNA(MATCH(G3205,ctaNom,0))),"⚠ «Hacia» no existe",IF(AND(I3205="Pago tarjeta",IFERROR(INDEX(ctaTipo,MATCH(G3205,ctaNom,0)),"")&lt;&gt;"Tarjeta de crédito"),"⚠ «Hacia» debe ser la tarjeta",IF(AND(I3205="Trading",IFERROR(INDEX(ctaTipo,MATCH(E3205,ctaNom,0)),"")&lt;&gt;"Cuenta de trading"),"⚠ Usa la cuenta de trading","✓"))))))))))))</f>
        <v/>
      </c>
      <c r="I3205" s="19">
        <f>IF(OR(B3205="",C3205="",D3205=""),"",IFERROR(INDEX(catTipo,MATCH(D3205,catNom,0))&amp;"",""))</f>
        <v/>
      </c>
      <c r="J3205" s="19">
        <f>IF(I3205="","",IFERROR(INDEX(catGrupo,MATCH(D3205,catNom,0))&amp;"",""))</f>
        <v/>
      </c>
      <c r="K3205" s="19">
        <f>IF(I3205="Gasto",IF(IFERROR(INDEX(catClas,MATCH(D3205,catNom,0))&amp;"","")="","Variable",IFERROR(INDEX(catClas,MATCH(D3205,catNom,0))&amp;"","")),"")</f>
        <v/>
      </c>
      <c r="L3205" s="19">
        <f>IF(I3205="","",IFERROR(INDEX(catAlim,MATCH(D3205,catNom,0))&amp;"",""))</f>
        <v/>
      </c>
      <c r="M3205" s="19">
        <f>IF(I3205="","",IFERROR(INDEX(catComida,MATCH(D3205,catNom,0))&amp;"",""))</f>
        <v/>
      </c>
      <c r="N3205" s="19">
        <f>IF(I3205="","",IFERROR(INDEX(ctaMon,MATCH(E3205,ctaNom,0))&amp;"","DOP"))</f>
        <v/>
      </c>
      <c r="O3205" s="20">
        <f>IF(I3205="","",C3205*IF(N3205="USD",TasaUSD,1))</f>
        <v/>
      </c>
      <c r="P3205" s="20">
        <f>IF(I3205="","",IF(I3205="Gasto",O3205,0))</f>
        <v/>
      </c>
      <c r="Q3205" s="20">
        <f>IF(I3205="","",IF(I3205="Ingreso",O3205,0))</f>
        <v/>
      </c>
      <c r="R3205" s="20">
        <f>IF(I3205="","",IF(I3205="Trading",O3205,0))</f>
        <v/>
      </c>
      <c r="S3205" s="19">
        <f>IF(I3205="","",IF(AND(I3205="Gasto",K3205="Variable",J3205&lt;&gt;"Trading",O3205&gt;0,O3205&lt;=Umbral),1,0))</f>
        <v/>
      </c>
      <c r="T3205" s="20">
        <f>IF(OR(I3205="",E3205=""),"",IF(OR(I3205="Gasto",I3205="Transferencia",I3205="Pago tarjeta"),-1,1)*C3205)</f>
        <v/>
      </c>
      <c r="U3205" s="20">
        <f>IF(OR(G3205="",AND(I3205&lt;&gt;"Transferencia",I3205&lt;&gt;"Pago tarjeta")),"",IF(IFERROR(INDEX(ctaMon,MATCH(G3205,ctaNom,0))&amp;"","DOP")=N3205,C3205,IF(N3205="USD",C3205*TasaUSD,C3205/TasaUSD)))</f>
        <v/>
      </c>
      <c r="V3205" s="20">
        <f>IF(I3205="","",IF(IFERROR(INDEX(ctaLiq,MATCH(E3205,ctaNom,0))="Sí",FALSE),IF(OR(I3205="Gasto",I3205="Transferencia",I3205="Pago tarjeta"),-1,1)*O3205,0)+IF(AND(U3205&lt;&gt;"",IFERROR(INDEX(ctaLiq,MATCH(G3205,ctaNom,0))="Sí",FALSE)),O3205,0))</f>
        <v/>
      </c>
      <c r="W3205" s="19">
        <f>IF(OR(F3205="",I3205=""),"",IF(COUNTIFS(F$6:F3205,F3205,I$6:I3205,"?*")=1,MAX(W$5:W3204)+1,""))</f>
        <v/>
      </c>
    </row>
    <row r="3206">
      <c r="B3206" s="15" t="n"/>
      <c r="C3206" s="16" t="n"/>
      <c r="D3206" s="17" t="n"/>
      <c r="E3206" s="17" t="n"/>
      <c r="F3206" s="17" t="n"/>
      <c r="G3206" s="17" t="n"/>
      <c r="H3206" s="18">
        <f>IF(AND(B3206="",C3206="",D3206="",E3206=""),"",IF(B3206="","⚠ Falta fecha",IF(C3206="","⚠ Falta monto",IF(D3206="","⚠ Falta categoría",IF(ISNA(MATCH(D3206,catNom,0)),"⚠ Categoría no existe",IF(E3206="","⚠ Falta cuenta",IF(ISNA(MATCH(E3206,ctaNom,0)),"⚠ Cuenta no existe",IF(AND(OR(I3206="Transferencia",I3206="Pago tarjeta"),G3206=""),"⚠ Indica la cuenta «Hacia»",IF(AND(G3206&lt;&gt;"",G3206=E3206),"⚠ «Hacia» igual a la cuenta",IF(AND(G3206&lt;&gt;"",ISNA(MATCH(G3206,ctaNom,0))),"⚠ «Hacia» no existe",IF(AND(I3206="Pago tarjeta",IFERROR(INDEX(ctaTipo,MATCH(G3206,ctaNom,0)),"")&lt;&gt;"Tarjeta de crédito"),"⚠ «Hacia» debe ser la tarjeta",IF(AND(I3206="Trading",IFERROR(INDEX(ctaTipo,MATCH(E3206,ctaNom,0)),"")&lt;&gt;"Cuenta de trading"),"⚠ Usa la cuenta de trading","✓"))))))))))))</f>
        <v/>
      </c>
      <c r="I3206" s="19">
        <f>IF(OR(B3206="",C3206="",D3206=""),"",IFERROR(INDEX(catTipo,MATCH(D3206,catNom,0))&amp;"",""))</f>
        <v/>
      </c>
      <c r="J3206" s="19">
        <f>IF(I3206="","",IFERROR(INDEX(catGrupo,MATCH(D3206,catNom,0))&amp;"",""))</f>
        <v/>
      </c>
      <c r="K3206" s="19">
        <f>IF(I3206="Gasto",IF(IFERROR(INDEX(catClas,MATCH(D3206,catNom,0))&amp;"","")="","Variable",IFERROR(INDEX(catClas,MATCH(D3206,catNom,0))&amp;"","")),"")</f>
        <v/>
      </c>
      <c r="L3206" s="19">
        <f>IF(I3206="","",IFERROR(INDEX(catAlim,MATCH(D3206,catNom,0))&amp;"",""))</f>
        <v/>
      </c>
      <c r="M3206" s="19">
        <f>IF(I3206="","",IFERROR(INDEX(catComida,MATCH(D3206,catNom,0))&amp;"",""))</f>
        <v/>
      </c>
      <c r="N3206" s="19">
        <f>IF(I3206="","",IFERROR(INDEX(ctaMon,MATCH(E3206,ctaNom,0))&amp;"","DOP"))</f>
        <v/>
      </c>
      <c r="O3206" s="20">
        <f>IF(I3206="","",C3206*IF(N3206="USD",TasaUSD,1))</f>
        <v/>
      </c>
      <c r="P3206" s="20">
        <f>IF(I3206="","",IF(I3206="Gasto",O3206,0))</f>
        <v/>
      </c>
      <c r="Q3206" s="20">
        <f>IF(I3206="","",IF(I3206="Ingreso",O3206,0))</f>
        <v/>
      </c>
      <c r="R3206" s="20">
        <f>IF(I3206="","",IF(I3206="Trading",O3206,0))</f>
        <v/>
      </c>
      <c r="S3206" s="19">
        <f>IF(I3206="","",IF(AND(I3206="Gasto",K3206="Variable",J3206&lt;&gt;"Trading",O3206&gt;0,O3206&lt;=Umbral),1,0))</f>
        <v/>
      </c>
      <c r="T3206" s="20">
        <f>IF(OR(I3206="",E3206=""),"",IF(OR(I3206="Gasto",I3206="Transferencia",I3206="Pago tarjeta"),-1,1)*C3206)</f>
        <v/>
      </c>
      <c r="U3206" s="20">
        <f>IF(OR(G3206="",AND(I3206&lt;&gt;"Transferencia",I3206&lt;&gt;"Pago tarjeta")),"",IF(IFERROR(INDEX(ctaMon,MATCH(G3206,ctaNom,0))&amp;"","DOP")=N3206,C3206,IF(N3206="USD",C3206*TasaUSD,C3206/TasaUSD)))</f>
        <v/>
      </c>
      <c r="V3206" s="20">
        <f>IF(I3206="","",IF(IFERROR(INDEX(ctaLiq,MATCH(E3206,ctaNom,0))="Sí",FALSE),IF(OR(I3206="Gasto",I3206="Transferencia",I3206="Pago tarjeta"),-1,1)*O3206,0)+IF(AND(U3206&lt;&gt;"",IFERROR(INDEX(ctaLiq,MATCH(G3206,ctaNom,0))="Sí",FALSE)),O3206,0))</f>
        <v/>
      </c>
      <c r="W3206" s="19">
        <f>IF(OR(F3206="",I3206=""),"",IF(COUNTIFS(F$6:F3206,F3206,I$6:I3206,"?*")=1,MAX(W$5:W3205)+1,""))</f>
        <v/>
      </c>
    </row>
    <row r="3207">
      <c r="B3207" s="15" t="n"/>
      <c r="C3207" s="16" t="n"/>
      <c r="D3207" s="17" t="n"/>
      <c r="E3207" s="17" t="n"/>
      <c r="F3207" s="17" t="n"/>
      <c r="G3207" s="17" t="n"/>
      <c r="H3207" s="18">
        <f>IF(AND(B3207="",C3207="",D3207="",E3207=""),"",IF(B3207="","⚠ Falta fecha",IF(C3207="","⚠ Falta monto",IF(D3207="","⚠ Falta categoría",IF(ISNA(MATCH(D3207,catNom,0)),"⚠ Categoría no existe",IF(E3207="","⚠ Falta cuenta",IF(ISNA(MATCH(E3207,ctaNom,0)),"⚠ Cuenta no existe",IF(AND(OR(I3207="Transferencia",I3207="Pago tarjeta"),G3207=""),"⚠ Indica la cuenta «Hacia»",IF(AND(G3207&lt;&gt;"",G3207=E3207),"⚠ «Hacia» igual a la cuenta",IF(AND(G3207&lt;&gt;"",ISNA(MATCH(G3207,ctaNom,0))),"⚠ «Hacia» no existe",IF(AND(I3207="Pago tarjeta",IFERROR(INDEX(ctaTipo,MATCH(G3207,ctaNom,0)),"")&lt;&gt;"Tarjeta de crédito"),"⚠ «Hacia» debe ser la tarjeta",IF(AND(I3207="Trading",IFERROR(INDEX(ctaTipo,MATCH(E3207,ctaNom,0)),"")&lt;&gt;"Cuenta de trading"),"⚠ Usa la cuenta de trading","✓"))))))))))))</f>
        <v/>
      </c>
      <c r="I3207" s="19">
        <f>IF(OR(B3207="",C3207="",D3207=""),"",IFERROR(INDEX(catTipo,MATCH(D3207,catNom,0))&amp;"",""))</f>
        <v/>
      </c>
      <c r="J3207" s="19">
        <f>IF(I3207="","",IFERROR(INDEX(catGrupo,MATCH(D3207,catNom,0))&amp;"",""))</f>
        <v/>
      </c>
      <c r="K3207" s="19">
        <f>IF(I3207="Gasto",IF(IFERROR(INDEX(catClas,MATCH(D3207,catNom,0))&amp;"","")="","Variable",IFERROR(INDEX(catClas,MATCH(D3207,catNom,0))&amp;"","")),"")</f>
        <v/>
      </c>
      <c r="L3207" s="19">
        <f>IF(I3207="","",IFERROR(INDEX(catAlim,MATCH(D3207,catNom,0))&amp;"",""))</f>
        <v/>
      </c>
      <c r="M3207" s="19">
        <f>IF(I3207="","",IFERROR(INDEX(catComida,MATCH(D3207,catNom,0))&amp;"",""))</f>
        <v/>
      </c>
      <c r="N3207" s="19">
        <f>IF(I3207="","",IFERROR(INDEX(ctaMon,MATCH(E3207,ctaNom,0))&amp;"","DOP"))</f>
        <v/>
      </c>
      <c r="O3207" s="20">
        <f>IF(I3207="","",C3207*IF(N3207="USD",TasaUSD,1))</f>
        <v/>
      </c>
      <c r="P3207" s="20">
        <f>IF(I3207="","",IF(I3207="Gasto",O3207,0))</f>
        <v/>
      </c>
      <c r="Q3207" s="20">
        <f>IF(I3207="","",IF(I3207="Ingreso",O3207,0))</f>
        <v/>
      </c>
      <c r="R3207" s="20">
        <f>IF(I3207="","",IF(I3207="Trading",O3207,0))</f>
        <v/>
      </c>
      <c r="S3207" s="19">
        <f>IF(I3207="","",IF(AND(I3207="Gasto",K3207="Variable",J3207&lt;&gt;"Trading",O3207&gt;0,O3207&lt;=Umbral),1,0))</f>
        <v/>
      </c>
      <c r="T3207" s="20">
        <f>IF(OR(I3207="",E3207=""),"",IF(OR(I3207="Gasto",I3207="Transferencia",I3207="Pago tarjeta"),-1,1)*C3207)</f>
        <v/>
      </c>
      <c r="U3207" s="20">
        <f>IF(OR(G3207="",AND(I3207&lt;&gt;"Transferencia",I3207&lt;&gt;"Pago tarjeta")),"",IF(IFERROR(INDEX(ctaMon,MATCH(G3207,ctaNom,0))&amp;"","DOP")=N3207,C3207,IF(N3207="USD",C3207*TasaUSD,C3207/TasaUSD)))</f>
        <v/>
      </c>
      <c r="V3207" s="20">
        <f>IF(I3207="","",IF(IFERROR(INDEX(ctaLiq,MATCH(E3207,ctaNom,0))="Sí",FALSE),IF(OR(I3207="Gasto",I3207="Transferencia",I3207="Pago tarjeta"),-1,1)*O3207,0)+IF(AND(U3207&lt;&gt;"",IFERROR(INDEX(ctaLiq,MATCH(G3207,ctaNom,0))="Sí",FALSE)),O3207,0))</f>
        <v/>
      </c>
      <c r="W3207" s="19">
        <f>IF(OR(F3207="",I3207=""),"",IF(COUNTIFS(F$6:F3207,F3207,I$6:I3207,"?*")=1,MAX(W$5:W3206)+1,""))</f>
        <v/>
      </c>
    </row>
    <row r="3208">
      <c r="B3208" s="15" t="n"/>
      <c r="C3208" s="16" t="n"/>
      <c r="D3208" s="17" t="n"/>
      <c r="E3208" s="17" t="n"/>
      <c r="F3208" s="17" t="n"/>
      <c r="G3208" s="17" t="n"/>
      <c r="H3208" s="18">
        <f>IF(AND(B3208="",C3208="",D3208="",E3208=""),"",IF(B3208="","⚠ Falta fecha",IF(C3208="","⚠ Falta monto",IF(D3208="","⚠ Falta categoría",IF(ISNA(MATCH(D3208,catNom,0)),"⚠ Categoría no existe",IF(E3208="","⚠ Falta cuenta",IF(ISNA(MATCH(E3208,ctaNom,0)),"⚠ Cuenta no existe",IF(AND(OR(I3208="Transferencia",I3208="Pago tarjeta"),G3208=""),"⚠ Indica la cuenta «Hacia»",IF(AND(G3208&lt;&gt;"",G3208=E3208),"⚠ «Hacia» igual a la cuenta",IF(AND(G3208&lt;&gt;"",ISNA(MATCH(G3208,ctaNom,0))),"⚠ «Hacia» no existe",IF(AND(I3208="Pago tarjeta",IFERROR(INDEX(ctaTipo,MATCH(G3208,ctaNom,0)),"")&lt;&gt;"Tarjeta de crédito"),"⚠ «Hacia» debe ser la tarjeta",IF(AND(I3208="Trading",IFERROR(INDEX(ctaTipo,MATCH(E3208,ctaNom,0)),"")&lt;&gt;"Cuenta de trading"),"⚠ Usa la cuenta de trading","✓"))))))))))))</f>
        <v/>
      </c>
      <c r="I3208" s="19">
        <f>IF(OR(B3208="",C3208="",D3208=""),"",IFERROR(INDEX(catTipo,MATCH(D3208,catNom,0))&amp;"",""))</f>
        <v/>
      </c>
      <c r="J3208" s="19">
        <f>IF(I3208="","",IFERROR(INDEX(catGrupo,MATCH(D3208,catNom,0))&amp;"",""))</f>
        <v/>
      </c>
      <c r="K3208" s="19">
        <f>IF(I3208="Gasto",IF(IFERROR(INDEX(catClas,MATCH(D3208,catNom,0))&amp;"","")="","Variable",IFERROR(INDEX(catClas,MATCH(D3208,catNom,0))&amp;"","")),"")</f>
        <v/>
      </c>
      <c r="L3208" s="19">
        <f>IF(I3208="","",IFERROR(INDEX(catAlim,MATCH(D3208,catNom,0))&amp;"",""))</f>
        <v/>
      </c>
      <c r="M3208" s="19">
        <f>IF(I3208="","",IFERROR(INDEX(catComida,MATCH(D3208,catNom,0))&amp;"",""))</f>
        <v/>
      </c>
      <c r="N3208" s="19">
        <f>IF(I3208="","",IFERROR(INDEX(ctaMon,MATCH(E3208,ctaNom,0))&amp;"","DOP"))</f>
        <v/>
      </c>
      <c r="O3208" s="20">
        <f>IF(I3208="","",C3208*IF(N3208="USD",TasaUSD,1))</f>
        <v/>
      </c>
      <c r="P3208" s="20">
        <f>IF(I3208="","",IF(I3208="Gasto",O3208,0))</f>
        <v/>
      </c>
      <c r="Q3208" s="20">
        <f>IF(I3208="","",IF(I3208="Ingreso",O3208,0))</f>
        <v/>
      </c>
      <c r="R3208" s="20">
        <f>IF(I3208="","",IF(I3208="Trading",O3208,0))</f>
        <v/>
      </c>
      <c r="S3208" s="19">
        <f>IF(I3208="","",IF(AND(I3208="Gasto",K3208="Variable",J3208&lt;&gt;"Trading",O3208&gt;0,O3208&lt;=Umbral),1,0))</f>
        <v/>
      </c>
      <c r="T3208" s="20">
        <f>IF(OR(I3208="",E3208=""),"",IF(OR(I3208="Gasto",I3208="Transferencia",I3208="Pago tarjeta"),-1,1)*C3208)</f>
        <v/>
      </c>
      <c r="U3208" s="20">
        <f>IF(OR(G3208="",AND(I3208&lt;&gt;"Transferencia",I3208&lt;&gt;"Pago tarjeta")),"",IF(IFERROR(INDEX(ctaMon,MATCH(G3208,ctaNom,0))&amp;"","DOP")=N3208,C3208,IF(N3208="USD",C3208*TasaUSD,C3208/TasaUSD)))</f>
        <v/>
      </c>
      <c r="V3208" s="20">
        <f>IF(I3208="","",IF(IFERROR(INDEX(ctaLiq,MATCH(E3208,ctaNom,0))="Sí",FALSE),IF(OR(I3208="Gasto",I3208="Transferencia",I3208="Pago tarjeta"),-1,1)*O3208,0)+IF(AND(U3208&lt;&gt;"",IFERROR(INDEX(ctaLiq,MATCH(G3208,ctaNom,0))="Sí",FALSE)),O3208,0))</f>
        <v/>
      </c>
      <c r="W3208" s="19">
        <f>IF(OR(F3208="",I3208=""),"",IF(COUNTIFS(F$6:F3208,F3208,I$6:I3208,"?*")=1,MAX(W$5:W3207)+1,""))</f>
        <v/>
      </c>
    </row>
    <row r="3209">
      <c r="B3209" s="15" t="n"/>
      <c r="C3209" s="16" t="n"/>
      <c r="D3209" s="17" t="n"/>
      <c r="E3209" s="17" t="n"/>
      <c r="F3209" s="17" t="n"/>
      <c r="G3209" s="17" t="n"/>
      <c r="H3209" s="18">
        <f>IF(AND(B3209="",C3209="",D3209="",E3209=""),"",IF(B3209="","⚠ Falta fecha",IF(C3209="","⚠ Falta monto",IF(D3209="","⚠ Falta categoría",IF(ISNA(MATCH(D3209,catNom,0)),"⚠ Categoría no existe",IF(E3209="","⚠ Falta cuenta",IF(ISNA(MATCH(E3209,ctaNom,0)),"⚠ Cuenta no existe",IF(AND(OR(I3209="Transferencia",I3209="Pago tarjeta"),G3209=""),"⚠ Indica la cuenta «Hacia»",IF(AND(G3209&lt;&gt;"",G3209=E3209),"⚠ «Hacia» igual a la cuenta",IF(AND(G3209&lt;&gt;"",ISNA(MATCH(G3209,ctaNom,0))),"⚠ «Hacia» no existe",IF(AND(I3209="Pago tarjeta",IFERROR(INDEX(ctaTipo,MATCH(G3209,ctaNom,0)),"")&lt;&gt;"Tarjeta de crédito"),"⚠ «Hacia» debe ser la tarjeta",IF(AND(I3209="Trading",IFERROR(INDEX(ctaTipo,MATCH(E3209,ctaNom,0)),"")&lt;&gt;"Cuenta de trading"),"⚠ Usa la cuenta de trading","✓"))))))))))))</f>
        <v/>
      </c>
      <c r="I3209" s="19">
        <f>IF(OR(B3209="",C3209="",D3209=""),"",IFERROR(INDEX(catTipo,MATCH(D3209,catNom,0))&amp;"",""))</f>
        <v/>
      </c>
      <c r="J3209" s="19">
        <f>IF(I3209="","",IFERROR(INDEX(catGrupo,MATCH(D3209,catNom,0))&amp;"",""))</f>
        <v/>
      </c>
      <c r="K3209" s="19">
        <f>IF(I3209="Gasto",IF(IFERROR(INDEX(catClas,MATCH(D3209,catNom,0))&amp;"","")="","Variable",IFERROR(INDEX(catClas,MATCH(D3209,catNom,0))&amp;"","")),"")</f>
        <v/>
      </c>
      <c r="L3209" s="19">
        <f>IF(I3209="","",IFERROR(INDEX(catAlim,MATCH(D3209,catNom,0))&amp;"",""))</f>
        <v/>
      </c>
      <c r="M3209" s="19">
        <f>IF(I3209="","",IFERROR(INDEX(catComida,MATCH(D3209,catNom,0))&amp;"",""))</f>
        <v/>
      </c>
      <c r="N3209" s="19">
        <f>IF(I3209="","",IFERROR(INDEX(ctaMon,MATCH(E3209,ctaNom,0))&amp;"","DOP"))</f>
        <v/>
      </c>
      <c r="O3209" s="20">
        <f>IF(I3209="","",C3209*IF(N3209="USD",TasaUSD,1))</f>
        <v/>
      </c>
      <c r="P3209" s="20">
        <f>IF(I3209="","",IF(I3209="Gasto",O3209,0))</f>
        <v/>
      </c>
      <c r="Q3209" s="20">
        <f>IF(I3209="","",IF(I3209="Ingreso",O3209,0))</f>
        <v/>
      </c>
      <c r="R3209" s="20">
        <f>IF(I3209="","",IF(I3209="Trading",O3209,0))</f>
        <v/>
      </c>
      <c r="S3209" s="19">
        <f>IF(I3209="","",IF(AND(I3209="Gasto",K3209="Variable",J3209&lt;&gt;"Trading",O3209&gt;0,O3209&lt;=Umbral),1,0))</f>
        <v/>
      </c>
      <c r="T3209" s="20">
        <f>IF(OR(I3209="",E3209=""),"",IF(OR(I3209="Gasto",I3209="Transferencia",I3209="Pago tarjeta"),-1,1)*C3209)</f>
        <v/>
      </c>
      <c r="U3209" s="20">
        <f>IF(OR(G3209="",AND(I3209&lt;&gt;"Transferencia",I3209&lt;&gt;"Pago tarjeta")),"",IF(IFERROR(INDEX(ctaMon,MATCH(G3209,ctaNom,0))&amp;"","DOP")=N3209,C3209,IF(N3209="USD",C3209*TasaUSD,C3209/TasaUSD)))</f>
        <v/>
      </c>
      <c r="V3209" s="20">
        <f>IF(I3209="","",IF(IFERROR(INDEX(ctaLiq,MATCH(E3209,ctaNom,0))="Sí",FALSE),IF(OR(I3209="Gasto",I3209="Transferencia",I3209="Pago tarjeta"),-1,1)*O3209,0)+IF(AND(U3209&lt;&gt;"",IFERROR(INDEX(ctaLiq,MATCH(G3209,ctaNom,0))="Sí",FALSE)),O3209,0))</f>
        <v/>
      </c>
      <c r="W3209" s="19">
        <f>IF(OR(F3209="",I3209=""),"",IF(COUNTIFS(F$6:F3209,F3209,I$6:I3209,"?*")=1,MAX(W$5:W3208)+1,""))</f>
        <v/>
      </c>
    </row>
    <row r="3210">
      <c r="B3210" s="15" t="n"/>
      <c r="C3210" s="16" t="n"/>
      <c r="D3210" s="17" t="n"/>
      <c r="E3210" s="17" t="n"/>
      <c r="F3210" s="17" t="n"/>
      <c r="G3210" s="17" t="n"/>
      <c r="H3210" s="18">
        <f>IF(AND(B3210="",C3210="",D3210="",E3210=""),"",IF(B3210="","⚠ Falta fecha",IF(C3210="","⚠ Falta monto",IF(D3210="","⚠ Falta categoría",IF(ISNA(MATCH(D3210,catNom,0)),"⚠ Categoría no existe",IF(E3210="","⚠ Falta cuenta",IF(ISNA(MATCH(E3210,ctaNom,0)),"⚠ Cuenta no existe",IF(AND(OR(I3210="Transferencia",I3210="Pago tarjeta"),G3210=""),"⚠ Indica la cuenta «Hacia»",IF(AND(G3210&lt;&gt;"",G3210=E3210),"⚠ «Hacia» igual a la cuenta",IF(AND(G3210&lt;&gt;"",ISNA(MATCH(G3210,ctaNom,0))),"⚠ «Hacia» no existe",IF(AND(I3210="Pago tarjeta",IFERROR(INDEX(ctaTipo,MATCH(G3210,ctaNom,0)),"")&lt;&gt;"Tarjeta de crédito"),"⚠ «Hacia» debe ser la tarjeta",IF(AND(I3210="Trading",IFERROR(INDEX(ctaTipo,MATCH(E3210,ctaNom,0)),"")&lt;&gt;"Cuenta de trading"),"⚠ Usa la cuenta de trading","✓"))))))))))))</f>
        <v/>
      </c>
      <c r="I3210" s="19">
        <f>IF(OR(B3210="",C3210="",D3210=""),"",IFERROR(INDEX(catTipo,MATCH(D3210,catNom,0))&amp;"",""))</f>
        <v/>
      </c>
      <c r="J3210" s="19">
        <f>IF(I3210="","",IFERROR(INDEX(catGrupo,MATCH(D3210,catNom,0))&amp;"",""))</f>
        <v/>
      </c>
      <c r="K3210" s="19">
        <f>IF(I3210="Gasto",IF(IFERROR(INDEX(catClas,MATCH(D3210,catNom,0))&amp;"","")="","Variable",IFERROR(INDEX(catClas,MATCH(D3210,catNom,0))&amp;"","")),"")</f>
        <v/>
      </c>
      <c r="L3210" s="19">
        <f>IF(I3210="","",IFERROR(INDEX(catAlim,MATCH(D3210,catNom,0))&amp;"",""))</f>
        <v/>
      </c>
      <c r="M3210" s="19">
        <f>IF(I3210="","",IFERROR(INDEX(catComida,MATCH(D3210,catNom,0))&amp;"",""))</f>
        <v/>
      </c>
      <c r="N3210" s="19">
        <f>IF(I3210="","",IFERROR(INDEX(ctaMon,MATCH(E3210,ctaNom,0))&amp;"","DOP"))</f>
        <v/>
      </c>
      <c r="O3210" s="20">
        <f>IF(I3210="","",C3210*IF(N3210="USD",TasaUSD,1))</f>
        <v/>
      </c>
      <c r="P3210" s="20">
        <f>IF(I3210="","",IF(I3210="Gasto",O3210,0))</f>
        <v/>
      </c>
      <c r="Q3210" s="20">
        <f>IF(I3210="","",IF(I3210="Ingreso",O3210,0))</f>
        <v/>
      </c>
      <c r="R3210" s="20">
        <f>IF(I3210="","",IF(I3210="Trading",O3210,0))</f>
        <v/>
      </c>
      <c r="S3210" s="19">
        <f>IF(I3210="","",IF(AND(I3210="Gasto",K3210="Variable",J3210&lt;&gt;"Trading",O3210&gt;0,O3210&lt;=Umbral),1,0))</f>
        <v/>
      </c>
      <c r="T3210" s="20">
        <f>IF(OR(I3210="",E3210=""),"",IF(OR(I3210="Gasto",I3210="Transferencia",I3210="Pago tarjeta"),-1,1)*C3210)</f>
        <v/>
      </c>
      <c r="U3210" s="20">
        <f>IF(OR(G3210="",AND(I3210&lt;&gt;"Transferencia",I3210&lt;&gt;"Pago tarjeta")),"",IF(IFERROR(INDEX(ctaMon,MATCH(G3210,ctaNom,0))&amp;"","DOP")=N3210,C3210,IF(N3210="USD",C3210*TasaUSD,C3210/TasaUSD)))</f>
        <v/>
      </c>
      <c r="V3210" s="20">
        <f>IF(I3210="","",IF(IFERROR(INDEX(ctaLiq,MATCH(E3210,ctaNom,0))="Sí",FALSE),IF(OR(I3210="Gasto",I3210="Transferencia",I3210="Pago tarjeta"),-1,1)*O3210,0)+IF(AND(U3210&lt;&gt;"",IFERROR(INDEX(ctaLiq,MATCH(G3210,ctaNom,0))="Sí",FALSE)),O3210,0))</f>
        <v/>
      </c>
      <c r="W3210" s="19">
        <f>IF(OR(F3210="",I3210=""),"",IF(COUNTIFS(F$6:F3210,F3210,I$6:I3210,"?*")=1,MAX(W$5:W3209)+1,""))</f>
        <v/>
      </c>
    </row>
    <row r="3211">
      <c r="B3211" s="15" t="n"/>
      <c r="C3211" s="16" t="n"/>
      <c r="D3211" s="17" t="n"/>
      <c r="E3211" s="17" t="n"/>
      <c r="F3211" s="17" t="n"/>
      <c r="G3211" s="17" t="n"/>
      <c r="H3211" s="18">
        <f>IF(AND(B3211="",C3211="",D3211="",E3211=""),"",IF(B3211="","⚠ Falta fecha",IF(C3211="","⚠ Falta monto",IF(D3211="","⚠ Falta categoría",IF(ISNA(MATCH(D3211,catNom,0)),"⚠ Categoría no existe",IF(E3211="","⚠ Falta cuenta",IF(ISNA(MATCH(E3211,ctaNom,0)),"⚠ Cuenta no existe",IF(AND(OR(I3211="Transferencia",I3211="Pago tarjeta"),G3211=""),"⚠ Indica la cuenta «Hacia»",IF(AND(G3211&lt;&gt;"",G3211=E3211),"⚠ «Hacia» igual a la cuenta",IF(AND(G3211&lt;&gt;"",ISNA(MATCH(G3211,ctaNom,0))),"⚠ «Hacia» no existe",IF(AND(I3211="Pago tarjeta",IFERROR(INDEX(ctaTipo,MATCH(G3211,ctaNom,0)),"")&lt;&gt;"Tarjeta de crédito"),"⚠ «Hacia» debe ser la tarjeta",IF(AND(I3211="Trading",IFERROR(INDEX(ctaTipo,MATCH(E3211,ctaNom,0)),"")&lt;&gt;"Cuenta de trading"),"⚠ Usa la cuenta de trading","✓"))))))))))))</f>
        <v/>
      </c>
      <c r="I3211" s="19">
        <f>IF(OR(B3211="",C3211="",D3211=""),"",IFERROR(INDEX(catTipo,MATCH(D3211,catNom,0))&amp;"",""))</f>
        <v/>
      </c>
      <c r="J3211" s="19">
        <f>IF(I3211="","",IFERROR(INDEX(catGrupo,MATCH(D3211,catNom,0))&amp;"",""))</f>
        <v/>
      </c>
      <c r="K3211" s="19">
        <f>IF(I3211="Gasto",IF(IFERROR(INDEX(catClas,MATCH(D3211,catNom,0))&amp;"","")="","Variable",IFERROR(INDEX(catClas,MATCH(D3211,catNom,0))&amp;"","")),"")</f>
        <v/>
      </c>
      <c r="L3211" s="19">
        <f>IF(I3211="","",IFERROR(INDEX(catAlim,MATCH(D3211,catNom,0))&amp;"",""))</f>
        <v/>
      </c>
      <c r="M3211" s="19">
        <f>IF(I3211="","",IFERROR(INDEX(catComida,MATCH(D3211,catNom,0))&amp;"",""))</f>
        <v/>
      </c>
      <c r="N3211" s="19">
        <f>IF(I3211="","",IFERROR(INDEX(ctaMon,MATCH(E3211,ctaNom,0))&amp;"","DOP"))</f>
        <v/>
      </c>
      <c r="O3211" s="20">
        <f>IF(I3211="","",C3211*IF(N3211="USD",TasaUSD,1))</f>
        <v/>
      </c>
      <c r="P3211" s="20">
        <f>IF(I3211="","",IF(I3211="Gasto",O3211,0))</f>
        <v/>
      </c>
      <c r="Q3211" s="20">
        <f>IF(I3211="","",IF(I3211="Ingreso",O3211,0))</f>
        <v/>
      </c>
      <c r="R3211" s="20">
        <f>IF(I3211="","",IF(I3211="Trading",O3211,0))</f>
        <v/>
      </c>
      <c r="S3211" s="19">
        <f>IF(I3211="","",IF(AND(I3211="Gasto",K3211="Variable",J3211&lt;&gt;"Trading",O3211&gt;0,O3211&lt;=Umbral),1,0))</f>
        <v/>
      </c>
      <c r="T3211" s="20">
        <f>IF(OR(I3211="",E3211=""),"",IF(OR(I3211="Gasto",I3211="Transferencia",I3211="Pago tarjeta"),-1,1)*C3211)</f>
        <v/>
      </c>
      <c r="U3211" s="20">
        <f>IF(OR(G3211="",AND(I3211&lt;&gt;"Transferencia",I3211&lt;&gt;"Pago tarjeta")),"",IF(IFERROR(INDEX(ctaMon,MATCH(G3211,ctaNom,0))&amp;"","DOP")=N3211,C3211,IF(N3211="USD",C3211*TasaUSD,C3211/TasaUSD)))</f>
        <v/>
      </c>
      <c r="V3211" s="20">
        <f>IF(I3211="","",IF(IFERROR(INDEX(ctaLiq,MATCH(E3211,ctaNom,0))="Sí",FALSE),IF(OR(I3211="Gasto",I3211="Transferencia",I3211="Pago tarjeta"),-1,1)*O3211,0)+IF(AND(U3211&lt;&gt;"",IFERROR(INDEX(ctaLiq,MATCH(G3211,ctaNom,0))="Sí",FALSE)),O3211,0))</f>
        <v/>
      </c>
      <c r="W3211" s="19">
        <f>IF(OR(F3211="",I3211=""),"",IF(COUNTIFS(F$6:F3211,F3211,I$6:I3211,"?*")=1,MAX(W$5:W3210)+1,""))</f>
        <v/>
      </c>
    </row>
    <row r="3212">
      <c r="B3212" s="15" t="n"/>
      <c r="C3212" s="16" t="n"/>
      <c r="D3212" s="17" t="n"/>
      <c r="E3212" s="17" t="n"/>
      <c r="F3212" s="17" t="n"/>
      <c r="G3212" s="17" t="n"/>
      <c r="H3212" s="18">
        <f>IF(AND(B3212="",C3212="",D3212="",E3212=""),"",IF(B3212="","⚠ Falta fecha",IF(C3212="","⚠ Falta monto",IF(D3212="","⚠ Falta categoría",IF(ISNA(MATCH(D3212,catNom,0)),"⚠ Categoría no existe",IF(E3212="","⚠ Falta cuenta",IF(ISNA(MATCH(E3212,ctaNom,0)),"⚠ Cuenta no existe",IF(AND(OR(I3212="Transferencia",I3212="Pago tarjeta"),G3212=""),"⚠ Indica la cuenta «Hacia»",IF(AND(G3212&lt;&gt;"",G3212=E3212),"⚠ «Hacia» igual a la cuenta",IF(AND(G3212&lt;&gt;"",ISNA(MATCH(G3212,ctaNom,0))),"⚠ «Hacia» no existe",IF(AND(I3212="Pago tarjeta",IFERROR(INDEX(ctaTipo,MATCH(G3212,ctaNom,0)),"")&lt;&gt;"Tarjeta de crédito"),"⚠ «Hacia» debe ser la tarjeta",IF(AND(I3212="Trading",IFERROR(INDEX(ctaTipo,MATCH(E3212,ctaNom,0)),"")&lt;&gt;"Cuenta de trading"),"⚠ Usa la cuenta de trading","✓"))))))))))))</f>
        <v/>
      </c>
      <c r="I3212" s="19">
        <f>IF(OR(B3212="",C3212="",D3212=""),"",IFERROR(INDEX(catTipo,MATCH(D3212,catNom,0))&amp;"",""))</f>
        <v/>
      </c>
      <c r="J3212" s="19">
        <f>IF(I3212="","",IFERROR(INDEX(catGrupo,MATCH(D3212,catNom,0))&amp;"",""))</f>
        <v/>
      </c>
      <c r="K3212" s="19">
        <f>IF(I3212="Gasto",IF(IFERROR(INDEX(catClas,MATCH(D3212,catNom,0))&amp;"","")="","Variable",IFERROR(INDEX(catClas,MATCH(D3212,catNom,0))&amp;"","")),"")</f>
        <v/>
      </c>
      <c r="L3212" s="19">
        <f>IF(I3212="","",IFERROR(INDEX(catAlim,MATCH(D3212,catNom,0))&amp;"",""))</f>
        <v/>
      </c>
      <c r="M3212" s="19">
        <f>IF(I3212="","",IFERROR(INDEX(catComida,MATCH(D3212,catNom,0))&amp;"",""))</f>
        <v/>
      </c>
      <c r="N3212" s="19">
        <f>IF(I3212="","",IFERROR(INDEX(ctaMon,MATCH(E3212,ctaNom,0))&amp;"","DOP"))</f>
        <v/>
      </c>
      <c r="O3212" s="20">
        <f>IF(I3212="","",C3212*IF(N3212="USD",TasaUSD,1))</f>
        <v/>
      </c>
      <c r="P3212" s="20">
        <f>IF(I3212="","",IF(I3212="Gasto",O3212,0))</f>
        <v/>
      </c>
      <c r="Q3212" s="20">
        <f>IF(I3212="","",IF(I3212="Ingreso",O3212,0))</f>
        <v/>
      </c>
      <c r="R3212" s="20">
        <f>IF(I3212="","",IF(I3212="Trading",O3212,0))</f>
        <v/>
      </c>
      <c r="S3212" s="19">
        <f>IF(I3212="","",IF(AND(I3212="Gasto",K3212="Variable",J3212&lt;&gt;"Trading",O3212&gt;0,O3212&lt;=Umbral),1,0))</f>
        <v/>
      </c>
      <c r="T3212" s="20">
        <f>IF(OR(I3212="",E3212=""),"",IF(OR(I3212="Gasto",I3212="Transferencia",I3212="Pago tarjeta"),-1,1)*C3212)</f>
        <v/>
      </c>
      <c r="U3212" s="20">
        <f>IF(OR(G3212="",AND(I3212&lt;&gt;"Transferencia",I3212&lt;&gt;"Pago tarjeta")),"",IF(IFERROR(INDEX(ctaMon,MATCH(G3212,ctaNom,0))&amp;"","DOP")=N3212,C3212,IF(N3212="USD",C3212*TasaUSD,C3212/TasaUSD)))</f>
        <v/>
      </c>
      <c r="V3212" s="20">
        <f>IF(I3212="","",IF(IFERROR(INDEX(ctaLiq,MATCH(E3212,ctaNom,0))="Sí",FALSE),IF(OR(I3212="Gasto",I3212="Transferencia",I3212="Pago tarjeta"),-1,1)*O3212,0)+IF(AND(U3212&lt;&gt;"",IFERROR(INDEX(ctaLiq,MATCH(G3212,ctaNom,0))="Sí",FALSE)),O3212,0))</f>
        <v/>
      </c>
      <c r="W3212" s="19">
        <f>IF(OR(F3212="",I3212=""),"",IF(COUNTIFS(F$6:F3212,F3212,I$6:I3212,"?*")=1,MAX(W$5:W3211)+1,""))</f>
        <v/>
      </c>
    </row>
    <row r="3213">
      <c r="B3213" s="15" t="n"/>
      <c r="C3213" s="16" t="n"/>
      <c r="D3213" s="17" t="n"/>
      <c r="E3213" s="17" t="n"/>
      <c r="F3213" s="17" t="n"/>
      <c r="G3213" s="17" t="n"/>
      <c r="H3213" s="18">
        <f>IF(AND(B3213="",C3213="",D3213="",E3213=""),"",IF(B3213="","⚠ Falta fecha",IF(C3213="","⚠ Falta monto",IF(D3213="","⚠ Falta categoría",IF(ISNA(MATCH(D3213,catNom,0)),"⚠ Categoría no existe",IF(E3213="","⚠ Falta cuenta",IF(ISNA(MATCH(E3213,ctaNom,0)),"⚠ Cuenta no existe",IF(AND(OR(I3213="Transferencia",I3213="Pago tarjeta"),G3213=""),"⚠ Indica la cuenta «Hacia»",IF(AND(G3213&lt;&gt;"",G3213=E3213),"⚠ «Hacia» igual a la cuenta",IF(AND(G3213&lt;&gt;"",ISNA(MATCH(G3213,ctaNom,0))),"⚠ «Hacia» no existe",IF(AND(I3213="Pago tarjeta",IFERROR(INDEX(ctaTipo,MATCH(G3213,ctaNom,0)),"")&lt;&gt;"Tarjeta de crédito"),"⚠ «Hacia» debe ser la tarjeta",IF(AND(I3213="Trading",IFERROR(INDEX(ctaTipo,MATCH(E3213,ctaNom,0)),"")&lt;&gt;"Cuenta de trading"),"⚠ Usa la cuenta de trading","✓"))))))))))))</f>
        <v/>
      </c>
      <c r="I3213" s="19">
        <f>IF(OR(B3213="",C3213="",D3213=""),"",IFERROR(INDEX(catTipo,MATCH(D3213,catNom,0))&amp;"",""))</f>
        <v/>
      </c>
      <c r="J3213" s="19">
        <f>IF(I3213="","",IFERROR(INDEX(catGrupo,MATCH(D3213,catNom,0))&amp;"",""))</f>
        <v/>
      </c>
      <c r="K3213" s="19">
        <f>IF(I3213="Gasto",IF(IFERROR(INDEX(catClas,MATCH(D3213,catNom,0))&amp;"","")="","Variable",IFERROR(INDEX(catClas,MATCH(D3213,catNom,0))&amp;"","")),"")</f>
        <v/>
      </c>
      <c r="L3213" s="19">
        <f>IF(I3213="","",IFERROR(INDEX(catAlim,MATCH(D3213,catNom,0))&amp;"",""))</f>
        <v/>
      </c>
      <c r="M3213" s="19">
        <f>IF(I3213="","",IFERROR(INDEX(catComida,MATCH(D3213,catNom,0))&amp;"",""))</f>
        <v/>
      </c>
      <c r="N3213" s="19">
        <f>IF(I3213="","",IFERROR(INDEX(ctaMon,MATCH(E3213,ctaNom,0))&amp;"","DOP"))</f>
        <v/>
      </c>
      <c r="O3213" s="20">
        <f>IF(I3213="","",C3213*IF(N3213="USD",TasaUSD,1))</f>
        <v/>
      </c>
      <c r="P3213" s="20">
        <f>IF(I3213="","",IF(I3213="Gasto",O3213,0))</f>
        <v/>
      </c>
      <c r="Q3213" s="20">
        <f>IF(I3213="","",IF(I3213="Ingreso",O3213,0))</f>
        <v/>
      </c>
      <c r="R3213" s="20">
        <f>IF(I3213="","",IF(I3213="Trading",O3213,0))</f>
        <v/>
      </c>
      <c r="S3213" s="19">
        <f>IF(I3213="","",IF(AND(I3213="Gasto",K3213="Variable",J3213&lt;&gt;"Trading",O3213&gt;0,O3213&lt;=Umbral),1,0))</f>
        <v/>
      </c>
      <c r="T3213" s="20">
        <f>IF(OR(I3213="",E3213=""),"",IF(OR(I3213="Gasto",I3213="Transferencia",I3213="Pago tarjeta"),-1,1)*C3213)</f>
        <v/>
      </c>
      <c r="U3213" s="20">
        <f>IF(OR(G3213="",AND(I3213&lt;&gt;"Transferencia",I3213&lt;&gt;"Pago tarjeta")),"",IF(IFERROR(INDEX(ctaMon,MATCH(G3213,ctaNom,0))&amp;"","DOP")=N3213,C3213,IF(N3213="USD",C3213*TasaUSD,C3213/TasaUSD)))</f>
        <v/>
      </c>
      <c r="V3213" s="20">
        <f>IF(I3213="","",IF(IFERROR(INDEX(ctaLiq,MATCH(E3213,ctaNom,0))="Sí",FALSE),IF(OR(I3213="Gasto",I3213="Transferencia",I3213="Pago tarjeta"),-1,1)*O3213,0)+IF(AND(U3213&lt;&gt;"",IFERROR(INDEX(ctaLiq,MATCH(G3213,ctaNom,0))="Sí",FALSE)),O3213,0))</f>
        <v/>
      </c>
      <c r="W3213" s="19">
        <f>IF(OR(F3213="",I3213=""),"",IF(COUNTIFS(F$6:F3213,F3213,I$6:I3213,"?*")=1,MAX(W$5:W3212)+1,""))</f>
        <v/>
      </c>
    </row>
    <row r="3214">
      <c r="B3214" s="15" t="n"/>
      <c r="C3214" s="16" t="n"/>
      <c r="D3214" s="17" t="n"/>
      <c r="E3214" s="17" t="n"/>
      <c r="F3214" s="17" t="n"/>
      <c r="G3214" s="17" t="n"/>
      <c r="H3214" s="18">
        <f>IF(AND(B3214="",C3214="",D3214="",E3214=""),"",IF(B3214="","⚠ Falta fecha",IF(C3214="","⚠ Falta monto",IF(D3214="","⚠ Falta categoría",IF(ISNA(MATCH(D3214,catNom,0)),"⚠ Categoría no existe",IF(E3214="","⚠ Falta cuenta",IF(ISNA(MATCH(E3214,ctaNom,0)),"⚠ Cuenta no existe",IF(AND(OR(I3214="Transferencia",I3214="Pago tarjeta"),G3214=""),"⚠ Indica la cuenta «Hacia»",IF(AND(G3214&lt;&gt;"",G3214=E3214),"⚠ «Hacia» igual a la cuenta",IF(AND(G3214&lt;&gt;"",ISNA(MATCH(G3214,ctaNom,0))),"⚠ «Hacia» no existe",IF(AND(I3214="Pago tarjeta",IFERROR(INDEX(ctaTipo,MATCH(G3214,ctaNom,0)),"")&lt;&gt;"Tarjeta de crédito"),"⚠ «Hacia» debe ser la tarjeta",IF(AND(I3214="Trading",IFERROR(INDEX(ctaTipo,MATCH(E3214,ctaNom,0)),"")&lt;&gt;"Cuenta de trading"),"⚠ Usa la cuenta de trading","✓"))))))))))))</f>
        <v/>
      </c>
      <c r="I3214" s="19">
        <f>IF(OR(B3214="",C3214="",D3214=""),"",IFERROR(INDEX(catTipo,MATCH(D3214,catNom,0))&amp;"",""))</f>
        <v/>
      </c>
      <c r="J3214" s="19">
        <f>IF(I3214="","",IFERROR(INDEX(catGrupo,MATCH(D3214,catNom,0))&amp;"",""))</f>
        <v/>
      </c>
      <c r="K3214" s="19">
        <f>IF(I3214="Gasto",IF(IFERROR(INDEX(catClas,MATCH(D3214,catNom,0))&amp;"","")="","Variable",IFERROR(INDEX(catClas,MATCH(D3214,catNom,0))&amp;"","")),"")</f>
        <v/>
      </c>
      <c r="L3214" s="19">
        <f>IF(I3214="","",IFERROR(INDEX(catAlim,MATCH(D3214,catNom,0))&amp;"",""))</f>
        <v/>
      </c>
      <c r="M3214" s="19">
        <f>IF(I3214="","",IFERROR(INDEX(catComida,MATCH(D3214,catNom,0))&amp;"",""))</f>
        <v/>
      </c>
      <c r="N3214" s="19">
        <f>IF(I3214="","",IFERROR(INDEX(ctaMon,MATCH(E3214,ctaNom,0))&amp;"","DOP"))</f>
        <v/>
      </c>
      <c r="O3214" s="20">
        <f>IF(I3214="","",C3214*IF(N3214="USD",TasaUSD,1))</f>
        <v/>
      </c>
      <c r="P3214" s="20">
        <f>IF(I3214="","",IF(I3214="Gasto",O3214,0))</f>
        <v/>
      </c>
      <c r="Q3214" s="20">
        <f>IF(I3214="","",IF(I3214="Ingreso",O3214,0))</f>
        <v/>
      </c>
      <c r="R3214" s="20">
        <f>IF(I3214="","",IF(I3214="Trading",O3214,0))</f>
        <v/>
      </c>
      <c r="S3214" s="19">
        <f>IF(I3214="","",IF(AND(I3214="Gasto",K3214="Variable",J3214&lt;&gt;"Trading",O3214&gt;0,O3214&lt;=Umbral),1,0))</f>
        <v/>
      </c>
      <c r="T3214" s="20">
        <f>IF(OR(I3214="",E3214=""),"",IF(OR(I3214="Gasto",I3214="Transferencia",I3214="Pago tarjeta"),-1,1)*C3214)</f>
        <v/>
      </c>
      <c r="U3214" s="20">
        <f>IF(OR(G3214="",AND(I3214&lt;&gt;"Transferencia",I3214&lt;&gt;"Pago tarjeta")),"",IF(IFERROR(INDEX(ctaMon,MATCH(G3214,ctaNom,0))&amp;"","DOP")=N3214,C3214,IF(N3214="USD",C3214*TasaUSD,C3214/TasaUSD)))</f>
        <v/>
      </c>
      <c r="V3214" s="20">
        <f>IF(I3214="","",IF(IFERROR(INDEX(ctaLiq,MATCH(E3214,ctaNom,0))="Sí",FALSE),IF(OR(I3214="Gasto",I3214="Transferencia",I3214="Pago tarjeta"),-1,1)*O3214,0)+IF(AND(U3214&lt;&gt;"",IFERROR(INDEX(ctaLiq,MATCH(G3214,ctaNom,0))="Sí",FALSE)),O3214,0))</f>
        <v/>
      </c>
      <c r="W3214" s="19">
        <f>IF(OR(F3214="",I3214=""),"",IF(COUNTIFS(F$6:F3214,F3214,I$6:I3214,"?*")=1,MAX(W$5:W3213)+1,""))</f>
        <v/>
      </c>
    </row>
    <row r="3215">
      <c r="B3215" s="15" t="n"/>
      <c r="C3215" s="16" t="n"/>
      <c r="D3215" s="17" t="n"/>
      <c r="E3215" s="17" t="n"/>
      <c r="F3215" s="17" t="n"/>
      <c r="G3215" s="17" t="n"/>
      <c r="H3215" s="18">
        <f>IF(AND(B3215="",C3215="",D3215="",E3215=""),"",IF(B3215="","⚠ Falta fecha",IF(C3215="","⚠ Falta monto",IF(D3215="","⚠ Falta categoría",IF(ISNA(MATCH(D3215,catNom,0)),"⚠ Categoría no existe",IF(E3215="","⚠ Falta cuenta",IF(ISNA(MATCH(E3215,ctaNom,0)),"⚠ Cuenta no existe",IF(AND(OR(I3215="Transferencia",I3215="Pago tarjeta"),G3215=""),"⚠ Indica la cuenta «Hacia»",IF(AND(G3215&lt;&gt;"",G3215=E3215),"⚠ «Hacia» igual a la cuenta",IF(AND(G3215&lt;&gt;"",ISNA(MATCH(G3215,ctaNom,0))),"⚠ «Hacia» no existe",IF(AND(I3215="Pago tarjeta",IFERROR(INDEX(ctaTipo,MATCH(G3215,ctaNom,0)),"")&lt;&gt;"Tarjeta de crédito"),"⚠ «Hacia» debe ser la tarjeta",IF(AND(I3215="Trading",IFERROR(INDEX(ctaTipo,MATCH(E3215,ctaNom,0)),"")&lt;&gt;"Cuenta de trading"),"⚠ Usa la cuenta de trading","✓"))))))))))))</f>
        <v/>
      </c>
      <c r="I3215" s="19">
        <f>IF(OR(B3215="",C3215="",D3215=""),"",IFERROR(INDEX(catTipo,MATCH(D3215,catNom,0))&amp;"",""))</f>
        <v/>
      </c>
      <c r="J3215" s="19">
        <f>IF(I3215="","",IFERROR(INDEX(catGrupo,MATCH(D3215,catNom,0))&amp;"",""))</f>
        <v/>
      </c>
      <c r="K3215" s="19">
        <f>IF(I3215="Gasto",IF(IFERROR(INDEX(catClas,MATCH(D3215,catNom,0))&amp;"","")="","Variable",IFERROR(INDEX(catClas,MATCH(D3215,catNom,0))&amp;"","")),"")</f>
        <v/>
      </c>
      <c r="L3215" s="19">
        <f>IF(I3215="","",IFERROR(INDEX(catAlim,MATCH(D3215,catNom,0))&amp;"",""))</f>
        <v/>
      </c>
      <c r="M3215" s="19">
        <f>IF(I3215="","",IFERROR(INDEX(catComida,MATCH(D3215,catNom,0))&amp;"",""))</f>
        <v/>
      </c>
      <c r="N3215" s="19">
        <f>IF(I3215="","",IFERROR(INDEX(ctaMon,MATCH(E3215,ctaNom,0))&amp;"","DOP"))</f>
        <v/>
      </c>
      <c r="O3215" s="20">
        <f>IF(I3215="","",C3215*IF(N3215="USD",TasaUSD,1))</f>
        <v/>
      </c>
      <c r="P3215" s="20">
        <f>IF(I3215="","",IF(I3215="Gasto",O3215,0))</f>
        <v/>
      </c>
      <c r="Q3215" s="20">
        <f>IF(I3215="","",IF(I3215="Ingreso",O3215,0))</f>
        <v/>
      </c>
      <c r="R3215" s="20">
        <f>IF(I3215="","",IF(I3215="Trading",O3215,0))</f>
        <v/>
      </c>
      <c r="S3215" s="19">
        <f>IF(I3215="","",IF(AND(I3215="Gasto",K3215="Variable",J3215&lt;&gt;"Trading",O3215&gt;0,O3215&lt;=Umbral),1,0))</f>
        <v/>
      </c>
      <c r="T3215" s="20">
        <f>IF(OR(I3215="",E3215=""),"",IF(OR(I3215="Gasto",I3215="Transferencia",I3215="Pago tarjeta"),-1,1)*C3215)</f>
        <v/>
      </c>
      <c r="U3215" s="20">
        <f>IF(OR(G3215="",AND(I3215&lt;&gt;"Transferencia",I3215&lt;&gt;"Pago tarjeta")),"",IF(IFERROR(INDEX(ctaMon,MATCH(G3215,ctaNom,0))&amp;"","DOP")=N3215,C3215,IF(N3215="USD",C3215*TasaUSD,C3215/TasaUSD)))</f>
        <v/>
      </c>
      <c r="V3215" s="20">
        <f>IF(I3215="","",IF(IFERROR(INDEX(ctaLiq,MATCH(E3215,ctaNom,0))="Sí",FALSE),IF(OR(I3215="Gasto",I3215="Transferencia",I3215="Pago tarjeta"),-1,1)*O3215,0)+IF(AND(U3215&lt;&gt;"",IFERROR(INDEX(ctaLiq,MATCH(G3215,ctaNom,0))="Sí",FALSE)),O3215,0))</f>
        <v/>
      </c>
      <c r="W3215" s="19">
        <f>IF(OR(F3215="",I3215=""),"",IF(COUNTIFS(F$6:F3215,F3215,I$6:I3215,"?*")=1,MAX(W$5:W3214)+1,""))</f>
        <v/>
      </c>
    </row>
    <row r="3216">
      <c r="B3216" s="15" t="n"/>
      <c r="C3216" s="16" t="n"/>
      <c r="D3216" s="17" t="n"/>
      <c r="E3216" s="17" t="n"/>
      <c r="F3216" s="17" t="n"/>
      <c r="G3216" s="17" t="n"/>
      <c r="H3216" s="18">
        <f>IF(AND(B3216="",C3216="",D3216="",E3216=""),"",IF(B3216="","⚠ Falta fecha",IF(C3216="","⚠ Falta monto",IF(D3216="","⚠ Falta categoría",IF(ISNA(MATCH(D3216,catNom,0)),"⚠ Categoría no existe",IF(E3216="","⚠ Falta cuenta",IF(ISNA(MATCH(E3216,ctaNom,0)),"⚠ Cuenta no existe",IF(AND(OR(I3216="Transferencia",I3216="Pago tarjeta"),G3216=""),"⚠ Indica la cuenta «Hacia»",IF(AND(G3216&lt;&gt;"",G3216=E3216),"⚠ «Hacia» igual a la cuenta",IF(AND(G3216&lt;&gt;"",ISNA(MATCH(G3216,ctaNom,0))),"⚠ «Hacia» no existe",IF(AND(I3216="Pago tarjeta",IFERROR(INDEX(ctaTipo,MATCH(G3216,ctaNom,0)),"")&lt;&gt;"Tarjeta de crédito"),"⚠ «Hacia» debe ser la tarjeta",IF(AND(I3216="Trading",IFERROR(INDEX(ctaTipo,MATCH(E3216,ctaNom,0)),"")&lt;&gt;"Cuenta de trading"),"⚠ Usa la cuenta de trading","✓"))))))))))))</f>
        <v/>
      </c>
      <c r="I3216" s="19">
        <f>IF(OR(B3216="",C3216="",D3216=""),"",IFERROR(INDEX(catTipo,MATCH(D3216,catNom,0))&amp;"",""))</f>
        <v/>
      </c>
      <c r="J3216" s="19">
        <f>IF(I3216="","",IFERROR(INDEX(catGrupo,MATCH(D3216,catNom,0))&amp;"",""))</f>
        <v/>
      </c>
      <c r="K3216" s="19">
        <f>IF(I3216="Gasto",IF(IFERROR(INDEX(catClas,MATCH(D3216,catNom,0))&amp;"","")="","Variable",IFERROR(INDEX(catClas,MATCH(D3216,catNom,0))&amp;"","")),"")</f>
        <v/>
      </c>
      <c r="L3216" s="19">
        <f>IF(I3216="","",IFERROR(INDEX(catAlim,MATCH(D3216,catNom,0))&amp;"",""))</f>
        <v/>
      </c>
      <c r="M3216" s="19">
        <f>IF(I3216="","",IFERROR(INDEX(catComida,MATCH(D3216,catNom,0))&amp;"",""))</f>
        <v/>
      </c>
      <c r="N3216" s="19">
        <f>IF(I3216="","",IFERROR(INDEX(ctaMon,MATCH(E3216,ctaNom,0))&amp;"","DOP"))</f>
        <v/>
      </c>
      <c r="O3216" s="20">
        <f>IF(I3216="","",C3216*IF(N3216="USD",TasaUSD,1))</f>
        <v/>
      </c>
      <c r="P3216" s="20">
        <f>IF(I3216="","",IF(I3216="Gasto",O3216,0))</f>
        <v/>
      </c>
      <c r="Q3216" s="20">
        <f>IF(I3216="","",IF(I3216="Ingreso",O3216,0))</f>
        <v/>
      </c>
      <c r="R3216" s="20">
        <f>IF(I3216="","",IF(I3216="Trading",O3216,0))</f>
        <v/>
      </c>
      <c r="S3216" s="19">
        <f>IF(I3216="","",IF(AND(I3216="Gasto",K3216="Variable",J3216&lt;&gt;"Trading",O3216&gt;0,O3216&lt;=Umbral),1,0))</f>
        <v/>
      </c>
      <c r="T3216" s="20">
        <f>IF(OR(I3216="",E3216=""),"",IF(OR(I3216="Gasto",I3216="Transferencia",I3216="Pago tarjeta"),-1,1)*C3216)</f>
        <v/>
      </c>
      <c r="U3216" s="20">
        <f>IF(OR(G3216="",AND(I3216&lt;&gt;"Transferencia",I3216&lt;&gt;"Pago tarjeta")),"",IF(IFERROR(INDEX(ctaMon,MATCH(G3216,ctaNom,0))&amp;"","DOP")=N3216,C3216,IF(N3216="USD",C3216*TasaUSD,C3216/TasaUSD)))</f>
        <v/>
      </c>
      <c r="V3216" s="20">
        <f>IF(I3216="","",IF(IFERROR(INDEX(ctaLiq,MATCH(E3216,ctaNom,0))="Sí",FALSE),IF(OR(I3216="Gasto",I3216="Transferencia",I3216="Pago tarjeta"),-1,1)*O3216,0)+IF(AND(U3216&lt;&gt;"",IFERROR(INDEX(ctaLiq,MATCH(G3216,ctaNom,0))="Sí",FALSE)),O3216,0))</f>
        <v/>
      </c>
      <c r="W3216" s="19">
        <f>IF(OR(F3216="",I3216=""),"",IF(COUNTIFS(F$6:F3216,F3216,I$6:I3216,"?*")=1,MAX(W$5:W3215)+1,""))</f>
        <v/>
      </c>
    </row>
    <row r="3217">
      <c r="B3217" s="15" t="n"/>
      <c r="C3217" s="16" t="n"/>
      <c r="D3217" s="17" t="n"/>
      <c r="E3217" s="17" t="n"/>
      <c r="F3217" s="17" t="n"/>
      <c r="G3217" s="17" t="n"/>
      <c r="H3217" s="18">
        <f>IF(AND(B3217="",C3217="",D3217="",E3217=""),"",IF(B3217="","⚠ Falta fecha",IF(C3217="","⚠ Falta monto",IF(D3217="","⚠ Falta categoría",IF(ISNA(MATCH(D3217,catNom,0)),"⚠ Categoría no existe",IF(E3217="","⚠ Falta cuenta",IF(ISNA(MATCH(E3217,ctaNom,0)),"⚠ Cuenta no existe",IF(AND(OR(I3217="Transferencia",I3217="Pago tarjeta"),G3217=""),"⚠ Indica la cuenta «Hacia»",IF(AND(G3217&lt;&gt;"",G3217=E3217),"⚠ «Hacia» igual a la cuenta",IF(AND(G3217&lt;&gt;"",ISNA(MATCH(G3217,ctaNom,0))),"⚠ «Hacia» no existe",IF(AND(I3217="Pago tarjeta",IFERROR(INDEX(ctaTipo,MATCH(G3217,ctaNom,0)),"")&lt;&gt;"Tarjeta de crédito"),"⚠ «Hacia» debe ser la tarjeta",IF(AND(I3217="Trading",IFERROR(INDEX(ctaTipo,MATCH(E3217,ctaNom,0)),"")&lt;&gt;"Cuenta de trading"),"⚠ Usa la cuenta de trading","✓"))))))))))))</f>
        <v/>
      </c>
      <c r="I3217" s="19">
        <f>IF(OR(B3217="",C3217="",D3217=""),"",IFERROR(INDEX(catTipo,MATCH(D3217,catNom,0))&amp;"",""))</f>
        <v/>
      </c>
      <c r="J3217" s="19">
        <f>IF(I3217="","",IFERROR(INDEX(catGrupo,MATCH(D3217,catNom,0))&amp;"",""))</f>
        <v/>
      </c>
      <c r="K3217" s="19">
        <f>IF(I3217="Gasto",IF(IFERROR(INDEX(catClas,MATCH(D3217,catNom,0))&amp;"","")="","Variable",IFERROR(INDEX(catClas,MATCH(D3217,catNom,0))&amp;"","")),"")</f>
        <v/>
      </c>
      <c r="L3217" s="19">
        <f>IF(I3217="","",IFERROR(INDEX(catAlim,MATCH(D3217,catNom,0))&amp;"",""))</f>
        <v/>
      </c>
      <c r="M3217" s="19">
        <f>IF(I3217="","",IFERROR(INDEX(catComida,MATCH(D3217,catNom,0))&amp;"",""))</f>
        <v/>
      </c>
      <c r="N3217" s="19">
        <f>IF(I3217="","",IFERROR(INDEX(ctaMon,MATCH(E3217,ctaNom,0))&amp;"","DOP"))</f>
        <v/>
      </c>
      <c r="O3217" s="20">
        <f>IF(I3217="","",C3217*IF(N3217="USD",TasaUSD,1))</f>
        <v/>
      </c>
      <c r="P3217" s="20">
        <f>IF(I3217="","",IF(I3217="Gasto",O3217,0))</f>
        <v/>
      </c>
      <c r="Q3217" s="20">
        <f>IF(I3217="","",IF(I3217="Ingreso",O3217,0))</f>
        <v/>
      </c>
      <c r="R3217" s="20">
        <f>IF(I3217="","",IF(I3217="Trading",O3217,0))</f>
        <v/>
      </c>
      <c r="S3217" s="19">
        <f>IF(I3217="","",IF(AND(I3217="Gasto",K3217="Variable",J3217&lt;&gt;"Trading",O3217&gt;0,O3217&lt;=Umbral),1,0))</f>
        <v/>
      </c>
      <c r="T3217" s="20">
        <f>IF(OR(I3217="",E3217=""),"",IF(OR(I3217="Gasto",I3217="Transferencia",I3217="Pago tarjeta"),-1,1)*C3217)</f>
        <v/>
      </c>
      <c r="U3217" s="20">
        <f>IF(OR(G3217="",AND(I3217&lt;&gt;"Transferencia",I3217&lt;&gt;"Pago tarjeta")),"",IF(IFERROR(INDEX(ctaMon,MATCH(G3217,ctaNom,0))&amp;"","DOP")=N3217,C3217,IF(N3217="USD",C3217*TasaUSD,C3217/TasaUSD)))</f>
        <v/>
      </c>
      <c r="V3217" s="20">
        <f>IF(I3217="","",IF(IFERROR(INDEX(ctaLiq,MATCH(E3217,ctaNom,0))="Sí",FALSE),IF(OR(I3217="Gasto",I3217="Transferencia",I3217="Pago tarjeta"),-1,1)*O3217,0)+IF(AND(U3217&lt;&gt;"",IFERROR(INDEX(ctaLiq,MATCH(G3217,ctaNom,0))="Sí",FALSE)),O3217,0))</f>
        <v/>
      </c>
      <c r="W3217" s="19">
        <f>IF(OR(F3217="",I3217=""),"",IF(COUNTIFS(F$6:F3217,F3217,I$6:I3217,"?*")=1,MAX(W$5:W3216)+1,""))</f>
        <v/>
      </c>
    </row>
    <row r="3218">
      <c r="B3218" s="15" t="n"/>
      <c r="C3218" s="16" t="n"/>
      <c r="D3218" s="17" t="n"/>
      <c r="E3218" s="17" t="n"/>
      <c r="F3218" s="17" t="n"/>
      <c r="G3218" s="17" t="n"/>
      <c r="H3218" s="18">
        <f>IF(AND(B3218="",C3218="",D3218="",E3218=""),"",IF(B3218="","⚠ Falta fecha",IF(C3218="","⚠ Falta monto",IF(D3218="","⚠ Falta categoría",IF(ISNA(MATCH(D3218,catNom,0)),"⚠ Categoría no existe",IF(E3218="","⚠ Falta cuenta",IF(ISNA(MATCH(E3218,ctaNom,0)),"⚠ Cuenta no existe",IF(AND(OR(I3218="Transferencia",I3218="Pago tarjeta"),G3218=""),"⚠ Indica la cuenta «Hacia»",IF(AND(G3218&lt;&gt;"",G3218=E3218),"⚠ «Hacia» igual a la cuenta",IF(AND(G3218&lt;&gt;"",ISNA(MATCH(G3218,ctaNom,0))),"⚠ «Hacia» no existe",IF(AND(I3218="Pago tarjeta",IFERROR(INDEX(ctaTipo,MATCH(G3218,ctaNom,0)),"")&lt;&gt;"Tarjeta de crédito"),"⚠ «Hacia» debe ser la tarjeta",IF(AND(I3218="Trading",IFERROR(INDEX(ctaTipo,MATCH(E3218,ctaNom,0)),"")&lt;&gt;"Cuenta de trading"),"⚠ Usa la cuenta de trading","✓"))))))))))))</f>
        <v/>
      </c>
      <c r="I3218" s="19">
        <f>IF(OR(B3218="",C3218="",D3218=""),"",IFERROR(INDEX(catTipo,MATCH(D3218,catNom,0))&amp;"",""))</f>
        <v/>
      </c>
      <c r="J3218" s="19">
        <f>IF(I3218="","",IFERROR(INDEX(catGrupo,MATCH(D3218,catNom,0))&amp;"",""))</f>
        <v/>
      </c>
      <c r="K3218" s="19">
        <f>IF(I3218="Gasto",IF(IFERROR(INDEX(catClas,MATCH(D3218,catNom,0))&amp;"","")="","Variable",IFERROR(INDEX(catClas,MATCH(D3218,catNom,0))&amp;"","")),"")</f>
        <v/>
      </c>
      <c r="L3218" s="19">
        <f>IF(I3218="","",IFERROR(INDEX(catAlim,MATCH(D3218,catNom,0))&amp;"",""))</f>
        <v/>
      </c>
      <c r="M3218" s="19">
        <f>IF(I3218="","",IFERROR(INDEX(catComida,MATCH(D3218,catNom,0))&amp;"",""))</f>
        <v/>
      </c>
      <c r="N3218" s="19">
        <f>IF(I3218="","",IFERROR(INDEX(ctaMon,MATCH(E3218,ctaNom,0))&amp;"","DOP"))</f>
        <v/>
      </c>
      <c r="O3218" s="20">
        <f>IF(I3218="","",C3218*IF(N3218="USD",TasaUSD,1))</f>
        <v/>
      </c>
      <c r="P3218" s="20">
        <f>IF(I3218="","",IF(I3218="Gasto",O3218,0))</f>
        <v/>
      </c>
      <c r="Q3218" s="20">
        <f>IF(I3218="","",IF(I3218="Ingreso",O3218,0))</f>
        <v/>
      </c>
      <c r="R3218" s="20">
        <f>IF(I3218="","",IF(I3218="Trading",O3218,0))</f>
        <v/>
      </c>
      <c r="S3218" s="19">
        <f>IF(I3218="","",IF(AND(I3218="Gasto",K3218="Variable",J3218&lt;&gt;"Trading",O3218&gt;0,O3218&lt;=Umbral),1,0))</f>
        <v/>
      </c>
      <c r="T3218" s="20">
        <f>IF(OR(I3218="",E3218=""),"",IF(OR(I3218="Gasto",I3218="Transferencia",I3218="Pago tarjeta"),-1,1)*C3218)</f>
        <v/>
      </c>
      <c r="U3218" s="20">
        <f>IF(OR(G3218="",AND(I3218&lt;&gt;"Transferencia",I3218&lt;&gt;"Pago tarjeta")),"",IF(IFERROR(INDEX(ctaMon,MATCH(G3218,ctaNom,0))&amp;"","DOP")=N3218,C3218,IF(N3218="USD",C3218*TasaUSD,C3218/TasaUSD)))</f>
        <v/>
      </c>
      <c r="V3218" s="20">
        <f>IF(I3218="","",IF(IFERROR(INDEX(ctaLiq,MATCH(E3218,ctaNom,0))="Sí",FALSE),IF(OR(I3218="Gasto",I3218="Transferencia",I3218="Pago tarjeta"),-1,1)*O3218,0)+IF(AND(U3218&lt;&gt;"",IFERROR(INDEX(ctaLiq,MATCH(G3218,ctaNom,0))="Sí",FALSE)),O3218,0))</f>
        <v/>
      </c>
      <c r="W3218" s="19">
        <f>IF(OR(F3218="",I3218=""),"",IF(COUNTIFS(F$6:F3218,F3218,I$6:I3218,"?*")=1,MAX(W$5:W3217)+1,""))</f>
        <v/>
      </c>
    </row>
    <row r="3219">
      <c r="B3219" s="15" t="n"/>
      <c r="C3219" s="16" t="n"/>
      <c r="D3219" s="17" t="n"/>
      <c r="E3219" s="17" t="n"/>
      <c r="F3219" s="17" t="n"/>
      <c r="G3219" s="17" t="n"/>
      <c r="H3219" s="18">
        <f>IF(AND(B3219="",C3219="",D3219="",E3219=""),"",IF(B3219="","⚠ Falta fecha",IF(C3219="","⚠ Falta monto",IF(D3219="","⚠ Falta categoría",IF(ISNA(MATCH(D3219,catNom,0)),"⚠ Categoría no existe",IF(E3219="","⚠ Falta cuenta",IF(ISNA(MATCH(E3219,ctaNom,0)),"⚠ Cuenta no existe",IF(AND(OR(I3219="Transferencia",I3219="Pago tarjeta"),G3219=""),"⚠ Indica la cuenta «Hacia»",IF(AND(G3219&lt;&gt;"",G3219=E3219),"⚠ «Hacia» igual a la cuenta",IF(AND(G3219&lt;&gt;"",ISNA(MATCH(G3219,ctaNom,0))),"⚠ «Hacia» no existe",IF(AND(I3219="Pago tarjeta",IFERROR(INDEX(ctaTipo,MATCH(G3219,ctaNom,0)),"")&lt;&gt;"Tarjeta de crédito"),"⚠ «Hacia» debe ser la tarjeta",IF(AND(I3219="Trading",IFERROR(INDEX(ctaTipo,MATCH(E3219,ctaNom,0)),"")&lt;&gt;"Cuenta de trading"),"⚠ Usa la cuenta de trading","✓"))))))))))))</f>
        <v/>
      </c>
      <c r="I3219" s="19">
        <f>IF(OR(B3219="",C3219="",D3219=""),"",IFERROR(INDEX(catTipo,MATCH(D3219,catNom,0))&amp;"",""))</f>
        <v/>
      </c>
      <c r="J3219" s="19">
        <f>IF(I3219="","",IFERROR(INDEX(catGrupo,MATCH(D3219,catNom,0))&amp;"",""))</f>
        <v/>
      </c>
      <c r="K3219" s="19">
        <f>IF(I3219="Gasto",IF(IFERROR(INDEX(catClas,MATCH(D3219,catNom,0))&amp;"","")="","Variable",IFERROR(INDEX(catClas,MATCH(D3219,catNom,0))&amp;"","")),"")</f>
        <v/>
      </c>
      <c r="L3219" s="19">
        <f>IF(I3219="","",IFERROR(INDEX(catAlim,MATCH(D3219,catNom,0))&amp;"",""))</f>
        <v/>
      </c>
      <c r="M3219" s="19">
        <f>IF(I3219="","",IFERROR(INDEX(catComida,MATCH(D3219,catNom,0))&amp;"",""))</f>
        <v/>
      </c>
      <c r="N3219" s="19">
        <f>IF(I3219="","",IFERROR(INDEX(ctaMon,MATCH(E3219,ctaNom,0))&amp;"","DOP"))</f>
        <v/>
      </c>
      <c r="O3219" s="20">
        <f>IF(I3219="","",C3219*IF(N3219="USD",TasaUSD,1))</f>
        <v/>
      </c>
      <c r="P3219" s="20">
        <f>IF(I3219="","",IF(I3219="Gasto",O3219,0))</f>
        <v/>
      </c>
      <c r="Q3219" s="20">
        <f>IF(I3219="","",IF(I3219="Ingreso",O3219,0))</f>
        <v/>
      </c>
      <c r="R3219" s="20">
        <f>IF(I3219="","",IF(I3219="Trading",O3219,0))</f>
        <v/>
      </c>
      <c r="S3219" s="19">
        <f>IF(I3219="","",IF(AND(I3219="Gasto",K3219="Variable",J3219&lt;&gt;"Trading",O3219&gt;0,O3219&lt;=Umbral),1,0))</f>
        <v/>
      </c>
      <c r="T3219" s="20">
        <f>IF(OR(I3219="",E3219=""),"",IF(OR(I3219="Gasto",I3219="Transferencia",I3219="Pago tarjeta"),-1,1)*C3219)</f>
        <v/>
      </c>
      <c r="U3219" s="20">
        <f>IF(OR(G3219="",AND(I3219&lt;&gt;"Transferencia",I3219&lt;&gt;"Pago tarjeta")),"",IF(IFERROR(INDEX(ctaMon,MATCH(G3219,ctaNom,0))&amp;"","DOP")=N3219,C3219,IF(N3219="USD",C3219*TasaUSD,C3219/TasaUSD)))</f>
        <v/>
      </c>
      <c r="V3219" s="20">
        <f>IF(I3219="","",IF(IFERROR(INDEX(ctaLiq,MATCH(E3219,ctaNom,0))="Sí",FALSE),IF(OR(I3219="Gasto",I3219="Transferencia",I3219="Pago tarjeta"),-1,1)*O3219,0)+IF(AND(U3219&lt;&gt;"",IFERROR(INDEX(ctaLiq,MATCH(G3219,ctaNom,0))="Sí",FALSE)),O3219,0))</f>
        <v/>
      </c>
      <c r="W3219" s="19">
        <f>IF(OR(F3219="",I3219=""),"",IF(COUNTIFS(F$6:F3219,F3219,I$6:I3219,"?*")=1,MAX(W$5:W3218)+1,""))</f>
        <v/>
      </c>
    </row>
    <row r="3220">
      <c r="B3220" s="15" t="n"/>
      <c r="C3220" s="16" t="n"/>
      <c r="D3220" s="17" t="n"/>
      <c r="E3220" s="17" t="n"/>
      <c r="F3220" s="17" t="n"/>
      <c r="G3220" s="17" t="n"/>
      <c r="H3220" s="18">
        <f>IF(AND(B3220="",C3220="",D3220="",E3220=""),"",IF(B3220="","⚠ Falta fecha",IF(C3220="","⚠ Falta monto",IF(D3220="","⚠ Falta categoría",IF(ISNA(MATCH(D3220,catNom,0)),"⚠ Categoría no existe",IF(E3220="","⚠ Falta cuenta",IF(ISNA(MATCH(E3220,ctaNom,0)),"⚠ Cuenta no existe",IF(AND(OR(I3220="Transferencia",I3220="Pago tarjeta"),G3220=""),"⚠ Indica la cuenta «Hacia»",IF(AND(G3220&lt;&gt;"",G3220=E3220),"⚠ «Hacia» igual a la cuenta",IF(AND(G3220&lt;&gt;"",ISNA(MATCH(G3220,ctaNom,0))),"⚠ «Hacia» no existe",IF(AND(I3220="Pago tarjeta",IFERROR(INDEX(ctaTipo,MATCH(G3220,ctaNom,0)),"")&lt;&gt;"Tarjeta de crédito"),"⚠ «Hacia» debe ser la tarjeta",IF(AND(I3220="Trading",IFERROR(INDEX(ctaTipo,MATCH(E3220,ctaNom,0)),"")&lt;&gt;"Cuenta de trading"),"⚠ Usa la cuenta de trading","✓"))))))))))))</f>
        <v/>
      </c>
      <c r="I3220" s="19">
        <f>IF(OR(B3220="",C3220="",D3220=""),"",IFERROR(INDEX(catTipo,MATCH(D3220,catNom,0))&amp;"",""))</f>
        <v/>
      </c>
      <c r="J3220" s="19">
        <f>IF(I3220="","",IFERROR(INDEX(catGrupo,MATCH(D3220,catNom,0))&amp;"",""))</f>
        <v/>
      </c>
      <c r="K3220" s="19">
        <f>IF(I3220="Gasto",IF(IFERROR(INDEX(catClas,MATCH(D3220,catNom,0))&amp;"","")="","Variable",IFERROR(INDEX(catClas,MATCH(D3220,catNom,0))&amp;"","")),"")</f>
        <v/>
      </c>
      <c r="L3220" s="19">
        <f>IF(I3220="","",IFERROR(INDEX(catAlim,MATCH(D3220,catNom,0))&amp;"",""))</f>
        <v/>
      </c>
      <c r="M3220" s="19">
        <f>IF(I3220="","",IFERROR(INDEX(catComida,MATCH(D3220,catNom,0))&amp;"",""))</f>
        <v/>
      </c>
      <c r="N3220" s="19">
        <f>IF(I3220="","",IFERROR(INDEX(ctaMon,MATCH(E3220,ctaNom,0))&amp;"","DOP"))</f>
        <v/>
      </c>
      <c r="O3220" s="20">
        <f>IF(I3220="","",C3220*IF(N3220="USD",TasaUSD,1))</f>
        <v/>
      </c>
      <c r="P3220" s="20">
        <f>IF(I3220="","",IF(I3220="Gasto",O3220,0))</f>
        <v/>
      </c>
      <c r="Q3220" s="20">
        <f>IF(I3220="","",IF(I3220="Ingreso",O3220,0))</f>
        <v/>
      </c>
      <c r="R3220" s="20">
        <f>IF(I3220="","",IF(I3220="Trading",O3220,0))</f>
        <v/>
      </c>
      <c r="S3220" s="19">
        <f>IF(I3220="","",IF(AND(I3220="Gasto",K3220="Variable",J3220&lt;&gt;"Trading",O3220&gt;0,O3220&lt;=Umbral),1,0))</f>
        <v/>
      </c>
      <c r="T3220" s="20">
        <f>IF(OR(I3220="",E3220=""),"",IF(OR(I3220="Gasto",I3220="Transferencia",I3220="Pago tarjeta"),-1,1)*C3220)</f>
        <v/>
      </c>
      <c r="U3220" s="20">
        <f>IF(OR(G3220="",AND(I3220&lt;&gt;"Transferencia",I3220&lt;&gt;"Pago tarjeta")),"",IF(IFERROR(INDEX(ctaMon,MATCH(G3220,ctaNom,0))&amp;"","DOP")=N3220,C3220,IF(N3220="USD",C3220*TasaUSD,C3220/TasaUSD)))</f>
        <v/>
      </c>
      <c r="V3220" s="20">
        <f>IF(I3220="","",IF(IFERROR(INDEX(ctaLiq,MATCH(E3220,ctaNom,0))="Sí",FALSE),IF(OR(I3220="Gasto",I3220="Transferencia",I3220="Pago tarjeta"),-1,1)*O3220,0)+IF(AND(U3220&lt;&gt;"",IFERROR(INDEX(ctaLiq,MATCH(G3220,ctaNom,0))="Sí",FALSE)),O3220,0))</f>
        <v/>
      </c>
      <c r="W3220" s="19">
        <f>IF(OR(F3220="",I3220=""),"",IF(COUNTIFS(F$6:F3220,F3220,I$6:I3220,"?*")=1,MAX(W$5:W3219)+1,""))</f>
        <v/>
      </c>
    </row>
    <row r="3221">
      <c r="B3221" s="15" t="n"/>
      <c r="C3221" s="16" t="n"/>
      <c r="D3221" s="17" t="n"/>
      <c r="E3221" s="17" t="n"/>
      <c r="F3221" s="17" t="n"/>
      <c r="G3221" s="17" t="n"/>
      <c r="H3221" s="18">
        <f>IF(AND(B3221="",C3221="",D3221="",E3221=""),"",IF(B3221="","⚠ Falta fecha",IF(C3221="","⚠ Falta monto",IF(D3221="","⚠ Falta categoría",IF(ISNA(MATCH(D3221,catNom,0)),"⚠ Categoría no existe",IF(E3221="","⚠ Falta cuenta",IF(ISNA(MATCH(E3221,ctaNom,0)),"⚠ Cuenta no existe",IF(AND(OR(I3221="Transferencia",I3221="Pago tarjeta"),G3221=""),"⚠ Indica la cuenta «Hacia»",IF(AND(G3221&lt;&gt;"",G3221=E3221),"⚠ «Hacia» igual a la cuenta",IF(AND(G3221&lt;&gt;"",ISNA(MATCH(G3221,ctaNom,0))),"⚠ «Hacia» no existe",IF(AND(I3221="Pago tarjeta",IFERROR(INDEX(ctaTipo,MATCH(G3221,ctaNom,0)),"")&lt;&gt;"Tarjeta de crédito"),"⚠ «Hacia» debe ser la tarjeta",IF(AND(I3221="Trading",IFERROR(INDEX(ctaTipo,MATCH(E3221,ctaNom,0)),"")&lt;&gt;"Cuenta de trading"),"⚠ Usa la cuenta de trading","✓"))))))))))))</f>
        <v/>
      </c>
      <c r="I3221" s="19">
        <f>IF(OR(B3221="",C3221="",D3221=""),"",IFERROR(INDEX(catTipo,MATCH(D3221,catNom,0))&amp;"",""))</f>
        <v/>
      </c>
      <c r="J3221" s="19">
        <f>IF(I3221="","",IFERROR(INDEX(catGrupo,MATCH(D3221,catNom,0))&amp;"",""))</f>
        <v/>
      </c>
      <c r="K3221" s="19">
        <f>IF(I3221="Gasto",IF(IFERROR(INDEX(catClas,MATCH(D3221,catNom,0))&amp;"","")="","Variable",IFERROR(INDEX(catClas,MATCH(D3221,catNom,0))&amp;"","")),"")</f>
        <v/>
      </c>
      <c r="L3221" s="19">
        <f>IF(I3221="","",IFERROR(INDEX(catAlim,MATCH(D3221,catNom,0))&amp;"",""))</f>
        <v/>
      </c>
      <c r="M3221" s="19">
        <f>IF(I3221="","",IFERROR(INDEX(catComida,MATCH(D3221,catNom,0))&amp;"",""))</f>
        <v/>
      </c>
      <c r="N3221" s="19">
        <f>IF(I3221="","",IFERROR(INDEX(ctaMon,MATCH(E3221,ctaNom,0))&amp;"","DOP"))</f>
        <v/>
      </c>
      <c r="O3221" s="20">
        <f>IF(I3221="","",C3221*IF(N3221="USD",TasaUSD,1))</f>
        <v/>
      </c>
      <c r="P3221" s="20">
        <f>IF(I3221="","",IF(I3221="Gasto",O3221,0))</f>
        <v/>
      </c>
      <c r="Q3221" s="20">
        <f>IF(I3221="","",IF(I3221="Ingreso",O3221,0))</f>
        <v/>
      </c>
      <c r="R3221" s="20">
        <f>IF(I3221="","",IF(I3221="Trading",O3221,0))</f>
        <v/>
      </c>
      <c r="S3221" s="19">
        <f>IF(I3221="","",IF(AND(I3221="Gasto",K3221="Variable",J3221&lt;&gt;"Trading",O3221&gt;0,O3221&lt;=Umbral),1,0))</f>
        <v/>
      </c>
      <c r="T3221" s="20">
        <f>IF(OR(I3221="",E3221=""),"",IF(OR(I3221="Gasto",I3221="Transferencia",I3221="Pago tarjeta"),-1,1)*C3221)</f>
        <v/>
      </c>
      <c r="U3221" s="20">
        <f>IF(OR(G3221="",AND(I3221&lt;&gt;"Transferencia",I3221&lt;&gt;"Pago tarjeta")),"",IF(IFERROR(INDEX(ctaMon,MATCH(G3221,ctaNom,0))&amp;"","DOP")=N3221,C3221,IF(N3221="USD",C3221*TasaUSD,C3221/TasaUSD)))</f>
        <v/>
      </c>
      <c r="V3221" s="20">
        <f>IF(I3221="","",IF(IFERROR(INDEX(ctaLiq,MATCH(E3221,ctaNom,0))="Sí",FALSE),IF(OR(I3221="Gasto",I3221="Transferencia",I3221="Pago tarjeta"),-1,1)*O3221,0)+IF(AND(U3221&lt;&gt;"",IFERROR(INDEX(ctaLiq,MATCH(G3221,ctaNom,0))="Sí",FALSE)),O3221,0))</f>
        <v/>
      </c>
      <c r="W3221" s="19">
        <f>IF(OR(F3221="",I3221=""),"",IF(COUNTIFS(F$6:F3221,F3221,I$6:I3221,"?*")=1,MAX(W$5:W3220)+1,""))</f>
        <v/>
      </c>
    </row>
    <row r="3222">
      <c r="B3222" s="15" t="n"/>
      <c r="C3222" s="16" t="n"/>
      <c r="D3222" s="17" t="n"/>
      <c r="E3222" s="17" t="n"/>
      <c r="F3222" s="17" t="n"/>
      <c r="G3222" s="17" t="n"/>
      <c r="H3222" s="18">
        <f>IF(AND(B3222="",C3222="",D3222="",E3222=""),"",IF(B3222="","⚠ Falta fecha",IF(C3222="","⚠ Falta monto",IF(D3222="","⚠ Falta categoría",IF(ISNA(MATCH(D3222,catNom,0)),"⚠ Categoría no existe",IF(E3222="","⚠ Falta cuenta",IF(ISNA(MATCH(E3222,ctaNom,0)),"⚠ Cuenta no existe",IF(AND(OR(I3222="Transferencia",I3222="Pago tarjeta"),G3222=""),"⚠ Indica la cuenta «Hacia»",IF(AND(G3222&lt;&gt;"",G3222=E3222),"⚠ «Hacia» igual a la cuenta",IF(AND(G3222&lt;&gt;"",ISNA(MATCH(G3222,ctaNom,0))),"⚠ «Hacia» no existe",IF(AND(I3222="Pago tarjeta",IFERROR(INDEX(ctaTipo,MATCH(G3222,ctaNom,0)),"")&lt;&gt;"Tarjeta de crédito"),"⚠ «Hacia» debe ser la tarjeta",IF(AND(I3222="Trading",IFERROR(INDEX(ctaTipo,MATCH(E3222,ctaNom,0)),"")&lt;&gt;"Cuenta de trading"),"⚠ Usa la cuenta de trading","✓"))))))))))))</f>
        <v/>
      </c>
      <c r="I3222" s="19">
        <f>IF(OR(B3222="",C3222="",D3222=""),"",IFERROR(INDEX(catTipo,MATCH(D3222,catNom,0))&amp;"",""))</f>
        <v/>
      </c>
      <c r="J3222" s="19">
        <f>IF(I3222="","",IFERROR(INDEX(catGrupo,MATCH(D3222,catNom,0))&amp;"",""))</f>
        <v/>
      </c>
      <c r="K3222" s="19">
        <f>IF(I3222="Gasto",IF(IFERROR(INDEX(catClas,MATCH(D3222,catNom,0))&amp;"","")="","Variable",IFERROR(INDEX(catClas,MATCH(D3222,catNom,0))&amp;"","")),"")</f>
        <v/>
      </c>
      <c r="L3222" s="19">
        <f>IF(I3222="","",IFERROR(INDEX(catAlim,MATCH(D3222,catNom,0))&amp;"",""))</f>
        <v/>
      </c>
      <c r="M3222" s="19">
        <f>IF(I3222="","",IFERROR(INDEX(catComida,MATCH(D3222,catNom,0))&amp;"",""))</f>
        <v/>
      </c>
      <c r="N3222" s="19">
        <f>IF(I3222="","",IFERROR(INDEX(ctaMon,MATCH(E3222,ctaNom,0))&amp;"","DOP"))</f>
        <v/>
      </c>
      <c r="O3222" s="20">
        <f>IF(I3222="","",C3222*IF(N3222="USD",TasaUSD,1))</f>
        <v/>
      </c>
      <c r="P3222" s="20">
        <f>IF(I3222="","",IF(I3222="Gasto",O3222,0))</f>
        <v/>
      </c>
      <c r="Q3222" s="20">
        <f>IF(I3222="","",IF(I3222="Ingreso",O3222,0))</f>
        <v/>
      </c>
      <c r="R3222" s="20">
        <f>IF(I3222="","",IF(I3222="Trading",O3222,0))</f>
        <v/>
      </c>
      <c r="S3222" s="19">
        <f>IF(I3222="","",IF(AND(I3222="Gasto",K3222="Variable",J3222&lt;&gt;"Trading",O3222&gt;0,O3222&lt;=Umbral),1,0))</f>
        <v/>
      </c>
      <c r="T3222" s="20">
        <f>IF(OR(I3222="",E3222=""),"",IF(OR(I3222="Gasto",I3222="Transferencia",I3222="Pago tarjeta"),-1,1)*C3222)</f>
        <v/>
      </c>
      <c r="U3222" s="20">
        <f>IF(OR(G3222="",AND(I3222&lt;&gt;"Transferencia",I3222&lt;&gt;"Pago tarjeta")),"",IF(IFERROR(INDEX(ctaMon,MATCH(G3222,ctaNom,0))&amp;"","DOP")=N3222,C3222,IF(N3222="USD",C3222*TasaUSD,C3222/TasaUSD)))</f>
        <v/>
      </c>
      <c r="V3222" s="20">
        <f>IF(I3222="","",IF(IFERROR(INDEX(ctaLiq,MATCH(E3222,ctaNom,0))="Sí",FALSE),IF(OR(I3222="Gasto",I3222="Transferencia",I3222="Pago tarjeta"),-1,1)*O3222,0)+IF(AND(U3222&lt;&gt;"",IFERROR(INDEX(ctaLiq,MATCH(G3222,ctaNom,0))="Sí",FALSE)),O3222,0))</f>
        <v/>
      </c>
      <c r="W3222" s="19">
        <f>IF(OR(F3222="",I3222=""),"",IF(COUNTIFS(F$6:F3222,F3222,I$6:I3222,"?*")=1,MAX(W$5:W3221)+1,""))</f>
        <v/>
      </c>
    </row>
    <row r="3223">
      <c r="B3223" s="15" t="n"/>
      <c r="C3223" s="16" t="n"/>
      <c r="D3223" s="17" t="n"/>
      <c r="E3223" s="17" t="n"/>
      <c r="F3223" s="17" t="n"/>
      <c r="G3223" s="17" t="n"/>
      <c r="H3223" s="18">
        <f>IF(AND(B3223="",C3223="",D3223="",E3223=""),"",IF(B3223="","⚠ Falta fecha",IF(C3223="","⚠ Falta monto",IF(D3223="","⚠ Falta categoría",IF(ISNA(MATCH(D3223,catNom,0)),"⚠ Categoría no existe",IF(E3223="","⚠ Falta cuenta",IF(ISNA(MATCH(E3223,ctaNom,0)),"⚠ Cuenta no existe",IF(AND(OR(I3223="Transferencia",I3223="Pago tarjeta"),G3223=""),"⚠ Indica la cuenta «Hacia»",IF(AND(G3223&lt;&gt;"",G3223=E3223),"⚠ «Hacia» igual a la cuenta",IF(AND(G3223&lt;&gt;"",ISNA(MATCH(G3223,ctaNom,0))),"⚠ «Hacia» no existe",IF(AND(I3223="Pago tarjeta",IFERROR(INDEX(ctaTipo,MATCH(G3223,ctaNom,0)),"")&lt;&gt;"Tarjeta de crédito"),"⚠ «Hacia» debe ser la tarjeta",IF(AND(I3223="Trading",IFERROR(INDEX(ctaTipo,MATCH(E3223,ctaNom,0)),"")&lt;&gt;"Cuenta de trading"),"⚠ Usa la cuenta de trading","✓"))))))))))))</f>
        <v/>
      </c>
      <c r="I3223" s="19">
        <f>IF(OR(B3223="",C3223="",D3223=""),"",IFERROR(INDEX(catTipo,MATCH(D3223,catNom,0))&amp;"",""))</f>
        <v/>
      </c>
      <c r="J3223" s="19">
        <f>IF(I3223="","",IFERROR(INDEX(catGrupo,MATCH(D3223,catNom,0))&amp;"",""))</f>
        <v/>
      </c>
      <c r="K3223" s="19">
        <f>IF(I3223="Gasto",IF(IFERROR(INDEX(catClas,MATCH(D3223,catNom,0))&amp;"","")="","Variable",IFERROR(INDEX(catClas,MATCH(D3223,catNom,0))&amp;"","")),"")</f>
        <v/>
      </c>
      <c r="L3223" s="19">
        <f>IF(I3223="","",IFERROR(INDEX(catAlim,MATCH(D3223,catNom,0))&amp;"",""))</f>
        <v/>
      </c>
      <c r="M3223" s="19">
        <f>IF(I3223="","",IFERROR(INDEX(catComida,MATCH(D3223,catNom,0))&amp;"",""))</f>
        <v/>
      </c>
      <c r="N3223" s="19">
        <f>IF(I3223="","",IFERROR(INDEX(ctaMon,MATCH(E3223,ctaNom,0))&amp;"","DOP"))</f>
        <v/>
      </c>
      <c r="O3223" s="20">
        <f>IF(I3223="","",C3223*IF(N3223="USD",TasaUSD,1))</f>
        <v/>
      </c>
      <c r="P3223" s="20">
        <f>IF(I3223="","",IF(I3223="Gasto",O3223,0))</f>
        <v/>
      </c>
      <c r="Q3223" s="20">
        <f>IF(I3223="","",IF(I3223="Ingreso",O3223,0))</f>
        <v/>
      </c>
      <c r="R3223" s="20">
        <f>IF(I3223="","",IF(I3223="Trading",O3223,0))</f>
        <v/>
      </c>
      <c r="S3223" s="19">
        <f>IF(I3223="","",IF(AND(I3223="Gasto",K3223="Variable",J3223&lt;&gt;"Trading",O3223&gt;0,O3223&lt;=Umbral),1,0))</f>
        <v/>
      </c>
      <c r="T3223" s="20">
        <f>IF(OR(I3223="",E3223=""),"",IF(OR(I3223="Gasto",I3223="Transferencia",I3223="Pago tarjeta"),-1,1)*C3223)</f>
        <v/>
      </c>
      <c r="U3223" s="20">
        <f>IF(OR(G3223="",AND(I3223&lt;&gt;"Transferencia",I3223&lt;&gt;"Pago tarjeta")),"",IF(IFERROR(INDEX(ctaMon,MATCH(G3223,ctaNom,0))&amp;"","DOP")=N3223,C3223,IF(N3223="USD",C3223*TasaUSD,C3223/TasaUSD)))</f>
        <v/>
      </c>
      <c r="V3223" s="20">
        <f>IF(I3223="","",IF(IFERROR(INDEX(ctaLiq,MATCH(E3223,ctaNom,0))="Sí",FALSE),IF(OR(I3223="Gasto",I3223="Transferencia",I3223="Pago tarjeta"),-1,1)*O3223,0)+IF(AND(U3223&lt;&gt;"",IFERROR(INDEX(ctaLiq,MATCH(G3223,ctaNom,0))="Sí",FALSE)),O3223,0))</f>
        <v/>
      </c>
      <c r="W3223" s="19">
        <f>IF(OR(F3223="",I3223=""),"",IF(COUNTIFS(F$6:F3223,F3223,I$6:I3223,"?*")=1,MAX(W$5:W3222)+1,""))</f>
        <v/>
      </c>
    </row>
    <row r="3224">
      <c r="B3224" s="15" t="n"/>
      <c r="C3224" s="16" t="n"/>
      <c r="D3224" s="17" t="n"/>
      <c r="E3224" s="17" t="n"/>
      <c r="F3224" s="17" t="n"/>
      <c r="G3224" s="17" t="n"/>
      <c r="H3224" s="18">
        <f>IF(AND(B3224="",C3224="",D3224="",E3224=""),"",IF(B3224="","⚠ Falta fecha",IF(C3224="","⚠ Falta monto",IF(D3224="","⚠ Falta categoría",IF(ISNA(MATCH(D3224,catNom,0)),"⚠ Categoría no existe",IF(E3224="","⚠ Falta cuenta",IF(ISNA(MATCH(E3224,ctaNom,0)),"⚠ Cuenta no existe",IF(AND(OR(I3224="Transferencia",I3224="Pago tarjeta"),G3224=""),"⚠ Indica la cuenta «Hacia»",IF(AND(G3224&lt;&gt;"",G3224=E3224),"⚠ «Hacia» igual a la cuenta",IF(AND(G3224&lt;&gt;"",ISNA(MATCH(G3224,ctaNom,0))),"⚠ «Hacia» no existe",IF(AND(I3224="Pago tarjeta",IFERROR(INDEX(ctaTipo,MATCH(G3224,ctaNom,0)),"")&lt;&gt;"Tarjeta de crédito"),"⚠ «Hacia» debe ser la tarjeta",IF(AND(I3224="Trading",IFERROR(INDEX(ctaTipo,MATCH(E3224,ctaNom,0)),"")&lt;&gt;"Cuenta de trading"),"⚠ Usa la cuenta de trading","✓"))))))))))))</f>
        <v/>
      </c>
      <c r="I3224" s="19">
        <f>IF(OR(B3224="",C3224="",D3224=""),"",IFERROR(INDEX(catTipo,MATCH(D3224,catNom,0))&amp;"",""))</f>
        <v/>
      </c>
      <c r="J3224" s="19">
        <f>IF(I3224="","",IFERROR(INDEX(catGrupo,MATCH(D3224,catNom,0))&amp;"",""))</f>
        <v/>
      </c>
      <c r="K3224" s="19">
        <f>IF(I3224="Gasto",IF(IFERROR(INDEX(catClas,MATCH(D3224,catNom,0))&amp;"","")="","Variable",IFERROR(INDEX(catClas,MATCH(D3224,catNom,0))&amp;"","")),"")</f>
        <v/>
      </c>
      <c r="L3224" s="19">
        <f>IF(I3224="","",IFERROR(INDEX(catAlim,MATCH(D3224,catNom,0))&amp;"",""))</f>
        <v/>
      </c>
      <c r="M3224" s="19">
        <f>IF(I3224="","",IFERROR(INDEX(catComida,MATCH(D3224,catNom,0))&amp;"",""))</f>
        <v/>
      </c>
      <c r="N3224" s="19">
        <f>IF(I3224="","",IFERROR(INDEX(ctaMon,MATCH(E3224,ctaNom,0))&amp;"","DOP"))</f>
        <v/>
      </c>
      <c r="O3224" s="20">
        <f>IF(I3224="","",C3224*IF(N3224="USD",TasaUSD,1))</f>
        <v/>
      </c>
      <c r="P3224" s="20">
        <f>IF(I3224="","",IF(I3224="Gasto",O3224,0))</f>
        <v/>
      </c>
      <c r="Q3224" s="20">
        <f>IF(I3224="","",IF(I3224="Ingreso",O3224,0))</f>
        <v/>
      </c>
      <c r="R3224" s="20">
        <f>IF(I3224="","",IF(I3224="Trading",O3224,0))</f>
        <v/>
      </c>
      <c r="S3224" s="19">
        <f>IF(I3224="","",IF(AND(I3224="Gasto",K3224="Variable",J3224&lt;&gt;"Trading",O3224&gt;0,O3224&lt;=Umbral),1,0))</f>
        <v/>
      </c>
      <c r="T3224" s="20">
        <f>IF(OR(I3224="",E3224=""),"",IF(OR(I3224="Gasto",I3224="Transferencia",I3224="Pago tarjeta"),-1,1)*C3224)</f>
        <v/>
      </c>
      <c r="U3224" s="20">
        <f>IF(OR(G3224="",AND(I3224&lt;&gt;"Transferencia",I3224&lt;&gt;"Pago tarjeta")),"",IF(IFERROR(INDEX(ctaMon,MATCH(G3224,ctaNom,0))&amp;"","DOP")=N3224,C3224,IF(N3224="USD",C3224*TasaUSD,C3224/TasaUSD)))</f>
        <v/>
      </c>
      <c r="V3224" s="20">
        <f>IF(I3224="","",IF(IFERROR(INDEX(ctaLiq,MATCH(E3224,ctaNom,0))="Sí",FALSE),IF(OR(I3224="Gasto",I3224="Transferencia",I3224="Pago tarjeta"),-1,1)*O3224,0)+IF(AND(U3224&lt;&gt;"",IFERROR(INDEX(ctaLiq,MATCH(G3224,ctaNom,0))="Sí",FALSE)),O3224,0))</f>
        <v/>
      </c>
      <c r="W3224" s="19">
        <f>IF(OR(F3224="",I3224=""),"",IF(COUNTIFS(F$6:F3224,F3224,I$6:I3224,"?*")=1,MAX(W$5:W3223)+1,""))</f>
        <v/>
      </c>
    </row>
    <row r="3225">
      <c r="B3225" s="15" t="n"/>
      <c r="C3225" s="16" t="n"/>
      <c r="D3225" s="17" t="n"/>
      <c r="E3225" s="17" t="n"/>
      <c r="F3225" s="17" t="n"/>
      <c r="G3225" s="17" t="n"/>
      <c r="H3225" s="18">
        <f>IF(AND(B3225="",C3225="",D3225="",E3225=""),"",IF(B3225="","⚠ Falta fecha",IF(C3225="","⚠ Falta monto",IF(D3225="","⚠ Falta categoría",IF(ISNA(MATCH(D3225,catNom,0)),"⚠ Categoría no existe",IF(E3225="","⚠ Falta cuenta",IF(ISNA(MATCH(E3225,ctaNom,0)),"⚠ Cuenta no existe",IF(AND(OR(I3225="Transferencia",I3225="Pago tarjeta"),G3225=""),"⚠ Indica la cuenta «Hacia»",IF(AND(G3225&lt;&gt;"",G3225=E3225),"⚠ «Hacia» igual a la cuenta",IF(AND(G3225&lt;&gt;"",ISNA(MATCH(G3225,ctaNom,0))),"⚠ «Hacia» no existe",IF(AND(I3225="Pago tarjeta",IFERROR(INDEX(ctaTipo,MATCH(G3225,ctaNom,0)),"")&lt;&gt;"Tarjeta de crédito"),"⚠ «Hacia» debe ser la tarjeta",IF(AND(I3225="Trading",IFERROR(INDEX(ctaTipo,MATCH(E3225,ctaNom,0)),"")&lt;&gt;"Cuenta de trading"),"⚠ Usa la cuenta de trading","✓"))))))))))))</f>
        <v/>
      </c>
      <c r="I3225" s="19">
        <f>IF(OR(B3225="",C3225="",D3225=""),"",IFERROR(INDEX(catTipo,MATCH(D3225,catNom,0))&amp;"",""))</f>
        <v/>
      </c>
      <c r="J3225" s="19">
        <f>IF(I3225="","",IFERROR(INDEX(catGrupo,MATCH(D3225,catNom,0))&amp;"",""))</f>
        <v/>
      </c>
      <c r="K3225" s="19">
        <f>IF(I3225="Gasto",IF(IFERROR(INDEX(catClas,MATCH(D3225,catNom,0))&amp;"","")="","Variable",IFERROR(INDEX(catClas,MATCH(D3225,catNom,0))&amp;"","")),"")</f>
        <v/>
      </c>
      <c r="L3225" s="19">
        <f>IF(I3225="","",IFERROR(INDEX(catAlim,MATCH(D3225,catNom,0))&amp;"",""))</f>
        <v/>
      </c>
      <c r="M3225" s="19">
        <f>IF(I3225="","",IFERROR(INDEX(catComida,MATCH(D3225,catNom,0))&amp;"",""))</f>
        <v/>
      </c>
      <c r="N3225" s="19">
        <f>IF(I3225="","",IFERROR(INDEX(ctaMon,MATCH(E3225,ctaNom,0))&amp;"","DOP"))</f>
        <v/>
      </c>
      <c r="O3225" s="20">
        <f>IF(I3225="","",C3225*IF(N3225="USD",TasaUSD,1))</f>
        <v/>
      </c>
      <c r="P3225" s="20">
        <f>IF(I3225="","",IF(I3225="Gasto",O3225,0))</f>
        <v/>
      </c>
      <c r="Q3225" s="20">
        <f>IF(I3225="","",IF(I3225="Ingreso",O3225,0))</f>
        <v/>
      </c>
      <c r="R3225" s="20">
        <f>IF(I3225="","",IF(I3225="Trading",O3225,0))</f>
        <v/>
      </c>
      <c r="S3225" s="19">
        <f>IF(I3225="","",IF(AND(I3225="Gasto",K3225="Variable",J3225&lt;&gt;"Trading",O3225&gt;0,O3225&lt;=Umbral),1,0))</f>
        <v/>
      </c>
      <c r="T3225" s="20">
        <f>IF(OR(I3225="",E3225=""),"",IF(OR(I3225="Gasto",I3225="Transferencia",I3225="Pago tarjeta"),-1,1)*C3225)</f>
        <v/>
      </c>
      <c r="U3225" s="20">
        <f>IF(OR(G3225="",AND(I3225&lt;&gt;"Transferencia",I3225&lt;&gt;"Pago tarjeta")),"",IF(IFERROR(INDEX(ctaMon,MATCH(G3225,ctaNom,0))&amp;"","DOP")=N3225,C3225,IF(N3225="USD",C3225*TasaUSD,C3225/TasaUSD)))</f>
        <v/>
      </c>
      <c r="V3225" s="20">
        <f>IF(I3225="","",IF(IFERROR(INDEX(ctaLiq,MATCH(E3225,ctaNom,0))="Sí",FALSE),IF(OR(I3225="Gasto",I3225="Transferencia",I3225="Pago tarjeta"),-1,1)*O3225,0)+IF(AND(U3225&lt;&gt;"",IFERROR(INDEX(ctaLiq,MATCH(G3225,ctaNom,0))="Sí",FALSE)),O3225,0))</f>
        <v/>
      </c>
      <c r="W3225" s="19">
        <f>IF(OR(F3225="",I3225=""),"",IF(COUNTIFS(F$6:F3225,F3225,I$6:I3225,"?*")=1,MAX(W$5:W3224)+1,""))</f>
        <v/>
      </c>
    </row>
    <row r="3226">
      <c r="B3226" s="15" t="n"/>
      <c r="C3226" s="16" t="n"/>
      <c r="D3226" s="17" t="n"/>
      <c r="E3226" s="17" t="n"/>
      <c r="F3226" s="17" t="n"/>
      <c r="G3226" s="17" t="n"/>
      <c r="H3226" s="18">
        <f>IF(AND(B3226="",C3226="",D3226="",E3226=""),"",IF(B3226="","⚠ Falta fecha",IF(C3226="","⚠ Falta monto",IF(D3226="","⚠ Falta categoría",IF(ISNA(MATCH(D3226,catNom,0)),"⚠ Categoría no existe",IF(E3226="","⚠ Falta cuenta",IF(ISNA(MATCH(E3226,ctaNom,0)),"⚠ Cuenta no existe",IF(AND(OR(I3226="Transferencia",I3226="Pago tarjeta"),G3226=""),"⚠ Indica la cuenta «Hacia»",IF(AND(G3226&lt;&gt;"",G3226=E3226),"⚠ «Hacia» igual a la cuenta",IF(AND(G3226&lt;&gt;"",ISNA(MATCH(G3226,ctaNom,0))),"⚠ «Hacia» no existe",IF(AND(I3226="Pago tarjeta",IFERROR(INDEX(ctaTipo,MATCH(G3226,ctaNom,0)),"")&lt;&gt;"Tarjeta de crédito"),"⚠ «Hacia» debe ser la tarjeta",IF(AND(I3226="Trading",IFERROR(INDEX(ctaTipo,MATCH(E3226,ctaNom,0)),"")&lt;&gt;"Cuenta de trading"),"⚠ Usa la cuenta de trading","✓"))))))))))))</f>
        <v/>
      </c>
      <c r="I3226" s="19">
        <f>IF(OR(B3226="",C3226="",D3226=""),"",IFERROR(INDEX(catTipo,MATCH(D3226,catNom,0))&amp;"",""))</f>
        <v/>
      </c>
      <c r="J3226" s="19">
        <f>IF(I3226="","",IFERROR(INDEX(catGrupo,MATCH(D3226,catNom,0))&amp;"",""))</f>
        <v/>
      </c>
      <c r="K3226" s="19">
        <f>IF(I3226="Gasto",IF(IFERROR(INDEX(catClas,MATCH(D3226,catNom,0))&amp;"","")="","Variable",IFERROR(INDEX(catClas,MATCH(D3226,catNom,0))&amp;"","")),"")</f>
        <v/>
      </c>
      <c r="L3226" s="19">
        <f>IF(I3226="","",IFERROR(INDEX(catAlim,MATCH(D3226,catNom,0))&amp;"",""))</f>
        <v/>
      </c>
      <c r="M3226" s="19">
        <f>IF(I3226="","",IFERROR(INDEX(catComida,MATCH(D3226,catNom,0))&amp;"",""))</f>
        <v/>
      </c>
      <c r="N3226" s="19">
        <f>IF(I3226="","",IFERROR(INDEX(ctaMon,MATCH(E3226,ctaNom,0))&amp;"","DOP"))</f>
        <v/>
      </c>
      <c r="O3226" s="20">
        <f>IF(I3226="","",C3226*IF(N3226="USD",TasaUSD,1))</f>
        <v/>
      </c>
      <c r="P3226" s="20">
        <f>IF(I3226="","",IF(I3226="Gasto",O3226,0))</f>
        <v/>
      </c>
      <c r="Q3226" s="20">
        <f>IF(I3226="","",IF(I3226="Ingreso",O3226,0))</f>
        <v/>
      </c>
      <c r="R3226" s="20">
        <f>IF(I3226="","",IF(I3226="Trading",O3226,0))</f>
        <v/>
      </c>
      <c r="S3226" s="19">
        <f>IF(I3226="","",IF(AND(I3226="Gasto",K3226="Variable",J3226&lt;&gt;"Trading",O3226&gt;0,O3226&lt;=Umbral),1,0))</f>
        <v/>
      </c>
      <c r="T3226" s="20">
        <f>IF(OR(I3226="",E3226=""),"",IF(OR(I3226="Gasto",I3226="Transferencia",I3226="Pago tarjeta"),-1,1)*C3226)</f>
        <v/>
      </c>
      <c r="U3226" s="20">
        <f>IF(OR(G3226="",AND(I3226&lt;&gt;"Transferencia",I3226&lt;&gt;"Pago tarjeta")),"",IF(IFERROR(INDEX(ctaMon,MATCH(G3226,ctaNom,0))&amp;"","DOP")=N3226,C3226,IF(N3226="USD",C3226*TasaUSD,C3226/TasaUSD)))</f>
        <v/>
      </c>
      <c r="V3226" s="20">
        <f>IF(I3226="","",IF(IFERROR(INDEX(ctaLiq,MATCH(E3226,ctaNom,0))="Sí",FALSE),IF(OR(I3226="Gasto",I3226="Transferencia",I3226="Pago tarjeta"),-1,1)*O3226,0)+IF(AND(U3226&lt;&gt;"",IFERROR(INDEX(ctaLiq,MATCH(G3226,ctaNom,0))="Sí",FALSE)),O3226,0))</f>
        <v/>
      </c>
      <c r="W3226" s="19">
        <f>IF(OR(F3226="",I3226=""),"",IF(COUNTIFS(F$6:F3226,F3226,I$6:I3226,"?*")=1,MAX(W$5:W3225)+1,""))</f>
        <v/>
      </c>
    </row>
    <row r="3227">
      <c r="B3227" s="15" t="n"/>
      <c r="C3227" s="16" t="n"/>
      <c r="D3227" s="17" t="n"/>
      <c r="E3227" s="17" t="n"/>
      <c r="F3227" s="17" t="n"/>
      <c r="G3227" s="17" t="n"/>
      <c r="H3227" s="18">
        <f>IF(AND(B3227="",C3227="",D3227="",E3227=""),"",IF(B3227="","⚠ Falta fecha",IF(C3227="","⚠ Falta monto",IF(D3227="","⚠ Falta categoría",IF(ISNA(MATCH(D3227,catNom,0)),"⚠ Categoría no existe",IF(E3227="","⚠ Falta cuenta",IF(ISNA(MATCH(E3227,ctaNom,0)),"⚠ Cuenta no existe",IF(AND(OR(I3227="Transferencia",I3227="Pago tarjeta"),G3227=""),"⚠ Indica la cuenta «Hacia»",IF(AND(G3227&lt;&gt;"",G3227=E3227),"⚠ «Hacia» igual a la cuenta",IF(AND(G3227&lt;&gt;"",ISNA(MATCH(G3227,ctaNom,0))),"⚠ «Hacia» no existe",IF(AND(I3227="Pago tarjeta",IFERROR(INDEX(ctaTipo,MATCH(G3227,ctaNom,0)),"")&lt;&gt;"Tarjeta de crédito"),"⚠ «Hacia» debe ser la tarjeta",IF(AND(I3227="Trading",IFERROR(INDEX(ctaTipo,MATCH(E3227,ctaNom,0)),"")&lt;&gt;"Cuenta de trading"),"⚠ Usa la cuenta de trading","✓"))))))))))))</f>
        <v/>
      </c>
      <c r="I3227" s="19">
        <f>IF(OR(B3227="",C3227="",D3227=""),"",IFERROR(INDEX(catTipo,MATCH(D3227,catNom,0))&amp;"",""))</f>
        <v/>
      </c>
      <c r="J3227" s="19">
        <f>IF(I3227="","",IFERROR(INDEX(catGrupo,MATCH(D3227,catNom,0))&amp;"",""))</f>
        <v/>
      </c>
      <c r="K3227" s="19">
        <f>IF(I3227="Gasto",IF(IFERROR(INDEX(catClas,MATCH(D3227,catNom,0))&amp;"","")="","Variable",IFERROR(INDEX(catClas,MATCH(D3227,catNom,0))&amp;"","")),"")</f>
        <v/>
      </c>
      <c r="L3227" s="19">
        <f>IF(I3227="","",IFERROR(INDEX(catAlim,MATCH(D3227,catNom,0))&amp;"",""))</f>
        <v/>
      </c>
      <c r="M3227" s="19">
        <f>IF(I3227="","",IFERROR(INDEX(catComida,MATCH(D3227,catNom,0))&amp;"",""))</f>
        <v/>
      </c>
      <c r="N3227" s="19">
        <f>IF(I3227="","",IFERROR(INDEX(ctaMon,MATCH(E3227,ctaNom,0))&amp;"","DOP"))</f>
        <v/>
      </c>
      <c r="O3227" s="20">
        <f>IF(I3227="","",C3227*IF(N3227="USD",TasaUSD,1))</f>
        <v/>
      </c>
      <c r="P3227" s="20">
        <f>IF(I3227="","",IF(I3227="Gasto",O3227,0))</f>
        <v/>
      </c>
      <c r="Q3227" s="20">
        <f>IF(I3227="","",IF(I3227="Ingreso",O3227,0))</f>
        <v/>
      </c>
      <c r="R3227" s="20">
        <f>IF(I3227="","",IF(I3227="Trading",O3227,0))</f>
        <v/>
      </c>
      <c r="S3227" s="19">
        <f>IF(I3227="","",IF(AND(I3227="Gasto",K3227="Variable",J3227&lt;&gt;"Trading",O3227&gt;0,O3227&lt;=Umbral),1,0))</f>
        <v/>
      </c>
      <c r="T3227" s="20">
        <f>IF(OR(I3227="",E3227=""),"",IF(OR(I3227="Gasto",I3227="Transferencia",I3227="Pago tarjeta"),-1,1)*C3227)</f>
        <v/>
      </c>
      <c r="U3227" s="20">
        <f>IF(OR(G3227="",AND(I3227&lt;&gt;"Transferencia",I3227&lt;&gt;"Pago tarjeta")),"",IF(IFERROR(INDEX(ctaMon,MATCH(G3227,ctaNom,0))&amp;"","DOP")=N3227,C3227,IF(N3227="USD",C3227*TasaUSD,C3227/TasaUSD)))</f>
        <v/>
      </c>
      <c r="V3227" s="20">
        <f>IF(I3227="","",IF(IFERROR(INDEX(ctaLiq,MATCH(E3227,ctaNom,0))="Sí",FALSE),IF(OR(I3227="Gasto",I3227="Transferencia",I3227="Pago tarjeta"),-1,1)*O3227,0)+IF(AND(U3227&lt;&gt;"",IFERROR(INDEX(ctaLiq,MATCH(G3227,ctaNom,0))="Sí",FALSE)),O3227,0))</f>
        <v/>
      </c>
      <c r="W3227" s="19">
        <f>IF(OR(F3227="",I3227=""),"",IF(COUNTIFS(F$6:F3227,F3227,I$6:I3227,"?*")=1,MAX(W$5:W3226)+1,""))</f>
        <v/>
      </c>
    </row>
    <row r="3228">
      <c r="B3228" s="15" t="n"/>
      <c r="C3228" s="16" t="n"/>
      <c r="D3228" s="17" t="n"/>
      <c r="E3228" s="17" t="n"/>
      <c r="F3228" s="17" t="n"/>
      <c r="G3228" s="17" t="n"/>
      <c r="H3228" s="18">
        <f>IF(AND(B3228="",C3228="",D3228="",E3228=""),"",IF(B3228="","⚠ Falta fecha",IF(C3228="","⚠ Falta monto",IF(D3228="","⚠ Falta categoría",IF(ISNA(MATCH(D3228,catNom,0)),"⚠ Categoría no existe",IF(E3228="","⚠ Falta cuenta",IF(ISNA(MATCH(E3228,ctaNom,0)),"⚠ Cuenta no existe",IF(AND(OR(I3228="Transferencia",I3228="Pago tarjeta"),G3228=""),"⚠ Indica la cuenta «Hacia»",IF(AND(G3228&lt;&gt;"",G3228=E3228),"⚠ «Hacia» igual a la cuenta",IF(AND(G3228&lt;&gt;"",ISNA(MATCH(G3228,ctaNom,0))),"⚠ «Hacia» no existe",IF(AND(I3228="Pago tarjeta",IFERROR(INDEX(ctaTipo,MATCH(G3228,ctaNom,0)),"")&lt;&gt;"Tarjeta de crédito"),"⚠ «Hacia» debe ser la tarjeta",IF(AND(I3228="Trading",IFERROR(INDEX(ctaTipo,MATCH(E3228,ctaNom,0)),"")&lt;&gt;"Cuenta de trading"),"⚠ Usa la cuenta de trading","✓"))))))))))))</f>
        <v/>
      </c>
      <c r="I3228" s="19">
        <f>IF(OR(B3228="",C3228="",D3228=""),"",IFERROR(INDEX(catTipo,MATCH(D3228,catNom,0))&amp;"",""))</f>
        <v/>
      </c>
      <c r="J3228" s="19">
        <f>IF(I3228="","",IFERROR(INDEX(catGrupo,MATCH(D3228,catNom,0))&amp;"",""))</f>
        <v/>
      </c>
      <c r="K3228" s="19">
        <f>IF(I3228="Gasto",IF(IFERROR(INDEX(catClas,MATCH(D3228,catNom,0))&amp;"","")="","Variable",IFERROR(INDEX(catClas,MATCH(D3228,catNom,0))&amp;"","")),"")</f>
        <v/>
      </c>
      <c r="L3228" s="19">
        <f>IF(I3228="","",IFERROR(INDEX(catAlim,MATCH(D3228,catNom,0))&amp;"",""))</f>
        <v/>
      </c>
      <c r="M3228" s="19">
        <f>IF(I3228="","",IFERROR(INDEX(catComida,MATCH(D3228,catNom,0))&amp;"",""))</f>
        <v/>
      </c>
      <c r="N3228" s="19">
        <f>IF(I3228="","",IFERROR(INDEX(ctaMon,MATCH(E3228,ctaNom,0))&amp;"","DOP"))</f>
        <v/>
      </c>
      <c r="O3228" s="20">
        <f>IF(I3228="","",C3228*IF(N3228="USD",TasaUSD,1))</f>
        <v/>
      </c>
      <c r="P3228" s="20">
        <f>IF(I3228="","",IF(I3228="Gasto",O3228,0))</f>
        <v/>
      </c>
      <c r="Q3228" s="20">
        <f>IF(I3228="","",IF(I3228="Ingreso",O3228,0))</f>
        <v/>
      </c>
      <c r="R3228" s="20">
        <f>IF(I3228="","",IF(I3228="Trading",O3228,0))</f>
        <v/>
      </c>
      <c r="S3228" s="19">
        <f>IF(I3228="","",IF(AND(I3228="Gasto",K3228="Variable",J3228&lt;&gt;"Trading",O3228&gt;0,O3228&lt;=Umbral),1,0))</f>
        <v/>
      </c>
      <c r="T3228" s="20">
        <f>IF(OR(I3228="",E3228=""),"",IF(OR(I3228="Gasto",I3228="Transferencia",I3228="Pago tarjeta"),-1,1)*C3228)</f>
        <v/>
      </c>
      <c r="U3228" s="20">
        <f>IF(OR(G3228="",AND(I3228&lt;&gt;"Transferencia",I3228&lt;&gt;"Pago tarjeta")),"",IF(IFERROR(INDEX(ctaMon,MATCH(G3228,ctaNom,0))&amp;"","DOP")=N3228,C3228,IF(N3228="USD",C3228*TasaUSD,C3228/TasaUSD)))</f>
        <v/>
      </c>
      <c r="V3228" s="20">
        <f>IF(I3228="","",IF(IFERROR(INDEX(ctaLiq,MATCH(E3228,ctaNom,0))="Sí",FALSE),IF(OR(I3228="Gasto",I3228="Transferencia",I3228="Pago tarjeta"),-1,1)*O3228,0)+IF(AND(U3228&lt;&gt;"",IFERROR(INDEX(ctaLiq,MATCH(G3228,ctaNom,0))="Sí",FALSE)),O3228,0))</f>
        <v/>
      </c>
      <c r="W3228" s="19">
        <f>IF(OR(F3228="",I3228=""),"",IF(COUNTIFS(F$6:F3228,F3228,I$6:I3228,"?*")=1,MAX(W$5:W3227)+1,""))</f>
        <v/>
      </c>
    </row>
    <row r="3229">
      <c r="B3229" s="15" t="n"/>
      <c r="C3229" s="16" t="n"/>
      <c r="D3229" s="17" t="n"/>
      <c r="E3229" s="17" t="n"/>
      <c r="F3229" s="17" t="n"/>
      <c r="G3229" s="17" t="n"/>
      <c r="H3229" s="18">
        <f>IF(AND(B3229="",C3229="",D3229="",E3229=""),"",IF(B3229="","⚠ Falta fecha",IF(C3229="","⚠ Falta monto",IF(D3229="","⚠ Falta categoría",IF(ISNA(MATCH(D3229,catNom,0)),"⚠ Categoría no existe",IF(E3229="","⚠ Falta cuenta",IF(ISNA(MATCH(E3229,ctaNom,0)),"⚠ Cuenta no existe",IF(AND(OR(I3229="Transferencia",I3229="Pago tarjeta"),G3229=""),"⚠ Indica la cuenta «Hacia»",IF(AND(G3229&lt;&gt;"",G3229=E3229),"⚠ «Hacia» igual a la cuenta",IF(AND(G3229&lt;&gt;"",ISNA(MATCH(G3229,ctaNom,0))),"⚠ «Hacia» no existe",IF(AND(I3229="Pago tarjeta",IFERROR(INDEX(ctaTipo,MATCH(G3229,ctaNom,0)),"")&lt;&gt;"Tarjeta de crédito"),"⚠ «Hacia» debe ser la tarjeta",IF(AND(I3229="Trading",IFERROR(INDEX(ctaTipo,MATCH(E3229,ctaNom,0)),"")&lt;&gt;"Cuenta de trading"),"⚠ Usa la cuenta de trading","✓"))))))))))))</f>
        <v/>
      </c>
      <c r="I3229" s="19">
        <f>IF(OR(B3229="",C3229="",D3229=""),"",IFERROR(INDEX(catTipo,MATCH(D3229,catNom,0))&amp;"",""))</f>
        <v/>
      </c>
      <c r="J3229" s="19">
        <f>IF(I3229="","",IFERROR(INDEX(catGrupo,MATCH(D3229,catNom,0))&amp;"",""))</f>
        <v/>
      </c>
      <c r="K3229" s="19">
        <f>IF(I3229="Gasto",IF(IFERROR(INDEX(catClas,MATCH(D3229,catNom,0))&amp;"","")="","Variable",IFERROR(INDEX(catClas,MATCH(D3229,catNom,0))&amp;"","")),"")</f>
        <v/>
      </c>
      <c r="L3229" s="19">
        <f>IF(I3229="","",IFERROR(INDEX(catAlim,MATCH(D3229,catNom,0))&amp;"",""))</f>
        <v/>
      </c>
      <c r="M3229" s="19">
        <f>IF(I3229="","",IFERROR(INDEX(catComida,MATCH(D3229,catNom,0))&amp;"",""))</f>
        <v/>
      </c>
      <c r="N3229" s="19">
        <f>IF(I3229="","",IFERROR(INDEX(ctaMon,MATCH(E3229,ctaNom,0))&amp;"","DOP"))</f>
        <v/>
      </c>
      <c r="O3229" s="20">
        <f>IF(I3229="","",C3229*IF(N3229="USD",TasaUSD,1))</f>
        <v/>
      </c>
      <c r="P3229" s="20">
        <f>IF(I3229="","",IF(I3229="Gasto",O3229,0))</f>
        <v/>
      </c>
      <c r="Q3229" s="20">
        <f>IF(I3229="","",IF(I3229="Ingreso",O3229,0))</f>
        <v/>
      </c>
      <c r="R3229" s="20">
        <f>IF(I3229="","",IF(I3229="Trading",O3229,0))</f>
        <v/>
      </c>
      <c r="S3229" s="19">
        <f>IF(I3229="","",IF(AND(I3229="Gasto",K3229="Variable",J3229&lt;&gt;"Trading",O3229&gt;0,O3229&lt;=Umbral),1,0))</f>
        <v/>
      </c>
      <c r="T3229" s="20">
        <f>IF(OR(I3229="",E3229=""),"",IF(OR(I3229="Gasto",I3229="Transferencia",I3229="Pago tarjeta"),-1,1)*C3229)</f>
        <v/>
      </c>
      <c r="U3229" s="20">
        <f>IF(OR(G3229="",AND(I3229&lt;&gt;"Transferencia",I3229&lt;&gt;"Pago tarjeta")),"",IF(IFERROR(INDEX(ctaMon,MATCH(G3229,ctaNom,0))&amp;"","DOP")=N3229,C3229,IF(N3229="USD",C3229*TasaUSD,C3229/TasaUSD)))</f>
        <v/>
      </c>
      <c r="V3229" s="20">
        <f>IF(I3229="","",IF(IFERROR(INDEX(ctaLiq,MATCH(E3229,ctaNom,0))="Sí",FALSE),IF(OR(I3229="Gasto",I3229="Transferencia",I3229="Pago tarjeta"),-1,1)*O3229,0)+IF(AND(U3229&lt;&gt;"",IFERROR(INDEX(ctaLiq,MATCH(G3229,ctaNom,0))="Sí",FALSE)),O3229,0))</f>
        <v/>
      </c>
      <c r="W3229" s="19">
        <f>IF(OR(F3229="",I3229=""),"",IF(COUNTIFS(F$6:F3229,F3229,I$6:I3229,"?*")=1,MAX(W$5:W3228)+1,""))</f>
        <v/>
      </c>
    </row>
    <row r="3230">
      <c r="B3230" s="15" t="n"/>
      <c r="C3230" s="16" t="n"/>
      <c r="D3230" s="17" t="n"/>
      <c r="E3230" s="17" t="n"/>
      <c r="F3230" s="17" t="n"/>
      <c r="G3230" s="17" t="n"/>
      <c r="H3230" s="18">
        <f>IF(AND(B3230="",C3230="",D3230="",E3230=""),"",IF(B3230="","⚠ Falta fecha",IF(C3230="","⚠ Falta monto",IF(D3230="","⚠ Falta categoría",IF(ISNA(MATCH(D3230,catNom,0)),"⚠ Categoría no existe",IF(E3230="","⚠ Falta cuenta",IF(ISNA(MATCH(E3230,ctaNom,0)),"⚠ Cuenta no existe",IF(AND(OR(I3230="Transferencia",I3230="Pago tarjeta"),G3230=""),"⚠ Indica la cuenta «Hacia»",IF(AND(G3230&lt;&gt;"",G3230=E3230),"⚠ «Hacia» igual a la cuenta",IF(AND(G3230&lt;&gt;"",ISNA(MATCH(G3230,ctaNom,0))),"⚠ «Hacia» no existe",IF(AND(I3230="Pago tarjeta",IFERROR(INDEX(ctaTipo,MATCH(G3230,ctaNom,0)),"")&lt;&gt;"Tarjeta de crédito"),"⚠ «Hacia» debe ser la tarjeta",IF(AND(I3230="Trading",IFERROR(INDEX(ctaTipo,MATCH(E3230,ctaNom,0)),"")&lt;&gt;"Cuenta de trading"),"⚠ Usa la cuenta de trading","✓"))))))))))))</f>
        <v/>
      </c>
      <c r="I3230" s="19">
        <f>IF(OR(B3230="",C3230="",D3230=""),"",IFERROR(INDEX(catTipo,MATCH(D3230,catNom,0))&amp;"",""))</f>
        <v/>
      </c>
      <c r="J3230" s="19">
        <f>IF(I3230="","",IFERROR(INDEX(catGrupo,MATCH(D3230,catNom,0))&amp;"",""))</f>
        <v/>
      </c>
      <c r="K3230" s="19">
        <f>IF(I3230="Gasto",IF(IFERROR(INDEX(catClas,MATCH(D3230,catNom,0))&amp;"","")="","Variable",IFERROR(INDEX(catClas,MATCH(D3230,catNom,0))&amp;"","")),"")</f>
        <v/>
      </c>
      <c r="L3230" s="19">
        <f>IF(I3230="","",IFERROR(INDEX(catAlim,MATCH(D3230,catNom,0))&amp;"",""))</f>
        <v/>
      </c>
      <c r="M3230" s="19">
        <f>IF(I3230="","",IFERROR(INDEX(catComida,MATCH(D3230,catNom,0))&amp;"",""))</f>
        <v/>
      </c>
      <c r="N3230" s="19">
        <f>IF(I3230="","",IFERROR(INDEX(ctaMon,MATCH(E3230,ctaNom,0))&amp;"","DOP"))</f>
        <v/>
      </c>
      <c r="O3230" s="20">
        <f>IF(I3230="","",C3230*IF(N3230="USD",TasaUSD,1))</f>
        <v/>
      </c>
      <c r="P3230" s="20">
        <f>IF(I3230="","",IF(I3230="Gasto",O3230,0))</f>
        <v/>
      </c>
      <c r="Q3230" s="20">
        <f>IF(I3230="","",IF(I3230="Ingreso",O3230,0))</f>
        <v/>
      </c>
      <c r="R3230" s="20">
        <f>IF(I3230="","",IF(I3230="Trading",O3230,0))</f>
        <v/>
      </c>
      <c r="S3230" s="19">
        <f>IF(I3230="","",IF(AND(I3230="Gasto",K3230="Variable",J3230&lt;&gt;"Trading",O3230&gt;0,O3230&lt;=Umbral),1,0))</f>
        <v/>
      </c>
      <c r="T3230" s="20">
        <f>IF(OR(I3230="",E3230=""),"",IF(OR(I3230="Gasto",I3230="Transferencia",I3230="Pago tarjeta"),-1,1)*C3230)</f>
        <v/>
      </c>
      <c r="U3230" s="20">
        <f>IF(OR(G3230="",AND(I3230&lt;&gt;"Transferencia",I3230&lt;&gt;"Pago tarjeta")),"",IF(IFERROR(INDEX(ctaMon,MATCH(G3230,ctaNom,0))&amp;"","DOP")=N3230,C3230,IF(N3230="USD",C3230*TasaUSD,C3230/TasaUSD)))</f>
        <v/>
      </c>
      <c r="V3230" s="20">
        <f>IF(I3230="","",IF(IFERROR(INDEX(ctaLiq,MATCH(E3230,ctaNom,0))="Sí",FALSE),IF(OR(I3230="Gasto",I3230="Transferencia",I3230="Pago tarjeta"),-1,1)*O3230,0)+IF(AND(U3230&lt;&gt;"",IFERROR(INDEX(ctaLiq,MATCH(G3230,ctaNom,0))="Sí",FALSE)),O3230,0))</f>
        <v/>
      </c>
      <c r="W3230" s="19">
        <f>IF(OR(F3230="",I3230=""),"",IF(COUNTIFS(F$6:F3230,F3230,I$6:I3230,"?*")=1,MAX(W$5:W3229)+1,""))</f>
        <v/>
      </c>
    </row>
    <row r="3231">
      <c r="B3231" s="15" t="n"/>
      <c r="C3231" s="16" t="n"/>
      <c r="D3231" s="17" t="n"/>
      <c r="E3231" s="17" t="n"/>
      <c r="F3231" s="17" t="n"/>
      <c r="G3231" s="17" t="n"/>
      <c r="H3231" s="18">
        <f>IF(AND(B3231="",C3231="",D3231="",E3231=""),"",IF(B3231="","⚠ Falta fecha",IF(C3231="","⚠ Falta monto",IF(D3231="","⚠ Falta categoría",IF(ISNA(MATCH(D3231,catNom,0)),"⚠ Categoría no existe",IF(E3231="","⚠ Falta cuenta",IF(ISNA(MATCH(E3231,ctaNom,0)),"⚠ Cuenta no existe",IF(AND(OR(I3231="Transferencia",I3231="Pago tarjeta"),G3231=""),"⚠ Indica la cuenta «Hacia»",IF(AND(G3231&lt;&gt;"",G3231=E3231),"⚠ «Hacia» igual a la cuenta",IF(AND(G3231&lt;&gt;"",ISNA(MATCH(G3231,ctaNom,0))),"⚠ «Hacia» no existe",IF(AND(I3231="Pago tarjeta",IFERROR(INDEX(ctaTipo,MATCH(G3231,ctaNom,0)),"")&lt;&gt;"Tarjeta de crédito"),"⚠ «Hacia» debe ser la tarjeta",IF(AND(I3231="Trading",IFERROR(INDEX(ctaTipo,MATCH(E3231,ctaNom,0)),"")&lt;&gt;"Cuenta de trading"),"⚠ Usa la cuenta de trading","✓"))))))))))))</f>
        <v/>
      </c>
      <c r="I3231" s="19">
        <f>IF(OR(B3231="",C3231="",D3231=""),"",IFERROR(INDEX(catTipo,MATCH(D3231,catNom,0))&amp;"",""))</f>
        <v/>
      </c>
      <c r="J3231" s="19">
        <f>IF(I3231="","",IFERROR(INDEX(catGrupo,MATCH(D3231,catNom,0))&amp;"",""))</f>
        <v/>
      </c>
      <c r="K3231" s="19">
        <f>IF(I3231="Gasto",IF(IFERROR(INDEX(catClas,MATCH(D3231,catNom,0))&amp;"","")="","Variable",IFERROR(INDEX(catClas,MATCH(D3231,catNom,0))&amp;"","")),"")</f>
        <v/>
      </c>
      <c r="L3231" s="19">
        <f>IF(I3231="","",IFERROR(INDEX(catAlim,MATCH(D3231,catNom,0))&amp;"",""))</f>
        <v/>
      </c>
      <c r="M3231" s="19">
        <f>IF(I3231="","",IFERROR(INDEX(catComida,MATCH(D3231,catNom,0))&amp;"",""))</f>
        <v/>
      </c>
      <c r="N3231" s="19">
        <f>IF(I3231="","",IFERROR(INDEX(ctaMon,MATCH(E3231,ctaNom,0))&amp;"","DOP"))</f>
        <v/>
      </c>
      <c r="O3231" s="20">
        <f>IF(I3231="","",C3231*IF(N3231="USD",TasaUSD,1))</f>
        <v/>
      </c>
      <c r="P3231" s="20">
        <f>IF(I3231="","",IF(I3231="Gasto",O3231,0))</f>
        <v/>
      </c>
      <c r="Q3231" s="20">
        <f>IF(I3231="","",IF(I3231="Ingreso",O3231,0))</f>
        <v/>
      </c>
      <c r="R3231" s="20">
        <f>IF(I3231="","",IF(I3231="Trading",O3231,0))</f>
        <v/>
      </c>
      <c r="S3231" s="19">
        <f>IF(I3231="","",IF(AND(I3231="Gasto",K3231="Variable",J3231&lt;&gt;"Trading",O3231&gt;0,O3231&lt;=Umbral),1,0))</f>
        <v/>
      </c>
      <c r="T3231" s="20">
        <f>IF(OR(I3231="",E3231=""),"",IF(OR(I3231="Gasto",I3231="Transferencia",I3231="Pago tarjeta"),-1,1)*C3231)</f>
        <v/>
      </c>
      <c r="U3231" s="20">
        <f>IF(OR(G3231="",AND(I3231&lt;&gt;"Transferencia",I3231&lt;&gt;"Pago tarjeta")),"",IF(IFERROR(INDEX(ctaMon,MATCH(G3231,ctaNom,0))&amp;"","DOP")=N3231,C3231,IF(N3231="USD",C3231*TasaUSD,C3231/TasaUSD)))</f>
        <v/>
      </c>
      <c r="V3231" s="20">
        <f>IF(I3231="","",IF(IFERROR(INDEX(ctaLiq,MATCH(E3231,ctaNom,0))="Sí",FALSE),IF(OR(I3231="Gasto",I3231="Transferencia",I3231="Pago tarjeta"),-1,1)*O3231,0)+IF(AND(U3231&lt;&gt;"",IFERROR(INDEX(ctaLiq,MATCH(G3231,ctaNom,0))="Sí",FALSE)),O3231,0))</f>
        <v/>
      </c>
      <c r="W3231" s="19">
        <f>IF(OR(F3231="",I3231=""),"",IF(COUNTIFS(F$6:F3231,F3231,I$6:I3231,"?*")=1,MAX(W$5:W3230)+1,""))</f>
        <v/>
      </c>
    </row>
    <row r="3232">
      <c r="B3232" s="15" t="n"/>
      <c r="C3232" s="16" t="n"/>
      <c r="D3232" s="17" t="n"/>
      <c r="E3232" s="17" t="n"/>
      <c r="F3232" s="17" t="n"/>
      <c r="G3232" s="17" t="n"/>
      <c r="H3232" s="18">
        <f>IF(AND(B3232="",C3232="",D3232="",E3232=""),"",IF(B3232="","⚠ Falta fecha",IF(C3232="","⚠ Falta monto",IF(D3232="","⚠ Falta categoría",IF(ISNA(MATCH(D3232,catNom,0)),"⚠ Categoría no existe",IF(E3232="","⚠ Falta cuenta",IF(ISNA(MATCH(E3232,ctaNom,0)),"⚠ Cuenta no existe",IF(AND(OR(I3232="Transferencia",I3232="Pago tarjeta"),G3232=""),"⚠ Indica la cuenta «Hacia»",IF(AND(G3232&lt;&gt;"",G3232=E3232),"⚠ «Hacia» igual a la cuenta",IF(AND(G3232&lt;&gt;"",ISNA(MATCH(G3232,ctaNom,0))),"⚠ «Hacia» no existe",IF(AND(I3232="Pago tarjeta",IFERROR(INDEX(ctaTipo,MATCH(G3232,ctaNom,0)),"")&lt;&gt;"Tarjeta de crédito"),"⚠ «Hacia» debe ser la tarjeta",IF(AND(I3232="Trading",IFERROR(INDEX(ctaTipo,MATCH(E3232,ctaNom,0)),"")&lt;&gt;"Cuenta de trading"),"⚠ Usa la cuenta de trading","✓"))))))))))))</f>
        <v/>
      </c>
      <c r="I3232" s="19">
        <f>IF(OR(B3232="",C3232="",D3232=""),"",IFERROR(INDEX(catTipo,MATCH(D3232,catNom,0))&amp;"",""))</f>
        <v/>
      </c>
      <c r="J3232" s="19">
        <f>IF(I3232="","",IFERROR(INDEX(catGrupo,MATCH(D3232,catNom,0))&amp;"",""))</f>
        <v/>
      </c>
      <c r="K3232" s="19">
        <f>IF(I3232="Gasto",IF(IFERROR(INDEX(catClas,MATCH(D3232,catNom,0))&amp;"","")="","Variable",IFERROR(INDEX(catClas,MATCH(D3232,catNom,0))&amp;"","")),"")</f>
        <v/>
      </c>
      <c r="L3232" s="19">
        <f>IF(I3232="","",IFERROR(INDEX(catAlim,MATCH(D3232,catNom,0))&amp;"",""))</f>
        <v/>
      </c>
      <c r="M3232" s="19">
        <f>IF(I3232="","",IFERROR(INDEX(catComida,MATCH(D3232,catNom,0))&amp;"",""))</f>
        <v/>
      </c>
      <c r="N3232" s="19">
        <f>IF(I3232="","",IFERROR(INDEX(ctaMon,MATCH(E3232,ctaNom,0))&amp;"","DOP"))</f>
        <v/>
      </c>
      <c r="O3232" s="20">
        <f>IF(I3232="","",C3232*IF(N3232="USD",TasaUSD,1))</f>
        <v/>
      </c>
      <c r="P3232" s="20">
        <f>IF(I3232="","",IF(I3232="Gasto",O3232,0))</f>
        <v/>
      </c>
      <c r="Q3232" s="20">
        <f>IF(I3232="","",IF(I3232="Ingreso",O3232,0))</f>
        <v/>
      </c>
      <c r="R3232" s="20">
        <f>IF(I3232="","",IF(I3232="Trading",O3232,0))</f>
        <v/>
      </c>
      <c r="S3232" s="19">
        <f>IF(I3232="","",IF(AND(I3232="Gasto",K3232="Variable",J3232&lt;&gt;"Trading",O3232&gt;0,O3232&lt;=Umbral),1,0))</f>
        <v/>
      </c>
      <c r="T3232" s="20">
        <f>IF(OR(I3232="",E3232=""),"",IF(OR(I3232="Gasto",I3232="Transferencia",I3232="Pago tarjeta"),-1,1)*C3232)</f>
        <v/>
      </c>
      <c r="U3232" s="20">
        <f>IF(OR(G3232="",AND(I3232&lt;&gt;"Transferencia",I3232&lt;&gt;"Pago tarjeta")),"",IF(IFERROR(INDEX(ctaMon,MATCH(G3232,ctaNom,0))&amp;"","DOP")=N3232,C3232,IF(N3232="USD",C3232*TasaUSD,C3232/TasaUSD)))</f>
        <v/>
      </c>
      <c r="V3232" s="20">
        <f>IF(I3232="","",IF(IFERROR(INDEX(ctaLiq,MATCH(E3232,ctaNom,0))="Sí",FALSE),IF(OR(I3232="Gasto",I3232="Transferencia",I3232="Pago tarjeta"),-1,1)*O3232,0)+IF(AND(U3232&lt;&gt;"",IFERROR(INDEX(ctaLiq,MATCH(G3232,ctaNom,0))="Sí",FALSE)),O3232,0))</f>
        <v/>
      </c>
      <c r="W3232" s="19">
        <f>IF(OR(F3232="",I3232=""),"",IF(COUNTIFS(F$6:F3232,F3232,I$6:I3232,"?*")=1,MAX(W$5:W3231)+1,""))</f>
        <v/>
      </c>
    </row>
    <row r="3233">
      <c r="B3233" s="15" t="n"/>
      <c r="C3233" s="16" t="n"/>
      <c r="D3233" s="17" t="n"/>
      <c r="E3233" s="17" t="n"/>
      <c r="F3233" s="17" t="n"/>
      <c r="G3233" s="17" t="n"/>
      <c r="H3233" s="18">
        <f>IF(AND(B3233="",C3233="",D3233="",E3233=""),"",IF(B3233="","⚠ Falta fecha",IF(C3233="","⚠ Falta monto",IF(D3233="","⚠ Falta categoría",IF(ISNA(MATCH(D3233,catNom,0)),"⚠ Categoría no existe",IF(E3233="","⚠ Falta cuenta",IF(ISNA(MATCH(E3233,ctaNom,0)),"⚠ Cuenta no existe",IF(AND(OR(I3233="Transferencia",I3233="Pago tarjeta"),G3233=""),"⚠ Indica la cuenta «Hacia»",IF(AND(G3233&lt;&gt;"",G3233=E3233),"⚠ «Hacia» igual a la cuenta",IF(AND(G3233&lt;&gt;"",ISNA(MATCH(G3233,ctaNom,0))),"⚠ «Hacia» no existe",IF(AND(I3233="Pago tarjeta",IFERROR(INDEX(ctaTipo,MATCH(G3233,ctaNom,0)),"")&lt;&gt;"Tarjeta de crédito"),"⚠ «Hacia» debe ser la tarjeta",IF(AND(I3233="Trading",IFERROR(INDEX(ctaTipo,MATCH(E3233,ctaNom,0)),"")&lt;&gt;"Cuenta de trading"),"⚠ Usa la cuenta de trading","✓"))))))))))))</f>
        <v/>
      </c>
      <c r="I3233" s="19">
        <f>IF(OR(B3233="",C3233="",D3233=""),"",IFERROR(INDEX(catTipo,MATCH(D3233,catNom,0))&amp;"",""))</f>
        <v/>
      </c>
      <c r="J3233" s="19">
        <f>IF(I3233="","",IFERROR(INDEX(catGrupo,MATCH(D3233,catNom,0))&amp;"",""))</f>
        <v/>
      </c>
      <c r="K3233" s="19">
        <f>IF(I3233="Gasto",IF(IFERROR(INDEX(catClas,MATCH(D3233,catNom,0))&amp;"","")="","Variable",IFERROR(INDEX(catClas,MATCH(D3233,catNom,0))&amp;"","")),"")</f>
        <v/>
      </c>
      <c r="L3233" s="19">
        <f>IF(I3233="","",IFERROR(INDEX(catAlim,MATCH(D3233,catNom,0))&amp;"",""))</f>
        <v/>
      </c>
      <c r="M3233" s="19">
        <f>IF(I3233="","",IFERROR(INDEX(catComida,MATCH(D3233,catNom,0))&amp;"",""))</f>
        <v/>
      </c>
      <c r="N3233" s="19">
        <f>IF(I3233="","",IFERROR(INDEX(ctaMon,MATCH(E3233,ctaNom,0))&amp;"","DOP"))</f>
        <v/>
      </c>
      <c r="O3233" s="20">
        <f>IF(I3233="","",C3233*IF(N3233="USD",TasaUSD,1))</f>
        <v/>
      </c>
      <c r="P3233" s="20">
        <f>IF(I3233="","",IF(I3233="Gasto",O3233,0))</f>
        <v/>
      </c>
      <c r="Q3233" s="20">
        <f>IF(I3233="","",IF(I3233="Ingreso",O3233,0))</f>
        <v/>
      </c>
      <c r="R3233" s="20">
        <f>IF(I3233="","",IF(I3233="Trading",O3233,0))</f>
        <v/>
      </c>
      <c r="S3233" s="19">
        <f>IF(I3233="","",IF(AND(I3233="Gasto",K3233="Variable",J3233&lt;&gt;"Trading",O3233&gt;0,O3233&lt;=Umbral),1,0))</f>
        <v/>
      </c>
      <c r="T3233" s="20">
        <f>IF(OR(I3233="",E3233=""),"",IF(OR(I3233="Gasto",I3233="Transferencia",I3233="Pago tarjeta"),-1,1)*C3233)</f>
        <v/>
      </c>
      <c r="U3233" s="20">
        <f>IF(OR(G3233="",AND(I3233&lt;&gt;"Transferencia",I3233&lt;&gt;"Pago tarjeta")),"",IF(IFERROR(INDEX(ctaMon,MATCH(G3233,ctaNom,0))&amp;"","DOP")=N3233,C3233,IF(N3233="USD",C3233*TasaUSD,C3233/TasaUSD)))</f>
        <v/>
      </c>
      <c r="V3233" s="20">
        <f>IF(I3233="","",IF(IFERROR(INDEX(ctaLiq,MATCH(E3233,ctaNom,0))="Sí",FALSE),IF(OR(I3233="Gasto",I3233="Transferencia",I3233="Pago tarjeta"),-1,1)*O3233,0)+IF(AND(U3233&lt;&gt;"",IFERROR(INDEX(ctaLiq,MATCH(G3233,ctaNom,0))="Sí",FALSE)),O3233,0))</f>
        <v/>
      </c>
      <c r="W3233" s="19">
        <f>IF(OR(F3233="",I3233=""),"",IF(COUNTIFS(F$6:F3233,F3233,I$6:I3233,"?*")=1,MAX(W$5:W3232)+1,""))</f>
        <v/>
      </c>
    </row>
    <row r="3234">
      <c r="B3234" s="15" t="n"/>
      <c r="C3234" s="16" t="n"/>
      <c r="D3234" s="17" t="n"/>
      <c r="E3234" s="17" t="n"/>
      <c r="F3234" s="17" t="n"/>
      <c r="G3234" s="17" t="n"/>
      <c r="H3234" s="18">
        <f>IF(AND(B3234="",C3234="",D3234="",E3234=""),"",IF(B3234="","⚠ Falta fecha",IF(C3234="","⚠ Falta monto",IF(D3234="","⚠ Falta categoría",IF(ISNA(MATCH(D3234,catNom,0)),"⚠ Categoría no existe",IF(E3234="","⚠ Falta cuenta",IF(ISNA(MATCH(E3234,ctaNom,0)),"⚠ Cuenta no existe",IF(AND(OR(I3234="Transferencia",I3234="Pago tarjeta"),G3234=""),"⚠ Indica la cuenta «Hacia»",IF(AND(G3234&lt;&gt;"",G3234=E3234),"⚠ «Hacia» igual a la cuenta",IF(AND(G3234&lt;&gt;"",ISNA(MATCH(G3234,ctaNom,0))),"⚠ «Hacia» no existe",IF(AND(I3234="Pago tarjeta",IFERROR(INDEX(ctaTipo,MATCH(G3234,ctaNom,0)),"")&lt;&gt;"Tarjeta de crédito"),"⚠ «Hacia» debe ser la tarjeta",IF(AND(I3234="Trading",IFERROR(INDEX(ctaTipo,MATCH(E3234,ctaNom,0)),"")&lt;&gt;"Cuenta de trading"),"⚠ Usa la cuenta de trading","✓"))))))))))))</f>
        <v/>
      </c>
      <c r="I3234" s="19">
        <f>IF(OR(B3234="",C3234="",D3234=""),"",IFERROR(INDEX(catTipo,MATCH(D3234,catNom,0))&amp;"",""))</f>
        <v/>
      </c>
      <c r="J3234" s="19">
        <f>IF(I3234="","",IFERROR(INDEX(catGrupo,MATCH(D3234,catNom,0))&amp;"",""))</f>
        <v/>
      </c>
      <c r="K3234" s="19">
        <f>IF(I3234="Gasto",IF(IFERROR(INDEX(catClas,MATCH(D3234,catNom,0))&amp;"","")="","Variable",IFERROR(INDEX(catClas,MATCH(D3234,catNom,0))&amp;"","")),"")</f>
        <v/>
      </c>
      <c r="L3234" s="19">
        <f>IF(I3234="","",IFERROR(INDEX(catAlim,MATCH(D3234,catNom,0))&amp;"",""))</f>
        <v/>
      </c>
      <c r="M3234" s="19">
        <f>IF(I3234="","",IFERROR(INDEX(catComida,MATCH(D3234,catNom,0))&amp;"",""))</f>
        <v/>
      </c>
      <c r="N3234" s="19">
        <f>IF(I3234="","",IFERROR(INDEX(ctaMon,MATCH(E3234,ctaNom,0))&amp;"","DOP"))</f>
        <v/>
      </c>
      <c r="O3234" s="20">
        <f>IF(I3234="","",C3234*IF(N3234="USD",TasaUSD,1))</f>
        <v/>
      </c>
      <c r="P3234" s="20">
        <f>IF(I3234="","",IF(I3234="Gasto",O3234,0))</f>
        <v/>
      </c>
      <c r="Q3234" s="20">
        <f>IF(I3234="","",IF(I3234="Ingreso",O3234,0))</f>
        <v/>
      </c>
      <c r="R3234" s="20">
        <f>IF(I3234="","",IF(I3234="Trading",O3234,0))</f>
        <v/>
      </c>
      <c r="S3234" s="19">
        <f>IF(I3234="","",IF(AND(I3234="Gasto",K3234="Variable",J3234&lt;&gt;"Trading",O3234&gt;0,O3234&lt;=Umbral),1,0))</f>
        <v/>
      </c>
      <c r="T3234" s="20">
        <f>IF(OR(I3234="",E3234=""),"",IF(OR(I3234="Gasto",I3234="Transferencia",I3234="Pago tarjeta"),-1,1)*C3234)</f>
        <v/>
      </c>
      <c r="U3234" s="20">
        <f>IF(OR(G3234="",AND(I3234&lt;&gt;"Transferencia",I3234&lt;&gt;"Pago tarjeta")),"",IF(IFERROR(INDEX(ctaMon,MATCH(G3234,ctaNom,0))&amp;"","DOP")=N3234,C3234,IF(N3234="USD",C3234*TasaUSD,C3234/TasaUSD)))</f>
        <v/>
      </c>
      <c r="V3234" s="20">
        <f>IF(I3234="","",IF(IFERROR(INDEX(ctaLiq,MATCH(E3234,ctaNom,0))="Sí",FALSE),IF(OR(I3234="Gasto",I3234="Transferencia",I3234="Pago tarjeta"),-1,1)*O3234,0)+IF(AND(U3234&lt;&gt;"",IFERROR(INDEX(ctaLiq,MATCH(G3234,ctaNom,0))="Sí",FALSE)),O3234,0))</f>
        <v/>
      </c>
      <c r="W3234" s="19">
        <f>IF(OR(F3234="",I3234=""),"",IF(COUNTIFS(F$6:F3234,F3234,I$6:I3234,"?*")=1,MAX(W$5:W3233)+1,""))</f>
        <v/>
      </c>
    </row>
    <row r="3235">
      <c r="B3235" s="15" t="n"/>
      <c r="C3235" s="16" t="n"/>
      <c r="D3235" s="17" t="n"/>
      <c r="E3235" s="17" t="n"/>
      <c r="F3235" s="17" t="n"/>
      <c r="G3235" s="17" t="n"/>
      <c r="H3235" s="18">
        <f>IF(AND(B3235="",C3235="",D3235="",E3235=""),"",IF(B3235="","⚠ Falta fecha",IF(C3235="","⚠ Falta monto",IF(D3235="","⚠ Falta categoría",IF(ISNA(MATCH(D3235,catNom,0)),"⚠ Categoría no existe",IF(E3235="","⚠ Falta cuenta",IF(ISNA(MATCH(E3235,ctaNom,0)),"⚠ Cuenta no existe",IF(AND(OR(I3235="Transferencia",I3235="Pago tarjeta"),G3235=""),"⚠ Indica la cuenta «Hacia»",IF(AND(G3235&lt;&gt;"",G3235=E3235),"⚠ «Hacia» igual a la cuenta",IF(AND(G3235&lt;&gt;"",ISNA(MATCH(G3235,ctaNom,0))),"⚠ «Hacia» no existe",IF(AND(I3235="Pago tarjeta",IFERROR(INDEX(ctaTipo,MATCH(G3235,ctaNom,0)),"")&lt;&gt;"Tarjeta de crédito"),"⚠ «Hacia» debe ser la tarjeta",IF(AND(I3235="Trading",IFERROR(INDEX(ctaTipo,MATCH(E3235,ctaNom,0)),"")&lt;&gt;"Cuenta de trading"),"⚠ Usa la cuenta de trading","✓"))))))))))))</f>
        <v/>
      </c>
      <c r="I3235" s="19">
        <f>IF(OR(B3235="",C3235="",D3235=""),"",IFERROR(INDEX(catTipo,MATCH(D3235,catNom,0))&amp;"",""))</f>
        <v/>
      </c>
      <c r="J3235" s="19">
        <f>IF(I3235="","",IFERROR(INDEX(catGrupo,MATCH(D3235,catNom,0))&amp;"",""))</f>
        <v/>
      </c>
      <c r="K3235" s="19">
        <f>IF(I3235="Gasto",IF(IFERROR(INDEX(catClas,MATCH(D3235,catNom,0))&amp;"","")="","Variable",IFERROR(INDEX(catClas,MATCH(D3235,catNom,0))&amp;"","")),"")</f>
        <v/>
      </c>
      <c r="L3235" s="19">
        <f>IF(I3235="","",IFERROR(INDEX(catAlim,MATCH(D3235,catNom,0))&amp;"",""))</f>
        <v/>
      </c>
      <c r="M3235" s="19">
        <f>IF(I3235="","",IFERROR(INDEX(catComida,MATCH(D3235,catNom,0))&amp;"",""))</f>
        <v/>
      </c>
      <c r="N3235" s="19">
        <f>IF(I3235="","",IFERROR(INDEX(ctaMon,MATCH(E3235,ctaNom,0))&amp;"","DOP"))</f>
        <v/>
      </c>
      <c r="O3235" s="20">
        <f>IF(I3235="","",C3235*IF(N3235="USD",TasaUSD,1))</f>
        <v/>
      </c>
      <c r="P3235" s="20">
        <f>IF(I3235="","",IF(I3235="Gasto",O3235,0))</f>
        <v/>
      </c>
      <c r="Q3235" s="20">
        <f>IF(I3235="","",IF(I3235="Ingreso",O3235,0))</f>
        <v/>
      </c>
      <c r="R3235" s="20">
        <f>IF(I3235="","",IF(I3235="Trading",O3235,0))</f>
        <v/>
      </c>
      <c r="S3235" s="19">
        <f>IF(I3235="","",IF(AND(I3235="Gasto",K3235="Variable",J3235&lt;&gt;"Trading",O3235&gt;0,O3235&lt;=Umbral),1,0))</f>
        <v/>
      </c>
      <c r="T3235" s="20">
        <f>IF(OR(I3235="",E3235=""),"",IF(OR(I3235="Gasto",I3235="Transferencia",I3235="Pago tarjeta"),-1,1)*C3235)</f>
        <v/>
      </c>
      <c r="U3235" s="20">
        <f>IF(OR(G3235="",AND(I3235&lt;&gt;"Transferencia",I3235&lt;&gt;"Pago tarjeta")),"",IF(IFERROR(INDEX(ctaMon,MATCH(G3235,ctaNom,0))&amp;"","DOP")=N3235,C3235,IF(N3235="USD",C3235*TasaUSD,C3235/TasaUSD)))</f>
        <v/>
      </c>
      <c r="V3235" s="20">
        <f>IF(I3235="","",IF(IFERROR(INDEX(ctaLiq,MATCH(E3235,ctaNom,0))="Sí",FALSE),IF(OR(I3235="Gasto",I3235="Transferencia",I3235="Pago tarjeta"),-1,1)*O3235,0)+IF(AND(U3235&lt;&gt;"",IFERROR(INDEX(ctaLiq,MATCH(G3235,ctaNom,0))="Sí",FALSE)),O3235,0))</f>
        <v/>
      </c>
      <c r="W3235" s="19">
        <f>IF(OR(F3235="",I3235=""),"",IF(COUNTIFS(F$6:F3235,F3235,I$6:I3235,"?*")=1,MAX(W$5:W3234)+1,""))</f>
        <v/>
      </c>
    </row>
    <row r="3236">
      <c r="B3236" s="15" t="n"/>
      <c r="C3236" s="16" t="n"/>
      <c r="D3236" s="17" t="n"/>
      <c r="E3236" s="17" t="n"/>
      <c r="F3236" s="17" t="n"/>
      <c r="G3236" s="17" t="n"/>
      <c r="H3236" s="18">
        <f>IF(AND(B3236="",C3236="",D3236="",E3236=""),"",IF(B3236="","⚠ Falta fecha",IF(C3236="","⚠ Falta monto",IF(D3236="","⚠ Falta categoría",IF(ISNA(MATCH(D3236,catNom,0)),"⚠ Categoría no existe",IF(E3236="","⚠ Falta cuenta",IF(ISNA(MATCH(E3236,ctaNom,0)),"⚠ Cuenta no existe",IF(AND(OR(I3236="Transferencia",I3236="Pago tarjeta"),G3236=""),"⚠ Indica la cuenta «Hacia»",IF(AND(G3236&lt;&gt;"",G3236=E3236),"⚠ «Hacia» igual a la cuenta",IF(AND(G3236&lt;&gt;"",ISNA(MATCH(G3236,ctaNom,0))),"⚠ «Hacia» no existe",IF(AND(I3236="Pago tarjeta",IFERROR(INDEX(ctaTipo,MATCH(G3236,ctaNom,0)),"")&lt;&gt;"Tarjeta de crédito"),"⚠ «Hacia» debe ser la tarjeta",IF(AND(I3236="Trading",IFERROR(INDEX(ctaTipo,MATCH(E3236,ctaNom,0)),"")&lt;&gt;"Cuenta de trading"),"⚠ Usa la cuenta de trading","✓"))))))))))))</f>
        <v/>
      </c>
      <c r="I3236" s="19">
        <f>IF(OR(B3236="",C3236="",D3236=""),"",IFERROR(INDEX(catTipo,MATCH(D3236,catNom,0))&amp;"",""))</f>
        <v/>
      </c>
      <c r="J3236" s="19">
        <f>IF(I3236="","",IFERROR(INDEX(catGrupo,MATCH(D3236,catNom,0))&amp;"",""))</f>
        <v/>
      </c>
      <c r="K3236" s="19">
        <f>IF(I3236="Gasto",IF(IFERROR(INDEX(catClas,MATCH(D3236,catNom,0))&amp;"","")="","Variable",IFERROR(INDEX(catClas,MATCH(D3236,catNom,0))&amp;"","")),"")</f>
        <v/>
      </c>
      <c r="L3236" s="19">
        <f>IF(I3236="","",IFERROR(INDEX(catAlim,MATCH(D3236,catNom,0))&amp;"",""))</f>
        <v/>
      </c>
      <c r="M3236" s="19">
        <f>IF(I3236="","",IFERROR(INDEX(catComida,MATCH(D3236,catNom,0))&amp;"",""))</f>
        <v/>
      </c>
      <c r="N3236" s="19">
        <f>IF(I3236="","",IFERROR(INDEX(ctaMon,MATCH(E3236,ctaNom,0))&amp;"","DOP"))</f>
        <v/>
      </c>
      <c r="O3236" s="20">
        <f>IF(I3236="","",C3236*IF(N3236="USD",TasaUSD,1))</f>
        <v/>
      </c>
      <c r="P3236" s="20">
        <f>IF(I3236="","",IF(I3236="Gasto",O3236,0))</f>
        <v/>
      </c>
      <c r="Q3236" s="20">
        <f>IF(I3236="","",IF(I3236="Ingreso",O3236,0))</f>
        <v/>
      </c>
      <c r="R3236" s="20">
        <f>IF(I3236="","",IF(I3236="Trading",O3236,0))</f>
        <v/>
      </c>
      <c r="S3236" s="19">
        <f>IF(I3236="","",IF(AND(I3236="Gasto",K3236="Variable",J3236&lt;&gt;"Trading",O3236&gt;0,O3236&lt;=Umbral),1,0))</f>
        <v/>
      </c>
      <c r="T3236" s="20">
        <f>IF(OR(I3236="",E3236=""),"",IF(OR(I3236="Gasto",I3236="Transferencia",I3236="Pago tarjeta"),-1,1)*C3236)</f>
        <v/>
      </c>
      <c r="U3236" s="20">
        <f>IF(OR(G3236="",AND(I3236&lt;&gt;"Transferencia",I3236&lt;&gt;"Pago tarjeta")),"",IF(IFERROR(INDEX(ctaMon,MATCH(G3236,ctaNom,0))&amp;"","DOP")=N3236,C3236,IF(N3236="USD",C3236*TasaUSD,C3236/TasaUSD)))</f>
        <v/>
      </c>
      <c r="V3236" s="20">
        <f>IF(I3236="","",IF(IFERROR(INDEX(ctaLiq,MATCH(E3236,ctaNom,0))="Sí",FALSE),IF(OR(I3236="Gasto",I3236="Transferencia",I3236="Pago tarjeta"),-1,1)*O3236,0)+IF(AND(U3236&lt;&gt;"",IFERROR(INDEX(ctaLiq,MATCH(G3236,ctaNom,0))="Sí",FALSE)),O3236,0))</f>
        <v/>
      </c>
      <c r="W3236" s="19">
        <f>IF(OR(F3236="",I3236=""),"",IF(COUNTIFS(F$6:F3236,F3236,I$6:I3236,"?*")=1,MAX(W$5:W3235)+1,""))</f>
        <v/>
      </c>
    </row>
    <row r="3237">
      <c r="B3237" s="15" t="n"/>
      <c r="C3237" s="16" t="n"/>
      <c r="D3237" s="17" t="n"/>
      <c r="E3237" s="17" t="n"/>
      <c r="F3237" s="17" t="n"/>
      <c r="G3237" s="17" t="n"/>
      <c r="H3237" s="18">
        <f>IF(AND(B3237="",C3237="",D3237="",E3237=""),"",IF(B3237="","⚠ Falta fecha",IF(C3237="","⚠ Falta monto",IF(D3237="","⚠ Falta categoría",IF(ISNA(MATCH(D3237,catNom,0)),"⚠ Categoría no existe",IF(E3237="","⚠ Falta cuenta",IF(ISNA(MATCH(E3237,ctaNom,0)),"⚠ Cuenta no existe",IF(AND(OR(I3237="Transferencia",I3237="Pago tarjeta"),G3237=""),"⚠ Indica la cuenta «Hacia»",IF(AND(G3237&lt;&gt;"",G3237=E3237),"⚠ «Hacia» igual a la cuenta",IF(AND(G3237&lt;&gt;"",ISNA(MATCH(G3237,ctaNom,0))),"⚠ «Hacia» no existe",IF(AND(I3237="Pago tarjeta",IFERROR(INDEX(ctaTipo,MATCH(G3237,ctaNom,0)),"")&lt;&gt;"Tarjeta de crédito"),"⚠ «Hacia» debe ser la tarjeta",IF(AND(I3237="Trading",IFERROR(INDEX(ctaTipo,MATCH(E3237,ctaNom,0)),"")&lt;&gt;"Cuenta de trading"),"⚠ Usa la cuenta de trading","✓"))))))))))))</f>
        <v/>
      </c>
      <c r="I3237" s="19">
        <f>IF(OR(B3237="",C3237="",D3237=""),"",IFERROR(INDEX(catTipo,MATCH(D3237,catNom,0))&amp;"",""))</f>
        <v/>
      </c>
      <c r="J3237" s="19">
        <f>IF(I3237="","",IFERROR(INDEX(catGrupo,MATCH(D3237,catNom,0))&amp;"",""))</f>
        <v/>
      </c>
      <c r="K3237" s="19">
        <f>IF(I3237="Gasto",IF(IFERROR(INDEX(catClas,MATCH(D3237,catNom,0))&amp;"","")="","Variable",IFERROR(INDEX(catClas,MATCH(D3237,catNom,0))&amp;"","")),"")</f>
        <v/>
      </c>
      <c r="L3237" s="19">
        <f>IF(I3237="","",IFERROR(INDEX(catAlim,MATCH(D3237,catNom,0))&amp;"",""))</f>
        <v/>
      </c>
      <c r="M3237" s="19">
        <f>IF(I3237="","",IFERROR(INDEX(catComida,MATCH(D3237,catNom,0))&amp;"",""))</f>
        <v/>
      </c>
      <c r="N3237" s="19">
        <f>IF(I3237="","",IFERROR(INDEX(ctaMon,MATCH(E3237,ctaNom,0))&amp;"","DOP"))</f>
        <v/>
      </c>
      <c r="O3237" s="20">
        <f>IF(I3237="","",C3237*IF(N3237="USD",TasaUSD,1))</f>
        <v/>
      </c>
      <c r="P3237" s="20">
        <f>IF(I3237="","",IF(I3237="Gasto",O3237,0))</f>
        <v/>
      </c>
      <c r="Q3237" s="20">
        <f>IF(I3237="","",IF(I3237="Ingreso",O3237,0))</f>
        <v/>
      </c>
      <c r="R3237" s="20">
        <f>IF(I3237="","",IF(I3237="Trading",O3237,0))</f>
        <v/>
      </c>
      <c r="S3237" s="19">
        <f>IF(I3237="","",IF(AND(I3237="Gasto",K3237="Variable",J3237&lt;&gt;"Trading",O3237&gt;0,O3237&lt;=Umbral),1,0))</f>
        <v/>
      </c>
      <c r="T3237" s="20">
        <f>IF(OR(I3237="",E3237=""),"",IF(OR(I3237="Gasto",I3237="Transferencia",I3237="Pago tarjeta"),-1,1)*C3237)</f>
        <v/>
      </c>
      <c r="U3237" s="20">
        <f>IF(OR(G3237="",AND(I3237&lt;&gt;"Transferencia",I3237&lt;&gt;"Pago tarjeta")),"",IF(IFERROR(INDEX(ctaMon,MATCH(G3237,ctaNom,0))&amp;"","DOP")=N3237,C3237,IF(N3237="USD",C3237*TasaUSD,C3237/TasaUSD)))</f>
        <v/>
      </c>
      <c r="V3237" s="20">
        <f>IF(I3237="","",IF(IFERROR(INDEX(ctaLiq,MATCH(E3237,ctaNom,0))="Sí",FALSE),IF(OR(I3237="Gasto",I3237="Transferencia",I3237="Pago tarjeta"),-1,1)*O3237,0)+IF(AND(U3237&lt;&gt;"",IFERROR(INDEX(ctaLiq,MATCH(G3237,ctaNom,0))="Sí",FALSE)),O3237,0))</f>
        <v/>
      </c>
      <c r="W3237" s="19">
        <f>IF(OR(F3237="",I3237=""),"",IF(COUNTIFS(F$6:F3237,F3237,I$6:I3237,"?*")=1,MAX(W$5:W3236)+1,""))</f>
        <v/>
      </c>
    </row>
    <row r="3238">
      <c r="B3238" s="15" t="n"/>
      <c r="C3238" s="16" t="n"/>
      <c r="D3238" s="17" t="n"/>
      <c r="E3238" s="17" t="n"/>
      <c r="F3238" s="17" t="n"/>
      <c r="G3238" s="17" t="n"/>
      <c r="H3238" s="18">
        <f>IF(AND(B3238="",C3238="",D3238="",E3238=""),"",IF(B3238="","⚠ Falta fecha",IF(C3238="","⚠ Falta monto",IF(D3238="","⚠ Falta categoría",IF(ISNA(MATCH(D3238,catNom,0)),"⚠ Categoría no existe",IF(E3238="","⚠ Falta cuenta",IF(ISNA(MATCH(E3238,ctaNom,0)),"⚠ Cuenta no existe",IF(AND(OR(I3238="Transferencia",I3238="Pago tarjeta"),G3238=""),"⚠ Indica la cuenta «Hacia»",IF(AND(G3238&lt;&gt;"",G3238=E3238),"⚠ «Hacia» igual a la cuenta",IF(AND(G3238&lt;&gt;"",ISNA(MATCH(G3238,ctaNom,0))),"⚠ «Hacia» no existe",IF(AND(I3238="Pago tarjeta",IFERROR(INDEX(ctaTipo,MATCH(G3238,ctaNom,0)),"")&lt;&gt;"Tarjeta de crédito"),"⚠ «Hacia» debe ser la tarjeta",IF(AND(I3238="Trading",IFERROR(INDEX(ctaTipo,MATCH(E3238,ctaNom,0)),"")&lt;&gt;"Cuenta de trading"),"⚠ Usa la cuenta de trading","✓"))))))))))))</f>
        <v/>
      </c>
      <c r="I3238" s="19">
        <f>IF(OR(B3238="",C3238="",D3238=""),"",IFERROR(INDEX(catTipo,MATCH(D3238,catNom,0))&amp;"",""))</f>
        <v/>
      </c>
      <c r="J3238" s="19">
        <f>IF(I3238="","",IFERROR(INDEX(catGrupo,MATCH(D3238,catNom,0))&amp;"",""))</f>
        <v/>
      </c>
      <c r="K3238" s="19">
        <f>IF(I3238="Gasto",IF(IFERROR(INDEX(catClas,MATCH(D3238,catNom,0))&amp;"","")="","Variable",IFERROR(INDEX(catClas,MATCH(D3238,catNom,0))&amp;"","")),"")</f>
        <v/>
      </c>
      <c r="L3238" s="19">
        <f>IF(I3238="","",IFERROR(INDEX(catAlim,MATCH(D3238,catNom,0))&amp;"",""))</f>
        <v/>
      </c>
      <c r="M3238" s="19">
        <f>IF(I3238="","",IFERROR(INDEX(catComida,MATCH(D3238,catNom,0))&amp;"",""))</f>
        <v/>
      </c>
      <c r="N3238" s="19">
        <f>IF(I3238="","",IFERROR(INDEX(ctaMon,MATCH(E3238,ctaNom,0))&amp;"","DOP"))</f>
        <v/>
      </c>
      <c r="O3238" s="20">
        <f>IF(I3238="","",C3238*IF(N3238="USD",TasaUSD,1))</f>
        <v/>
      </c>
      <c r="P3238" s="20">
        <f>IF(I3238="","",IF(I3238="Gasto",O3238,0))</f>
        <v/>
      </c>
      <c r="Q3238" s="20">
        <f>IF(I3238="","",IF(I3238="Ingreso",O3238,0))</f>
        <v/>
      </c>
      <c r="R3238" s="20">
        <f>IF(I3238="","",IF(I3238="Trading",O3238,0))</f>
        <v/>
      </c>
      <c r="S3238" s="19">
        <f>IF(I3238="","",IF(AND(I3238="Gasto",K3238="Variable",J3238&lt;&gt;"Trading",O3238&gt;0,O3238&lt;=Umbral),1,0))</f>
        <v/>
      </c>
      <c r="T3238" s="20">
        <f>IF(OR(I3238="",E3238=""),"",IF(OR(I3238="Gasto",I3238="Transferencia",I3238="Pago tarjeta"),-1,1)*C3238)</f>
        <v/>
      </c>
      <c r="U3238" s="20">
        <f>IF(OR(G3238="",AND(I3238&lt;&gt;"Transferencia",I3238&lt;&gt;"Pago tarjeta")),"",IF(IFERROR(INDEX(ctaMon,MATCH(G3238,ctaNom,0))&amp;"","DOP")=N3238,C3238,IF(N3238="USD",C3238*TasaUSD,C3238/TasaUSD)))</f>
        <v/>
      </c>
      <c r="V3238" s="20">
        <f>IF(I3238="","",IF(IFERROR(INDEX(ctaLiq,MATCH(E3238,ctaNom,0))="Sí",FALSE),IF(OR(I3238="Gasto",I3238="Transferencia",I3238="Pago tarjeta"),-1,1)*O3238,0)+IF(AND(U3238&lt;&gt;"",IFERROR(INDEX(ctaLiq,MATCH(G3238,ctaNom,0))="Sí",FALSE)),O3238,0))</f>
        <v/>
      </c>
      <c r="W3238" s="19">
        <f>IF(OR(F3238="",I3238=""),"",IF(COUNTIFS(F$6:F3238,F3238,I$6:I3238,"?*")=1,MAX(W$5:W3237)+1,""))</f>
        <v/>
      </c>
    </row>
    <row r="3239">
      <c r="B3239" s="15" t="n"/>
      <c r="C3239" s="16" t="n"/>
      <c r="D3239" s="17" t="n"/>
      <c r="E3239" s="17" t="n"/>
      <c r="F3239" s="17" t="n"/>
      <c r="G3239" s="17" t="n"/>
      <c r="H3239" s="18">
        <f>IF(AND(B3239="",C3239="",D3239="",E3239=""),"",IF(B3239="","⚠ Falta fecha",IF(C3239="","⚠ Falta monto",IF(D3239="","⚠ Falta categoría",IF(ISNA(MATCH(D3239,catNom,0)),"⚠ Categoría no existe",IF(E3239="","⚠ Falta cuenta",IF(ISNA(MATCH(E3239,ctaNom,0)),"⚠ Cuenta no existe",IF(AND(OR(I3239="Transferencia",I3239="Pago tarjeta"),G3239=""),"⚠ Indica la cuenta «Hacia»",IF(AND(G3239&lt;&gt;"",G3239=E3239),"⚠ «Hacia» igual a la cuenta",IF(AND(G3239&lt;&gt;"",ISNA(MATCH(G3239,ctaNom,0))),"⚠ «Hacia» no existe",IF(AND(I3239="Pago tarjeta",IFERROR(INDEX(ctaTipo,MATCH(G3239,ctaNom,0)),"")&lt;&gt;"Tarjeta de crédito"),"⚠ «Hacia» debe ser la tarjeta",IF(AND(I3239="Trading",IFERROR(INDEX(ctaTipo,MATCH(E3239,ctaNom,0)),"")&lt;&gt;"Cuenta de trading"),"⚠ Usa la cuenta de trading","✓"))))))))))))</f>
        <v/>
      </c>
      <c r="I3239" s="19">
        <f>IF(OR(B3239="",C3239="",D3239=""),"",IFERROR(INDEX(catTipo,MATCH(D3239,catNom,0))&amp;"",""))</f>
        <v/>
      </c>
      <c r="J3239" s="19">
        <f>IF(I3239="","",IFERROR(INDEX(catGrupo,MATCH(D3239,catNom,0))&amp;"",""))</f>
        <v/>
      </c>
      <c r="K3239" s="19">
        <f>IF(I3239="Gasto",IF(IFERROR(INDEX(catClas,MATCH(D3239,catNom,0))&amp;"","")="","Variable",IFERROR(INDEX(catClas,MATCH(D3239,catNom,0))&amp;"","")),"")</f>
        <v/>
      </c>
      <c r="L3239" s="19">
        <f>IF(I3239="","",IFERROR(INDEX(catAlim,MATCH(D3239,catNom,0))&amp;"",""))</f>
        <v/>
      </c>
      <c r="M3239" s="19">
        <f>IF(I3239="","",IFERROR(INDEX(catComida,MATCH(D3239,catNom,0))&amp;"",""))</f>
        <v/>
      </c>
      <c r="N3239" s="19">
        <f>IF(I3239="","",IFERROR(INDEX(ctaMon,MATCH(E3239,ctaNom,0))&amp;"","DOP"))</f>
        <v/>
      </c>
      <c r="O3239" s="20">
        <f>IF(I3239="","",C3239*IF(N3239="USD",TasaUSD,1))</f>
        <v/>
      </c>
      <c r="P3239" s="20">
        <f>IF(I3239="","",IF(I3239="Gasto",O3239,0))</f>
        <v/>
      </c>
      <c r="Q3239" s="20">
        <f>IF(I3239="","",IF(I3239="Ingreso",O3239,0))</f>
        <v/>
      </c>
      <c r="R3239" s="20">
        <f>IF(I3239="","",IF(I3239="Trading",O3239,0))</f>
        <v/>
      </c>
      <c r="S3239" s="19">
        <f>IF(I3239="","",IF(AND(I3239="Gasto",K3239="Variable",J3239&lt;&gt;"Trading",O3239&gt;0,O3239&lt;=Umbral),1,0))</f>
        <v/>
      </c>
      <c r="T3239" s="20">
        <f>IF(OR(I3239="",E3239=""),"",IF(OR(I3239="Gasto",I3239="Transferencia",I3239="Pago tarjeta"),-1,1)*C3239)</f>
        <v/>
      </c>
      <c r="U3239" s="20">
        <f>IF(OR(G3239="",AND(I3239&lt;&gt;"Transferencia",I3239&lt;&gt;"Pago tarjeta")),"",IF(IFERROR(INDEX(ctaMon,MATCH(G3239,ctaNom,0))&amp;"","DOP")=N3239,C3239,IF(N3239="USD",C3239*TasaUSD,C3239/TasaUSD)))</f>
        <v/>
      </c>
      <c r="V3239" s="20">
        <f>IF(I3239="","",IF(IFERROR(INDEX(ctaLiq,MATCH(E3239,ctaNom,0))="Sí",FALSE),IF(OR(I3239="Gasto",I3239="Transferencia",I3239="Pago tarjeta"),-1,1)*O3239,0)+IF(AND(U3239&lt;&gt;"",IFERROR(INDEX(ctaLiq,MATCH(G3239,ctaNom,0))="Sí",FALSE)),O3239,0))</f>
        <v/>
      </c>
      <c r="W3239" s="19">
        <f>IF(OR(F3239="",I3239=""),"",IF(COUNTIFS(F$6:F3239,F3239,I$6:I3239,"?*")=1,MAX(W$5:W3238)+1,""))</f>
        <v/>
      </c>
    </row>
    <row r="3240">
      <c r="B3240" s="15" t="n"/>
      <c r="C3240" s="16" t="n"/>
      <c r="D3240" s="17" t="n"/>
      <c r="E3240" s="17" t="n"/>
      <c r="F3240" s="17" t="n"/>
      <c r="G3240" s="17" t="n"/>
      <c r="H3240" s="18">
        <f>IF(AND(B3240="",C3240="",D3240="",E3240=""),"",IF(B3240="","⚠ Falta fecha",IF(C3240="","⚠ Falta monto",IF(D3240="","⚠ Falta categoría",IF(ISNA(MATCH(D3240,catNom,0)),"⚠ Categoría no existe",IF(E3240="","⚠ Falta cuenta",IF(ISNA(MATCH(E3240,ctaNom,0)),"⚠ Cuenta no existe",IF(AND(OR(I3240="Transferencia",I3240="Pago tarjeta"),G3240=""),"⚠ Indica la cuenta «Hacia»",IF(AND(G3240&lt;&gt;"",G3240=E3240),"⚠ «Hacia» igual a la cuenta",IF(AND(G3240&lt;&gt;"",ISNA(MATCH(G3240,ctaNom,0))),"⚠ «Hacia» no existe",IF(AND(I3240="Pago tarjeta",IFERROR(INDEX(ctaTipo,MATCH(G3240,ctaNom,0)),"")&lt;&gt;"Tarjeta de crédito"),"⚠ «Hacia» debe ser la tarjeta",IF(AND(I3240="Trading",IFERROR(INDEX(ctaTipo,MATCH(E3240,ctaNom,0)),"")&lt;&gt;"Cuenta de trading"),"⚠ Usa la cuenta de trading","✓"))))))))))))</f>
        <v/>
      </c>
      <c r="I3240" s="19">
        <f>IF(OR(B3240="",C3240="",D3240=""),"",IFERROR(INDEX(catTipo,MATCH(D3240,catNom,0))&amp;"",""))</f>
        <v/>
      </c>
      <c r="J3240" s="19">
        <f>IF(I3240="","",IFERROR(INDEX(catGrupo,MATCH(D3240,catNom,0))&amp;"",""))</f>
        <v/>
      </c>
      <c r="K3240" s="19">
        <f>IF(I3240="Gasto",IF(IFERROR(INDEX(catClas,MATCH(D3240,catNom,0))&amp;"","")="","Variable",IFERROR(INDEX(catClas,MATCH(D3240,catNom,0))&amp;"","")),"")</f>
        <v/>
      </c>
      <c r="L3240" s="19">
        <f>IF(I3240="","",IFERROR(INDEX(catAlim,MATCH(D3240,catNom,0))&amp;"",""))</f>
        <v/>
      </c>
      <c r="M3240" s="19">
        <f>IF(I3240="","",IFERROR(INDEX(catComida,MATCH(D3240,catNom,0))&amp;"",""))</f>
        <v/>
      </c>
      <c r="N3240" s="19">
        <f>IF(I3240="","",IFERROR(INDEX(ctaMon,MATCH(E3240,ctaNom,0))&amp;"","DOP"))</f>
        <v/>
      </c>
      <c r="O3240" s="20">
        <f>IF(I3240="","",C3240*IF(N3240="USD",TasaUSD,1))</f>
        <v/>
      </c>
      <c r="P3240" s="20">
        <f>IF(I3240="","",IF(I3240="Gasto",O3240,0))</f>
        <v/>
      </c>
      <c r="Q3240" s="20">
        <f>IF(I3240="","",IF(I3240="Ingreso",O3240,0))</f>
        <v/>
      </c>
      <c r="R3240" s="20">
        <f>IF(I3240="","",IF(I3240="Trading",O3240,0))</f>
        <v/>
      </c>
      <c r="S3240" s="19">
        <f>IF(I3240="","",IF(AND(I3240="Gasto",K3240="Variable",J3240&lt;&gt;"Trading",O3240&gt;0,O3240&lt;=Umbral),1,0))</f>
        <v/>
      </c>
      <c r="T3240" s="20">
        <f>IF(OR(I3240="",E3240=""),"",IF(OR(I3240="Gasto",I3240="Transferencia",I3240="Pago tarjeta"),-1,1)*C3240)</f>
        <v/>
      </c>
      <c r="U3240" s="20">
        <f>IF(OR(G3240="",AND(I3240&lt;&gt;"Transferencia",I3240&lt;&gt;"Pago tarjeta")),"",IF(IFERROR(INDEX(ctaMon,MATCH(G3240,ctaNom,0))&amp;"","DOP")=N3240,C3240,IF(N3240="USD",C3240*TasaUSD,C3240/TasaUSD)))</f>
        <v/>
      </c>
      <c r="V3240" s="20">
        <f>IF(I3240="","",IF(IFERROR(INDEX(ctaLiq,MATCH(E3240,ctaNom,0))="Sí",FALSE),IF(OR(I3240="Gasto",I3240="Transferencia",I3240="Pago tarjeta"),-1,1)*O3240,0)+IF(AND(U3240&lt;&gt;"",IFERROR(INDEX(ctaLiq,MATCH(G3240,ctaNom,0))="Sí",FALSE)),O3240,0))</f>
        <v/>
      </c>
      <c r="W3240" s="19">
        <f>IF(OR(F3240="",I3240=""),"",IF(COUNTIFS(F$6:F3240,F3240,I$6:I3240,"?*")=1,MAX(W$5:W3239)+1,""))</f>
        <v/>
      </c>
    </row>
    <row r="3241">
      <c r="B3241" s="15" t="n"/>
      <c r="C3241" s="16" t="n"/>
      <c r="D3241" s="17" t="n"/>
      <c r="E3241" s="17" t="n"/>
      <c r="F3241" s="17" t="n"/>
      <c r="G3241" s="17" t="n"/>
      <c r="H3241" s="18">
        <f>IF(AND(B3241="",C3241="",D3241="",E3241=""),"",IF(B3241="","⚠ Falta fecha",IF(C3241="","⚠ Falta monto",IF(D3241="","⚠ Falta categoría",IF(ISNA(MATCH(D3241,catNom,0)),"⚠ Categoría no existe",IF(E3241="","⚠ Falta cuenta",IF(ISNA(MATCH(E3241,ctaNom,0)),"⚠ Cuenta no existe",IF(AND(OR(I3241="Transferencia",I3241="Pago tarjeta"),G3241=""),"⚠ Indica la cuenta «Hacia»",IF(AND(G3241&lt;&gt;"",G3241=E3241),"⚠ «Hacia» igual a la cuenta",IF(AND(G3241&lt;&gt;"",ISNA(MATCH(G3241,ctaNom,0))),"⚠ «Hacia» no existe",IF(AND(I3241="Pago tarjeta",IFERROR(INDEX(ctaTipo,MATCH(G3241,ctaNom,0)),"")&lt;&gt;"Tarjeta de crédito"),"⚠ «Hacia» debe ser la tarjeta",IF(AND(I3241="Trading",IFERROR(INDEX(ctaTipo,MATCH(E3241,ctaNom,0)),"")&lt;&gt;"Cuenta de trading"),"⚠ Usa la cuenta de trading","✓"))))))))))))</f>
        <v/>
      </c>
      <c r="I3241" s="19">
        <f>IF(OR(B3241="",C3241="",D3241=""),"",IFERROR(INDEX(catTipo,MATCH(D3241,catNom,0))&amp;"",""))</f>
        <v/>
      </c>
      <c r="J3241" s="19">
        <f>IF(I3241="","",IFERROR(INDEX(catGrupo,MATCH(D3241,catNom,0))&amp;"",""))</f>
        <v/>
      </c>
      <c r="K3241" s="19">
        <f>IF(I3241="Gasto",IF(IFERROR(INDEX(catClas,MATCH(D3241,catNom,0))&amp;"","")="","Variable",IFERROR(INDEX(catClas,MATCH(D3241,catNom,0))&amp;"","")),"")</f>
        <v/>
      </c>
      <c r="L3241" s="19">
        <f>IF(I3241="","",IFERROR(INDEX(catAlim,MATCH(D3241,catNom,0))&amp;"",""))</f>
        <v/>
      </c>
      <c r="M3241" s="19">
        <f>IF(I3241="","",IFERROR(INDEX(catComida,MATCH(D3241,catNom,0))&amp;"",""))</f>
        <v/>
      </c>
      <c r="N3241" s="19">
        <f>IF(I3241="","",IFERROR(INDEX(ctaMon,MATCH(E3241,ctaNom,0))&amp;"","DOP"))</f>
        <v/>
      </c>
      <c r="O3241" s="20">
        <f>IF(I3241="","",C3241*IF(N3241="USD",TasaUSD,1))</f>
        <v/>
      </c>
      <c r="P3241" s="20">
        <f>IF(I3241="","",IF(I3241="Gasto",O3241,0))</f>
        <v/>
      </c>
      <c r="Q3241" s="20">
        <f>IF(I3241="","",IF(I3241="Ingreso",O3241,0))</f>
        <v/>
      </c>
      <c r="R3241" s="20">
        <f>IF(I3241="","",IF(I3241="Trading",O3241,0))</f>
        <v/>
      </c>
      <c r="S3241" s="19">
        <f>IF(I3241="","",IF(AND(I3241="Gasto",K3241="Variable",J3241&lt;&gt;"Trading",O3241&gt;0,O3241&lt;=Umbral),1,0))</f>
        <v/>
      </c>
      <c r="T3241" s="20">
        <f>IF(OR(I3241="",E3241=""),"",IF(OR(I3241="Gasto",I3241="Transferencia",I3241="Pago tarjeta"),-1,1)*C3241)</f>
        <v/>
      </c>
      <c r="U3241" s="20">
        <f>IF(OR(G3241="",AND(I3241&lt;&gt;"Transferencia",I3241&lt;&gt;"Pago tarjeta")),"",IF(IFERROR(INDEX(ctaMon,MATCH(G3241,ctaNom,0))&amp;"","DOP")=N3241,C3241,IF(N3241="USD",C3241*TasaUSD,C3241/TasaUSD)))</f>
        <v/>
      </c>
      <c r="V3241" s="20">
        <f>IF(I3241="","",IF(IFERROR(INDEX(ctaLiq,MATCH(E3241,ctaNom,0))="Sí",FALSE),IF(OR(I3241="Gasto",I3241="Transferencia",I3241="Pago tarjeta"),-1,1)*O3241,0)+IF(AND(U3241&lt;&gt;"",IFERROR(INDEX(ctaLiq,MATCH(G3241,ctaNom,0))="Sí",FALSE)),O3241,0))</f>
        <v/>
      </c>
      <c r="W3241" s="19">
        <f>IF(OR(F3241="",I3241=""),"",IF(COUNTIFS(F$6:F3241,F3241,I$6:I3241,"?*")=1,MAX(W$5:W3240)+1,""))</f>
        <v/>
      </c>
    </row>
    <row r="3242">
      <c r="B3242" s="15" t="n"/>
      <c r="C3242" s="16" t="n"/>
      <c r="D3242" s="17" t="n"/>
      <c r="E3242" s="17" t="n"/>
      <c r="F3242" s="17" t="n"/>
      <c r="G3242" s="17" t="n"/>
      <c r="H3242" s="18">
        <f>IF(AND(B3242="",C3242="",D3242="",E3242=""),"",IF(B3242="","⚠ Falta fecha",IF(C3242="","⚠ Falta monto",IF(D3242="","⚠ Falta categoría",IF(ISNA(MATCH(D3242,catNom,0)),"⚠ Categoría no existe",IF(E3242="","⚠ Falta cuenta",IF(ISNA(MATCH(E3242,ctaNom,0)),"⚠ Cuenta no existe",IF(AND(OR(I3242="Transferencia",I3242="Pago tarjeta"),G3242=""),"⚠ Indica la cuenta «Hacia»",IF(AND(G3242&lt;&gt;"",G3242=E3242),"⚠ «Hacia» igual a la cuenta",IF(AND(G3242&lt;&gt;"",ISNA(MATCH(G3242,ctaNom,0))),"⚠ «Hacia» no existe",IF(AND(I3242="Pago tarjeta",IFERROR(INDEX(ctaTipo,MATCH(G3242,ctaNom,0)),"")&lt;&gt;"Tarjeta de crédito"),"⚠ «Hacia» debe ser la tarjeta",IF(AND(I3242="Trading",IFERROR(INDEX(ctaTipo,MATCH(E3242,ctaNom,0)),"")&lt;&gt;"Cuenta de trading"),"⚠ Usa la cuenta de trading","✓"))))))))))))</f>
        <v/>
      </c>
      <c r="I3242" s="19">
        <f>IF(OR(B3242="",C3242="",D3242=""),"",IFERROR(INDEX(catTipo,MATCH(D3242,catNom,0))&amp;"",""))</f>
        <v/>
      </c>
      <c r="J3242" s="19">
        <f>IF(I3242="","",IFERROR(INDEX(catGrupo,MATCH(D3242,catNom,0))&amp;"",""))</f>
        <v/>
      </c>
      <c r="K3242" s="19">
        <f>IF(I3242="Gasto",IF(IFERROR(INDEX(catClas,MATCH(D3242,catNom,0))&amp;"","")="","Variable",IFERROR(INDEX(catClas,MATCH(D3242,catNom,0))&amp;"","")),"")</f>
        <v/>
      </c>
      <c r="L3242" s="19">
        <f>IF(I3242="","",IFERROR(INDEX(catAlim,MATCH(D3242,catNom,0))&amp;"",""))</f>
        <v/>
      </c>
      <c r="M3242" s="19">
        <f>IF(I3242="","",IFERROR(INDEX(catComida,MATCH(D3242,catNom,0))&amp;"",""))</f>
        <v/>
      </c>
      <c r="N3242" s="19">
        <f>IF(I3242="","",IFERROR(INDEX(ctaMon,MATCH(E3242,ctaNom,0))&amp;"","DOP"))</f>
        <v/>
      </c>
      <c r="O3242" s="20">
        <f>IF(I3242="","",C3242*IF(N3242="USD",TasaUSD,1))</f>
        <v/>
      </c>
      <c r="P3242" s="20">
        <f>IF(I3242="","",IF(I3242="Gasto",O3242,0))</f>
        <v/>
      </c>
      <c r="Q3242" s="20">
        <f>IF(I3242="","",IF(I3242="Ingreso",O3242,0))</f>
        <v/>
      </c>
      <c r="R3242" s="20">
        <f>IF(I3242="","",IF(I3242="Trading",O3242,0))</f>
        <v/>
      </c>
      <c r="S3242" s="19">
        <f>IF(I3242="","",IF(AND(I3242="Gasto",K3242="Variable",J3242&lt;&gt;"Trading",O3242&gt;0,O3242&lt;=Umbral),1,0))</f>
        <v/>
      </c>
      <c r="T3242" s="20">
        <f>IF(OR(I3242="",E3242=""),"",IF(OR(I3242="Gasto",I3242="Transferencia",I3242="Pago tarjeta"),-1,1)*C3242)</f>
        <v/>
      </c>
      <c r="U3242" s="20">
        <f>IF(OR(G3242="",AND(I3242&lt;&gt;"Transferencia",I3242&lt;&gt;"Pago tarjeta")),"",IF(IFERROR(INDEX(ctaMon,MATCH(G3242,ctaNom,0))&amp;"","DOP")=N3242,C3242,IF(N3242="USD",C3242*TasaUSD,C3242/TasaUSD)))</f>
        <v/>
      </c>
      <c r="V3242" s="20">
        <f>IF(I3242="","",IF(IFERROR(INDEX(ctaLiq,MATCH(E3242,ctaNom,0))="Sí",FALSE),IF(OR(I3242="Gasto",I3242="Transferencia",I3242="Pago tarjeta"),-1,1)*O3242,0)+IF(AND(U3242&lt;&gt;"",IFERROR(INDEX(ctaLiq,MATCH(G3242,ctaNom,0))="Sí",FALSE)),O3242,0))</f>
        <v/>
      </c>
      <c r="W3242" s="19">
        <f>IF(OR(F3242="",I3242=""),"",IF(COUNTIFS(F$6:F3242,F3242,I$6:I3242,"?*")=1,MAX(W$5:W3241)+1,""))</f>
        <v/>
      </c>
    </row>
    <row r="3243">
      <c r="B3243" s="15" t="n"/>
      <c r="C3243" s="16" t="n"/>
      <c r="D3243" s="17" t="n"/>
      <c r="E3243" s="17" t="n"/>
      <c r="F3243" s="17" t="n"/>
      <c r="G3243" s="17" t="n"/>
      <c r="H3243" s="18">
        <f>IF(AND(B3243="",C3243="",D3243="",E3243=""),"",IF(B3243="","⚠ Falta fecha",IF(C3243="","⚠ Falta monto",IF(D3243="","⚠ Falta categoría",IF(ISNA(MATCH(D3243,catNom,0)),"⚠ Categoría no existe",IF(E3243="","⚠ Falta cuenta",IF(ISNA(MATCH(E3243,ctaNom,0)),"⚠ Cuenta no existe",IF(AND(OR(I3243="Transferencia",I3243="Pago tarjeta"),G3243=""),"⚠ Indica la cuenta «Hacia»",IF(AND(G3243&lt;&gt;"",G3243=E3243),"⚠ «Hacia» igual a la cuenta",IF(AND(G3243&lt;&gt;"",ISNA(MATCH(G3243,ctaNom,0))),"⚠ «Hacia» no existe",IF(AND(I3243="Pago tarjeta",IFERROR(INDEX(ctaTipo,MATCH(G3243,ctaNom,0)),"")&lt;&gt;"Tarjeta de crédito"),"⚠ «Hacia» debe ser la tarjeta",IF(AND(I3243="Trading",IFERROR(INDEX(ctaTipo,MATCH(E3243,ctaNom,0)),"")&lt;&gt;"Cuenta de trading"),"⚠ Usa la cuenta de trading","✓"))))))))))))</f>
        <v/>
      </c>
      <c r="I3243" s="19">
        <f>IF(OR(B3243="",C3243="",D3243=""),"",IFERROR(INDEX(catTipo,MATCH(D3243,catNom,0))&amp;"",""))</f>
        <v/>
      </c>
      <c r="J3243" s="19">
        <f>IF(I3243="","",IFERROR(INDEX(catGrupo,MATCH(D3243,catNom,0))&amp;"",""))</f>
        <v/>
      </c>
      <c r="K3243" s="19">
        <f>IF(I3243="Gasto",IF(IFERROR(INDEX(catClas,MATCH(D3243,catNom,0))&amp;"","")="","Variable",IFERROR(INDEX(catClas,MATCH(D3243,catNom,0))&amp;"","")),"")</f>
        <v/>
      </c>
      <c r="L3243" s="19">
        <f>IF(I3243="","",IFERROR(INDEX(catAlim,MATCH(D3243,catNom,0))&amp;"",""))</f>
        <v/>
      </c>
      <c r="M3243" s="19">
        <f>IF(I3243="","",IFERROR(INDEX(catComida,MATCH(D3243,catNom,0))&amp;"",""))</f>
        <v/>
      </c>
      <c r="N3243" s="19">
        <f>IF(I3243="","",IFERROR(INDEX(ctaMon,MATCH(E3243,ctaNom,0))&amp;"","DOP"))</f>
        <v/>
      </c>
      <c r="O3243" s="20">
        <f>IF(I3243="","",C3243*IF(N3243="USD",TasaUSD,1))</f>
        <v/>
      </c>
      <c r="P3243" s="20">
        <f>IF(I3243="","",IF(I3243="Gasto",O3243,0))</f>
        <v/>
      </c>
      <c r="Q3243" s="20">
        <f>IF(I3243="","",IF(I3243="Ingreso",O3243,0))</f>
        <v/>
      </c>
      <c r="R3243" s="20">
        <f>IF(I3243="","",IF(I3243="Trading",O3243,0))</f>
        <v/>
      </c>
      <c r="S3243" s="19">
        <f>IF(I3243="","",IF(AND(I3243="Gasto",K3243="Variable",J3243&lt;&gt;"Trading",O3243&gt;0,O3243&lt;=Umbral),1,0))</f>
        <v/>
      </c>
      <c r="T3243" s="20">
        <f>IF(OR(I3243="",E3243=""),"",IF(OR(I3243="Gasto",I3243="Transferencia",I3243="Pago tarjeta"),-1,1)*C3243)</f>
        <v/>
      </c>
      <c r="U3243" s="20">
        <f>IF(OR(G3243="",AND(I3243&lt;&gt;"Transferencia",I3243&lt;&gt;"Pago tarjeta")),"",IF(IFERROR(INDEX(ctaMon,MATCH(G3243,ctaNom,0))&amp;"","DOP")=N3243,C3243,IF(N3243="USD",C3243*TasaUSD,C3243/TasaUSD)))</f>
        <v/>
      </c>
      <c r="V3243" s="20">
        <f>IF(I3243="","",IF(IFERROR(INDEX(ctaLiq,MATCH(E3243,ctaNom,0))="Sí",FALSE),IF(OR(I3243="Gasto",I3243="Transferencia",I3243="Pago tarjeta"),-1,1)*O3243,0)+IF(AND(U3243&lt;&gt;"",IFERROR(INDEX(ctaLiq,MATCH(G3243,ctaNom,0))="Sí",FALSE)),O3243,0))</f>
        <v/>
      </c>
      <c r="W3243" s="19">
        <f>IF(OR(F3243="",I3243=""),"",IF(COUNTIFS(F$6:F3243,F3243,I$6:I3243,"?*")=1,MAX(W$5:W3242)+1,""))</f>
        <v/>
      </c>
    </row>
    <row r="3244">
      <c r="B3244" s="15" t="n"/>
      <c r="C3244" s="16" t="n"/>
      <c r="D3244" s="17" t="n"/>
      <c r="E3244" s="17" t="n"/>
      <c r="F3244" s="17" t="n"/>
      <c r="G3244" s="17" t="n"/>
      <c r="H3244" s="18">
        <f>IF(AND(B3244="",C3244="",D3244="",E3244=""),"",IF(B3244="","⚠ Falta fecha",IF(C3244="","⚠ Falta monto",IF(D3244="","⚠ Falta categoría",IF(ISNA(MATCH(D3244,catNom,0)),"⚠ Categoría no existe",IF(E3244="","⚠ Falta cuenta",IF(ISNA(MATCH(E3244,ctaNom,0)),"⚠ Cuenta no existe",IF(AND(OR(I3244="Transferencia",I3244="Pago tarjeta"),G3244=""),"⚠ Indica la cuenta «Hacia»",IF(AND(G3244&lt;&gt;"",G3244=E3244),"⚠ «Hacia» igual a la cuenta",IF(AND(G3244&lt;&gt;"",ISNA(MATCH(G3244,ctaNom,0))),"⚠ «Hacia» no existe",IF(AND(I3244="Pago tarjeta",IFERROR(INDEX(ctaTipo,MATCH(G3244,ctaNom,0)),"")&lt;&gt;"Tarjeta de crédito"),"⚠ «Hacia» debe ser la tarjeta",IF(AND(I3244="Trading",IFERROR(INDEX(ctaTipo,MATCH(E3244,ctaNom,0)),"")&lt;&gt;"Cuenta de trading"),"⚠ Usa la cuenta de trading","✓"))))))))))))</f>
        <v/>
      </c>
      <c r="I3244" s="19">
        <f>IF(OR(B3244="",C3244="",D3244=""),"",IFERROR(INDEX(catTipo,MATCH(D3244,catNom,0))&amp;"",""))</f>
        <v/>
      </c>
      <c r="J3244" s="19">
        <f>IF(I3244="","",IFERROR(INDEX(catGrupo,MATCH(D3244,catNom,0))&amp;"",""))</f>
        <v/>
      </c>
      <c r="K3244" s="19">
        <f>IF(I3244="Gasto",IF(IFERROR(INDEX(catClas,MATCH(D3244,catNom,0))&amp;"","")="","Variable",IFERROR(INDEX(catClas,MATCH(D3244,catNom,0))&amp;"","")),"")</f>
        <v/>
      </c>
      <c r="L3244" s="19">
        <f>IF(I3244="","",IFERROR(INDEX(catAlim,MATCH(D3244,catNom,0))&amp;"",""))</f>
        <v/>
      </c>
      <c r="M3244" s="19">
        <f>IF(I3244="","",IFERROR(INDEX(catComida,MATCH(D3244,catNom,0))&amp;"",""))</f>
        <v/>
      </c>
      <c r="N3244" s="19">
        <f>IF(I3244="","",IFERROR(INDEX(ctaMon,MATCH(E3244,ctaNom,0))&amp;"","DOP"))</f>
        <v/>
      </c>
      <c r="O3244" s="20">
        <f>IF(I3244="","",C3244*IF(N3244="USD",TasaUSD,1))</f>
        <v/>
      </c>
      <c r="P3244" s="20">
        <f>IF(I3244="","",IF(I3244="Gasto",O3244,0))</f>
        <v/>
      </c>
      <c r="Q3244" s="20">
        <f>IF(I3244="","",IF(I3244="Ingreso",O3244,0))</f>
        <v/>
      </c>
      <c r="R3244" s="20">
        <f>IF(I3244="","",IF(I3244="Trading",O3244,0))</f>
        <v/>
      </c>
      <c r="S3244" s="19">
        <f>IF(I3244="","",IF(AND(I3244="Gasto",K3244="Variable",J3244&lt;&gt;"Trading",O3244&gt;0,O3244&lt;=Umbral),1,0))</f>
        <v/>
      </c>
      <c r="T3244" s="20">
        <f>IF(OR(I3244="",E3244=""),"",IF(OR(I3244="Gasto",I3244="Transferencia",I3244="Pago tarjeta"),-1,1)*C3244)</f>
        <v/>
      </c>
      <c r="U3244" s="20">
        <f>IF(OR(G3244="",AND(I3244&lt;&gt;"Transferencia",I3244&lt;&gt;"Pago tarjeta")),"",IF(IFERROR(INDEX(ctaMon,MATCH(G3244,ctaNom,0))&amp;"","DOP")=N3244,C3244,IF(N3244="USD",C3244*TasaUSD,C3244/TasaUSD)))</f>
        <v/>
      </c>
      <c r="V3244" s="20">
        <f>IF(I3244="","",IF(IFERROR(INDEX(ctaLiq,MATCH(E3244,ctaNom,0))="Sí",FALSE),IF(OR(I3244="Gasto",I3244="Transferencia",I3244="Pago tarjeta"),-1,1)*O3244,0)+IF(AND(U3244&lt;&gt;"",IFERROR(INDEX(ctaLiq,MATCH(G3244,ctaNom,0))="Sí",FALSE)),O3244,0))</f>
        <v/>
      </c>
      <c r="W3244" s="19">
        <f>IF(OR(F3244="",I3244=""),"",IF(COUNTIFS(F$6:F3244,F3244,I$6:I3244,"?*")=1,MAX(W$5:W3243)+1,""))</f>
        <v/>
      </c>
    </row>
    <row r="3245">
      <c r="B3245" s="15" t="n"/>
      <c r="C3245" s="16" t="n"/>
      <c r="D3245" s="17" t="n"/>
      <c r="E3245" s="17" t="n"/>
      <c r="F3245" s="17" t="n"/>
      <c r="G3245" s="17" t="n"/>
      <c r="H3245" s="18">
        <f>IF(AND(B3245="",C3245="",D3245="",E3245=""),"",IF(B3245="","⚠ Falta fecha",IF(C3245="","⚠ Falta monto",IF(D3245="","⚠ Falta categoría",IF(ISNA(MATCH(D3245,catNom,0)),"⚠ Categoría no existe",IF(E3245="","⚠ Falta cuenta",IF(ISNA(MATCH(E3245,ctaNom,0)),"⚠ Cuenta no existe",IF(AND(OR(I3245="Transferencia",I3245="Pago tarjeta"),G3245=""),"⚠ Indica la cuenta «Hacia»",IF(AND(G3245&lt;&gt;"",G3245=E3245),"⚠ «Hacia» igual a la cuenta",IF(AND(G3245&lt;&gt;"",ISNA(MATCH(G3245,ctaNom,0))),"⚠ «Hacia» no existe",IF(AND(I3245="Pago tarjeta",IFERROR(INDEX(ctaTipo,MATCH(G3245,ctaNom,0)),"")&lt;&gt;"Tarjeta de crédito"),"⚠ «Hacia» debe ser la tarjeta",IF(AND(I3245="Trading",IFERROR(INDEX(ctaTipo,MATCH(E3245,ctaNom,0)),"")&lt;&gt;"Cuenta de trading"),"⚠ Usa la cuenta de trading","✓"))))))))))))</f>
        <v/>
      </c>
      <c r="I3245" s="19">
        <f>IF(OR(B3245="",C3245="",D3245=""),"",IFERROR(INDEX(catTipo,MATCH(D3245,catNom,0))&amp;"",""))</f>
        <v/>
      </c>
      <c r="J3245" s="19">
        <f>IF(I3245="","",IFERROR(INDEX(catGrupo,MATCH(D3245,catNom,0))&amp;"",""))</f>
        <v/>
      </c>
      <c r="K3245" s="19">
        <f>IF(I3245="Gasto",IF(IFERROR(INDEX(catClas,MATCH(D3245,catNom,0))&amp;"","")="","Variable",IFERROR(INDEX(catClas,MATCH(D3245,catNom,0))&amp;"","")),"")</f>
        <v/>
      </c>
      <c r="L3245" s="19">
        <f>IF(I3245="","",IFERROR(INDEX(catAlim,MATCH(D3245,catNom,0))&amp;"",""))</f>
        <v/>
      </c>
      <c r="M3245" s="19">
        <f>IF(I3245="","",IFERROR(INDEX(catComida,MATCH(D3245,catNom,0))&amp;"",""))</f>
        <v/>
      </c>
      <c r="N3245" s="19">
        <f>IF(I3245="","",IFERROR(INDEX(ctaMon,MATCH(E3245,ctaNom,0))&amp;"","DOP"))</f>
        <v/>
      </c>
      <c r="O3245" s="20">
        <f>IF(I3245="","",C3245*IF(N3245="USD",TasaUSD,1))</f>
        <v/>
      </c>
      <c r="P3245" s="20">
        <f>IF(I3245="","",IF(I3245="Gasto",O3245,0))</f>
        <v/>
      </c>
      <c r="Q3245" s="20">
        <f>IF(I3245="","",IF(I3245="Ingreso",O3245,0))</f>
        <v/>
      </c>
      <c r="R3245" s="20">
        <f>IF(I3245="","",IF(I3245="Trading",O3245,0))</f>
        <v/>
      </c>
      <c r="S3245" s="19">
        <f>IF(I3245="","",IF(AND(I3245="Gasto",K3245="Variable",J3245&lt;&gt;"Trading",O3245&gt;0,O3245&lt;=Umbral),1,0))</f>
        <v/>
      </c>
      <c r="T3245" s="20">
        <f>IF(OR(I3245="",E3245=""),"",IF(OR(I3245="Gasto",I3245="Transferencia",I3245="Pago tarjeta"),-1,1)*C3245)</f>
        <v/>
      </c>
      <c r="U3245" s="20">
        <f>IF(OR(G3245="",AND(I3245&lt;&gt;"Transferencia",I3245&lt;&gt;"Pago tarjeta")),"",IF(IFERROR(INDEX(ctaMon,MATCH(G3245,ctaNom,0))&amp;"","DOP")=N3245,C3245,IF(N3245="USD",C3245*TasaUSD,C3245/TasaUSD)))</f>
        <v/>
      </c>
      <c r="V3245" s="20">
        <f>IF(I3245="","",IF(IFERROR(INDEX(ctaLiq,MATCH(E3245,ctaNom,0))="Sí",FALSE),IF(OR(I3245="Gasto",I3245="Transferencia",I3245="Pago tarjeta"),-1,1)*O3245,0)+IF(AND(U3245&lt;&gt;"",IFERROR(INDEX(ctaLiq,MATCH(G3245,ctaNom,0))="Sí",FALSE)),O3245,0))</f>
        <v/>
      </c>
      <c r="W3245" s="19">
        <f>IF(OR(F3245="",I3245=""),"",IF(COUNTIFS(F$6:F3245,F3245,I$6:I3245,"?*")=1,MAX(W$5:W3244)+1,""))</f>
        <v/>
      </c>
    </row>
    <row r="3246">
      <c r="B3246" s="15" t="n"/>
      <c r="C3246" s="16" t="n"/>
      <c r="D3246" s="17" t="n"/>
      <c r="E3246" s="17" t="n"/>
      <c r="F3246" s="17" t="n"/>
      <c r="G3246" s="17" t="n"/>
      <c r="H3246" s="18">
        <f>IF(AND(B3246="",C3246="",D3246="",E3246=""),"",IF(B3246="","⚠ Falta fecha",IF(C3246="","⚠ Falta monto",IF(D3246="","⚠ Falta categoría",IF(ISNA(MATCH(D3246,catNom,0)),"⚠ Categoría no existe",IF(E3246="","⚠ Falta cuenta",IF(ISNA(MATCH(E3246,ctaNom,0)),"⚠ Cuenta no existe",IF(AND(OR(I3246="Transferencia",I3246="Pago tarjeta"),G3246=""),"⚠ Indica la cuenta «Hacia»",IF(AND(G3246&lt;&gt;"",G3246=E3246),"⚠ «Hacia» igual a la cuenta",IF(AND(G3246&lt;&gt;"",ISNA(MATCH(G3246,ctaNom,0))),"⚠ «Hacia» no existe",IF(AND(I3246="Pago tarjeta",IFERROR(INDEX(ctaTipo,MATCH(G3246,ctaNom,0)),"")&lt;&gt;"Tarjeta de crédito"),"⚠ «Hacia» debe ser la tarjeta",IF(AND(I3246="Trading",IFERROR(INDEX(ctaTipo,MATCH(E3246,ctaNom,0)),"")&lt;&gt;"Cuenta de trading"),"⚠ Usa la cuenta de trading","✓"))))))))))))</f>
        <v/>
      </c>
      <c r="I3246" s="19">
        <f>IF(OR(B3246="",C3246="",D3246=""),"",IFERROR(INDEX(catTipo,MATCH(D3246,catNom,0))&amp;"",""))</f>
        <v/>
      </c>
      <c r="J3246" s="19">
        <f>IF(I3246="","",IFERROR(INDEX(catGrupo,MATCH(D3246,catNom,0))&amp;"",""))</f>
        <v/>
      </c>
      <c r="K3246" s="19">
        <f>IF(I3246="Gasto",IF(IFERROR(INDEX(catClas,MATCH(D3246,catNom,0))&amp;"","")="","Variable",IFERROR(INDEX(catClas,MATCH(D3246,catNom,0))&amp;"","")),"")</f>
        <v/>
      </c>
      <c r="L3246" s="19">
        <f>IF(I3246="","",IFERROR(INDEX(catAlim,MATCH(D3246,catNom,0))&amp;"",""))</f>
        <v/>
      </c>
      <c r="M3246" s="19">
        <f>IF(I3246="","",IFERROR(INDEX(catComida,MATCH(D3246,catNom,0))&amp;"",""))</f>
        <v/>
      </c>
      <c r="N3246" s="19">
        <f>IF(I3246="","",IFERROR(INDEX(ctaMon,MATCH(E3246,ctaNom,0))&amp;"","DOP"))</f>
        <v/>
      </c>
      <c r="O3246" s="20">
        <f>IF(I3246="","",C3246*IF(N3246="USD",TasaUSD,1))</f>
        <v/>
      </c>
      <c r="P3246" s="20">
        <f>IF(I3246="","",IF(I3246="Gasto",O3246,0))</f>
        <v/>
      </c>
      <c r="Q3246" s="20">
        <f>IF(I3246="","",IF(I3246="Ingreso",O3246,0))</f>
        <v/>
      </c>
      <c r="R3246" s="20">
        <f>IF(I3246="","",IF(I3246="Trading",O3246,0))</f>
        <v/>
      </c>
      <c r="S3246" s="19">
        <f>IF(I3246="","",IF(AND(I3246="Gasto",K3246="Variable",J3246&lt;&gt;"Trading",O3246&gt;0,O3246&lt;=Umbral),1,0))</f>
        <v/>
      </c>
      <c r="T3246" s="20">
        <f>IF(OR(I3246="",E3246=""),"",IF(OR(I3246="Gasto",I3246="Transferencia",I3246="Pago tarjeta"),-1,1)*C3246)</f>
        <v/>
      </c>
      <c r="U3246" s="20">
        <f>IF(OR(G3246="",AND(I3246&lt;&gt;"Transferencia",I3246&lt;&gt;"Pago tarjeta")),"",IF(IFERROR(INDEX(ctaMon,MATCH(G3246,ctaNom,0))&amp;"","DOP")=N3246,C3246,IF(N3246="USD",C3246*TasaUSD,C3246/TasaUSD)))</f>
        <v/>
      </c>
      <c r="V3246" s="20">
        <f>IF(I3246="","",IF(IFERROR(INDEX(ctaLiq,MATCH(E3246,ctaNom,0))="Sí",FALSE),IF(OR(I3246="Gasto",I3246="Transferencia",I3246="Pago tarjeta"),-1,1)*O3246,0)+IF(AND(U3246&lt;&gt;"",IFERROR(INDEX(ctaLiq,MATCH(G3246,ctaNom,0))="Sí",FALSE)),O3246,0))</f>
        <v/>
      </c>
      <c r="W3246" s="19">
        <f>IF(OR(F3246="",I3246=""),"",IF(COUNTIFS(F$6:F3246,F3246,I$6:I3246,"?*")=1,MAX(W$5:W3245)+1,""))</f>
        <v/>
      </c>
    </row>
    <row r="3247">
      <c r="B3247" s="15" t="n"/>
      <c r="C3247" s="16" t="n"/>
      <c r="D3247" s="17" t="n"/>
      <c r="E3247" s="17" t="n"/>
      <c r="F3247" s="17" t="n"/>
      <c r="G3247" s="17" t="n"/>
      <c r="H3247" s="18">
        <f>IF(AND(B3247="",C3247="",D3247="",E3247=""),"",IF(B3247="","⚠ Falta fecha",IF(C3247="","⚠ Falta monto",IF(D3247="","⚠ Falta categoría",IF(ISNA(MATCH(D3247,catNom,0)),"⚠ Categoría no existe",IF(E3247="","⚠ Falta cuenta",IF(ISNA(MATCH(E3247,ctaNom,0)),"⚠ Cuenta no existe",IF(AND(OR(I3247="Transferencia",I3247="Pago tarjeta"),G3247=""),"⚠ Indica la cuenta «Hacia»",IF(AND(G3247&lt;&gt;"",G3247=E3247),"⚠ «Hacia» igual a la cuenta",IF(AND(G3247&lt;&gt;"",ISNA(MATCH(G3247,ctaNom,0))),"⚠ «Hacia» no existe",IF(AND(I3247="Pago tarjeta",IFERROR(INDEX(ctaTipo,MATCH(G3247,ctaNom,0)),"")&lt;&gt;"Tarjeta de crédito"),"⚠ «Hacia» debe ser la tarjeta",IF(AND(I3247="Trading",IFERROR(INDEX(ctaTipo,MATCH(E3247,ctaNom,0)),"")&lt;&gt;"Cuenta de trading"),"⚠ Usa la cuenta de trading","✓"))))))))))))</f>
        <v/>
      </c>
      <c r="I3247" s="19">
        <f>IF(OR(B3247="",C3247="",D3247=""),"",IFERROR(INDEX(catTipo,MATCH(D3247,catNom,0))&amp;"",""))</f>
        <v/>
      </c>
      <c r="J3247" s="19">
        <f>IF(I3247="","",IFERROR(INDEX(catGrupo,MATCH(D3247,catNom,0))&amp;"",""))</f>
        <v/>
      </c>
      <c r="K3247" s="19">
        <f>IF(I3247="Gasto",IF(IFERROR(INDEX(catClas,MATCH(D3247,catNom,0))&amp;"","")="","Variable",IFERROR(INDEX(catClas,MATCH(D3247,catNom,0))&amp;"","")),"")</f>
        <v/>
      </c>
      <c r="L3247" s="19">
        <f>IF(I3247="","",IFERROR(INDEX(catAlim,MATCH(D3247,catNom,0))&amp;"",""))</f>
        <v/>
      </c>
      <c r="M3247" s="19">
        <f>IF(I3247="","",IFERROR(INDEX(catComida,MATCH(D3247,catNom,0))&amp;"",""))</f>
        <v/>
      </c>
      <c r="N3247" s="19">
        <f>IF(I3247="","",IFERROR(INDEX(ctaMon,MATCH(E3247,ctaNom,0))&amp;"","DOP"))</f>
        <v/>
      </c>
      <c r="O3247" s="20">
        <f>IF(I3247="","",C3247*IF(N3247="USD",TasaUSD,1))</f>
        <v/>
      </c>
      <c r="P3247" s="20">
        <f>IF(I3247="","",IF(I3247="Gasto",O3247,0))</f>
        <v/>
      </c>
      <c r="Q3247" s="20">
        <f>IF(I3247="","",IF(I3247="Ingreso",O3247,0))</f>
        <v/>
      </c>
      <c r="R3247" s="20">
        <f>IF(I3247="","",IF(I3247="Trading",O3247,0))</f>
        <v/>
      </c>
      <c r="S3247" s="19">
        <f>IF(I3247="","",IF(AND(I3247="Gasto",K3247="Variable",J3247&lt;&gt;"Trading",O3247&gt;0,O3247&lt;=Umbral),1,0))</f>
        <v/>
      </c>
      <c r="T3247" s="20">
        <f>IF(OR(I3247="",E3247=""),"",IF(OR(I3247="Gasto",I3247="Transferencia",I3247="Pago tarjeta"),-1,1)*C3247)</f>
        <v/>
      </c>
      <c r="U3247" s="20">
        <f>IF(OR(G3247="",AND(I3247&lt;&gt;"Transferencia",I3247&lt;&gt;"Pago tarjeta")),"",IF(IFERROR(INDEX(ctaMon,MATCH(G3247,ctaNom,0))&amp;"","DOP")=N3247,C3247,IF(N3247="USD",C3247*TasaUSD,C3247/TasaUSD)))</f>
        <v/>
      </c>
      <c r="V3247" s="20">
        <f>IF(I3247="","",IF(IFERROR(INDEX(ctaLiq,MATCH(E3247,ctaNom,0))="Sí",FALSE),IF(OR(I3247="Gasto",I3247="Transferencia",I3247="Pago tarjeta"),-1,1)*O3247,0)+IF(AND(U3247&lt;&gt;"",IFERROR(INDEX(ctaLiq,MATCH(G3247,ctaNom,0))="Sí",FALSE)),O3247,0))</f>
        <v/>
      </c>
      <c r="W3247" s="19">
        <f>IF(OR(F3247="",I3247=""),"",IF(COUNTIFS(F$6:F3247,F3247,I$6:I3247,"?*")=1,MAX(W$5:W3246)+1,""))</f>
        <v/>
      </c>
    </row>
    <row r="3248">
      <c r="B3248" s="15" t="n"/>
      <c r="C3248" s="16" t="n"/>
      <c r="D3248" s="17" t="n"/>
      <c r="E3248" s="17" t="n"/>
      <c r="F3248" s="17" t="n"/>
      <c r="G3248" s="17" t="n"/>
      <c r="H3248" s="18">
        <f>IF(AND(B3248="",C3248="",D3248="",E3248=""),"",IF(B3248="","⚠ Falta fecha",IF(C3248="","⚠ Falta monto",IF(D3248="","⚠ Falta categoría",IF(ISNA(MATCH(D3248,catNom,0)),"⚠ Categoría no existe",IF(E3248="","⚠ Falta cuenta",IF(ISNA(MATCH(E3248,ctaNom,0)),"⚠ Cuenta no existe",IF(AND(OR(I3248="Transferencia",I3248="Pago tarjeta"),G3248=""),"⚠ Indica la cuenta «Hacia»",IF(AND(G3248&lt;&gt;"",G3248=E3248),"⚠ «Hacia» igual a la cuenta",IF(AND(G3248&lt;&gt;"",ISNA(MATCH(G3248,ctaNom,0))),"⚠ «Hacia» no existe",IF(AND(I3248="Pago tarjeta",IFERROR(INDEX(ctaTipo,MATCH(G3248,ctaNom,0)),"")&lt;&gt;"Tarjeta de crédito"),"⚠ «Hacia» debe ser la tarjeta",IF(AND(I3248="Trading",IFERROR(INDEX(ctaTipo,MATCH(E3248,ctaNom,0)),"")&lt;&gt;"Cuenta de trading"),"⚠ Usa la cuenta de trading","✓"))))))))))))</f>
        <v/>
      </c>
      <c r="I3248" s="19">
        <f>IF(OR(B3248="",C3248="",D3248=""),"",IFERROR(INDEX(catTipo,MATCH(D3248,catNom,0))&amp;"",""))</f>
        <v/>
      </c>
      <c r="J3248" s="19">
        <f>IF(I3248="","",IFERROR(INDEX(catGrupo,MATCH(D3248,catNom,0))&amp;"",""))</f>
        <v/>
      </c>
      <c r="K3248" s="19">
        <f>IF(I3248="Gasto",IF(IFERROR(INDEX(catClas,MATCH(D3248,catNom,0))&amp;"","")="","Variable",IFERROR(INDEX(catClas,MATCH(D3248,catNom,0))&amp;"","")),"")</f>
        <v/>
      </c>
      <c r="L3248" s="19">
        <f>IF(I3248="","",IFERROR(INDEX(catAlim,MATCH(D3248,catNom,0))&amp;"",""))</f>
        <v/>
      </c>
      <c r="M3248" s="19">
        <f>IF(I3248="","",IFERROR(INDEX(catComida,MATCH(D3248,catNom,0))&amp;"",""))</f>
        <v/>
      </c>
      <c r="N3248" s="19">
        <f>IF(I3248="","",IFERROR(INDEX(ctaMon,MATCH(E3248,ctaNom,0))&amp;"","DOP"))</f>
        <v/>
      </c>
      <c r="O3248" s="20">
        <f>IF(I3248="","",C3248*IF(N3248="USD",TasaUSD,1))</f>
        <v/>
      </c>
      <c r="P3248" s="20">
        <f>IF(I3248="","",IF(I3248="Gasto",O3248,0))</f>
        <v/>
      </c>
      <c r="Q3248" s="20">
        <f>IF(I3248="","",IF(I3248="Ingreso",O3248,0))</f>
        <v/>
      </c>
      <c r="R3248" s="20">
        <f>IF(I3248="","",IF(I3248="Trading",O3248,0))</f>
        <v/>
      </c>
      <c r="S3248" s="19">
        <f>IF(I3248="","",IF(AND(I3248="Gasto",K3248="Variable",J3248&lt;&gt;"Trading",O3248&gt;0,O3248&lt;=Umbral),1,0))</f>
        <v/>
      </c>
      <c r="T3248" s="20">
        <f>IF(OR(I3248="",E3248=""),"",IF(OR(I3248="Gasto",I3248="Transferencia",I3248="Pago tarjeta"),-1,1)*C3248)</f>
        <v/>
      </c>
      <c r="U3248" s="20">
        <f>IF(OR(G3248="",AND(I3248&lt;&gt;"Transferencia",I3248&lt;&gt;"Pago tarjeta")),"",IF(IFERROR(INDEX(ctaMon,MATCH(G3248,ctaNom,0))&amp;"","DOP")=N3248,C3248,IF(N3248="USD",C3248*TasaUSD,C3248/TasaUSD)))</f>
        <v/>
      </c>
      <c r="V3248" s="20">
        <f>IF(I3248="","",IF(IFERROR(INDEX(ctaLiq,MATCH(E3248,ctaNom,0))="Sí",FALSE),IF(OR(I3248="Gasto",I3248="Transferencia",I3248="Pago tarjeta"),-1,1)*O3248,0)+IF(AND(U3248&lt;&gt;"",IFERROR(INDEX(ctaLiq,MATCH(G3248,ctaNom,0))="Sí",FALSE)),O3248,0))</f>
        <v/>
      </c>
      <c r="W3248" s="19">
        <f>IF(OR(F3248="",I3248=""),"",IF(COUNTIFS(F$6:F3248,F3248,I$6:I3248,"?*")=1,MAX(W$5:W3247)+1,""))</f>
        <v/>
      </c>
    </row>
    <row r="3249">
      <c r="B3249" s="15" t="n"/>
      <c r="C3249" s="16" t="n"/>
      <c r="D3249" s="17" t="n"/>
      <c r="E3249" s="17" t="n"/>
      <c r="F3249" s="17" t="n"/>
      <c r="G3249" s="17" t="n"/>
      <c r="H3249" s="18">
        <f>IF(AND(B3249="",C3249="",D3249="",E3249=""),"",IF(B3249="","⚠ Falta fecha",IF(C3249="","⚠ Falta monto",IF(D3249="","⚠ Falta categoría",IF(ISNA(MATCH(D3249,catNom,0)),"⚠ Categoría no existe",IF(E3249="","⚠ Falta cuenta",IF(ISNA(MATCH(E3249,ctaNom,0)),"⚠ Cuenta no existe",IF(AND(OR(I3249="Transferencia",I3249="Pago tarjeta"),G3249=""),"⚠ Indica la cuenta «Hacia»",IF(AND(G3249&lt;&gt;"",G3249=E3249),"⚠ «Hacia» igual a la cuenta",IF(AND(G3249&lt;&gt;"",ISNA(MATCH(G3249,ctaNom,0))),"⚠ «Hacia» no existe",IF(AND(I3249="Pago tarjeta",IFERROR(INDEX(ctaTipo,MATCH(G3249,ctaNom,0)),"")&lt;&gt;"Tarjeta de crédito"),"⚠ «Hacia» debe ser la tarjeta",IF(AND(I3249="Trading",IFERROR(INDEX(ctaTipo,MATCH(E3249,ctaNom,0)),"")&lt;&gt;"Cuenta de trading"),"⚠ Usa la cuenta de trading","✓"))))))))))))</f>
        <v/>
      </c>
      <c r="I3249" s="19">
        <f>IF(OR(B3249="",C3249="",D3249=""),"",IFERROR(INDEX(catTipo,MATCH(D3249,catNom,0))&amp;"",""))</f>
        <v/>
      </c>
      <c r="J3249" s="19">
        <f>IF(I3249="","",IFERROR(INDEX(catGrupo,MATCH(D3249,catNom,0))&amp;"",""))</f>
        <v/>
      </c>
      <c r="K3249" s="19">
        <f>IF(I3249="Gasto",IF(IFERROR(INDEX(catClas,MATCH(D3249,catNom,0))&amp;"","")="","Variable",IFERROR(INDEX(catClas,MATCH(D3249,catNom,0))&amp;"","")),"")</f>
        <v/>
      </c>
      <c r="L3249" s="19">
        <f>IF(I3249="","",IFERROR(INDEX(catAlim,MATCH(D3249,catNom,0))&amp;"",""))</f>
        <v/>
      </c>
      <c r="M3249" s="19">
        <f>IF(I3249="","",IFERROR(INDEX(catComida,MATCH(D3249,catNom,0))&amp;"",""))</f>
        <v/>
      </c>
      <c r="N3249" s="19">
        <f>IF(I3249="","",IFERROR(INDEX(ctaMon,MATCH(E3249,ctaNom,0))&amp;"","DOP"))</f>
        <v/>
      </c>
      <c r="O3249" s="20">
        <f>IF(I3249="","",C3249*IF(N3249="USD",TasaUSD,1))</f>
        <v/>
      </c>
      <c r="P3249" s="20">
        <f>IF(I3249="","",IF(I3249="Gasto",O3249,0))</f>
        <v/>
      </c>
      <c r="Q3249" s="20">
        <f>IF(I3249="","",IF(I3249="Ingreso",O3249,0))</f>
        <v/>
      </c>
      <c r="R3249" s="20">
        <f>IF(I3249="","",IF(I3249="Trading",O3249,0))</f>
        <v/>
      </c>
      <c r="S3249" s="19">
        <f>IF(I3249="","",IF(AND(I3249="Gasto",K3249="Variable",J3249&lt;&gt;"Trading",O3249&gt;0,O3249&lt;=Umbral),1,0))</f>
        <v/>
      </c>
      <c r="T3249" s="20">
        <f>IF(OR(I3249="",E3249=""),"",IF(OR(I3249="Gasto",I3249="Transferencia",I3249="Pago tarjeta"),-1,1)*C3249)</f>
        <v/>
      </c>
      <c r="U3249" s="20">
        <f>IF(OR(G3249="",AND(I3249&lt;&gt;"Transferencia",I3249&lt;&gt;"Pago tarjeta")),"",IF(IFERROR(INDEX(ctaMon,MATCH(G3249,ctaNom,0))&amp;"","DOP")=N3249,C3249,IF(N3249="USD",C3249*TasaUSD,C3249/TasaUSD)))</f>
        <v/>
      </c>
      <c r="V3249" s="20">
        <f>IF(I3249="","",IF(IFERROR(INDEX(ctaLiq,MATCH(E3249,ctaNom,0))="Sí",FALSE),IF(OR(I3249="Gasto",I3249="Transferencia",I3249="Pago tarjeta"),-1,1)*O3249,0)+IF(AND(U3249&lt;&gt;"",IFERROR(INDEX(ctaLiq,MATCH(G3249,ctaNom,0))="Sí",FALSE)),O3249,0))</f>
        <v/>
      </c>
      <c r="W3249" s="19">
        <f>IF(OR(F3249="",I3249=""),"",IF(COUNTIFS(F$6:F3249,F3249,I$6:I3249,"?*")=1,MAX(W$5:W3248)+1,""))</f>
        <v/>
      </c>
    </row>
    <row r="3250">
      <c r="B3250" s="15" t="n"/>
      <c r="C3250" s="16" t="n"/>
      <c r="D3250" s="17" t="n"/>
      <c r="E3250" s="17" t="n"/>
      <c r="F3250" s="17" t="n"/>
      <c r="G3250" s="17" t="n"/>
      <c r="H3250" s="18">
        <f>IF(AND(B3250="",C3250="",D3250="",E3250=""),"",IF(B3250="","⚠ Falta fecha",IF(C3250="","⚠ Falta monto",IF(D3250="","⚠ Falta categoría",IF(ISNA(MATCH(D3250,catNom,0)),"⚠ Categoría no existe",IF(E3250="","⚠ Falta cuenta",IF(ISNA(MATCH(E3250,ctaNom,0)),"⚠ Cuenta no existe",IF(AND(OR(I3250="Transferencia",I3250="Pago tarjeta"),G3250=""),"⚠ Indica la cuenta «Hacia»",IF(AND(G3250&lt;&gt;"",G3250=E3250),"⚠ «Hacia» igual a la cuenta",IF(AND(G3250&lt;&gt;"",ISNA(MATCH(G3250,ctaNom,0))),"⚠ «Hacia» no existe",IF(AND(I3250="Pago tarjeta",IFERROR(INDEX(ctaTipo,MATCH(G3250,ctaNom,0)),"")&lt;&gt;"Tarjeta de crédito"),"⚠ «Hacia» debe ser la tarjeta",IF(AND(I3250="Trading",IFERROR(INDEX(ctaTipo,MATCH(E3250,ctaNom,0)),"")&lt;&gt;"Cuenta de trading"),"⚠ Usa la cuenta de trading","✓"))))))))))))</f>
        <v/>
      </c>
      <c r="I3250" s="19">
        <f>IF(OR(B3250="",C3250="",D3250=""),"",IFERROR(INDEX(catTipo,MATCH(D3250,catNom,0))&amp;"",""))</f>
        <v/>
      </c>
      <c r="J3250" s="19">
        <f>IF(I3250="","",IFERROR(INDEX(catGrupo,MATCH(D3250,catNom,0))&amp;"",""))</f>
        <v/>
      </c>
      <c r="K3250" s="19">
        <f>IF(I3250="Gasto",IF(IFERROR(INDEX(catClas,MATCH(D3250,catNom,0))&amp;"","")="","Variable",IFERROR(INDEX(catClas,MATCH(D3250,catNom,0))&amp;"","")),"")</f>
        <v/>
      </c>
      <c r="L3250" s="19">
        <f>IF(I3250="","",IFERROR(INDEX(catAlim,MATCH(D3250,catNom,0))&amp;"",""))</f>
        <v/>
      </c>
      <c r="M3250" s="19">
        <f>IF(I3250="","",IFERROR(INDEX(catComida,MATCH(D3250,catNom,0))&amp;"",""))</f>
        <v/>
      </c>
      <c r="N3250" s="19">
        <f>IF(I3250="","",IFERROR(INDEX(ctaMon,MATCH(E3250,ctaNom,0))&amp;"","DOP"))</f>
        <v/>
      </c>
      <c r="O3250" s="20">
        <f>IF(I3250="","",C3250*IF(N3250="USD",TasaUSD,1))</f>
        <v/>
      </c>
      <c r="P3250" s="20">
        <f>IF(I3250="","",IF(I3250="Gasto",O3250,0))</f>
        <v/>
      </c>
      <c r="Q3250" s="20">
        <f>IF(I3250="","",IF(I3250="Ingreso",O3250,0))</f>
        <v/>
      </c>
      <c r="R3250" s="20">
        <f>IF(I3250="","",IF(I3250="Trading",O3250,0))</f>
        <v/>
      </c>
      <c r="S3250" s="19">
        <f>IF(I3250="","",IF(AND(I3250="Gasto",K3250="Variable",J3250&lt;&gt;"Trading",O3250&gt;0,O3250&lt;=Umbral),1,0))</f>
        <v/>
      </c>
      <c r="T3250" s="20">
        <f>IF(OR(I3250="",E3250=""),"",IF(OR(I3250="Gasto",I3250="Transferencia",I3250="Pago tarjeta"),-1,1)*C3250)</f>
        <v/>
      </c>
      <c r="U3250" s="20">
        <f>IF(OR(G3250="",AND(I3250&lt;&gt;"Transferencia",I3250&lt;&gt;"Pago tarjeta")),"",IF(IFERROR(INDEX(ctaMon,MATCH(G3250,ctaNom,0))&amp;"","DOP")=N3250,C3250,IF(N3250="USD",C3250*TasaUSD,C3250/TasaUSD)))</f>
        <v/>
      </c>
      <c r="V3250" s="20">
        <f>IF(I3250="","",IF(IFERROR(INDEX(ctaLiq,MATCH(E3250,ctaNom,0))="Sí",FALSE),IF(OR(I3250="Gasto",I3250="Transferencia",I3250="Pago tarjeta"),-1,1)*O3250,0)+IF(AND(U3250&lt;&gt;"",IFERROR(INDEX(ctaLiq,MATCH(G3250,ctaNom,0))="Sí",FALSE)),O3250,0))</f>
        <v/>
      </c>
      <c r="W3250" s="19">
        <f>IF(OR(F3250="",I3250=""),"",IF(COUNTIFS(F$6:F3250,F3250,I$6:I3250,"?*")=1,MAX(W$5:W3249)+1,""))</f>
        <v/>
      </c>
    </row>
    <row r="3251">
      <c r="B3251" s="15" t="n"/>
      <c r="C3251" s="16" t="n"/>
      <c r="D3251" s="17" t="n"/>
      <c r="E3251" s="17" t="n"/>
      <c r="F3251" s="17" t="n"/>
      <c r="G3251" s="17" t="n"/>
      <c r="H3251" s="18">
        <f>IF(AND(B3251="",C3251="",D3251="",E3251=""),"",IF(B3251="","⚠ Falta fecha",IF(C3251="","⚠ Falta monto",IF(D3251="","⚠ Falta categoría",IF(ISNA(MATCH(D3251,catNom,0)),"⚠ Categoría no existe",IF(E3251="","⚠ Falta cuenta",IF(ISNA(MATCH(E3251,ctaNom,0)),"⚠ Cuenta no existe",IF(AND(OR(I3251="Transferencia",I3251="Pago tarjeta"),G3251=""),"⚠ Indica la cuenta «Hacia»",IF(AND(G3251&lt;&gt;"",G3251=E3251),"⚠ «Hacia» igual a la cuenta",IF(AND(G3251&lt;&gt;"",ISNA(MATCH(G3251,ctaNom,0))),"⚠ «Hacia» no existe",IF(AND(I3251="Pago tarjeta",IFERROR(INDEX(ctaTipo,MATCH(G3251,ctaNom,0)),"")&lt;&gt;"Tarjeta de crédito"),"⚠ «Hacia» debe ser la tarjeta",IF(AND(I3251="Trading",IFERROR(INDEX(ctaTipo,MATCH(E3251,ctaNom,0)),"")&lt;&gt;"Cuenta de trading"),"⚠ Usa la cuenta de trading","✓"))))))))))))</f>
        <v/>
      </c>
      <c r="I3251" s="19">
        <f>IF(OR(B3251="",C3251="",D3251=""),"",IFERROR(INDEX(catTipo,MATCH(D3251,catNom,0))&amp;"",""))</f>
        <v/>
      </c>
      <c r="J3251" s="19">
        <f>IF(I3251="","",IFERROR(INDEX(catGrupo,MATCH(D3251,catNom,0))&amp;"",""))</f>
        <v/>
      </c>
      <c r="K3251" s="19">
        <f>IF(I3251="Gasto",IF(IFERROR(INDEX(catClas,MATCH(D3251,catNom,0))&amp;"","")="","Variable",IFERROR(INDEX(catClas,MATCH(D3251,catNom,0))&amp;"","")),"")</f>
        <v/>
      </c>
      <c r="L3251" s="19">
        <f>IF(I3251="","",IFERROR(INDEX(catAlim,MATCH(D3251,catNom,0))&amp;"",""))</f>
        <v/>
      </c>
      <c r="M3251" s="19">
        <f>IF(I3251="","",IFERROR(INDEX(catComida,MATCH(D3251,catNom,0))&amp;"",""))</f>
        <v/>
      </c>
      <c r="N3251" s="19">
        <f>IF(I3251="","",IFERROR(INDEX(ctaMon,MATCH(E3251,ctaNom,0))&amp;"","DOP"))</f>
        <v/>
      </c>
      <c r="O3251" s="20">
        <f>IF(I3251="","",C3251*IF(N3251="USD",TasaUSD,1))</f>
        <v/>
      </c>
      <c r="P3251" s="20">
        <f>IF(I3251="","",IF(I3251="Gasto",O3251,0))</f>
        <v/>
      </c>
      <c r="Q3251" s="20">
        <f>IF(I3251="","",IF(I3251="Ingreso",O3251,0))</f>
        <v/>
      </c>
      <c r="R3251" s="20">
        <f>IF(I3251="","",IF(I3251="Trading",O3251,0))</f>
        <v/>
      </c>
      <c r="S3251" s="19">
        <f>IF(I3251="","",IF(AND(I3251="Gasto",K3251="Variable",J3251&lt;&gt;"Trading",O3251&gt;0,O3251&lt;=Umbral),1,0))</f>
        <v/>
      </c>
      <c r="T3251" s="20">
        <f>IF(OR(I3251="",E3251=""),"",IF(OR(I3251="Gasto",I3251="Transferencia",I3251="Pago tarjeta"),-1,1)*C3251)</f>
        <v/>
      </c>
      <c r="U3251" s="20">
        <f>IF(OR(G3251="",AND(I3251&lt;&gt;"Transferencia",I3251&lt;&gt;"Pago tarjeta")),"",IF(IFERROR(INDEX(ctaMon,MATCH(G3251,ctaNom,0))&amp;"","DOP")=N3251,C3251,IF(N3251="USD",C3251*TasaUSD,C3251/TasaUSD)))</f>
        <v/>
      </c>
      <c r="V3251" s="20">
        <f>IF(I3251="","",IF(IFERROR(INDEX(ctaLiq,MATCH(E3251,ctaNom,0))="Sí",FALSE),IF(OR(I3251="Gasto",I3251="Transferencia",I3251="Pago tarjeta"),-1,1)*O3251,0)+IF(AND(U3251&lt;&gt;"",IFERROR(INDEX(ctaLiq,MATCH(G3251,ctaNom,0))="Sí",FALSE)),O3251,0))</f>
        <v/>
      </c>
      <c r="W3251" s="19">
        <f>IF(OR(F3251="",I3251=""),"",IF(COUNTIFS(F$6:F3251,F3251,I$6:I3251,"?*")=1,MAX(W$5:W3250)+1,""))</f>
        <v/>
      </c>
    </row>
    <row r="3252">
      <c r="B3252" s="15" t="n"/>
      <c r="C3252" s="16" t="n"/>
      <c r="D3252" s="17" t="n"/>
      <c r="E3252" s="17" t="n"/>
      <c r="F3252" s="17" t="n"/>
      <c r="G3252" s="17" t="n"/>
      <c r="H3252" s="18">
        <f>IF(AND(B3252="",C3252="",D3252="",E3252=""),"",IF(B3252="","⚠ Falta fecha",IF(C3252="","⚠ Falta monto",IF(D3252="","⚠ Falta categoría",IF(ISNA(MATCH(D3252,catNom,0)),"⚠ Categoría no existe",IF(E3252="","⚠ Falta cuenta",IF(ISNA(MATCH(E3252,ctaNom,0)),"⚠ Cuenta no existe",IF(AND(OR(I3252="Transferencia",I3252="Pago tarjeta"),G3252=""),"⚠ Indica la cuenta «Hacia»",IF(AND(G3252&lt;&gt;"",G3252=E3252),"⚠ «Hacia» igual a la cuenta",IF(AND(G3252&lt;&gt;"",ISNA(MATCH(G3252,ctaNom,0))),"⚠ «Hacia» no existe",IF(AND(I3252="Pago tarjeta",IFERROR(INDEX(ctaTipo,MATCH(G3252,ctaNom,0)),"")&lt;&gt;"Tarjeta de crédito"),"⚠ «Hacia» debe ser la tarjeta",IF(AND(I3252="Trading",IFERROR(INDEX(ctaTipo,MATCH(E3252,ctaNom,0)),"")&lt;&gt;"Cuenta de trading"),"⚠ Usa la cuenta de trading","✓"))))))))))))</f>
        <v/>
      </c>
      <c r="I3252" s="19">
        <f>IF(OR(B3252="",C3252="",D3252=""),"",IFERROR(INDEX(catTipo,MATCH(D3252,catNom,0))&amp;"",""))</f>
        <v/>
      </c>
      <c r="J3252" s="19">
        <f>IF(I3252="","",IFERROR(INDEX(catGrupo,MATCH(D3252,catNom,0))&amp;"",""))</f>
        <v/>
      </c>
      <c r="K3252" s="19">
        <f>IF(I3252="Gasto",IF(IFERROR(INDEX(catClas,MATCH(D3252,catNom,0))&amp;"","")="","Variable",IFERROR(INDEX(catClas,MATCH(D3252,catNom,0))&amp;"","")),"")</f>
        <v/>
      </c>
      <c r="L3252" s="19">
        <f>IF(I3252="","",IFERROR(INDEX(catAlim,MATCH(D3252,catNom,0))&amp;"",""))</f>
        <v/>
      </c>
      <c r="M3252" s="19">
        <f>IF(I3252="","",IFERROR(INDEX(catComida,MATCH(D3252,catNom,0))&amp;"",""))</f>
        <v/>
      </c>
      <c r="N3252" s="19">
        <f>IF(I3252="","",IFERROR(INDEX(ctaMon,MATCH(E3252,ctaNom,0))&amp;"","DOP"))</f>
        <v/>
      </c>
      <c r="O3252" s="20">
        <f>IF(I3252="","",C3252*IF(N3252="USD",TasaUSD,1))</f>
        <v/>
      </c>
      <c r="P3252" s="20">
        <f>IF(I3252="","",IF(I3252="Gasto",O3252,0))</f>
        <v/>
      </c>
      <c r="Q3252" s="20">
        <f>IF(I3252="","",IF(I3252="Ingreso",O3252,0))</f>
        <v/>
      </c>
      <c r="R3252" s="20">
        <f>IF(I3252="","",IF(I3252="Trading",O3252,0))</f>
        <v/>
      </c>
      <c r="S3252" s="19">
        <f>IF(I3252="","",IF(AND(I3252="Gasto",K3252="Variable",J3252&lt;&gt;"Trading",O3252&gt;0,O3252&lt;=Umbral),1,0))</f>
        <v/>
      </c>
      <c r="T3252" s="20">
        <f>IF(OR(I3252="",E3252=""),"",IF(OR(I3252="Gasto",I3252="Transferencia",I3252="Pago tarjeta"),-1,1)*C3252)</f>
        <v/>
      </c>
      <c r="U3252" s="20">
        <f>IF(OR(G3252="",AND(I3252&lt;&gt;"Transferencia",I3252&lt;&gt;"Pago tarjeta")),"",IF(IFERROR(INDEX(ctaMon,MATCH(G3252,ctaNom,0))&amp;"","DOP")=N3252,C3252,IF(N3252="USD",C3252*TasaUSD,C3252/TasaUSD)))</f>
        <v/>
      </c>
      <c r="V3252" s="20">
        <f>IF(I3252="","",IF(IFERROR(INDEX(ctaLiq,MATCH(E3252,ctaNom,0))="Sí",FALSE),IF(OR(I3252="Gasto",I3252="Transferencia",I3252="Pago tarjeta"),-1,1)*O3252,0)+IF(AND(U3252&lt;&gt;"",IFERROR(INDEX(ctaLiq,MATCH(G3252,ctaNom,0))="Sí",FALSE)),O3252,0))</f>
        <v/>
      </c>
      <c r="W3252" s="19">
        <f>IF(OR(F3252="",I3252=""),"",IF(COUNTIFS(F$6:F3252,F3252,I$6:I3252,"?*")=1,MAX(W$5:W3251)+1,""))</f>
        <v/>
      </c>
    </row>
    <row r="3253">
      <c r="B3253" s="15" t="n"/>
      <c r="C3253" s="16" t="n"/>
      <c r="D3253" s="17" t="n"/>
      <c r="E3253" s="17" t="n"/>
      <c r="F3253" s="17" t="n"/>
      <c r="G3253" s="17" t="n"/>
      <c r="H3253" s="18">
        <f>IF(AND(B3253="",C3253="",D3253="",E3253=""),"",IF(B3253="","⚠ Falta fecha",IF(C3253="","⚠ Falta monto",IF(D3253="","⚠ Falta categoría",IF(ISNA(MATCH(D3253,catNom,0)),"⚠ Categoría no existe",IF(E3253="","⚠ Falta cuenta",IF(ISNA(MATCH(E3253,ctaNom,0)),"⚠ Cuenta no existe",IF(AND(OR(I3253="Transferencia",I3253="Pago tarjeta"),G3253=""),"⚠ Indica la cuenta «Hacia»",IF(AND(G3253&lt;&gt;"",G3253=E3253),"⚠ «Hacia» igual a la cuenta",IF(AND(G3253&lt;&gt;"",ISNA(MATCH(G3253,ctaNom,0))),"⚠ «Hacia» no existe",IF(AND(I3253="Pago tarjeta",IFERROR(INDEX(ctaTipo,MATCH(G3253,ctaNom,0)),"")&lt;&gt;"Tarjeta de crédito"),"⚠ «Hacia» debe ser la tarjeta",IF(AND(I3253="Trading",IFERROR(INDEX(ctaTipo,MATCH(E3253,ctaNom,0)),"")&lt;&gt;"Cuenta de trading"),"⚠ Usa la cuenta de trading","✓"))))))))))))</f>
        <v/>
      </c>
      <c r="I3253" s="19">
        <f>IF(OR(B3253="",C3253="",D3253=""),"",IFERROR(INDEX(catTipo,MATCH(D3253,catNom,0))&amp;"",""))</f>
        <v/>
      </c>
      <c r="J3253" s="19">
        <f>IF(I3253="","",IFERROR(INDEX(catGrupo,MATCH(D3253,catNom,0))&amp;"",""))</f>
        <v/>
      </c>
      <c r="K3253" s="19">
        <f>IF(I3253="Gasto",IF(IFERROR(INDEX(catClas,MATCH(D3253,catNom,0))&amp;"","")="","Variable",IFERROR(INDEX(catClas,MATCH(D3253,catNom,0))&amp;"","")),"")</f>
        <v/>
      </c>
      <c r="L3253" s="19">
        <f>IF(I3253="","",IFERROR(INDEX(catAlim,MATCH(D3253,catNom,0))&amp;"",""))</f>
        <v/>
      </c>
      <c r="M3253" s="19">
        <f>IF(I3253="","",IFERROR(INDEX(catComida,MATCH(D3253,catNom,0))&amp;"",""))</f>
        <v/>
      </c>
      <c r="N3253" s="19">
        <f>IF(I3253="","",IFERROR(INDEX(ctaMon,MATCH(E3253,ctaNom,0))&amp;"","DOP"))</f>
        <v/>
      </c>
      <c r="O3253" s="20">
        <f>IF(I3253="","",C3253*IF(N3253="USD",TasaUSD,1))</f>
        <v/>
      </c>
      <c r="P3253" s="20">
        <f>IF(I3253="","",IF(I3253="Gasto",O3253,0))</f>
        <v/>
      </c>
      <c r="Q3253" s="20">
        <f>IF(I3253="","",IF(I3253="Ingreso",O3253,0))</f>
        <v/>
      </c>
      <c r="R3253" s="20">
        <f>IF(I3253="","",IF(I3253="Trading",O3253,0))</f>
        <v/>
      </c>
      <c r="S3253" s="19">
        <f>IF(I3253="","",IF(AND(I3253="Gasto",K3253="Variable",J3253&lt;&gt;"Trading",O3253&gt;0,O3253&lt;=Umbral),1,0))</f>
        <v/>
      </c>
      <c r="T3253" s="20">
        <f>IF(OR(I3253="",E3253=""),"",IF(OR(I3253="Gasto",I3253="Transferencia",I3253="Pago tarjeta"),-1,1)*C3253)</f>
        <v/>
      </c>
      <c r="U3253" s="20">
        <f>IF(OR(G3253="",AND(I3253&lt;&gt;"Transferencia",I3253&lt;&gt;"Pago tarjeta")),"",IF(IFERROR(INDEX(ctaMon,MATCH(G3253,ctaNom,0))&amp;"","DOP")=N3253,C3253,IF(N3253="USD",C3253*TasaUSD,C3253/TasaUSD)))</f>
        <v/>
      </c>
      <c r="V3253" s="20">
        <f>IF(I3253="","",IF(IFERROR(INDEX(ctaLiq,MATCH(E3253,ctaNom,0))="Sí",FALSE),IF(OR(I3253="Gasto",I3253="Transferencia",I3253="Pago tarjeta"),-1,1)*O3253,0)+IF(AND(U3253&lt;&gt;"",IFERROR(INDEX(ctaLiq,MATCH(G3253,ctaNom,0))="Sí",FALSE)),O3253,0))</f>
        <v/>
      </c>
      <c r="W3253" s="19">
        <f>IF(OR(F3253="",I3253=""),"",IF(COUNTIFS(F$6:F3253,F3253,I$6:I3253,"?*")=1,MAX(W$5:W3252)+1,""))</f>
        <v/>
      </c>
    </row>
    <row r="3254">
      <c r="B3254" s="15" t="n"/>
      <c r="C3254" s="16" t="n"/>
      <c r="D3254" s="17" t="n"/>
      <c r="E3254" s="17" t="n"/>
      <c r="F3254" s="17" t="n"/>
      <c r="G3254" s="17" t="n"/>
      <c r="H3254" s="18">
        <f>IF(AND(B3254="",C3254="",D3254="",E3254=""),"",IF(B3254="","⚠ Falta fecha",IF(C3254="","⚠ Falta monto",IF(D3254="","⚠ Falta categoría",IF(ISNA(MATCH(D3254,catNom,0)),"⚠ Categoría no existe",IF(E3254="","⚠ Falta cuenta",IF(ISNA(MATCH(E3254,ctaNom,0)),"⚠ Cuenta no existe",IF(AND(OR(I3254="Transferencia",I3254="Pago tarjeta"),G3254=""),"⚠ Indica la cuenta «Hacia»",IF(AND(G3254&lt;&gt;"",G3254=E3254),"⚠ «Hacia» igual a la cuenta",IF(AND(G3254&lt;&gt;"",ISNA(MATCH(G3254,ctaNom,0))),"⚠ «Hacia» no existe",IF(AND(I3254="Pago tarjeta",IFERROR(INDEX(ctaTipo,MATCH(G3254,ctaNom,0)),"")&lt;&gt;"Tarjeta de crédito"),"⚠ «Hacia» debe ser la tarjeta",IF(AND(I3254="Trading",IFERROR(INDEX(ctaTipo,MATCH(E3254,ctaNom,0)),"")&lt;&gt;"Cuenta de trading"),"⚠ Usa la cuenta de trading","✓"))))))))))))</f>
        <v/>
      </c>
      <c r="I3254" s="19">
        <f>IF(OR(B3254="",C3254="",D3254=""),"",IFERROR(INDEX(catTipo,MATCH(D3254,catNom,0))&amp;"",""))</f>
        <v/>
      </c>
      <c r="J3254" s="19">
        <f>IF(I3254="","",IFERROR(INDEX(catGrupo,MATCH(D3254,catNom,0))&amp;"",""))</f>
        <v/>
      </c>
      <c r="K3254" s="19">
        <f>IF(I3254="Gasto",IF(IFERROR(INDEX(catClas,MATCH(D3254,catNom,0))&amp;"","")="","Variable",IFERROR(INDEX(catClas,MATCH(D3254,catNom,0))&amp;"","")),"")</f>
        <v/>
      </c>
      <c r="L3254" s="19">
        <f>IF(I3254="","",IFERROR(INDEX(catAlim,MATCH(D3254,catNom,0))&amp;"",""))</f>
        <v/>
      </c>
      <c r="M3254" s="19">
        <f>IF(I3254="","",IFERROR(INDEX(catComida,MATCH(D3254,catNom,0))&amp;"",""))</f>
        <v/>
      </c>
      <c r="N3254" s="19">
        <f>IF(I3254="","",IFERROR(INDEX(ctaMon,MATCH(E3254,ctaNom,0))&amp;"","DOP"))</f>
        <v/>
      </c>
      <c r="O3254" s="20">
        <f>IF(I3254="","",C3254*IF(N3254="USD",TasaUSD,1))</f>
        <v/>
      </c>
      <c r="P3254" s="20">
        <f>IF(I3254="","",IF(I3254="Gasto",O3254,0))</f>
        <v/>
      </c>
      <c r="Q3254" s="20">
        <f>IF(I3254="","",IF(I3254="Ingreso",O3254,0))</f>
        <v/>
      </c>
      <c r="R3254" s="20">
        <f>IF(I3254="","",IF(I3254="Trading",O3254,0))</f>
        <v/>
      </c>
      <c r="S3254" s="19">
        <f>IF(I3254="","",IF(AND(I3254="Gasto",K3254="Variable",J3254&lt;&gt;"Trading",O3254&gt;0,O3254&lt;=Umbral),1,0))</f>
        <v/>
      </c>
      <c r="T3254" s="20">
        <f>IF(OR(I3254="",E3254=""),"",IF(OR(I3254="Gasto",I3254="Transferencia",I3254="Pago tarjeta"),-1,1)*C3254)</f>
        <v/>
      </c>
      <c r="U3254" s="20">
        <f>IF(OR(G3254="",AND(I3254&lt;&gt;"Transferencia",I3254&lt;&gt;"Pago tarjeta")),"",IF(IFERROR(INDEX(ctaMon,MATCH(G3254,ctaNom,0))&amp;"","DOP")=N3254,C3254,IF(N3254="USD",C3254*TasaUSD,C3254/TasaUSD)))</f>
        <v/>
      </c>
      <c r="V3254" s="20">
        <f>IF(I3254="","",IF(IFERROR(INDEX(ctaLiq,MATCH(E3254,ctaNom,0))="Sí",FALSE),IF(OR(I3254="Gasto",I3254="Transferencia",I3254="Pago tarjeta"),-1,1)*O3254,0)+IF(AND(U3254&lt;&gt;"",IFERROR(INDEX(ctaLiq,MATCH(G3254,ctaNom,0))="Sí",FALSE)),O3254,0))</f>
        <v/>
      </c>
      <c r="W3254" s="19">
        <f>IF(OR(F3254="",I3254=""),"",IF(COUNTIFS(F$6:F3254,F3254,I$6:I3254,"?*")=1,MAX(W$5:W3253)+1,""))</f>
        <v/>
      </c>
    </row>
    <row r="3255">
      <c r="B3255" s="15" t="n"/>
      <c r="C3255" s="16" t="n"/>
      <c r="D3255" s="17" t="n"/>
      <c r="E3255" s="17" t="n"/>
      <c r="F3255" s="17" t="n"/>
      <c r="G3255" s="17" t="n"/>
      <c r="H3255" s="18">
        <f>IF(AND(B3255="",C3255="",D3255="",E3255=""),"",IF(B3255="","⚠ Falta fecha",IF(C3255="","⚠ Falta monto",IF(D3255="","⚠ Falta categoría",IF(ISNA(MATCH(D3255,catNom,0)),"⚠ Categoría no existe",IF(E3255="","⚠ Falta cuenta",IF(ISNA(MATCH(E3255,ctaNom,0)),"⚠ Cuenta no existe",IF(AND(OR(I3255="Transferencia",I3255="Pago tarjeta"),G3255=""),"⚠ Indica la cuenta «Hacia»",IF(AND(G3255&lt;&gt;"",G3255=E3255),"⚠ «Hacia» igual a la cuenta",IF(AND(G3255&lt;&gt;"",ISNA(MATCH(G3255,ctaNom,0))),"⚠ «Hacia» no existe",IF(AND(I3255="Pago tarjeta",IFERROR(INDEX(ctaTipo,MATCH(G3255,ctaNom,0)),"")&lt;&gt;"Tarjeta de crédito"),"⚠ «Hacia» debe ser la tarjeta",IF(AND(I3255="Trading",IFERROR(INDEX(ctaTipo,MATCH(E3255,ctaNom,0)),"")&lt;&gt;"Cuenta de trading"),"⚠ Usa la cuenta de trading","✓"))))))))))))</f>
        <v/>
      </c>
      <c r="I3255" s="19">
        <f>IF(OR(B3255="",C3255="",D3255=""),"",IFERROR(INDEX(catTipo,MATCH(D3255,catNom,0))&amp;"",""))</f>
        <v/>
      </c>
      <c r="J3255" s="19">
        <f>IF(I3255="","",IFERROR(INDEX(catGrupo,MATCH(D3255,catNom,0))&amp;"",""))</f>
        <v/>
      </c>
      <c r="K3255" s="19">
        <f>IF(I3255="Gasto",IF(IFERROR(INDEX(catClas,MATCH(D3255,catNom,0))&amp;"","")="","Variable",IFERROR(INDEX(catClas,MATCH(D3255,catNom,0))&amp;"","")),"")</f>
        <v/>
      </c>
      <c r="L3255" s="19">
        <f>IF(I3255="","",IFERROR(INDEX(catAlim,MATCH(D3255,catNom,0))&amp;"",""))</f>
        <v/>
      </c>
      <c r="M3255" s="19">
        <f>IF(I3255="","",IFERROR(INDEX(catComida,MATCH(D3255,catNom,0))&amp;"",""))</f>
        <v/>
      </c>
      <c r="N3255" s="19">
        <f>IF(I3255="","",IFERROR(INDEX(ctaMon,MATCH(E3255,ctaNom,0))&amp;"","DOP"))</f>
        <v/>
      </c>
      <c r="O3255" s="20">
        <f>IF(I3255="","",C3255*IF(N3255="USD",TasaUSD,1))</f>
        <v/>
      </c>
      <c r="P3255" s="20">
        <f>IF(I3255="","",IF(I3255="Gasto",O3255,0))</f>
        <v/>
      </c>
      <c r="Q3255" s="20">
        <f>IF(I3255="","",IF(I3255="Ingreso",O3255,0))</f>
        <v/>
      </c>
      <c r="R3255" s="20">
        <f>IF(I3255="","",IF(I3255="Trading",O3255,0))</f>
        <v/>
      </c>
      <c r="S3255" s="19">
        <f>IF(I3255="","",IF(AND(I3255="Gasto",K3255="Variable",J3255&lt;&gt;"Trading",O3255&gt;0,O3255&lt;=Umbral),1,0))</f>
        <v/>
      </c>
      <c r="T3255" s="20">
        <f>IF(OR(I3255="",E3255=""),"",IF(OR(I3255="Gasto",I3255="Transferencia",I3255="Pago tarjeta"),-1,1)*C3255)</f>
        <v/>
      </c>
      <c r="U3255" s="20">
        <f>IF(OR(G3255="",AND(I3255&lt;&gt;"Transferencia",I3255&lt;&gt;"Pago tarjeta")),"",IF(IFERROR(INDEX(ctaMon,MATCH(G3255,ctaNom,0))&amp;"","DOP")=N3255,C3255,IF(N3255="USD",C3255*TasaUSD,C3255/TasaUSD)))</f>
        <v/>
      </c>
      <c r="V3255" s="20">
        <f>IF(I3255="","",IF(IFERROR(INDEX(ctaLiq,MATCH(E3255,ctaNom,0))="Sí",FALSE),IF(OR(I3255="Gasto",I3255="Transferencia",I3255="Pago tarjeta"),-1,1)*O3255,0)+IF(AND(U3255&lt;&gt;"",IFERROR(INDEX(ctaLiq,MATCH(G3255,ctaNom,0))="Sí",FALSE)),O3255,0))</f>
        <v/>
      </c>
      <c r="W3255" s="19">
        <f>IF(OR(F3255="",I3255=""),"",IF(COUNTIFS(F$6:F3255,F3255,I$6:I3255,"?*")=1,MAX(W$5:W3254)+1,""))</f>
        <v/>
      </c>
    </row>
    <row r="3256">
      <c r="B3256" s="15" t="n"/>
      <c r="C3256" s="16" t="n"/>
      <c r="D3256" s="17" t="n"/>
      <c r="E3256" s="17" t="n"/>
      <c r="F3256" s="17" t="n"/>
      <c r="G3256" s="17" t="n"/>
      <c r="H3256" s="18">
        <f>IF(AND(B3256="",C3256="",D3256="",E3256=""),"",IF(B3256="","⚠ Falta fecha",IF(C3256="","⚠ Falta monto",IF(D3256="","⚠ Falta categoría",IF(ISNA(MATCH(D3256,catNom,0)),"⚠ Categoría no existe",IF(E3256="","⚠ Falta cuenta",IF(ISNA(MATCH(E3256,ctaNom,0)),"⚠ Cuenta no existe",IF(AND(OR(I3256="Transferencia",I3256="Pago tarjeta"),G3256=""),"⚠ Indica la cuenta «Hacia»",IF(AND(G3256&lt;&gt;"",G3256=E3256),"⚠ «Hacia» igual a la cuenta",IF(AND(G3256&lt;&gt;"",ISNA(MATCH(G3256,ctaNom,0))),"⚠ «Hacia» no existe",IF(AND(I3256="Pago tarjeta",IFERROR(INDEX(ctaTipo,MATCH(G3256,ctaNom,0)),"")&lt;&gt;"Tarjeta de crédito"),"⚠ «Hacia» debe ser la tarjeta",IF(AND(I3256="Trading",IFERROR(INDEX(ctaTipo,MATCH(E3256,ctaNom,0)),"")&lt;&gt;"Cuenta de trading"),"⚠ Usa la cuenta de trading","✓"))))))))))))</f>
        <v/>
      </c>
      <c r="I3256" s="19">
        <f>IF(OR(B3256="",C3256="",D3256=""),"",IFERROR(INDEX(catTipo,MATCH(D3256,catNom,0))&amp;"",""))</f>
        <v/>
      </c>
      <c r="J3256" s="19">
        <f>IF(I3256="","",IFERROR(INDEX(catGrupo,MATCH(D3256,catNom,0))&amp;"",""))</f>
        <v/>
      </c>
      <c r="K3256" s="19">
        <f>IF(I3256="Gasto",IF(IFERROR(INDEX(catClas,MATCH(D3256,catNom,0))&amp;"","")="","Variable",IFERROR(INDEX(catClas,MATCH(D3256,catNom,0))&amp;"","")),"")</f>
        <v/>
      </c>
      <c r="L3256" s="19">
        <f>IF(I3256="","",IFERROR(INDEX(catAlim,MATCH(D3256,catNom,0))&amp;"",""))</f>
        <v/>
      </c>
      <c r="M3256" s="19">
        <f>IF(I3256="","",IFERROR(INDEX(catComida,MATCH(D3256,catNom,0))&amp;"",""))</f>
        <v/>
      </c>
      <c r="N3256" s="19">
        <f>IF(I3256="","",IFERROR(INDEX(ctaMon,MATCH(E3256,ctaNom,0))&amp;"","DOP"))</f>
        <v/>
      </c>
      <c r="O3256" s="20">
        <f>IF(I3256="","",C3256*IF(N3256="USD",TasaUSD,1))</f>
        <v/>
      </c>
      <c r="P3256" s="20">
        <f>IF(I3256="","",IF(I3256="Gasto",O3256,0))</f>
        <v/>
      </c>
      <c r="Q3256" s="20">
        <f>IF(I3256="","",IF(I3256="Ingreso",O3256,0))</f>
        <v/>
      </c>
      <c r="R3256" s="20">
        <f>IF(I3256="","",IF(I3256="Trading",O3256,0))</f>
        <v/>
      </c>
      <c r="S3256" s="19">
        <f>IF(I3256="","",IF(AND(I3256="Gasto",K3256="Variable",J3256&lt;&gt;"Trading",O3256&gt;0,O3256&lt;=Umbral),1,0))</f>
        <v/>
      </c>
      <c r="T3256" s="20">
        <f>IF(OR(I3256="",E3256=""),"",IF(OR(I3256="Gasto",I3256="Transferencia",I3256="Pago tarjeta"),-1,1)*C3256)</f>
        <v/>
      </c>
      <c r="U3256" s="20">
        <f>IF(OR(G3256="",AND(I3256&lt;&gt;"Transferencia",I3256&lt;&gt;"Pago tarjeta")),"",IF(IFERROR(INDEX(ctaMon,MATCH(G3256,ctaNom,0))&amp;"","DOP")=N3256,C3256,IF(N3256="USD",C3256*TasaUSD,C3256/TasaUSD)))</f>
        <v/>
      </c>
      <c r="V3256" s="20">
        <f>IF(I3256="","",IF(IFERROR(INDEX(ctaLiq,MATCH(E3256,ctaNom,0))="Sí",FALSE),IF(OR(I3256="Gasto",I3256="Transferencia",I3256="Pago tarjeta"),-1,1)*O3256,0)+IF(AND(U3256&lt;&gt;"",IFERROR(INDEX(ctaLiq,MATCH(G3256,ctaNom,0))="Sí",FALSE)),O3256,0))</f>
        <v/>
      </c>
      <c r="W3256" s="19">
        <f>IF(OR(F3256="",I3256=""),"",IF(COUNTIFS(F$6:F3256,F3256,I$6:I3256,"?*")=1,MAX(W$5:W3255)+1,""))</f>
        <v/>
      </c>
    </row>
    <row r="3257">
      <c r="B3257" s="15" t="n"/>
      <c r="C3257" s="16" t="n"/>
      <c r="D3257" s="17" t="n"/>
      <c r="E3257" s="17" t="n"/>
      <c r="F3257" s="17" t="n"/>
      <c r="G3257" s="17" t="n"/>
      <c r="H3257" s="18">
        <f>IF(AND(B3257="",C3257="",D3257="",E3257=""),"",IF(B3257="","⚠ Falta fecha",IF(C3257="","⚠ Falta monto",IF(D3257="","⚠ Falta categoría",IF(ISNA(MATCH(D3257,catNom,0)),"⚠ Categoría no existe",IF(E3257="","⚠ Falta cuenta",IF(ISNA(MATCH(E3257,ctaNom,0)),"⚠ Cuenta no existe",IF(AND(OR(I3257="Transferencia",I3257="Pago tarjeta"),G3257=""),"⚠ Indica la cuenta «Hacia»",IF(AND(G3257&lt;&gt;"",G3257=E3257),"⚠ «Hacia» igual a la cuenta",IF(AND(G3257&lt;&gt;"",ISNA(MATCH(G3257,ctaNom,0))),"⚠ «Hacia» no existe",IF(AND(I3257="Pago tarjeta",IFERROR(INDEX(ctaTipo,MATCH(G3257,ctaNom,0)),"")&lt;&gt;"Tarjeta de crédito"),"⚠ «Hacia» debe ser la tarjeta",IF(AND(I3257="Trading",IFERROR(INDEX(ctaTipo,MATCH(E3257,ctaNom,0)),"")&lt;&gt;"Cuenta de trading"),"⚠ Usa la cuenta de trading","✓"))))))))))))</f>
        <v/>
      </c>
      <c r="I3257" s="19">
        <f>IF(OR(B3257="",C3257="",D3257=""),"",IFERROR(INDEX(catTipo,MATCH(D3257,catNom,0))&amp;"",""))</f>
        <v/>
      </c>
      <c r="J3257" s="19">
        <f>IF(I3257="","",IFERROR(INDEX(catGrupo,MATCH(D3257,catNom,0))&amp;"",""))</f>
        <v/>
      </c>
      <c r="K3257" s="19">
        <f>IF(I3257="Gasto",IF(IFERROR(INDEX(catClas,MATCH(D3257,catNom,0))&amp;"","")="","Variable",IFERROR(INDEX(catClas,MATCH(D3257,catNom,0))&amp;"","")),"")</f>
        <v/>
      </c>
      <c r="L3257" s="19">
        <f>IF(I3257="","",IFERROR(INDEX(catAlim,MATCH(D3257,catNom,0))&amp;"",""))</f>
        <v/>
      </c>
      <c r="M3257" s="19">
        <f>IF(I3257="","",IFERROR(INDEX(catComida,MATCH(D3257,catNom,0))&amp;"",""))</f>
        <v/>
      </c>
      <c r="N3257" s="19">
        <f>IF(I3257="","",IFERROR(INDEX(ctaMon,MATCH(E3257,ctaNom,0))&amp;"","DOP"))</f>
        <v/>
      </c>
      <c r="O3257" s="20">
        <f>IF(I3257="","",C3257*IF(N3257="USD",TasaUSD,1))</f>
        <v/>
      </c>
      <c r="P3257" s="20">
        <f>IF(I3257="","",IF(I3257="Gasto",O3257,0))</f>
        <v/>
      </c>
      <c r="Q3257" s="20">
        <f>IF(I3257="","",IF(I3257="Ingreso",O3257,0))</f>
        <v/>
      </c>
      <c r="R3257" s="20">
        <f>IF(I3257="","",IF(I3257="Trading",O3257,0))</f>
        <v/>
      </c>
      <c r="S3257" s="19">
        <f>IF(I3257="","",IF(AND(I3257="Gasto",K3257="Variable",J3257&lt;&gt;"Trading",O3257&gt;0,O3257&lt;=Umbral),1,0))</f>
        <v/>
      </c>
      <c r="T3257" s="20">
        <f>IF(OR(I3257="",E3257=""),"",IF(OR(I3257="Gasto",I3257="Transferencia",I3257="Pago tarjeta"),-1,1)*C3257)</f>
        <v/>
      </c>
      <c r="U3257" s="20">
        <f>IF(OR(G3257="",AND(I3257&lt;&gt;"Transferencia",I3257&lt;&gt;"Pago tarjeta")),"",IF(IFERROR(INDEX(ctaMon,MATCH(G3257,ctaNom,0))&amp;"","DOP")=N3257,C3257,IF(N3257="USD",C3257*TasaUSD,C3257/TasaUSD)))</f>
        <v/>
      </c>
      <c r="V3257" s="20">
        <f>IF(I3257="","",IF(IFERROR(INDEX(ctaLiq,MATCH(E3257,ctaNom,0))="Sí",FALSE),IF(OR(I3257="Gasto",I3257="Transferencia",I3257="Pago tarjeta"),-1,1)*O3257,0)+IF(AND(U3257&lt;&gt;"",IFERROR(INDEX(ctaLiq,MATCH(G3257,ctaNom,0))="Sí",FALSE)),O3257,0))</f>
        <v/>
      </c>
      <c r="W3257" s="19">
        <f>IF(OR(F3257="",I3257=""),"",IF(COUNTIFS(F$6:F3257,F3257,I$6:I3257,"?*")=1,MAX(W$5:W3256)+1,""))</f>
        <v/>
      </c>
    </row>
    <row r="3258">
      <c r="B3258" s="15" t="n"/>
      <c r="C3258" s="16" t="n"/>
      <c r="D3258" s="17" t="n"/>
      <c r="E3258" s="17" t="n"/>
      <c r="F3258" s="17" t="n"/>
      <c r="G3258" s="17" t="n"/>
      <c r="H3258" s="18">
        <f>IF(AND(B3258="",C3258="",D3258="",E3258=""),"",IF(B3258="","⚠ Falta fecha",IF(C3258="","⚠ Falta monto",IF(D3258="","⚠ Falta categoría",IF(ISNA(MATCH(D3258,catNom,0)),"⚠ Categoría no existe",IF(E3258="","⚠ Falta cuenta",IF(ISNA(MATCH(E3258,ctaNom,0)),"⚠ Cuenta no existe",IF(AND(OR(I3258="Transferencia",I3258="Pago tarjeta"),G3258=""),"⚠ Indica la cuenta «Hacia»",IF(AND(G3258&lt;&gt;"",G3258=E3258),"⚠ «Hacia» igual a la cuenta",IF(AND(G3258&lt;&gt;"",ISNA(MATCH(G3258,ctaNom,0))),"⚠ «Hacia» no existe",IF(AND(I3258="Pago tarjeta",IFERROR(INDEX(ctaTipo,MATCH(G3258,ctaNom,0)),"")&lt;&gt;"Tarjeta de crédito"),"⚠ «Hacia» debe ser la tarjeta",IF(AND(I3258="Trading",IFERROR(INDEX(ctaTipo,MATCH(E3258,ctaNom,0)),"")&lt;&gt;"Cuenta de trading"),"⚠ Usa la cuenta de trading","✓"))))))))))))</f>
        <v/>
      </c>
      <c r="I3258" s="19">
        <f>IF(OR(B3258="",C3258="",D3258=""),"",IFERROR(INDEX(catTipo,MATCH(D3258,catNom,0))&amp;"",""))</f>
        <v/>
      </c>
      <c r="J3258" s="19">
        <f>IF(I3258="","",IFERROR(INDEX(catGrupo,MATCH(D3258,catNom,0))&amp;"",""))</f>
        <v/>
      </c>
      <c r="K3258" s="19">
        <f>IF(I3258="Gasto",IF(IFERROR(INDEX(catClas,MATCH(D3258,catNom,0))&amp;"","")="","Variable",IFERROR(INDEX(catClas,MATCH(D3258,catNom,0))&amp;"","")),"")</f>
        <v/>
      </c>
      <c r="L3258" s="19">
        <f>IF(I3258="","",IFERROR(INDEX(catAlim,MATCH(D3258,catNom,0))&amp;"",""))</f>
        <v/>
      </c>
      <c r="M3258" s="19">
        <f>IF(I3258="","",IFERROR(INDEX(catComida,MATCH(D3258,catNom,0))&amp;"",""))</f>
        <v/>
      </c>
      <c r="N3258" s="19">
        <f>IF(I3258="","",IFERROR(INDEX(ctaMon,MATCH(E3258,ctaNom,0))&amp;"","DOP"))</f>
        <v/>
      </c>
      <c r="O3258" s="20">
        <f>IF(I3258="","",C3258*IF(N3258="USD",TasaUSD,1))</f>
        <v/>
      </c>
      <c r="P3258" s="20">
        <f>IF(I3258="","",IF(I3258="Gasto",O3258,0))</f>
        <v/>
      </c>
      <c r="Q3258" s="20">
        <f>IF(I3258="","",IF(I3258="Ingreso",O3258,0))</f>
        <v/>
      </c>
      <c r="R3258" s="20">
        <f>IF(I3258="","",IF(I3258="Trading",O3258,0))</f>
        <v/>
      </c>
      <c r="S3258" s="19">
        <f>IF(I3258="","",IF(AND(I3258="Gasto",K3258="Variable",J3258&lt;&gt;"Trading",O3258&gt;0,O3258&lt;=Umbral),1,0))</f>
        <v/>
      </c>
      <c r="T3258" s="20">
        <f>IF(OR(I3258="",E3258=""),"",IF(OR(I3258="Gasto",I3258="Transferencia",I3258="Pago tarjeta"),-1,1)*C3258)</f>
        <v/>
      </c>
      <c r="U3258" s="20">
        <f>IF(OR(G3258="",AND(I3258&lt;&gt;"Transferencia",I3258&lt;&gt;"Pago tarjeta")),"",IF(IFERROR(INDEX(ctaMon,MATCH(G3258,ctaNom,0))&amp;"","DOP")=N3258,C3258,IF(N3258="USD",C3258*TasaUSD,C3258/TasaUSD)))</f>
        <v/>
      </c>
      <c r="V3258" s="20">
        <f>IF(I3258="","",IF(IFERROR(INDEX(ctaLiq,MATCH(E3258,ctaNom,0))="Sí",FALSE),IF(OR(I3258="Gasto",I3258="Transferencia",I3258="Pago tarjeta"),-1,1)*O3258,0)+IF(AND(U3258&lt;&gt;"",IFERROR(INDEX(ctaLiq,MATCH(G3258,ctaNom,0))="Sí",FALSE)),O3258,0))</f>
        <v/>
      </c>
      <c r="W3258" s="19">
        <f>IF(OR(F3258="",I3258=""),"",IF(COUNTIFS(F$6:F3258,F3258,I$6:I3258,"?*")=1,MAX(W$5:W3257)+1,""))</f>
        <v/>
      </c>
    </row>
    <row r="3259">
      <c r="B3259" s="15" t="n"/>
      <c r="C3259" s="16" t="n"/>
      <c r="D3259" s="17" t="n"/>
      <c r="E3259" s="17" t="n"/>
      <c r="F3259" s="17" t="n"/>
      <c r="G3259" s="17" t="n"/>
      <c r="H3259" s="18">
        <f>IF(AND(B3259="",C3259="",D3259="",E3259=""),"",IF(B3259="","⚠ Falta fecha",IF(C3259="","⚠ Falta monto",IF(D3259="","⚠ Falta categoría",IF(ISNA(MATCH(D3259,catNom,0)),"⚠ Categoría no existe",IF(E3259="","⚠ Falta cuenta",IF(ISNA(MATCH(E3259,ctaNom,0)),"⚠ Cuenta no existe",IF(AND(OR(I3259="Transferencia",I3259="Pago tarjeta"),G3259=""),"⚠ Indica la cuenta «Hacia»",IF(AND(G3259&lt;&gt;"",G3259=E3259),"⚠ «Hacia» igual a la cuenta",IF(AND(G3259&lt;&gt;"",ISNA(MATCH(G3259,ctaNom,0))),"⚠ «Hacia» no existe",IF(AND(I3259="Pago tarjeta",IFERROR(INDEX(ctaTipo,MATCH(G3259,ctaNom,0)),"")&lt;&gt;"Tarjeta de crédito"),"⚠ «Hacia» debe ser la tarjeta",IF(AND(I3259="Trading",IFERROR(INDEX(ctaTipo,MATCH(E3259,ctaNom,0)),"")&lt;&gt;"Cuenta de trading"),"⚠ Usa la cuenta de trading","✓"))))))))))))</f>
        <v/>
      </c>
      <c r="I3259" s="19">
        <f>IF(OR(B3259="",C3259="",D3259=""),"",IFERROR(INDEX(catTipo,MATCH(D3259,catNom,0))&amp;"",""))</f>
        <v/>
      </c>
      <c r="J3259" s="19">
        <f>IF(I3259="","",IFERROR(INDEX(catGrupo,MATCH(D3259,catNom,0))&amp;"",""))</f>
        <v/>
      </c>
      <c r="K3259" s="19">
        <f>IF(I3259="Gasto",IF(IFERROR(INDEX(catClas,MATCH(D3259,catNom,0))&amp;"","")="","Variable",IFERROR(INDEX(catClas,MATCH(D3259,catNom,0))&amp;"","")),"")</f>
        <v/>
      </c>
      <c r="L3259" s="19">
        <f>IF(I3259="","",IFERROR(INDEX(catAlim,MATCH(D3259,catNom,0))&amp;"",""))</f>
        <v/>
      </c>
      <c r="M3259" s="19">
        <f>IF(I3259="","",IFERROR(INDEX(catComida,MATCH(D3259,catNom,0))&amp;"",""))</f>
        <v/>
      </c>
      <c r="N3259" s="19">
        <f>IF(I3259="","",IFERROR(INDEX(ctaMon,MATCH(E3259,ctaNom,0))&amp;"","DOP"))</f>
        <v/>
      </c>
      <c r="O3259" s="20">
        <f>IF(I3259="","",C3259*IF(N3259="USD",TasaUSD,1))</f>
        <v/>
      </c>
      <c r="P3259" s="20">
        <f>IF(I3259="","",IF(I3259="Gasto",O3259,0))</f>
        <v/>
      </c>
      <c r="Q3259" s="20">
        <f>IF(I3259="","",IF(I3259="Ingreso",O3259,0))</f>
        <v/>
      </c>
      <c r="R3259" s="20">
        <f>IF(I3259="","",IF(I3259="Trading",O3259,0))</f>
        <v/>
      </c>
      <c r="S3259" s="19">
        <f>IF(I3259="","",IF(AND(I3259="Gasto",K3259="Variable",J3259&lt;&gt;"Trading",O3259&gt;0,O3259&lt;=Umbral),1,0))</f>
        <v/>
      </c>
      <c r="T3259" s="20">
        <f>IF(OR(I3259="",E3259=""),"",IF(OR(I3259="Gasto",I3259="Transferencia",I3259="Pago tarjeta"),-1,1)*C3259)</f>
        <v/>
      </c>
      <c r="U3259" s="20">
        <f>IF(OR(G3259="",AND(I3259&lt;&gt;"Transferencia",I3259&lt;&gt;"Pago tarjeta")),"",IF(IFERROR(INDEX(ctaMon,MATCH(G3259,ctaNom,0))&amp;"","DOP")=N3259,C3259,IF(N3259="USD",C3259*TasaUSD,C3259/TasaUSD)))</f>
        <v/>
      </c>
      <c r="V3259" s="20">
        <f>IF(I3259="","",IF(IFERROR(INDEX(ctaLiq,MATCH(E3259,ctaNom,0))="Sí",FALSE),IF(OR(I3259="Gasto",I3259="Transferencia",I3259="Pago tarjeta"),-1,1)*O3259,0)+IF(AND(U3259&lt;&gt;"",IFERROR(INDEX(ctaLiq,MATCH(G3259,ctaNom,0))="Sí",FALSE)),O3259,0))</f>
        <v/>
      </c>
      <c r="W3259" s="19">
        <f>IF(OR(F3259="",I3259=""),"",IF(COUNTIFS(F$6:F3259,F3259,I$6:I3259,"?*")=1,MAX(W$5:W3258)+1,""))</f>
        <v/>
      </c>
    </row>
    <row r="3260">
      <c r="B3260" s="15" t="n"/>
      <c r="C3260" s="16" t="n"/>
      <c r="D3260" s="17" t="n"/>
      <c r="E3260" s="17" t="n"/>
      <c r="F3260" s="17" t="n"/>
      <c r="G3260" s="17" t="n"/>
      <c r="H3260" s="18">
        <f>IF(AND(B3260="",C3260="",D3260="",E3260=""),"",IF(B3260="","⚠ Falta fecha",IF(C3260="","⚠ Falta monto",IF(D3260="","⚠ Falta categoría",IF(ISNA(MATCH(D3260,catNom,0)),"⚠ Categoría no existe",IF(E3260="","⚠ Falta cuenta",IF(ISNA(MATCH(E3260,ctaNom,0)),"⚠ Cuenta no existe",IF(AND(OR(I3260="Transferencia",I3260="Pago tarjeta"),G3260=""),"⚠ Indica la cuenta «Hacia»",IF(AND(G3260&lt;&gt;"",G3260=E3260),"⚠ «Hacia» igual a la cuenta",IF(AND(G3260&lt;&gt;"",ISNA(MATCH(G3260,ctaNom,0))),"⚠ «Hacia» no existe",IF(AND(I3260="Pago tarjeta",IFERROR(INDEX(ctaTipo,MATCH(G3260,ctaNom,0)),"")&lt;&gt;"Tarjeta de crédito"),"⚠ «Hacia» debe ser la tarjeta",IF(AND(I3260="Trading",IFERROR(INDEX(ctaTipo,MATCH(E3260,ctaNom,0)),"")&lt;&gt;"Cuenta de trading"),"⚠ Usa la cuenta de trading","✓"))))))))))))</f>
        <v/>
      </c>
      <c r="I3260" s="19">
        <f>IF(OR(B3260="",C3260="",D3260=""),"",IFERROR(INDEX(catTipo,MATCH(D3260,catNom,0))&amp;"",""))</f>
        <v/>
      </c>
      <c r="J3260" s="19">
        <f>IF(I3260="","",IFERROR(INDEX(catGrupo,MATCH(D3260,catNom,0))&amp;"",""))</f>
        <v/>
      </c>
      <c r="K3260" s="19">
        <f>IF(I3260="Gasto",IF(IFERROR(INDEX(catClas,MATCH(D3260,catNom,0))&amp;"","")="","Variable",IFERROR(INDEX(catClas,MATCH(D3260,catNom,0))&amp;"","")),"")</f>
        <v/>
      </c>
      <c r="L3260" s="19">
        <f>IF(I3260="","",IFERROR(INDEX(catAlim,MATCH(D3260,catNom,0))&amp;"",""))</f>
        <v/>
      </c>
      <c r="M3260" s="19">
        <f>IF(I3260="","",IFERROR(INDEX(catComida,MATCH(D3260,catNom,0))&amp;"",""))</f>
        <v/>
      </c>
      <c r="N3260" s="19">
        <f>IF(I3260="","",IFERROR(INDEX(ctaMon,MATCH(E3260,ctaNom,0))&amp;"","DOP"))</f>
        <v/>
      </c>
      <c r="O3260" s="20">
        <f>IF(I3260="","",C3260*IF(N3260="USD",TasaUSD,1))</f>
        <v/>
      </c>
      <c r="P3260" s="20">
        <f>IF(I3260="","",IF(I3260="Gasto",O3260,0))</f>
        <v/>
      </c>
      <c r="Q3260" s="20">
        <f>IF(I3260="","",IF(I3260="Ingreso",O3260,0))</f>
        <v/>
      </c>
      <c r="R3260" s="20">
        <f>IF(I3260="","",IF(I3260="Trading",O3260,0))</f>
        <v/>
      </c>
      <c r="S3260" s="19">
        <f>IF(I3260="","",IF(AND(I3260="Gasto",K3260="Variable",J3260&lt;&gt;"Trading",O3260&gt;0,O3260&lt;=Umbral),1,0))</f>
        <v/>
      </c>
      <c r="T3260" s="20">
        <f>IF(OR(I3260="",E3260=""),"",IF(OR(I3260="Gasto",I3260="Transferencia",I3260="Pago tarjeta"),-1,1)*C3260)</f>
        <v/>
      </c>
      <c r="U3260" s="20">
        <f>IF(OR(G3260="",AND(I3260&lt;&gt;"Transferencia",I3260&lt;&gt;"Pago tarjeta")),"",IF(IFERROR(INDEX(ctaMon,MATCH(G3260,ctaNom,0))&amp;"","DOP")=N3260,C3260,IF(N3260="USD",C3260*TasaUSD,C3260/TasaUSD)))</f>
        <v/>
      </c>
      <c r="V3260" s="20">
        <f>IF(I3260="","",IF(IFERROR(INDEX(ctaLiq,MATCH(E3260,ctaNom,0))="Sí",FALSE),IF(OR(I3260="Gasto",I3260="Transferencia",I3260="Pago tarjeta"),-1,1)*O3260,0)+IF(AND(U3260&lt;&gt;"",IFERROR(INDEX(ctaLiq,MATCH(G3260,ctaNom,0))="Sí",FALSE)),O3260,0))</f>
        <v/>
      </c>
      <c r="W3260" s="19">
        <f>IF(OR(F3260="",I3260=""),"",IF(COUNTIFS(F$6:F3260,F3260,I$6:I3260,"?*")=1,MAX(W$5:W3259)+1,""))</f>
        <v/>
      </c>
    </row>
    <row r="3261">
      <c r="B3261" s="15" t="n"/>
      <c r="C3261" s="16" t="n"/>
      <c r="D3261" s="17" t="n"/>
      <c r="E3261" s="17" t="n"/>
      <c r="F3261" s="17" t="n"/>
      <c r="G3261" s="17" t="n"/>
      <c r="H3261" s="18">
        <f>IF(AND(B3261="",C3261="",D3261="",E3261=""),"",IF(B3261="","⚠ Falta fecha",IF(C3261="","⚠ Falta monto",IF(D3261="","⚠ Falta categoría",IF(ISNA(MATCH(D3261,catNom,0)),"⚠ Categoría no existe",IF(E3261="","⚠ Falta cuenta",IF(ISNA(MATCH(E3261,ctaNom,0)),"⚠ Cuenta no existe",IF(AND(OR(I3261="Transferencia",I3261="Pago tarjeta"),G3261=""),"⚠ Indica la cuenta «Hacia»",IF(AND(G3261&lt;&gt;"",G3261=E3261),"⚠ «Hacia» igual a la cuenta",IF(AND(G3261&lt;&gt;"",ISNA(MATCH(G3261,ctaNom,0))),"⚠ «Hacia» no existe",IF(AND(I3261="Pago tarjeta",IFERROR(INDEX(ctaTipo,MATCH(G3261,ctaNom,0)),"")&lt;&gt;"Tarjeta de crédito"),"⚠ «Hacia» debe ser la tarjeta",IF(AND(I3261="Trading",IFERROR(INDEX(ctaTipo,MATCH(E3261,ctaNom,0)),"")&lt;&gt;"Cuenta de trading"),"⚠ Usa la cuenta de trading","✓"))))))))))))</f>
        <v/>
      </c>
      <c r="I3261" s="19">
        <f>IF(OR(B3261="",C3261="",D3261=""),"",IFERROR(INDEX(catTipo,MATCH(D3261,catNom,0))&amp;"",""))</f>
        <v/>
      </c>
      <c r="J3261" s="19">
        <f>IF(I3261="","",IFERROR(INDEX(catGrupo,MATCH(D3261,catNom,0))&amp;"",""))</f>
        <v/>
      </c>
      <c r="K3261" s="19">
        <f>IF(I3261="Gasto",IF(IFERROR(INDEX(catClas,MATCH(D3261,catNom,0))&amp;"","")="","Variable",IFERROR(INDEX(catClas,MATCH(D3261,catNom,0))&amp;"","")),"")</f>
        <v/>
      </c>
      <c r="L3261" s="19">
        <f>IF(I3261="","",IFERROR(INDEX(catAlim,MATCH(D3261,catNom,0))&amp;"",""))</f>
        <v/>
      </c>
      <c r="M3261" s="19">
        <f>IF(I3261="","",IFERROR(INDEX(catComida,MATCH(D3261,catNom,0))&amp;"",""))</f>
        <v/>
      </c>
      <c r="N3261" s="19">
        <f>IF(I3261="","",IFERROR(INDEX(ctaMon,MATCH(E3261,ctaNom,0))&amp;"","DOP"))</f>
        <v/>
      </c>
      <c r="O3261" s="20">
        <f>IF(I3261="","",C3261*IF(N3261="USD",TasaUSD,1))</f>
        <v/>
      </c>
      <c r="P3261" s="20">
        <f>IF(I3261="","",IF(I3261="Gasto",O3261,0))</f>
        <v/>
      </c>
      <c r="Q3261" s="20">
        <f>IF(I3261="","",IF(I3261="Ingreso",O3261,0))</f>
        <v/>
      </c>
      <c r="R3261" s="20">
        <f>IF(I3261="","",IF(I3261="Trading",O3261,0))</f>
        <v/>
      </c>
      <c r="S3261" s="19">
        <f>IF(I3261="","",IF(AND(I3261="Gasto",K3261="Variable",J3261&lt;&gt;"Trading",O3261&gt;0,O3261&lt;=Umbral),1,0))</f>
        <v/>
      </c>
      <c r="T3261" s="20">
        <f>IF(OR(I3261="",E3261=""),"",IF(OR(I3261="Gasto",I3261="Transferencia",I3261="Pago tarjeta"),-1,1)*C3261)</f>
        <v/>
      </c>
      <c r="U3261" s="20">
        <f>IF(OR(G3261="",AND(I3261&lt;&gt;"Transferencia",I3261&lt;&gt;"Pago tarjeta")),"",IF(IFERROR(INDEX(ctaMon,MATCH(G3261,ctaNom,0))&amp;"","DOP")=N3261,C3261,IF(N3261="USD",C3261*TasaUSD,C3261/TasaUSD)))</f>
        <v/>
      </c>
      <c r="V3261" s="20">
        <f>IF(I3261="","",IF(IFERROR(INDEX(ctaLiq,MATCH(E3261,ctaNom,0))="Sí",FALSE),IF(OR(I3261="Gasto",I3261="Transferencia",I3261="Pago tarjeta"),-1,1)*O3261,0)+IF(AND(U3261&lt;&gt;"",IFERROR(INDEX(ctaLiq,MATCH(G3261,ctaNom,0))="Sí",FALSE)),O3261,0))</f>
        <v/>
      </c>
      <c r="W3261" s="19">
        <f>IF(OR(F3261="",I3261=""),"",IF(COUNTIFS(F$6:F3261,F3261,I$6:I3261,"?*")=1,MAX(W$5:W3260)+1,""))</f>
        <v/>
      </c>
    </row>
    <row r="3262">
      <c r="B3262" s="15" t="n"/>
      <c r="C3262" s="16" t="n"/>
      <c r="D3262" s="17" t="n"/>
      <c r="E3262" s="17" t="n"/>
      <c r="F3262" s="17" t="n"/>
      <c r="G3262" s="17" t="n"/>
      <c r="H3262" s="18">
        <f>IF(AND(B3262="",C3262="",D3262="",E3262=""),"",IF(B3262="","⚠ Falta fecha",IF(C3262="","⚠ Falta monto",IF(D3262="","⚠ Falta categoría",IF(ISNA(MATCH(D3262,catNom,0)),"⚠ Categoría no existe",IF(E3262="","⚠ Falta cuenta",IF(ISNA(MATCH(E3262,ctaNom,0)),"⚠ Cuenta no existe",IF(AND(OR(I3262="Transferencia",I3262="Pago tarjeta"),G3262=""),"⚠ Indica la cuenta «Hacia»",IF(AND(G3262&lt;&gt;"",G3262=E3262),"⚠ «Hacia» igual a la cuenta",IF(AND(G3262&lt;&gt;"",ISNA(MATCH(G3262,ctaNom,0))),"⚠ «Hacia» no existe",IF(AND(I3262="Pago tarjeta",IFERROR(INDEX(ctaTipo,MATCH(G3262,ctaNom,0)),"")&lt;&gt;"Tarjeta de crédito"),"⚠ «Hacia» debe ser la tarjeta",IF(AND(I3262="Trading",IFERROR(INDEX(ctaTipo,MATCH(E3262,ctaNom,0)),"")&lt;&gt;"Cuenta de trading"),"⚠ Usa la cuenta de trading","✓"))))))))))))</f>
        <v/>
      </c>
      <c r="I3262" s="19">
        <f>IF(OR(B3262="",C3262="",D3262=""),"",IFERROR(INDEX(catTipo,MATCH(D3262,catNom,0))&amp;"",""))</f>
        <v/>
      </c>
      <c r="J3262" s="19">
        <f>IF(I3262="","",IFERROR(INDEX(catGrupo,MATCH(D3262,catNom,0))&amp;"",""))</f>
        <v/>
      </c>
      <c r="K3262" s="19">
        <f>IF(I3262="Gasto",IF(IFERROR(INDEX(catClas,MATCH(D3262,catNom,0))&amp;"","")="","Variable",IFERROR(INDEX(catClas,MATCH(D3262,catNom,0))&amp;"","")),"")</f>
        <v/>
      </c>
      <c r="L3262" s="19">
        <f>IF(I3262="","",IFERROR(INDEX(catAlim,MATCH(D3262,catNom,0))&amp;"",""))</f>
        <v/>
      </c>
      <c r="M3262" s="19">
        <f>IF(I3262="","",IFERROR(INDEX(catComida,MATCH(D3262,catNom,0))&amp;"",""))</f>
        <v/>
      </c>
      <c r="N3262" s="19">
        <f>IF(I3262="","",IFERROR(INDEX(ctaMon,MATCH(E3262,ctaNom,0))&amp;"","DOP"))</f>
        <v/>
      </c>
      <c r="O3262" s="20">
        <f>IF(I3262="","",C3262*IF(N3262="USD",TasaUSD,1))</f>
        <v/>
      </c>
      <c r="P3262" s="20">
        <f>IF(I3262="","",IF(I3262="Gasto",O3262,0))</f>
        <v/>
      </c>
      <c r="Q3262" s="20">
        <f>IF(I3262="","",IF(I3262="Ingreso",O3262,0))</f>
        <v/>
      </c>
      <c r="R3262" s="20">
        <f>IF(I3262="","",IF(I3262="Trading",O3262,0))</f>
        <v/>
      </c>
      <c r="S3262" s="19">
        <f>IF(I3262="","",IF(AND(I3262="Gasto",K3262="Variable",J3262&lt;&gt;"Trading",O3262&gt;0,O3262&lt;=Umbral),1,0))</f>
        <v/>
      </c>
      <c r="T3262" s="20">
        <f>IF(OR(I3262="",E3262=""),"",IF(OR(I3262="Gasto",I3262="Transferencia",I3262="Pago tarjeta"),-1,1)*C3262)</f>
        <v/>
      </c>
      <c r="U3262" s="20">
        <f>IF(OR(G3262="",AND(I3262&lt;&gt;"Transferencia",I3262&lt;&gt;"Pago tarjeta")),"",IF(IFERROR(INDEX(ctaMon,MATCH(G3262,ctaNom,0))&amp;"","DOP")=N3262,C3262,IF(N3262="USD",C3262*TasaUSD,C3262/TasaUSD)))</f>
        <v/>
      </c>
      <c r="V3262" s="20">
        <f>IF(I3262="","",IF(IFERROR(INDEX(ctaLiq,MATCH(E3262,ctaNom,0))="Sí",FALSE),IF(OR(I3262="Gasto",I3262="Transferencia",I3262="Pago tarjeta"),-1,1)*O3262,0)+IF(AND(U3262&lt;&gt;"",IFERROR(INDEX(ctaLiq,MATCH(G3262,ctaNom,0))="Sí",FALSE)),O3262,0))</f>
        <v/>
      </c>
      <c r="W3262" s="19">
        <f>IF(OR(F3262="",I3262=""),"",IF(COUNTIFS(F$6:F3262,F3262,I$6:I3262,"?*")=1,MAX(W$5:W3261)+1,""))</f>
        <v/>
      </c>
    </row>
    <row r="3263">
      <c r="B3263" s="15" t="n"/>
      <c r="C3263" s="16" t="n"/>
      <c r="D3263" s="17" t="n"/>
      <c r="E3263" s="17" t="n"/>
      <c r="F3263" s="17" t="n"/>
      <c r="G3263" s="17" t="n"/>
      <c r="H3263" s="18">
        <f>IF(AND(B3263="",C3263="",D3263="",E3263=""),"",IF(B3263="","⚠ Falta fecha",IF(C3263="","⚠ Falta monto",IF(D3263="","⚠ Falta categoría",IF(ISNA(MATCH(D3263,catNom,0)),"⚠ Categoría no existe",IF(E3263="","⚠ Falta cuenta",IF(ISNA(MATCH(E3263,ctaNom,0)),"⚠ Cuenta no existe",IF(AND(OR(I3263="Transferencia",I3263="Pago tarjeta"),G3263=""),"⚠ Indica la cuenta «Hacia»",IF(AND(G3263&lt;&gt;"",G3263=E3263),"⚠ «Hacia» igual a la cuenta",IF(AND(G3263&lt;&gt;"",ISNA(MATCH(G3263,ctaNom,0))),"⚠ «Hacia» no existe",IF(AND(I3263="Pago tarjeta",IFERROR(INDEX(ctaTipo,MATCH(G3263,ctaNom,0)),"")&lt;&gt;"Tarjeta de crédito"),"⚠ «Hacia» debe ser la tarjeta",IF(AND(I3263="Trading",IFERROR(INDEX(ctaTipo,MATCH(E3263,ctaNom,0)),"")&lt;&gt;"Cuenta de trading"),"⚠ Usa la cuenta de trading","✓"))))))))))))</f>
        <v/>
      </c>
      <c r="I3263" s="19">
        <f>IF(OR(B3263="",C3263="",D3263=""),"",IFERROR(INDEX(catTipo,MATCH(D3263,catNom,0))&amp;"",""))</f>
        <v/>
      </c>
      <c r="J3263" s="19">
        <f>IF(I3263="","",IFERROR(INDEX(catGrupo,MATCH(D3263,catNom,0))&amp;"",""))</f>
        <v/>
      </c>
      <c r="K3263" s="19">
        <f>IF(I3263="Gasto",IF(IFERROR(INDEX(catClas,MATCH(D3263,catNom,0))&amp;"","")="","Variable",IFERROR(INDEX(catClas,MATCH(D3263,catNom,0))&amp;"","")),"")</f>
        <v/>
      </c>
      <c r="L3263" s="19">
        <f>IF(I3263="","",IFERROR(INDEX(catAlim,MATCH(D3263,catNom,0))&amp;"",""))</f>
        <v/>
      </c>
      <c r="M3263" s="19">
        <f>IF(I3263="","",IFERROR(INDEX(catComida,MATCH(D3263,catNom,0))&amp;"",""))</f>
        <v/>
      </c>
      <c r="N3263" s="19">
        <f>IF(I3263="","",IFERROR(INDEX(ctaMon,MATCH(E3263,ctaNom,0))&amp;"","DOP"))</f>
        <v/>
      </c>
      <c r="O3263" s="20">
        <f>IF(I3263="","",C3263*IF(N3263="USD",TasaUSD,1))</f>
        <v/>
      </c>
      <c r="P3263" s="20">
        <f>IF(I3263="","",IF(I3263="Gasto",O3263,0))</f>
        <v/>
      </c>
      <c r="Q3263" s="20">
        <f>IF(I3263="","",IF(I3263="Ingreso",O3263,0))</f>
        <v/>
      </c>
      <c r="R3263" s="20">
        <f>IF(I3263="","",IF(I3263="Trading",O3263,0))</f>
        <v/>
      </c>
      <c r="S3263" s="19">
        <f>IF(I3263="","",IF(AND(I3263="Gasto",K3263="Variable",J3263&lt;&gt;"Trading",O3263&gt;0,O3263&lt;=Umbral),1,0))</f>
        <v/>
      </c>
      <c r="T3263" s="20">
        <f>IF(OR(I3263="",E3263=""),"",IF(OR(I3263="Gasto",I3263="Transferencia",I3263="Pago tarjeta"),-1,1)*C3263)</f>
        <v/>
      </c>
      <c r="U3263" s="20">
        <f>IF(OR(G3263="",AND(I3263&lt;&gt;"Transferencia",I3263&lt;&gt;"Pago tarjeta")),"",IF(IFERROR(INDEX(ctaMon,MATCH(G3263,ctaNom,0))&amp;"","DOP")=N3263,C3263,IF(N3263="USD",C3263*TasaUSD,C3263/TasaUSD)))</f>
        <v/>
      </c>
      <c r="V3263" s="20">
        <f>IF(I3263="","",IF(IFERROR(INDEX(ctaLiq,MATCH(E3263,ctaNom,0))="Sí",FALSE),IF(OR(I3263="Gasto",I3263="Transferencia",I3263="Pago tarjeta"),-1,1)*O3263,0)+IF(AND(U3263&lt;&gt;"",IFERROR(INDEX(ctaLiq,MATCH(G3263,ctaNom,0))="Sí",FALSE)),O3263,0))</f>
        <v/>
      </c>
      <c r="W3263" s="19">
        <f>IF(OR(F3263="",I3263=""),"",IF(COUNTIFS(F$6:F3263,F3263,I$6:I3263,"?*")=1,MAX(W$5:W3262)+1,""))</f>
        <v/>
      </c>
    </row>
    <row r="3264">
      <c r="B3264" s="15" t="n"/>
      <c r="C3264" s="16" t="n"/>
      <c r="D3264" s="17" t="n"/>
      <c r="E3264" s="17" t="n"/>
      <c r="F3264" s="17" t="n"/>
      <c r="G3264" s="17" t="n"/>
      <c r="H3264" s="18">
        <f>IF(AND(B3264="",C3264="",D3264="",E3264=""),"",IF(B3264="","⚠ Falta fecha",IF(C3264="","⚠ Falta monto",IF(D3264="","⚠ Falta categoría",IF(ISNA(MATCH(D3264,catNom,0)),"⚠ Categoría no existe",IF(E3264="","⚠ Falta cuenta",IF(ISNA(MATCH(E3264,ctaNom,0)),"⚠ Cuenta no existe",IF(AND(OR(I3264="Transferencia",I3264="Pago tarjeta"),G3264=""),"⚠ Indica la cuenta «Hacia»",IF(AND(G3264&lt;&gt;"",G3264=E3264),"⚠ «Hacia» igual a la cuenta",IF(AND(G3264&lt;&gt;"",ISNA(MATCH(G3264,ctaNom,0))),"⚠ «Hacia» no existe",IF(AND(I3264="Pago tarjeta",IFERROR(INDEX(ctaTipo,MATCH(G3264,ctaNom,0)),"")&lt;&gt;"Tarjeta de crédito"),"⚠ «Hacia» debe ser la tarjeta",IF(AND(I3264="Trading",IFERROR(INDEX(ctaTipo,MATCH(E3264,ctaNom,0)),"")&lt;&gt;"Cuenta de trading"),"⚠ Usa la cuenta de trading","✓"))))))))))))</f>
        <v/>
      </c>
      <c r="I3264" s="19">
        <f>IF(OR(B3264="",C3264="",D3264=""),"",IFERROR(INDEX(catTipo,MATCH(D3264,catNom,0))&amp;"",""))</f>
        <v/>
      </c>
      <c r="J3264" s="19">
        <f>IF(I3264="","",IFERROR(INDEX(catGrupo,MATCH(D3264,catNom,0))&amp;"",""))</f>
        <v/>
      </c>
      <c r="K3264" s="19">
        <f>IF(I3264="Gasto",IF(IFERROR(INDEX(catClas,MATCH(D3264,catNom,0))&amp;"","")="","Variable",IFERROR(INDEX(catClas,MATCH(D3264,catNom,0))&amp;"","")),"")</f>
        <v/>
      </c>
      <c r="L3264" s="19">
        <f>IF(I3264="","",IFERROR(INDEX(catAlim,MATCH(D3264,catNom,0))&amp;"",""))</f>
        <v/>
      </c>
      <c r="M3264" s="19">
        <f>IF(I3264="","",IFERROR(INDEX(catComida,MATCH(D3264,catNom,0))&amp;"",""))</f>
        <v/>
      </c>
      <c r="N3264" s="19">
        <f>IF(I3264="","",IFERROR(INDEX(ctaMon,MATCH(E3264,ctaNom,0))&amp;"","DOP"))</f>
        <v/>
      </c>
      <c r="O3264" s="20">
        <f>IF(I3264="","",C3264*IF(N3264="USD",TasaUSD,1))</f>
        <v/>
      </c>
      <c r="P3264" s="20">
        <f>IF(I3264="","",IF(I3264="Gasto",O3264,0))</f>
        <v/>
      </c>
      <c r="Q3264" s="20">
        <f>IF(I3264="","",IF(I3264="Ingreso",O3264,0))</f>
        <v/>
      </c>
      <c r="R3264" s="20">
        <f>IF(I3264="","",IF(I3264="Trading",O3264,0))</f>
        <v/>
      </c>
      <c r="S3264" s="19">
        <f>IF(I3264="","",IF(AND(I3264="Gasto",K3264="Variable",J3264&lt;&gt;"Trading",O3264&gt;0,O3264&lt;=Umbral),1,0))</f>
        <v/>
      </c>
      <c r="T3264" s="20">
        <f>IF(OR(I3264="",E3264=""),"",IF(OR(I3264="Gasto",I3264="Transferencia",I3264="Pago tarjeta"),-1,1)*C3264)</f>
        <v/>
      </c>
      <c r="U3264" s="20">
        <f>IF(OR(G3264="",AND(I3264&lt;&gt;"Transferencia",I3264&lt;&gt;"Pago tarjeta")),"",IF(IFERROR(INDEX(ctaMon,MATCH(G3264,ctaNom,0))&amp;"","DOP")=N3264,C3264,IF(N3264="USD",C3264*TasaUSD,C3264/TasaUSD)))</f>
        <v/>
      </c>
      <c r="V3264" s="20">
        <f>IF(I3264="","",IF(IFERROR(INDEX(ctaLiq,MATCH(E3264,ctaNom,0))="Sí",FALSE),IF(OR(I3264="Gasto",I3264="Transferencia",I3264="Pago tarjeta"),-1,1)*O3264,0)+IF(AND(U3264&lt;&gt;"",IFERROR(INDEX(ctaLiq,MATCH(G3264,ctaNom,0))="Sí",FALSE)),O3264,0))</f>
        <v/>
      </c>
      <c r="W3264" s="19">
        <f>IF(OR(F3264="",I3264=""),"",IF(COUNTIFS(F$6:F3264,F3264,I$6:I3264,"?*")=1,MAX(W$5:W3263)+1,""))</f>
        <v/>
      </c>
    </row>
    <row r="3265">
      <c r="B3265" s="15" t="n"/>
      <c r="C3265" s="16" t="n"/>
      <c r="D3265" s="17" t="n"/>
      <c r="E3265" s="17" t="n"/>
      <c r="F3265" s="17" t="n"/>
      <c r="G3265" s="17" t="n"/>
      <c r="H3265" s="18">
        <f>IF(AND(B3265="",C3265="",D3265="",E3265=""),"",IF(B3265="","⚠ Falta fecha",IF(C3265="","⚠ Falta monto",IF(D3265="","⚠ Falta categoría",IF(ISNA(MATCH(D3265,catNom,0)),"⚠ Categoría no existe",IF(E3265="","⚠ Falta cuenta",IF(ISNA(MATCH(E3265,ctaNom,0)),"⚠ Cuenta no existe",IF(AND(OR(I3265="Transferencia",I3265="Pago tarjeta"),G3265=""),"⚠ Indica la cuenta «Hacia»",IF(AND(G3265&lt;&gt;"",G3265=E3265),"⚠ «Hacia» igual a la cuenta",IF(AND(G3265&lt;&gt;"",ISNA(MATCH(G3265,ctaNom,0))),"⚠ «Hacia» no existe",IF(AND(I3265="Pago tarjeta",IFERROR(INDEX(ctaTipo,MATCH(G3265,ctaNom,0)),"")&lt;&gt;"Tarjeta de crédito"),"⚠ «Hacia» debe ser la tarjeta",IF(AND(I3265="Trading",IFERROR(INDEX(ctaTipo,MATCH(E3265,ctaNom,0)),"")&lt;&gt;"Cuenta de trading"),"⚠ Usa la cuenta de trading","✓"))))))))))))</f>
        <v/>
      </c>
      <c r="I3265" s="19">
        <f>IF(OR(B3265="",C3265="",D3265=""),"",IFERROR(INDEX(catTipo,MATCH(D3265,catNom,0))&amp;"",""))</f>
        <v/>
      </c>
      <c r="J3265" s="19">
        <f>IF(I3265="","",IFERROR(INDEX(catGrupo,MATCH(D3265,catNom,0))&amp;"",""))</f>
        <v/>
      </c>
      <c r="K3265" s="19">
        <f>IF(I3265="Gasto",IF(IFERROR(INDEX(catClas,MATCH(D3265,catNom,0))&amp;"","")="","Variable",IFERROR(INDEX(catClas,MATCH(D3265,catNom,0))&amp;"","")),"")</f>
        <v/>
      </c>
      <c r="L3265" s="19">
        <f>IF(I3265="","",IFERROR(INDEX(catAlim,MATCH(D3265,catNom,0))&amp;"",""))</f>
        <v/>
      </c>
      <c r="M3265" s="19">
        <f>IF(I3265="","",IFERROR(INDEX(catComida,MATCH(D3265,catNom,0))&amp;"",""))</f>
        <v/>
      </c>
      <c r="N3265" s="19">
        <f>IF(I3265="","",IFERROR(INDEX(ctaMon,MATCH(E3265,ctaNom,0))&amp;"","DOP"))</f>
        <v/>
      </c>
      <c r="O3265" s="20">
        <f>IF(I3265="","",C3265*IF(N3265="USD",TasaUSD,1))</f>
        <v/>
      </c>
      <c r="P3265" s="20">
        <f>IF(I3265="","",IF(I3265="Gasto",O3265,0))</f>
        <v/>
      </c>
      <c r="Q3265" s="20">
        <f>IF(I3265="","",IF(I3265="Ingreso",O3265,0))</f>
        <v/>
      </c>
      <c r="R3265" s="20">
        <f>IF(I3265="","",IF(I3265="Trading",O3265,0))</f>
        <v/>
      </c>
      <c r="S3265" s="19">
        <f>IF(I3265="","",IF(AND(I3265="Gasto",K3265="Variable",J3265&lt;&gt;"Trading",O3265&gt;0,O3265&lt;=Umbral),1,0))</f>
        <v/>
      </c>
      <c r="T3265" s="20">
        <f>IF(OR(I3265="",E3265=""),"",IF(OR(I3265="Gasto",I3265="Transferencia",I3265="Pago tarjeta"),-1,1)*C3265)</f>
        <v/>
      </c>
      <c r="U3265" s="20">
        <f>IF(OR(G3265="",AND(I3265&lt;&gt;"Transferencia",I3265&lt;&gt;"Pago tarjeta")),"",IF(IFERROR(INDEX(ctaMon,MATCH(G3265,ctaNom,0))&amp;"","DOP")=N3265,C3265,IF(N3265="USD",C3265*TasaUSD,C3265/TasaUSD)))</f>
        <v/>
      </c>
      <c r="V3265" s="20">
        <f>IF(I3265="","",IF(IFERROR(INDEX(ctaLiq,MATCH(E3265,ctaNom,0))="Sí",FALSE),IF(OR(I3265="Gasto",I3265="Transferencia",I3265="Pago tarjeta"),-1,1)*O3265,0)+IF(AND(U3265&lt;&gt;"",IFERROR(INDEX(ctaLiq,MATCH(G3265,ctaNom,0))="Sí",FALSE)),O3265,0))</f>
        <v/>
      </c>
      <c r="W3265" s="19">
        <f>IF(OR(F3265="",I3265=""),"",IF(COUNTIFS(F$6:F3265,F3265,I$6:I3265,"?*")=1,MAX(W$5:W3264)+1,""))</f>
        <v/>
      </c>
    </row>
    <row r="3266">
      <c r="B3266" s="15" t="n"/>
      <c r="C3266" s="16" t="n"/>
      <c r="D3266" s="17" t="n"/>
      <c r="E3266" s="17" t="n"/>
      <c r="F3266" s="17" t="n"/>
      <c r="G3266" s="17" t="n"/>
      <c r="H3266" s="18">
        <f>IF(AND(B3266="",C3266="",D3266="",E3266=""),"",IF(B3266="","⚠ Falta fecha",IF(C3266="","⚠ Falta monto",IF(D3266="","⚠ Falta categoría",IF(ISNA(MATCH(D3266,catNom,0)),"⚠ Categoría no existe",IF(E3266="","⚠ Falta cuenta",IF(ISNA(MATCH(E3266,ctaNom,0)),"⚠ Cuenta no existe",IF(AND(OR(I3266="Transferencia",I3266="Pago tarjeta"),G3266=""),"⚠ Indica la cuenta «Hacia»",IF(AND(G3266&lt;&gt;"",G3266=E3266),"⚠ «Hacia» igual a la cuenta",IF(AND(G3266&lt;&gt;"",ISNA(MATCH(G3266,ctaNom,0))),"⚠ «Hacia» no existe",IF(AND(I3266="Pago tarjeta",IFERROR(INDEX(ctaTipo,MATCH(G3266,ctaNom,0)),"")&lt;&gt;"Tarjeta de crédito"),"⚠ «Hacia» debe ser la tarjeta",IF(AND(I3266="Trading",IFERROR(INDEX(ctaTipo,MATCH(E3266,ctaNom,0)),"")&lt;&gt;"Cuenta de trading"),"⚠ Usa la cuenta de trading","✓"))))))))))))</f>
        <v/>
      </c>
      <c r="I3266" s="19">
        <f>IF(OR(B3266="",C3266="",D3266=""),"",IFERROR(INDEX(catTipo,MATCH(D3266,catNom,0))&amp;"",""))</f>
        <v/>
      </c>
      <c r="J3266" s="19">
        <f>IF(I3266="","",IFERROR(INDEX(catGrupo,MATCH(D3266,catNom,0))&amp;"",""))</f>
        <v/>
      </c>
      <c r="K3266" s="19">
        <f>IF(I3266="Gasto",IF(IFERROR(INDEX(catClas,MATCH(D3266,catNom,0))&amp;"","")="","Variable",IFERROR(INDEX(catClas,MATCH(D3266,catNom,0))&amp;"","")),"")</f>
        <v/>
      </c>
      <c r="L3266" s="19">
        <f>IF(I3266="","",IFERROR(INDEX(catAlim,MATCH(D3266,catNom,0))&amp;"",""))</f>
        <v/>
      </c>
      <c r="M3266" s="19">
        <f>IF(I3266="","",IFERROR(INDEX(catComida,MATCH(D3266,catNom,0))&amp;"",""))</f>
        <v/>
      </c>
      <c r="N3266" s="19">
        <f>IF(I3266="","",IFERROR(INDEX(ctaMon,MATCH(E3266,ctaNom,0))&amp;"","DOP"))</f>
        <v/>
      </c>
      <c r="O3266" s="20">
        <f>IF(I3266="","",C3266*IF(N3266="USD",TasaUSD,1))</f>
        <v/>
      </c>
      <c r="P3266" s="20">
        <f>IF(I3266="","",IF(I3266="Gasto",O3266,0))</f>
        <v/>
      </c>
      <c r="Q3266" s="20">
        <f>IF(I3266="","",IF(I3266="Ingreso",O3266,0))</f>
        <v/>
      </c>
      <c r="R3266" s="20">
        <f>IF(I3266="","",IF(I3266="Trading",O3266,0))</f>
        <v/>
      </c>
      <c r="S3266" s="19">
        <f>IF(I3266="","",IF(AND(I3266="Gasto",K3266="Variable",J3266&lt;&gt;"Trading",O3266&gt;0,O3266&lt;=Umbral),1,0))</f>
        <v/>
      </c>
      <c r="T3266" s="20">
        <f>IF(OR(I3266="",E3266=""),"",IF(OR(I3266="Gasto",I3266="Transferencia",I3266="Pago tarjeta"),-1,1)*C3266)</f>
        <v/>
      </c>
      <c r="U3266" s="20">
        <f>IF(OR(G3266="",AND(I3266&lt;&gt;"Transferencia",I3266&lt;&gt;"Pago tarjeta")),"",IF(IFERROR(INDEX(ctaMon,MATCH(G3266,ctaNom,0))&amp;"","DOP")=N3266,C3266,IF(N3266="USD",C3266*TasaUSD,C3266/TasaUSD)))</f>
        <v/>
      </c>
      <c r="V3266" s="20">
        <f>IF(I3266="","",IF(IFERROR(INDEX(ctaLiq,MATCH(E3266,ctaNom,0))="Sí",FALSE),IF(OR(I3266="Gasto",I3266="Transferencia",I3266="Pago tarjeta"),-1,1)*O3266,0)+IF(AND(U3266&lt;&gt;"",IFERROR(INDEX(ctaLiq,MATCH(G3266,ctaNom,0))="Sí",FALSE)),O3266,0))</f>
        <v/>
      </c>
      <c r="W3266" s="19">
        <f>IF(OR(F3266="",I3266=""),"",IF(COUNTIFS(F$6:F3266,F3266,I$6:I3266,"?*")=1,MAX(W$5:W3265)+1,""))</f>
        <v/>
      </c>
    </row>
    <row r="3267">
      <c r="B3267" s="15" t="n"/>
      <c r="C3267" s="16" t="n"/>
      <c r="D3267" s="17" t="n"/>
      <c r="E3267" s="17" t="n"/>
      <c r="F3267" s="17" t="n"/>
      <c r="G3267" s="17" t="n"/>
      <c r="H3267" s="18">
        <f>IF(AND(B3267="",C3267="",D3267="",E3267=""),"",IF(B3267="","⚠ Falta fecha",IF(C3267="","⚠ Falta monto",IF(D3267="","⚠ Falta categoría",IF(ISNA(MATCH(D3267,catNom,0)),"⚠ Categoría no existe",IF(E3267="","⚠ Falta cuenta",IF(ISNA(MATCH(E3267,ctaNom,0)),"⚠ Cuenta no existe",IF(AND(OR(I3267="Transferencia",I3267="Pago tarjeta"),G3267=""),"⚠ Indica la cuenta «Hacia»",IF(AND(G3267&lt;&gt;"",G3267=E3267),"⚠ «Hacia» igual a la cuenta",IF(AND(G3267&lt;&gt;"",ISNA(MATCH(G3267,ctaNom,0))),"⚠ «Hacia» no existe",IF(AND(I3267="Pago tarjeta",IFERROR(INDEX(ctaTipo,MATCH(G3267,ctaNom,0)),"")&lt;&gt;"Tarjeta de crédito"),"⚠ «Hacia» debe ser la tarjeta",IF(AND(I3267="Trading",IFERROR(INDEX(ctaTipo,MATCH(E3267,ctaNom,0)),"")&lt;&gt;"Cuenta de trading"),"⚠ Usa la cuenta de trading","✓"))))))))))))</f>
        <v/>
      </c>
      <c r="I3267" s="19">
        <f>IF(OR(B3267="",C3267="",D3267=""),"",IFERROR(INDEX(catTipo,MATCH(D3267,catNom,0))&amp;"",""))</f>
        <v/>
      </c>
      <c r="J3267" s="19">
        <f>IF(I3267="","",IFERROR(INDEX(catGrupo,MATCH(D3267,catNom,0))&amp;"",""))</f>
        <v/>
      </c>
      <c r="K3267" s="19">
        <f>IF(I3267="Gasto",IF(IFERROR(INDEX(catClas,MATCH(D3267,catNom,0))&amp;"","")="","Variable",IFERROR(INDEX(catClas,MATCH(D3267,catNom,0))&amp;"","")),"")</f>
        <v/>
      </c>
      <c r="L3267" s="19">
        <f>IF(I3267="","",IFERROR(INDEX(catAlim,MATCH(D3267,catNom,0))&amp;"",""))</f>
        <v/>
      </c>
      <c r="M3267" s="19">
        <f>IF(I3267="","",IFERROR(INDEX(catComida,MATCH(D3267,catNom,0))&amp;"",""))</f>
        <v/>
      </c>
      <c r="N3267" s="19">
        <f>IF(I3267="","",IFERROR(INDEX(ctaMon,MATCH(E3267,ctaNom,0))&amp;"","DOP"))</f>
        <v/>
      </c>
      <c r="O3267" s="20">
        <f>IF(I3267="","",C3267*IF(N3267="USD",TasaUSD,1))</f>
        <v/>
      </c>
      <c r="P3267" s="20">
        <f>IF(I3267="","",IF(I3267="Gasto",O3267,0))</f>
        <v/>
      </c>
      <c r="Q3267" s="20">
        <f>IF(I3267="","",IF(I3267="Ingreso",O3267,0))</f>
        <v/>
      </c>
      <c r="R3267" s="20">
        <f>IF(I3267="","",IF(I3267="Trading",O3267,0))</f>
        <v/>
      </c>
      <c r="S3267" s="19">
        <f>IF(I3267="","",IF(AND(I3267="Gasto",K3267="Variable",J3267&lt;&gt;"Trading",O3267&gt;0,O3267&lt;=Umbral),1,0))</f>
        <v/>
      </c>
      <c r="T3267" s="20">
        <f>IF(OR(I3267="",E3267=""),"",IF(OR(I3267="Gasto",I3267="Transferencia",I3267="Pago tarjeta"),-1,1)*C3267)</f>
        <v/>
      </c>
      <c r="U3267" s="20">
        <f>IF(OR(G3267="",AND(I3267&lt;&gt;"Transferencia",I3267&lt;&gt;"Pago tarjeta")),"",IF(IFERROR(INDEX(ctaMon,MATCH(G3267,ctaNom,0))&amp;"","DOP")=N3267,C3267,IF(N3267="USD",C3267*TasaUSD,C3267/TasaUSD)))</f>
        <v/>
      </c>
      <c r="V3267" s="20">
        <f>IF(I3267="","",IF(IFERROR(INDEX(ctaLiq,MATCH(E3267,ctaNom,0))="Sí",FALSE),IF(OR(I3267="Gasto",I3267="Transferencia",I3267="Pago tarjeta"),-1,1)*O3267,0)+IF(AND(U3267&lt;&gt;"",IFERROR(INDEX(ctaLiq,MATCH(G3267,ctaNom,0))="Sí",FALSE)),O3267,0))</f>
        <v/>
      </c>
      <c r="W3267" s="19">
        <f>IF(OR(F3267="",I3267=""),"",IF(COUNTIFS(F$6:F3267,F3267,I$6:I3267,"?*")=1,MAX(W$5:W3266)+1,""))</f>
        <v/>
      </c>
    </row>
    <row r="3268">
      <c r="B3268" s="15" t="n"/>
      <c r="C3268" s="16" t="n"/>
      <c r="D3268" s="17" t="n"/>
      <c r="E3268" s="17" t="n"/>
      <c r="F3268" s="17" t="n"/>
      <c r="G3268" s="17" t="n"/>
      <c r="H3268" s="18">
        <f>IF(AND(B3268="",C3268="",D3268="",E3268=""),"",IF(B3268="","⚠ Falta fecha",IF(C3268="","⚠ Falta monto",IF(D3268="","⚠ Falta categoría",IF(ISNA(MATCH(D3268,catNom,0)),"⚠ Categoría no existe",IF(E3268="","⚠ Falta cuenta",IF(ISNA(MATCH(E3268,ctaNom,0)),"⚠ Cuenta no existe",IF(AND(OR(I3268="Transferencia",I3268="Pago tarjeta"),G3268=""),"⚠ Indica la cuenta «Hacia»",IF(AND(G3268&lt;&gt;"",G3268=E3268),"⚠ «Hacia» igual a la cuenta",IF(AND(G3268&lt;&gt;"",ISNA(MATCH(G3268,ctaNom,0))),"⚠ «Hacia» no existe",IF(AND(I3268="Pago tarjeta",IFERROR(INDEX(ctaTipo,MATCH(G3268,ctaNom,0)),"")&lt;&gt;"Tarjeta de crédito"),"⚠ «Hacia» debe ser la tarjeta",IF(AND(I3268="Trading",IFERROR(INDEX(ctaTipo,MATCH(E3268,ctaNom,0)),"")&lt;&gt;"Cuenta de trading"),"⚠ Usa la cuenta de trading","✓"))))))))))))</f>
        <v/>
      </c>
      <c r="I3268" s="19">
        <f>IF(OR(B3268="",C3268="",D3268=""),"",IFERROR(INDEX(catTipo,MATCH(D3268,catNom,0))&amp;"",""))</f>
        <v/>
      </c>
      <c r="J3268" s="19">
        <f>IF(I3268="","",IFERROR(INDEX(catGrupo,MATCH(D3268,catNom,0))&amp;"",""))</f>
        <v/>
      </c>
      <c r="K3268" s="19">
        <f>IF(I3268="Gasto",IF(IFERROR(INDEX(catClas,MATCH(D3268,catNom,0))&amp;"","")="","Variable",IFERROR(INDEX(catClas,MATCH(D3268,catNom,0))&amp;"","")),"")</f>
        <v/>
      </c>
      <c r="L3268" s="19">
        <f>IF(I3268="","",IFERROR(INDEX(catAlim,MATCH(D3268,catNom,0))&amp;"",""))</f>
        <v/>
      </c>
      <c r="M3268" s="19">
        <f>IF(I3268="","",IFERROR(INDEX(catComida,MATCH(D3268,catNom,0))&amp;"",""))</f>
        <v/>
      </c>
      <c r="N3268" s="19">
        <f>IF(I3268="","",IFERROR(INDEX(ctaMon,MATCH(E3268,ctaNom,0))&amp;"","DOP"))</f>
        <v/>
      </c>
      <c r="O3268" s="20">
        <f>IF(I3268="","",C3268*IF(N3268="USD",TasaUSD,1))</f>
        <v/>
      </c>
      <c r="P3268" s="20">
        <f>IF(I3268="","",IF(I3268="Gasto",O3268,0))</f>
        <v/>
      </c>
      <c r="Q3268" s="20">
        <f>IF(I3268="","",IF(I3268="Ingreso",O3268,0))</f>
        <v/>
      </c>
      <c r="R3268" s="20">
        <f>IF(I3268="","",IF(I3268="Trading",O3268,0))</f>
        <v/>
      </c>
      <c r="S3268" s="19">
        <f>IF(I3268="","",IF(AND(I3268="Gasto",K3268="Variable",J3268&lt;&gt;"Trading",O3268&gt;0,O3268&lt;=Umbral),1,0))</f>
        <v/>
      </c>
      <c r="T3268" s="20">
        <f>IF(OR(I3268="",E3268=""),"",IF(OR(I3268="Gasto",I3268="Transferencia",I3268="Pago tarjeta"),-1,1)*C3268)</f>
        <v/>
      </c>
      <c r="U3268" s="20">
        <f>IF(OR(G3268="",AND(I3268&lt;&gt;"Transferencia",I3268&lt;&gt;"Pago tarjeta")),"",IF(IFERROR(INDEX(ctaMon,MATCH(G3268,ctaNom,0))&amp;"","DOP")=N3268,C3268,IF(N3268="USD",C3268*TasaUSD,C3268/TasaUSD)))</f>
        <v/>
      </c>
      <c r="V3268" s="20">
        <f>IF(I3268="","",IF(IFERROR(INDEX(ctaLiq,MATCH(E3268,ctaNom,0))="Sí",FALSE),IF(OR(I3268="Gasto",I3268="Transferencia",I3268="Pago tarjeta"),-1,1)*O3268,0)+IF(AND(U3268&lt;&gt;"",IFERROR(INDEX(ctaLiq,MATCH(G3268,ctaNom,0))="Sí",FALSE)),O3268,0))</f>
        <v/>
      </c>
      <c r="W3268" s="19">
        <f>IF(OR(F3268="",I3268=""),"",IF(COUNTIFS(F$6:F3268,F3268,I$6:I3268,"?*")=1,MAX(W$5:W3267)+1,""))</f>
        <v/>
      </c>
    </row>
    <row r="3269">
      <c r="B3269" s="15" t="n"/>
      <c r="C3269" s="16" t="n"/>
      <c r="D3269" s="17" t="n"/>
      <c r="E3269" s="17" t="n"/>
      <c r="F3269" s="17" t="n"/>
      <c r="G3269" s="17" t="n"/>
      <c r="H3269" s="18">
        <f>IF(AND(B3269="",C3269="",D3269="",E3269=""),"",IF(B3269="","⚠ Falta fecha",IF(C3269="","⚠ Falta monto",IF(D3269="","⚠ Falta categoría",IF(ISNA(MATCH(D3269,catNom,0)),"⚠ Categoría no existe",IF(E3269="","⚠ Falta cuenta",IF(ISNA(MATCH(E3269,ctaNom,0)),"⚠ Cuenta no existe",IF(AND(OR(I3269="Transferencia",I3269="Pago tarjeta"),G3269=""),"⚠ Indica la cuenta «Hacia»",IF(AND(G3269&lt;&gt;"",G3269=E3269),"⚠ «Hacia» igual a la cuenta",IF(AND(G3269&lt;&gt;"",ISNA(MATCH(G3269,ctaNom,0))),"⚠ «Hacia» no existe",IF(AND(I3269="Pago tarjeta",IFERROR(INDEX(ctaTipo,MATCH(G3269,ctaNom,0)),"")&lt;&gt;"Tarjeta de crédito"),"⚠ «Hacia» debe ser la tarjeta",IF(AND(I3269="Trading",IFERROR(INDEX(ctaTipo,MATCH(E3269,ctaNom,0)),"")&lt;&gt;"Cuenta de trading"),"⚠ Usa la cuenta de trading","✓"))))))))))))</f>
        <v/>
      </c>
      <c r="I3269" s="19">
        <f>IF(OR(B3269="",C3269="",D3269=""),"",IFERROR(INDEX(catTipo,MATCH(D3269,catNom,0))&amp;"",""))</f>
        <v/>
      </c>
      <c r="J3269" s="19">
        <f>IF(I3269="","",IFERROR(INDEX(catGrupo,MATCH(D3269,catNom,0))&amp;"",""))</f>
        <v/>
      </c>
      <c r="K3269" s="19">
        <f>IF(I3269="Gasto",IF(IFERROR(INDEX(catClas,MATCH(D3269,catNom,0))&amp;"","")="","Variable",IFERROR(INDEX(catClas,MATCH(D3269,catNom,0))&amp;"","")),"")</f>
        <v/>
      </c>
      <c r="L3269" s="19">
        <f>IF(I3269="","",IFERROR(INDEX(catAlim,MATCH(D3269,catNom,0))&amp;"",""))</f>
        <v/>
      </c>
      <c r="M3269" s="19">
        <f>IF(I3269="","",IFERROR(INDEX(catComida,MATCH(D3269,catNom,0))&amp;"",""))</f>
        <v/>
      </c>
      <c r="N3269" s="19">
        <f>IF(I3269="","",IFERROR(INDEX(ctaMon,MATCH(E3269,ctaNom,0))&amp;"","DOP"))</f>
        <v/>
      </c>
      <c r="O3269" s="20">
        <f>IF(I3269="","",C3269*IF(N3269="USD",TasaUSD,1))</f>
        <v/>
      </c>
      <c r="P3269" s="20">
        <f>IF(I3269="","",IF(I3269="Gasto",O3269,0))</f>
        <v/>
      </c>
      <c r="Q3269" s="20">
        <f>IF(I3269="","",IF(I3269="Ingreso",O3269,0))</f>
        <v/>
      </c>
      <c r="R3269" s="20">
        <f>IF(I3269="","",IF(I3269="Trading",O3269,0))</f>
        <v/>
      </c>
      <c r="S3269" s="19">
        <f>IF(I3269="","",IF(AND(I3269="Gasto",K3269="Variable",J3269&lt;&gt;"Trading",O3269&gt;0,O3269&lt;=Umbral),1,0))</f>
        <v/>
      </c>
      <c r="T3269" s="20">
        <f>IF(OR(I3269="",E3269=""),"",IF(OR(I3269="Gasto",I3269="Transferencia",I3269="Pago tarjeta"),-1,1)*C3269)</f>
        <v/>
      </c>
      <c r="U3269" s="20">
        <f>IF(OR(G3269="",AND(I3269&lt;&gt;"Transferencia",I3269&lt;&gt;"Pago tarjeta")),"",IF(IFERROR(INDEX(ctaMon,MATCH(G3269,ctaNom,0))&amp;"","DOP")=N3269,C3269,IF(N3269="USD",C3269*TasaUSD,C3269/TasaUSD)))</f>
        <v/>
      </c>
      <c r="V3269" s="20">
        <f>IF(I3269="","",IF(IFERROR(INDEX(ctaLiq,MATCH(E3269,ctaNom,0))="Sí",FALSE),IF(OR(I3269="Gasto",I3269="Transferencia",I3269="Pago tarjeta"),-1,1)*O3269,0)+IF(AND(U3269&lt;&gt;"",IFERROR(INDEX(ctaLiq,MATCH(G3269,ctaNom,0))="Sí",FALSE)),O3269,0))</f>
        <v/>
      </c>
      <c r="W3269" s="19">
        <f>IF(OR(F3269="",I3269=""),"",IF(COUNTIFS(F$6:F3269,F3269,I$6:I3269,"?*")=1,MAX(W$5:W3268)+1,""))</f>
        <v/>
      </c>
    </row>
    <row r="3270">
      <c r="B3270" s="15" t="n"/>
      <c r="C3270" s="16" t="n"/>
      <c r="D3270" s="17" t="n"/>
      <c r="E3270" s="17" t="n"/>
      <c r="F3270" s="17" t="n"/>
      <c r="G3270" s="17" t="n"/>
      <c r="H3270" s="18">
        <f>IF(AND(B3270="",C3270="",D3270="",E3270=""),"",IF(B3270="","⚠ Falta fecha",IF(C3270="","⚠ Falta monto",IF(D3270="","⚠ Falta categoría",IF(ISNA(MATCH(D3270,catNom,0)),"⚠ Categoría no existe",IF(E3270="","⚠ Falta cuenta",IF(ISNA(MATCH(E3270,ctaNom,0)),"⚠ Cuenta no existe",IF(AND(OR(I3270="Transferencia",I3270="Pago tarjeta"),G3270=""),"⚠ Indica la cuenta «Hacia»",IF(AND(G3270&lt;&gt;"",G3270=E3270),"⚠ «Hacia» igual a la cuenta",IF(AND(G3270&lt;&gt;"",ISNA(MATCH(G3270,ctaNom,0))),"⚠ «Hacia» no existe",IF(AND(I3270="Pago tarjeta",IFERROR(INDEX(ctaTipo,MATCH(G3270,ctaNom,0)),"")&lt;&gt;"Tarjeta de crédito"),"⚠ «Hacia» debe ser la tarjeta",IF(AND(I3270="Trading",IFERROR(INDEX(ctaTipo,MATCH(E3270,ctaNom,0)),"")&lt;&gt;"Cuenta de trading"),"⚠ Usa la cuenta de trading","✓"))))))))))))</f>
        <v/>
      </c>
      <c r="I3270" s="19">
        <f>IF(OR(B3270="",C3270="",D3270=""),"",IFERROR(INDEX(catTipo,MATCH(D3270,catNom,0))&amp;"",""))</f>
        <v/>
      </c>
      <c r="J3270" s="19">
        <f>IF(I3270="","",IFERROR(INDEX(catGrupo,MATCH(D3270,catNom,0))&amp;"",""))</f>
        <v/>
      </c>
      <c r="K3270" s="19">
        <f>IF(I3270="Gasto",IF(IFERROR(INDEX(catClas,MATCH(D3270,catNom,0))&amp;"","")="","Variable",IFERROR(INDEX(catClas,MATCH(D3270,catNom,0))&amp;"","")),"")</f>
        <v/>
      </c>
      <c r="L3270" s="19">
        <f>IF(I3270="","",IFERROR(INDEX(catAlim,MATCH(D3270,catNom,0))&amp;"",""))</f>
        <v/>
      </c>
      <c r="M3270" s="19">
        <f>IF(I3270="","",IFERROR(INDEX(catComida,MATCH(D3270,catNom,0))&amp;"",""))</f>
        <v/>
      </c>
      <c r="N3270" s="19">
        <f>IF(I3270="","",IFERROR(INDEX(ctaMon,MATCH(E3270,ctaNom,0))&amp;"","DOP"))</f>
        <v/>
      </c>
      <c r="O3270" s="20">
        <f>IF(I3270="","",C3270*IF(N3270="USD",TasaUSD,1))</f>
        <v/>
      </c>
      <c r="P3270" s="20">
        <f>IF(I3270="","",IF(I3270="Gasto",O3270,0))</f>
        <v/>
      </c>
      <c r="Q3270" s="20">
        <f>IF(I3270="","",IF(I3270="Ingreso",O3270,0))</f>
        <v/>
      </c>
      <c r="R3270" s="20">
        <f>IF(I3270="","",IF(I3270="Trading",O3270,0))</f>
        <v/>
      </c>
      <c r="S3270" s="19">
        <f>IF(I3270="","",IF(AND(I3270="Gasto",K3270="Variable",J3270&lt;&gt;"Trading",O3270&gt;0,O3270&lt;=Umbral),1,0))</f>
        <v/>
      </c>
      <c r="T3270" s="20">
        <f>IF(OR(I3270="",E3270=""),"",IF(OR(I3270="Gasto",I3270="Transferencia",I3270="Pago tarjeta"),-1,1)*C3270)</f>
        <v/>
      </c>
      <c r="U3270" s="20">
        <f>IF(OR(G3270="",AND(I3270&lt;&gt;"Transferencia",I3270&lt;&gt;"Pago tarjeta")),"",IF(IFERROR(INDEX(ctaMon,MATCH(G3270,ctaNom,0))&amp;"","DOP")=N3270,C3270,IF(N3270="USD",C3270*TasaUSD,C3270/TasaUSD)))</f>
        <v/>
      </c>
      <c r="V3270" s="20">
        <f>IF(I3270="","",IF(IFERROR(INDEX(ctaLiq,MATCH(E3270,ctaNom,0))="Sí",FALSE),IF(OR(I3270="Gasto",I3270="Transferencia",I3270="Pago tarjeta"),-1,1)*O3270,0)+IF(AND(U3270&lt;&gt;"",IFERROR(INDEX(ctaLiq,MATCH(G3270,ctaNom,0))="Sí",FALSE)),O3270,0))</f>
        <v/>
      </c>
      <c r="W3270" s="19">
        <f>IF(OR(F3270="",I3270=""),"",IF(COUNTIFS(F$6:F3270,F3270,I$6:I3270,"?*")=1,MAX(W$5:W3269)+1,""))</f>
        <v/>
      </c>
    </row>
    <row r="3271">
      <c r="B3271" s="15" t="n"/>
      <c r="C3271" s="16" t="n"/>
      <c r="D3271" s="17" t="n"/>
      <c r="E3271" s="17" t="n"/>
      <c r="F3271" s="17" t="n"/>
      <c r="G3271" s="17" t="n"/>
      <c r="H3271" s="18">
        <f>IF(AND(B3271="",C3271="",D3271="",E3271=""),"",IF(B3271="","⚠ Falta fecha",IF(C3271="","⚠ Falta monto",IF(D3271="","⚠ Falta categoría",IF(ISNA(MATCH(D3271,catNom,0)),"⚠ Categoría no existe",IF(E3271="","⚠ Falta cuenta",IF(ISNA(MATCH(E3271,ctaNom,0)),"⚠ Cuenta no existe",IF(AND(OR(I3271="Transferencia",I3271="Pago tarjeta"),G3271=""),"⚠ Indica la cuenta «Hacia»",IF(AND(G3271&lt;&gt;"",G3271=E3271),"⚠ «Hacia» igual a la cuenta",IF(AND(G3271&lt;&gt;"",ISNA(MATCH(G3271,ctaNom,0))),"⚠ «Hacia» no existe",IF(AND(I3271="Pago tarjeta",IFERROR(INDEX(ctaTipo,MATCH(G3271,ctaNom,0)),"")&lt;&gt;"Tarjeta de crédito"),"⚠ «Hacia» debe ser la tarjeta",IF(AND(I3271="Trading",IFERROR(INDEX(ctaTipo,MATCH(E3271,ctaNom,0)),"")&lt;&gt;"Cuenta de trading"),"⚠ Usa la cuenta de trading","✓"))))))))))))</f>
        <v/>
      </c>
      <c r="I3271" s="19">
        <f>IF(OR(B3271="",C3271="",D3271=""),"",IFERROR(INDEX(catTipo,MATCH(D3271,catNom,0))&amp;"",""))</f>
        <v/>
      </c>
      <c r="J3271" s="19">
        <f>IF(I3271="","",IFERROR(INDEX(catGrupo,MATCH(D3271,catNom,0))&amp;"",""))</f>
        <v/>
      </c>
      <c r="K3271" s="19">
        <f>IF(I3271="Gasto",IF(IFERROR(INDEX(catClas,MATCH(D3271,catNom,0))&amp;"","")="","Variable",IFERROR(INDEX(catClas,MATCH(D3271,catNom,0))&amp;"","")),"")</f>
        <v/>
      </c>
      <c r="L3271" s="19">
        <f>IF(I3271="","",IFERROR(INDEX(catAlim,MATCH(D3271,catNom,0))&amp;"",""))</f>
        <v/>
      </c>
      <c r="M3271" s="19">
        <f>IF(I3271="","",IFERROR(INDEX(catComida,MATCH(D3271,catNom,0))&amp;"",""))</f>
        <v/>
      </c>
      <c r="N3271" s="19">
        <f>IF(I3271="","",IFERROR(INDEX(ctaMon,MATCH(E3271,ctaNom,0))&amp;"","DOP"))</f>
        <v/>
      </c>
      <c r="O3271" s="20">
        <f>IF(I3271="","",C3271*IF(N3271="USD",TasaUSD,1))</f>
        <v/>
      </c>
      <c r="P3271" s="20">
        <f>IF(I3271="","",IF(I3271="Gasto",O3271,0))</f>
        <v/>
      </c>
      <c r="Q3271" s="20">
        <f>IF(I3271="","",IF(I3271="Ingreso",O3271,0))</f>
        <v/>
      </c>
      <c r="R3271" s="20">
        <f>IF(I3271="","",IF(I3271="Trading",O3271,0))</f>
        <v/>
      </c>
      <c r="S3271" s="19">
        <f>IF(I3271="","",IF(AND(I3271="Gasto",K3271="Variable",J3271&lt;&gt;"Trading",O3271&gt;0,O3271&lt;=Umbral),1,0))</f>
        <v/>
      </c>
      <c r="T3271" s="20">
        <f>IF(OR(I3271="",E3271=""),"",IF(OR(I3271="Gasto",I3271="Transferencia",I3271="Pago tarjeta"),-1,1)*C3271)</f>
        <v/>
      </c>
      <c r="U3271" s="20">
        <f>IF(OR(G3271="",AND(I3271&lt;&gt;"Transferencia",I3271&lt;&gt;"Pago tarjeta")),"",IF(IFERROR(INDEX(ctaMon,MATCH(G3271,ctaNom,0))&amp;"","DOP")=N3271,C3271,IF(N3271="USD",C3271*TasaUSD,C3271/TasaUSD)))</f>
        <v/>
      </c>
      <c r="V3271" s="20">
        <f>IF(I3271="","",IF(IFERROR(INDEX(ctaLiq,MATCH(E3271,ctaNom,0))="Sí",FALSE),IF(OR(I3271="Gasto",I3271="Transferencia",I3271="Pago tarjeta"),-1,1)*O3271,0)+IF(AND(U3271&lt;&gt;"",IFERROR(INDEX(ctaLiq,MATCH(G3271,ctaNom,0))="Sí",FALSE)),O3271,0))</f>
        <v/>
      </c>
      <c r="W3271" s="19">
        <f>IF(OR(F3271="",I3271=""),"",IF(COUNTIFS(F$6:F3271,F3271,I$6:I3271,"?*")=1,MAX(W$5:W3270)+1,""))</f>
        <v/>
      </c>
    </row>
    <row r="3272">
      <c r="B3272" s="15" t="n"/>
      <c r="C3272" s="16" t="n"/>
      <c r="D3272" s="17" t="n"/>
      <c r="E3272" s="17" t="n"/>
      <c r="F3272" s="17" t="n"/>
      <c r="G3272" s="17" t="n"/>
      <c r="H3272" s="18">
        <f>IF(AND(B3272="",C3272="",D3272="",E3272=""),"",IF(B3272="","⚠ Falta fecha",IF(C3272="","⚠ Falta monto",IF(D3272="","⚠ Falta categoría",IF(ISNA(MATCH(D3272,catNom,0)),"⚠ Categoría no existe",IF(E3272="","⚠ Falta cuenta",IF(ISNA(MATCH(E3272,ctaNom,0)),"⚠ Cuenta no existe",IF(AND(OR(I3272="Transferencia",I3272="Pago tarjeta"),G3272=""),"⚠ Indica la cuenta «Hacia»",IF(AND(G3272&lt;&gt;"",G3272=E3272),"⚠ «Hacia» igual a la cuenta",IF(AND(G3272&lt;&gt;"",ISNA(MATCH(G3272,ctaNom,0))),"⚠ «Hacia» no existe",IF(AND(I3272="Pago tarjeta",IFERROR(INDEX(ctaTipo,MATCH(G3272,ctaNom,0)),"")&lt;&gt;"Tarjeta de crédito"),"⚠ «Hacia» debe ser la tarjeta",IF(AND(I3272="Trading",IFERROR(INDEX(ctaTipo,MATCH(E3272,ctaNom,0)),"")&lt;&gt;"Cuenta de trading"),"⚠ Usa la cuenta de trading","✓"))))))))))))</f>
        <v/>
      </c>
      <c r="I3272" s="19">
        <f>IF(OR(B3272="",C3272="",D3272=""),"",IFERROR(INDEX(catTipo,MATCH(D3272,catNom,0))&amp;"",""))</f>
        <v/>
      </c>
      <c r="J3272" s="19">
        <f>IF(I3272="","",IFERROR(INDEX(catGrupo,MATCH(D3272,catNom,0))&amp;"",""))</f>
        <v/>
      </c>
      <c r="K3272" s="19">
        <f>IF(I3272="Gasto",IF(IFERROR(INDEX(catClas,MATCH(D3272,catNom,0))&amp;"","")="","Variable",IFERROR(INDEX(catClas,MATCH(D3272,catNom,0))&amp;"","")),"")</f>
        <v/>
      </c>
      <c r="L3272" s="19">
        <f>IF(I3272="","",IFERROR(INDEX(catAlim,MATCH(D3272,catNom,0))&amp;"",""))</f>
        <v/>
      </c>
      <c r="M3272" s="19">
        <f>IF(I3272="","",IFERROR(INDEX(catComida,MATCH(D3272,catNom,0))&amp;"",""))</f>
        <v/>
      </c>
      <c r="N3272" s="19">
        <f>IF(I3272="","",IFERROR(INDEX(ctaMon,MATCH(E3272,ctaNom,0))&amp;"","DOP"))</f>
        <v/>
      </c>
      <c r="O3272" s="20">
        <f>IF(I3272="","",C3272*IF(N3272="USD",TasaUSD,1))</f>
        <v/>
      </c>
      <c r="P3272" s="20">
        <f>IF(I3272="","",IF(I3272="Gasto",O3272,0))</f>
        <v/>
      </c>
      <c r="Q3272" s="20">
        <f>IF(I3272="","",IF(I3272="Ingreso",O3272,0))</f>
        <v/>
      </c>
      <c r="R3272" s="20">
        <f>IF(I3272="","",IF(I3272="Trading",O3272,0))</f>
        <v/>
      </c>
      <c r="S3272" s="19">
        <f>IF(I3272="","",IF(AND(I3272="Gasto",K3272="Variable",J3272&lt;&gt;"Trading",O3272&gt;0,O3272&lt;=Umbral),1,0))</f>
        <v/>
      </c>
      <c r="T3272" s="20">
        <f>IF(OR(I3272="",E3272=""),"",IF(OR(I3272="Gasto",I3272="Transferencia",I3272="Pago tarjeta"),-1,1)*C3272)</f>
        <v/>
      </c>
      <c r="U3272" s="20">
        <f>IF(OR(G3272="",AND(I3272&lt;&gt;"Transferencia",I3272&lt;&gt;"Pago tarjeta")),"",IF(IFERROR(INDEX(ctaMon,MATCH(G3272,ctaNom,0))&amp;"","DOP")=N3272,C3272,IF(N3272="USD",C3272*TasaUSD,C3272/TasaUSD)))</f>
        <v/>
      </c>
      <c r="V3272" s="20">
        <f>IF(I3272="","",IF(IFERROR(INDEX(ctaLiq,MATCH(E3272,ctaNom,0))="Sí",FALSE),IF(OR(I3272="Gasto",I3272="Transferencia",I3272="Pago tarjeta"),-1,1)*O3272,0)+IF(AND(U3272&lt;&gt;"",IFERROR(INDEX(ctaLiq,MATCH(G3272,ctaNom,0))="Sí",FALSE)),O3272,0))</f>
        <v/>
      </c>
      <c r="W3272" s="19">
        <f>IF(OR(F3272="",I3272=""),"",IF(COUNTIFS(F$6:F3272,F3272,I$6:I3272,"?*")=1,MAX(W$5:W3271)+1,""))</f>
        <v/>
      </c>
    </row>
    <row r="3273">
      <c r="B3273" s="15" t="n"/>
      <c r="C3273" s="16" t="n"/>
      <c r="D3273" s="17" t="n"/>
      <c r="E3273" s="17" t="n"/>
      <c r="F3273" s="17" t="n"/>
      <c r="G3273" s="17" t="n"/>
      <c r="H3273" s="18">
        <f>IF(AND(B3273="",C3273="",D3273="",E3273=""),"",IF(B3273="","⚠ Falta fecha",IF(C3273="","⚠ Falta monto",IF(D3273="","⚠ Falta categoría",IF(ISNA(MATCH(D3273,catNom,0)),"⚠ Categoría no existe",IF(E3273="","⚠ Falta cuenta",IF(ISNA(MATCH(E3273,ctaNom,0)),"⚠ Cuenta no existe",IF(AND(OR(I3273="Transferencia",I3273="Pago tarjeta"),G3273=""),"⚠ Indica la cuenta «Hacia»",IF(AND(G3273&lt;&gt;"",G3273=E3273),"⚠ «Hacia» igual a la cuenta",IF(AND(G3273&lt;&gt;"",ISNA(MATCH(G3273,ctaNom,0))),"⚠ «Hacia» no existe",IF(AND(I3273="Pago tarjeta",IFERROR(INDEX(ctaTipo,MATCH(G3273,ctaNom,0)),"")&lt;&gt;"Tarjeta de crédito"),"⚠ «Hacia» debe ser la tarjeta",IF(AND(I3273="Trading",IFERROR(INDEX(ctaTipo,MATCH(E3273,ctaNom,0)),"")&lt;&gt;"Cuenta de trading"),"⚠ Usa la cuenta de trading","✓"))))))))))))</f>
        <v/>
      </c>
      <c r="I3273" s="19">
        <f>IF(OR(B3273="",C3273="",D3273=""),"",IFERROR(INDEX(catTipo,MATCH(D3273,catNom,0))&amp;"",""))</f>
        <v/>
      </c>
      <c r="J3273" s="19">
        <f>IF(I3273="","",IFERROR(INDEX(catGrupo,MATCH(D3273,catNom,0))&amp;"",""))</f>
        <v/>
      </c>
      <c r="K3273" s="19">
        <f>IF(I3273="Gasto",IF(IFERROR(INDEX(catClas,MATCH(D3273,catNom,0))&amp;"","")="","Variable",IFERROR(INDEX(catClas,MATCH(D3273,catNom,0))&amp;"","")),"")</f>
        <v/>
      </c>
      <c r="L3273" s="19">
        <f>IF(I3273="","",IFERROR(INDEX(catAlim,MATCH(D3273,catNom,0))&amp;"",""))</f>
        <v/>
      </c>
      <c r="M3273" s="19">
        <f>IF(I3273="","",IFERROR(INDEX(catComida,MATCH(D3273,catNom,0))&amp;"",""))</f>
        <v/>
      </c>
      <c r="N3273" s="19">
        <f>IF(I3273="","",IFERROR(INDEX(ctaMon,MATCH(E3273,ctaNom,0))&amp;"","DOP"))</f>
        <v/>
      </c>
      <c r="O3273" s="20">
        <f>IF(I3273="","",C3273*IF(N3273="USD",TasaUSD,1))</f>
        <v/>
      </c>
      <c r="P3273" s="20">
        <f>IF(I3273="","",IF(I3273="Gasto",O3273,0))</f>
        <v/>
      </c>
      <c r="Q3273" s="20">
        <f>IF(I3273="","",IF(I3273="Ingreso",O3273,0))</f>
        <v/>
      </c>
      <c r="R3273" s="20">
        <f>IF(I3273="","",IF(I3273="Trading",O3273,0))</f>
        <v/>
      </c>
      <c r="S3273" s="19">
        <f>IF(I3273="","",IF(AND(I3273="Gasto",K3273="Variable",J3273&lt;&gt;"Trading",O3273&gt;0,O3273&lt;=Umbral),1,0))</f>
        <v/>
      </c>
      <c r="T3273" s="20">
        <f>IF(OR(I3273="",E3273=""),"",IF(OR(I3273="Gasto",I3273="Transferencia",I3273="Pago tarjeta"),-1,1)*C3273)</f>
        <v/>
      </c>
      <c r="U3273" s="20">
        <f>IF(OR(G3273="",AND(I3273&lt;&gt;"Transferencia",I3273&lt;&gt;"Pago tarjeta")),"",IF(IFERROR(INDEX(ctaMon,MATCH(G3273,ctaNom,0))&amp;"","DOP")=N3273,C3273,IF(N3273="USD",C3273*TasaUSD,C3273/TasaUSD)))</f>
        <v/>
      </c>
      <c r="V3273" s="20">
        <f>IF(I3273="","",IF(IFERROR(INDEX(ctaLiq,MATCH(E3273,ctaNom,0))="Sí",FALSE),IF(OR(I3273="Gasto",I3273="Transferencia",I3273="Pago tarjeta"),-1,1)*O3273,0)+IF(AND(U3273&lt;&gt;"",IFERROR(INDEX(ctaLiq,MATCH(G3273,ctaNom,0))="Sí",FALSE)),O3273,0))</f>
        <v/>
      </c>
      <c r="W3273" s="19">
        <f>IF(OR(F3273="",I3273=""),"",IF(COUNTIFS(F$6:F3273,F3273,I$6:I3273,"?*")=1,MAX(W$5:W3272)+1,""))</f>
        <v/>
      </c>
    </row>
    <row r="3274">
      <c r="B3274" s="15" t="n"/>
      <c r="C3274" s="16" t="n"/>
      <c r="D3274" s="17" t="n"/>
      <c r="E3274" s="17" t="n"/>
      <c r="F3274" s="17" t="n"/>
      <c r="G3274" s="17" t="n"/>
      <c r="H3274" s="18">
        <f>IF(AND(B3274="",C3274="",D3274="",E3274=""),"",IF(B3274="","⚠ Falta fecha",IF(C3274="","⚠ Falta monto",IF(D3274="","⚠ Falta categoría",IF(ISNA(MATCH(D3274,catNom,0)),"⚠ Categoría no existe",IF(E3274="","⚠ Falta cuenta",IF(ISNA(MATCH(E3274,ctaNom,0)),"⚠ Cuenta no existe",IF(AND(OR(I3274="Transferencia",I3274="Pago tarjeta"),G3274=""),"⚠ Indica la cuenta «Hacia»",IF(AND(G3274&lt;&gt;"",G3274=E3274),"⚠ «Hacia» igual a la cuenta",IF(AND(G3274&lt;&gt;"",ISNA(MATCH(G3274,ctaNom,0))),"⚠ «Hacia» no existe",IF(AND(I3274="Pago tarjeta",IFERROR(INDEX(ctaTipo,MATCH(G3274,ctaNom,0)),"")&lt;&gt;"Tarjeta de crédito"),"⚠ «Hacia» debe ser la tarjeta",IF(AND(I3274="Trading",IFERROR(INDEX(ctaTipo,MATCH(E3274,ctaNom,0)),"")&lt;&gt;"Cuenta de trading"),"⚠ Usa la cuenta de trading","✓"))))))))))))</f>
        <v/>
      </c>
      <c r="I3274" s="19">
        <f>IF(OR(B3274="",C3274="",D3274=""),"",IFERROR(INDEX(catTipo,MATCH(D3274,catNom,0))&amp;"",""))</f>
        <v/>
      </c>
      <c r="J3274" s="19">
        <f>IF(I3274="","",IFERROR(INDEX(catGrupo,MATCH(D3274,catNom,0))&amp;"",""))</f>
        <v/>
      </c>
      <c r="K3274" s="19">
        <f>IF(I3274="Gasto",IF(IFERROR(INDEX(catClas,MATCH(D3274,catNom,0))&amp;"","")="","Variable",IFERROR(INDEX(catClas,MATCH(D3274,catNom,0))&amp;"","")),"")</f>
        <v/>
      </c>
      <c r="L3274" s="19">
        <f>IF(I3274="","",IFERROR(INDEX(catAlim,MATCH(D3274,catNom,0))&amp;"",""))</f>
        <v/>
      </c>
      <c r="M3274" s="19">
        <f>IF(I3274="","",IFERROR(INDEX(catComida,MATCH(D3274,catNom,0))&amp;"",""))</f>
        <v/>
      </c>
      <c r="N3274" s="19">
        <f>IF(I3274="","",IFERROR(INDEX(ctaMon,MATCH(E3274,ctaNom,0))&amp;"","DOP"))</f>
        <v/>
      </c>
      <c r="O3274" s="20">
        <f>IF(I3274="","",C3274*IF(N3274="USD",TasaUSD,1))</f>
        <v/>
      </c>
      <c r="P3274" s="20">
        <f>IF(I3274="","",IF(I3274="Gasto",O3274,0))</f>
        <v/>
      </c>
      <c r="Q3274" s="20">
        <f>IF(I3274="","",IF(I3274="Ingreso",O3274,0))</f>
        <v/>
      </c>
      <c r="R3274" s="20">
        <f>IF(I3274="","",IF(I3274="Trading",O3274,0))</f>
        <v/>
      </c>
      <c r="S3274" s="19">
        <f>IF(I3274="","",IF(AND(I3274="Gasto",K3274="Variable",J3274&lt;&gt;"Trading",O3274&gt;0,O3274&lt;=Umbral),1,0))</f>
        <v/>
      </c>
      <c r="T3274" s="20">
        <f>IF(OR(I3274="",E3274=""),"",IF(OR(I3274="Gasto",I3274="Transferencia",I3274="Pago tarjeta"),-1,1)*C3274)</f>
        <v/>
      </c>
      <c r="U3274" s="20">
        <f>IF(OR(G3274="",AND(I3274&lt;&gt;"Transferencia",I3274&lt;&gt;"Pago tarjeta")),"",IF(IFERROR(INDEX(ctaMon,MATCH(G3274,ctaNom,0))&amp;"","DOP")=N3274,C3274,IF(N3274="USD",C3274*TasaUSD,C3274/TasaUSD)))</f>
        <v/>
      </c>
      <c r="V3274" s="20">
        <f>IF(I3274="","",IF(IFERROR(INDEX(ctaLiq,MATCH(E3274,ctaNom,0))="Sí",FALSE),IF(OR(I3274="Gasto",I3274="Transferencia",I3274="Pago tarjeta"),-1,1)*O3274,0)+IF(AND(U3274&lt;&gt;"",IFERROR(INDEX(ctaLiq,MATCH(G3274,ctaNom,0))="Sí",FALSE)),O3274,0))</f>
        <v/>
      </c>
      <c r="W3274" s="19">
        <f>IF(OR(F3274="",I3274=""),"",IF(COUNTIFS(F$6:F3274,F3274,I$6:I3274,"?*")=1,MAX(W$5:W3273)+1,""))</f>
        <v/>
      </c>
    </row>
    <row r="3275">
      <c r="B3275" s="15" t="n"/>
      <c r="C3275" s="16" t="n"/>
      <c r="D3275" s="17" t="n"/>
      <c r="E3275" s="17" t="n"/>
      <c r="F3275" s="17" t="n"/>
      <c r="G3275" s="17" t="n"/>
      <c r="H3275" s="18">
        <f>IF(AND(B3275="",C3275="",D3275="",E3275=""),"",IF(B3275="","⚠ Falta fecha",IF(C3275="","⚠ Falta monto",IF(D3275="","⚠ Falta categoría",IF(ISNA(MATCH(D3275,catNom,0)),"⚠ Categoría no existe",IF(E3275="","⚠ Falta cuenta",IF(ISNA(MATCH(E3275,ctaNom,0)),"⚠ Cuenta no existe",IF(AND(OR(I3275="Transferencia",I3275="Pago tarjeta"),G3275=""),"⚠ Indica la cuenta «Hacia»",IF(AND(G3275&lt;&gt;"",G3275=E3275),"⚠ «Hacia» igual a la cuenta",IF(AND(G3275&lt;&gt;"",ISNA(MATCH(G3275,ctaNom,0))),"⚠ «Hacia» no existe",IF(AND(I3275="Pago tarjeta",IFERROR(INDEX(ctaTipo,MATCH(G3275,ctaNom,0)),"")&lt;&gt;"Tarjeta de crédito"),"⚠ «Hacia» debe ser la tarjeta",IF(AND(I3275="Trading",IFERROR(INDEX(ctaTipo,MATCH(E3275,ctaNom,0)),"")&lt;&gt;"Cuenta de trading"),"⚠ Usa la cuenta de trading","✓"))))))))))))</f>
        <v/>
      </c>
      <c r="I3275" s="19">
        <f>IF(OR(B3275="",C3275="",D3275=""),"",IFERROR(INDEX(catTipo,MATCH(D3275,catNom,0))&amp;"",""))</f>
        <v/>
      </c>
      <c r="J3275" s="19">
        <f>IF(I3275="","",IFERROR(INDEX(catGrupo,MATCH(D3275,catNom,0))&amp;"",""))</f>
        <v/>
      </c>
      <c r="K3275" s="19">
        <f>IF(I3275="Gasto",IF(IFERROR(INDEX(catClas,MATCH(D3275,catNom,0))&amp;"","")="","Variable",IFERROR(INDEX(catClas,MATCH(D3275,catNom,0))&amp;"","")),"")</f>
        <v/>
      </c>
      <c r="L3275" s="19">
        <f>IF(I3275="","",IFERROR(INDEX(catAlim,MATCH(D3275,catNom,0))&amp;"",""))</f>
        <v/>
      </c>
      <c r="M3275" s="19">
        <f>IF(I3275="","",IFERROR(INDEX(catComida,MATCH(D3275,catNom,0))&amp;"",""))</f>
        <v/>
      </c>
      <c r="N3275" s="19">
        <f>IF(I3275="","",IFERROR(INDEX(ctaMon,MATCH(E3275,ctaNom,0))&amp;"","DOP"))</f>
        <v/>
      </c>
      <c r="O3275" s="20">
        <f>IF(I3275="","",C3275*IF(N3275="USD",TasaUSD,1))</f>
        <v/>
      </c>
      <c r="P3275" s="20">
        <f>IF(I3275="","",IF(I3275="Gasto",O3275,0))</f>
        <v/>
      </c>
      <c r="Q3275" s="20">
        <f>IF(I3275="","",IF(I3275="Ingreso",O3275,0))</f>
        <v/>
      </c>
      <c r="R3275" s="20">
        <f>IF(I3275="","",IF(I3275="Trading",O3275,0))</f>
        <v/>
      </c>
      <c r="S3275" s="19">
        <f>IF(I3275="","",IF(AND(I3275="Gasto",K3275="Variable",J3275&lt;&gt;"Trading",O3275&gt;0,O3275&lt;=Umbral),1,0))</f>
        <v/>
      </c>
      <c r="T3275" s="20">
        <f>IF(OR(I3275="",E3275=""),"",IF(OR(I3275="Gasto",I3275="Transferencia",I3275="Pago tarjeta"),-1,1)*C3275)</f>
        <v/>
      </c>
      <c r="U3275" s="20">
        <f>IF(OR(G3275="",AND(I3275&lt;&gt;"Transferencia",I3275&lt;&gt;"Pago tarjeta")),"",IF(IFERROR(INDEX(ctaMon,MATCH(G3275,ctaNom,0))&amp;"","DOP")=N3275,C3275,IF(N3275="USD",C3275*TasaUSD,C3275/TasaUSD)))</f>
        <v/>
      </c>
      <c r="V3275" s="20">
        <f>IF(I3275="","",IF(IFERROR(INDEX(ctaLiq,MATCH(E3275,ctaNom,0))="Sí",FALSE),IF(OR(I3275="Gasto",I3275="Transferencia",I3275="Pago tarjeta"),-1,1)*O3275,0)+IF(AND(U3275&lt;&gt;"",IFERROR(INDEX(ctaLiq,MATCH(G3275,ctaNom,0))="Sí",FALSE)),O3275,0))</f>
        <v/>
      </c>
      <c r="W3275" s="19">
        <f>IF(OR(F3275="",I3275=""),"",IF(COUNTIFS(F$6:F3275,F3275,I$6:I3275,"?*")=1,MAX(W$5:W3274)+1,""))</f>
        <v/>
      </c>
    </row>
    <row r="3276">
      <c r="B3276" s="15" t="n"/>
      <c r="C3276" s="16" t="n"/>
      <c r="D3276" s="17" t="n"/>
      <c r="E3276" s="17" t="n"/>
      <c r="F3276" s="17" t="n"/>
      <c r="G3276" s="17" t="n"/>
      <c r="H3276" s="18">
        <f>IF(AND(B3276="",C3276="",D3276="",E3276=""),"",IF(B3276="","⚠ Falta fecha",IF(C3276="","⚠ Falta monto",IF(D3276="","⚠ Falta categoría",IF(ISNA(MATCH(D3276,catNom,0)),"⚠ Categoría no existe",IF(E3276="","⚠ Falta cuenta",IF(ISNA(MATCH(E3276,ctaNom,0)),"⚠ Cuenta no existe",IF(AND(OR(I3276="Transferencia",I3276="Pago tarjeta"),G3276=""),"⚠ Indica la cuenta «Hacia»",IF(AND(G3276&lt;&gt;"",G3276=E3276),"⚠ «Hacia» igual a la cuenta",IF(AND(G3276&lt;&gt;"",ISNA(MATCH(G3276,ctaNom,0))),"⚠ «Hacia» no existe",IF(AND(I3276="Pago tarjeta",IFERROR(INDEX(ctaTipo,MATCH(G3276,ctaNom,0)),"")&lt;&gt;"Tarjeta de crédito"),"⚠ «Hacia» debe ser la tarjeta",IF(AND(I3276="Trading",IFERROR(INDEX(ctaTipo,MATCH(E3276,ctaNom,0)),"")&lt;&gt;"Cuenta de trading"),"⚠ Usa la cuenta de trading","✓"))))))))))))</f>
        <v/>
      </c>
      <c r="I3276" s="19">
        <f>IF(OR(B3276="",C3276="",D3276=""),"",IFERROR(INDEX(catTipo,MATCH(D3276,catNom,0))&amp;"",""))</f>
        <v/>
      </c>
      <c r="J3276" s="19">
        <f>IF(I3276="","",IFERROR(INDEX(catGrupo,MATCH(D3276,catNom,0))&amp;"",""))</f>
        <v/>
      </c>
      <c r="K3276" s="19">
        <f>IF(I3276="Gasto",IF(IFERROR(INDEX(catClas,MATCH(D3276,catNom,0))&amp;"","")="","Variable",IFERROR(INDEX(catClas,MATCH(D3276,catNom,0))&amp;"","")),"")</f>
        <v/>
      </c>
      <c r="L3276" s="19">
        <f>IF(I3276="","",IFERROR(INDEX(catAlim,MATCH(D3276,catNom,0))&amp;"",""))</f>
        <v/>
      </c>
      <c r="M3276" s="19">
        <f>IF(I3276="","",IFERROR(INDEX(catComida,MATCH(D3276,catNom,0))&amp;"",""))</f>
        <v/>
      </c>
      <c r="N3276" s="19">
        <f>IF(I3276="","",IFERROR(INDEX(ctaMon,MATCH(E3276,ctaNom,0))&amp;"","DOP"))</f>
        <v/>
      </c>
      <c r="O3276" s="20">
        <f>IF(I3276="","",C3276*IF(N3276="USD",TasaUSD,1))</f>
        <v/>
      </c>
      <c r="P3276" s="20">
        <f>IF(I3276="","",IF(I3276="Gasto",O3276,0))</f>
        <v/>
      </c>
      <c r="Q3276" s="20">
        <f>IF(I3276="","",IF(I3276="Ingreso",O3276,0))</f>
        <v/>
      </c>
      <c r="R3276" s="20">
        <f>IF(I3276="","",IF(I3276="Trading",O3276,0))</f>
        <v/>
      </c>
      <c r="S3276" s="19">
        <f>IF(I3276="","",IF(AND(I3276="Gasto",K3276="Variable",J3276&lt;&gt;"Trading",O3276&gt;0,O3276&lt;=Umbral),1,0))</f>
        <v/>
      </c>
      <c r="T3276" s="20">
        <f>IF(OR(I3276="",E3276=""),"",IF(OR(I3276="Gasto",I3276="Transferencia",I3276="Pago tarjeta"),-1,1)*C3276)</f>
        <v/>
      </c>
      <c r="U3276" s="20">
        <f>IF(OR(G3276="",AND(I3276&lt;&gt;"Transferencia",I3276&lt;&gt;"Pago tarjeta")),"",IF(IFERROR(INDEX(ctaMon,MATCH(G3276,ctaNom,0))&amp;"","DOP")=N3276,C3276,IF(N3276="USD",C3276*TasaUSD,C3276/TasaUSD)))</f>
        <v/>
      </c>
      <c r="V3276" s="20">
        <f>IF(I3276="","",IF(IFERROR(INDEX(ctaLiq,MATCH(E3276,ctaNom,0))="Sí",FALSE),IF(OR(I3276="Gasto",I3276="Transferencia",I3276="Pago tarjeta"),-1,1)*O3276,0)+IF(AND(U3276&lt;&gt;"",IFERROR(INDEX(ctaLiq,MATCH(G3276,ctaNom,0))="Sí",FALSE)),O3276,0))</f>
        <v/>
      </c>
      <c r="W3276" s="19">
        <f>IF(OR(F3276="",I3276=""),"",IF(COUNTIFS(F$6:F3276,F3276,I$6:I3276,"?*")=1,MAX(W$5:W3275)+1,""))</f>
        <v/>
      </c>
    </row>
    <row r="3277">
      <c r="B3277" s="15" t="n"/>
      <c r="C3277" s="16" t="n"/>
      <c r="D3277" s="17" t="n"/>
      <c r="E3277" s="17" t="n"/>
      <c r="F3277" s="17" t="n"/>
      <c r="G3277" s="17" t="n"/>
      <c r="H3277" s="18">
        <f>IF(AND(B3277="",C3277="",D3277="",E3277=""),"",IF(B3277="","⚠ Falta fecha",IF(C3277="","⚠ Falta monto",IF(D3277="","⚠ Falta categoría",IF(ISNA(MATCH(D3277,catNom,0)),"⚠ Categoría no existe",IF(E3277="","⚠ Falta cuenta",IF(ISNA(MATCH(E3277,ctaNom,0)),"⚠ Cuenta no existe",IF(AND(OR(I3277="Transferencia",I3277="Pago tarjeta"),G3277=""),"⚠ Indica la cuenta «Hacia»",IF(AND(G3277&lt;&gt;"",G3277=E3277),"⚠ «Hacia» igual a la cuenta",IF(AND(G3277&lt;&gt;"",ISNA(MATCH(G3277,ctaNom,0))),"⚠ «Hacia» no existe",IF(AND(I3277="Pago tarjeta",IFERROR(INDEX(ctaTipo,MATCH(G3277,ctaNom,0)),"")&lt;&gt;"Tarjeta de crédito"),"⚠ «Hacia» debe ser la tarjeta",IF(AND(I3277="Trading",IFERROR(INDEX(ctaTipo,MATCH(E3277,ctaNom,0)),"")&lt;&gt;"Cuenta de trading"),"⚠ Usa la cuenta de trading","✓"))))))))))))</f>
        <v/>
      </c>
      <c r="I3277" s="19">
        <f>IF(OR(B3277="",C3277="",D3277=""),"",IFERROR(INDEX(catTipo,MATCH(D3277,catNom,0))&amp;"",""))</f>
        <v/>
      </c>
      <c r="J3277" s="19">
        <f>IF(I3277="","",IFERROR(INDEX(catGrupo,MATCH(D3277,catNom,0))&amp;"",""))</f>
        <v/>
      </c>
      <c r="K3277" s="19">
        <f>IF(I3277="Gasto",IF(IFERROR(INDEX(catClas,MATCH(D3277,catNom,0))&amp;"","")="","Variable",IFERROR(INDEX(catClas,MATCH(D3277,catNom,0))&amp;"","")),"")</f>
        <v/>
      </c>
      <c r="L3277" s="19">
        <f>IF(I3277="","",IFERROR(INDEX(catAlim,MATCH(D3277,catNom,0))&amp;"",""))</f>
        <v/>
      </c>
      <c r="M3277" s="19">
        <f>IF(I3277="","",IFERROR(INDEX(catComida,MATCH(D3277,catNom,0))&amp;"",""))</f>
        <v/>
      </c>
      <c r="N3277" s="19">
        <f>IF(I3277="","",IFERROR(INDEX(ctaMon,MATCH(E3277,ctaNom,0))&amp;"","DOP"))</f>
        <v/>
      </c>
      <c r="O3277" s="20">
        <f>IF(I3277="","",C3277*IF(N3277="USD",TasaUSD,1))</f>
        <v/>
      </c>
      <c r="P3277" s="20">
        <f>IF(I3277="","",IF(I3277="Gasto",O3277,0))</f>
        <v/>
      </c>
      <c r="Q3277" s="20">
        <f>IF(I3277="","",IF(I3277="Ingreso",O3277,0))</f>
        <v/>
      </c>
      <c r="R3277" s="20">
        <f>IF(I3277="","",IF(I3277="Trading",O3277,0))</f>
        <v/>
      </c>
      <c r="S3277" s="19">
        <f>IF(I3277="","",IF(AND(I3277="Gasto",K3277="Variable",J3277&lt;&gt;"Trading",O3277&gt;0,O3277&lt;=Umbral),1,0))</f>
        <v/>
      </c>
      <c r="T3277" s="20">
        <f>IF(OR(I3277="",E3277=""),"",IF(OR(I3277="Gasto",I3277="Transferencia",I3277="Pago tarjeta"),-1,1)*C3277)</f>
        <v/>
      </c>
      <c r="U3277" s="20">
        <f>IF(OR(G3277="",AND(I3277&lt;&gt;"Transferencia",I3277&lt;&gt;"Pago tarjeta")),"",IF(IFERROR(INDEX(ctaMon,MATCH(G3277,ctaNom,0))&amp;"","DOP")=N3277,C3277,IF(N3277="USD",C3277*TasaUSD,C3277/TasaUSD)))</f>
        <v/>
      </c>
      <c r="V3277" s="20">
        <f>IF(I3277="","",IF(IFERROR(INDEX(ctaLiq,MATCH(E3277,ctaNom,0))="Sí",FALSE),IF(OR(I3277="Gasto",I3277="Transferencia",I3277="Pago tarjeta"),-1,1)*O3277,0)+IF(AND(U3277&lt;&gt;"",IFERROR(INDEX(ctaLiq,MATCH(G3277,ctaNom,0))="Sí",FALSE)),O3277,0))</f>
        <v/>
      </c>
      <c r="W3277" s="19">
        <f>IF(OR(F3277="",I3277=""),"",IF(COUNTIFS(F$6:F3277,F3277,I$6:I3277,"?*")=1,MAX(W$5:W3276)+1,""))</f>
        <v/>
      </c>
    </row>
    <row r="3278">
      <c r="B3278" s="15" t="n"/>
      <c r="C3278" s="16" t="n"/>
      <c r="D3278" s="17" t="n"/>
      <c r="E3278" s="17" t="n"/>
      <c r="F3278" s="17" t="n"/>
      <c r="G3278" s="17" t="n"/>
      <c r="H3278" s="18">
        <f>IF(AND(B3278="",C3278="",D3278="",E3278=""),"",IF(B3278="","⚠ Falta fecha",IF(C3278="","⚠ Falta monto",IF(D3278="","⚠ Falta categoría",IF(ISNA(MATCH(D3278,catNom,0)),"⚠ Categoría no existe",IF(E3278="","⚠ Falta cuenta",IF(ISNA(MATCH(E3278,ctaNom,0)),"⚠ Cuenta no existe",IF(AND(OR(I3278="Transferencia",I3278="Pago tarjeta"),G3278=""),"⚠ Indica la cuenta «Hacia»",IF(AND(G3278&lt;&gt;"",G3278=E3278),"⚠ «Hacia» igual a la cuenta",IF(AND(G3278&lt;&gt;"",ISNA(MATCH(G3278,ctaNom,0))),"⚠ «Hacia» no existe",IF(AND(I3278="Pago tarjeta",IFERROR(INDEX(ctaTipo,MATCH(G3278,ctaNom,0)),"")&lt;&gt;"Tarjeta de crédito"),"⚠ «Hacia» debe ser la tarjeta",IF(AND(I3278="Trading",IFERROR(INDEX(ctaTipo,MATCH(E3278,ctaNom,0)),"")&lt;&gt;"Cuenta de trading"),"⚠ Usa la cuenta de trading","✓"))))))))))))</f>
        <v/>
      </c>
      <c r="I3278" s="19">
        <f>IF(OR(B3278="",C3278="",D3278=""),"",IFERROR(INDEX(catTipo,MATCH(D3278,catNom,0))&amp;"",""))</f>
        <v/>
      </c>
      <c r="J3278" s="19">
        <f>IF(I3278="","",IFERROR(INDEX(catGrupo,MATCH(D3278,catNom,0))&amp;"",""))</f>
        <v/>
      </c>
      <c r="K3278" s="19">
        <f>IF(I3278="Gasto",IF(IFERROR(INDEX(catClas,MATCH(D3278,catNom,0))&amp;"","")="","Variable",IFERROR(INDEX(catClas,MATCH(D3278,catNom,0))&amp;"","")),"")</f>
        <v/>
      </c>
      <c r="L3278" s="19">
        <f>IF(I3278="","",IFERROR(INDEX(catAlim,MATCH(D3278,catNom,0))&amp;"",""))</f>
        <v/>
      </c>
      <c r="M3278" s="19">
        <f>IF(I3278="","",IFERROR(INDEX(catComida,MATCH(D3278,catNom,0))&amp;"",""))</f>
        <v/>
      </c>
      <c r="N3278" s="19">
        <f>IF(I3278="","",IFERROR(INDEX(ctaMon,MATCH(E3278,ctaNom,0))&amp;"","DOP"))</f>
        <v/>
      </c>
      <c r="O3278" s="20">
        <f>IF(I3278="","",C3278*IF(N3278="USD",TasaUSD,1))</f>
        <v/>
      </c>
      <c r="P3278" s="20">
        <f>IF(I3278="","",IF(I3278="Gasto",O3278,0))</f>
        <v/>
      </c>
      <c r="Q3278" s="20">
        <f>IF(I3278="","",IF(I3278="Ingreso",O3278,0))</f>
        <v/>
      </c>
      <c r="R3278" s="20">
        <f>IF(I3278="","",IF(I3278="Trading",O3278,0))</f>
        <v/>
      </c>
      <c r="S3278" s="19">
        <f>IF(I3278="","",IF(AND(I3278="Gasto",K3278="Variable",J3278&lt;&gt;"Trading",O3278&gt;0,O3278&lt;=Umbral),1,0))</f>
        <v/>
      </c>
      <c r="T3278" s="20">
        <f>IF(OR(I3278="",E3278=""),"",IF(OR(I3278="Gasto",I3278="Transferencia",I3278="Pago tarjeta"),-1,1)*C3278)</f>
        <v/>
      </c>
      <c r="U3278" s="20">
        <f>IF(OR(G3278="",AND(I3278&lt;&gt;"Transferencia",I3278&lt;&gt;"Pago tarjeta")),"",IF(IFERROR(INDEX(ctaMon,MATCH(G3278,ctaNom,0))&amp;"","DOP")=N3278,C3278,IF(N3278="USD",C3278*TasaUSD,C3278/TasaUSD)))</f>
        <v/>
      </c>
      <c r="V3278" s="20">
        <f>IF(I3278="","",IF(IFERROR(INDEX(ctaLiq,MATCH(E3278,ctaNom,0))="Sí",FALSE),IF(OR(I3278="Gasto",I3278="Transferencia",I3278="Pago tarjeta"),-1,1)*O3278,0)+IF(AND(U3278&lt;&gt;"",IFERROR(INDEX(ctaLiq,MATCH(G3278,ctaNom,0))="Sí",FALSE)),O3278,0))</f>
        <v/>
      </c>
      <c r="W3278" s="19">
        <f>IF(OR(F3278="",I3278=""),"",IF(COUNTIFS(F$6:F3278,F3278,I$6:I3278,"?*")=1,MAX(W$5:W3277)+1,""))</f>
        <v/>
      </c>
    </row>
    <row r="3279">
      <c r="B3279" s="15" t="n"/>
      <c r="C3279" s="16" t="n"/>
      <c r="D3279" s="17" t="n"/>
      <c r="E3279" s="17" t="n"/>
      <c r="F3279" s="17" t="n"/>
      <c r="G3279" s="17" t="n"/>
      <c r="H3279" s="18">
        <f>IF(AND(B3279="",C3279="",D3279="",E3279=""),"",IF(B3279="","⚠ Falta fecha",IF(C3279="","⚠ Falta monto",IF(D3279="","⚠ Falta categoría",IF(ISNA(MATCH(D3279,catNom,0)),"⚠ Categoría no existe",IF(E3279="","⚠ Falta cuenta",IF(ISNA(MATCH(E3279,ctaNom,0)),"⚠ Cuenta no existe",IF(AND(OR(I3279="Transferencia",I3279="Pago tarjeta"),G3279=""),"⚠ Indica la cuenta «Hacia»",IF(AND(G3279&lt;&gt;"",G3279=E3279),"⚠ «Hacia» igual a la cuenta",IF(AND(G3279&lt;&gt;"",ISNA(MATCH(G3279,ctaNom,0))),"⚠ «Hacia» no existe",IF(AND(I3279="Pago tarjeta",IFERROR(INDEX(ctaTipo,MATCH(G3279,ctaNom,0)),"")&lt;&gt;"Tarjeta de crédito"),"⚠ «Hacia» debe ser la tarjeta",IF(AND(I3279="Trading",IFERROR(INDEX(ctaTipo,MATCH(E3279,ctaNom,0)),"")&lt;&gt;"Cuenta de trading"),"⚠ Usa la cuenta de trading","✓"))))))))))))</f>
        <v/>
      </c>
      <c r="I3279" s="19">
        <f>IF(OR(B3279="",C3279="",D3279=""),"",IFERROR(INDEX(catTipo,MATCH(D3279,catNom,0))&amp;"",""))</f>
        <v/>
      </c>
      <c r="J3279" s="19">
        <f>IF(I3279="","",IFERROR(INDEX(catGrupo,MATCH(D3279,catNom,0))&amp;"",""))</f>
        <v/>
      </c>
      <c r="K3279" s="19">
        <f>IF(I3279="Gasto",IF(IFERROR(INDEX(catClas,MATCH(D3279,catNom,0))&amp;"","")="","Variable",IFERROR(INDEX(catClas,MATCH(D3279,catNom,0))&amp;"","")),"")</f>
        <v/>
      </c>
      <c r="L3279" s="19">
        <f>IF(I3279="","",IFERROR(INDEX(catAlim,MATCH(D3279,catNom,0))&amp;"",""))</f>
        <v/>
      </c>
      <c r="M3279" s="19">
        <f>IF(I3279="","",IFERROR(INDEX(catComida,MATCH(D3279,catNom,0))&amp;"",""))</f>
        <v/>
      </c>
      <c r="N3279" s="19">
        <f>IF(I3279="","",IFERROR(INDEX(ctaMon,MATCH(E3279,ctaNom,0))&amp;"","DOP"))</f>
        <v/>
      </c>
      <c r="O3279" s="20">
        <f>IF(I3279="","",C3279*IF(N3279="USD",TasaUSD,1))</f>
        <v/>
      </c>
      <c r="P3279" s="20">
        <f>IF(I3279="","",IF(I3279="Gasto",O3279,0))</f>
        <v/>
      </c>
      <c r="Q3279" s="20">
        <f>IF(I3279="","",IF(I3279="Ingreso",O3279,0))</f>
        <v/>
      </c>
      <c r="R3279" s="20">
        <f>IF(I3279="","",IF(I3279="Trading",O3279,0))</f>
        <v/>
      </c>
      <c r="S3279" s="19">
        <f>IF(I3279="","",IF(AND(I3279="Gasto",K3279="Variable",J3279&lt;&gt;"Trading",O3279&gt;0,O3279&lt;=Umbral),1,0))</f>
        <v/>
      </c>
      <c r="T3279" s="20">
        <f>IF(OR(I3279="",E3279=""),"",IF(OR(I3279="Gasto",I3279="Transferencia",I3279="Pago tarjeta"),-1,1)*C3279)</f>
        <v/>
      </c>
      <c r="U3279" s="20">
        <f>IF(OR(G3279="",AND(I3279&lt;&gt;"Transferencia",I3279&lt;&gt;"Pago tarjeta")),"",IF(IFERROR(INDEX(ctaMon,MATCH(G3279,ctaNom,0))&amp;"","DOP")=N3279,C3279,IF(N3279="USD",C3279*TasaUSD,C3279/TasaUSD)))</f>
        <v/>
      </c>
      <c r="V3279" s="20">
        <f>IF(I3279="","",IF(IFERROR(INDEX(ctaLiq,MATCH(E3279,ctaNom,0))="Sí",FALSE),IF(OR(I3279="Gasto",I3279="Transferencia",I3279="Pago tarjeta"),-1,1)*O3279,0)+IF(AND(U3279&lt;&gt;"",IFERROR(INDEX(ctaLiq,MATCH(G3279,ctaNom,0))="Sí",FALSE)),O3279,0))</f>
        <v/>
      </c>
      <c r="W3279" s="19">
        <f>IF(OR(F3279="",I3279=""),"",IF(COUNTIFS(F$6:F3279,F3279,I$6:I3279,"?*")=1,MAX(W$5:W3278)+1,""))</f>
        <v/>
      </c>
    </row>
    <row r="3280">
      <c r="B3280" s="15" t="n"/>
      <c r="C3280" s="16" t="n"/>
      <c r="D3280" s="17" t="n"/>
      <c r="E3280" s="17" t="n"/>
      <c r="F3280" s="17" t="n"/>
      <c r="G3280" s="17" t="n"/>
      <c r="H3280" s="18">
        <f>IF(AND(B3280="",C3280="",D3280="",E3280=""),"",IF(B3280="","⚠ Falta fecha",IF(C3280="","⚠ Falta monto",IF(D3280="","⚠ Falta categoría",IF(ISNA(MATCH(D3280,catNom,0)),"⚠ Categoría no existe",IF(E3280="","⚠ Falta cuenta",IF(ISNA(MATCH(E3280,ctaNom,0)),"⚠ Cuenta no existe",IF(AND(OR(I3280="Transferencia",I3280="Pago tarjeta"),G3280=""),"⚠ Indica la cuenta «Hacia»",IF(AND(G3280&lt;&gt;"",G3280=E3280),"⚠ «Hacia» igual a la cuenta",IF(AND(G3280&lt;&gt;"",ISNA(MATCH(G3280,ctaNom,0))),"⚠ «Hacia» no existe",IF(AND(I3280="Pago tarjeta",IFERROR(INDEX(ctaTipo,MATCH(G3280,ctaNom,0)),"")&lt;&gt;"Tarjeta de crédito"),"⚠ «Hacia» debe ser la tarjeta",IF(AND(I3280="Trading",IFERROR(INDEX(ctaTipo,MATCH(E3280,ctaNom,0)),"")&lt;&gt;"Cuenta de trading"),"⚠ Usa la cuenta de trading","✓"))))))))))))</f>
        <v/>
      </c>
      <c r="I3280" s="19">
        <f>IF(OR(B3280="",C3280="",D3280=""),"",IFERROR(INDEX(catTipo,MATCH(D3280,catNom,0))&amp;"",""))</f>
        <v/>
      </c>
      <c r="J3280" s="19">
        <f>IF(I3280="","",IFERROR(INDEX(catGrupo,MATCH(D3280,catNom,0))&amp;"",""))</f>
        <v/>
      </c>
      <c r="K3280" s="19">
        <f>IF(I3280="Gasto",IF(IFERROR(INDEX(catClas,MATCH(D3280,catNom,0))&amp;"","")="","Variable",IFERROR(INDEX(catClas,MATCH(D3280,catNom,0))&amp;"","")),"")</f>
        <v/>
      </c>
      <c r="L3280" s="19">
        <f>IF(I3280="","",IFERROR(INDEX(catAlim,MATCH(D3280,catNom,0))&amp;"",""))</f>
        <v/>
      </c>
      <c r="M3280" s="19">
        <f>IF(I3280="","",IFERROR(INDEX(catComida,MATCH(D3280,catNom,0))&amp;"",""))</f>
        <v/>
      </c>
      <c r="N3280" s="19">
        <f>IF(I3280="","",IFERROR(INDEX(ctaMon,MATCH(E3280,ctaNom,0))&amp;"","DOP"))</f>
        <v/>
      </c>
      <c r="O3280" s="20">
        <f>IF(I3280="","",C3280*IF(N3280="USD",TasaUSD,1))</f>
        <v/>
      </c>
      <c r="P3280" s="20">
        <f>IF(I3280="","",IF(I3280="Gasto",O3280,0))</f>
        <v/>
      </c>
      <c r="Q3280" s="20">
        <f>IF(I3280="","",IF(I3280="Ingreso",O3280,0))</f>
        <v/>
      </c>
      <c r="R3280" s="20">
        <f>IF(I3280="","",IF(I3280="Trading",O3280,0))</f>
        <v/>
      </c>
      <c r="S3280" s="19">
        <f>IF(I3280="","",IF(AND(I3280="Gasto",K3280="Variable",J3280&lt;&gt;"Trading",O3280&gt;0,O3280&lt;=Umbral),1,0))</f>
        <v/>
      </c>
      <c r="T3280" s="20">
        <f>IF(OR(I3280="",E3280=""),"",IF(OR(I3280="Gasto",I3280="Transferencia",I3280="Pago tarjeta"),-1,1)*C3280)</f>
        <v/>
      </c>
      <c r="U3280" s="20">
        <f>IF(OR(G3280="",AND(I3280&lt;&gt;"Transferencia",I3280&lt;&gt;"Pago tarjeta")),"",IF(IFERROR(INDEX(ctaMon,MATCH(G3280,ctaNom,0))&amp;"","DOP")=N3280,C3280,IF(N3280="USD",C3280*TasaUSD,C3280/TasaUSD)))</f>
        <v/>
      </c>
      <c r="V3280" s="20">
        <f>IF(I3280="","",IF(IFERROR(INDEX(ctaLiq,MATCH(E3280,ctaNom,0))="Sí",FALSE),IF(OR(I3280="Gasto",I3280="Transferencia",I3280="Pago tarjeta"),-1,1)*O3280,0)+IF(AND(U3280&lt;&gt;"",IFERROR(INDEX(ctaLiq,MATCH(G3280,ctaNom,0))="Sí",FALSE)),O3280,0))</f>
        <v/>
      </c>
      <c r="W3280" s="19">
        <f>IF(OR(F3280="",I3280=""),"",IF(COUNTIFS(F$6:F3280,F3280,I$6:I3280,"?*")=1,MAX(W$5:W3279)+1,""))</f>
        <v/>
      </c>
    </row>
    <row r="3281">
      <c r="B3281" s="15" t="n"/>
      <c r="C3281" s="16" t="n"/>
      <c r="D3281" s="17" t="n"/>
      <c r="E3281" s="17" t="n"/>
      <c r="F3281" s="17" t="n"/>
      <c r="G3281" s="17" t="n"/>
      <c r="H3281" s="18">
        <f>IF(AND(B3281="",C3281="",D3281="",E3281=""),"",IF(B3281="","⚠ Falta fecha",IF(C3281="","⚠ Falta monto",IF(D3281="","⚠ Falta categoría",IF(ISNA(MATCH(D3281,catNom,0)),"⚠ Categoría no existe",IF(E3281="","⚠ Falta cuenta",IF(ISNA(MATCH(E3281,ctaNom,0)),"⚠ Cuenta no existe",IF(AND(OR(I3281="Transferencia",I3281="Pago tarjeta"),G3281=""),"⚠ Indica la cuenta «Hacia»",IF(AND(G3281&lt;&gt;"",G3281=E3281),"⚠ «Hacia» igual a la cuenta",IF(AND(G3281&lt;&gt;"",ISNA(MATCH(G3281,ctaNom,0))),"⚠ «Hacia» no existe",IF(AND(I3281="Pago tarjeta",IFERROR(INDEX(ctaTipo,MATCH(G3281,ctaNom,0)),"")&lt;&gt;"Tarjeta de crédito"),"⚠ «Hacia» debe ser la tarjeta",IF(AND(I3281="Trading",IFERROR(INDEX(ctaTipo,MATCH(E3281,ctaNom,0)),"")&lt;&gt;"Cuenta de trading"),"⚠ Usa la cuenta de trading","✓"))))))))))))</f>
        <v/>
      </c>
      <c r="I3281" s="19">
        <f>IF(OR(B3281="",C3281="",D3281=""),"",IFERROR(INDEX(catTipo,MATCH(D3281,catNom,0))&amp;"",""))</f>
        <v/>
      </c>
      <c r="J3281" s="19">
        <f>IF(I3281="","",IFERROR(INDEX(catGrupo,MATCH(D3281,catNom,0))&amp;"",""))</f>
        <v/>
      </c>
      <c r="K3281" s="19">
        <f>IF(I3281="Gasto",IF(IFERROR(INDEX(catClas,MATCH(D3281,catNom,0))&amp;"","")="","Variable",IFERROR(INDEX(catClas,MATCH(D3281,catNom,0))&amp;"","")),"")</f>
        <v/>
      </c>
      <c r="L3281" s="19">
        <f>IF(I3281="","",IFERROR(INDEX(catAlim,MATCH(D3281,catNom,0))&amp;"",""))</f>
        <v/>
      </c>
      <c r="M3281" s="19">
        <f>IF(I3281="","",IFERROR(INDEX(catComida,MATCH(D3281,catNom,0))&amp;"",""))</f>
        <v/>
      </c>
      <c r="N3281" s="19">
        <f>IF(I3281="","",IFERROR(INDEX(ctaMon,MATCH(E3281,ctaNom,0))&amp;"","DOP"))</f>
        <v/>
      </c>
      <c r="O3281" s="20">
        <f>IF(I3281="","",C3281*IF(N3281="USD",TasaUSD,1))</f>
        <v/>
      </c>
      <c r="P3281" s="20">
        <f>IF(I3281="","",IF(I3281="Gasto",O3281,0))</f>
        <v/>
      </c>
      <c r="Q3281" s="20">
        <f>IF(I3281="","",IF(I3281="Ingreso",O3281,0))</f>
        <v/>
      </c>
      <c r="R3281" s="20">
        <f>IF(I3281="","",IF(I3281="Trading",O3281,0))</f>
        <v/>
      </c>
      <c r="S3281" s="19">
        <f>IF(I3281="","",IF(AND(I3281="Gasto",K3281="Variable",J3281&lt;&gt;"Trading",O3281&gt;0,O3281&lt;=Umbral),1,0))</f>
        <v/>
      </c>
      <c r="T3281" s="20">
        <f>IF(OR(I3281="",E3281=""),"",IF(OR(I3281="Gasto",I3281="Transferencia",I3281="Pago tarjeta"),-1,1)*C3281)</f>
        <v/>
      </c>
      <c r="U3281" s="20">
        <f>IF(OR(G3281="",AND(I3281&lt;&gt;"Transferencia",I3281&lt;&gt;"Pago tarjeta")),"",IF(IFERROR(INDEX(ctaMon,MATCH(G3281,ctaNom,0))&amp;"","DOP")=N3281,C3281,IF(N3281="USD",C3281*TasaUSD,C3281/TasaUSD)))</f>
        <v/>
      </c>
      <c r="V3281" s="20">
        <f>IF(I3281="","",IF(IFERROR(INDEX(ctaLiq,MATCH(E3281,ctaNom,0))="Sí",FALSE),IF(OR(I3281="Gasto",I3281="Transferencia",I3281="Pago tarjeta"),-1,1)*O3281,0)+IF(AND(U3281&lt;&gt;"",IFERROR(INDEX(ctaLiq,MATCH(G3281,ctaNom,0))="Sí",FALSE)),O3281,0))</f>
        <v/>
      </c>
      <c r="W3281" s="19">
        <f>IF(OR(F3281="",I3281=""),"",IF(COUNTIFS(F$6:F3281,F3281,I$6:I3281,"?*")=1,MAX(W$5:W3280)+1,""))</f>
        <v/>
      </c>
    </row>
    <row r="3282">
      <c r="B3282" s="15" t="n"/>
      <c r="C3282" s="16" t="n"/>
      <c r="D3282" s="17" t="n"/>
      <c r="E3282" s="17" t="n"/>
      <c r="F3282" s="17" t="n"/>
      <c r="G3282" s="17" t="n"/>
      <c r="H3282" s="18">
        <f>IF(AND(B3282="",C3282="",D3282="",E3282=""),"",IF(B3282="","⚠ Falta fecha",IF(C3282="","⚠ Falta monto",IF(D3282="","⚠ Falta categoría",IF(ISNA(MATCH(D3282,catNom,0)),"⚠ Categoría no existe",IF(E3282="","⚠ Falta cuenta",IF(ISNA(MATCH(E3282,ctaNom,0)),"⚠ Cuenta no existe",IF(AND(OR(I3282="Transferencia",I3282="Pago tarjeta"),G3282=""),"⚠ Indica la cuenta «Hacia»",IF(AND(G3282&lt;&gt;"",G3282=E3282),"⚠ «Hacia» igual a la cuenta",IF(AND(G3282&lt;&gt;"",ISNA(MATCH(G3282,ctaNom,0))),"⚠ «Hacia» no existe",IF(AND(I3282="Pago tarjeta",IFERROR(INDEX(ctaTipo,MATCH(G3282,ctaNom,0)),"")&lt;&gt;"Tarjeta de crédito"),"⚠ «Hacia» debe ser la tarjeta",IF(AND(I3282="Trading",IFERROR(INDEX(ctaTipo,MATCH(E3282,ctaNom,0)),"")&lt;&gt;"Cuenta de trading"),"⚠ Usa la cuenta de trading","✓"))))))))))))</f>
        <v/>
      </c>
      <c r="I3282" s="19">
        <f>IF(OR(B3282="",C3282="",D3282=""),"",IFERROR(INDEX(catTipo,MATCH(D3282,catNom,0))&amp;"",""))</f>
        <v/>
      </c>
      <c r="J3282" s="19">
        <f>IF(I3282="","",IFERROR(INDEX(catGrupo,MATCH(D3282,catNom,0))&amp;"",""))</f>
        <v/>
      </c>
      <c r="K3282" s="19">
        <f>IF(I3282="Gasto",IF(IFERROR(INDEX(catClas,MATCH(D3282,catNom,0))&amp;"","")="","Variable",IFERROR(INDEX(catClas,MATCH(D3282,catNom,0))&amp;"","")),"")</f>
        <v/>
      </c>
      <c r="L3282" s="19">
        <f>IF(I3282="","",IFERROR(INDEX(catAlim,MATCH(D3282,catNom,0))&amp;"",""))</f>
        <v/>
      </c>
      <c r="M3282" s="19">
        <f>IF(I3282="","",IFERROR(INDEX(catComida,MATCH(D3282,catNom,0))&amp;"",""))</f>
        <v/>
      </c>
      <c r="N3282" s="19">
        <f>IF(I3282="","",IFERROR(INDEX(ctaMon,MATCH(E3282,ctaNom,0))&amp;"","DOP"))</f>
        <v/>
      </c>
      <c r="O3282" s="20">
        <f>IF(I3282="","",C3282*IF(N3282="USD",TasaUSD,1))</f>
        <v/>
      </c>
      <c r="P3282" s="20">
        <f>IF(I3282="","",IF(I3282="Gasto",O3282,0))</f>
        <v/>
      </c>
      <c r="Q3282" s="20">
        <f>IF(I3282="","",IF(I3282="Ingreso",O3282,0))</f>
        <v/>
      </c>
      <c r="R3282" s="20">
        <f>IF(I3282="","",IF(I3282="Trading",O3282,0))</f>
        <v/>
      </c>
      <c r="S3282" s="19">
        <f>IF(I3282="","",IF(AND(I3282="Gasto",K3282="Variable",J3282&lt;&gt;"Trading",O3282&gt;0,O3282&lt;=Umbral),1,0))</f>
        <v/>
      </c>
      <c r="T3282" s="20">
        <f>IF(OR(I3282="",E3282=""),"",IF(OR(I3282="Gasto",I3282="Transferencia",I3282="Pago tarjeta"),-1,1)*C3282)</f>
        <v/>
      </c>
      <c r="U3282" s="20">
        <f>IF(OR(G3282="",AND(I3282&lt;&gt;"Transferencia",I3282&lt;&gt;"Pago tarjeta")),"",IF(IFERROR(INDEX(ctaMon,MATCH(G3282,ctaNom,0))&amp;"","DOP")=N3282,C3282,IF(N3282="USD",C3282*TasaUSD,C3282/TasaUSD)))</f>
        <v/>
      </c>
      <c r="V3282" s="20">
        <f>IF(I3282="","",IF(IFERROR(INDEX(ctaLiq,MATCH(E3282,ctaNom,0))="Sí",FALSE),IF(OR(I3282="Gasto",I3282="Transferencia",I3282="Pago tarjeta"),-1,1)*O3282,0)+IF(AND(U3282&lt;&gt;"",IFERROR(INDEX(ctaLiq,MATCH(G3282,ctaNom,0))="Sí",FALSE)),O3282,0))</f>
        <v/>
      </c>
      <c r="W3282" s="19">
        <f>IF(OR(F3282="",I3282=""),"",IF(COUNTIFS(F$6:F3282,F3282,I$6:I3282,"?*")=1,MAX(W$5:W3281)+1,""))</f>
        <v/>
      </c>
    </row>
    <row r="3283">
      <c r="B3283" s="15" t="n"/>
      <c r="C3283" s="16" t="n"/>
      <c r="D3283" s="17" t="n"/>
      <c r="E3283" s="17" t="n"/>
      <c r="F3283" s="17" t="n"/>
      <c r="G3283" s="17" t="n"/>
      <c r="H3283" s="18">
        <f>IF(AND(B3283="",C3283="",D3283="",E3283=""),"",IF(B3283="","⚠ Falta fecha",IF(C3283="","⚠ Falta monto",IF(D3283="","⚠ Falta categoría",IF(ISNA(MATCH(D3283,catNom,0)),"⚠ Categoría no existe",IF(E3283="","⚠ Falta cuenta",IF(ISNA(MATCH(E3283,ctaNom,0)),"⚠ Cuenta no existe",IF(AND(OR(I3283="Transferencia",I3283="Pago tarjeta"),G3283=""),"⚠ Indica la cuenta «Hacia»",IF(AND(G3283&lt;&gt;"",G3283=E3283),"⚠ «Hacia» igual a la cuenta",IF(AND(G3283&lt;&gt;"",ISNA(MATCH(G3283,ctaNom,0))),"⚠ «Hacia» no existe",IF(AND(I3283="Pago tarjeta",IFERROR(INDEX(ctaTipo,MATCH(G3283,ctaNom,0)),"")&lt;&gt;"Tarjeta de crédito"),"⚠ «Hacia» debe ser la tarjeta",IF(AND(I3283="Trading",IFERROR(INDEX(ctaTipo,MATCH(E3283,ctaNom,0)),"")&lt;&gt;"Cuenta de trading"),"⚠ Usa la cuenta de trading","✓"))))))))))))</f>
        <v/>
      </c>
      <c r="I3283" s="19">
        <f>IF(OR(B3283="",C3283="",D3283=""),"",IFERROR(INDEX(catTipo,MATCH(D3283,catNom,0))&amp;"",""))</f>
        <v/>
      </c>
      <c r="J3283" s="19">
        <f>IF(I3283="","",IFERROR(INDEX(catGrupo,MATCH(D3283,catNom,0))&amp;"",""))</f>
        <v/>
      </c>
      <c r="K3283" s="19">
        <f>IF(I3283="Gasto",IF(IFERROR(INDEX(catClas,MATCH(D3283,catNom,0))&amp;"","")="","Variable",IFERROR(INDEX(catClas,MATCH(D3283,catNom,0))&amp;"","")),"")</f>
        <v/>
      </c>
      <c r="L3283" s="19">
        <f>IF(I3283="","",IFERROR(INDEX(catAlim,MATCH(D3283,catNom,0))&amp;"",""))</f>
        <v/>
      </c>
      <c r="M3283" s="19">
        <f>IF(I3283="","",IFERROR(INDEX(catComida,MATCH(D3283,catNom,0))&amp;"",""))</f>
        <v/>
      </c>
      <c r="N3283" s="19">
        <f>IF(I3283="","",IFERROR(INDEX(ctaMon,MATCH(E3283,ctaNom,0))&amp;"","DOP"))</f>
        <v/>
      </c>
      <c r="O3283" s="20">
        <f>IF(I3283="","",C3283*IF(N3283="USD",TasaUSD,1))</f>
        <v/>
      </c>
      <c r="P3283" s="20">
        <f>IF(I3283="","",IF(I3283="Gasto",O3283,0))</f>
        <v/>
      </c>
      <c r="Q3283" s="20">
        <f>IF(I3283="","",IF(I3283="Ingreso",O3283,0))</f>
        <v/>
      </c>
      <c r="R3283" s="20">
        <f>IF(I3283="","",IF(I3283="Trading",O3283,0))</f>
        <v/>
      </c>
      <c r="S3283" s="19">
        <f>IF(I3283="","",IF(AND(I3283="Gasto",K3283="Variable",J3283&lt;&gt;"Trading",O3283&gt;0,O3283&lt;=Umbral),1,0))</f>
        <v/>
      </c>
      <c r="T3283" s="20">
        <f>IF(OR(I3283="",E3283=""),"",IF(OR(I3283="Gasto",I3283="Transferencia",I3283="Pago tarjeta"),-1,1)*C3283)</f>
        <v/>
      </c>
      <c r="U3283" s="20">
        <f>IF(OR(G3283="",AND(I3283&lt;&gt;"Transferencia",I3283&lt;&gt;"Pago tarjeta")),"",IF(IFERROR(INDEX(ctaMon,MATCH(G3283,ctaNom,0))&amp;"","DOP")=N3283,C3283,IF(N3283="USD",C3283*TasaUSD,C3283/TasaUSD)))</f>
        <v/>
      </c>
      <c r="V3283" s="20">
        <f>IF(I3283="","",IF(IFERROR(INDEX(ctaLiq,MATCH(E3283,ctaNom,0))="Sí",FALSE),IF(OR(I3283="Gasto",I3283="Transferencia",I3283="Pago tarjeta"),-1,1)*O3283,0)+IF(AND(U3283&lt;&gt;"",IFERROR(INDEX(ctaLiq,MATCH(G3283,ctaNom,0))="Sí",FALSE)),O3283,0))</f>
        <v/>
      </c>
      <c r="W3283" s="19">
        <f>IF(OR(F3283="",I3283=""),"",IF(COUNTIFS(F$6:F3283,F3283,I$6:I3283,"?*")=1,MAX(W$5:W3282)+1,""))</f>
        <v/>
      </c>
    </row>
    <row r="3284">
      <c r="B3284" s="15" t="n"/>
      <c r="C3284" s="16" t="n"/>
      <c r="D3284" s="17" t="n"/>
      <c r="E3284" s="17" t="n"/>
      <c r="F3284" s="17" t="n"/>
      <c r="G3284" s="17" t="n"/>
      <c r="H3284" s="18">
        <f>IF(AND(B3284="",C3284="",D3284="",E3284=""),"",IF(B3284="","⚠ Falta fecha",IF(C3284="","⚠ Falta monto",IF(D3284="","⚠ Falta categoría",IF(ISNA(MATCH(D3284,catNom,0)),"⚠ Categoría no existe",IF(E3284="","⚠ Falta cuenta",IF(ISNA(MATCH(E3284,ctaNom,0)),"⚠ Cuenta no existe",IF(AND(OR(I3284="Transferencia",I3284="Pago tarjeta"),G3284=""),"⚠ Indica la cuenta «Hacia»",IF(AND(G3284&lt;&gt;"",G3284=E3284),"⚠ «Hacia» igual a la cuenta",IF(AND(G3284&lt;&gt;"",ISNA(MATCH(G3284,ctaNom,0))),"⚠ «Hacia» no existe",IF(AND(I3284="Pago tarjeta",IFERROR(INDEX(ctaTipo,MATCH(G3284,ctaNom,0)),"")&lt;&gt;"Tarjeta de crédito"),"⚠ «Hacia» debe ser la tarjeta",IF(AND(I3284="Trading",IFERROR(INDEX(ctaTipo,MATCH(E3284,ctaNom,0)),"")&lt;&gt;"Cuenta de trading"),"⚠ Usa la cuenta de trading","✓"))))))))))))</f>
        <v/>
      </c>
      <c r="I3284" s="19">
        <f>IF(OR(B3284="",C3284="",D3284=""),"",IFERROR(INDEX(catTipo,MATCH(D3284,catNom,0))&amp;"",""))</f>
        <v/>
      </c>
      <c r="J3284" s="19">
        <f>IF(I3284="","",IFERROR(INDEX(catGrupo,MATCH(D3284,catNom,0))&amp;"",""))</f>
        <v/>
      </c>
      <c r="K3284" s="19">
        <f>IF(I3284="Gasto",IF(IFERROR(INDEX(catClas,MATCH(D3284,catNom,0))&amp;"","")="","Variable",IFERROR(INDEX(catClas,MATCH(D3284,catNom,0))&amp;"","")),"")</f>
        <v/>
      </c>
      <c r="L3284" s="19">
        <f>IF(I3284="","",IFERROR(INDEX(catAlim,MATCH(D3284,catNom,0))&amp;"",""))</f>
        <v/>
      </c>
      <c r="M3284" s="19">
        <f>IF(I3284="","",IFERROR(INDEX(catComida,MATCH(D3284,catNom,0))&amp;"",""))</f>
        <v/>
      </c>
      <c r="N3284" s="19">
        <f>IF(I3284="","",IFERROR(INDEX(ctaMon,MATCH(E3284,ctaNom,0))&amp;"","DOP"))</f>
        <v/>
      </c>
      <c r="O3284" s="20">
        <f>IF(I3284="","",C3284*IF(N3284="USD",TasaUSD,1))</f>
        <v/>
      </c>
      <c r="P3284" s="20">
        <f>IF(I3284="","",IF(I3284="Gasto",O3284,0))</f>
        <v/>
      </c>
      <c r="Q3284" s="20">
        <f>IF(I3284="","",IF(I3284="Ingreso",O3284,0))</f>
        <v/>
      </c>
      <c r="R3284" s="20">
        <f>IF(I3284="","",IF(I3284="Trading",O3284,0))</f>
        <v/>
      </c>
      <c r="S3284" s="19">
        <f>IF(I3284="","",IF(AND(I3284="Gasto",K3284="Variable",J3284&lt;&gt;"Trading",O3284&gt;0,O3284&lt;=Umbral),1,0))</f>
        <v/>
      </c>
      <c r="T3284" s="20">
        <f>IF(OR(I3284="",E3284=""),"",IF(OR(I3284="Gasto",I3284="Transferencia",I3284="Pago tarjeta"),-1,1)*C3284)</f>
        <v/>
      </c>
      <c r="U3284" s="20">
        <f>IF(OR(G3284="",AND(I3284&lt;&gt;"Transferencia",I3284&lt;&gt;"Pago tarjeta")),"",IF(IFERROR(INDEX(ctaMon,MATCH(G3284,ctaNom,0))&amp;"","DOP")=N3284,C3284,IF(N3284="USD",C3284*TasaUSD,C3284/TasaUSD)))</f>
        <v/>
      </c>
      <c r="V3284" s="20">
        <f>IF(I3284="","",IF(IFERROR(INDEX(ctaLiq,MATCH(E3284,ctaNom,0))="Sí",FALSE),IF(OR(I3284="Gasto",I3284="Transferencia",I3284="Pago tarjeta"),-1,1)*O3284,0)+IF(AND(U3284&lt;&gt;"",IFERROR(INDEX(ctaLiq,MATCH(G3284,ctaNom,0))="Sí",FALSE)),O3284,0))</f>
        <v/>
      </c>
      <c r="W3284" s="19">
        <f>IF(OR(F3284="",I3284=""),"",IF(COUNTIFS(F$6:F3284,F3284,I$6:I3284,"?*")=1,MAX(W$5:W3283)+1,""))</f>
        <v/>
      </c>
    </row>
    <row r="3285">
      <c r="B3285" s="15" t="n"/>
      <c r="C3285" s="16" t="n"/>
      <c r="D3285" s="17" t="n"/>
      <c r="E3285" s="17" t="n"/>
      <c r="F3285" s="17" t="n"/>
      <c r="G3285" s="17" t="n"/>
      <c r="H3285" s="18">
        <f>IF(AND(B3285="",C3285="",D3285="",E3285=""),"",IF(B3285="","⚠ Falta fecha",IF(C3285="","⚠ Falta monto",IF(D3285="","⚠ Falta categoría",IF(ISNA(MATCH(D3285,catNom,0)),"⚠ Categoría no existe",IF(E3285="","⚠ Falta cuenta",IF(ISNA(MATCH(E3285,ctaNom,0)),"⚠ Cuenta no existe",IF(AND(OR(I3285="Transferencia",I3285="Pago tarjeta"),G3285=""),"⚠ Indica la cuenta «Hacia»",IF(AND(G3285&lt;&gt;"",G3285=E3285),"⚠ «Hacia» igual a la cuenta",IF(AND(G3285&lt;&gt;"",ISNA(MATCH(G3285,ctaNom,0))),"⚠ «Hacia» no existe",IF(AND(I3285="Pago tarjeta",IFERROR(INDEX(ctaTipo,MATCH(G3285,ctaNom,0)),"")&lt;&gt;"Tarjeta de crédito"),"⚠ «Hacia» debe ser la tarjeta",IF(AND(I3285="Trading",IFERROR(INDEX(ctaTipo,MATCH(E3285,ctaNom,0)),"")&lt;&gt;"Cuenta de trading"),"⚠ Usa la cuenta de trading","✓"))))))))))))</f>
        <v/>
      </c>
      <c r="I3285" s="19">
        <f>IF(OR(B3285="",C3285="",D3285=""),"",IFERROR(INDEX(catTipo,MATCH(D3285,catNom,0))&amp;"",""))</f>
        <v/>
      </c>
      <c r="J3285" s="19">
        <f>IF(I3285="","",IFERROR(INDEX(catGrupo,MATCH(D3285,catNom,0))&amp;"",""))</f>
        <v/>
      </c>
      <c r="K3285" s="19">
        <f>IF(I3285="Gasto",IF(IFERROR(INDEX(catClas,MATCH(D3285,catNom,0))&amp;"","")="","Variable",IFERROR(INDEX(catClas,MATCH(D3285,catNom,0))&amp;"","")),"")</f>
        <v/>
      </c>
      <c r="L3285" s="19">
        <f>IF(I3285="","",IFERROR(INDEX(catAlim,MATCH(D3285,catNom,0))&amp;"",""))</f>
        <v/>
      </c>
      <c r="M3285" s="19">
        <f>IF(I3285="","",IFERROR(INDEX(catComida,MATCH(D3285,catNom,0))&amp;"",""))</f>
        <v/>
      </c>
      <c r="N3285" s="19">
        <f>IF(I3285="","",IFERROR(INDEX(ctaMon,MATCH(E3285,ctaNom,0))&amp;"","DOP"))</f>
        <v/>
      </c>
      <c r="O3285" s="20">
        <f>IF(I3285="","",C3285*IF(N3285="USD",TasaUSD,1))</f>
        <v/>
      </c>
      <c r="P3285" s="20">
        <f>IF(I3285="","",IF(I3285="Gasto",O3285,0))</f>
        <v/>
      </c>
      <c r="Q3285" s="20">
        <f>IF(I3285="","",IF(I3285="Ingreso",O3285,0))</f>
        <v/>
      </c>
      <c r="R3285" s="20">
        <f>IF(I3285="","",IF(I3285="Trading",O3285,0))</f>
        <v/>
      </c>
      <c r="S3285" s="19">
        <f>IF(I3285="","",IF(AND(I3285="Gasto",K3285="Variable",J3285&lt;&gt;"Trading",O3285&gt;0,O3285&lt;=Umbral),1,0))</f>
        <v/>
      </c>
      <c r="T3285" s="20">
        <f>IF(OR(I3285="",E3285=""),"",IF(OR(I3285="Gasto",I3285="Transferencia",I3285="Pago tarjeta"),-1,1)*C3285)</f>
        <v/>
      </c>
      <c r="U3285" s="20">
        <f>IF(OR(G3285="",AND(I3285&lt;&gt;"Transferencia",I3285&lt;&gt;"Pago tarjeta")),"",IF(IFERROR(INDEX(ctaMon,MATCH(G3285,ctaNom,0))&amp;"","DOP")=N3285,C3285,IF(N3285="USD",C3285*TasaUSD,C3285/TasaUSD)))</f>
        <v/>
      </c>
      <c r="V3285" s="20">
        <f>IF(I3285="","",IF(IFERROR(INDEX(ctaLiq,MATCH(E3285,ctaNom,0))="Sí",FALSE),IF(OR(I3285="Gasto",I3285="Transferencia",I3285="Pago tarjeta"),-1,1)*O3285,0)+IF(AND(U3285&lt;&gt;"",IFERROR(INDEX(ctaLiq,MATCH(G3285,ctaNom,0))="Sí",FALSE)),O3285,0))</f>
        <v/>
      </c>
      <c r="W3285" s="19">
        <f>IF(OR(F3285="",I3285=""),"",IF(COUNTIFS(F$6:F3285,F3285,I$6:I3285,"?*")=1,MAX(W$5:W3284)+1,""))</f>
        <v/>
      </c>
    </row>
    <row r="3286">
      <c r="B3286" s="15" t="n"/>
      <c r="C3286" s="16" t="n"/>
      <c r="D3286" s="17" t="n"/>
      <c r="E3286" s="17" t="n"/>
      <c r="F3286" s="17" t="n"/>
      <c r="G3286" s="17" t="n"/>
      <c r="H3286" s="18">
        <f>IF(AND(B3286="",C3286="",D3286="",E3286=""),"",IF(B3286="","⚠ Falta fecha",IF(C3286="","⚠ Falta monto",IF(D3286="","⚠ Falta categoría",IF(ISNA(MATCH(D3286,catNom,0)),"⚠ Categoría no existe",IF(E3286="","⚠ Falta cuenta",IF(ISNA(MATCH(E3286,ctaNom,0)),"⚠ Cuenta no existe",IF(AND(OR(I3286="Transferencia",I3286="Pago tarjeta"),G3286=""),"⚠ Indica la cuenta «Hacia»",IF(AND(G3286&lt;&gt;"",G3286=E3286),"⚠ «Hacia» igual a la cuenta",IF(AND(G3286&lt;&gt;"",ISNA(MATCH(G3286,ctaNom,0))),"⚠ «Hacia» no existe",IF(AND(I3286="Pago tarjeta",IFERROR(INDEX(ctaTipo,MATCH(G3286,ctaNom,0)),"")&lt;&gt;"Tarjeta de crédito"),"⚠ «Hacia» debe ser la tarjeta",IF(AND(I3286="Trading",IFERROR(INDEX(ctaTipo,MATCH(E3286,ctaNom,0)),"")&lt;&gt;"Cuenta de trading"),"⚠ Usa la cuenta de trading","✓"))))))))))))</f>
        <v/>
      </c>
      <c r="I3286" s="19">
        <f>IF(OR(B3286="",C3286="",D3286=""),"",IFERROR(INDEX(catTipo,MATCH(D3286,catNom,0))&amp;"",""))</f>
        <v/>
      </c>
      <c r="J3286" s="19">
        <f>IF(I3286="","",IFERROR(INDEX(catGrupo,MATCH(D3286,catNom,0))&amp;"",""))</f>
        <v/>
      </c>
      <c r="K3286" s="19">
        <f>IF(I3286="Gasto",IF(IFERROR(INDEX(catClas,MATCH(D3286,catNom,0))&amp;"","")="","Variable",IFERROR(INDEX(catClas,MATCH(D3286,catNom,0))&amp;"","")),"")</f>
        <v/>
      </c>
      <c r="L3286" s="19">
        <f>IF(I3286="","",IFERROR(INDEX(catAlim,MATCH(D3286,catNom,0))&amp;"",""))</f>
        <v/>
      </c>
      <c r="M3286" s="19">
        <f>IF(I3286="","",IFERROR(INDEX(catComida,MATCH(D3286,catNom,0))&amp;"",""))</f>
        <v/>
      </c>
      <c r="N3286" s="19">
        <f>IF(I3286="","",IFERROR(INDEX(ctaMon,MATCH(E3286,ctaNom,0))&amp;"","DOP"))</f>
        <v/>
      </c>
      <c r="O3286" s="20">
        <f>IF(I3286="","",C3286*IF(N3286="USD",TasaUSD,1))</f>
        <v/>
      </c>
      <c r="P3286" s="20">
        <f>IF(I3286="","",IF(I3286="Gasto",O3286,0))</f>
        <v/>
      </c>
      <c r="Q3286" s="20">
        <f>IF(I3286="","",IF(I3286="Ingreso",O3286,0))</f>
        <v/>
      </c>
      <c r="R3286" s="20">
        <f>IF(I3286="","",IF(I3286="Trading",O3286,0))</f>
        <v/>
      </c>
      <c r="S3286" s="19">
        <f>IF(I3286="","",IF(AND(I3286="Gasto",K3286="Variable",J3286&lt;&gt;"Trading",O3286&gt;0,O3286&lt;=Umbral),1,0))</f>
        <v/>
      </c>
      <c r="T3286" s="20">
        <f>IF(OR(I3286="",E3286=""),"",IF(OR(I3286="Gasto",I3286="Transferencia",I3286="Pago tarjeta"),-1,1)*C3286)</f>
        <v/>
      </c>
      <c r="U3286" s="20">
        <f>IF(OR(G3286="",AND(I3286&lt;&gt;"Transferencia",I3286&lt;&gt;"Pago tarjeta")),"",IF(IFERROR(INDEX(ctaMon,MATCH(G3286,ctaNom,0))&amp;"","DOP")=N3286,C3286,IF(N3286="USD",C3286*TasaUSD,C3286/TasaUSD)))</f>
        <v/>
      </c>
      <c r="V3286" s="20">
        <f>IF(I3286="","",IF(IFERROR(INDEX(ctaLiq,MATCH(E3286,ctaNom,0))="Sí",FALSE),IF(OR(I3286="Gasto",I3286="Transferencia",I3286="Pago tarjeta"),-1,1)*O3286,0)+IF(AND(U3286&lt;&gt;"",IFERROR(INDEX(ctaLiq,MATCH(G3286,ctaNom,0))="Sí",FALSE)),O3286,0))</f>
        <v/>
      </c>
      <c r="W3286" s="19">
        <f>IF(OR(F3286="",I3286=""),"",IF(COUNTIFS(F$6:F3286,F3286,I$6:I3286,"?*")=1,MAX(W$5:W3285)+1,""))</f>
        <v/>
      </c>
    </row>
    <row r="3287">
      <c r="B3287" s="15" t="n"/>
      <c r="C3287" s="16" t="n"/>
      <c r="D3287" s="17" t="n"/>
      <c r="E3287" s="17" t="n"/>
      <c r="F3287" s="17" t="n"/>
      <c r="G3287" s="17" t="n"/>
      <c r="H3287" s="18">
        <f>IF(AND(B3287="",C3287="",D3287="",E3287=""),"",IF(B3287="","⚠ Falta fecha",IF(C3287="","⚠ Falta monto",IF(D3287="","⚠ Falta categoría",IF(ISNA(MATCH(D3287,catNom,0)),"⚠ Categoría no existe",IF(E3287="","⚠ Falta cuenta",IF(ISNA(MATCH(E3287,ctaNom,0)),"⚠ Cuenta no existe",IF(AND(OR(I3287="Transferencia",I3287="Pago tarjeta"),G3287=""),"⚠ Indica la cuenta «Hacia»",IF(AND(G3287&lt;&gt;"",G3287=E3287),"⚠ «Hacia» igual a la cuenta",IF(AND(G3287&lt;&gt;"",ISNA(MATCH(G3287,ctaNom,0))),"⚠ «Hacia» no existe",IF(AND(I3287="Pago tarjeta",IFERROR(INDEX(ctaTipo,MATCH(G3287,ctaNom,0)),"")&lt;&gt;"Tarjeta de crédito"),"⚠ «Hacia» debe ser la tarjeta",IF(AND(I3287="Trading",IFERROR(INDEX(ctaTipo,MATCH(E3287,ctaNom,0)),"")&lt;&gt;"Cuenta de trading"),"⚠ Usa la cuenta de trading","✓"))))))))))))</f>
        <v/>
      </c>
      <c r="I3287" s="19">
        <f>IF(OR(B3287="",C3287="",D3287=""),"",IFERROR(INDEX(catTipo,MATCH(D3287,catNom,0))&amp;"",""))</f>
        <v/>
      </c>
      <c r="J3287" s="19">
        <f>IF(I3287="","",IFERROR(INDEX(catGrupo,MATCH(D3287,catNom,0))&amp;"",""))</f>
        <v/>
      </c>
      <c r="K3287" s="19">
        <f>IF(I3287="Gasto",IF(IFERROR(INDEX(catClas,MATCH(D3287,catNom,0))&amp;"","")="","Variable",IFERROR(INDEX(catClas,MATCH(D3287,catNom,0))&amp;"","")),"")</f>
        <v/>
      </c>
      <c r="L3287" s="19">
        <f>IF(I3287="","",IFERROR(INDEX(catAlim,MATCH(D3287,catNom,0))&amp;"",""))</f>
        <v/>
      </c>
      <c r="M3287" s="19">
        <f>IF(I3287="","",IFERROR(INDEX(catComida,MATCH(D3287,catNom,0))&amp;"",""))</f>
        <v/>
      </c>
      <c r="N3287" s="19">
        <f>IF(I3287="","",IFERROR(INDEX(ctaMon,MATCH(E3287,ctaNom,0))&amp;"","DOP"))</f>
        <v/>
      </c>
      <c r="O3287" s="20">
        <f>IF(I3287="","",C3287*IF(N3287="USD",TasaUSD,1))</f>
        <v/>
      </c>
      <c r="P3287" s="20">
        <f>IF(I3287="","",IF(I3287="Gasto",O3287,0))</f>
        <v/>
      </c>
      <c r="Q3287" s="20">
        <f>IF(I3287="","",IF(I3287="Ingreso",O3287,0))</f>
        <v/>
      </c>
      <c r="R3287" s="20">
        <f>IF(I3287="","",IF(I3287="Trading",O3287,0))</f>
        <v/>
      </c>
      <c r="S3287" s="19">
        <f>IF(I3287="","",IF(AND(I3287="Gasto",K3287="Variable",J3287&lt;&gt;"Trading",O3287&gt;0,O3287&lt;=Umbral),1,0))</f>
        <v/>
      </c>
      <c r="T3287" s="20">
        <f>IF(OR(I3287="",E3287=""),"",IF(OR(I3287="Gasto",I3287="Transferencia",I3287="Pago tarjeta"),-1,1)*C3287)</f>
        <v/>
      </c>
      <c r="U3287" s="20">
        <f>IF(OR(G3287="",AND(I3287&lt;&gt;"Transferencia",I3287&lt;&gt;"Pago tarjeta")),"",IF(IFERROR(INDEX(ctaMon,MATCH(G3287,ctaNom,0))&amp;"","DOP")=N3287,C3287,IF(N3287="USD",C3287*TasaUSD,C3287/TasaUSD)))</f>
        <v/>
      </c>
      <c r="V3287" s="20">
        <f>IF(I3287="","",IF(IFERROR(INDEX(ctaLiq,MATCH(E3287,ctaNom,0))="Sí",FALSE),IF(OR(I3287="Gasto",I3287="Transferencia",I3287="Pago tarjeta"),-1,1)*O3287,0)+IF(AND(U3287&lt;&gt;"",IFERROR(INDEX(ctaLiq,MATCH(G3287,ctaNom,0))="Sí",FALSE)),O3287,0))</f>
        <v/>
      </c>
      <c r="W3287" s="19">
        <f>IF(OR(F3287="",I3287=""),"",IF(COUNTIFS(F$6:F3287,F3287,I$6:I3287,"?*")=1,MAX(W$5:W3286)+1,""))</f>
        <v/>
      </c>
    </row>
    <row r="3288">
      <c r="B3288" s="15" t="n"/>
      <c r="C3288" s="16" t="n"/>
      <c r="D3288" s="17" t="n"/>
      <c r="E3288" s="17" t="n"/>
      <c r="F3288" s="17" t="n"/>
      <c r="G3288" s="17" t="n"/>
      <c r="H3288" s="18">
        <f>IF(AND(B3288="",C3288="",D3288="",E3288=""),"",IF(B3288="","⚠ Falta fecha",IF(C3288="","⚠ Falta monto",IF(D3288="","⚠ Falta categoría",IF(ISNA(MATCH(D3288,catNom,0)),"⚠ Categoría no existe",IF(E3288="","⚠ Falta cuenta",IF(ISNA(MATCH(E3288,ctaNom,0)),"⚠ Cuenta no existe",IF(AND(OR(I3288="Transferencia",I3288="Pago tarjeta"),G3288=""),"⚠ Indica la cuenta «Hacia»",IF(AND(G3288&lt;&gt;"",G3288=E3288),"⚠ «Hacia» igual a la cuenta",IF(AND(G3288&lt;&gt;"",ISNA(MATCH(G3288,ctaNom,0))),"⚠ «Hacia» no existe",IF(AND(I3288="Pago tarjeta",IFERROR(INDEX(ctaTipo,MATCH(G3288,ctaNom,0)),"")&lt;&gt;"Tarjeta de crédito"),"⚠ «Hacia» debe ser la tarjeta",IF(AND(I3288="Trading",IFERROR(INDEX(ctaTipo,MATCH(E3288,ctaNom,0)),"")&lt;&gt;"Cuenta de trading"),"⚠ Usa la cuenta de trading","✓"))))))))))))</f>
        <v/>
      </c>
      <c r="I3288" s="19">
        <f>IF(OR(B3288="",C3288="",D3288=""),"",IFERROR(INDEX(catTipo,MATCH(D3288,catNom,0))&amp;"",""))</f>
        <v/>
      </c>
      <c r="J3288" s="19">
        <f>IF(I3288="","",IFERROR(INDEX(catGrupo,MATCH(D3288,catNom,0))&amp;"",""))</f>
        <v/>
      </c>
      <c r="K3288" s="19">
        <f>IF(I3288="Gasto",IF(IFERROR(INDEX(catClas,MATCH(D3288,catNom,0))&amp;"","")="","Variable",IFERROR(INDEX(catClas,MATCH(D3288,catNom,0))&amp;"","")),"")</f>
        <v/>
      </c>
      <c r="L3288" s="19">
        <f>IF(I3288="","",IFERROR(INDEX(catAlim,MATCH(D3288,catNom,0))&amp;"",""))</f>
        <v/>
      </c>
      <c r="M3288" s="19">
        <f>IF(I3288="","",IFERROR(INDEX(catComida,MATCH(D3288,catNom,0))&amp;"",""))</f>
        <v/>
      </c>
      <c r="N3288" s="19">
        <f>IF(I3288="","",IFERROR(INDEX(ctaMon,MATCH(E3288,ctaNom,0))&amp;"","DOP"))</f>
        <v/>
      </c>
      <c r="O3288" s="20">
        <f>IF(I3288="","",C3288*IF(N3288="USD",TasaUSD,1))</f>
        <v/>
      </c>
      <c r="P3288" s="20">
        <f>IF(I3288="","",IF(I3288="Gasto",O3288,0))</f>
        <v/>
      </c>
      <c r="Q3288" s="20">
        <f>IF(I3288="","",IF(I3288="Ingreso",O3288,0))</f>
        <v/>
      </c>
      <c r="R3288" s="20">
        <f>IF(I3288="","",IF(I3288="Trading",O3288,0))</f>
        <v/>
      </c>
      <c r="S3288" s="19">
        <f>IF(I3288="","",IF(AND(I3288="Gasto",K3288="Variable",J3288&lt;&gt;"Trading",O3288&gt;0,O3288&lt;=Umbral),1,0))</f>
        <v/>
      </c>
      <c r="T3288" s="20">
        <f>IF(OR(I3288="",E3288=""),"",IF(OR(I3288="Gasto",I3288="Transferencia",I3288="Pago tarjeta"),-1,1)*C3288)</f>
        <v/>
      </c>
      <c r="U3288" s="20">
        <f>IF(OR(G3288="",AND(I3288&lt;&gt;"Transferencia",I3288&lt;&gt;"Pago tarjeta")),"",IF(IFERROR(INDEX(ctaMon,MATCH(G3288,ctaNom,0))&amp;"","DOP")=N3288,C3288,IF(N3288="USD",C3288*TasaUSD,C3288/TasaUSD)))</f>
        <v/>
      </c>
      <c r="V3288" s="20">
        <f>IF(I3288="","",IF(IFERROR(INDEX(ctaLiq,MATCH(E3288,ctaNom,0))="Sí",FALSE),IF(OR(I3288="Gasto",I3288="Transferencia",I3288="Pago tarjeta"),-1,1)*O3288,0)+IF(AND(U3288&lt;&gt;"",IFERROR(INDEX(ctaLiq,MATCH(G3288,ctaNom,0))="Sí",FALSE)),O3288,0))</f>
        <v/>
      </c>
      <c r="W3288" s="19">
        <f>IF(OR(F3288="",I3288=""),"",IF(COUNTIFS(F$6:F3288,F3288,I$6:I3288,"?*")=1,MAX(W$5:W3287)+1,""))</f>
        <v/>
      </c>
    </row>
    <row r="3289">
      <c r="B3289" s="15" t="n"/>
      <c r="C3289" s="16" t="n"/>
      <c r="D3289" s="17" t="n"/>
      <c r="E3289" s="17" t="n"/>
      <c r="F3289" s="17" t="n"/>
      <c r="G3289" s="17" t="n"/>
      <c r="H3289" s="18">
        <f>IF(AND(B3289="",C3289="",D3289="",E3289=""),"",IF(B3289="","⚠ Falta fecha",IF(C3289="","⚠ Falta monto",IF(D3289="","⚠ Falta categoría",IF(ISNA(MATCH(D3289,catNom,0)),"⚠ Categoría no existe",IF(E3289="","⚠ Falta cuenta",IF(ISNA(MATCH(E3289,ctaNom,0)),"⚠ Cuenta no existe",IF(AND(OR(I3289="Transferencia",I3289="Pago tarjeta"),G3289=""),"⚠ Indica la cuenta «Hacia»",IF(AND(G3289&lt;&gt;"",G3289=E3289),"⚠ «Hacia» igual a la cuenta",IF(AND(G3289&lt;&gt;"",ISNA(MATCH(G3289,ctaNom,0))),"⚠ «Hacia» no existe",IF(AND(I3289="Pago tarjeta",IFERROR(INDEX(ctaTipo,MATCH(G3289,ctaNom,0)),"")&lt;&gt;"Tarjeta de crédito"),"⚠ «Hacia» debe ser la tarjeta",IF(AND(I3289="Trading",IFERROR(INDEX(ctaTipo,MATCH(E3289,ctaNom,0)),"")&lt;&gt;"Cuenta de trading"),"⚠ Usa la cuenta de trading","✓"))))))))))))</f>
        <v/>
      </c>
      <c r="I3289" s="19">
        <f>IF(OR(B3289="",C3289="",D3289=""),"",IFERROR(INDEX(catTipo,MATCH(D3289,catNom,0))&amp;"",""))</f>
        <v/>
      </c>
      <c r="J3289" s="19">
        <f>IF(I3289="","",IFERROR(INDEX(catGrupo,MATCH(D3289,catNom,0))&amp;"",""))</f>
        <v/>
      </c>
      <c r="K3289" s="19">
        <f>IF(I3289="Gasto",IF(IFERROR(INDEX(catClas,MATCH(D3289,catNom,0))&amp;"","")="","Variable",IFERROR(INDEX(catClas,MATCH(D3289,catNom,0))&amp;"","")),"")</f>
        <v/>
      </c>
      <c r="L3289" s="19">
        <f>IF(I3289="","",IFERROR(INDEX(catAlim,MATCH(D3289,catNom,0))&amp;"",""))</f>
        <v/>
      </c>
      <c r="M3289" s="19">
        <f>IF(I3289="","",IFERROR(INDEX(catComida,MATCH(D3289,catNom,0))&amp;"",""))</f>
        <v/>
      </c>
      <c r="N3289" s="19">
        <f>IF(I3289="","",IFERROR(INDEX(ctaMon,MATCH(E3289,ctaNom,0))&amp;"","DOP"))</f>
        <v/>
      </c>
      <c r="O3289" s="20">
        <f>IF(I3289="","",C3289*IF(N3289="USD",TasaUSD,1))</f>
        <v/>
      </c>
      <c r="P3289" s="20">
        <f>IF(I3289="","",IF(I3289="Gasto",O3289,0))</f>
        <v/>
      </c>
      <c r="Q3289" s="20">
        <f>IF(I3289="","",IF(I3289="Ingreso",O3289,0))</f>
        <v/>
      </c>
      <c r="R3289" s="20">
        <f>IF(I3289="","",IF(I3289="Trading",O3289,0))</f>
        <v/>
      </c>
      <c r="S3289" s="19">
        <f>IF(I3289="","",IF(AND(I3289="Gasto",K3289="Variable",J3289&lt;&gt;"Trading",O3289&gt;0,O3289&lt;=Umbral),1,0))</f>
        <v/>
      </c>
      <c r="T3289" s="20">
        <f>IF(OR(I3289="",E3289=""),"",IF(OR(I3289="Gasto",I3289="Transferencia",I3289="Pago tarjeta"),-1,1)*C3289)</f>
        <v/>
      </c>
      <c r="U3289" s="20">
        <f>IF(OR(G3289="",AND(I3289&lt;&gt;"Transferencia",I3289&lt;&gt;"Pago tarjeta")),"",IF(IFERROR(INDEX(ctaMon,MATCH(G3289,ctaNom,0))&amp;"","DOP")=N3289,C3289,IF(N3289="USD",C3289*TasaUSD,C3289/TasaUSD)))</f>
        <v/>
      </c>
      <c r="V3289" s="20">
        <f>IF(I3289="","",IF(IFERROR(INDEX(ctaLiq,MATCH(E3289,ctaNom,0))="Sí",FALSE),IF(OR(I3289="Gasto",I3289="Transferencia",I3289="Pago tarjeta"),-1,1)*O3289,0)+IF(AND(U3289&lt;&gt;"",IFERROR(INDEX(ctaLiq,MATCH(G3289,ctaNom,0))="Sí",FALSE)),O3289,0))</f>
        <v/>
      </c>
      <c r="W3289" s="19">
        <f>IF(OR(F3289="",I3289=""),"",IF(COUNTIFS(F$6:F3289,F3289,I$6:I3289,"?*")=1,MAX(W$5:W3288)+1,""))</f>
        <v/>
      </c>
    </row>
    <row r="3290">
      <c r="B3290" s="15" t="n"/>
      <c r="C3290" s="16" t="n"/>
      <c r="D3290" s="17" t="n"/>
      <c r="E3290" s="17" t="n"/>
      <c r="F3290" s="17" t="n"/>
      <c r="G3290" s="17" t="n"/>
      <c r="H3290" s="18">
        <f>IF(AND(B3290="",C3290="",D3290="",E3290=""),"",IF(B3290="","⚠ Falta fecha",IF(C3290="","⚠ Falta monto",IF(D3290="","⚠ Falta categoría",IF(ISNA(MATCH(D3290,catNom,0)),"⚠ Categoría no existe",IF(E3290="","⚠ Falta cuenta",IF(ISNA(MATCH(E3290,ctaNom,0)),"⚠ Cuenta no existe",IF(AND(OR(I3290="Transferencia",I3290="Pago tarjeta"),G3290=""),"⚠ Indica la cuenta «Hacia»",IF(AND(G3290&lt;&gt;"",G3290=E3290),"⚠ «Hacia» igual a la cuenta",IF(AND(G3290&lt;&gt;"",ISNA(MATCH(G3290,ctaNom,0))),"⚠ «Hacia» no existe",IF(AND(I3290="Pago tarjeta",IFERROR(INDEX(ctaTipo,MATCH(G3290,ctaNom,0)),"")&lt;&gt;"Tarjeta de crédito"),"⚠ «Hacia» debe ser la tarjeta",IF(AND(I3290="Trading",IFERROR(INDEX(ctaTipo,MATCH(E3290,ctaNom,0)),"")&lt;&gt;"Cuenta de trading"),"⚠ Usa la cuenta de trading","✓"))))))))))))</f>
        <v/>
      </c>
      <c r="I3290" s="19">
        <f>IF(OR(B3290="",C3290="",D3290=""),"",IFERROR(INDEX(catTipo,MATCH(D3290,catNom,0))&amp;"",""))</f>
        <v/>
      </c>
      <c r="J3290" s="19">
        <f>IF(I3290="","",IFERROR(INDEX(catGrupo,MATCH(D3290,catNom,0))&amp;"",""))</f>
        <v/>
      </c>
      <c r="K3290" s="19">
        <f>IF(I3290="Gasto",IF(IFERROR(INDEX(catClas,MATCH(D3290,catNom,0))&amp;"","")="","Variable",IFERROR(INDEX(catClas,MATCH(D3290,catNom,0))&amp;"","")),"")</f>
        <v/>
      </c>
      <c r="L3290" s="19">
        <f>IF(I3290="","",IFERROR(INDEX(catAlim,MATCH(D3290,catNom,0))&amp;"",""))</f>
        <v/>
      </c>
      <c r="M3290" s="19">
        <f>IF(I3290="","",IFERROR(INDEX(catComida,MATCH(D3290,catNom,0))&amp;"",""))</f>
        <v/>
      </c>
      <c r="N3290" s="19">
        <f>IF(I3290="","",IFERROR(INDEX(ctaMon,MATCH(E3290,ctaNom,0))&amp;"","DOP"))</f>
        <v/>
      </c>
      <c r="O3290" s="20">
        <f>IF(I3290="","",C3290*IF(N3290="USD",TasaUSD,1))</f>
        <v/>
      </c>
      <c r="P3290" s="20">
        <f>IF(I3290="","",IF(I3290="Gasto",O3290,0))</f>
        <v/>
      </c>
      <c r="Q3290" s="20">
        <f>IF(I3290="","",IF(I3290="Ingreso",O3290,0))</f>
        <v/>
      </c>
      <c r="R3290" s="20">
        <f>IF(I3290="","",IF(I3290="Trading",O3290,0))</f>
        <v/>
      </c>
      <c r="S3290" s="19">
        <f>IF(I3290="","",IF(AND(I3290="Gasto",K3290="Variable",J3290&lt;&gt;"Trading",O3290&gt;0,O3290&lt;=Umbral),1,0))</f>
        <v/>
      </c>
      <c r="T3290" s="20">
        <f>IF(OR(I3290="",E3290=""),"",IF(OR(I3290="Gasto",I3290="Transferencia",I3290="Pago tarjeta"),-1,1)*C3290)</f>
        <v/>
      </c>
      <c r="U3290" s="20">
        <f>IF(OR(G3290="",AND(I3290&lt;&gt;"Transferencia",I3290&lt;&gt;"Pago tarjeta")),"",IF(IFERROR(INDEX(ctaMon,MATCH(G3290,ctaNom,0))&amp;"","DOP")=N3290,C3290,IF(N3290="USD",C3290*TasaUSD,C3290/TasaUSD)))</f>
        <v/>
      </c>
      <c r="V3290" s="20">
        <f>IF(I3290="","",IF(IFERROR(INDEX(ctaLiq,MATCH(E3290,ctaNom,0))="Sí",FALSE),IF(OR(I3290="Gasto",I3290="Transferencia",I3290="Pago tarjeta"),-1,1)*O3290,0)+IF(AND(U3290&lt;&gt;"",IFERROR(INDEX(ctaLiq,MATCH(G3290,ctaNom,0))="Sí",FALSE)),O3290,0))</f>
        <v/>
      </c>
      <c r="W3290" s="19">
        <f>IF(OR(F3290="",I3290=""),"",IF(COUNTIFS(F$6:F3290,F3290,I$6:I3290,"?*")=1,MAX(W$5:W3289)+1,""))</f>
        <v/>
      </c>
    </row>
    <row r="3291">
      <c r="B3291" s="15" t="n"/>
      <c r="C3291" s="16" t="n"/>
      <c r="D3291" s="17" t="n"/>
      <c r="E3291" s="17" t="n"/>
      <c r="F3291" s="17" t="n"/>
      <c r="G3291" s="17" t="n"/>
      <c r="H3291" s="18">
        <f>IF(AND(B3291="",C3291="",D3291="",E3291=""),"",IF(B3291="","⚠ Falta fecha",IF(C3291="","⚠ Falta monto",IF(D3291="","⚠ Falta categoría",IF(ISNA(MATCH(D3291,catNom,0)),"⚠ Categoría no existe",IF(E3291="","⚠ Falta cuenta",IF(ISNA(MATCH(E3291,ctaNom,0)),"⚠ Cuenta no existe",IF(AND(OR(I3291="Transferencia",I3291="Pago tarjeta"),G3291=""),"⚠ Indica la cuenta «Hacia»",IF(AND(G3291&lt;&gt;"",G3291=E3291),"⚠ «Hacia» igual a la cuenta",IF(AND(G3291&lt;&gt;"",ISNA(MATCH(G3291,ctaNom,0))),"⚠ «Hacia» no existe",IF(AND(I3291="Pago tarjeta",IFERROR(INDEX(ctaTipo,MATCH(G3291,ctaNom,0)),"")&lt;&gt;"Tarjeta de crédito"),"⚠ «Hacia» debe ser la tarjeta",IF(AND(I3291="Trading",IFERROR(INDEX(ctaTipo,MATCH(E3291,ctaNom,0)),"")&lt;&gt;"Cuenta de trading"),"⚠ Usa la cuenta de trading","✓"))))))))))))</f>
        <v/>
      </c>
      <c r="I3291" s="19">
        <f>IF(OR(B3291="",C3291="",D3291=""),"",IFERROR(INDEX(catTipo,MATCH(D3291,catNom,0))&amp;"",""))</f>
        <v/>
      </c>
      <c r="J3291" s="19">
        <f>IF(I3291="","",IFERROR(INDEX(catGrupo,MATCH(D3291,catNom,0))&amp;"",""))</f>
        <v/>
      </c>
      <c r="K3291" s="19">
        <f>IF(I3291="Gasto",IF(IFERROR(INDEX(catClas,MATCH(D3291,catNom,0))&amp;"","")="","Variable",IFERROR(INDEX(catClas,MATCH(D3291,catNom,0))&amp;"","")),"")</f>
        <v/>
      </c>
      <c r="L3291" s="19">
        <f>IF(I3291="","",IFERROR(INDEX(catAlim,MATCH(D3291,catNom,0))&amp;"",""))</f>
        <v/>
      </c>
      <c r="M3291" s="19">
        <f>IF(I3291="","",IFERROR(INDEX(catComida,MATCH(D3291,catNom,0))&amp;"",""))</f>
        <v/>
      </c>
      <c r="N3291" s="19">
        <f>IF(I3291="","",IFERROR(INDEX(ctaMon,MATCH(E3291,ctaNom,0))&amp;"","DOP"))</f>
        <v/>
      </c>
      <c r="O3291" s="20">
        <f>IF(I3291="","",C3291*IF(N3291="USD",TasaUSD,1))</f>
        <v/>
      </c>
      <c r="P3291" s="20">
        <f>IF(I3291="","",IF(I3291="Gasto",O3291,0))</f>
        <v/>
      </c>
      <c r="Q3291" s="20">
        <f>IF(I3291="","",IF(I3291="Ingreso",O3291,0))</f>
        <v/>
      </c>
      <c r="R3291" s="20">
        <f>IF(I3291="","",IF(I3291="Trading",O3291,0))</f>
        <v/>
      </c>
      <c r="S3291" s="19">
        <f>IF(I3291="","",IF(AND(I3291="Gasto",K3291="Variable",J3291&lt;&gt;"Trading",O3291&gt;0,O3291&lt;=Umbral),1,0))</f>
        <v/>
      </c>
      <c r="T3291" s="20">
        <f>IF(OR(I3291="",E3291=""),"",IF(OR(I3291="Gasto",I3291="Transferencia",I3291="Pago tarjeta"),-1,1)*C3291)</f>
        <v/>
      </c>
      <c r="U3291" s="20">
        <f>IF(OR(G3291="",AND(I3291&lt;&gt;"Transferencia",I3291&lt;&gt;"Pago tarjeta")),"",IF(IFERROR(INDEX(ctaMon,MATCH(G3291,ctaNom,0))&amp;"","DOP")=N3291,C3291,IF(N3291="USD",C3291*TasaUSD,C3291/TasaUSD)))</f>
        <v/>
      </c>
      <c r="V3291" s="20">
        <f>IF(I3291="","",IF(IFERROR(INDEX(ctaLiq,MATCH(E3291,ctaNom,0))="Sí",FALSE),IF(OR(I3291="Gasto",I3291="Transferencia",I3291="Pago tarjeta"),-1,1)*O3291,0)+IF(AND(U3291&lt;&gt;"",IFERROR(INDEX(ctaLiq,MATCH(G3291,ctaNom,0))="Sí",FALSE)),O3291,0))</f>
        <v/>
      </c>
      <c r="W3291" s="19">
        <f>IF(OR(F3291="",I3291=""),"",IF(COUNTIFS(F$6:F3291,F3291,I$6:I3291,"?*")=1,MAX(W$5:W3290)+1,""))</f>
        <v/>
      </c>
    </row>
    <row r="3292">
      <c r="B3292" s="15" t="n"/>
      <c r="C3292" s="16" t="n"/>
      <c r="D3292" s="17" t="n"/>
      <c r="E3292" s="17" t="n"/>
      <c r="F3292" s="17" t="n"/>
      <c r="G3292" s="17" t="n"/>
      <c r="H3292" s="18">
        <f>IF(AND(B3292="",C3292="",D3292="",E3292=""),"",IF(B3292="","⚠ Falta fecha",IF(C3292="","⚠ Falta monto",IF(D3292="","⚠ Falta categoría",IF(ISNA(MATCH(D3292,catNom,0)),"⚠ Categoría no existe",IF(E3292="","⚠ Falta cuenta",IF(ISNA(MATCH(E3292,ctaNom,0)),"⚠ Cuenta no existe",IF(AND(OR(I3292="Transferencia",I3292="Pago tarjeta"),G3292=""),"⚠ Indica la cuenta «Hacia»",IF(AND(G3292&lt;&gt;"",G3292=E3292),"⚠ «Hacia» igual a la cuenta",IF(AND(G3292&lt;&gt;"",ISNA(MATCH(G3292,ctaNom,0))),"⚠ «Hacia» no existe",IF(AND(I3292="Pago tarjeta",IFERROR(INDEX(ctaTipo,MATCH(G3292,ctaNom,0)),"")&lt;&gt;"Tarjeta de crédito"),"⚠ «Hacia» debe ser la tarjeta",IF(AND(I3292="Trading",IFERROR(INDEX(ctaTipo,MATCH(E3292,ctaNom,0)),"")&lt;&gt;"Cuenta de trading"),"⚠ Usa la cuenta de trading","✓"))))))))))))</f>
        <v/>
      </c>
      <c r="I3292" s="19">
        <f>IF(OR(B3292="",C3292="",D3292=""),"",IFERROR(INDEX(catTipo,MATCH(D3292,catNom,0))&amp;"",""))</f>
        <v/>
      </c>
      <c r="J3292" s="19">
        <f>IF(I3292="","",IFERROR(INDEX(catGrupo,MATCH(D3292,catNom,0))&amp;"",""))</f>
        <v/>
      </c>
      <c r="K3292" s="19">
        <f>IF(I3292="Gasto",IF(IFERROR(INDEX(catClas,MATCH(D3292,catNom,0))&amp;"","")="","Variable",IFERROR(INDEX(catClas,MATCH(D3292,catNom,0))&amp;"","")),"")</f>
        <v/>
      </c>
      <c r="L3292" s="19">
        <f>IF(I3292="","",IFERROR(INDEX(catAlim,MATCH(D3292,catNom,0))&amp;"",""))</f>
        <v/>
      </c>
      <c r="M3292" s="19">
        <f>IF(I3292="","",IFERROR(INDEX(catComida,MATCH(D3292,catNom,0))&amp;"",""))</f>
        <v/>
      </c>
      <c r="N3292" s="19">
        <f>IF(I3292="","",IFERROR(INDEX(ctaMon,MATCH(E3292,ctaNom,0))&amp;"","DOP"))</f>
        <v/>
      </c>
      <c r="O3292" s="20">
        <f>IF(I3292="","",C3292*IF(N3292="USD",TasaUSD,1))</f>
        <v/>
      </c>
      <c r="P3292" s="20">
        <f>IF(I3292="","",IF(I3292="Gasto",O3292,0))</f>
        <v/>
      </c>
      <c r="Q3292" s="20">
        <f>IF(I3292="","",IF(I3292="Ingreso",O3292,0))</f>
        <v/>
      </c>
      <c r="R3292" s="20">
        <f>IF(I3292="","",IF(I3292="Trading",O3292,0))</f>
        <v/>
      </c>
      <c r="S3292" s="19">
        <f>IF(I3292="","",IF(AND(I3292="Gasto",K3292="Variable",J3292&lt;&gt;"Trading",O3292&gt;0,O3292&lt;=Umbral),1,0))</f>
        <v/>
      </c>
      <c r="T3292" s="20">
        <f>IF(OR(I3292="",E3292=""),"",IF(OR(I3292="Gasto",I3292="Transferencia",I3292="Pago tarjeta"),-1,1)*C3292)</f>
        <v/>
      </c>
      <c r="U3292" s="20">
        <f>IF(OR(G3292="",AND(I3292&lt;&gt;"Transferencia",I3292&lt;&gt;"Pago tarjeta")),"",IF(IFERROR(INDEX(ctaMon,MATCH(G3292,ctaNom,0))&amp;"","DOP")=N3292,C3292,IF(N3292="USD",C3292*TasaUSD,C3292/TasaUSD)))</f>
        <v/>
      </c>
      <c r="V3292" s="20">
        <f>IF(I3292="","",IF(IFERROR(INDEX(ctaLiq,MATCH(E3292,ctaNom,0))="Sí",FALSE),IF(OR(I3292="Gasto",I3292="Transferencia",I3292="Pago tarjeta"),-1,1)*O3292,0)+IF(AND(U3292&lt;&gt;"",IFERROR(INDEX(ctaLiq,MATCH(G3292,ctaNom,0))="Sí",FALSE)),O3292,0))</f>
        <v/>
      </c>
      <c r="W3292" s="19">
        <f>IF(OR(F3292="",I3292=""),"",IF(COUNTIFS(F$6:F3292,F3292,I$6:I3292,"?*")=1,MAX(W$5:W3291)+1,""))</f>
        <v/>
      </c>
    </row>
    <row r="3293">
      <c r="B3293" s="15" t="n"/>
      <c r="C3293" s="16" t="n"/>
      <c r="D3293" s="17" t="n"/>
      <c r="E3293" s="17" t="n"/>
      <c r="F3293" s="17" t="n"/>
      <c r="G3293" s="17" t="n"/>
      <c r="H3293" s="18">
        <f>IF(AND(B3293="",C3293="",D3293="",E3293=""),"",IF(B3293="","⚠ Falta fecha",IF(C3293="","⚠ Falta monto",IF(D3293="","⚠ Falta categoría",IF(ISNA(MATCH(D3293,catNom,0)),"⚠ Categoría no existe",IF(E3293="","⚠ Falta cuenta",IF(ISNA(MATCH(E3293,ctaNom,0)),"⚠ Cuenta no existe",IF(AND(OR(I3293="Transferencia",I3293="Pago tarjeta"),G3293=""),"⚠ Indica la cuenta «Hacia»",IF(AND(G3293&lt;&gt;"",G3293=E3293),"⚠ «Hacia» igual a la cuenta",IF(AND(G3293&lt;&gt;"",ISNA(MATCH(G3293,ctaNom,0))),"⚠ «Hacia» no existe",IF(AND(I3293="Pago tarjeta",IFERROR(INDEX(ctaTipo,MATCH(G3293,ctaNom,0)),"")&lt;&gt;"Tarjeta de crédito"),"⚠ «Hacia» debe ser la tarjeta",IF(AND(I3293="Trading",IFERROR(INDEX(ctaTipo,MATCH(E3293,ctaNom,0)),"")&lt;&gt;"Cuenta de trading"),"⚠ Usa la cuenta de trading","✓"))))))))))))</f>
        <v/>
      </c>
      <c r="I3293" s="19">
        <f>IF(OR(B3293="",C3293="",D3293=""),"",IFERROR(INDEX(catTipo,MATCH(D3293,catNom,0))&amp;"",""))</f>
        <v/>
      </c>
      <c r="J3293" s="19">
        <f>IF(I3293="","",IFERROR(INDEX(catGrupo,MATCH(D3293,catNom,0))&amp;"",""))</f>
        <v/>
      </c>
      <c r="K3293" s="19">
        <f>IF(I3293="Gasto",IF(IFERROR(INDEX(catClas,MATCH(D3293,catNom,0))&amp;"","")="","Variable",IFERROR(INDEX(catClas,MATCH(D3293,catNom,0))&amp;"","")),"")</f>
        <v/>
      </c>
      <c r="L3293" s="19">
        <f>IF(I3293="","",IFERROR(INDEX(catAlim,MATCH(D3293,catNom,0))&amp;"",""))</f>
        <v/>
      </c>
      <c r="M3293" s="19">
        <f>IF(I3293="","",IFERROR(INDEX(catComida,MATCH(D3293,catNom,0))&amp;"",""))</f>
        <v/>
      </c>
      <c r="N3293" s="19">
        <f>IF(I3293="","",IFERROR(INDEX(ctaMon,MATCH(E3293,ctaNom,0))&amp;"","DOP"))</f>
        <v/>
      </c>
      <c r="O3293" s="20">
        <f>IF(I3293="","",C3293*IF(N3293="USD",TasaUSD,1))</f>
        <v/>
      </c>
      <c r="P3293" s="20">
        <f>IF(I3293="","",IF(I3293="Gasto",O3293,0))</f>
        <v/>
      </c>
      <c r="Q3293" s="20">
        <f>IF(I3293="","",IF(I3293="Ingreso",O3293,0))</f>
        <v/>
      </c>
      <c r="R3293" s="20">
        <f>IF(I3293="","",IF(I3293="Trading",O3293,0))</f>
        <v/>
      </c>
      <c r="S3293" s="19">
        <f>IF(I3293="","",IF(AND(I3293="Gasto",K3293="Variable",J3293&lt;&gt;"Trading",O3293&gt;0,O3293&lt;=Umbral),1,0))</f>
        <v/>
      </c>
      <c r="T3293" s="20">
        <f>IF(OR(I3293="",E3293=""),"",IF(OR(I3293="Gasto",I3293="Transferencia",I3293="Pago tarjeta"),-1,1)*C3293)</f>
        <v/>
      </c>
      <c r="U3293" s="20">
        <f>IF(OR(G3293="",AND(I3293&lt;&gt;"Transferencia",I3293&lt;&gt;"Pago tarjeta")),"",IF(IFERROR(INDEX(ctaMon,MATCH(G3293,ctaNom,0))&amp;"","DOP")=N3293,C3293,IF(N3293="USD",C3293*TasaUSD,C3293/TasaUSD)))</f>
        <v/>
      </c>
      <c r="V3293" s="20">
        <f>IF(I3293="","",IF(IFERROR(INDEX(ctaLiq,MATCH(E3293,ctaNom,0))="Sí",FALSE),IF(OR(I3293="Gasto",I3293="Transferencia",I3293="Pago tarjeta"),-1,1)*O3293,0)+IF(AND(U3293&lt;&gt;"",IFERROR(INDEX(ctaLiq,MATCH(G3293,ctaNom,0))="Sí",FALSE)),O3293,0))</f>
        <v/>
      </c>
      <c r="W3293" s="19">
        <f>IF(OR(F3293="",I3293=""),"",IF(COUNTIFS(F$6:F3293,F3293,I$6:I3293,"?*")=1,MAX(W$5:W3292)+1,""))</f>
        <v/>
      </c>
    </row>
    <row r="3294">
      <c r="B3294" s="15" t="n"/>
      <c r="C3294" s="16" t="n"/>
      <c r="D3294" s="17" t="n"/>
      <c r="E3294" s="17" t="n"/>
      <c r="F3294" s="17" t="n"/>
      <c r="G3294" s="17" t="n"/>
      <c r="H3294" s="18">
        <f>IF(AND(B3294="",C3294="",D3294="",E3294=""),"",IF(B3294="","⚠ Falta fecha",IF(C3294="","⚠ Falta monto",IF(D3294="","⚠ Falta categoría",IF(ISNA(MATCH(D3294,catNom,0)),"⚠ Categoría no existe",IF(E3294="","⚠ Falta cuenta",IF(ISNA(MATCH(E3294,ctaNom,0)),"⚠ Cuenta no existe",IF(AND(OR(I3294="Transferencia",I3294="Pago tarjeta"),G3294=""),"⚠ Indica la cuenta «Hacia»",IF(AND(G3294&lt;&gt;"",G3294=E3294),"⚠ «Hacia» igual a la cuenta",IF(AND(G3294&lt;&gt;"",ISNA(MATCH(G3294,ctaNom,0))),"⚠ «Hacia» no existe",IF(AND(I3294="Pago tarjeta",IFERROR(INDEX(ctaTipo,MATCH(G3294,ctaNom,0)),"")&lt;&gt;"Tarjeta de crédito"),"⚠ «Hacia» debe ser la tarjeta",IF(AND(I3294="Trading",IFERROR(INDEX(ctaTipo,MATCH(E3294,ctaNom,0)),"")&lt;&gt;"Cuenta de trading"),"⚠ Usa la cuenta de trading","✓"))))))))))))</f>
        <v/>
      </c>
      <c r="I3294" s="19">
        <f>IF(OR(B3294="",C3294="",D3294=""),"",IFERROR(INDEX(catTipo,MATCH(D3294,catNom,0))&amp;"",""))</f>
        <v/>
      </c>
      <c r="J3294" s="19">
        <f>IF(I3294="","",IFERROR(INDEX(catGrupo,MATCH(D3294,catNom,0))&amp;"",""))</f>
        <v/>
      </c>
      <c r="K3294" s="19">
        <f>IF(I3294="Gasto",IF(IFERROR(INDEX(catClas,MATCH(D3294,catNom,0))&amp;"","")="","Variable",IFERROR(INDEX(catClas,MATCH(D3294,catNom,0))&amp;"","")),"")</f>
        <v/>
      </c>
      <c r="L3294" s="19">
        <f>IF(I3294="","",IFERROR(INDEX(catAlim,MATCH(D3294,catNom,0))&amp;"",""))</f>
        <v/>
      </c>
      <c r="M3294" s="19">
        <f>IF(I3294="","",IFERROR(INDEX(catComida,MATCH(D3294,catNom,0))&amp;"",""))</f>
        <v/>
      </c>
      <c r="N3294" s="19">
        <f>IF(I3294="","",IFERROR(INDEX(ctaMon,MATCH(E3294,ctaNom,0))&amp;"","DOP"))</f>
        <v/>
      </c>
      <c r="O3294" s="20">
        <f>IF(I3294="","",C3294*IF(N3294="USD",TasaUSD,1))</f>
        <v/>
      </c>
      <c r="P3294" s="20">
        <f>IF(I3294="","",IF(I3294="Gasto",O3294,0))</f>
        <v/>
      </c>
      <c r="Q3294" s="20">
        <f>IF(I3294="","",IF(I3294="Ingreso",O3294,0))</f>
        <v/>
      </c>
      <c r="R3294" s="20">
        <f>IF(I3294="","",IF(I3294="Trading",O3294,0))</f>
        <v/>
      </c>
      <c r="S3294" s="19">
        <f>IF(I3294="","",IF(AND(I3294="Gasto",K3294="Variable",J3294&lt;&gt;"Trading",O3294&gt;0,O3294&lt;=Umbral),1,0))</f>
        <v/>
      </c>
      <c r="T3294" s="20">
        <f>IF(OR(I3294="",E3294=""),"",IF(OR(I3294="Gasto",I3294="Transferencia",I3294="Pago tarjeta"),-1,1)*C3294)</f>
        <v/>
      </c>
      <c r="U3294" s="20">
        <f>IF(OR(G3294="",AND(I3294&lt;&gt;"Transferencia",I3294&lt;&gt;"Pago tarjeta")),"",IF(IFERROR(INDEX(ctaMon,MATCH(G3294,ctaNom,0))&amp;"","DOP")=N3294,C3294,IF(N3294="USD",C3294*TasaUSD,C3294/TasaUSD)))</f>
        <v/>
      </c>
      <c r="V3294" s="20">
        <f>IF(I3294="","",IF(IFERROR(INDEX(ctaLiq,MATCH(E3294,ctaNom,0))="Sí",FALSE),IF(OR(I3294="Gasto",I3294="Transferencia",I3294="Pago tarjeta"),-1,1)*O3294,0)+IF(AND(U3294&lt;&gt;"",IFERROR(INDEX(ctaLiq,MATCH(G3294,ctaNom,0))="Sí",FALSE)),O3294,0))</f>
        <v/>
      </c>
      <c r="W3294" s="19">
        <f>IF(OR(F3294="",I3294=""),"",IF(COUNTIFS(F$6:F3294,F3294,I$6:I3294,"?*")=1,MAX(W$5:W3293)+1,""))</f>
        <v/>
      </c>
    </row>
    <row r="3295">
      <c r="B3295" s="15" t="n"/>
      <c r="C3295" s="16" t="n"/>
      <c r="D3295" s="17" t="n"/>
      <c r="E3295" s="17" t="n"/>
      <c r="F3295" s="17" t="n"/>
      <c r="G3295" s="17" t="n"/>
      <c r="H3295" s="18">
        <f>IF(AND(B3295="",C3295="",D3295="",E3295=""),"",IF(B3295="","⚠ Falta fecha",IF(C3295="","⚠ Falta monto",IF(D3295="","⚠ Falta categoría",IF(ISNA(MATCH(D3295,catNom,0)),"⚠ Categoría no existe",IF(E3295="","⚠ Falta cuenta",IF(ISNA(MATCH(E3295,ctaNom,0)),"⚠ Cuenta no existe",IF(AND(OR(I3295="Transferencia",I3295="Pago tarjeta"),G3295=""),"⚠ Indica la cuenta «Hacia»",IF(AND(G3295&lt;&gt;"",G3295=E3295),"⚠ «Hacia» igual a la cuenta",IF(AND(G3295&lt;&gt;"",ISNA(MATCH(G3295,ctaNom,0))),"⚠ «Hacia» no existe",IF(AND(I3295="Pago tarjeta",IFERROR(INDEX(ctaTipo,MATCH(G3295,ctaNom,0)),"")&lt;&gt;"Tarjeta de crédito"),"⚠ «Hacia» debe ser la tarjeta",IF(AND(I3295="Trading",IFERROR(INDEX(ctaTipo,MATCH(E3295,ctaNom,0)),"")&lt;&gt;"Cuenta de trading"),"⚠ Usa la cuenta de trading","✓"))))))))))))</f>
        <v/>
      </c>
      <c r="I3295" s="19">
        <f>IF(OR(B3295="",C3295="",D3295=""),"",IFERROR(INDEX(catTipo,MATCH(D3295,catNom,0))&amp;"",""))</f>
        <v/>
      </c>
      <c r="J3295" s="19">
        <f>IF(I3295="","",IFERROR(INDEX(catGrupo,MATCH(D3295,catNom,0))&amp;"",""))</f>
        <v/>
      </c>
      <c r="K3295" s="19">
        <f>IF(I3295="Gasto",IF(IFERROR(INDEX(catClas,MATCH(D3295,catNom,0))&amp;"","")="","Variable",IFERROR(INDEX(catClas,MATCH(D3295,catNom,0))&amp;"","")),"")</f>
        <v/>
      </c>
      <c r="L3295" s="19">
        <f>IF(I3295="","",IFERROR(INDEX(catAlim,MATCH(D3295,catNom,0))&amp;"",""))</f>
        <v/>
      </c>
      <c r="M3295" s="19">
        <f>IF(I3295="","",IFERROR(INDEX(catComida,MATCH(D3295,catNom,0))&amp;"",""))</f>
        <v/>
      </c>
      <c r="N3295" s="19">
        <f>IF(I3295="","",IFERROR(INDEX(ctaMon,MATCH(E3295,ctaNom,0))&amp;"","DOP"))</f>
        <v/>
      </c>
      <c r="O3295" s="20">
        <f>IF(I3295="","",C3295*IF(N3295="USD",TasaUSD,1))</f>
        <v/>
      </c>
      <c r="P3295" s="20">
        <f>IF(I3295="","",IF(I3295="Gasto",O3295,0))</f>
        <v/>
      </c>
      <c r="Q3295" s="20">
        <f>IF(I3295="","",IF(I3295="Ingreso",O3295,0))</f>
        <v/>
      </c>
      <c r="R3295" s="20">
        <f>IF(I3295="","",IF(I3295="Trading",O3295,0))</f>
        <v/>
      </c>
      <c r="S3295" s="19">
        <f>IF(I3295="","",IF(AND(I3295="Gasto",K3295="Variable",J3295&lt;&gt;"Trading",O3295&gt;0,O3295&lt;=Umbral),1,0))</f>
        <v/>
      </c>
      <c r="T3295" s="20">
        <f>IF(OR(I3295="",E3295=""),"",IF(OR(I3295="Gasto",I3295="Transferencia",I3295="Pago tarjeta"),-1,1)*C3295)</f>
        <v/>
      </c>
      <c r="U3295" s="20">
        <f>IF(OR(G3295="",AND(I3295&lt;&gt;"Transferencia",I3295&lt;&gt;"Pago tarjeta")),"",IF(IFERROR(INDEX(ctaMon,MATCH(G3295,ctaNom,0))&amp;"","DOP")=N3295,C3295,IF(N3295="USD",C3295*TasaUSD,C3295/TasaUSD)))</f>
        <v/>
      </c>
      <c r="V3295" s="20">
        <f>IF(I3295="","",IF(IFERROR(INDEX(ctaLiq,MATCH(E3295,ctaNom,0))="Sí",FALSE),IF(OR(I3295="Gasto",I3295="Transferencia",I3295="Pago tarjeta"),-1,1)*O3295,0)+IF(AND(U3295&lt;&gt;"",IFERROR(INDEX(ctaLiq,MATCH(G3295,ctaNom,0))="Sí",FALSE)),O3295,0))</f>
        <v/>
      </c>
      <c r="W3295" s="19">
        <f>IF(OR(F3295="",I3295=""),"",IF(COUNTIFS(F$6:F3295,F3295,I$6:I3295,"?*")=1,MAX(W$5:W3294)+1,""))</f>
        <v/>
      </c>
    </row>
    <row r="3296">
      <c r="B3296" s="15" t="n"/>
      <c r="C3296" s="16" t="n"/>
      <c r="D3296" s="17" t="n"/>
      <c r="E3296" s="17" t="n"/>
      <c r="F3296" s="17" t="n"/>
      <c r="G3296" s="17" t="n"/>
      <c r="H3296" s="18">
        <f>IF(AND(B3296="",C3296="",D3296="",E3296=""),"",IF(B3296="","⚠ Falta fecha",IF(C3296="","⚠ Falta monto",IF(D3296="","⚠ Falta categoría",IF(ISNA(MATCH(D3296,catNom,0)),"⚠ Categoría no existe",IF(E3296="","⚠ Falta cuenta",IF(ISNA(MATCH(E3296,ctaNom,0)),"⚠ Cuenta no existe",IF(AND(OR(I3296="Transferencia",I3296="Pago tarjeta"),G3296=""),"⚠ Indica la cuenta «Hacia»",IF(AND(G3296&lt;&gt;"",G3296=E3296),"⚠ «Hacia» igual a la cuenta",IF(AND(G3296&lt;&gt;"",ISNA(MATCH(G3296,ctaNom,0))),"⚠ «Hacia» no existe",IF(AND(I3296="Pago tarjeta",IFERROR(INDEX(ctaTipo,MATCH(G3296,ctaNom,0)),"")&lt;&gt;"Tarjeta de crédito"),"⚠ «Hacia» debe ser la tarjeta",IF(AND(I3296="Trading",IFERROR(INDEX(ctaTipo,MATCH(E3296,ctaNom,0)),"")&lt;&gt;"Cuenta de trading"),"⚠ Usa la cuenta de trading","✓"))))))))))))</f>
        <v/>
      </c>
      <c r="I3296" s="19">
        <f>IF(OR(B3296="",C3296="",D3296=""),"",IFERROR(INDEX(catTipo,MATCH(D3296,catNom,0))&amp;"",""))</f>
        <v/>
      </c>
      <c r="J3296" s="19">
        <f>IF(I3296="","",IFERROR(INDEX(catGrupo,MATCH(D3296,catNom,0))&amp;"",""))</f>
        <v/>
      </c>
      <c r="K3296" s="19">
        <f>IF(I3296="Gasto",IF(IFERROR(INDEX(catClas,MATCH(D3296,catNom,0))&amp;"","")="","Variable",IFERROR(INDEX(catClas,MATCH(D3296,catNom,0))&amp;"","")),"")</f>
        <v/>
      </c>
      <c r="L3296" s="19">
        <f>IF(I3296="","",IFERROR(INDEX(catAlim,MATCH(D3296,catNom,0))&amp;"",""))</f>
        <v/>
      </c>
      <c r="M3296" s="19">
        <f>IF(I3296="","",IFERROR(INDEX(catComida,MATCH(D3296,catNom,0))&amp;"",""))</f>
        <v/>
      </c>
      <c r="N3296" s="19">
        <f>IF(I3296="","",IFERROR(INDEX(ctaMon,MATCH(E3296,ctaNom,0))&amp;"","DOP"))</f>
        <v/>
      </c>
      <c r="O3296" s="20">
        <f>IF(I3296="","",C3296*IF(N3296="USD",TasaUSD,1))</f>
        <v/>
      </c>
      <c r="P3296" s="20">
        <f>IF(I3296="","",IF(I3296="Gasto",O3296,0))</f>
        <v/>
      </c>
      <c r="Q3296" s="20">
        <f>IF(I3296="","",IF(I3296="Ingreso",O3296,0))</f>
        <v/>
      </c>
      <c r="R3296" s="20">
        <f>IF(I3296="","",IF(I3296="Trading",O3296,0))</f>
        <v/>
      </c>
      <c r="S3296" s="19">
        <f>IF(I3296="","",IF(AND(I3296="Gasto",K3296="Variable",J3296&lt;&gt;"Trading",O3296&gt;0,O3296&lt;=Umbral),1,0))</f>
        <v/>
      </c>
      <c r="T3296" s="20">
        <f>IF(OR(I3296="",E3296=""),"",IF(OR(I3296="Gasto",I3296="Transferencia",I3296="Pago tarjeta"),-1,1)*C3296)</f>
        <v/>
      </c>
      <c r="U3296" s="20">
        <f>IF(OR(G3296="",AND(I3296&lt;&gt;"Transferencia",I3296&lt;&gt;"Pago tarjeta")),"",IF(IFERROR(INDEX(ctaMon,MATCH(G3296,ctaNom,0))&amp;"","DOP")=N3296,C3296,IF(N3296="USD",C3296*TasaUSD,C3296/TasaUSD)))</f>
        <v/>
      </c>
      <c r="V3296" s="20">
        <f>IF(I3296="","",IF(IFERROR(INDEX(ctaLiq,MATCH(E3296,ctaNom,0))="Sí",FALSE),IF(OR(I3296="Gasto",I3296="Transferencia",I3296="Pago tarjeta"),-1,1)*O3296,0)+IF(AND(U3296&lt;&gt;"",IFERROR(INDEX(ctaLiq,MATCH(G3296,ctaNom,0))="Sí",FALSE)),O3296,0))</f>
        <v/>
      </c>
      <c r="W3296" s="19">
        <f>IF(OR(F3296="",I3296=""),"",IF(COUNTIFS(F$6:F3296,F3296,I$6:I3296,"?*")=1,MAX(W$5:W3295)+1,""))</f>
        <v/>
      </c>
    </row>
    <row r="3297">
      <c r="B3297" s="15" t="n"/>
      <c r="C3297" s="16" t="n"/>
      <c r="D3297" s="17" t="n"/>
      <c r="E3297" s="17" t="n"/>
      <c r="F3297" s="17" t="n"/>
      <c r="G3297" s="17" t="n"/>
      <c r="H3297" s="18">
        <f>IF(AND(B3297="",C3297="",D3297="",E3297=""),"",IF(B3297="","⚠ Falta fecha",IF(C3297="","⚠ Falta monto",IF(D3297="","⚠ Falta categoría",IF(ISNA(MATCH(D3297,catNom,0)),"⚠ Categoría no existe",IF(E3297="","⚠ Falta cuenta",IF(ISNA(MATCH(E3297,ctaNom,0)),"⚠ Cuenta no existe",IF(AND(OR(I3297="Transferencia",I3297="Pago tarjeta"),G3297=""),"⚠ Indica la cuenta «Hacia»",IF(AND(G3297&lt;&gt;"",G3297=E3297),"⚠ «Hacia» igual a la cuenta",IF(AND(G3297&lt;&gt;"",ISNA(MATCH(G3297,ctaNom,0))),"⚠ «Hacia» no existe",IF(AND(I3297="Pago tarjeta",IFERROR(INDEX(ctaTipo,MATCH(G3297,ctaNom,0)),"")&lt;&gt;"Tarjeta de crédito"),"⚠ «Hacia» debe ser la tarjeta",IF(AND(I3297="Trading",IFERROR(INDEX(ctaTipo,MATCH(E3297,ctaNom,0)),"")&lt;&gt;"Cuenta de trading"),"⚠ Usa la cuenta de trading","✓"))))))))))))</f>
        <v/>
      </c>
      <c r="I3297" s="19">
        <f>IF(OR(B3297="",C3297="",D3297=""),"",IFERROR(INDEX(catTipo,MATCH(D3297,catNom,0))&amp;"",""))</f>
        <v/>
      </c>
      <c r="J3297" s="19">
        <f>IF(I3297="","",IFERROR(INDEX(catGrupo,MATCH(D3297,catNom,0))&amp;"",""))</f>
        <v/>
      </c>
      <c r="K3297" s="19">
        <f>IF(I3297="Gasto",IF(IFERROR(INDEX(catClas,MATCH(D3297,catNom,0))&amp;"","")="","Variable",IFERROR(INDEX(catClas,MATCH(D3297,catNom,0))&amp;"","")),"")</f>
        <v/>
      </c>
      <c r="L3297" s="19">
        <f>IF(I3297="","",IFERROR(INDEX(catAlim,MATCH(D3297,catNom,0))&amp;"",""))</f>
        <v/>
      </c>
      <c r="M3297" s="19">
        <f>IF(I3297="","",IFERROR(INDEX(catComida,MATCH(D3297,catNom,0))&amp;"",""))</f>
        <v/>
      </c>
      <c r="N3297" s="19">
        <f>IF(I3297="","",IFERROR(INDEX(ctaMon,MATCH(E3297,ctaNom,0))&amp;"","DOP"))</f>
        <v/>
      </c>
      <c r="O3297" s="20">
        <f>IF(I3297="","",C3297*IF(N3297="USD",TasaUSD,1))</f>
        <v/>
      </c>
      <c r="P3297" s="20">
        <f>IF(I3297="","",IF(I3297="Gasto",O3297,0))</f>
        <v/>
      </c>
      <c r="Q3297" s="20">
        <f>IF(I3297="","",IF(I3297="Ingreso",O3297,0))</f>
        <v/>
      </c>
      <c r="R3297" s="20">
        <f>IF(I3297="","",IF(I3297="Trading",O3297,0))</f>
        <v/>
      </c>
      <c r="S3297" s="19">
        <f>IF(I3297="","",IF(AND(I3297="Gasto",K3297="Variable",J3297&lt;&gt;"Trading",O3297&gt;0,O3297&lt;=Umbral),1,0))</f>
        <v/>
      </c>
      <c r="T3297" s="20">
        <f>IF(OR(I3297="",E3297=""),"",IF(OR(I3297="Gasto",I3297="Transferencia",I3297="Pago tarjeta"),-1,1)*C3297)</f>
        <v/>
      </c>
      <c r="U3297" s="20">
        <f>IF(OR(G3297="",AND(I3297&lt;&gt;"Transferencia",I3297&lt;&gt;"Pago tarjeta")),"",IF(IFERROR(INDEX(ctaMon,MATCH(G3297,ctaNom,0))&amp;"","DOP")=N3297,C3297,IF(N3297="USD",C3297*TasaUSD,C3297/TasaUSD)))</f>
        <v/>
      </c>
      <c r="V3297" s="20">
        <f>IF(I3297="","",IF(IFERROR(INDEX(ctaLiq,MATCH(E3297,ctaNom,0))="Sí",FALSE),IF(OR(I3297="Gasto",I3297="Transferencia",I3297="Pago tarjeta"),-1,1)*O3297,0)+IF(AND(U3297&lt;&gt;"",IFERROR(INDEX(ctaLiq,MATCH(G3297,ctaNom,0))="Sí",FALSE)),O3297,0))</f>
        <v/>
      </c>
      <c r="W3297" s="19">
        <f>IF(OR(F3297="",I3297=""),"",IF(COUNTIFS(F$6:F3297,F3297,I$6:I3297,"?*")=1,MAX(W$5:W3296)+1,""))</f>
        <v/>
      </c>
    </row>
    <row r="3298">
      <c r="B3298" s="15" t="n"/>
      <c r="C3298" s="16" t="n"/>
      <c r="D3298" s="17" t="n"/>
      <c r="E3298" s="17" t="n"/>
      <c r="F3298" s="17" t="n"/>
      <c r="G3298" s="17" t="n"/>
      <c r="H3298" s="18">
        <f>IF(AND(B3298="",C3298="",D3298="",E3298=""),"",IF(B3298="","⚠ Falta fecha",IF(C3298="","⚠ Falta monto",IF(D3298="","⚠ Falta categoría",IF(ISNA(MATCH(D3298,catNom,0)),"⚠ Categoría no existe",IF(E3298="","⚠ Falta cuenta",IF(ISNA(MATCH(E3298,ctaNom,0)),"⚠ Cuenta no existe",IF(AND(OR(I3298="Transferencia",I3298="Pago tarjeta"),G3298=""),"⚠ Indica la cuenta «Hacia»",IF(AND(G3298&lt;&gt;"",G3298=E3298),"⚠ «Hacia» igual a la cuenta",IF(AND(G3298&lt;&gt;"",ISNA(MATCH(G3298,ctaNom,0))),"⚠ «Hacia» no existe",IF(AND(I3298="Pago tarjeta",IFERROR(INDEX(ctaTipo,MATCH(G3298,ctaNom,0)),"")&lt;&gt;"Tarjeta de crédito"),"⚠ «Hacia» debe ser la tarjeta",IF(AND(I3298="Trading",IFERROR(INDEX(ctaTipo,MATCH(E3298,ctaNom,0)),"")&lt;&gt;"Cuenta de trading"),"⚠ Usa la cuenta de trading","✓"))))))))))))</f>
        <v/>
      </c>
      <c r="I3298" s="19">
        <f>IF(OR(B3298="",C3298="",D3298=""),"",IFERROR(INDEX(catTipo,MATCH(D3298,catNom,0))&amp;"",""))</f>
        <v/>
      </c>
      <c r="J3298" s="19">
        <f>IF(I3298="","",IFERROR(INDEX(catGrupo,MATCH(D3298,catNom,0))&amp;"",""))</f>
        <v/>
      </c>
      <c r="K3298" s="19">
        <f>IF(I3298="Gasto",IF(IFERROR(INDEX(catClas,MATCH(D3298,catNom,0))&amp;"","")="","Variable",IFERROR(INDEX(catClas,MATCH(D3298,catNom,0))&amp;"","")),"")</f>
        <v/>
      </c>
      <c r="L3298" s="19">
        <f>IF(I3298="","",IFERROR(INDEX(catAlim,MATCH(D3298,catNom,0))&amp;"",""))</f>
        <v/>
      </c>
      <c r="M3298" s="19">
        <f>IF(I3298="","",IFERROR(INDEX(catComida,MATCH(D3298,catNom,0))&amp;"",""))</f>
        <v/>
      </c>
      <c r="N3298" s="19">
        <f>IF(I3298="","",IFERROR(INDEX(ctaMon,MATCH(E3298,ctaNom,0))&amp;"","DOP"))</f>
        <v/>
      </c>
      <c r="O3298" s="20">
        <f>IF(I3298="","",C3298*IF(N3298="USD",TasaUSD,1))</f>
        <v/>
      </c>
      <c r="P3298" s="20">
        <f>IF(I3298="","",IF(I3298="Gasto",O3298,0))</f>
        <v/>
      </c>
      <c r="Q3298" s="20">
        <f>IF(I3298="","",IF(I3298="Ingreso",O3298,0))</f>
        <v/>
      </c>
      <c r="R3298" s="20">
        <f>IF(I3298="","",IF(I3298="Trading",O3298,0))</f>
        <v/>
      </c>
      <c r="S3298" s="19">
        <f>IF(I3298="","",IF(AND(I3298="Gasto",K3298="Variable",J3298&lt;&gt;"Trading",O3298&gt;0,O3298&lt;=Umbral),1,0))</f>
        <v/>
      </c>
      <c r="T3298" s="20">
        <f>IF(OR(I3298="",E3298=""),"",IF(OR(I3298="Gasto",I3298="Transferencia",I3298="Pago tarjeta"),-1,1)*C3298)</f>
        <v/>
      </c>
      <c r="U3298" s="20">
        <f>IF(OR(G3298="",AND(I3298&lt;&gt;"Transferencia",I3298&lt;&gt;"Pago tarjeta")),"",IF(IFERROR(INDEX(ctaMon,MATCH(G3298,ctaNom,0))&amp;"","DOP")=N3298,C3298,IF(N3298="USD",C3298*TasaUSD,C3298/TasaUSD)))</f>
        <v/>
      </c>
      <c r="V3298" s="20">
        <f>IF(I3298="","",IF(IFERROR(INDEX(ctaLiq,MATCH(E3298,ctaNom,0))="Sí",FALSE),IF(OR(I3298="Gasto",I3298="Transferencia",I3298="Pago tarjeta"),-1,1)*O3298,0)+IF(AND(U3298&lt;&gt;"",IFERROR(INDEX(ctaLiq,MATCH(G3298,ctaNom,0))="Sí",FALSE)),O3298,0))</f>
        <v/>
      </c>
      <c r="W3298" s="19">
        <f>IF(OR(F3298="",I3298=""),"",IF(COUNTIFS(F$6:F3298,F3298,I$6:I3298,"?*")=1,MAX(W$5:W3297)+1,""))</f>
        <v/>
      </c>
    </row>
    <row r="3299">
      <c r="B3299" s="15" t="n"/>
      <c r="C3299" s="16" t="n"/>
      <c r="D3299" s="17" t="n"/>
      <c r="E3299" s="17" t="n"/>
      <c r="F3299" s="17" t="n"/>
      <c r="G3299" s="17" t="n"/>
      <c r="H3299" s="18">
        <f>IF(AND(B3299="",C3299="",D3299="",E3299=""),"",IF(B3299="","⚠ Falta fecha",IF(C3299="","⚠ Falta monto",IF(D3299="","⚠ Falta categoría",IF(ISNA(MATCH(D3299,catNom,0)),"⚠ Categoría no existe",IF(E3299="","⚠ Falta cuenta",IF(ISNA(MATCH(E3299,ctaNom,0)),"⚠ Cuenta no existe",IF(AND(OR(I3299="Transferencia",I3299="Pago tarjeta"),G3299=""),"⚠ Indica la cuenta «Hacia»",IF(AND(G3299&lt;&gt;"",G3299=E3299),"⚠ «Hacia» igual a la cuenta",IF(AND(G3299&lt;&gt;"",ISNA(MATCH(G3299,ctaNom,0))),"⚠ «Hacia» no existe",IF(AND(I3299="Pago tarjeta",IFERROR(INDEX(ctaTipo,MATCH(G3299,ctaNom,0)),"")&lt;&gt;"Tarjeta de crédito"),"⚠ «Hacia» debe ser la tarjeta",IF(AND(I3299="Trading",IFERROR(INDEX(ctaTipo,MATCH(E3299,ctaNom,0)),"")&lt;&gt;"Cuenta de trading"),"⚠ Usa la cuenta de trading","✓"))))))))))))</f>
        <v/>
      </c>
      <c r="I3299" s="19">
        <f>IF(OR(B3299="",C3299="",D3299=""),"",IFERROR(INDEX(catTipo,MATCH(D3299,catNom,0))&amp;"",""))</f>
        <v/>
      </c>
      <c r="J3299" s="19">
        <f>IF(I3299="","",IFERROR(INDEX(catGrupo,MATCH(D3299,catNom,0))&amp;"",""))</f>
        <v/>
      </c>
      <c r="K3299" s="19">
        <f>IF(I3299="Gasto",IF(IFERROR(INDEX(catClas,MATCH(D3299,catNom,0))&amp;"","")="","Variable",IFERROR(INDEX(catClas,MATCH(D3299,catNom,0))&amp;"","")),"")</f>
        <v/>
      </c>
      <c r="L3299" s="19">
        <f>IF(I3299="","",IFERROR(INDEX(catAlim,MATCH(D3299,catNom,0))&amp;"",""))</f>
        <v/>
      </c>
      <c r="M3299" s="19">
        <f>IF(I3299="","",IFERROR(INDEX(catComida,MATCH(D3299,catNom,0))&amp;"",""))</f>
        <v/>
      </c>
      <c r="N3299" s="19">
        <f>IF(I3299="","",IFERROR(INDEX(ctaMon,MATCH(E3299,ctaNom,0))&amp;"","DOP"))</f>
        <v/>
      </c>
      <c r="O3299" s="20">
        <f>IF(I3299="","",C3299*IF(N3299="USD",TasaUSD,1))</f>
        <v/>
      </c>
      <c r="P3299" s="20">
        <f>IF(I3299="","",IF(I3299="Gasto",O3299,0))</f>
        <v/>
      </c>
      <c r="Q3299" s="20">
        <f>IF(I3299="","",IF(I3299="Ingreso",O3299,0))</f>
        <v/>
      </c>
      <c r="R3299" s="20">
        <f>IF(I3299="","",IF(I3299="Trading",O3299,0))</f>
        <v/>
      </c>
      <c r="S3299" s="19">
        <f>IF(I3299="","",IF(AND(I3299="Gasto",K3299="Variable",J3299&lt;&gt;"Trading",O3299&gt;0,O3299&lt;=Umbral),1,0))</f>
        <v/>
      </c>
      <c r="T3299" s="20">
        <f>IF(OR(I3299="",E3299=""),"",IF(OR(I3299="Gasto",I3299="Transferencia",I3299="Pago tarjeta"),-1,1)*C3299)</f>
        <v/>
      </c>
      <c r="U3299" s="20">
        <f>IF(OR(G3299="",AND(I3299&lt;&gt;"Transferencia",I3299&lt;&gt;"Pago tarjeta")),"",IF(IFERROR(INDEX(ctaMon,MATCH(G3299,ctaNom,0))&amp;"","DOP")=N3299,C3299,IF(N3299="USD",C3299*TasaUSD,C3299/TasaUSD)))</f>
        <v/>
      </c>
      <c r="V3299" s="20">
        <f>IF(I3299="","",IF(IFERROR(INDEX(ctaLiq,MATCH(E3299,ctaNom,0))="Sí",FALSE),IF(OR(I3299="Gasto",I3299="Transferencia",I3299="Pago tarjeta"),-1,1)*O3299,0)+IF(AND(U3299&lt;&gt;"",IFERROR(INDEX(ctaLiq,MATCH(G3299,ctaNom,0))="Sí",FALSE)),O3299,0))</f>
        <v/>
      </c>
      <c r="W3299" s="19">
        <f>IF(OR(F3299="",I3299=""),"",IF(COUNTIFS(F$6:F3299,F3299,I$6:I3299,"?*")=1,MAX(W$5:W3298)+1,""))</f>
        <v/>
      </c>
    </row>
    <row r="3300">
      <c r="B3300" s="15" t="n"/>
      <c r="C3300" s="16" t="n"/>
      <c r="D3300" s="17" t="n"/>
      <c r="E3300" s="17" t="n"/>
      <c r="F3300" s="17" t="n"/>
      <c r="G3300" s="17" t="n"/>
      <c r="H3300" s="18">
        <f>IF(AND(B3300="",C3300="",D3300="",E3300=""),"",IF(B3300="","⚠ Falta fecha",IF(C3300="","⚠ Falta monto",IF(D3300="","⚠ Falta categoría",IF(ISNA(MATCH(D3300,catNom,0)),"⚠ Categoría no existe",IF(E3300="","⚠ Falta cuenta",IF(ISNA(MATCH(E3300,ctaNom,0)),"⚠ Cuenta no existe",IF(AND(OR(I3300="Transferencia",I3300="Pago tarjeta"),G3300=""),"⚠ Indica la cuenta «Hacia»",IF(AND(G3300&lt;&gt;"",G3300=E3300),"⚠ «Hacia» igual a la cuenta",IF(AND(G3300&lt;&gt;"",ISNA(MATCH(G3300,ctaNom,0))),"⚠ «Hacia» no existe",IF(AND(I3300="Pago tarjeta",IFERROR(INDEX(ctaTipo,MATCH(G3300,ctaNom,0)),"")&lt;&gt;"Tarjeta de crédito"),"⚠ «Hacia» debe ser la tarjeta",IF(AND(I3300="Trading",IFERROR(INDEX(ctaTipo,MATCH(E3300,ctaNom,0)),"")&lt;&gt;"Cuenta de trading"),"⚠ Usa la cuenta de trading","✓"))))))))))))</f>
        <v/>
      </c>
      <c r="I3300" s="19">
        <f>IF(OR(B3300="",C3300="",D3300=""),"",IFERROR(INDEX(catTipo,MATCH(D3300,catNom,0))&amp;"",""))</f>
        <v/>
      </c>
      <c r="J3300" s="19">
        <f>IF(I3300="","",IFERROR(INDEX(catGrupo,MATCH(D3300,catNom,0))&amp;"",""))</f>
        <v/>
      </c>
      <c r="K3300" s="19">
        <f>IF(I3300="Gasto",IF(IFERROR(INDEX(catClas,MATCH(D3300,catNom,0))&amp;"","")="","Variable",IFERROR(INDEX(catClas,MATCH(D3300,catNom,0))&amp;"","")),"")</f>
        <v/>
      </c>
      <c r="L3300" s="19">
        <f>IF(I3300="","",IFERROR(INDEX(catAlim,MATCH(D3300,catNom,0))&amp;"",""))</f>
        <v/>
      </c>
      <c r="M3300" s="19">
        <f>IF(I3300="","",IFERROR(INDEX(catComida,MATCH(D3300,catNom,0))&amp;"",""))</f>
        <v/>
      </c>
      <c r="N3300" s="19">
        <f>IF(I3300="","",IFERROR(INDEX(ctaMon,MATCH(E3300,ctaNom,0))&amp;"","DOP"))</f>
        <v/>
      </c>
      <c r="O3300" s="20">
        <f>IF(I3300="","",C3300*IF(N3300="USD",TasaUSD,1))</f>
        <v/>
      </c>
      <c r="P3300" s="20">
        <f>IF(I3300="","",IF(I3300="Gasto",O3300,0))</f>
        <v/>
      </c>
      <c r="Q3300" s="20">
        <f>IF(I3300="","",IF(I3300="Ingreso",O3300,0))</f>
        <v/>
      </c>
      <c r="R3300" s="20">
        <f>IF(I3300="","",IF(I3300="Trading",O3300,0))</f>
        <v/>
      </c>
      <c r="S3300" s="19">
        <f>IF(I3300="","",IF(AND(I3300="Gasto",K3300="Variable",J3300&lt;&gt;"Trading",O3300&gt;0,O3300&lt;=Umbral),1,0))</f>
        <v/>
      </c>
      <c r="T3300" s="20">
        <f>IF(OR(I3300="",E3300=""),"",IF(OR(I3300="Gasto",I3300="Transferencia",I3300="Pago tarjeta"),-1,1)*C3300)</f>
        <v/>
      </c>
      <c r="U3300" s="20">
        <f>IF(OR(G3300="",AND(I3300&lt;&gt;"Transferencia",I3300&lt;&gt;"Pago tarjeta")),"",IF(IFERROR(INDEX(ctaMon,MATCH(G3300,ctaNom,0))&amp;"","DOP")=N3300,C3300,IF(N3300="USD",C3300*TasaUSD,C3300/TasaUSD)))</f>
        <v/>
      </c>
      <c r="V3300" s="20">
        <f>IF(I3300="","",IF(IFERROR(INDEX(ctaLiq,MATCH(E3300,ctaNom,0))="Sí",FALSE),IF(OR(I3300="Gasto",I3300="Transferencia",I3300="Pago tarjeta"),-1,1)*O3300,0)+IF(AND(U3300&lt;&gt;"",IFERROR(INDEX(ctaLiq,MATCH(G3300,ctaNom,0))="Sí",FALSE)),O3300,0))</f>
        <v/>
      </c>
      <c r="W3300" s="19">
        <f>IF(OR(F3300="",I3300=""),"",IF(COUNTIFS(F$6:F3300,F3300,I$6:I3300,"?*")=1,MAX(W$5:W3299)+1,""))</f>
        <v/>
      </c>
    </row>
    <row r="3301">
      <c r="B3301" s="15" t="n"/>
      <c r="C3301" s="16" t="n"/>
      <c r="D3301" s="17" t="n"/>
      <c r="E3301" s="17" t="n"/>
      <c r="F3301" s="17" t="n"/>
      <c r="G3301" s="17" t="n"/>
      <c r="H3301" s="18">
        <f>IF(AND(B3301="",C3301="",D3301="",E3301=""),"",IF(B3301="","⚠ Falta fecha",IF(C3301="","⚠ Falta monto",IF(D3301="","⚠ Falta categoría",IF(ISNA(MATCH(D3301,catNom,0)),"⚠ Categoría no existe",IF(E3301="","⚠ Falta cuenta",IF(ISNA(MATCH(E3301,ctaNom,0)),"⚠ Cuenta no existe",IF(AND(OR(I3301="Transferencia",I3301="Pago tarjeta"),G3301=""),"⚠ Indica la cuenta «Hacia»",IF(AND(G3301&lt;&gt;"",G3301=E3301),"⚠ «Hacia» igual a la cuenta",IF(AND(G3301&lt;&gt;"",ISNA(MATCH(G3301,ctaNom,0))),"⚠ «Hacia» no existe",IF(AND(I3301="Pago tarjeta",IFERROR(INDEX(ctaTipo,MATCH(G3301,ctaNom,0)),"")&lt;&gt;"Tarjeta de crédito"),"⚠ «Hacia» debe ser la tarjeta",IF(AND(I3301="Trading",IFERROR(INDEX(ctaTipo,MATCH(E3301,ctaNom,0)),"")&lt;&gt;"Cuenta de trading"),"⚠ Usa la cuenta de trading","✓"))))))))))))</f>
        <v/>
      </c>
      <c r="I3301" s="19">
        <f>IF(OR(B3301="",C3301="",D3301=""),"",IFERROR(INDEX(catTipo,MATCH(D3301,catNom,0))&amp;"",""))</f>
        <v/>
      </c>
      <c r="J3301" s="19">
        <f>IF(I3301="","",IFERROR(INDEX(catGrupo,MATCH(D3301,catNom,0))&amp;"",""))</f>
        <v/>
      </c>
      <c r="K3301" s="19">
        <f>IF(I3301="Gasto",IF(IFERROR(INDEX(catClas,MATCH(D3301,catNom,0))&amp;"","")="","Variable",IFERROR(INDEX(catClas,MATCH(D3301,catNom,0))&amp;"","")),"")</f>
        <v/>
      </c>
      <c r="L3301" s="19">
        <f>IF(I3301="","",IFERROR(INDEX(catAlim,MATCH(D3301,catNom,0))&amp;"",""))</f>
        <v/>
      </c>
      <c r="M3301" s="19">
        <f>IF(I3301="","",IFERROR(INDEX(catComida,MATCH(D3301,catNom,0))&amp;"",""))</f>
        <v/>
      </c>
      <c r="N3301" s="19">
        <f>IF(I3301="","",IFERROR(INDEX(ctaMon,MATCH(E3301,ctaNom,0))&amp;"","DOP"))</f>
        <v/>
      </c>
      <c r="O3301" s="20">
        <f>IF(I3301="","",C3301*IF(N3301="USD",TasaUSD,1))</f>
        <v/>
      </c>
      <c r="P3301" s="20">
        <f>IF(I3301="","",IF(I3301="Gasto",O3301,0))</f>
        <v/>
      </c>
      <c r="Q3301" s="20">
        <f>IF(I3301="","",IF(I3301="Ingreso",O3301,0))</f>
        <v/>
      </c>
      <c r="R3301" s="20">
        <f>IF(I3301="","",IF(I3301="Trading",O3301,0))</f>
        <v/>
      </c>
      <c r="S3301" s="19">
        <f>IF(I3301="","",IF(AND(I3301="Gasto",K3301="Variable",J3301&lt;&gt;"Trading",O3301&gt;0,O3301&lt;=Umbral),1,0))</f>
        <v/>
      </c>
      <c r="T3301" s="20">
        <f>IF(OR(I3301="",E3301=""),"",IF(OR(I3301="Gasto",I3301="Transferencia",I3301="Pago tarjeta"),-1,1)*C3301)</f>
        <v/>
      </c>
      <c r="U3301" s="20">
        <f>IF(OR(G3301="",AND(I3301&lt;&gt;"Transferencia",I3301&lt;&gt;"Pago tarjeta")),"",IF(IFERROR(INDEX(ctaMon,MATCH(G3301,ctaNom,0))&amp;"","DOP")=N3301,C3301,IF(N3301="USD",C3301*TasaUSD,C3301/TasaUSD)))</f>
        <v/>
      </c>
      <c r="V3301" s="20">
        <f>IF(I3301="","",IF(IFERROR(INDEX(ctaLiq,MATCH(E3301,ctaNom,0))="Sí",FALSE),IF(OR(I3301="Gasto",I3301="Transferencia",I3301="Pago tarjeta"),-1,1)*O3301,0)+IF(AND(U3301&lt;&gt;"",IFERROR(INDEX(ctaLiq,MATCH(G3301,ctaNom,0))="Sí",FALSE)),O3301,0))</f>
        <v/>
      </c>
      <c r="W3301" s="19">
        <f>IF(OR(F3301="",I3301=""),"",IF(COUNTIFS(F$6:F3301,F3301,I$6:I3301,"?*")=1,MAX(W$5:W3300)+1,""))</f>
        <v/>
      </c>
    </row>
    <row r="3302">
      <c r="B3302" s="15" t="n"/>
      <c r="C3302" s="16" t="n"/>
      <c r="D3302" s="17" t="n"/>
      <c r="E3302" s="17" t="n"/>
      <c r="F3302" s="17" t="n"/>
      <c r="G3302" s="17" t="n"/>
      <c r="H3302" s="18">
        <f>IF(AND(B3302="",C3302="",D3302="",E3302=""),"",IF(B3302="","⚠ Falta fecha",IF(C3302="","⚠ Falta monto",IF(D3302="","⚠ Falta categoría",IF(ISNA(MATCH(D3302,catNom,0)),"⚠ Categoría no existe",IF(E3302="","⚠ Falta cuenta",IF(ISNA(MATCH(E3302,ctaNom,0)),"⚠ Cuenta no existe",IF(AND(OR(I3302="Transferencia",I3302="Pago tarjeta"),G3302=""),"⚠ Indica la cuenta «Hacia»",IF(AND(G3302&lt;&gt;"",G3302=E3302),"⚠ «Hacia» igual a la cuenta",IF(AND(G3302&lt;&gt;"",ISNA(MATCH(G3302,ctaNom,0))),"⚠ «Hacia» no existe",IF(AND(I3302="Pago tarjeta",IFERROR(INDEX(ctaTipo,MATCH(G3302,ctaNom,0)),"")&lt;&gt;"Tarjeta de crédito"),"⚠ «Hacia» debe ser la tarjeta",IF(AND(I3302="Trading",IFERROR(INDEX(ctaTipo,MATCH(E3302,ctaNom,0)),"")&lt;&gt;"Cuenta de trading"),"⚠ Usa la cuenta de trading","✓"))))))))))))</f>
        <v/>
      </c>
      <c r="I3302" s="19">
        <f>IF(OR(B3302="",C3302="",D3302=""),"",IFERROR(INDEX(catTipo,MATCH(D3302,catNom,0))&amp;"",""))</f>
        <v/>
      </c>
      <c r="J3302" s="19">
        <f>IF(I3302="","",IFERROR(INDEX(catGrupo,MATCH(D3302,catNom,0))&amp;"",""))</f>
        <v/>
      </c>
      <c r="K3302" s="19">
        <f>IF(I3302="Gasto",IF(IFERROR(INDEX(catClas,MATCH(D3302,catNom,0))&amp;"","")="","Variable",IFERROR(INDEX(catClas,MATCH(D3302,catNom,0))&amp;"","")),"")</f>
        <v/>
      </c>
      <c r="L3302" s="19">
        <f>IF(I3302="","",IFERROR(INDEX(catAlim,MATCH(D3302,catNom,0))&amp;"",""))</f>
        <v/>
      </c>
      <c r="M3302" s="19">
        <f>IF(I3302="","",IFERROR(INDEX(catComida,MATCH(D3302,catNom,0))&amp;"",""))</f>
        <v/>
      </c>
      <c r="N3302" s="19">
        <f>IF(I3302="","",IFERROR(INDEX(ctaMon,MATCH(E3302,ctaNom,0))&amp;"","DOP"))</f>
        <v/>
      </c>
      <c r="O3302" s="20">
        <f>IF(I3302="","",C3302*IF(N3302="USD",TasaUSD,1))</f>
        <v/>
      </c>
      <c r="P3302" s="20">
        <f>IF(I3302="","",IF(I3302="Gasto",O3302,0))</f>
        <v/>
      </c>
      <c r="Q3302" s="20">
        <f>IF(I3302="","",IF(I3302="Ingreso",O3302,0))</f>
        <v/>
      </c>
      <c r="R3302" s="20">
        <f>IF(I3302="","",IF(I3302="Trading",O3302,0))</f>
        <v/>
      </c>
      <c r="S3302" s="19">
        <f>IF(I3302="","",IF(AND(I3302="Gasto",K3302="Variable",J3302&lt;&gt;"Trading",O3302&gt;0,O3302&lt;=Umbral),1,0))</f>
        <v/>
      </c>
      <c r="T3302" s="20">
        <f>IF(OR(I3302="",E3302=""),"",IF(OR(I3302="Gasto",I3302="Transferencia",I3302="Pago tarjeta"),-1,1)*C3302)</f>
        <v/>
      </c>
      <c r="U3302" s="20">
        <f>IF(OR(G3302="",AND(I3302&lt;&gt;"Transferencia",I3302&lt;&gt;"Pago tarjeta")),"",IF(IFERROR(INDEX(ctaMon,MATCH(G3302,ctaNom,0))&amp;"","DOP")=N3302,C3302,IF(N3302="USD",C3302*TasaUSD,C3302/TasaUSD)))</f>
        <v/>
      </c>
      <c r="V3302" s="20">
        <f>IF(I3302="","",IF(IFERROR(INDEX(ctaLiq,MATCH(E3302,ctaNom,0))="Sí",FALSE),IF(OR(I3302="Gasto",I3302="Transferencia",I3302="Pago tarjeta"),-1,1)*O3302,0)+IF(AND(U3302&lt;&gt;"",IFERROR(INDEX(ctaLiq,MATCH(G3302,ctaNom,0))="Sí",FALSE)),O3302,0))</f>
        <v/>
      </c>
      <c r="W3302" s="19">
        <f>IF(OR(F3302="",I3302=""),"",IF(COUNTIFS(F$6:F3302,F3302,I$6:I3302,"?*")=1,MAX(W$5:W3301)+1,""))</f>
        <v/>
      </c>
    </row>
    <row r="3303">
      <c r="B3303" s="15" t="n"/>
      <c r="C3303" s="16" t="n"/>
      <c r="D3303" s="17" t="n"/>
      <c r="E3303" s="17" t="n"/>
      <c r="F3303" s="17" t="n"/>
      <c r="G3303" s="17" t="n"/>
      <c r="H3303" s="18">
        <f>IF(AND(B3303="",C3303="",D3303="",E3303=""),"",IF(B3303="","⚠ Falta fecha",IF(C3303="","⚠ Falta monto",IF(D3303="","⚠ Falta categoría",IF(ISNA(MATCH(D3303,catNom,0)),"⚠ Categoría no existe",IF(E3303="","⚠ Falta cuenta",IF(ISNA(MATCH(E3303,ctaNom,0)),"⚠ Cuenta no existe",IF(AND(OR(I3303="Transferencia",I3303="Pago tarjeta"),G3303=""),"⚠ Indica la cuenta «Hacia»",IF(AND(G3303&lt;&gt;"",G3303=E3303),"⚠ «Hacia» igual a la cuenta",IF(AND(G3303&lt;&gt;"",ISNA(MATCH(G3303,ctaNom,0))),"⚠ «Hacia» no existe",IF(AND(I3303="Pago tarjeta",IFERROR(INDEX(ctaTipo,MATCH(G3303,ctaNom,0)),"")&lt;&gt;"Tarjeta de crédito"),"⚠ «Hacia» debe ser la tarjeta",IF(AND(I3303="Trading",IFERROR(INDEX(ctaTipo,MATCH(E3303,ctaNom,0)),"")&lt;&gt;"Cuenta de trading"),"⚠ Usa la cuenta de trading","✓"))))))))))))</f>
        <v/>
      </c>
      <c r="I3303" s="19">
        <f>IF(OR(B3303="",C3303="",D3303=""),"",IFERROR(INDEX(catTipo,MATCH(D3303,catNom,0))&amp;"",""))</f>
        <v/>
      </c>
      <c r="J3303" s="19">
        <f>IF(I3303="","",IFERROR(INDEX(catGrupo,MATCH(D3303,catNom,0))&amp;"",""))</f>
        <v/>
      </c>
      <c r="K3303" s="19">
        <f>IF(I3303="Gasto",IF(IFERROR(INDEX(catClas,MATCH(D3303,catNom,0))&amp;"","")="","Variable",IFERROR(INDEX(catClas,MATCH(D3303,catNom,0))&amp;"","")),"")</f>
        <v/>
      </c>
      <c r="L3303" s="19">
        <f>IF(I3303="","",IFERROR(INDEX(catAlim,MATCH(D3303,catNom,0))&amp;"",""))</f>
        <v/>
      </c>
      <c r="M3303" s="19">
        <f>IF(I3303="","",IFERROR(INDEX(catComida,MATCH(D3303,catNom,0))&amp;"",""))</f>
        <v/>
      </c>
      <c r="N3303" s="19">
        <f>IF(I3303="","",IFERROR(INDEX(ctaMon,MATCH(E3303,ctaNom,0))&amp;"","DOP"))</f>
        <v/>
      </c>
      <c r="O3303" s="20">
        <f>IF(I3303="","",C3303*IF(N3303="USD",TasaUSD,1))</f>
        <v/>
      </c>
      <c r="P3303" s="20">
        <f>IF(I3303="","",IF(I3303="Gasto",O3303,0))</f>
        <v/>
      </c>
      <c r="Q3303" s="20">
        <f>IF(I3303="","",IF(I3303="Ingreso",O3303,0))</f>
        <v/>
      </c>
      <c r="R3303" s="20">
        <f>IF(I3303="","",IF(I3303="Trading",O3303,0))</f>
        <v/>
      </c>
      <c r="S3303" s="19">
        <f>IF(I3303="","",IF(AND(I3303="Gasto",K3303="Variable",J3303&lt;&gt;"Trading",O3303&gt;0,O3303&lt;=Umbral),1,0))</f>
        <v/>
      </c>
      <c r="T3303" s="20">
        <f>IF(OR(I3303="",E3303=""),"",IF(OR(I3303="Gasto",I3303="Transferencia",I3303="Pago tarjeta"),-1,1)*C3303)</f>
        <v/>
      </c>
      <c r="U3303" s="20">
        <f>IF(OR(G3303="",AND(I3303&lt;&gt;"Transferencia",I3303&lt;&gt;"Pago tarjeta")),"",IF(IFERROR(INDEX(ctaMon,MATCH(G3303,ctaNom,0))&amp;"","DOP")=N3303,C3303,IF(N3303="USD",C3303*TasaUSD,C3303/TasaUSD)))</f>
        <v/>
      </c>
      <c r="V3303" s="20">
        <f>IF(I3303="","",IF(IFERROR(INDEX(ctaLiq,MATCH(E3303,ctaNom,0))="Sí",FALSE),IF(OR(I3303="Gasto",I3303="Transferencia",I3303="Pago tarjeta"),-1,1)*O3303,0)+IF(AND(U3303&lt;&gt;"",IFERROR(INDEX(ctaLiq,MATCH(G3303,ctaNom,0))="Sí",FALSE)),O3303,0))</f>
        <v/>
      </c>
      <c r="W3303" s="19">
        <f>IF(OR(F3303="",I3303=""),"",IF(COUNTIFS(F$6:F3303,F3303,I$6:I3303,"?*")=1,MAX(W$5:W3302)+1,""))</f>
        <v/>
      </c>
    </row>
    <row r="3304">
      <c r="B3304" s="15" t="n"/>
      <c r="C3304" s="16" t="n"/>
      <c r="D3304" s="17" t="n"/>
      <c r="E3304" s="17" t="n"/>
      <c r="F3304" s="17" t="n"/>
      <c r="G3304" s="17" t="n"/>
      <c r="H3304" s="18">
        <f>IF(AND(B3304="",C3304="",D3304="",E3304=""),"",IF(B3304="","⚠ Falta fecha",IF(C3304="","⚠ Falta monto",IF(D3304="","⚠ Falta categoría",IF(ISNA(MATCH(D3304,catNom,0)),"⚠ Categoría no existe",IF(E3304="","⚠ Falta cuenta",IF(ISNA(MATCH(E3304,ctaNom,0)),"⚠ Cuenta no existe",IF(AND(OR(I3304="Transferencia",I3304="Pago tarjeta"),G3304=""),"⚠ Indica la cuenta «Hacia»",IF(AND(G3304&lt;&gt;"",G3304=E3304),"⚠ «Hacia» igual a la cuenta",IF(AND(G3304&lt;&gt;"",ISNA(MATCH(G3304,ctaNom,0))),"⚠ «Hacia» no existe",IF(AND(I3304="Pago tarjeta",IFERROR(INDEX(ctaTipo,MATCH(G3304,ctaNom,0)),"")&lt;&gt;"Tarjeta de crédito"),"⚠ «Hacia» debe ser la tarjeta",IF(AND(I3304="Trading",IFERROR(INDEX(ctaTipo,MATCH(E3304,ctaNom,0)),"")&lt;&gt;"Cuenta de trading"),"⚠ Usa la cuenta de trading","✓"))))))))))))</f>
        <v/>
      </c>
      <c r="I3304" s="19">
        <f>IF(OR(B3304="",C3304="",D3304=""),"",IFERROR(INDEX(catTipo,MATCH(D3304,catNom,0))&amp;"",""))</f>
        <v/>
      </c>
      <c r="J3304" s="19">
        <f>IF(I3304="","",IFERROR(INDEX(catGrupo,MATCH(D3304,catNom,0))&amp;"",""))</f>
        <v/>
      </c>
      <c r="K3304" s="19">
        <f>IF(I3304="Gasto",IF(IFERROR(INDEX(catClas,MATCH(D3304,catNom,0))&amp;"","")="","Variable",IFERROR(INDEX(catClas,MATCH(D3304,catNom,0))&amp;"","")),"")</f>
        <v/>
      </c>
      <c r="L3304" s="19">
        <f>IF(I3304="","",IFERROR(INDEX(catAlim,MATCH(D3304,catNom,0))&amp;"",""))</f>
        <v/>
      </c>
      <c r="M3304" s="19">
        <f>IF(I3304="","",IFERROR(INDEX(catComida,MATCH(D3304,catNom,0))&amp;"",""))</f>
        <v/>
      </c>
      <c r="N3304" s="19">
        <f>IF(I3304="","",IFERROR(INDEX(ctaMon,MATCH(E3304,ctaNom,0))&amp;"","DOP"))</f>
        <v/>
      </c>
      <c r="O3304" s="20">
        <f>IF(I3304="","",C3304*IF(N3304="USD",TasaUSD,1))</f>
        <v/>
      </c>
      <c r="P3304" s="20">
        <f>IF(I3304="","",IF(I3304="Gasto",O3304,0))</f>
        <v/>
      </c>
      <c r="Q3304" s="20">
        <f>IF(I3304="","",IF(I3304="Ingreso",O3304,0))</f>
        <v/>
      </c>
      <c r="R3304" s="20">
        <f>IF(I3304="","",IF(I3304="Trading",O3304,0))</f>
        <v/>
      </c>
      <c r="S3304" s="19">
        <f>IF(I3304="","",IF(AND(I3304="Gasto",K3304="Variable",J3304&lt;&gt;"Trading",O3304&gt;0,O3304&lt;=Umbral),1,0))</f>
        <v/>
      </c>
      <c r="T3304" s="20">
        <f>IF(OR(I3304="",E3304=""),"",IF(OR(I3304="Gasto",I3304="Transferencia",I3304="Pago tarjeta"),-1,1)*C3304)</f>
        <v/>
      </c>
      <c r="U3304" s="20">
        <f>IF(OR(G3304="",AND(I3304&lt;&gt;"Transferencia",I3304&lt;&gt;"Pago tarjeta")),"",IF(IFERROR(INDEX(ctaMon,MATCH(G3304,ctaNom,0))&amp;"","DOP")=N3304,C3304,IF(N3304="USD",C3304*TasaUSD,C3304/TasaUSD)))</f>
        <v/>
      </c>
      <c r="V3304" s="20">
        <f>IF(I3304="","",IF(IFERROR(INDEX(ctaLiq,MATCH(E3304,ctaNom,0))="Sí",FALSE),IF(OR(I3304="Gasto",I3304="Transferencia",I3304="Pago tarjeta"),-1,1)*O3304,0)+IF(AND(U3304&lt;&gt;"",IFERROR(INDEX(ctaLiq,MATCH(G3304,ctaNom,0))="Sí",FALSE)),O3304,0))</f>
        <v/>
      </c>
      <c r="W3304" s="19">
        <f>IF(OR(F3304="",I3304=""),"",IF(COUNTIFS(F$6:F3304,F3304,I$6:I3304,"?*")=1,MAX(W$5:W3303)+1,""))</f>
        <v/>
      </c>
    </row>
    <row r="3305">
      <c r="B3305" s="15" t="n"/>
      <c r="C3305" s="16" t="n"/>
      <c r="D3305" s="17" t="n"/>
      <c r="E3305" s="17" t="n"/>
      <c r="F3305" s="17" t="n"/>
      <c r="G3305" s="17" t="n"/>
      <c r="H3305" s="18">
        <f>IF(AND(B3305="",C3305="",D3305="",E3305=""),"",IF(B3305="","⚠ Falta fecha",IF(C3305="","⚠ Falta monto",IF(D3305="","⚠ Falta categoría",IF(ISNA(MATCH(D3305,catNom,0)),"⚠ Categoría no existe",IF(E3305="","⚠ Falta cuenta",IF(ISNA(MATCH(E3305,ctaNom,0)),"⚠ Cuenta no existe",IF(AND(OR(I3305="Transferencia",I3305="Pago tarjeta"),G3305=""),"⚠ Indica la cuenta «Hacia»",IF(AND(G3305&lt;&gt;"",G3305=E3305),"⚠ «Hacia» igual a la cuenta",IF(AND(G3305&lt;&gt;"",ISNA(MATCH(G3305,ctaNom,0))),"⚠ «Hacia» no existe",IF(AND(I3305="Pago tarjeta",IFERROR(INDEX(ctaTipo,MATCH(G3305,ctaNom,0)),"")&lt;&gt;"Tarjeta de crédito"),"⚠ «Hacia» debe ser la tarjeta",IF(AND(I3305="Trading",IFERROR(INDEX(ctaTipo,MATCH(E3305,ctaNom,0)),"")&lt;&gt;"Cuenta de trading"),"⚠ Usa la cuenta de trading","✓"))))))))))))</f>
        <v/>
      </c>
      <c r="I3305" s="19">
        <f>IF(OR(B3305="",C3305="",D3305=""),"",IFERROR(INDEX(catTipo,MATCH(D3305,catNom,0))&amp;"",""))</f>
        <v/>
      </c>
      <c r="J3305" s="19">
        <f>IF(I3305="","",IFERROR(INDEX(catGrupo,MATCH(D3305,catNom,0))&amp;"",""))</f>
        <v/>
      </c>
      <c r="K3305" s="19">
        <f>IF(I3305="Gasto",IF(IFERROR(INDEX(catClas,MATCH(D3305,catNom,0))&amp;"","")="","Variable",IFERROR(INDEX(catClas,MATCH(D3305,catNom,0))&amp;"","")),"")</f>
        <v/>
      </c>
      <c r="L3305" s="19">
        <f>IF(I3305="","",IFERROR(INDEX(catAlim,MATCH(D3305,catNom,0))&amp;"",""))</f>
        <v/>
      </c>
      <c r="M3305" s="19">
        <f>IF(I3305="","",IFERROR(INDEX(catComida,MATCH(D3305,catNom,0))&amp;"",""))</f>
        <v/>
      </c>
      <c r="N3305" s="19">
        <f>IF(I3305="","",IFERROR(INDEX(ctaMon,MATCH(E3305,ctaNom,0))&amp;"","DOP"))</f>
        <v/>
      </c>
      <c r="O3305" s="20">
        <f>IF(I3305="","",C3305*IF(N3305="USD",TasaUSD,1))</f>
        <v/>
      </c>
      <c r="P3305" s="20">
        <f>IF(I3305="","",IF(I3305="Gasto",O3305,0))</f>
        <v/>
      </c>
      <c r="Q3305" s="20">
        <f>IF(I3305="","",IF(I3305="Ingreso",O3305,0))</f>
        <v/>
      </c>
      <c r="R3305" s="20">
        <f>IF(I3305="","",IF(I3305="Trading",O3305,0))</f>
        <v/>
      </c>
      <c r="S3305" s="19">
        <f>IF(I3305="","",IF(AND(I3305="Gasto",K3305="Variable",J3305&lt;&gt;"Trading",O3305&gt;0,O3305&lt;=Umbral),1,0))</f>
        <v/>
      </c>
      <c r="T3305" s="20">
        <f>IF(OR(I3305="",E3305=""),"",IF(OR(I3305="Gasto",I3305="Transferencia",I3305="Pago tarjeta"),-1,1)*C3305)</f>
        <v/>
      </c>
      <c r="U3305" s="20">
        <f>IF(OR(G3305="",AND(I3305&lt;&gt;"Transferencia",I3305&lt;&gt;"Pago tarjeta")),"",IF(IFERROR(INDEX(ctaMon,MATCH(G3305,ctaNom,0))&amp;"","DOP")=N3305,C3305,IF(N3305="USD",C3305*TasaUSD,C3305/TasaUSD)))</f>
        <v/>
      </c>
      <c r="V3305" s="20">
        <f>IF(I3305="","",IF(IFERROR(INDEX(ctaLiq,MATCH(E3305,ctaNom,0))="Sí",FALSE),IF(OR(I3305="Gasto",I3305="Transferencia",I3305="Pago tarjeta"),-1,1)*O3305,0)+IF(AND(U3305&lt;&gt;"",IFERROR(INDEX(ctaLiq,MATCH(G3305,ctaNom,0))="Sí",FALSE)),O3305,0))</f>
        <v/>
      </c>
      <c r="W3305" s="19">
        <f>IF(OR(F3305="",I3305=""),"",IF(COUNTIFS(F$6:F3305,F3305,I$6:I3305,"?*")=1,MAX(W$5:W3304)+1,""))</f>
        <v/>
      </c>
    </row>
    <row r="3306">
      <c r="B3306" s="15" t="n"/>
      <c r="C3306" s="16" t="n"/>
      <c r="D3306" s="17" t="n"/>
      <c r="E3306" s="17" t="n"/>
      <c r="F3306" s="17" t="n"/>
      <c r="G3306" s="17" t="n"/>
      <c r="H3306" s="18">
        <f>IF(AND(B3306="",C3306="",D3306="",E3306=""),"",IF(B3306="","⚠ Falta fecha",IF(C3306="","⚠ Falta monto",IF(D3306="","⚠ Falta categoría",IF(ISNA(MATCH(D3306,catNom,0)),"⚠ Categoría no existe",IF(E3306="","⚠ Falta cuenta",IF(ISNA(MATCH(E3306,ctaNom,0)),"⚠ Cuenta no existe",IF(AND(OR(I3306="Transferencia",I3306="Pago tarjeta"),G3306=""),"⚠ Indica la cuenta «Hacia»",IF(AND(G3306&lt;&gt;"",G3306=E3306),"⚠ «Hacia» igual a la cuenta",IF(AND(G3306&lt;&gt;"",ISNA(MATCH(G3306,ctaNom,0))),"⚠ «Hacia» no existe",IF(AND(I3306="Pago tarjeta",IFERROR(INDEX(ctaTipo,MATCH(G3306,ctaNom,0)),"")&lt;&gt;"Tarjeta de crédito"),"⚠ «Hacia» debe ser la tarjeta",IF(AND(I3306="Trading",IFERROR(INDEX(ctaTipo,MATCH(E3306,ctaNom,0)),"")&lt;&gt;"Cuenta de trading"),"⚠ Usa la cuenta de trading","✓"))))))))))))</f>
        <v/>
      </c>
      <c r="I3306" s="19">
        <f>IF(OR(B3306="",C3306="",D3306=""),"",IFERROR(INDEX(catTipo,MATCH(D3306,catNom,0))&amp;"",""))</f>
        <v/>
      </c>
      <c r="J3306" s="19">
        <f>IF(I3306="","",IFERROR(INDEX(catGrupo,MATCH(D3306,catNom,0))&amp;"",""))</f>
        <v/>
      </c>
      <c r="K3306" s="19">
        <f>IF(I3306="Gasto",IF(IFERROR(INDEX(catClas,MATCH(D3306,catNom,0))&amp;"","")="","Variable",IFERROR(INDEX(catClas,MATCH(D3306,catNom,0))&amp;"","")),"")</f>
        <v/>
      </c>
      <c r="L3306" s="19">
        <f>IF(I3306="","",IFERROR(INDEX(catAlim,MATCH(D3306,catNom,0))&amp;"",""))</f>
        <v/>
      </c>
      <c r="M3306" s="19">
        <f>IF(I3306="","",IFERROR(INDEX(catComida,MATCH(D3306,catNom,0))&amp;"",""))</f>
        <v/>
      </c>
      <c r="N3306" s="19">
        <f>IF(I3306="","",IFERROR(INDEX(ctaMon,MATCH(E3306,ctaNom,0))&amp;"","DOP"))</f>
        <v/>
      </c>
      <c r="O3306" s="20">
        <f>IF(I3306="","",C3306*IF(N3306="USD",TasaUSD,1))</f>
        <v/>
      </c>
      <c r="P3306" s="20">
        <f>IF(I3306="","",IF(I3306="Gasto",O3306,0))</f>
        <v/>
      </c>
      <c r="Q3306" s="20">
        <f>IF(I3306="","",IF(I3306="Ingreso",O3306,0))</f>
        <v/>
      </c>
      <c r="R3306" s="20">
        <f>IF(I3306="","",IF(I3306="Trading",O3306,0))</f>
        <v/>
      </c>
      <c r="S3306" s="19">
        <f>IF(I3306="","",IF(AND(I3306="Gasto",K3306="Variable",J3306&lt;&gt;"Trading",O3306&gt;0,O3306&lt;=Umbral),1,0))</f>
        <v/>
      </c>
      <c r="T3306" s="20">
        <f>IF(OR(I3306="",E3306=""),"",IF(OR(I3306="Gasto",I3306="Transferencia",I3306="Pago tarjeta"),-1,1)*C3306)</f>
        <v/>
      </c>
      <c r="U3306" s="20">
        <f>IF(OR(G3306="",AND(I3306&lt;&gt;"Transferencia",I3306&lt;&gt;"Pago tarjeta")),"",IF(IFERROR(INDEX(ctaMon,MATCH(G3306,ctaNom,0))&amp;"","DOP")=N3306,C3306,IF(N3306="USD",C3306*TasaUSD,C3306/TasaUSD)))</f>
        <v/>
      </c>
      <c r="V3306" s="20">
        <f>IF(I3306="","",IF(IFERROR(INDEX(ctaLiq,MATCH(E3306,ctaNom,0))="Sí",FALSE),IF(OR(I3306="Gasto",I3306="Transferencia",I3306="Pago tarjeta"),-1,1)*O3306,0)+IF(AND(U3306&lt;&gt;"",IFERROR(INDEX(ctaLiq,MATCH(G3306,ctaNom,0))="Sí",FALSE)),O3306,0))</f>
        <v/>
      </c>
      <c r="W3306" s="19">
        <f>IF(OR(F3306="",I3306=""),"",IF(COUNTIFS(F$6:F3306,F3306,I$6:I3306,"?*")=1,MAX(W$5:W3305)+1,""))</f>
        <v/>
      </c>
    </row>
    <row r="3307">
      <c r="B3307" s="15" t="n"/>
      <c r="C3307" s="16" t="n"/>
      <c r="D3307" s="17" t="n"/>
      <c r="E3307" s="17" t="n"/>
      <c r="F3307" s="17" t="n"/>
      <c r="G3307" s="17" t="n"/>
      <c r="H3307" s="18">
        <f>IF(AND(B3307="",C3307="",D3307="",E3307=""),"",IF(B3307="","⚠ Falta fecha",IF(C3307="","⚠ Falta monto",IF(D3307="","⚠ Falta categoría",IF(ISNA(MATCH(D3307,catNom,0)),"⚠ Categoría no existe",IF(E3307="","⚠ Falta cuenta",IF(ISNA(MATCH(E3307,ctaNom,0)),"⚠ Cuenta no existe",IF(AND(OR(I3307="Transferencia",I3307="Pago tarjeta"),G3307=""),"⚠ Indica la cuenta «Hacia»",IF(AND(G3307&lt;&gt;"",G3307=E3307),"⚠ «Hacia» igual a la cuenta",IF(AND(G3307&lt;&gt;"",ISNA(MATCH(G3307,ctaNom,0))),"⚠ «Hacia» no existe",IF(AND(I3307="Pago tarjeta",IFERROR(INDEX(ctaTipo,MATCH(G3307,ctaNom,0)),"")&lt;&gt;"Tarjeta de crédito"),"⚠ «Hacia» debe ser la tarjeta",IF(AND(I3307="Trading",IFERROR(INDEX(ctaTipo,MATCH(E3307,ctaNom,0)),"")&lt;&gt;"Cuenta de trading"),"⚠ Usa la cuenta de trading","✓"))))))))))))</f>
        <v/>
      </c>
      <c r="I3307" s="19">
        <f>IF(OR(B3307="",C3307="",D3307=""),"",IFERROR(INDEX(catTipo,MATCH(D3307,catNom,0))&amp;"",""))</f>
        <v/>
      </c>
      <c r="J3307" s="19">
        <f>IF(I3307="","",IFERROR(INDEX(catGrupo,MATCH(D3307,catNom,0))&amp;"",""))</f>
        <v/>
      </c>
      <c r="K3307" s="19">
        <f>IF(I3307="Gasto",IF(IFERROR(INDEX(catClas,MATCH(D3307,catNom,0))&amp;"","")="","Variable",IFERROR(INDEX(catClas,MATCH(D3307,catNom,0))&amp;"","")),"")</f>
        <v/>
      </c>
      <c r="L3307" s="19">
        <f>IF(I3307="","",IFERROR(INDEX(catAlim,MATCH(D3307,catNom,0))&amp;"",""))</f>
        <v/>
      </c>
      <c r="M3307" s="19">
        <f>IF(I3307="","",IFERROR(INDEX(catComida,MATCH(D3307,catNom,0))&amp;"",""))</f>
        <v/>
      </c>
      <c r="N3307" s="19">
        <f>IF(I3307="","",IFERROR(INDEX(ctaMon,MATCH(E3307,ctaNom,0))&amp;"","DOP"))</f>
        <v/>
      </c>
      <c r="O3307" s="20">
        <f>IF(I3307="","",C3307*IF(N3307="USD",TasaUSD,1))</f>
        <v/>
      </c>
      <c r="P3307" s="20">
        <f>IF(I3307="","",IF(I3307="Gasto",O3307,0))</f>
        <v/>
      </c>
      <c r="Q3307" s="20">
        <f>IF(I3307="","",IF(I3307="Ingreso",O3307,0))</f>
        <v/>
      </c>
      <c r="R3307" s="20">
        <f>IF(I3307="","",IF(I3307="Trading",O3307,0))</f>
        <v/>
      </c>
      <c r="S3307" s="19">
        <f>IF(I3307="","",IF(AND(I3307="Gasto",K3307="Variable",J3307&lt;&gt;"Trading",O3307&gt;0,O3307&lt;=Umbral),1,0))</f>
        <v/>
      </c>
      <c r="T3307" s="20">
        <f>IF(OR(I3307="",E3307=""),"",IF(OR(I3307="Gasto",I3307="Transferencia",I3307="Pago tarjeta"),-1,1)*C3307)</f>
        <v/>
      </c>
      <c r="U3307" s="20">
        <f>IF(OR(G3307="",AND(I3307&lt;&gt;"Transferencia",I3307&lt;&gt;"Pago tarjeta")),"",IF(IFERROR(INDEX(ctaMon,MATCH(G3307,ctaNom,0))&amp;"","DOP")=N3307,C3307,IF(N3307="USD",C3307*TasaUSD,C3307/TasaUSD)))</f>
        <v/>
      </c>
      <c r="V3307" s="20">
        <f>IF(I3307="","",IF(IFERROR(INDEX(ctaLiq,MATCH(E3307,ctaNom,0))="Sí",FALSE),IF(OR(I3307="Gasto",I3307="Transferencia",I3307="Pago tarjeta"),-1,1)*O3307,0)+IF(AND(U3307&lt;&gt;"",IFERROR(INDEX(ctaLiq,MATCH(G3307,ctaNom,0))="Sí",FALSE)),O3307,0))</f>
        <v/>
      </c>
      <c r="W3307" s="19">
        <f>IF(OR(F3307="",I3307=""),"",IF(COUNTIFS(F$6:F3307,F3307,I$6:I3307,"?*")=1,MAX(W$5:W3306)+1,""))</f>
        <v/>
      </c>
    </row>
    <row r="3308">
      <c r="B3308" s="15" t="n"/>
      <c r="C3308" s="16" t="n"/>
      <c r="D3308" s="17" t="n"/>
      <c r="E3308" s="17" t="n"/>
      <c r="F3308" s="17" t="n"/>
      <c r="G3308" s="17" t="n"/>
      <c r="H3308" s="18">
        <f>IF(AND(B3308="",C3308="",D3308="",E3308=""),"",IF(B3308="","⚠ Falta fecha",IF(C3308="","⚠ Falta monto",IF(D3308="","⚠ Falta categoría",IF(ISNA(MATCH(D3308,catNom,0)),"⚠ Categoría no existe",IF(E3308="","⚠ Falta cuenta",IF(ISNA(MATCH(E3308,ctaNom,0)),"⚠ Cuenta no existe",IF(AND(OR(I3308="Transferencia",I3308="Pago tarjeta"),G3308=""),"⚠ Indica la cuenta «Hacia»",IF(AND(G3308&lt;&gt;"",G3308=E3308),"⚠ «Hacia» igual a la cuenta",IF(AND(G3308&lt;&gt;"",ISNA(MATCH(G3308,ctaNom,0))),"⚠ «Hacia» no existe",IF(AND(I3308="Pago tarjeta",IFERROR(INDEX(ctaTipo,MATCH(G3308,ctaNom,0)),"")&lt;&gt;"Tarjeta de crédito"),"⚠ «Hacia» debe ser la tarjeta",IF(AND(I3308="Trading",IFERROR(INDEX(ctaTipo,MATCH(E3308,ctaNom,0)),"")&lt;&gt;"Cuenta de trading"),"⚠ Usa la cuenta de trading","✓"))))))))))))</f>
        <v/>
      </c>
      <c r="I3308" s="19">
        <f>IF(OR(B3308="",C3308="",D3308=""),"",IFERROR(INDEX(catTipo,MATCH(D3308,catNom,0))&amp;"",""))</f>
        <v/>
      </c>
      <c r="J3308" s="19">
        <f>IF(I3308="","",IFERROR(INDEX(catGrupo,MATCH(D3308,catNom,0))&amp;"",""))</f>
        <v/>
      </c>
      <c r="K3308" s="19">
        <f>IF(I3308="Gasto",IF(IFERROR(INDEX(catClas,MATCH(D3308,catNom,0))&amp;"","")="","Variable",IFERROR(INDEX(catClas,MATCH(D3308,catNom,0))&amp;"","")),"")</f>
        <v/>
      </c>
      <c r="L3308" s="19">
        <f>IF(I3308="","",IFERROR(INDEX(catAlim,MATCH(D3308,catNom,0))&amp;"",""))</f>
        <v/>
      </c>
      <c r="M3308" s="19">
        <f>IF(I3308="","",IFERROR(INDEX(catComida,MATCH(D3308,catNom,0))&amp;"",""))</f>
        <v/>
      </c>
      <c r="N3308" s="19">
        <f>IF(I3308="","",IFERROR(INDEX(ctaMon,MATCH(E3308,ctaNom,0))&amp;"","DOP"))</f>
        <v/>
      </c>
      <c r="O3308" s="20">
        <f>IF(I3308="","",C3308*IF(N3308="USD",TasaUSD,1))</f>
        <v/>
      </c>
      <c r="P3308" s="20">
        <f>IF(I3308="","",IF(I3308="Gasto",O3308,0))</f>
        <v/>
      </c>
      <c r="Q3308" s="20">
        <f>IF(I3308="","",IF(I3308="Ingreso",O3308,0))</f>
        <v/>
      </c>
      <c r="R3308" s="20">
        <f>IF(I3308="","",IF(I3308="Trading",O3308,0))</f>
        <v/>
      </c>
      <c r="S3308" s="19">
        <f>IF(I3308="","",IF(AND(I3308="Gasto",K3308="Variable",J3308&lt;&gt;"Trading",O3308&gt;0,O3308&lt;=Umbral),1,0))</f>
        <v/>
      </c>
      <c r="T3308" s="20">
        <f>IF(OR(I3308="",E3308=""),"",IF(OR(I3308="Gasto",I3308="Transferencia",I3308="Pago tarjeta"),-1,1)*C3308)</f>
        <v/>
      </c>
      <c r="U3308" s="20">
        <f>IF(OR(G3308="",AND(I3308&lt;&gt;"Transferencia",I3308&lt;&gt;"Pago tarjeta")),"",IF(IFERROR(INDEX(ctaMon,MATCH(G3308,ctaNom,0))&amp;"","DOP")=N3308,C3308,IF(N3308="USD",C3308*TasaUSD,C3308/TasaUSD)))</f>
        <v/>
      </c>
      <c r="V3308" s="20">
        <f>IF(I3308="","",IF(IFERROR(INDEX(ctaLiq,MATCH(E3308,ctaNom,0))="Sí",FALSE),IF(OR(I3308="Gasto",I3308="Transferencia",I3308="Pago tarjeta"),-1,1)*O3308,0)+IF(AND(U3308&lt;&gt;"",IFERROR(INDEX(ctaLiq,MATCH(G3308,ctaNom,0))="Sí",FALSE)),O3308,0))</f>
        <v/>
      </c>
      <c r="W3308" s="19">
        <f>IF(OR(F3308="",I3308=""),"",IF(COUNTIFS(F$6:F3308,F3308,I$6:I3308,"?*")=1,MAX(W$5:W3307)+1,""))</f>
        <v/>
      </c>
    </row>
    <row r="3309">
      <c r="B3309" s="15" t="n"/>
      <c r="C3309" s="16" t="n"/>
      <c r="D3309" s="17" t="n"/>
      <c r="E3309" s="17" t="n"/>
      <c r="F3309" s="17" t="n"/>
      <c r="G3309" s="17" t="n"/>
      <c r="H3309" s="18">
        <f>IF(AND(B3309="",C3309="",D3309="",E3309=""),"",IF(B3309="","⚠ Falta fecha",IF(C3309="","⚠ Falta monto",IF(D3309="","⚠ Falta categoría",IF(ISNA(MATCH(D3309,catNom,0)),"⚠ Categoría no existe",IF(E3309="","⚠ Falta cuenta",IF(ISNA(MATCH(E3309,ctaNom,0)),"⚠ Cuenta no existe",IF(AND(OR(I3309="Transferencia",I3309="Pago tarjeta"),G3309=""),"⚠ Indica la cuenta «Hacia»",IF(AND(G3309&lt;&gt;"",G3309=E3309),"⚠ «Hacia» igual a la cuenta",IF(AND(G3309&lt;&gt;"",ISNA(MATCH(G3309,ctaNom,0))),"⚠ «Hacia» no existe",IF(AND(I3309="Pago tarjeta",IFERROR(INDEX(ctaTipo,MATCH(G3309,ctaNom,0)),"")&lt;&gt;"Tarjeta de crédito"),"⚠ «Hacia» debe ser la tarjeta",IF(AND(I3309="Trading",IFERROR(INDEX(ctaTipo,MATCH(E3309,ctaNom,0)),"")&lt;&gt;"Cuenta de trading"),"⚠ Usa la cuenta de trading","✓"))))))))))))</f>
        <v/>
      </c>
      <c r="I3309" s="19">
        <f>IF(OR(B3309="",C3309="",D3309=""),"",IFERROR(INDEX(catTipo,MATCH(D3309,catNom,0))&amp;"",""))</f>
        <v/>
      </c>
      <c r="J3309" s="19">
        <f>IF(I3309="","",IFERROR(INDEX(catGrupo,MATCH(D3309,catNom,0))&amp;"",""))</f>
        <v/>
      </c>
      <c r="K3309" s="19">
        <f>IF(I3309="Gasto",IF(IFERROR(INDEX(catClas,MATCH(D3309,catNom,0))&amp;"","")="","Variable",IFERROR(INDEX(catClas,MATCH(D3309,catNom,0))&amp;"","")),"")</f>
        <v/>
      </c>
      <c r="L3309" s="19">
        <f>IF(I3309="","",IFERROR(INDEX(catAlim,MATCH(D3309,catNom,0))&amp;"",""))</f>
        <v/>
      </c>
      <c r="M3309" s="19">
        <f>IF(I3309="","",IFERROR(INDEX(catComida,MATCH(D3309,catNom,0))&amp;"",""))</f>
        <v/>
      </c>
      <c r="N3309" s="19">
        <f>IF(I3309="","",IFERROR(INDEX(ctaMon,MATCH(E3309,ctaNom,0))&amp;"","DOP"))</f>
        <v/>
      </c>
      <c r="O3309" s="20">
        <f>IF(I3309="","",C3309*IF(N3309="USD",TasaUSD,1))</f>
        <v/>
      </c>
      <c r="P3309" s="20">
        <f>IF(I3309="","",IF(I3309="Gasto",O3309,0))</f>
        <v/>
      </c>
      <c r="Q3309" s="20">
        <f>IF(I3309="","",IF(I3309="Ingreso",O3309,0))</f>
        <v/>
      </c>
      <c r="R3309" s="20">
        <f>IF(I3309="","",IF(I3309="Trading",O3309,0))</f>
        <v/>
      </c>
      <c r="S3309" s="19">
        <f>IF(I3309="","",IF(AND(I3309="Gasto",K3309="Variable",J3309&lt;&gt;"Trading",O3309&gt;0,O3309&lt;=Umbral),1,0))</f>
        <v/>
      </c>
      <c r="T3309" s="20">
        <f>IF(OR(I3309="",E3309=""),"",IF(OR(I3309="Gasto",I3309="Transferencia",I3309="Pago tarjeta"),-1,1)*C3309)</f>
        <v/>
      </c>
      <c r="U3309" s="20">
        <f>IF(OR(G3309="",AND(I3309&lt;&gt;"Transferencia",I3309&lt;&gt;"Pago tarjeta")),"",IF(IFERROR(INDEX(ctaMon,MATCH(G3309,ctaNom,0))&amp;"","DOP")=N3309,C3309,IF(N3309="USD",C3309*TasaUSD,C3309/TasaUSD)))</f>
        <v/>
      </c>
      <c r="V3309" s="20">
        <f>IF(I3309="","",IF(IFERROR(INDEX(ctaLiq,MATCH(E3309,ctaNom,0))="Sí",FALSE),IF(OR(I3309="Gasto",I3309="Transferencia",I3309="Pago tarjeta"),-1,1)*O3309,0)+IF(AND(U3309&lt;&gt;"",IFERROR(INDEX(ctaLiq,MATCH(G3309,ctaNom,0))="Sí",FALSE)),O3309,0))</f>
        <v/>
      </c>
      <c r="W3309" s="19">
        <f>IF(OR(F3309="",I3309=""),"",IF(COUNTIFS(F$6:F3309,F3309,I$6:I3309,"?*")=1,MAX(W$5:W3308)+1,""))</f>
        <v/>
      </c>
    </row>
    <row r="3310">
      <c r="B3310" s="15" t="n"/>
      <c r="C3310" s="16" t="n"/>
      <c r="D3310" s="17" t="n"/>
      <c r="E3310" s="17" t="n"/>
      <c r="F3310" s="17" t="n"/>
      <c r="G3310" s="17" t="n"/>
      <c r="H3310" s="18">
        <f>IF(AND(B3310="",C3310="",D3310="",E3310=""),"",IF(B3310="","⚠ Falta fecha",IF(C3310="","⚠ Falta monto",IF(D3310="","⚠ Falta categoría",IF(ISNA(MATCH(D3310,catNom,0)),"⚠ Categoría no existe",IF(E3310="","⚠ Falta cuenta",IF(ISNA(MATCH(E3310,ctaNom,0)),"⚠ Cuenta no existe",IF(AND(OR(I3310="Transferencia",I3310="Pago tarjeta"),G3310=""),"⚠ Indica la cuenta «Hacia»",IF(AND(G3310&lt;&gt;"",G3310=E3310),"⚠ «Hacia» igual a la cuenta",IF(AND(G3310&lt;&gt;"",ISNA(MATCH(G3310,ctaNom,0))),"⚠ «Hacia» no existe",IF(AND(I3310="Pago tarjeta",IFERROR(INDEX(ctaTipo,MATCH(G3310,ctaNom,0)),"")&lt;&gt;"Tarjeta de crédito"),"⚠ «Hacia» debe ser la tarjeta",IF(AND(I3310="Trading",IFERROR(INDEX(ctaTipo,MATCH(E3310,ctaNom,0)),"")&lt;&gt;"Cuenta de trading"),"⚠ Usa la cuenta de trading","✓"))))))))))))</f>
        <v/>
      </c>
      <c r="I3310" s="19">
        <f>IF(OR(B3310="",C3310="",D3310=""),"",IFERROR(INDEX(catTipo,MATCH(D3310,catNom,0))&amp;"",""))</f>
        <v/>
      </c>
      <c r="J3310" s="19">
        <f>IF(I3310="","",IFERROR(INDEX(catGrupo,MATCH(D3310,catNom,0))&amp;"",""))</f>
        <v/>
      </c>
      <c r="K3310" s="19">
        <f>IF(I3310="Gasto",IF(IFERROR(INDEX(catClas,MATCH(D3310,catNom,0))&amp;"","")="","Variable",IFERROR(INDEX(catClas,MATCH(D3310,catNom,0))&amp;"","")),"")</f>
        <v/>
      </c>
      <c r="L3310" s="19">
        <f>IF(I3310="","",IFERROR(INDEX(catAlim,MATCH(D3310,catNom,0))&amp;"",""))</f>
        <v/>
      </c>
      <c r="M3310" s="19">
        <f>IF(I3310="","",IFERROR(INDEX(catComida,MATCH(D3310,catNom,0))&amp;"",""))</f>
        <v/>
      </c>
      <c r="N3310" s="19">
        <f>IF(I3310="","",IFERROR(INDEX(ctaMon,MATCH(E3310,ctaNom,0))&amp;"","DOP"))</f>
        <v/>
      </c>
      <c r="O3310" s="20">
        <f>IF(I3310="","",C3310*IF(N3310="USD",TasaUSD,1))</f>
        <v/>
      </c>
      <c r="P3310" s="20">
        <f>IF(I3310="","",IF(I3310="Gasto",O3310,0))</f>
        <v/>
      </c>
      <c r="Q3310" s="20">
        <f>IF(I3310="","",IF(I3310="Ingreso",O3310,0))</f>
        <v/>
      </c>
      <c r="R3310" s="20">
        <f>IF(I3310="","",IF(I3310="Trading",O3310,0))</f>
        <v/>
      </c>
      <c r="S3310" s="19">
        <f>IF(I3310="","",IF(AND(I3310="Gasto",K3310="Variable",J3310&lt;&gt;"Trading",O3310&gt;0,O3310&lt;=Umbral),1,0))</f>
        <v/>
      </c>
      <c r="T3310" s="20">
        <f>IF(OR(I3310="",E3310=""),"",IF(OR(I3310="Gasto",I3310="Transferencia",I3310="Pago tarjeta"),-1,1)*C3310)</f>
        <v/>
      </c>
      <c r="U3310" s="20">
        <f>IF(OR(G3310="",AND(I3310&lt;&gt;"Transferencia",I3310&lt;&gt;"Pago tarjeta")),"",IF(IFERROR(INDEX(ctaMon,MATCH(G3310,ctaNom,0))&amp;"","DOP")=N3310,C3310,IF(N3310="USD",C3310*TasaUSD,C3310/TasaUSD)))</f>
        <v/>
      </c>
      <c r="V3310" s="20">
        <f>IF(I3310="","",IF(IFERROR(INDEX(ctaLiq,MATCH(E3310,ctaNom,0))="Sí",FALSE),IF(OR(I3310="Gasto",I3310="Transferencia",I3310="Pago tarjeta"),-1,1)*O3310,0)+IF(AND(U3310&lt;&gt;"",IFERROR(INDEX(ctaLiq,MATCH(G3310,ctaNom,0))="Sí",FALSE)),O3310,0))</f>
        <v/>
      </c>
      <c r="W3310" s="19">
        <f>IF(OR(F3310="",I3310=""),"",IF(COUNTIFS(F$6:F3310,F3310,I$6:I3310,"?*")=1,MAX(W$5:W3309)+1,""))</f>
        <v/>
      </c>
    </row>
    <row r="3311">
      <c r="B3311" s="15" t="n"/>
      <c r="C3311" s="16" t="n"/>
      <c r="D3311" s="17" t="n"/>
      <c r="E3311" s="17" t="n"/>
      <c r="F3311" s="17" t="n"/>
      <c r="G3311" s="17" t="n"/>
      <c r="H3311" s="18">
        <f>IF(AND(B3311="",C3311="",D3311="",E3311=""),"",IF(B3311="","⚠ Falta fecha",IF(C3311="","⚠ Falta monto",IF(D3311="","⚠ Falta categoría",IF(ISNA(MATCH(D3311,catNom,0)),"⚠ Categoría no existe",IF(E3311="","⚠ Falta cuenta",IF(ISNA(MATCH(E3311,ctaNom,0)),"⚠ Cuenta no existe",IF(AND(OR(I3311="Transferencia",I3311="Pago tarjeta"),G3311=""),"⚠ Indica la cuenta «Hacia»",IF(AND(G3311&lt;&gt;"",G3311=E3311),"⚠ «Hacia» igual a la cuenta",IF(AND(G3311&lt;&gt;"",ISNA(MATCH(G3311,ctaNom,0))),"⚠ «Hacia» no existe",IF(AND(I3311="Pago tarjeta",IFERROR(INDEX(ctaTipo,MATCH(G3311,ctaNom,0)),"")&lt;&gt;"Tarjeta de crédito"),"⚠ «Hacia» debe ser la tarjeta",IF(AND(I3311="Trading",IFERROR(INDEX(ctaTipo,MATCH(E3311,ctaNom,0)),"")&lt;&gt;"Cuenta de trading"),"⚠ Usa la cuenta de trading","✓"))))))))))))</f>
        <v/>
      </c>
      <c r="I3311" s="19">
        <f>IF(OR(B3311="",C3311="",D3311=""),"",IFERROR(INDEX(catTipo,MATCH(D3311,catNom,0))&amp;"",""))</f>
        <v/>
      </c>
      <c r="J3311" s="19">
        <f>IF(I3311="","",IFERROR(INDEX(catGrupo,MATCH(D3311,catNom,0))&amp;"",""))</f>
        <v/>
      </c>
      <c r="K3311" s="19">
        <f>IF(I3311="Gasto",IF(IFERROR(INDEX(catClas,MATCH(D3311,catNom,0))&amp;"","")="","Variable",IFERROR(INDEX(catClas,MATCH(D3311,catNom,0))&amp;"","")),"")</f>
        <v/>
      </c>
      <c r="L3311" s="19">
        <f>IF(I3311="","",IFERROR(INDEX(catAlim,MATCH(D3311,catNom,0))&amp;"",""))</f>
        <v/>
      </c>
      <c r="M3311" s="19">
        <f>IF(I3311="","",IFERROR(INDEX(catComida,MATCH(D3311,catNom,0))&amp;"",""))</f>
        <v/>
      </c>
      <c r="N3311" s="19">
        <f>IF(I3311="","",IFERROR(INDEX(ctaMon,MATCH(E3311,ctaNom,0))&amp;"","DOP"))</f>
        <v/>
      </c>
      <c r="O3311" s="20">
        <f>IF(I3311="","",C3311*IF(N3311="USD",TasaUSD,1))</f>
        <v/>
      </c>
      <c r="P3311" s="20">
        <f>IF(I3311="","",IF(I3311="Gasto",O3311,0))</f>
        <v/>
      </c>
      <c r="Q3311" s="20">
        <f>IF(I3311="","",IF(I3311="Ingreso",O3311,0))</f>
        <v/>
      </c>
      <c r="R3311" s="20">
        <f>IF(I3311="","",IF(I3311="Trading",O3311,0))</f>
        <v/>
      </c>
      <c r="S3311" s="19">
        <f>IF(I3311="","",IF(AND(I3311="Gasto",K3311="Variable",J3311&lt;&gt;"Trading",O3311&gt;0,O3311&lt;=Umbral),1,0))</f>
        <v/>
      </c>
      <c r="T3311" s="20">
        <f>IF(OR(I3311="",E3311=""),"",IF(OR(I3311="Gasto",I3311="Transferencia",I3311="Pago tarjeta"),-1,1)*C3311)</f>
        <v/>
      </c>
      <c r="U3311" s="20">
        <f>IF(OR(G3311="",AND(I3311&lt;&gt;"Transferencia",I3311&lt;&gt;"Pago tarjeta")),"",IF(IFERROR(INDEX(ctaMon,MATCH(G3311,ctaNom,0))&amp;"","DOP")=N3311,C3311,IF(N3311="USD",C3311*TasaUSD,C3311/TasaUSD)))</f>
        <v/>
      </c>
      <c r="V3311" s="20">
        <f>IF(I3311="","",IF(IFERROR(INDEX(ctaLiq,MATCH(E3311,ctaNom,0))="Sí",FALSE),IF(OR(I3311="Gasto",I3311="Transferencia",I3311="Pago tarjeta"),-1,1)*O3311,0)+IF(AND(U3311&lt;&gt;"",IFERROR(INDEX(ctaLiq,MATCH(G3311,ctaNom,0))="Sí",FALSE)),O3311,0))</f>
        <v/>
      </c>
      <c r="W3311" s="19">
        <f>IF(OR(F3311="",I3311=""),"",IF(COUNTIFS(F$6:F3311,F3311,I$6:I3311,"?*")=1,MAX(W$5:W3310)+1,""))</f>
        <v/>
      </c>
    </row>
    <row r="3312">
      <c r="B3312" s="15" t="n"/>
      <c r="C3312" s="16" t="n"/>
      <c r="D3312" s="17" t="n"/>
      <c r="E3312" s="17" t="n"/>
      <c r="F3312" s="17" t="n"/>
      <c r="G3312" s="17" t="n"/>
      <c r="H3312" s="18">
        <f>IF(AND(B3312="",C3312="",D3312="",E3312=""),"",IF(B3312="","⚠ Falta fecha",IF(C3312="","⚠ Falta monto",IF(D3312="","⚠ Falta categoría",IF(ISNA(MATCH(D3312,catNom,0)),"⚠ Categoría no existe",IF(E3312="","⚠ Falta cuenta",IF(ISNA(MATCH(E3312,ctaNom,0)),"⚠ Cuenta no existe",IF(AND(OR(I3312="Transferencia",I3312="Pago tarjeta"),G3312=""),"⚠ Indica la cuenta «Hacia»",IF(AND(G3312&lt;&gt;"",G3312=E3312),"⚠ «Hacia» igual a la cuenta",IF(AND(G3312&lt;&gt;"",ISNA(MATCH(G3312,ctaNom,0))),"⚠ «Hacia» no existe",IF(AND(I3312="Pago tarjeta",IFERROR(INDEX(ctaTipo,MATCH(G3312,ctaNom,0)),"")&lt;&gt;"Tarjeta de crédito"),"⚠ «Hacia» debe ser la tarjeta",IF(AND(I3312="Trading",IFERROR(INDEX(ctaTipo,MATCH(E3312,ctaNom,0)),"")&lt;&gt;"Cuenta de trading"),"⚠ Usa la cuenta de trading","✓"))))))))))))</f>
        <v/>
      </c>
      <c r="I3312" s="19">
        <f>IF(OR(B3312="",C3312="",D3312=""),"",IFERROR(INDEX(catTipo,MATCH(D3312,catNom,0))&amp;"",""))</f>
        <v/>
      </c>
      <c r="J3312" s="19">
        <f>IF(I3312="","",IFERROR(INDEX(catGrupo,MATCH(D3312,catNom,0))&amp;"",""))</f>
        <v/>
      </c>
      <c r="K3312" s="19">
        <f>IF(I3312="Gasto",IF(IFERROR(INDEX(catClas,MATCH(D3312,catNom,0))&amp;"","")="","Variable",IFERROR(INDEX(catClas,MATCH(D3312,catNom,0))&amp;"","")),"")</f>
        <v/>
      </c>
      <c r="L3312" s="19">
        <f>IF(I3312="","",IFERROR(INDEX(catAlim,MATCH(D3312,catNom,0))&amp;"",""))</f>
        <v/>
      </c>
      <c r="M3312" s="19">
        <f>IF(I3312="","",IFERROR(INDEX(catComida,MATCH(D3312,catNom,0))&amp;"",""))</f>
        <v/>
      </c>
      <c r="N3312" s="19">
        <f>IF(I3312="","",IFERROR(INDEX(ctaMon,MATCH(E3312,ctaNom,0))&amp;"","DOP"))</f>
        <v/>
      </c>
      <c r="O3312" s="20">
        <f>IF(I3312="","",C3312*IF(N3312="USD",TasaUSD,1))</f>
        <v/>
      </c>
      <c r="P3312" s="20">
        <f>IF(I3312="","",IF(I3312="Gasto",O3312,0))</f>
        <v/>
      </c>
      <c r="Q3312" s="20">
        <f>IF(I3312="","",IF(I3312="Ingreso",O3312,0))</f>
        <v/>
      </c>
      <c r="R3312" s="20">
        <f>IF(I3312="","",IF(I3312="Trading",O3312,0))</f>
        <v/>
      </c>
      <c r="S3312" s="19">
        <f>IF(I3312="","",IF(AND(I3312="Gasto",K3312="Variable",J3312&lt;&gt;"Trading",O3312&gt;0,O3312&lt;=Umbral),1,0))</f>
        <v/>
      </c>
      <c r="T3312" s="20">
        <f>IF(OR(I3312="",E3312=""),"",IF(OR(I3312="Gasto",I3312="Transferencia",I3312="Pago tarjeta"),-1,1)*C3312)</f>
        <v/>
      </c>
      <c r="U3312" s="20">
        <f>IF(OR(G3312="",AND(I3312&lt;&gt;"Transferencia",I3312&lt;&gt;"Pago tarjeta")),"",IF(IFERROR(INDEX(ctaMon,MATCH(G3312,ctaNom,0))&amp;"","DOP")=N3312,C3312,IF(N3312="USD",C3312*TasaUSD,C3312/TasaUSD)))</f>
        <v/>
      </c>
      <c r="V3312" s="20">
        <f>IF(I3312="","",IF(IFERROR(INDEX(ctaLiq,MATCH(E3312,ctaNom,0))="Sí",FALSE),IF(OR(I3312="Gasto",I3312="Transferencia",I3312="Pago tarjeta"),-1,1)*O3312,0)+IF(AND(U3312&lt;&gt;"",IFERROR(INDEX(ctaLiq,MATCH(G3312,ctaNom,0))="Sí",FALSE)),O3312,0))</f>
        <v/>
      </c>
      <c r="W3312" s="19">
        <f>IF(OR(F3312="",I3312=""),"",IF(COUNTIFS(F$6:F3312,F3312,I$6:I3312,"?*")=1,MAX(W$5:W3311)+1,""))</f>
        <v/>
      </c>
    </row>
    <row r="3313">
      <c r="B3313" s="15" t="n"/>
      <c r="C3313" s="16" t="n"/>
      <c r="D3313" s="17" t="n"/>
      <c r="E3313" s="17" t="n"/>
      <c r="F3313" s="17" t="n"/>
      <c r="G3313" s="17" t="n"/>
      <c r="H3313" s="18">
        <f>IF(AND(B3313="",C3313="",D3313="",E3313=""),"",IF(B3313="","⚠ Falta fecha",IF(C3313="","⚠ Falta monto",IF(D3313="","⚠ Falta categoría",IF(ISNA(MATCH(D3313,catNom,0)),"⚠ Categoría no existe",IF(E3313="","⚠ Falta cuenta",IF(ISNA(MATCH(E3313,ctaNom,0)),"⚠ Cuenta no existe",IF(AND(OR(I3313="Transferencia",I3313="Pago tarjeta"),G3313=""),"⚠ Indica la cuenta «Hacia»",IF(AND(G3313&lt;&gt;"",G3313=E3313),"⚠ «Hacia» igual a la cuenta",IF(AND(G3313&lt;&gt;"",ISNA(MATCH(G3313,ctaNom,0))),"⚠ «Hacia» no existe",IF(AND(I3313="Pago tarjeta",IFERROR(INDEX(ctaTipo,MATCH(G3313,ctaNom,0)),"")&lt;&gt;"Tarjeta de crédito"),"⚠ «Hacia» debe ser la tarjeta",IF(AND(I3313="Trading",IFERROR(INDEX(ctaTipo,MATCH(E3313,ctaNom,0)),"")&lt;&gt;"Cuenta de trading"),"⚠ Usa la cuenta de trading","✓"))))))))))))</f>
        <v/>
      </c>
      <c r="I3313" s="19">
        <f>IF(OR(B3313="",C3313="",D3313=""),"",IFERROR(INDEX(catTipo,MATCH(D3313,catNom,0))&amp;"",""))</f>
        <v/>
      </c>
      <c r="J3313" s="19">
        <f>IF(I3313="","",IFERROR(INDEX(catGrupo,MATCH(D3313,catNom,0))&amp;"",""))</f>
        <v/>
      </c>
      <c r="K3313" s="19">
        <f>IF(I3313="Gasto",IF(IFERROR(INDEX(catClas,MATCH(D3313,catNom,0))&amp;"","")="","Variable",IFERROR(INDEX(catClas,MATCH(D3313,catNom,0))&amp;"","")),"")</f>
        <v/>
      </c>
      <c r="L3313" s="19">
        <f>IF(I3313="","",IFERROR(INDEX(catAlim,MATCH(D3313,catNom,0))&amp;"",""))</f>
        <v/>
      </c>
      <c r="M3313" s="19">
        <f>IF(I3313="","",IFERROR(INDEX(catComida,MATCH(D3313,catNom,0))&amp;"",""))</f>
        <v/>
      </c>
      <c r="N3313" s="19">
        <f>IF(I3313="","",IFERROR(INDEX(ctaMon,MATCH(E3313,ctaNom,0))&amp;"","DOP"))</f>
        <v/>
      </c>
      <c r="O3313" s="20">
        <f>IF(I3313="","",C3313*IF(N3313="USD",TasaUSD,1))</f>
        <v/>
      </c>
      <c r="P3313" s="20">
        <f>IF(I3313="","",IF(I3313="Gasto",O3313,0))</f>
        <v/>
      </c>
      <c r="Q3313" s="20">
        <f>IF(I3313="","",IF(I3313="Ingreso",O3313,0))</f>
        <v/>
      </c>
      <c r="R3313" s="20">
        <f>IF(I3313="","",IF(I3313="Trading",O3313,0))</f>
        <v/>
      </c>
      <c r="S3313" s="19">
        <f>IF(I3313="","",IF(AND(I3313="Gasto",K3313="Variable",J3313&lt;&gt;"Trading",O3313&gt;0,O3313&lt;=Umbral),1,0))</f>
        <v/>
      </c>
      <c r="T3313" s="20">
        <f>IF(OR(I3313="",E3313=""),"",IF(OR(I3313="Gasto",I3313="Transferencia",I3313="Pago tarjeta"),-1,1)*C3313)</f>
        <v/>
      </c>
      <c r="U3313" s="20">
        <f>IF(OR(G3313="",AND(I3313&lt;&gt;"Transferencia",I3313&lt;&gt;"Pago tarjeta")),"",IF(IFERROR(INDEX(ctaMon,MATCH(G3313,ctaNom,0))&amp;"","DOP")=N3313,C3313,IF(N3313="USD",C3313*TasaUSD,C3313/TasaUSD)))</f>
        <v/>
      </c>
      <c r="V3313" s="20">
        <f>IF(I3313="","",IF(IFERROR(INDEX(ctaLiq,MATCH(E3313,ctaNom,0))="Sí",FALSE),IF(OR(I3313="Gasto",I3313="Transferencia",I3313="Pago tarjeta"),-1,1)*O3313,0)+IF(AND(U3313&lt;&gt;"",IFERROR(INDEX(ctaLiq,MATCH(G3313,ctaNom,0))="Sí",FALSE)),O3313,0))</f>
        <v/>
      </c>
      <c r="W3313" s="19">
        <f>IF(OR(F3313="",I3313=""),"",IF(COUNTIFS(F$6:F3313,F3313,I$6:I3313,"?*")=1,MAX(W$5:W3312)+1,""))</f>
        <v/>
      </c>
    </row>
    <row r="3314">
      <c r="B3314" s="15" t="n"/>
      <c r="C3314" s="16" t="n"/>
      <c r="D3314" s="17" t="n"/>
      <c r="E3314" s="17" t="n"/>
      <c r="F3314" s="17" t="n"/>
      <c r="G3314" s="17" t="n"/>
      <c r="H3314" s="18">
        <f>IF(AND(B3314="",C3314="",D3314="",E3314=""),"",IF(B3314="","⚠ Falta fecha",IF(C3314="","⚠ Falta monto",IF(D3314="","⚠ Falta categoría",IF(ISNA(MATCH(D3314,catNom,0)),"⚠ Categoría no existe",IF(E3314="","⚠ Falta cuenta",IF(ISNA(MATCH(E3314,ctaNom,0)),"⚠ Cuenta no existe",IF(AND(OR(I3314="Transferencia",I3314="Pago tarjeta"),G3314=""),"⚠ Indica la cuenta «Hacia»",IF(AND(G3314&lt;&gt;"",G3314=E3314),"⚠ «Hacia» igual a la cuenta",IF(AND(G3314&lt;&gt;"",ISNA(MATCH(G3314,ctaNom,0))),"⚠ «Hacia» no existe",IF(AND(I3314="Pago tarjeta",IFERROR(INDEX(ctaTipo,MATCH(G3314,ctaNom,0)),"")&lt;&gt;"Tarjeta de crédito"),"⚠ «Hacia» debe ser la tarjeta",IF(AND(I3314="Trading",IFERROR(INDEX(ctaTipo,MATCH(E3314,ctaNom,0)),"")&lt;&gt;"Cuenta de trading"),"⚠ Usa la cuenta de trading","✓"))))))))))))</f>
        <v/>
      </c>
      <c r="I3314" s="19">
        <f>IF(OR(B3314="",C3314="",D3314=""),"",IFERROR(INDEX(catTipo,MATCH(D3314,catNom,0))&amp;"",""))</f>
        <v/>
      </c>
      <c r="J3314" s="19">
        <f>IF(I3314="","",IFERROR(INDEX(catGrupo,MATCH(D3314,catNom,0))&amp;"",""))</f>
        <v/>
      </c>
      <c r="K3314" s="19">
        <f>IF(I3314="Gasto",IF(IFERROR(INDEX(catClas,MATCH(D3314,catNom,0))&amp;"","")="","Variable",IFERROR(INDEX(catClas,MATCH(D3314,catNom,0))&amp;"","")),"")</f>
        <v/>
      </c>
      <c r="L3314" s="19">
        <f>IF(I3314="","",IFERROR(INDEX(catAlim,MATCH(D3314,catNom,0))&amp;"",""))</f>
        <v/>
      </c>
      <c r="M3314" s="19">
        <f>IF(I3314="","",IFERROR(INDEX(catComida,MATCH(D3314,catNom,0))&amp;"",""))</f>
        <v/>
      </c>
      <c r="N3314" s="19">
        <f>IF(I3314="","",IFERROR(INDEX(ctaMon,MATCH(E3314,ctaNom,0))&amp;"","DOP"))</f>
        <v/>
      </c>
      <c r="O3314" s="20">
        <f>IF(I3314="","",C3314*IF(N3314="USD",TasaUSD,1))</f>
        <v/>
      </c>
      <c r="P3314" s="20">
        <f>IF(I3314="","",IF(I3314="Gasto",O3314,0))</f>
        <v/>
      </c>
      <c r="Q3314" s="20">
        <f>IF(I3314="","",IF(I3314="Ingreso",O3314,0))</f>
        <v/>
      </c>
      <c r="R3314" s="20">
        <f>IF(I3314="","",IF(I3314="Trading",O3314,0))</f>
        <v/>
      </c>
      <c r="S3314" s="19">
        <f>IF(I3314="","",IF(AND(I3314="Gasto",K3314="Variable",J3314&lt;&gt;"Trading",O3314&gt;0,O3314&lt;=Umbral),1,0))</f>
        <v/>
      </c>
      <c r="T3314" s="20">
        <f>IF(OR(I3314="",E3314=""),"",IF(OR(I3314="Gasto",I3314="Transferencia",I3314="Pago tarjeta"),-1,1)*C3314)</f>
        <v/>
      </c>
      <c r="U3314" s="20">
        <f>IF(OR(G3314="",AND(I3314&lt;&gt;"Transferencia",I3314&lt;&gt;"Pago tarjeta")),"",IF(IFERROR(INDEX(ctaMon,MATCH(G3314,ctaNom,0))&amp;"","DOP")=N3314,C3314,IF(N3314="USD",C3314*TasaUSD,C3314/TasaUSD)))</f>
        <v/>
      </c>
      <c r="V3314" s="20">
        <f>IF(I3314="","",IF(IFERROR(INDEX(ctaLiq,MATCH(E3314,ctaNom,0))="Sí",FALSE),IF(OR(I3314="Gasto",I3314="Transferencia",I3314="Pago tarjeta"),-1,1)*O3314,0)+IF(AND(U3314&lt;&gt;"",IFERROR(INDEX(ctaLiq,MATCH(G3314,ctaNom,0))="Sí",FALSE)),O3314,0))</f>
        <v/>
      </c>
      <c r="W3314" s="19">
        <f>IF(OR(F3314="",I3314=""),"",IF(COUNTIFS(F$6:F3314,F3314,I$6:I3314,"?*")=1,MAX(W$5:W3313)+1,""))</f>
        <v/>
      </c>
    </row>
    <row r="3315">
      <c r="B3315" s="15" t="n"/>
      <c r="C3315" s="16" t="n"/>
      <c r="D3315" s="17" t="n"/>
      <c r="E3315" s="17" t="n"/>
      <c r="F3315" s="17" t="n"/>
      <c r="G3315" s="17" t="n"/>
      <c r="H3315" s="18">
        <f>IF(AND(B3315="",C3315="",D3315="",E3315=""),"",IF(B3315="","⚠ Falta fecha",IF(C3315="","⚠ Falta monto",IF(D3315="","⚠ Falta categoría",IF(ISNA(MATCH(D3315,catNom,0)),"⚠ Categoría no existe",IF(E3315="","⚠ Falta cuenta",IF(ISNA(MATCH(E3315,ctaNom,0)),"⚠ Cuenta no existe",IF(AND(OR(I3315="Transferencia",I3315="Pago tarjeta"),G3315=""),"⚠ Indica la cuenta «Hacia»",IF(AND(G3315&lt;&gt;"",G3315=E3315),"⚠ «Hacia» igual a la cuenta",IF(AND(G3315&lt;&gt;"",ISNA(MATCH(G3315,ctaNom,0))),"⚠ «Hacia» no existe",IF(AND(I3315="Pago tarjeta",IFERROR(INDEX(ctaTipo,MATCH(G3315,ctaNom,0)),"")&lt;&gt;"Tarjeta de crédito"),"⚠ «Hacia» debe ser la tarjeta",IF(AND(I3315="Trading",IFERROR(INDEX(ctaTipo,MATCH(E3315,ctaNom,0)),"")&lt;&gt;"Cuenta de trading"),"⚠ Usa la cuenta de trading","✓"))))))))))))</f>
        <v/>
      </c>
      <c r="I3315" s="19">
        <f>IF(OR(B3315="",C3315="",D3315=""),"",IFERROR(INDEX(catTipo,MATCH(D3315,catNom,0))&amp;"",""))</f>
        <v/>
      </c>
      <c r="J3315" s="19">
        <f>IF(I3315="","",IFERROR(INDEX(catGrupo,MATCH(D3315,catNom,0))&amp;"",""))</f>
        <v/>
      </c>
      <c r="K3315" s="19">
        <f>IF(I3315="Gasto",IF(IFERROR(INDEX(catClas,MATCH(D3315,catNom,0))&amp;"","")="","Variable",IFERROR(INDEX(catClas,MATCH(D3315,catNom,0))&amp;"","")),"")</f>
        <v/>
      </c>
      <c r="L3315" s="19">
        <f>IF(I3315="","",IFERROR(INDEX(catAlim,MATCH(D3315,catNom,0))&amp;"",""))</f>
        <v/>
      </c>
      <c r="M3315" s="19">
        <f>IF(I3315="","",IFERROR(INDEX(catComida,MATCH(D3315,catNom,0))&amp;"",""))</f>
        <v/>
      </c>
      <c r="N3315" s="19">
        <f>IF(I3315="","",IFERROR(INDEX(ctaMon,MATCH(E3315,ctaNom,0))&amp;"","DOP"))</f>
        <v/>
      </c>
      <c r="O3315" s="20">
        <f>IF(I3315="","",C3315*IF(N3315="USD",TasaUSD,1))</f>
        <v/>
      </c>
      <c r="P3315" s="20">
        <f>IF(I3315="","",IF(I3315="Gasto",O3315,0))</f>
        <v/>
      </c>
      <c r="Q3315" s="20">
        <f>IF(I3315="","",IF(I3315="Ingreso",O3315,0))</f>
        <v/>
      </c>
      <c r="R3315" s="20">
        <f>IF(I3315="","",IF(I3315="Trading",O3315,0))</f>
        <v/>
      </c>
      <c r="S3315" s="19">
        <f>IF(I3315="","",IF(AND(I3315="Gasto",K3315="Variable",J3315&lt;&gt;"Trading",O3315&gt;0,O3315&lt;=Umbral),1,0))</f>
        <v/>
      </c>
      <c r="T3315" s="20">
        <f>IF(OR(I3315="",E3315=""),"",IF(OR(I3315="Gasto",I3315="Transferencia",I3315="Pago tarjeta"),-1,1)*C3315)</f>
        <v/>
      </c>
      <c r="U3315" s="20">
        <f>IF(OR(G3315="",AND(I3315&lt;&gt;"Transferencia",I3315&lt;&gt;"Pago tarjeta")),"",IF(IFERROR(INDEX(ctaMon,MATCH(G3315,ctaNom,0))&amp;"","DOP")=N3315,C3315,IF(N3315="USD",C3315*TasaUSD,C3315/TasaUSD)))</f>
        <v/>
      </c>
      <c r="V3315" s="20">
        <f>IF(I3315="","",IF(IFERROR(INDEX(ctaLiq,MATCH(E3315,ctaNom,0))="Sí",FALSE),IF(OR(I3315="Gasto",I3315="Transferencia",I3315="Pago tarjeta"),-1,1)*O3315,0)+IF(AND(U3315&lt;&gt;"",IFERROR(INDEX(ctaLiq,MATCH(G3315,ctaNom,0))="Sí",FALSE)),O3315,0))</f>
        <v/>
      </c>
      <c r="W3315" s="19">
        <f>IF(OR(F3315="",I3315=""),"",IF(COUNTIFS(F$6:F3315,F3315,I$6:I3315,"?*")=1,MAX(W$5:W3314)+1,""))</f>
        <v/>
      </c>
    </row>
    <row r="3316">
      <c r="B3316" s="15" t="n"/>
      <c r="C3316" s="16" t="n"/>
      <c r="D3316" s="17" t="n"/>
      <c r="E3316" s="17" t="n"/>
      <c r="F3316" s="17" t="n"/>
      <c r="G3316" s="17" t="n"/>
      <c r="H3316" s="18">
        <f>IF(AND(B3316="",C3316="",D3316="",E3316=""),"",IF(B3316="","⚠ Falta fecha",IF(C3316="","⚠ Falta monto",IF(D3316="","⚠ Falta categoría",IF(ISNA(MATCH(D3316,catNom,0)),"⚠ Categoría no existe",IF(E3316="","⚠ Falta cuenta",IF(ISNA(MATCH(E3316,ctaNom,0)),"⚠ Cuenta no existe",IF(AND(OR(I3316="Transferencia",I3316="Pago tarjeta"),G3316=""),"⚠ Indica la cuenta «Hacia»",IF(AND(G3316&lt;&gt;"",G3316=E3316),"⚠ «Hacia» igual a la cuenta",IF(AND(G3316&lt;&gt;"",ISNA(MATCH(G3316,ctaNom,0))),"⚠ «Hacia» no existe",IF(AND(I3316="Pago tarjeta",IFERROR(INDEX(ctaTipo,MATCH(G3316,ctaNom,0)),"")&lt;&gt;"Tarjeta de crédito"),"⚠ «Hacia» debe ser la tarjeta",IF(AND(I3316="Trading",IFERROR(INDEX(ctaTipo,MATCH(E3316,ctaNom,0)),"")&lt;&gt;"Cuenta de trading"),"⚠ Usa la cuenta de trading","✓"))))))))))))</f>
        <v/>
      </c>
      <c r="I3316" s="19">
        <f>IF(OR(B3316="",C3316="",D3316=""),"",IFERROR(INDEX(catTipo,MATCH(D3316,catNom,0))&amp;"",""))</f>
        <v/>
      </c>
      <c r="J3316" s="19">
        <f>IF(I3316="","",IFERROR(INDEX(catGrupo,MATCH(D3316,catNom,0))&amp;"",""))</f>
        <v/>
      </c>
      <c r="K3316" s="19">
        <f>IF(I3316="Gasto",IF(IFERROR(INDEX(catClas,MATCH(D3316,catNom,0))&amp;"","")="","Variable",IFERROR(INDEX(catClas,MATCH(D3316,catNom,0))&amp;"","")),"")</f>
        <v/>
      </c>
      <c r="L3316" s="19">
        <f>IF(I3316="","",IFERROR(INDEX(catAlim,MATCH(D3316,catNom,0))&amp;"",""))</f>
        <v/>
      </c>
      <c r="M3316" s="19">
        <f>IF(I3316="","",IFERROR(INDEX(catComida,MATCH(D3316,catNom,0))&amp;"",""))</f>
        <v/>
      </c>
      <c r="N3316" s="19">
        <f>IF(I3316="","",IFERROR(INDEX(ctaMon,MATCH(E3316,ctaNom,0))&amp;"","DOP"))</f>
        <v/>
      </c>
      <c r="O3316" s="20">
        <f>IF(I3316="","",C3316*IF(N3316="USD",TasaUSD,1))</f>
        <v/>
      </c>
      <c r="P3316" s="20">
        <f>IF(I3316="","",IF(I3316="Gasto",O3316,0))</f>
        <v/>
      </c>
      <c r="Q3316" s="20">
        <f>IF(I3316="","",IF(I3316="Ingreso",O3316,0))</f>
        <v/>
      </c>
      <c r="R3316" s="20">
        <f>IF(I3316="","",IF(I3316="Trading",O3316,0))</f>
        <v/>
      </c>
      <c r="S3316" s="19">
        <f>IF(I3316="","",IF(AND(I3316="Gasto",K3316="Variable",J3316&lt;&gt;"Trading",O3316&gt;0,O3316&lt;=Umbral),1,0))</f>
        <v/>
      </c>
      <c r="T3316" s="20">
        <f>IF(OR(I3316="",E3316=""),"",IF(OR(I3316="Gasto",I3316="Transferencia",I3316="Pago tarjeta"),-1,1)*C3316)</f>
        <v/>
      </c>
      <c r="U3316" s="20">
        <f>IF(OR(G3316="",AND(I3316&lt;&gt;"Transferencia",I3316&lt;&gt;"Pago tarjeta")),"",IF(IFERROR(INDEX(ctaMon,MATCH(G3316,ctaNom,0))&amp;"","DOP")=N3316,C3316,IF(N3316="USD",C3316*TasaUSD,C3316/TasaUSD)))</f>
        <v/>
      </c>
      <c r="V3316" s="20">
        <f>IF(I3316="","",IF(IFERROR(INDEX(ctaLiq,MATCH(E3316,ctaNom,0))="Sí",FALSE),IF(OR(I3316="Gasto",I3316="Transferencia",I3316="Pago tarjeta"),-1,1)*O3316,0)+IF(AND(U3316&lt;&gt;"",IFERROR(INDEX(ctaLiq,MATCH(G3316,ctaNom,0))="Sí",FALSE)),O3316,0))</f>
        <v/>
      </c>
      <c r="W3316" s="19">
        <f>IF(OR(F3316="",I3316=""),"",IF(COUNTIFS(F$6:F3316,F3316,I$6:I3316,"?*")=1,MAX(W$5:W3315)+1,""))</f>
        <v/>
      </c>
    </row>
    <row r="3317">
      <c r="B3317" s="15" t="n"/>
      <c r="C3317" s="16" t="n"/>
      <c r="D3317" s="17" t="n"/>
      <c r="E3317" s="17" t="n"/>
      <c r="F3317" s="17" t="n"/>
      <c r="G3317" s="17" t="n"/>
      <c r="H3317" s="18">
        <f>IF(AND(B3317="",C3317="",D3317="",E3317=""),"",IF(B3317="","⚠ Falta fecha",IF(C3317="","⚠ Falta monto",IF(D3317="","⚠ Falta categoría",IF(ISNA(MATCH(D3317,catNom,0)),"⚠ Categoría no existe",IF(E3317="","⚠ Falta cuenta",IF(ISNA(MATCH(E3317,ctaNom,0)),"⚠ Cuenta no existe",IF(AND(OR(I3317="Transferencia",I3317="Pago tarjeta"),G3317=""),"⚠ Indica la cuenta «Hacia»",IF(AND(G3317&lt;&gt;"",G3317=E3317),"⚠ «Hacia» igual a la cuenta",IF(AND(G3317&lt;&gt;"",ISNA(MATCH(G3317,ctaNom,0))),"⚠ «Hacia» no existe",IF(AND(I3317="Pago tarjeta",IFERROR(INDEX(ctaTipo,MATCH(G3317,ctaNom,0)),"")&lt;&gt;"Tarjeta de crédito"),"⚠ «Hacia» debe ser la tarjeta",IF(AND(I3317="Trading",IFERROR(INDEX(ctaTipo,MATCH(E3317,ctaNom,0)),"")&lt;&gt;"Cuenta de trading"),"⚠ Usa la cuenta de trading","✓"))))))))))))</f>
        <v/>
      </c>
      <c r="I3317" s="19">
        <f>IF(OR(B3317="",C3317="",D3317=""),"",IFERROR(INDEX(catTipo,MATCH(D3317,catNom,0))&amp;"",""))</f>
        <v/>
      </c>
      <c r="J3317" s="19">
        <f>IF(I3317="","",IFERROR(INDEX(catGrupo,MATCH(D3317,catNom,0))&amp;"",""))</f>
        <v/>
      </c>
      <c r="K3317" s="19">
        <f>IF(I3317="Gasto",IF(IFERROR(INDEX(catClas,MATCH(D3317,catNom,0))&amp;"","")="","Variable",IFERROR(INDEX(catClas,MATCH(D3317,catNom,0))&amp;"","")),"")</f>
        <v/>
      </c>
      <c r="L3317" s="19">
        <f>IF(I3317="","",IFERROR(INDEX(catAlim,MATCH(D3317,catNom,0))&amp;"",""))</f>
        <v/>
      </c>
      <c r="M3317" s="19">
        <f>IF(I3317="","",IFERROR(INDEX(catComida,MATCH(D3317,catNom,0))&amp;"",""))</f>
        <v/>
      </c>
      <c r="N3317" s="19">
        <f>IF(I3317="","",IFERROR(INDEX(ctaMon,MATCH(E3317,ctaNom,0))&amp;"","DOP"))</f>
        <v/>
      </c>
      <c r="O3317" s="20">
        <f>IF(I3317="","",C3317*IF(N3317="USD",TasaUSD,1))</f>
        <v/>
      </c>
      <c r="P3317" s="20">
        <f>IF(I3317="","",IF(I3317="Gasto",O3317,0))</f>
        <v/>
      </c>
      <c r="Q3317" s="20">
        <f>IF(I3317="","",IF(I3317="Ingreso",O3317,0))</f>
        <v/>
      </c>
      <c r="R3317" s="20">
        <f>IF(I3317="","",IF(I3317="Trading",O3317,0))</f>
        <v/>
      </c>
      <c r="S3317" s="19">
        <f>IF(I3317="","",IF(AND(I3317="Gasto",K3317="Variable",J3317&lt;&gt;"Trading",O3317&gt;0,O3317&lt;=Umbral),1,0))</f>
        <v/>
      </c>
      <c r="T3317" s="20">
        <f>IF(OR(I3317="",E3317=""),"",IF(OR(I3317="Gasto",I3317="Transferencia",I3317="Pago tarjeta"),-1,1)*C3317)</f>
        <v/>
      </c>
      <c r="U3317" s="20">
        <f>IF(OR(G3317="",AND(I3317&lt;&gt;"Transferencia",I3317&lt;&gt;"Pago tarjeta")),"",IF(IFERROR(INDEX(ctaMon,MATCH(G3317,ctaNom,0))&amp;"","DOP")=N3317,C3317,IF(N3317="USD",C3317*TasaUSD,C3317/TasaUSD)))</f>
        <v/>
      </c>
      <c r="V3317" s="20">
        <f>IF(I3317="","",IF(IFERROR(INDEX(ctaLiq,MATCH(E3317,ctaNom,0))="Sí",FALSE),IF(OR(I3317="Gasto",I3317="Transferencia",I3317="Pago tarjeta"),-1,1)*O3317,0)+IF(AND(U3317&lt;&gt;"",IFERROR(INDEX(ctaLiq,MATCH(G3317,ctaNom,0))="Sí",FALSE)),O3317,0))</f>
        <v/>
      </c>
      <c r="W3317" s="19">
        <f>IF(OR(F3317="",I3317=""),"",IF(COUNTIFS(F$6:F3317,F3317,I$6:I3317,"?*")=1,MAX(W$5:W3316)+1,""))</f>
        <v/>
      </c>
    </row>
    <row r="3318">
      <c r="B3318" s="15" t="n"/>
      <c r="C3318" s="16" t="n"/>
      <c r="D3318" s="17" t="n"/>
      <c r="E3318" s="17" t="n"/>
      <c r="F3318" s="17" t="n"/>
      <c r="G3318" s="17" t="n"/>
      <c r="H3318" s="18">
        <f>IF(AND(B3318="",C3318="",D3318="",E3318=""),"",IF(B3318="","⚠ Falta fecha",IF(C3318="","⚠ Falta monto",IF(D3318="","⚠ Falta categoría",IF(ISNA(MATCH(D3318,catNom,0)),"⚠ Categoría no existe",IF(E3318="","⚠ Falta cuenta",IF(ISNA(MATCH(E3318,ctaNom,0)),"⚠ Cuenta no existe",IF(AND(OR(I3318="Transferencia",I3318="Pago tarjeta"),G3318=""),"⚠ Indica la cuenta «Hacia»",IF(AND(G3318&lt;&gt;"",G3318=E3318),"⚠ «Hacia» igual a la cuenta",IF(AND(G3318&lt;&gt;"",ISNA(MATCH(G3318,ctaNom,0))),"⚠ «Hacia» no existe",IF(AND(I3318="Pago tarjeta",IFERROR(INDEX(ctaTipo,MATCH(G3318,ctaNom,0)),"")&lt;&gt;"Tarjeta de crédito"),"⚠ «Hacia» debe ser la tarjeta",IF(AND(I3318="Trading",IFERROR(INDEX(ctaTipo,MATCH(E3318,ctaNom,0)),"")&lt;&gt;"Cuenta de trading"),"⚠ Usa la cuenta de trading","✓"))))))))))))</f>
        <v/>
      </c>
      <c r="I3318" s="19">
        <f>IF(OR(B3318="",C3318="",D3318=""),"",IFERROR(INDEX(catTipo,MATCH(D3318,catNom,0))&amp;"",""))</f>
        <v/>
      </c>
      <c r="J3318" s="19">
        <f>IF(I3318="","",IFERROR(INDEX(catGrupo,MATCH(D3318,catNom,0))&amp;"",""))</f>
        <v/>
      </c>
      <c r="K3318" s="19">
        <f>IF(I3318="Gasto",IF(IFERROR(INDEX(catClas,MATCH(D3318,catNom,0))&amp;"","")="","Variable",IFERROR(INDEX(catClas,MATCH(D3318,catNom,0))&amp;"","")),"")</f>
        <v/>
      </c>
      <c r="L3318" s="19">
        <f>IF(I3318="","",IFERROR(INDEX(catAlim,MATCH(D3318,catNom,0))&amp;"",""))</f>
        <v/>
      </c>
      <c r="M3318" s="19">
        <f>IF(I3318="","",IFERROR(INDEX(catComida,MATCH(D3318,catNom,0))&amp;"",""))</f>
        <v/>
      </c>
      <c r="N3318" s="19">
        <f>IF(I3318="","",IFERROR(INDEX(ctaMon,MATCH(E3318,ctaNom,0))&amp;"","DOP"))</f>
        <v/>
      </c>
      <c r="O3318" s="20">
        <f>IF(I3318="","",C3318*IF(N3318="USD",TasaUSD,1))</f>
        <v/>
      </c>
      <c r="P3318" s="20">
        <f>IF(I3318="","",IF(I3318="Gasto",O3318,0))</f>
        <v/>
      </c>
      <c r="Q3318" s="20">
        <f>IF(I3318="","",IF(I3318="Ingreso",O3318,0))</f>
        <v/>
      </c>
      <c r="R3318" s="20">
        <f>IF(I3318="","",IF(I3318="Trading",O3318,0))</f>
        <v/>
      </c>
      <c r="S3318" s="19">
        <f>IF(I3318="","",IF(AND(I3318="Gasto",K3318="Variable",J3318&lt;&gt;"Trading",O3318&gt;0,O3318&lt;=Umbral),1,0))</f>
        <v/>
      </c>
      <c r="T3318" s="20">
        <f>IF(OR(I3318="",E3318=""),"",IF(OR(I3318="Gasto",I3318="Transferencia",I3318="Pago tarjeta"),-1,1)*C3318)</f>
        <v/>
      </c>
      <c r="U3318" s="20">
        <f>IF(OR(G3318="",AND(I3318&lt;&gt;"Transferencia",I3318&lt;&gt;"Pago tarjeta")),"",IF(IFERROR(INDEX(ctaMon,MATCH(G3318,ctaNom,0))&amp;"","DOP")=N3318,C3318,IF(N3318="USD",C3318*TasaUSD,C3318/TasaUSD)))</f>
        <v/>
      </c>
      <c r="V3318" s="20">
        <f>IF(I3318="","",IF(IFERROR(INDEX(ctaLiq,MATCH(E3318,ctaNom,0))="Sí",FALSE),IF(OR(I3318="Gasto",I3318="Transferencia",I3318="Pago tarjeta"),-1,1)*O3318,0)+IF(AND(U3318&lt;&gt;"",IFERROR(INDEX(ctaLiq,MATCH(G3318,ctaNom,0))="Sí",FALSE)),O3318,0))</f>
        <v/>
      </c>
      <c r="W3318" s="19">
        <f>IF(OR(F3318="",I3318=""),"",IF(COUNTIFS(F$6:F3318,F3318,I$6:I3318,"?*")=1,MAX(W$5:W3317)+1,""))</f>
        <v/>
      </c>
    </row>
    <row r="3319">
      <c r="B3319" s="15" t="n"/>
      <c r="C3319" s="16" t="n"/>
      <c r="D3319" s="17" t="n"/>
      <c r="E3319" s="17" t="n"/>
      <c r="F3319" s="17" t="n"/>
      <c r="G3319" s="17" t="n"/>
      <c r="H3319" s="18">
        <f>IF(AND(B3319="",C3319="",D3319="",E3319=""),"",IF(B3319="","⚠ Falta fecha",IF(C3319="","⚠ Falta monto",IF(D3319="","⚠ Falta categoría",IF(ISNA(MATCH(D3319,catNom,0)),"⚠ Categoría no existe",IF(E3319="","⚠ Falta cuenta",IF(ISNA(MATCH(E3319,ctaNom,0)),"⚠ Cuenta no existe",IF(AND(OR(I3319="Transferencia",I3319="Pago tarjeta"),G3319=""),"⚠ Indica la cuenta «Hacia»",IF(AND(G3319&lt;&gt;"",G3319=E3319),"⚠ «Hacia» igual a la cuenta",IF(AND(G3319&lt;&gt;"",ISNA(MATCH(G3319,ctaNom,0))),"⚠ «Hacia» no existe",IF(AND(I3319="Pago tarjeta",IFERROR(INDEX(ctaTipo,MATCH(G3319,ctaNom,0)),"")&lt;&gt;"Tarjeta de crédito"),"⚠ «Hacia» debe ser la tarjeta",IF(AND(I3319="Trading",IFERROR(INDEX(ctaTipo,MATCH(E3319,ctaNom,0)),"")&lt;&gt;"Cuenta de trading"),"⚠ Usa la cuenta de trading","✓"))))))))))))</f>
        <v/>
      </c>
      <c r="I3319" s="19">
        <f>IF(OR(B3319="",C3319="",D3319=""),"",IFERROR(INDEX(catTipo,MATCH(D3319,catNom,0))&amp;"",""))</f>
        <v/>
      </c>
      <c r="J3319" s="19">
        <f>IF(I3319="","",IFERROR(INDEX(catGrupo,MATCH(D3319,catNom,0))&amp;"",""))</f>
        <v/>
      </c>
      <c r="K3319" s="19">
        <f>IF(I3319="Gasto",IF(IFERROR(INDEX(catClas,MATCH(D3319,catNom,0))&amp;"","")="","Variable",IFERROR(INDEX(catClas,MATCH(D3319,catNom,0))&amp;"","")),"")</f>
        <v/>
      </c>
      <c r="L3319" s="19">
        <f>IF(I3319="","",IFERROR(INDEX(catAlim,MATCH(D3319,catNom,0))&amp;"",""))</f>
        <v/>
      </c>
      <c r="M3319" s="19">
        <f>IF(I3319="","",IFERROR(INDEX(catComida,MATCH(D3319,catNom,0))&amp;"",""))</f>
        <v/>
      </c>
      <c r="N3319" s="19">
        <f>IF(I3319="","",IFERROR(INDEX(ctaMon,MATCH(E3319,ctaNom,0))&amp;"","DOP"))</f>
        <v/>
      </c>
      <c r="O3319" s="20">
        <f>IF(I3319="","",C3319*IF(N3319="USD",TasaUSD,1))</f>
        <v/>
      </c>
      <c r="P3319" s="20">
        <f>IF(I3319="","",IF(I3319="Gasto",O3319,0))</f>
        <v/>
      </c>
      <c r="Q3319" s="20">
        <f>IF(I3319="","",IF(I3319="Ingreso",O3319,0))</f>
        <v/>
      </c>
      <c r="R3319" s="20">
        <f>IF(I3319="","",IF(I3319="Trading",O3319,0))</f>
        <v/>
      </c>
      <c r="S3319" s="19">
        <f>IF(I3319="","",IF(AND(I3319="Gasto",K3319="Variable",J3319&lt;&gt;"Trading",O3319&gt;0,O3319&lt;=Umbral),1,0))</f>
        <v/>
      </c>
      <c r="T3319" s="20">
        <f>IF(OR(I3319="",E3319=""),"",IF(OR(I3319="Gasto",I3319="Transferencia",I3319="Pago tarjeta"),-1,1)*C3319)</f>
        <v/>
      </c>
      <c r="U3319" s="20">
        <f>IF(OR(G3319="",AND(I3319&lt;&gt;"Transferencia",I3319&lt;&gt;"Pago tarjeta")),"",IF(IFERROR(INDEX(ctaMon,MATCH(G3319,ctaNom,0))&amp;"","DOP")=N3319,C3319,IF(N3319="USD",C3319*TasaUSD,C3319/TasaUSD)))</f>
        <v/>
      </c>
      <c r="V3319" s="20">
        <f>IF(I3319="","",IF(IFERROR(INDEX(ctaLiq,MATCH(E3319,ctaNom,0))="Sí",FALSE),IF(OR(I3319="Gasto",I3319="Transferencia",I3319="Pago tarjeta"),-1,1)*O3319,0)+IF(AND(U3319&lt;&gt;"",IFERROR(INDEX(ctaLiq,MATCH(G3319,ctaNom,0))="Sí",FALSE)),O3319,0))</f>
        <v/>
      </c>
      <c r="W3319" s="19">
        <f>IF(OR(F3319="",I3319=""),"",IF(COUNTIFS(F$6:F3319,F3319,I$6:I3319,"?*")=1,MAX(W$5:W3318)+1,""))</f>
        <v/>
      </c>
    </row>
    <row r="3320">
      <c r="B3320" s="15" t="n"/>
      <c r="C3320" s="16" t="n"/>
      <c r="D3320" s="17" t="n"/>
      <c r="E3320" s="17" t="n"/>
      <c r="F3320" s="17" t="n"/>
      <c r="G3320" s="17" t="n"/>
      <c r="H3320" s="18">
        <f>IF(AND(B3320="",C3320="",D3320="",E3320=""),"",IF(B3320="","⚠ Falta fecha",IF(C3320="","⚠ Falta monto",IF(D3320="","⚠ Falta categoría",IF(ISNA(MATCH(D3320,catNom,0)),"⚠ Categoría no existe",IF(E3320="","⚠ Falta cuenta",IF(ISNA(MATCH(E3320,ctaNom,0)),"⚠ Cuenta no existe",IF(AND(OR(I3320="Transferencia",I3320="Pago tarjeta"),G3320=""),"⚠ Indica la cuenta «Hacia»",IF(AND(G3320&lt;&gt;"",G3320=E3320),"⚠ «Hacia» igual a la cuenta",IF(AND(G3320&lt;&gt;"",ISNA(MATCH(G3320,ctaNom,0))),"⚠ «Hacia» no existe",IF(AND(I3320="Pago tarjeta",IFERROR(INDEX(ctaTipo,MATCH(G3320,ctaNom,0)),"")&lt;&gt;"Tarjeta de crédito"),"⚠ «Hacia» debe ser la tarjeta",IF(AND(I3320="Trading",IFERROR(INDEX(ctaTipo,MATCH(E3320,ctaNom,0)),"")&lt;&gt;"Cuenta de trading"),"⚠ Usa la cuenta de trading","✓"))))))))))))</f>
        <v/>
      </c>
      <c r="I3320" s="19">
        <f>IF(OR(B3320="",C3320="",D3320=""),"",IFERROR(INDEX(catTipo,MATCH(D3320,catNom,0))&amp;"",""))</f>
        <v/>
      </c>
      <c r="J3320" s="19">
        <f>IF(I3320="","",IFERROR(INDEX(catGrupo,MATCH(D3320,catNom,0))&amp;"",""))</f>
        <v/>
      </c>
      <c r="K3320" s="19">
        <f>IF(I3320="Gasto",IF(IFERROR(INDEX(catClas,MATCH(D3320,catNom,0))&amp;"","")="","Variable",IFERROR(INDEX(catClas,MATCH(D3320,catNom,0))&amp;"","")),"")</f>
        <v/>
      </c>
      <c r="L3320" s="19">
        <f>IF(I3320="","",IFERROR(INDEX(catAlim,MATCH(D3320,catNom,0))&amp;"",""))</f>
        <v/>
      </c>
      <c r="M3320" s="19">
        <f>IF(I3320="","",IFERROR(INDEX(catComida,MATCH(D3320,catNom,0))&amp;"",""))</f>
        <v/>
      </c>
      <c r="N3320" s="19">
        <f>IF(I3320="","",IFERROR(INDEX(ctaMon,MATCH(E3320,ctaNom,0))&amp;"","DOP"))</f>
        <v/>
      </c>
      <c r="O3320" s="20">
        <f>IF(I3320="","",C3320*IF(N3320="USD",TasaUSD,1))</f>
        <v/>
      </c>
      <c r="P3320" s="20">
        <f>IF(I3320="","",IF(I3320="Gasto",O3320,0))</f>
        <v/>
      </c>
      <c r="Q3320" s="20">
        <f>IF(I3320="","",IF(I3320="Ingreso",O3320,0))</f>
        <v/>
      </c>
      <c r="R3320" s="20">
        <f>IF(I3320="","",IF(I3320="Trading",O3320,0))</f>
        <v/>
      </c>
      <c r="S3320" s="19">
        <f>IF(I3320="","",IF(AND(I3320="Gasto",K3320="Variable",J3320&lt;&gt;"Trading",O3320&gt;0,O3320&lt;=Umbral),1,0))</f>
        <v/>
      </c>
      <c r="T3320" s="20">
        <f>IF(OR(I3320="",E3320=""),"",IF(OR(I3320="Gasto",I3320="Transferencia",I3320="Pago tarjeta"),-1,1)*C3320)</f>
        <v/>
      </c>
      <c r="U3320" s="20">
        <f>IF(OR(G3320="",AND(I3320&lt;&gt;"Transferencia",I3320&lt;&gt;"Pago tarjeta")),"",IF(IFERROR(INDEX(ctaMon,MATCH(G3320,ctaNom,0))&amp;"","DOP")=N3320,C3320,IF(N3320="USD",C3320*TasaUSD,C3320/TasaUSD)))</f>
        <v/>
      </c>
      <c r="V3320" s="20">
        <f>IF(I3320="","",IF(IFERROR(INDEX(ctaLiq,MATCH(E3320,ctaNom,0))="Sí",FALSE),IF(OR(I3320="Gasto",I3320="Transferencia",I3320="Pago tarjeta"),-1,1)*O3320,0)+IF(AND(U3320&lt;&gt;"",IFERROR(INDEX(ctaLiq,MATCH(G3320,ctaNom,0))="Sí",FALSE)),O3320,0))</f>
        <v/>
      </c>
      <c r="W3320" s="19">
        <f>IF(OR(F3320="",I3320=""),"",IF(COUNTIFS(F$6:F3320,F3320,I$6:I3320,"?*")=1,MAX(W$5:W3319)+1,""))</f>
        <v/>
      </c>
    </row>
    <row r="3321">
      <c r="B3321" s="15" t="n"/>
      <c r="C3321" s="16" t="n"/>
      <c r="D3321" s="17" t="n"/>
      <c r="E3321" s="17" t="n"/>
      <c r="F3321" s="17" t="n"/>
      <c r="G3321" s="17" t="n"/>
      <c r="H3321" s="18">
        <f>IF(AND(B3321="",C3321="",D3321="",E3321=""),"",IF(B3321="","⚠ Falta fecha",IF(C3321="","⚠ Falta monto",IF(D3321="","⚠ Falta categoría",IF(ISNA(MATCH(D3321,catNom,0)),"⚠ Categoría no existe",IF(E3321="","⚠ Falta cuenta",IF(ISNA(MATCH(E3321,ctaNom,0)),"⚠ Cuenta no existe",IF(AND(OR(I3321="Transferencia",I3321="Pago tarjeta"),G3321=""),"⚠ Indica la cuenta «Hacia»",IF(AND(G3321&lt;&gt;"",G3321=E3321),"⚠ «Hacia» igual a la cuenta",IF(AND(G3321&lt;&gt;"",ISNA(MATCH(G3321,ctaNom,0))),"⚠ «Hacia» no existe",IF(AND(I3321="Pago tarjeta",IFERROR(INDEX(ctaTipo,MATCH(G3321,ctaNom,0)),"")&lt;&gt;"Tarjeta de crédito"),"⚠ «Hacia» debe ser la tarjeta",IF(AND(I3321="Trading",IFERROR(INDEX(ctaTipo,MATCH(E3321,ctaNom,0)),"")&lt;&gt;"Cuenta de trading"),"⚠ Usa la cuenta de trading","✓"))))))))))))</f>
        <v/>
      </c>
      <c r="I3321" s="19">
        <f>IF(OR(B3321="",C3321="",D3321=""),"",IFERROR(INDEX(catTipo,MATCH(D3321,catNom,0))&amp;"",""))</f>
        <v/>
      </c>
      <c r="J3321" s="19">
        <f>IF(I3321="","",IFERROR(INDEX(catGrupo,MATCH(D3321,catNom,0))&amp;"",""))</f>
        <v/>
      </c>
      <c r="K3321" s="19">
        <f>IF(I3321="Gasto",IF(IFERROR(INDEX(catClas,MATCH(D3321,catNom,0))&amp;"","")="","Variable",IFERROR(INDEX(catClas,MATCH(D3321,catNom,0))&amp;"","")),"")</f>
        <v/>
      </c>
      <c r="L3321" s="19">
        <f>IF(I3321="","",IFERROR(INDEX(catAlim,MATCH(D3321,catNom,0))&amp;"",""))</f>
        <v/>
      </c>
      <c r="M3321" s="19">
        <f>IF(I3321="","",IFERROR(INDEX(catComida,MATCH(D3321,catNom,0))&amp;"",""))</f>
        <v/>
      </c>
      <c r="N3321" s="19">
        <f>IF(I3321="","",IFERROR(INDEX(ctaMon,MATCH(E3321,ctaNom,0))&amp;"","DOP"))</f>
        <v/>
      </c>
      <c r="O3321" s="20">
        <f>IF(I3321="","",C3321*IF(N3321="USD",TasaUSD,1))</f>
        <v/>
      </c>
      <c r="P3321" s="20">
        <f>IF(I3321="","",IF(I3321="Gasto",O3321,0))</f>
        <v/>
      </c>
      <c r="Q3321" s="20">
        <f>IF(I3321="","",IF(I3321="Ingreso",O3321,0))</f>
        <v/>
      </c>
      <c r="R3321" s="20">
        <f>IF(I3321="","",IF(I3321="Trading",O3321,0))</f>
        <v/>
      </c>
      <c r="S3321" s="19">
        <f>IF(I3321="","",IF(AND(I3321="Gasto",K3321="Variable",J3321&lt;&gt;"Trading",O3321&gt;0,O3321&lt;=Umbral),1,0))</f>
        <v/>
      </c>
      <c r="T3321" s="20">
        <f>IF(OR(I3321="",E3321=""),"",IF(OR(I3321="Gasto",I3321="Transferencia",I3321="Pago tarjeta"),-1,1)*C3321)</f>
        <v/>
      </c>
      <c r="U3321" s="20">
        <f>IF(OR(G3321="",AND(I3321&lt;&gt;"Transferencia",I3321&lt;&gt;"Pago tarjeta")),"",IF(IFERROR(INDEX(ctaMon,MATCH(G3321,ctaNom,0))&amp;"","DOP")=N3321,C3321,IF(N3321="USD",C3321*TasaUSD,C3321/TasaUSD)))</f>
        <v/>
      </c>
      <c r="V3321" s="20">
        <f>IF(I3321="","",IF(IFERROR(INDEX(ctaLiq,MATCH(E3321,ctaNom,0))="Sí",FALSE),IF(OR(I3321="Gasto",I3321="Transferencia",I3321="Pago tarjeta"),-1,1)*O3321,0)+IF(AND(U3321&lt;&gt;"",IFERROR(INDEX(ctaLiq,MATCH(G3321,ctaNom,0))="Sí",FALSE)),O3321,0))</f>
        <v/>
      </c>
      <c r="W3321" s="19">
        <f>IF(OR(F3321="",I3321=""),"",IF(COUNTIFS(F$6:F3321,F3321,I$6:I3321,"?*")=1,MAX(W$5:W3320)+1,""))</f>
        <v/>
      </c>
    </row>
    <row r="3322">
      <c r="B3322" s="15" t="n"/>
      <c r="C3322" s="16" t="n"/>
      <c r="D3322" s="17" t="n"/>
      <c r="E3322" s="17" t="n"/>
      <c r="F3322" s="17" t="n"/>
      <c r="G3322" s="17" t="n"/>
      <c r="H3322" s="18">
        <f>IF(AND(B3322="",C3322="",D3322="",E3322=""),"",IF(B3322="","⚠ Falta fecha",IF(C3322="","⚠ Falta monto",IF(D3322="","⚠ Falta categoría",IF(ISNA(MATCH(D3322,catNom,0)),"⚠ Categoría no existe",IF(E3322="","⚠ Falta cuenta",IF(ISNA(MATCH(E3322,ctaNom,0)),"⚠ Cuenta no existe",IF(AND(OR(I3322="Transferencia",I3322="Pago tarjeta"),G3322=""),"⚠ Indica la cuenta «Hacia»",IF(AND(G3322&lt;&gt;"",G3322=E3322),"⚠ «Hacia» igual a la cuenta",IF(AND(G3322&lt;&gt;"",ISNA(MATCH(G3322,ctaNom,0))),"⚠ «Hacia» no existe",IF(AND(I3322="Pago tarjeta",IFERROR(INDEX(ctaTipo,MATCH(G3322,ctaNom,0)),"")&lt;&gt;"Tarjeta de crédito"),"⚠ «Hacia» debe ser la tarjeta",IF(AND(I3322="Trading",IFERROR(INDEX(ctaTipo,MATCH(E3322,ctaNom,0)),"")&lt;&gt;"Cuenta de trading"),"⚠ Usa la cuenta de trading","✓"))))))))))))</f>
        <v/>
      </c>
      <c r="I3322" s="19">
        <f>IF(OR(B3322="",C3322="",D3322=""),"",IFERROR(INDEX(catTipo,MATCH(D3322,catNom,0))&amp;"",""))</f>
        <v/>
      </c>
      <c r="J3322" s="19">
        <f>IF(I3322="","",IFERROR(INDEX(catGrupo,MATCH(D3322,catNom,0))&amp;"",""))</f>
        <v/>
      </c>
      <c r="K3322" s="19">
        <f>IF(I3322="Gasto",IF(IFERROR(INDEX(catClas,MATCH(D3322,catNom,0))&amp;"","")="","Variable",IFERROR(INDEX(catClas,MATCH(D3322,catNom,0))&amp;"","")),"")</f>
        <v/>
      </c>
      <c r="L3322" s="19">
        <f>IF(I3322="","",IFERROR(INDEX(catAlim,MATCH(D3322,catNom,0))&amp;"",""))</f>
        <v/>
      </c>
      <c r="M3322" s="19">
        <f>IF(I3322="","",IFERROR(INDEX(catComida,MATCH(D3322,catNom,0))&amp;"",""))</f>
        <v/>
      </c>
      <c r="N3322" s="19">
        <f>IF(I3322="","",IFERROR(INDEX(ctaMon,MATCH(E3322,ctaNom,0))&amp;"","DOP"))</f>
        <v/>
      </c>
      <c r="O3322" s="20">
        <f>IF(I3322="","",C3322*IF(N3322="USD",TasaUSD,1))</f>
        <v/>
      </c>
      <c r="P3322" s="20">
        <f>IF(I3322="","",IF(I3322="Gasto",O3322,0))</f>
        <v/>
      </c>
      <c r="Q3322" s="20">
        <f>IF(I3322="","",IF(I3322="Ingreso",O3322,0))</f>
        <v/>
      </c>
      <c r="R3322" s="20">
        <f>IF(I3322="","",IF(I3322="Trading",O3322,0))</f>
        <v/>
      </c>
      <c r="S3322" s="19">
        <f>IF(I3322="","",IF(AND(I3322="Gasto",K3322="Variable",J3322&lt;&gt;"Trading",O3322&gt;0,O3322&lt;=Umbral),1,0))</f>
        <v/>
      </c>
      <c r="T3322" s="20">
        <f>IF(OR(I3322="",E3322=""),"",IF(OR(I3322="Gasto",I3322="Transferencia",I3322="Pago tarjeta"),-1,1)*C3322)</f>
        <v/>
      </c>
      <c r="U3322" s="20">
        <f>IF(OR(G3322="",AND(I3322&lt;&gt;"Transferencia",I3322&lt;&gt;"Pago tarjeta")),"",IF(IFERROR(INDEX(ctaMon,MATCH(G3322,ctaNom,0))&amp;"","DOP")=N3322,C3322,IF(N3322="USD",C3322*TasaUSD,C3322/TasaUSD)))</f>
        <v/>
      </c>
      <c r="V3322" s="20">
        <f>IF(I3322="","",IF(IFERROR(INDEX(ctaLiq,MATCH(E3322,ctaNom,0))="Sí",FALSE),IF(OR(I3322="Gasto",I3322="Transferencia",I3322="Pago tarjeta"),-1,1)*O3322,0)+IF(AND(U3322&lt;&gt;"",IFERROR(INDEX(ctaLiq,MATCH(G3322,ctaNom,0))="Sí",FALSE)),O3322,0))</f>
        <v/>
      </c>
      <c r="W3322" s="19">
        <f>IF(OR(F3322="",I3322=""),"",IF(COUNTIFS(F$6:F3322,F3322,I$6:I3322,"?*")=1,MAX(W$5:W3321)+1,""))</f>
        <v/>
      </c>
    </row>
    <row r="3323">
      <c r="B3323" s="15" t="n"/>
      <c r="C3323" s="16" t="n"/>
      <c r="D3323" s="17" t="n"/>
      <c r="E3323" s="17" t="n"/>
      <c r="F3323" s="17" t="n"/>
      <c r="G3323" s="17" t="n"/>
      <c r="H3323" s="18">
        <f>IF(AND(B3323="",C3323="",D3323="",E3323=""),"",IF(B3323="","⚠ Falta fecha",IF(C3323="","⚠ Falta monto",IF(D3323="","⚠ Falta categoría",IF(ISNA(MATCH(D3323,catNom,0)),"⚠ Categoría no existe",IF(E3323="","⚠ Falta cuenta",IF(ISNA(MATCH(E3323,ctaNom,0)),"⚠ Cuenta no existe",IF(AND(OR(I3323="Transferencia",I3323="Pago tarjeta"),G3323=""),"⚠ Indica la cuenta «Hacia»",IF(AND(G3323&lt;&gt;"",G3323=E3323),"⚠ «Hacia» igual a la cuenta",IF(AND(G3323&lt;&gt;"",ISNA(MATCH(G3323,ctaNom,0))),"⚠ «Hacia» no existe",IF(AND(I3323="Pago tarjeta",IFERROR(INDEX(ctaTipo,MATCH(G3323,ctaNom,0)),"")&lt;&gt;"Tarjeta de crédito"),"⚠ «Hacia» debe ser la tarjeta",IF(AND(I3323="Trading",IFERROR(INDEX(ctaTipo,MATCH(E3323,ctaNom,0)),"")&lt;&gt;"Cuenta de trading"),"⚠ Usa la cuenta de trading","✓"))))))))))))</f>
        <v/>
      </c>
      <c r="I3323" s="19">
        <f>IF(OR(B3323="",C3323="",D3323=""),"",IFERROR(INDEX(catTipo,MATCH(D3323,catNom,0))&amp;"",""))</f>
        <v/>
      </c>
      <c r="J3323" s="19">
        <f>IF(I3323="","",IFERROR(INDEX(catGrupo,MATCH(D3323,catNom,0))&amp;"",""))</f>
        <v/>
      </c>
      <c r="K3323" s="19">
        <f>IF(I3323="Gasto",IF(IFERROR(INDEX(catClas,MATCH(D3323,catNom,0))&amp;"","")="","Variable",IFERROR(INDEX(catClas,MATCH(D3323,catNom,0))&amp;"","")),"")</f>
        <v/>
      </c>
      <c r="L3323" s="19">
        <f>IF(I3323="","",IFERROR(INDEX(catAlim,MATCH(D3323,catNom,0))&amp;"",""))</f>
        <v/>
      </c>
      <c r="M3323" s="19">
        <f>IF(I3323="","",IFERROR(INDEX(catComida,MATCH(D3323,catNom,0))&amp;"",""))</f>
        <v/>
      </c>
      <c r="N3323" s="19">
        <f>IF(I3323="","",IFERROR(INDEX(ctaMon,MATCH(E3323,ctaNom,0))&amp;"","DOP"))</f>
        <v/>
      </c>
      <c r="O3323" s="20">
        <f>IF(I3323="","",C3323*IF(N3323="USD",TasaUSD,1))</f>
        <v/>
      </c>
      <c r="P3323" s="20">
        <f>IF(I3323="","",IF(I3323="Gasto",O3323,0))</f>
        <v/>
      </c>
      <c r="Q3323" s="20">
        <f>IF(I3323="","",IF(I3323="Ingreso",O3323,0))</f>
        <v/>
      </c>
      <c r="R3323" s="20">
        <f>IF(I3323="","",IF(I3323="Trading",O3323,0))</f>
        <v/>
      </c>
      <c r="S3323" s="19">
        <f>IF(I3323="","",IF(AND(I3323="Gasto",K3323="Variable",J3323&lt;&gt;"Trading",O3323&gt;0,O3323&lt;=Umbral),1,0))</f>
        <v/>
      </c>
      <c r="T3323" s="20">
        <f>IF(OR(I3323="",E3323=""),"",IF(OR(I3323="Gasto",I3323="Transferencia",I3323="Pago tarjeta"),-1,1)*C3323)</f>
        <v/>
      </c>
      <c r="U3323" s="20">
        <f>IF(OR(G3323="",AND(I3323&lt;&gt;"Transferencia",I3323&lt;&gt;"Pago tarjeta")),"",IF(IFERROR(INDEX(ctaMon,MATCH(G3323,ctaNom,0))&amp;"","DOP")=N3323,C3323,IF(N3323="USD",C3323*TasaUSD,C3323/TasaUSD)))</f>
        <v/>
      </c>
      <c r="V3323" s="20">
        <f>IF(I3323="","",IF(IFERROR(INDEX(ctaLiq,MATCH(E3323,ctaNom,0))="Sí",FALSE),IF(OR(I3323="Gasto",I3323="Transferencia",I3323="Pago tarjeta"),-1,1)*O3323,0)+IF(AND(U3323&lt;&gt;"",IFERROR(INDEX(ctaLiq,MATCH(G3323,ctaNom,0))="Sí",FALSE)),O3323,0))</f>
        <v/>
      </c>
      <c r="W3323" s="19">
        <f>IF(OR(F3323="",I3323=""),"",IF(COUNTIFS(F$6:F3323,F3323,I$6:I3323,"?*")=1,MAX(W$5:W3322)+1,""))</f>
        <v/>
      </c>
    </row>
    <row r="3324">
      <c r="B3324" s="15" t="n"/>
      <c r="C3324" s="16" t="n"/>
      <c r="D3324" s="17" t="n"/>
      <c r="E3324" s="17" t="n"/>
      <c r="F3324" s="17" t="n"/>
      <c r="G3324" s="17" t="n"/>
      <c r="H3324" s="18">
        <f>IF(AND(B3324="",C3324="",D3324="",E3324=""),"",IF(B3324="","⚠ Falta fecha",IF(C3324="","⚠ Falta monto",IF(D3324="","⚠ Falta categoría",IF(ISNA(MATCH(D3324,catNom,0)),"⚠ Categoría no existe",IF(E3324="","⚠ Falta cuenta",IF(ISNA(MATCH(E3324,ctaNom,0)),"⚠ Cuenta no existe",IF(AND(OR(I3324="Transferencia",I3324="Pago tarjeta"),G3324=""),"⚠ Indica la cuenta «Hacia»",IF(AND(G3324&lt;&gt;"",G3324=E3324),"⚠ «Hacia» igual a la cuenta",IF(AND(G3324&lt;&gt;"",ISNA(MATCH(G3324,ctaNom,0))),"⚠ «Hacia» no existe",IF(AND(I3324="Pago tarjeta",IFERROR(INDEX(ctaTipo,MATCH(G3324,ctaNom,0)),"")&lt;&gt;"Tarjeta de crédito"),"⚠ «Hacia» debe ser la tarjeta",IF(AND(I3324="Trading",IFERROR(INDEX(ctaTipo,MATCH(E3324,ctaNom,0)),"")&lt;&gt;"Cuenta de trading"),"⚠ Usa la cuenta de trading","✓"))))))))))))</f>
        <v/>
      </c>
      <c r="I3324" s="19">
        <f>IF(OR(B3324="",C3324="",D3324=""),"",IFERROR(INDEX(catTipo,MATCH(D3324,catNom,0))&amp;"",""))</f>
        <v/>
      </c>
      <c r="J3324" s="19">
        <f>IF(I3324="","",IFERROR(INDEX(catGrupo,MATCH(D3324,catNom,0))&amp;"",""))</f>
        <v/>
      </c>
      <c r="K3324" s="19">
        <f>IF(I3324="Gasto",IF(IFERROR(INDEX(catClas,MATCH(D3324,catNom,0))&amp;"","")="","Variable",IFERROR(INDEX(catClas,MATCH(D3324,catNom,0))&amp;"","")),"")</f>
        <v/>
      </c>
      <c r="L3324" s="19">
        <f>IF(I3324="","",IFERROR(INDEX(catAlim,MATCH(D3324,catNom,0))&amp;"",""))</f>
        <v/>
      </c>
      <c r="M3324" s="19">
        <f>IF(I3324="","",IFERROR(INDEX(catComida,MATCH(D3324,catNom,0))&amp;"",""))</f>
        <v/>
      </c>
      <c r="N3324" s="19">
        <f>IF(I3324="","",IFERROR(INDEX(ctaMon,MATCH(E3324,ctaNom,0))&amp;"","DOP"))</f>
        <v/>
      </c>
      <c r="O3324" s="20">
        <f>IF(I3324="","",C3324*IF(N3324="USD",TasaUSD,1))</f>
        <v/>
      </c>
      <c r="P3324" s="20">
        <f>IF(I3324="","",IF(I3324="Gasto",O3324,0))</f>
        <v/>
      </c>
      <c r="Q3324" s="20">
        <f>IF(I3324="","",IF(I3324="Ingreso",O3324,0))</f>
        <v/>
      </c>
      <c r="R3324" s="20">
        <f>IF(I3324="","",IF(I3324="Trading",O3324,0))</f>
        <v/>
      </c>
      <c r="S3324" s="19">
        <f>IF(I3324="","",IF(AND(I3324="Gasto",K3324="Variable",J3324&lt;&gt;"Trading",O3324&gt;0,O3324&lt;=Umbral),1,0))</f>
        <v/>
      </c>
      <c r="T3324" s="20">
        <f>IF(OR(I3324="",E3324=""),"",IF(OR(I3324="Gasto",I3324="Transferencia",I3324="Pago tarjeta"),-1,1)*C3324)</f>
        <v/>
      </c>
      <c r="U3324" s="20">
        <f>IF(OR(G3324="",AND(I3324&lt;&gt;"Transferencia",I3324&lt;&gt;"Pago tarjeta")),"",IF(IFERROR(INDEX(ctaMon,MATCH(G3324,ctaNom,0))&amp;"","DOP")=N3324,C3324,IF(N3324="USD",C3324*TasaUSD,C3324/TasaUSD)))</f>
        <v/>
      </c>
      <c r="V3324" s="20">
        <f>IF(I3324="","",IF(IFERROR(INDEX(ctaLiq,MATCH(E3324,ctaNom,0))="Sí",FALSE),IF(OR(I3324="Gasto",I3324="Transferencia",I3324="Pago tarjeta"),-1,1)*O3324,0)+IF(AND(U3324&lt;&gt;"",IFERROR(INDEX(ctaLiq,MATCH(G3324,ctaNom,0))="Sí",FALSE)),O3324,0))</f>
        <v/>
      </c>
      <c r="W3324" s="19">
        <f>IF(OR(F3324="",I3324=""),"",IF(COUNTIFS(F$6:F3324,F3324,I$6:I3324,"?*")=1,MAX(W$5:W3323)+1,""))</f>
        <v/>
      </c>
    </row>
    <row r="3325">
      <c r="B3325" s="15" t="n"/>
      <c r="C3325" s="16" t="n"/>
      <c r="D3325" s="17" t="n"/>
      <c r="E3325" s="17" t="n"/>
      <c r="F3325" s="17" t="n"/>
      <c r="G3325" s="17" t="n"/>
      <c r="H3325" s="18">
        <f>IF(AND(B3325="",C3325="",D3325="",E3325=""),"",IF(B3325="","⚠ Falta fecha",IF(C3325="","⚠ Falta monto",IF(D3325="","⚠ Falta categoría",IF(ISNA(MATCH(D3325,catNom,0)),"⚠ Categoría no existe",IF(E3325="","⚠ Falta cuenta",IF(ISNA(MATCH(E3325,ctaNom,0)),"⚠ Cuenta no existe",IF(AND(OR(I3325="Transferencia",I3325="Pago tarjeta"),G3325=""),"⚠ Indica la cuenta «Hacia»",IF(AND(G3325&lt;&gt;"",G3325=E3325),"⚠ «Hacia» igual a la cuenta",IF(AND(G3325&lt;&gt;"",ISNA(MATCH(G3325,ctaNom,0))),"⚠ «Hacia» no existe",IF(AND(I3325="Pago tarjeta",IFERROR(INDEX(ctaTipo,MATCH(G3325,ctaNom,0)),"")&lt;&gt;"Tarjeta de crédito"),"⚠ «Hacia» debe ser la tarjeta",IF(AND(I3325="Trading",IFERROR(INDEX(ctaTipo,MATCH(E3325,ctaNom,0)),"")&lt;&gt;"Cuenta de trading"),"⚠ Usa la cuenta de trading","✓"))))))))))))</f>
        <v/>
      </c>
      <c r="I3325" s="19">
        <f>IF(OR(B3325="",C3325="",D3325=""),"",IFERROR(INDEX(catTipo,MATCH(D3325,catNom,0))&amp;"",""))</f>
        <v/>
      </c>
      <c r="J3325" s="19">
        <f>IF(I3325="","",IFERROR(INDEX(catGrupo,MATCH(D3325,catNom,0))&amp;"",""))</f>
        <v/>
      </c>
      <c r="K3325" s="19">
        <f>IF(I3325="Gasto",IF(IFERROR(INDEX(catClas,MATCH(D3325,catNom,0))&amp;"","")="","Variable",IFERROR(INDEX(catClas,MATCH(D3325,catNom,0))&amp;"","")),"")</f>
        <v/>
      </c>
      <c r="L3325" s="19">
        <f>IF(I3325="","",IFERROR(INDEX(catAlim,MATCH(D3325,catNom,0))&amp;"",""))</f>
        <v/>
      </c>
      <c r="M3325" s="19">
        <f>IF(I3325="","",IFERROR(INDEX(catComida,MATCH(D3325,catNom,0))&amp;"",""))</f>
        <v/>
      </c>
      <c r="N3325" s="19">
        <f>IF(I3325="","",IFERROR(INDEX(ctaMon,MATCH(E3325,ctaNom,0))&amp;"","DOP"))</f>
        <v/>
      </c>
      <c r="O3325" s="20">
        <f>IF(I3325="","",C3325*IF(N3325="USD",TasaUSD,1))</f>
        <v/>
      </c>
      <c r="P3325" s="20">
        <f>IF(I3325="","",IF(I3325="Gasto",O3325,0))</f>
        <v/>
      </c>
      <c r="Q3325" s="20">
        <f>IF(I3325="","",IF(I3325="Ingreso",O3325,0))</f>
        <v/>
      </c>
      <c r="R3325" s="20">
        <f>IF(I3325="","",IF(I3325="Trading",O3325,0))</f>
        <v/>
      </c>
      <c r="S3325" s="19">
        <f>IF(I3325="","",IF(AND(I3325="Gasto",K3325="Variable",J3325&lt;&gt;"Trading",O3325&gt;0,O3325&lt;=Umbral),1,0))</f>
        <v/>
      </c>
      <c r="T3325" s="20">
        <f>IF(OR(I3325="",E3325=""),"",IF(OR(I3325="Gasto",I3325="Transferencia",I3325="Pago tarjeta"),-1,1)*C3325)</f>
        <v/>
      </c>
      <c r="U3325" s="20">
        <f>IF(OR(G3325="",AND(I3325&lt;&gt;"Transferencia",I3325&lt;&gt;"Pago tarjeta")),"",IF(IFERROR(INDEX(ctaMon,MATCH(G3325,ctaNom,0))&amp;"","DOP")=N3325,C3325,IF(N3325="USD",C3325*TasaUSD,C3325/TasaUSD)))</f>
        <v/>
      </c>
      <c r="V3325" s="20">
        <f>IF(I3325="","",IF(IFERROR(INDEX(ctaLiq,MATCH(E3325,ctaNom,0))="Sí",FALSE),IF(OR(I3325="Gasto",I3325="Transferencia",I3325="Pago tarjeta"),-1,1)*O3325,0)+IF(AND(U3325&lt;&gt;"",IFERROR(INDEX(ctaLiq,MATCH(G3325,ctaNom,0))="Sí",FALSE)),O3325,0))</f>
        <v/>
      </c>
      <c r="W3325" s="19">
        <f>IF(OR(F3325="",I3325=""),"",IF(COUNTIFS(F$6:F3325,F3325,I$6:I3325,"?*")=1,MAX(W$5:W3324)+1,""))</f>
        <v/>
      </c>
    </row>
    <row r="3326">
      <c r="B3326" s="15" t="n"/>
      <c r="C3326" s="16" t="n"/>
      <c r="D3326" s="17" t="n"/>
      <c r="E3326" s="17" t="n"/>
      <c r="F3326" s="17" t="n"/>
      <c r="G3326" s="17" t="n"/>
      <c r="H3326" s="18">
        <f>IF(AND(B3326="",C3326="",D3326="",E3326=""),"",IF(B3326="","⚠ Falta fecha",IF(C3326="","⚠ Falta monto",IF(D3326="","⚠ Falta categoría",IF(ISNA(MATCH(D3326,catNom,0)),"⚠ Categoría no existe",IF(E3326="","⚠ Falta cuenta",IF(ISNA(MATCH(E3326,ctaNom,0)),"⚠ Cuenta no existe",IF(AND(OR(I3326="Transferencia",I3326="Pago tarjeta"),G3326=""),"⚠ Indica la cuenta «Hacia»",IF(AND(G3326&lt;&gt;"",G3326=E3326),"⚠ «Hacia» igual a la cuenta",IF(AND(G3326&lt;&gt;"",ISNA(MATCH(G3326,ctaNom,0))),"⚠ «Hacia» no existe",IF(AND(I3326="Pago tarjeta",IFERROR(INDEX(ctaTipo,MATCH(G3326,ctaNom,0)),"")&lt;&gt;"Tarjeta de crédito"),"⚠ «Hacia» debe ser la tarjeta",IF(AND(I3326="Trading",IFERROR(INDEX(ctaTipo,MATCH(E3326,ctaNom,0)),"")&lt;&gt;"Cuenta de trading"),"⚠ Usa la cuenta de trading","✓"))))))))))))</f>
        <v/>
      </c>
      <c r="I3326" s="19">
        <f>IF(OR(B3326="",C3326="",D3326=""),"",IFERROR(INDEX(catTipo,MATCH(D3326,catNom,0))&amp;"",""))</f>
        <v/>
      </c>
      <c r="J3326" s="19">
        <f>IF(I3326="","",IFERROR(INDEX(catGrupo,MATCH(D3326,catNom,0))&amp;"",""))</f>
        <v/>
      </c>
      <c r="K3326" s="19">
        <f>IF(I3326="Gasto",IF(IFERROR(INDEX(catClas,MATCH(D3326,catNom,0))&amp;"","")="","Variable",IFERROR(INDEX(catClas,MATCH(D3326,catNom,0))&amp;"","")),"")</f>
        <v/>
      </c>
      <c r="L3326" s="19">
        <f>IF(I3326="","",IFERROR(INDEX(catAlim,MATCH(D3326,catNom,0))&amp;"",""))</f>
        <v/>
      </c>
      <c r="M3326" s="19">
        <f>IF(I3326="","",IFERROR(INDEX(catComida,MATCH(D3326,catNom,0))&amp;"",""))</f>
        <v/>
      </c>
      <c r="N3326" s="19">
        <f>IF(I3326="","",IFERROR(INDEX(ctaMon,MATCH(E3326,ctaNom,0))&amp;"","DOP"))</f>
        <v/>
      </c>
      <c r="O3326" s="20">
        <f>IF(I3326="","",C3326*IF(N3326="USD",TasaUSD,1))</f>
        <v/>
      </c>
      <c r="P3326" s="20">
        <f>IF(I3326="","",IF(I3326="Gasto",O3326,0))</f>
        <v/>
      </c>
      <c r="Q3326" s="20">
        <f>IF(I3326="","",IF(I3326="Ingreso",O3326,0))</f>
        <v/>
      </c>
      <c r="R3326" s="20">
        <f>IF(I3326="","",IF(I3326="Trading",O3326,0))</f>
        <v/>
      </c>
      <c r="S3326" s="19">
        <f>IF(I3326="","",IF(AND(I3326="Gasto",K3326="Variable",J3326&lt;&gt;"Trading",O3326&gt;0,O3326&lt;=Umbral),1,0))</f>
        <v/>
      </c>
      <c r="T3326" s="20">
        <f>IF(OR(I3326="",E3326=""),"",IF(OR(I3326="Gasto",I3326="Transferencia",I3326="Pago tarjeta"),-1,1)*C3326)</f>
        <v/>
      </c>
      <c r="U3326" s="20">
        <f>IF(OR(G3326="",AND(I3326&lt;&gt;"Transferencia",I3326&lt;&gt;"Pago tarjeta")),"",IF(IFERROR(INDEX(ctaMon,MATCH(G3326,ctaNom,0))&amp;"","DOP")=N3326,C3326,IF(N3326="USD",C3326*TasaUSD,C3326/TasaUSD)))</f>
        <v/>
      </c>
      <c r="V3326" s="20">
        <f>IF(I3326="","",IF(IFERROR(INDEX(ctaLiq,MATCH(E3326,ctaNom,0))="Sí",FALSE),IF(OR(I3326="Gasto",I3326="Transferencia",I3326="Pago tarjeta"),-1,1)*O3326,0)+IF(AND(U3326&lt;&gt;"",IFERROR(INDEX(ctaLiq,MATCH(G3326,ctaNom,0))="Sí",FALSE)),O3326,0))</f>
        <v/>
      </c>
      <c r="W3326" s="19">
        <f>IF(OR(F3326="",I3326=""),"",IF(COUNTIFS(F$6:F3326,F3326,I$6:I3326,"?*")=1,MAX(W$5:W3325)+1,""))</f>
        <v/>
      </c>
    </row>
    <row r="3327">
      <c r="B3327" s="15" t="n"/>
      <c r="C3327" s="16" t="n"/>
      <c r="D3327" s="17" t="n"/>
      <c r="E3327" s="17" t="n"/>
      <c r="F3327" s="17" t="n"/>
      <c r="G3327" s="17" t="n"/>
      <c r="H3327" s="18">
        <f>IF(AND(B3327="",C3327="",D3327="",E3327=""),"",IF(B3327="","⚠ Falta fecha",IF(C3327="","⚠ Falta monto",IF(D3327="","⚠ Falta categoría",IF(ISNA(MATCH(D3327,catNom,0)),"⚠ Categoría no existe",IF(E3327="","⚠ Falta cuenta",IF(ISNA(MATCH(E3327,ctaNom,0)),"⚠ Cuenta no existe",IF(AND(OR(I3327="Transferencia",I3327="Pago tarjeta"),G3327=""),"⚠ Indica la cuenta «Hacia»",IF(AND(G3327&lt;&gt;"",G3327=E3327),"⚠ «Hacia» igual a la cuenta",IF(AND(G3327&lt;&gt;"",ISNA(MATCH(G3327,ctaNom,0))),"⚠ «Hacia» no existe",IF(AND(I3327="Pago tarjeta",IFERROR(INDEX(ctaTipo,MATCH(G3327,ctaNom,0)),"")&lt;&gt;"Tarjeta de crédito"),"⚠ «Hacia» debe ser la tarjeta",IF(AND(I3327="Trading",IFERROR(INDEX(ctaTipo,MATCH(E3327,ctaNom,0)),"")&lt;&gt;"Cuenta de trading"),"⚠ Usa la cuenta de trading","✓"))))))))))))</f>
        <v/>
      </c>
      <c r="I3327" s="19">
        <f>IF(OR(B3327="",C3327="",D3327=""),"",IFERROR(INDEX(catTipo,MATCH(D3327,catNom,0))&amp;"",""))</f>
        <v/>
      </c>
      <c r="J3327" s="19">
        <f>IF(I3327="","",IFERROR(INDEX(catGrupo,MATCH(D3327,catNom,0))&amp;"",""))</f>
        <v/>
      </c>
      <c r="K3327" s="19">
        <f>IF(I3327="Gasto",IF(IFERROR(INDEX(catClas,MATCH(D3327,catNom,0))&amp;"","")="","Variable",IFERROR(INDEX(catClas,MATCH(D3327,catNom,0))&amp;"","")),"")</f>
        <v/>
      </c>
      <c r="L3327" s="19">
        <f>IF(I3327="","",IFERROR(INDEX(catAlim,MATCH(D3327,catNom,0))&amp;"",""))</f>
        <v/>
      </c>
      <c r="M3327" s="19">
        <f>IF(I3327="","",IFERROR(INDEX(catComida,MATCH(D3327,catNom,0))&amp;"",""))</f>
        <v/>
      </c>
      <c r="N3327" s="19">
        <f>IF(I3327="","",IFERROR(INDEX(ctaMon,MATCH(E3327,ctaNom,0))&amp;"","DOP"))</f>
        <v/>
      </c>
      <c r="O3327" s="20">
        <f>IF(I3327="","",C3327*IF(N3327="USD",TasaUSD,1))</f>
        <v/>
      </c>
      <c r="P3327" s="20">
        <f>IF(I3327="","",IF(I3327="Gasto",O3327,0))</f>
        <v/>
      </c>
      <c r="Q3327" s="20">
        <f>IF(I3327="","",IF(I3327="Ingreso",O3327,0))</f>
        <v/>
      </c>
      <c r="R3327" s="20">
        <f>IF(I3327="","",IF(I3327="Trading",O3327,0))</f>
        <v/>
      </c>
      <c r="S3327" s="19">
        <f>IF(I3327="","",IF(AND(I3327="Gasto",K3327="Variable",J3327&lt;&gt;"Trading",O3327&gt;0,O3327&lt;=Umbral),1,0))</f>
        <v/>
      </c>
      <c r="T3327" s="20">
        <f>IF(OR(I3327="",E3327=""),"",IF(OR(I3327="Gasto",I3327="Transferencia",I3327="Pago tarjeta"),-1,1)*C3327)</f>
        <v/>
      </c>
      <c r="U3327" s="20">
        <f>IF(OR(G3327="",AND(I3327&lt;&gt;"Transferencia",I3327&lt;&gt;"Pago tarjeta")),"",IF(IFERROR(INDEX(ctaMon,MATCH(G3327,ctaNom,0))&amp;"","DOP")=N3327,C3327,IF(N3327="USD",C3327*TasaUSD,C3327/TasaUSD)))</f>
        <v/>
      </c>
      <c r="V3327" s="20">
        <f>IF(I3327="","",IF(IFERROR(INDEX(ctaLiq,MATCH(E3327,ctaNom,0))="Sí",FALSE),IF(OR(I3327="Gasto",I3327="Transferencia",I3327="Pago tarjeta"),-1,1)*O3327,0)+IF(AND(U3327&lt;&gt;"",IFERROR(INDEX(ctaLiq,MATCH(G3327,ctaNom,0))="Sí",FALSE)),O3327,0))</f>
        <v/>
      </c>
      <c r="W3327" s="19">
        <f>IF(OR(F3327="",I3327=""),"",IF(COUNTIFS(F$6:F3327,F3327,I$6:I3327,"?*")=1,MAX(W$5:W3326)+1,""))</f>
        <v/>
      </c>
    </row>
    <row r="3328">
      <c r="B3328" s="15" t="n"/>
      <c r="C3328" s="16" t="n"/>
      <c r="D3328" s="17" t="n"/>
      <c r="E3328" s="17" t="n"/>
      <c r="F3328" s="17" t="n"/>
      <c r="G3328" s="17" t="n"/>
      <c r="H3328" s="18">
        <f>IF(AND(B3328="",C3328="",D3328="",E3328=""),"",IF(B3328="","⚠ Falta fecha",IF(C3328="","⚠ Falta monto",IF(D3328="","⚠ Falta categoría",IF(ISNA(MATCH(D3328,catNom,0)),"⚠ Categoría no existe",IF(E3328="","⚠ Falta cuenta",IF(ISNA(MATCH(E3328,ctaNom,0)),"⚠ Cuenta no existe",IF(AND(OR(I3328="Transferencia",I3328="Pago tarjeta"),G3328=""),"⚠ Indica la cuenta «Hacia»",IF(AND(G3328&lt;&gt;"",G3328=E3328),"⚠ «Hacia» igual a la cuenta",IF(AND(G3328&lt;&gt;"",ISNA(MATCH(G3328,ctaNom,0))),"⚠ «Hacia» no existe",IF(AND(I3328="Pago tarjeta",IFERROR(INDEX(ctaTipo,MATCH(G3328,ctaNom,0)),"")&lt;&gt;"Tarjeta de crédito"),"⚠ «Hacia» debe ser la tarjeta",IF(AND(I3328="Trading",IFERROR(INDEX(ctaTipo,MATCH(E3328,ctaNom,0)),"")&lt;&gt;"Cuenta de trading"),"⚠ Usa la cuenta de trading","✓"))))))))))))</f>
        <v/>
      </c>
      <c r="I3328" s="19">
        <f>IF(OR(B3328="",C3328="",D3328=""),"",IFERROR(INDEX(catTipo,MATCH(D3328,catNom,0))&amp;"",""))</f>
        <v/>
      </c>
      <c r="J3328" s="19">
        <f>IF(I3328="","",IFERROR(INDEX(catGrupo,MATCH(D3328,catNom,0))&amp;"",""))</f>
        <v/>
      </c>
      <c r="K3328" s="19">
        <f>IF(I3328="Gasto",IF(IFERROR(INDEX(catClas,MATCH(D3328,catNom,0))&amp;"","")="","Variable",IFERROR(INDEX(catClas,MATCH(D3328,catNom,0))&amp;"","")),"")</f>
        <v/>
      </c>
      <c r="L3328" s="19">
        <f>IF(I3328="","",IFERROR(INDEX(catAlim,MATCH(D3328,catNom,0))&amp;"",""))</f>
        <v/>
      </c>
      <c r="M3328" s="19">
        <f>IF(I3328="","",IFERROR(INDEX(catComida,MATCH(D3328,catNom,0))&amp;"",""))</f>
        <v/>
      </c>
      <c r="N3328" s="19">
        <f>IF(I3328="","",IFERROR(INDEX(ctaMon,MATCH(E3328,ctaNom,0))&amp;"","DOP"))</f>
        <v/>
      </c>
      <c r="O3328" s="20">
        <f>IF(I3328="","",C3328*IF(N3328="USD",TasaUSD,1))</f>
        <v/>
      </c>
      <c r="P3328" s="20">
        <f>IF(I3328="","",IF(I3328="Gasto",O3328,0))</f>
        <v/>
      </c>
      <c r="Q3328" s="20">
        <f>IF(I3328="","",IF(I3328="Ingreso",O3328,0))</f>
        <v/>
      </c>
      <c r="R3328" s="20">
        <f>IF(I3328="","",IF(I3328="Trading",O3328,0))</f>
        <v/>
      </c>
      <c r="S3328" s="19">
        <f>IF(I3328="","",IF(AND(I3328="Gasto",K3328="Variable",J3328&lt;&gt;"Trading",O3328&gt;0,O3328&lt;=Umbral),1,0))</f>
        <v/>
      </c>
      <c r="T3328" s="20">
        <f>IF(OR(I3328="",E3328=""),"",IF(OR(I3328="Gasto",I3328="Transferencia",I3328="Pago tarjeta"),-1,1)*C3328)</f>
        <v/>
      </c>
      <c r="U3328" s="20">
        <f>IF(OR(G3328="",AND(I3328&lt;&gt;"Transferencia",I3328&lt;&gt;"Pago tarjeta")),"",IF(IFERROR(INDEX(ctaMon,MATCH(G3328,ctaNom,0))&amp;"","DOP")=N3328,C3328,IF(N3328="USD",C3328*TasaUSD,C3328/TasaUSD)))</f>
        <v/>
      </c>
      <c r="V3328" s="20">
        <f>IF(I3328="","",IF(IFERROR(INDEX(ctaLiq,MATCH(E3328,ctaNom,0))="Sí",FALSE),IF(OR(I3328="Gasto",I3328="Transferencia",I3328="Pago tarjeta"),-1,1)*O3328,0)+IF(AND(U3328&lt;&gt;"",IFERROR(INDEX(ctaLiq,MATCH(G3328,ctaNom,0))="Sí",FALSE)),O3328,0))</f>
        <v/>
      </c>
      <c r="W3328" s="19">
        <f>IF(OR(F3328="",I3328=""),"",IF(COUNTIFS(F$6:F3328,F3328,I$6:I3328,"?*")=1,MAX(W$5:W3327)+1,""))</f>
        <v/>
      </c>
    </row>
    <row r="3329">
      <c r="B3329" s="15" t="n"/>
      <c r="C3329" s="16" t="n"/>
      <c r="D3329" s="17" t="n"/>
      <c r="E3329" s="17" t="n"/>
      <c r="F3329" s="17" t="n"/>
      <c r="G3329" s="17" t="n"/>
      <c r="H3329" s="18">
        <f>IF(AND(B3329="",C3329="",D3329="",E3329=""),"",IF(B3329="","⚠ Falta fecha",IF(C3329="","⚠ Falta monto",IF(D3329="","⚠ Falta categoría",IF(ISNA(MATCH(D3329,catNom,0)),"⚠ Categoría no existe",IF(E3329="","⚠ Falta cuenta",IF(ISNA(MATCH(E3329,ctaNom,0)),"⚠ Cuenta no existe",IF(AND(OR(I3329="Transferencia",I3329="Pago tarjeta"),G3329=""),"⚠ Indica la cuenta «Hacia»",IF(AND(G3329&lt;&gt;"",G3329=E3329),"⚠ «Hacia» igual a la cuenta",IF(AND(G3329&lt;&gt;"",ISNA(MATCH(G3329,ctaNom,0))),"⚠ «Hacia» no existe",IF(AND(I3329="Pago tarjeta",IFERROR(INDEX(ctaTipo,MATCH(G3329,ctaNom,0)),"")&lt;&gt;"Tarjeta de crédito"),"⚠ «Hacia» debe ser la tarjeta",IF(AND(I3329="Trading",IFERROR(INDEX(ctaTipo,MATCH(E3329,ctaNom,0)),"")&lt;&gt;"Cuenta de trading"),"⚠ Usa la cuenta de trading","✓"))))))))))))</f>
        <v/>
      </c>
      <c r="I3329" s="19">
        <f>IF(OR(B3329="",C3329="",D3329=""),"",IFERROR(INDEX(catTipo,MATCH(D3329,catNom,0))&amp;"",""))</f>
        <v/>
      </c>
      <c r="J3329" s="19">
        <f>IF(I3329="","",IFERROR(INDEX(catGrupo,MATCH(D3329,catNom,0))&amp;"",""))</f>
        <v/>
      </c>
      <c r="K3329" s="19">
        <f>IF(I3329="Gasto",IF(IFERROR(INDEX(catClas,MATCH(D3329,catNom,0))&amp;"","")="","Variable",IFERROR(INDEX(catClas,MATCH(D3329,catNom,0))&amp;"","")),"")</f>
        <v/>
      </c>
      <c r="L3329" s="19">
        <f>IF(I3329="","",IFERROR(INDEX(catAlim,MATCH(D3329,catNom,0))&amp;"",""))</f>
        <v/>
      </c>
      <c r="M3329" s="19">
        <f>IF(I3329="","",IFERROR(INDEX(catComida,MATCH(D3329,catNom,0))&amp;"",""))</f>
        <v/>
      </c>
      <c r="N3329" s="19">
        <f>IF(I3329="","",IFERROR(INDEX(ctaMon,MATCH(E3329,ctaNom,0))&amp;"","DOP"))</f>
        <v/>
      </c>
      <c r="O3329" s="20">
        <f>IF(I3329="","",C3329*IF(N3329="USD",TasaUSD,1))</f>
        <v/>
      </c>
      <c r="P3329" s="20">
        <f>IF(I3329="","",IF(I3329="Gasto",O3329,0))</f>
        <v/>
      </c>
      <c r="Q3329" s="20">
        <f>IF(I3329="","",IF(I3329="Ingreso",O3329,0))</f>
        <v/>
      </c>
      <c r="R3329" s="20">
        <f>IF(I3329="","",IF(I3329="Trading",O3329,0))</f>
        <v/>
      </c>
      <c r="S3329" s="19">
        <f>IF(I3329="","",IF(AND(I3329="Gasto",K3329="Variable",J3329&lt;&gt;"Trading",O3329&gt;0,O3329&lt;=Umbral),1,0))</f>
        <v/>
      </c>
      <c r="T3329" s="20">
        <f>IF(OR(I3329="",E3329=""),"",IF(OR(I3329="Gasto",I3329="Transferencia",I3329="Pago tarjeta"),-1,1)*C3329)</f>
        <v/>
      </c>
      <c r="U3329" s="20">
        <f>IF(OR(G3329="",AND(I3329&lt;&gt;"Transferencia",I3329&lt;&gt;"Pago tarjeta")),"",IF(IFERROR(INDEX(ctaMon,MATCH(G3329,ctaNom,0))&amp;"","DOP")=N3329,C3329,IF(N3329="USD",C3329*TasaUSD,C3329/TasaUSD)))</f>
        <v/>
      </c>
      <c r="V3329" s="20">
        <f>IF(I3329="","",IF(IFERROR(INDEX(ctaLiq,MATCH(E3329,ctaNom,0))="Sí",FALSE),IF(OR(I3329="Gasto",I3329="Transferencia",I3329="Pago tarjeta"),-1,1)*O3329,0)+IF(AND(U3329&lt;&gt;"",IFERROR(INDEX(ctaLiq,MATCH(G3329,ctaNom,0))="Sí",FALSE)),O3329,0))</f>
        <v/>
      </c>
      <c r="W3329" s="19">
        <f>IF(OR(F3329="",I3329=""),"",IF(COUNTIFS(F$6:F3329,F3329,I$6:I3329,"?*")=1,MAX(W$5:W3328)+1,""))</f>
        <v/>
      </c>
    </row>
    <row r="3330">
      <c r="B3330" s="15" t="n"/>
      <c r="C3330" s="16" t="n"/>
      <c r="D3330" s="17" t="n"/>
      <c r="E3330" s="17" t="n"/>
      <c r="F3330" s="17" t="n"/>
      <c r="G3330" s="17" t="n"/>
      <c r="H3330" s="18">
        <f>IF(AND(B3330="",C3330="",D3330="",E3330=""),"",IF(B3330="","⚠ Falta fecha",IF(C3330="","⚠ Falta monto",IF(D3330="","⚠ Falta categoría",IF(ISNA(MATCH(D3330,catNom,0)),"⚠ Categoría no existe",IF(E3330="","⚠ Falta cuenta",IF(ISNA(MATCH(E3330,ctaNom,0)),"⚠ Cuenta no existe",IF(AND(OR(I3330="Transferencia",I3330="Pago tarjeta"),G3330=""),"⚠ Indica la cuenta «Hacia»",IF(AND(G3330&lt;&gt;"",G3330=E3330),"⚠ «Hacia» igual a la cuenta",IF(AND(G3330&lt;&gt;"",ISNA(MATCH(G3330,ctaNom,0))),"⚠ «Hacia» no existe",IF(AND(I3330="Pago tarjeta",IFERROR(INDEX(ctaTipo,MATCH(G3330,ctaNom,0)),"")&lt;&gt;"Tarjeta de crédito"),"⚠ «Hacia» debe ser la tarjeta",IF(AND(I3330="Trading",IFERROR(INDEX(ctaTipo,MATCH(E3330,ctaNom,0)),"")&lt;&gt;"Cuenta de trading"),"⚠ Usa la cuenta de trading","✓"))))))))))))</f>
        <v/>
      </c>
      <c r="I3330" s="19">
        <f>IF(OR(B3330="",C3330="",D3330=""),"",IFERROR(INDEX(catTipo,MATCH(D3330,catNom,0))&amp;"",""))</f>
        <v/>
      </c>
      <c r="J3330" s="19">
        <f>IF(I3330="","",IFERROR(INDEX(catGrupo,MATCH(D3330,catNom,0))&amp;"",""))</f>
        <v/>
      </c>
      <c r="K3330" s="19">
        <f>IF(I3330="Gasto",IF(IFERROR(INDEX(catClas,MATCH(D3330,catNom,0))&amp;"","")="","Variable",IFERROR(INDEX(catClas,MATCH(D3330,catNom,0))&amp;"","")),"")</f>
        <v/>
      </c>
      <c r="L3330" s="19">
        <f>IF(I3330="","",IFERROR(INDEX(catAlim,MATCH(D3330,catNom,0))&amp;"",""))</f>
        <v/>
      </c>
      <c r="M3330" s="19">
        <f>IF(I3330="","",IFERROR(INDEX(catComida,MATCH(D3330,catNom,0))&amp;"",""))</f>
        <v/>
      </c>
      <c r="N3330" s="19">
        <f>IF(I3330="","",IFERROR(INDEX(ctaMon,MATCH(E3330,ctaNom,0))&amp;"","DOP"))</f>
        <v/>
      </c>
      <c r="O3330" s="20">
        <f>IF(I3330="","",C3330*IF(N3330="USD",TasaUSD,1))</f>
        <v/>
      </c>
      <c r="P3330" s="20">
        <f>IF(I3330="","",IF(I3330="Gasto",O3330,0))</f>
        <v/>
      </c>
      <c r="Q3330" s="20">
        <f>IF(I3330="","",IF(I3330="Ingreso",O3330,0))</f>
        <v/>
      </c>
      <c r="R3330" s="20">
        <f>IF(I3330="","",IF(I3330="Trading",O3330,0))</f>
        <v/>
      </c>
      <c r="S3330" s="19">
        <f>IF(I3330="","",IF(AND(I3330="Gasto",K3330="Variable",J3330&lt;&gt;"Trading",O3330&gt;0,O3330&lt;=Umbral),1,0))</f>
        <v/>
      </c>
      <c r="T3330" s="20">
        <f>IF(OR(I3330="",E3330=""),"",IF(OR(I3330="Gasto",I3330="Transferencia",I3330="Pago tarjeta"),-1,1)*C3330)</f>
        <v/>
      </c>
      <c r="U3330" s="20">
        <f>IF(OR(G3330="",AND(I3330&lt;&gt;"Transferencia",I3330&lt;&gt;"Pago tarjeta")),"",IF(IFERROR(INDEX(ctaMon,MATCH(G3330,ctaNom,0))&amp;"","DOP")=N3330,C3330,IF(N3330="USD",C3330*TasaUSD,C3330/TasaUSD)))</f>
        <v/>
      </c>
      <c r="V3330" s="20">
        <f>IF(I3330="","",IF(IFERROR(INDEX(ctaLiq,MATCH(E3330,ctaNom,0))="Sí",FALSE),IF(OR(I3330="Gasto",I3330="Transferencia",I3330="Pago tarjeta"),-1,1)*O3330,0)+IF(AND(U3330&lt;&gt;"",IFERROR(INDEX(ctaLiq,MATCH(G3330,ctaNom,0))="Sí",FALSE)),O3330,0))</f>
        <v/>
      </c>
      <c r="W3330" s="19">
        <f>IF(OR(F3330="",I3330=""),"",IF(COUNTIFS(F$6:F3330,F3330,I$6:I3330,"?*")=1,MAX(W$5:W3329)+1,""))</f>
        <v/>
      </c>
    </row>
    <row r="3331">
      <c r="B3331" s="15" t="n"/>
      <c r="C3331" s="16" t="n"/>
      <c r="D3331" s="17" t="n"/>
      <c r="E3331" s="17" t="n"/>
      <c r="F3331" s="17" t="n"/>
      <c r="G3331" s="17" t="n"/>
      <c r="H3331" s="18">
        <f>IF(AND(B3331="",C3331="",D3331="",E3331=""),"",IF(B3331="","⚠ Falta fecha",IF(C3331="","⚠ Falta monto",IF(D3331="","⚠ Falta categoría",IF(ISNA(MATCH(D3331,catNom,0)),"⚠ Categoría no existe",IF(E3331="","⚠ Falta cuenta",IF(ISNA(MATCH(E3331,ctaNom,0)),"⚠ Cuenta no existe",IF(AND(OR(I3331="Transferencia",I3331="Pago tarjeta"),G3331=""),"⚠ Indica la cuenta «Hacia»",IF(AND(G3331&lt;&gt;"",G3331=E3331),"⚠ «Hacia» igual a la cuenta",IF(AND(G3331&lt;&gt;"",ISNA(MATCH(G3331,ctaNom,0))),"⚠ «Hacia» no existe",IF(AND(I3331="Pago tarjeta",IFERROR(INDEX(ctaTipo,MATCH(G3331,ctaNom,0)),"")&lt;&gt;"Tarjeta de crédito"),"⚠ «Hacia» debe ser la tarjeta",IF(AND(I3331="Trading",IFERROR(INDEX(ctaTipo,MATCH(E3331,ctaNom,0)),"")&lt;&gt;"Cuenta de trading"),"⚠ Usa la cuenta de trading","✓"))))))))))))</f>
        <v/>
      </c>
      <c r="I3331" s="19">
        <f>IF(OR(B3331="",C3331="",D3331=""),"",IFERROR(INDEX(catTipo,MATCH(D3331,catNom,0))&amp;"",""))</f>
        <v/>
      </c>
      <c r="J3331" s="19">
        <f>IF(I3331="","",IFERROR(INDEX(catGrupo,MATCH(D3331,catNom,0))&amp;"",""))</f>
        <v/>
      </c>
      <c r="K3331" s="19">
        <f>IF(I3331="Gasto",IF(IFERROR(INDEX(catClas,MATCH(D3331,catNom,0))&amp;"","")="","Variable",IFERROR(INDEX(catClas,MATCH(D3331,catNom,0))&amp;"","")),"")</f>
        <v/>
      </c>
      <c r="L3331" s="19">
        <f>IF(I3331="","",IFERROR(INDEX(catAlim,MATCH(D3331,catNom,0))&amp;"",""))</f>
        <v/>
      </c>
      <c r="M3331" s="19">
        <f>IF(I3331="","",IFERROR(INDEX(catComida,MATCH(D3331,catNom,0))&amp;"",""))</f>
        <v/>
      </c>
      <c r="N3331" s="19">
        <f>IF(I3331="","",IFERROR(INDEX(ctaMon,MATCH(E3331,ctaNom,0))&amp;"","DOP"))</f>
        <v/>
      </c>
      <c r="O3331" s="20">
        <f>IF(I3331="","",C3331*IF(N3331="USD",TasaUSD,1))</f>
        <v/>
      </c>
      <c r="P3331" s="20">
        <f>IF(I3331="","",IF(I3331="Gasto",O3331,0))</f>
        <v/>
      </c>
      <c r="Q3331" s="20">
        <f>IF(I3331="","",IF(I3331="Ingreso",O3331,0))</f>
        <v/>
      </c>
      <c r="R3331" s="20">
        <f>IF(I3331="","",IF(I3331="Trading",O3331,0))</f>
        <v/>
      </c>
      <c r="S3331" s="19">
        <f>IF(I3331="","",IF(AND(I3331="Gasto",K3331="Variable",J3331&lt;&gt;"Trading",O3331&gt;0,O3331&lt;=Umbral),1,0))</f>
        <v/>
      </c>
      <c r="T3331" s="20">
        <f>IF(OR(I3331="",E3331=""),"",IF(OR(I3331="Gasto",I3331="Transferencia",I3331="Pago tarjeta"),-1,1)*C3331)</f>
        <v/>
      </c>
      <c r="U3331" s="20">
        <f>IF(OR(G3331="",AND(I3331&lt;&gt;"Transferencia",I3331&lt;&gt;"Pago tarjeta")),"",IF(IFERROR(INDEX(ctaMon,MATCH(G3331,ctaNom,0))&amp;"","DOP")=N3331,C3331,IF(N3331="USD",C3331*TasaUSD,C3331/TasaUSD)))</f>
        <v/>
      </c>
      <c r="V3331" s="20">
        <f>IF(I3331="","",IF(IFERROR(INDEX(ctaLiq,MATCH(E3331,ctaNom,0))="Sí",FALSE),IF(OR(I3331="Gasto",I3331="Transferencia",I3331="Pago tarjeta"),-1,1)*O3331,0)+IF(AND(U3331&lt;&gt;"",IFERROR(INDEX(ctaLiq,MATCH(G3331,ctaNom,0))="Sí",FALSE)),O3331,0))</f>
        <v/>
      </c>
      <c r="W3331" s="19">
        <f>IF(OR(F3331="",I3331=""),"",IF(COUNTIFS(F$6:F3331,F3331,I$6:I3331,"?*")=1,MAX(W$5:W3330)+1,""))</f>
        <v/>
      </c>
    </row>
    <row r="3332">
      <c r="B3332" s="15" t="n"/>
      <c r="C3332" s="16" t="n"/>
      <c r="D3332" s="17" t="n"/>
      <c r="E3332" s="17" t="n"/>
      <c r="F3332" s="17" t="n"/>
      <c r="G3332" s="17" t="n"/>
      <c r="H3332" s="18">
        <f>IF(AND(B3332="",C3332="",D3332="",E3332=""),"",IF(B3332="","⚠ Falta fecha",IF(C3332="","⚠ Falta monto",IF(D3332="","⚠ Falta categoría",IF(ISNA(MATCH(D3332,catNom,0)),"⚠ Categoría no existe",IF(E3332="","⚠ Falta cuenta",IF(ISNA(MATCH(E3332,ctaNom,0)),"⚠ Cuenta no existe",IF(AND(OR(I3332="Transferencia",I3332="Pago tarjeta"),G3332=""),"⚠ Indica la cuenta «Hacia»",IF(AND(G3332&lt;&gt;"",G3332=E3332),"⚠ «Hacia» igual a la cuenta",IF(AND(G3332&lt;&gt;"",ISNA(MATCH(G3332,ctaNom,0))),"⚠ «Hacia» no existe",IF(AND(I3332="Pago tarjeta",IFERROR(INDEX(ctaTipo,MATCH(G3332,ctaNom,0)),"")&lt;&gt;"Tarjeta de crédito"),"⚠ «Hacia» debe ser la tarjeta",IF(AND(I3332="Trading",IFERROR(INDEX(ctaTipo,MATCH(E3332,ctaNom,0)),"")&lt;&gt;"Cuenta de trading"),"⚠ Usa la cuenta de trading","✓"))))))))))))</f>
        <v/>
      </c>
      <c r="I3332" s="19">
        <f>IF(OR(B3332="",C3332="",D3332=""),"",IFERROR(INDEX(catTipo,MATCH(D3332,catNom,0))&amp;"",""))</f>
        <v/>
      </c>
      <c r="J3332" s="19">
        <f>IF(I3332="","",IFERROR(INDEX(catGrupo,MATCH(D3332,catNom,0))&amp;"",""))</f>
        <v/>
      </c>
      <c r="K3332" s="19">
        <f>IF(I3332="Gasto",IF(IFERROR(INDEX(catClas,MATCH(D3332,catNom,0))&amp;"","")="","Variable",IFERROR(INDEX(catClas,MATCH(D3332,catNom,0))&amp;"","")),"")</f>
        <v/>
      </c>
      <c r="L3332" s="19">
        <f>IF(I3332="","",IFERROR(INDEX(catAlim,MATCH(D3332,catNom,0))&amp;"",""))</f>
        <v/>
      </c>
      <c r="M3332" s="19">
        <f>IF(I3332="","",IFERROR(INDEX(catComida,MATCH(D3332,catNom,0))&amp;"",""))</f>
        <v/>
      </c>
      <c r="N3332" s="19">
        <f>IF(I3332="","",IFERROR(INDEX(ctaMon,MATCH(E3332,ctaNom,0))&amp;"","DOP"))</f>
        <v/>
      </c>
      <c r="O3332" s="20">
        <f>IF(I3332="","",C3332*IF(N3332="USD",TasaUSD,1))</f>
        <v/>
      </c>
      <c r="P3332" s="20">
        <f>IF(I3332="","",IF(I3332="Gasto",O3332,0))</f>
        <v/>
      </c>
      <c r="Q3332" s="20">
        <f>IF(I3332="","",IF(I3332="Ingreso",O3332,0))</f>
        <v/>
      </c>
      <c r="R3332" s="20">
        <f>IF(I3332="","",IF(I3332="Trading",O3332,0))</f>
        <v/>
      </c>
      <c r="S3332" s="19">
        <f>IF(I3332="","",IF(AND(I3332="Gasto",K3332="Variable",J3332&lt;&gt;"Trading",O3332&gt;0,O3332&lt;=Umbral),1,0))</f>
        <v/>
      </c>
      <c r="T3332" s="20">
        <f>IF(OR(I3332="",E3332=""),"",IF(OR(I3332="Gasto",I3332="Transferencia",I3332="Pago tarjeta"),-1,1)*C3332)</f>
        <v/>
      </c>
      <c r="U3332" s="20">
        <f>IF(OR(G3332="",AND(I3332&lt;&gt;"Transferencia",I3332&lt;&gt;"Pago tarjeta")),"",IF(IFERROR(INDEX(ctaMon,MATCH(G3332,ctaNom,0))&amp;"","DOP")=N3332,C3332,IF(N3332="USD",C3332*TasaUSD,C3332/TasaUSD)))</f>
        <v/>
      </c>
      <c r="V3332" s="20">
        <f>IF(I3332="","",IF(IFERROR(INDEX(ctaLiq,MATCH(E3332,ctaNom,0))="Sí",FALSE),IF(OR(I3332="Gasto",I3332="Transferencia",I3332="Pago tarjeta"),-1,1)*O3332,0)+IF(AND(U3332&lt;&gt;"",IFERROR(INDEX(ctaLiq,MATCH(G3332,ctaNom,0))="Sí",FALSE)),O3332,0))</f>
        <v/>
      </c>
      <c r="W3332" s="19">
        <f>IF(OR(F3332="",I3332=""),"",IF(COUNTIFS(F$6:F3332,F3332,I$6:I3332,"?*")=1,MAX(W$5:W3331)+1,""))</f>
        <v/>
      </c>
    </row>
    <row r="3333">
      <c r="B3333" s="15" t="n"/>
      <c r="C3333" s="16" t="n"/>
      <c r="D3333" s="17" t="n"/>
      <c r="E3333" s="17" t="n"/>
      <c r="F3333" s="17" t="n"/>
      <c r="G3333" s="17" t="n"/>
      <c r="H3333" s="18">
        <f>IF(AND(B3333="",C3333="",D3333="",E3333=""),"",IF(B3333="","⚠ Falta fecha",IF(C3333="","⚠ Falta monto",IF(D3333="","⚠ Falta categoría",IF(ISNA(MATCH(D3333,catNom,0)),"⚠ Categoría no existe",IF(E3333="","⚠ Falta cuenta",IF(ISNA(MATCH(E3333,ctaNom,0)),"⚠ Cuenta no existe",IF(AND(OR(I3333="Transferencia",I3333="Pago tarjeta"),G3333=""),"⚠ Indica la cuenta «Hacia»",IF(AND(G3333&lt;&gt;"",G3333=E3333),"⚠ «Hacia» igual a la cuenta",IF(AND(G3333&lt;&gt;"",ISNA(MATCH(G3333,ctaNom,0))),"⚠ «Hacia» no existe",IF(AND(I3333="Pago tarjeta",IFERROR(INDEX(ctaTipo,MATCH(G3333,ctaNom,0)),"")&lt;&gt;"Tarjeta de crédito"),"⚠ «Hacia» debe ser la tarjeta",IF(AND(I3333="Trading",IFERROR(INDEX(ctaTipo,MATCH(E3333,ctaNom,0)),"")&lt;&gt;"Cuenta de trading"),"⚠ Usa la cuenta de trading","✓"))))))))))))</f>
        <v/>
      </c>
      <c r="I3333" s="19">
        <f>IF(OR(B3333="",C3333="",D3333=""),"",IFERROR(INDEX(catTipo,MATCH(D3333,catNom,0))&amp;"",""))</f>
        <v/>
      </c>
      <c r="J3333" s="19">
        <f>IF(I3333="","",IFERROR(INDEX(catGrupo,MATCH(D3333,catNom,0))&amp;"",""))</f>
        <v/>
      </c>
      <c r="K3333" s="19">
        <f>IF(I3333="Gasto",IF(IFERROR(INDEX(catClas,MATCH(D3333,catNom,0))&amp;"","")="","Variable",IFERROR(INDEX(catClas,MATCH(D3333,catNom,0))&amp;"","")),"")</f>
        <v/>
      </c>
      <c r="L3333" s="19">
        <f>IF(I3333="","",IFERROR(INDEX(catAlim,MATCH(D3333,catNom,0))&amp;"",""))</f>
        <v/>
      </c>
      <c r="M3333" s="19">
        <f>IF(I3333="","",IFERROR(INDEX(catComida,MATCH(D3333,catNom,0))&amp;"",""))</f>
        <v/>
      </c>
      <c r="N3333" s="19">
        <f>IF(I3333="","",IFERROR(INDEX(ctaMon,MATCH(E3333,ctaNom,0))&amp;"","DOP"))</f>
        <v/>
      </c>
      <c r="O3333" s="20">
        <f>IF(I3333="","",C3333*IF(N3333="USD",TasaUSD,1))</f>
        <v/>
      </c>
      <c r="P3333" s="20">
        <f>IF(I3333="","",IF(I3333="Gasto",O3333,0))</f>
        <v/>
      </c>
      <c r="Q3333" s="20">
        <f>IF(I3333="","",IF(I3333="Ingreso",O3333,0))</f>
        <v/>
      </c>
      <c r="R3333" s="20">
        <f>IF(I3333="","",IF(I3333="Trading",O3333,0))</f>
        <v/>
      </c>
      <c r="S3333" s="19">
        <f>IF(I3333="","",IF(AND(I3333="Gasto",K3333="Variable",J3333&lt;&gt;"Trading",O3333&gt;0,O3333&lt;=Umbral),1,0))</f>
        <v/>
      </c>
      <c r="T3333" s="20">
        <f>IF(OR(I3333="",E3333=""),"",IF(OR(I3333="Gasto",I3333="Transferencia",I3333="Pago tarjeta"),-1,1)*C3333)</f>
        <v/>
      </c>
      <c r="U3333" s="20">
        <f>IF(OR(G3333="",AND(I3333&lt;&gt;"Transferencia",I3333&lt;&gt;"Pago tarjeta")),"",IF(IFERROR(INDEX(ctaMon,MATCH(G3333,ctaNom,0))&amp;"","DOP")=N3333,C3333,IF(N3333="USD",C3333*TasaUSD,C3333/TasaUSD)))</f>
        <v/>
      </c>
      <c r="V3333" s="20">
        <f>IF(I3333="","",IF(IFERROR(INDEX(ctaLiq,MATCH(E3333,ctaNom,0))="Sí",FALSE),IF(OR(I3333="Gasto",I3333="Transferencia",I3333="Pago tarjeta"),-1,1)*O3333,0)+IF(AND(U3333&lt;&gt;"",IFERROR(INDEX(ctaLiq,MATCH(G3333,ctaNom,0))="Sí",FALSE)),O3333,0))</f>
        <v/>
      </c>
      <c r="W3333" s="19">
        <f>IF(OR(F3333="",I3333=""),"",IF(COUNTIFS(F$6:F3333,F3333,I$6:I3333,"?*")=1,MAX(W$5:W3332)+1,""))</f>
        <v/>
      </c>
    </row>
    <row r="3334">
      <c r="B3334" s="15" t="n"/>
      <c r="C3334" s="16" t="n"/>
      <c r="D3334" s="17" t="n"/>
      <c r="E3334" s="17" t="n"/>
      <c r="F3334" s="17" t="n"/>
      <c r="G3334" s="17" t="n"/>
      <c r="H3334" s="18">
        <f>IF(AND(B3334="",C3334="",D3334="",E3334=""),"",IF(B3334="","⚠ Falta fecha",IF(C3334="","⚠ Falta monto",IF(D3334="","⚠ Falta categoría",IF(ISNA(MATCH(D3334,catNom,0)),"⚠ Categoría no existe",IF(E3334="","⚠ Falta cuenta",IF(ISNA(MATCH(E3334,ctaNom,0)),"⚠ Cuenta no existe",IF(AND(OR(I3334="Transferencia",I3334="Pago tarjeta"),G3334=""),"⚠ Indica la cuenta «Hacia»",IF(AND(G3334&lt;&gt;"",G3334=E3334),"⚠ «Hacia» igual a la cuenta",IF(AND(G3334&lt;&gt;"",ISNA(MATCH(G3334,ctaNom,0))),"⚠ «Hacia» no existe",IF(AND(I3334="Pago tarjeta",IFERROR(INDEX(ctaTipo,MATCH(G3334,ctaNom,0)),"")&lt;&gt;"Tarjeta de crédito"),"⚠ «Hacia» debe ser la tarjeta",IF(AND(I3334="Trading",IFERROR(INDEX(ctaTipo,MATCH(E3334,ctaNom,0)),"")&lt;&gt;"Cuenta de trading"),"⚠ Usa la cuenta de trading","✓"))))))))))))</f>
        <v/>
      </c>
      <c r="I3334" s="19">
        <f>IF(OR(B3334="",C3334="",D3334=""),"",IFERROR(INDEX(catTipo,MATCH(D3334,catNom,0))&amp;"",""))</f>
        <v/>
      </c>
      <c r="J3334" s="19">
        <f>IF(I3334="","",IFERROR(INDEX(catGrupo,MATCH(D3334,catNom,0))&amp;"",""))</f>
        <v/>
      </c>
      <c r="K3334" s="19">
        <f>IF(I3334="Gasto",IF(IFERROR(INDEX(catClas,MATCH(D3334,catNom,0))&amp;"","")="","Variable",IFERROR(INDEX(catClas,MATCH(D3334,catNom,0))&amp;"","")),"")</f>
        <v/>
      </c>
      <c r="L3334" s="19">
        <f>IF(I3334="","",IFERROR(INDEX(catAlim,MATCH(D3334,catNom,0))&amp;"",""))</f>
        <v/>
      </c>
      <c r="M3334" s="19">
        <f>IF(I3334="","",IFERROR(INDEX(catComida,MATCH(D3334,catNom,0))&amp;"",""))</f>
        <v/>
      </c>
      <c r="N3334" s="19">
        <f>IF(I3334="","",IFERROR(INDEX(ctaMon,MATCH(E3334,ctaNom,0))&amp;"","DOP"))</f>
        <v/>
      </c>
      <c r="O3334" s="20">
        <f>IF(I3334="","",C3334*IF(N3334="USD",TasaUSD,1))</f>
        <v/>
      </c>
      <c r="P3334" s="20">
        <f>IF(I3334="","",IF(I3334="Gasto",O3334,0))</f>
        <v/>
      </c>
      <c r="Q3334" s="20">
        <f>IF(I3334="","",IF(I3334="Ingreso",O3334,0))</f>
        <v/>
      </c>
      <c r="R3334" s="20">
        <f>IF(I3334="","",IF(I3334="Trading",O3334,0))</f>
        <v/>
      </c>
      <c r="S3334" s="19">
        <f>IF(I3334="","",IF(AND(I3334="Gasto",K3334="Variable",J3334&lt;&gt;"Trading",O3334&gt;0,O3334&lt;=Umbral),1,0))</f>
        <v/>
      </c>
      <c r="T3334" s="20">
        <f>IF(OR(I3334="",E3334=""),"",IF(OR(I3334="Gasto",I3334="Transferencia",I3334="Pago tarjeta"),-1,1)*C3334)</f>
        <v/>
      </c>
      <c r="U3334" s="20">
        <f>IF(OR(G3334="",AND(I3334&lt;&gt;"Transferencia",I3334&lt;&gt;"Pago tarjeta")),"",IF(IFERROR(INDEX(ctaMon,MATCH(G3334,ctaNom,0))&amp;"","DOP")=N3334,C3334,IF(N3334="USD",C3334*TasaUSD,C3334/TasaUSD)))</f>
        <v/>
      </c>
      <c r="V3334" s="20">
        <f>IF(I3334="","",IF(IFERROR(INDEX(ctaLiq,MATCH(E3334,ctaNom,0))="Sí",FALSE),IF(OR(I3334="Gasto",I3334="Transferencia",I3334="Pago tarjeta"),-1,1)*O3334,0)+IF(AND(U3334&lt;&gt;"",IFERROR(INDEX(ctaLiq,MATCH(G3334,ctaNom,0))="Sí",FALSE)),O3334,0))</f>
        <v/>
      </c>
      <c r="W3334" s="19">
        <f>IF(OR(F3334="",I3334=""),"",IF(COUNTIFS(F$6:F3334,F3334,I$6:I3334,"?*")=1,MAX(W$5:W3333)+1,""))</f>
        <v/>
      </c>
    </row>
    <row r="3335">
      <c r="B3335" s="15" t="n"/>
      <c r="C3335" s="16" t="n"/>
      <c r="D3335" s="17" t="n"/>
      <c r="E3335" s="17" t="n"/>
      <c r="F3335" s="17" t="n"/>
      <c r="G3335" s="17" t="n"/>
      <c r="H3335" s="18">
        <f>IF(AND(B3335="",C3335="",D3335="",E3335=""),"",IF(B3335="","⚠ Falta fecha",IF(C3335="","⚠ Falta monto",IF(D3335="","⚠ Falta categoría",IF(ISNA(MATCH(D3335,catNom,0)),"⚠ Categoría no existe",IF(E3335="","⚠ Falta cuenta",IF(ISNA(MATCH(E3335,ctaNom,0)),"⚠ Cuenta no existe",IF(AND(OR(I3335="Transferencia",I3335="Pago tarjeta"),G3335=""),"⚠ Indica la cuenta «Hacia»",IF(AND(G3335&lt;&gt;"",G3335=E3335),"⚠ «Hacia» igual a la cuenta",IF(AND(G3335&lt;&gt;"",ISNA(MATCH(G3335,ctaNom,0))),"⚠ «Hacia» no existe",IF(AND(I3335="Pago tarjeta",IFERROR(INDEX(ctaTipo,MATCH(G3335,ctaNom,0)),"")&lt;&gt;"Tarjeta de crédito"),"⚠ «Hacia» debe ser la tarjeta",IF(AND(I3335="Trading",IFERROR(INDEX(ctaTipo,MATCH(E3335,ctaNom,0)),"")&lt;&gt;"Cuenta de trading"),"⚠ Usa la cuenta de trading","✓"))))))))))))</f>
        <v/>
      </c>
      <c r="I3335" s="19">
        <f>IF(OR(B3335="",C3335="",D3335=""),"",IFERROR(INDEX(catTipo,MATCH(D3335,catNom,0))&amp;"",""))</f>
        <v/>
      </c>
      <c r="J3335" s="19">
        <f>IF(I3335="","",IFERROR(INDEX(catGrupo,MATCH(D3335,catNom,0))&amp;"",""))</f>
        <v/>
      </c>
      <c r="K3335" s="19">
        <f>IF(I3335="Gasto",IF(IFERROR(INDEX(catClas,MATCH(D3335,catNom,0))&amp;"","")="","Variable",IFERROR(INDEX(catClas,MATCH(D3335,catNom,0))&amp;"","")),"")</f>
        <v/>
      </c>
      <c r="L3335" s="19">
        <f>IF(I3335="","",IFERROR(INDEX(catAlim,MATCH(D3335,catNom,0))&amp;"",""))</f>
        <v/>
      </c>
      <c r="M3335" s="19">
        <f>IF(I3335="","",IFERROR(INDEX(catComida,MATCH(D3335,catNom,0))&amp;"",""))</f>
        <v/>
      </c>
      <c r="N3335" s="19">
        <f>IF(I3335="","",IFERROR(INDEX(ctaMon,MATCH(E3335,ctaNom,0))&amp;"","DOP"))</f>
        <v/>
      </c>
      <c r="O3335" s="20">
        <f>IF(I3335="","",C3335*IF(N3335="USD",TasaUSD,1))</f>
        <v/>
      </c>
      <c r="P3335" s="20">
        <f>IF(I3335="","",IF(I3335="Gasto",O3335,0))</f>
        <v/>
      </c>
      <c r="Q3335" s="20">
        <f>IF(I3335="","",IF(I3335="Ingreso",O3335,0))</f>
        <v/>
      </c>
      <c r="R3335" s="20">
        <f>IF(I3335="","",IF(I3335="Trading",O3335,0))</f>
        <v/>
      </c>
      <c r="S3335" s="19">
        <f>IF(I3335="","",IF(AND(I3335="Gasto",K3335="Variable",J3335&lt;&gt;"Trading",O3335&gt;0,O3335&lt;=Umbral),1,0))</f>
        <v/>
      </c>
      <c r="T3335" s="20">
        <f>IF(OR(I3335="",E3335=""),"",IF(OR(I3335="Gasto",I3335="Transferencia",I3335="Pago tarjeta"),-1,1)*C3335)</f>
        <v/>
      </c>
      <c r="U3335" s="20">
        <f>IF(OR(G3335="",AND(I3335&lt;&gt;"Transferencia",I3335&lt;&gt;"Pago tarjeta")),"",IF(IFERROR(INDEX(ctaMon,MATCH(G3335,ctaNom,0))&amp;"","DOP")=N3335,C3335,IF(N3335="USD",C3335*TasaUSD,C3335/TasaUSD)))</f>
        <v/>
      </c>
      <c r="V3335" s="20">
        <f>IF(I3335="","",IF(IFERROR(INDEX(ctaLiq,MATCH(E3335,ctaNom,0))="Sí",FALSE),IF(OR(I3335="Gasto",I3335="Transferencia",I3335="Pago tarjeta"),-1,1)*O3335,0)+IF(AND(U3335&lt;&gt;"",IFERROR(INDEX(ctaLiq,MATCH(G3335,ctaNom,0))="Sí",FALSE)),O3335,0))</f>
        <v/>
      </c>
      <c r="W3335" s="19">
        <f>IF(OR(F3335="",I3335=""),"",IF(COUNTIFS(F$6:F3335,F3335,I$6:I3335,"?*")=1,MAX(W$5:W3334)+1,""))</f>
        <v/>
      </c>
    </row>
    <row r="3336">
      <c r="B3336" s="15" t="n"/>
      <c r="C3336" s="16" t="n"/>
      <c r="D3336" s="17" t="n"/>
      <c r="E3336" s="17" t="n"/>
      <c r="F3336" s="17" t="n"/>
      <c r="G3336" s="17" t="n"/>
      <c r="H3336" s="18">
        <f>IF(AND(B3336="",C3336="",D3336="",E3336=""),"",IF(B3336="","⚠ Falta fecha",IF(C3336="","⚠ Falta monto",IF(D3336="","⚠ Falta categoría",IF(ISNA(MATCH(D3336,catNom,0)),"⚠ Categoría no existe",IF(E3336="","⚠ Falta cuenta",IF(ISNA(MATCH(E3336,ctaNom,0)),"⚠ Cuenta no existe",IF(AND(OR(I3336="Transferencia",I3336="Pago tarjeta"),G3336=""),"⚠ Indica la cuenta «Hacia»",IF(AND(G3336&lt;&gt;"",G3336=E3336),"⚠ «Hacia» igual a la cuenta",IF(AND(G3336&lt;&gt;"",ISNA(MATCH(G3336,ctaNom,0))),"⚠ «Hacia» no existe",IF(AND(I3336="Pago tarjeta",IFERROR(INDEX(ctaTipo,MATCH(G3336,ctaNom,0)),"")&lt;&gt;"Tarjeta de crédito"),"⚠ «Hacia» debe ser la tarjeta",IF(AND(I3336="Trading",IFERROR(INDEX(ctaTipo,MATCH(E3336,ctaNom,0)),"")&lt;&gt;"Cuenta de trading"),"⚠ Usa la cuenta de trading","✓"))))))))))))</f>
        <v/>
      </c>
      <c r="I3336" s="19">
        <f>IF(OR(B3336="",C3336="",D3336=""),"",IFERROR(INDEX(catTipo,MATCH(D3336,catNom,0))&amp;"",""))</f>
        <v/>
      </c>
      <c r="J3336" s="19">
        <f>IF(I3336="","",IFERROR(INDEX(catGrupo,MATCH(D3336,catNom,0))&amp;"",""))</f>
        <v/>
      </c>
      <c r="K3336" s="19">
        <f>IF(I3336="Gasto",IF(IFERROR(INDEX(catClas,MATCH(D3336,catNom,0))&amp;"","")="","Variable",IFERROR(INDEX(catClas,MATCH(D3336,catNom,0))&amp;"","")),"")</f>
        <v/>
      </c>
      <c r="L3336" s="19">
        <f>IF(I3336="","",IFERROR(INDEX(catAlim,MATCH(D3336,catNom,0))&amp;"",""))</f>
        <v/>
      </c>
      <c r="M3336" s="19">
        <f>IF(I3336="","",IFERROR(INDEX(catComida,MATCH(D3336,catNom,0))&amp;"",""))</f>
        <v/>
      </c>
      <c r="N3336" s="19">
        <f>IF(I3336="","",IFERROR(INDEX(ctaMon,MATCH(E3336,ctaNom,0))&amp;"","DOP"))</f>
        <v/>
      </c>
      <c r="O3336" s="20">
        <f>IF(I3336="","",C3336*IF(N3336="USD",TasaUSD,1))</f>
        <v/>
      </c>
      <c r="P3336" s="20">
        <f>IF(I3336="","",IF(I3336="Gasto",O3336,0))</f>
        <v/>
      </c>
      <c r="Q3336" s="20">
        <f>IF(I3336="","",IF(I3336="Ingreso",O3336,0))</f>
        <v/>
      </c>
      <c r="R3336" s="20">
        <f>IF(I3336="","",IF(I3336="Trading",O3336,0))</f>
        <v/>
      </c>
      <c r="S3336" s="19">
        <f>IF(I3336="","",IF(AND(I3336="Gasto",K3336="Variable",J3336&lt;&gt;"Trading",O3336&gt;0,O3336&lt;=Umbral),1,0))</f>
        <v/>
      </c>
      <c r="T3336" s="20">
        <f>IF(OR(I3336="",E3336=""),"",IF(OR(I3336="Gasto",I3336="Transferencia",I3336="Pago tarjeta"),-1,1)*C3336)</f>
        <v/>
      </c>
      <c r="U3336" s="20">
        <f>IF(OR(G3336="",AND(I3336&lt;&gt;"Transferencia",I3336&lt;&gt;"Pago tarjeta")),"",IF(IFERROR(INDEX(ctaMon,MATCH(G3336,ctaNom,0))&amp;"","DOP")=N3336,C3336,IF(N3336="USD",C3336*TasaUSD,C3336/TasaUSD)))</f>
        <v/>
      </c>
      <c r="V3336" s="20">
        <f>IF(I3336="","",IF(IFERROR(INDEX(ctaLiq,MATCH(E3336,ctaNom,0))="Sí",FALSE),IF(OR(I3336="Gasto",I3336="Transferencia",I3336="Pago tarjeta"),-1,1)*O3336,0)+IF(AND(U3336&lt;&gt;"",IFERROR(INDEX(ctaLiq,MATCH(G3336,ctaNom,0))="Sí",FALSE)),O3336,0))</f>
        <v/>
      </c>
      <c r="W3336" s="19">
        <f>IF(OR(F3336="",I3336=""),"",IF(COUNTIFS(F$6:F3336,F3336,I$6:I3336,"?*")=1,MAX(W$5:W3335)+1,""))</f>
        <v/>
      </c>
    </row>
    <row r="3337">
      <c r="B3337" s="15" t="n"/>
      <c r="C3337" s="16" t="n"/>
      <c r="D3337" s="17" t="n"/>
      <c r="E3337" s="17" t="n"/>
      <c r="F3337" s="17" t="n"/>
      <c r="G3337" s="17" t="n"/>
      <c r="H3337" s="18">
        <f>IF(AND(B3337="",C3337="",D3337="",E3337=""),"",IF(B3337="","⚠ Falta fecha",IF(C3337="","⚠ Falta monto",IF(D3337="","⚠ Falta categoría",IF(ISNA(MATCH(D3337,catNom,0)),"⚠ Categoría no existe",IF(E3337="","⚠ Falta cuenta",IF(ISNA(MATCH(E3337,ctaNom,0)),"⚠ Cuenta no existe",IF(AND(OR(I3337="Transferencia",I3337="Pago tarjeta"),G3337=""),"⚠ Indica la cuenta «Hacia»",IF(AND(G3337&lt;&gt;"",G3337=E3337),"⚠ «Hacia» igual a la cuenta",IF(AND(G3337&lt;&gt;"",ISNA(MATCH(G3337,ctaNom,0))),"⚠ «Hacia» no existe",IF(AND(I3337="Pago tarjeta",IFERROR(INDEX(ctaTipo,MATCH(G3337,ctaNom,0)),"")&lt;&gt;"Tarjeta de crédito"),"⚠ «Hacia» debe ser la tarjeta",IF(AND(I3337="Trading",IFERROR(INDEX(ctaTipo,MATCH(E3337,ctaNom,0)),"")&lt;&gt;"Cuenta de trading"),"⚠ Usa la cuenta de trading","✓"))))))))))))</f>
        <v/>
      </c>
      <c r="I3337" s="19">
        <f>IF(OR(B3337="",C3337="",D3337=""),"",IFERROR(INDEX(catTipo,MATCH(D3337,catNom,0))&amp;"",""))</f>
        <v/>
      </c>
      <c r="J3337" s="19">
        <f>IF(I3337="","",IFERROR(INDEX(catGrupo,MATCH(D3337,catNom,0))&amp;"",""))</f>
        <v/>
      </c>
      <c r="K3337" s="19">
        <f>IF(I3337="Gasto",IF(IFERROR(INDEX(catClas,MATCH(D3337,catNom,0))&amp;"","")="","Variable",IFERROR(INDEX(catClas,MATCH(D3337,catNom,0))&amp;"","")),"")</f>
        <v/>
      </c>
      <c r="L3337" s="19">
        <f>IF(I3337="","",IFERROR(INDEX(catAlim,MATCH(D3337,catNom,0))&amp;"",""))</f>
        <v/>
      </c>
      <c r="M3337" s="19">
        <f>IF(I3337="","",IFERROR(INDEX(catComida,MATCH(D3337,catNom,0))&amp;"",""))</f>
        <v/>
      </c>
      <c r="N3337" s="19">
        <f>IF(I3337="","",IFERROR(INDEX(ctaMon,MATCH(E3337,ctaNom,0))&amp;"","DOP"))</f>
        <v/>
      </c>
      <c r="O3337" s="20">
        <f>IF(I3337="","",C3337*IF(N3337="USD",TasaUSD,1))</f>
        <v/>
      </c>
      <c r="P3337" s="20">
        <f>IF(I3337="","",IF(I3337="Gasto",O3337,0))</f>
        <v/>
      </c>
      <c r="Q3337" s="20">
        <f>IF(I3337="","",IF(I3337="Ingreso",O3337,0))</f>
        <v/>
      </c>
      <c r="R3337" s="20">
        <f>IF(I3337="","",IF(I3337="Trading",O3337,0))</f>
        <v/>
      </c>
      <c r="S3337" s="19">
        <f>IF(I3337="","",IF(AND(I3337="Gasto",K3337="Variable",J3337&lt;&gt;"Trading",O3337&gt;0,O3337&lt;=Umbral),1,0))</f>
        <v/>
      </c>
      <c r="T3337" s="20">
        <f>IF(OR(I3337="",E3337=""),"",IF(OR(I3337="Gasto",I3337="Transferencia",I3337="Pago tarjeta"),-1,1)*C3337)</f>
        <v/>
      </c>
      <c r="U3337" s="20">
        <f>IF(OR(G3337="",AND(I3337&lt;&gt;"Transferencia",I3337&lt;&gt;"Pago tarjeta")),"",IF(IFERROR(INDEX(ctaMon,MATCH(G3337,ctaNom,0))&amp;"","DOP")=N3337,C3337,IF(N3337="USD",C3337*TasaUSD,C3337/TasaUSD)))</f>
        <v/>
      </c>
      <c r="V3337" s="20">
        <f>IF(I3337="","",IF(IFERROR(INDEX(ctaLiq,MATCH(E3337,ctaNom,0))="Sí",FALSE),IF(OR(I3337="Gasto",I3337="Transferencia",I3337="Pago tarjeta"),-1,1)*O3337,0)+IF(AND(U3337&lt;&gt;"",IFERROR(INDEX(ctaLiq,MATCH(G3337,ctaNom,0))="Sí",FALSE)),O3337,0))</f>
        <v/>
      </c>
      <c r="W3337" s="19">
        <f>IF(OR(F3337="",I3337=""),"",IF(COUNTIFS(F$6:F3337,F3337,I$6:I3337,"?*")=1,MAX(W$5:W3336)+1,""))</f>
        <v/>
      </c>
    </row>
    <row r="3338">
      <c r="B3338" s="15" t="n"/>
      <c r="C3338" s="16" t="n"/>
      <c r="D3338" s="17" t="n"/>
      <c r="E3338" s="17" t="n"/>
      <c r="F3338" s="17" t="n"/>
      <c r="G3338" s="17" t="n"/>
      <c r="H3338" s="18">
        <f>IF(AND(B3338="",C3338="",D3338="",E3338=""),"",IF(B3338="","⚠ Falta fecha",IF(C3338="","⚠ Falta monto",IF(D3338="","⚠ Falta categoría",IF(ISNA(MATCH(D3338,catNom,0)),"⚠ Categoría no existe",IF(E3338="","⚠ Falta cuenta",IF(ISNA(MATCH(E3338,ctaNom,0)),"⚠ Cuenta no existe",IF(AND(OR(I3338="Transferencia",I3338="Pago tarjeta"),G3338=""),"⚠ Indica la cuenta «Hacia»",IF(AND(G3338&lt;&gt;"",G3338=E3338),"⚠ «Hacia» igual a la cuenta",IF(AND(G3338&lt;&gt;"",ISNA(MATCH(G3338,ctaNom,0))),"⚠ «Hacia» no existe",IF(AND(I3338="Pago tarjeta",IFERROR(INDEX(ctaTipo,MATCH(G3338,ctaNom,0)),"")&lt;&gt;"Tarjeta de crédito"),"⚠ «Hacia» debe ser la tarjeta",IF(AND(I3338="Trading",IFERROR(INDEX(ctaTipo,MATCH(E3338,ctaNom,0)),"")&lt;&gt;"Cuenta de trading"),"⚠ Usa la cuenta de trading","✓"))))))))))))</f>
        <v/>
      </c>
      <c r="I3338" s="19">
        <f>IF(OR(B3338="",C3338="",D3338=""),"",IFERROR(INDEX(catTipo,MATCH(D3338,catNom,0))&amp;"",""))</f>
        <v/>
      </c>
      <c r="J3338" s="19">
        <f>IF(I3338="","",IFERROR(INDEX(catGrupo,MATCH(D3338,catNom,0))&amp;"",""))</f>
        <v/>
      </c>
      <c r="K3338" s="19">
        <f>IF(I3338="Gasto",IF(IFERROR(INDEX(catClas,MATCH(D3338,catNom,0))&amp;"","")="","Variable",IFERROR(INDEX(catClas,MATCH(D3338,catNom,0))&amp;"","")),"")</f>
        <v/>
      </c>
      <c r="L3338" s="19">
        <f>IF(I3338="","",IFERROR(INDEX(catAlim,MATCH(D3338,catNom,0))&amp;"",""))</f>
        <v/>
      </c>
      <c r="M3338" s="19">
        <f>IF(I3338="","",IFERROR(INDEX(catComida,MATCH(D3338,catNom,0))&amp;"",""))</f>
        <v/>
      </c>
      <c r="N3338" s="19">
        <f>IF(I3338="","",IFERROR(INDEX(ctaMon,MATCH(E3338,ctaNom,0))&amp;"","DOP"))</f>
        <v/>
      </c>
      <c r="O3338" s="20">
        <f>IF(I3338="","",C3338*IF(N3338="USD",TasaUSD,1))</f>
        <v/>
      </c>
      <c r="P3338" s="20">
        <f>IF(I3338="","",IF(I3338="Gasto",O3338,0))</f>
        <v/>
      </c>
      <c r="Q3338" s="20">
        <f>IF(I3338="","",IF(I3338="Ingreso",O3338,0))</f>
        <v/>
      </c>
      <c r="R3338" s="20">
        <f>IF(I3338="","",IF(I3338="Trading",O3338,0))</f>
        <v/>
      </c>
      <c r="S3338" s="19">
        <f>IF(I3338="","",IF(AND(I3338="Gasto",K3338="Variable",J3338&lt;&gt;"Trading",O3338&gt;0,O3338&lt;=Umbral),1,0))</f>
        <v/>
      </c>
      <c r="T3338" s="20">
        <f>IF(OR(I3338="",E3338=""),"",IF(OR(I3338="Gasto",I3338="Transferencia",I3338="Pago tarjeta"),-1,1)*C3338)</f>
        <v/>
      </c>
      <c r="U3338" s="20">
        <f>IF(OR(G3338="",AND(I3338&lt;&gt;"Transferencia",I3338&lt;&gt;"Pago tarjeta")),"",IF(IFERROR(INDEX(ctaMon,MATCH(G3338,ctaNom,0))&amp;"","DOP")=N3338,C3338,IF(N3338="USD",C3338*TasaUSD,C3338/TasaUSD)))</f>
        <v/>
      </c>
      <c r="V3338" s="20">
        <f>IF(I3338="","",IF(IFERROR(INDEX(ctaLiq,MATCH(E3338,ctaNom,0))="Sí",FALSE),IF(OR(I3338="Gasto",I3338="Transferencia",I3338="Pago tarjeta"),-1,1)*O3338,0)+IF(AND(U3338&lt;&gt;"",IFERROR(INDEX(ctaLiq,MATCH(G3338,ctaNom,0))="Sí",FALSE)),O3338,0))</f>
        <v/>
      </c>
      <c r="W3338" s="19">
        <f>IF(OR(F3338="",I3338=""),"",IF(COUNTIFS(F$6:F3338,F3338,I$6:I3338,"?*")=1,MAX(W$5:W3337)+1,""))</f>
        <v/>
      </c>
    </row>
    <row r="3339">
      <c r="B3339" s="15" t="n"/>
      <c r="C3339" s="16" t="n"/>
      <c r="D3339" s="17" t="n"/>
      <c r="E3339" s="17" t="n"/>
      <c r="F3339" s="17" t="n"/>
      <c r="G3339" s="17" t="n"/>
      <c r="H3339" s="18">
        <f>IF(AND(B3339="",C3339="",D3339="",E3339=""),"",IF(B3339="","⚠ Falta fecha",IF(C3339="","⚠ Falta monto",IF(D3339="","⚠ Falta categoría",IF(ISNA(MATCH(D3339,catNom,0)),"⚠ Categoría no existe",IF(E3339="","⚠ Falta cuenta",IF(ISNA(MATCH(E3339,ctaNom,0)),"⚠ Cuenta no existe",IF(AND(OR(I3339="Transferencia",I3339="Pago tarjeta"),G3339=""),"⚠ Indica la cuenta «Hacia»",IF(AND(G3339&lt;&gt;"",G3339=E3339),"⚠ «Hacia» igual a la cuenta",IF(AND(G3339&lt;&gt;"",ISNA(MATCH(G3339,ctaNom,0))),"⚠ «Hacia» no existe",IF(AND(I3339="Pago tarjeta",IFERROR(INDEX(ctaTipo,MATCH(G3339,ctaNom,0)),"")&lt;&gt;"Tarjeta de crédito"),"⚠ «Hacia» debe ser la tarjeta",IF(AND(I3339="Trading",IFERROR(INDEX(ctaTipo,MATCH(E3339,ctaNom,0)),"")&lt;&gt;"Cuenta de trading"),"⚠ Usa la cuenta de trading","✓"))))))))))))</f>
        <v/>
      </c>
      <c r="I3339" s="19">
        <f>IF(OR(B3339="",C3339="",D3339=""),"",IFERROR(INDEX(catTipo,MATCH(D3339,catNom,0))&amp;"",""))</f>
        <v/>
      </c>
      <c r="J3339" s="19">
        <f>IF(I3339="","",IFERROR(INDEX(catGrupo,MATCH(D3339,catNom,0))&amp;"",""))</f>
        <v/>
      </c>
      <c r="K3339" s="19">
        <f>IF(I3339="Gasto",IF(IFERROR(INDEX(catClas,MATCH(D3339,catNom,0))&amp;"","")="","Variable",IFERROR(INDEX(catClas,MATCH(D3339,catNom,0))&amp;"","")),"")</f>
        <v/>
      </c>
      <c r="L3339" s="19">
        <f>IF(I3339="","",IFERROR(INDEX(catAlim,MATCH(D3339,catNom,0))&amp;"",""))</f>
        <v/>
      </c>
      <c r="M3339" s="19">
        <f>IF(I3339="","",IFERROR(INDEX(catComida,MATCH(D3339,catNom,0))&amp;"",""))</f>
        <v/>
      </c>
      <c r="N3339" s="19">
        <f>IF(I3339="","",IFERROR(INDEX(ctaMon,MATCH(E3339,ctaNom,0))&amp;"","DOP"))</f>
        <v/>
      </c>
      <c r="O3339" s="20">
        <f>IF(I3339="","",C3339*IF(N3339="USD",TasaUSD,1))</f>
        <v/>
      </c>
      <c r="P3339" s="20">
        <f>IF(I3339="","",IF(I3339="Gasto",O3339,0))</f>
        <v/>
      </c>
      <c r="Q3339" s="20">
        <f>IF(I3339="","",IF(I3339="Ingreso",O3339,0))</f>
        <v/>
      </c>
      <c r="R3339" s="20">
        <f>IF(I3339="","",IF(I3339="Trading",O3339,0))</f>
        <v/>
      </c>
      <c r="S3339" s="19">
        <f>IF(I3339="","",IF(AND(I3339="Gasto",K3339="Variable",J3339&lt;&gt;"Trading",O3339&gt;0,O3339&lt;=Umbral),1,0))</f>
        <v/>
      </c>
      <c r="T3339" s="20">
        <f>IF(OR(I3339="",E3339=""),"",IF(OR(I3339="Gasto",I3339="Transferencia",I3339="Pago tarjeta"),-1,1)*C3339)</f>
        <v/>
      </c>
      <c r="U3339" s="20">
        <f>IF(OR(G3339="",AND(I3339&lt;&gt;"Transferencia",I3339&lt;&gt;"Pago tarjeta")),"",IF(IFERROR(INDEX(ctaMon,MATCH(G3339,ctaNom,0))&amp;"","DOP")=N3339,C3339,IF(N3339="USD",C3339*TasaUSD,C3339/TasaUSD)))</f>
        <v/>
      </c>
      <c r="V3339" s="20">
        <f>IF(I3339="","",IF(IFERROR(INDEX(ctaLiq,MATCH(E3339,ctaNom,0))="Sí",FALSE),IF(OR(I3339="Gasto",I3339="Transferencia",I3339="Pago tarjeta"),-1,1)*O3339,0)+IF(AND(U3339&lt;&gt;"",IFERROR(INDEX(ctaLiq,MATCH(G3339,ctaNom,0))="Sí",FALSE)),O3339,0))</f>
        <v/>
      </c>
      <c r="W3339" s="19">
        <f>IF(OR(F3339="",I3339=""),"",IF(COUNTIFS(F$6:F3339,F3339,I$6:I3339,"?*")=1,MAX(W$5:W3338)+1,""))</f>
        <v/>
      </c>
    </row>
    <row r="3340">
      <c r="B3340" s="15" t="n"/>
      <c r="C3340" s="16" t="n"/>
      <c r="D3340" s="17" t="n"/>
      <c r="E3340" s="17" t="n"/>
      <c r="F3340" s="17" t="n"/>
      <c r="G3340" s="17" t="n"/>
      <c r="H3340" s="18">
        <f>IF(AND(B3340="",C3340="",D3340="",E3340=""),"",IF(B3340="","⚠ Falta fecha",IF(C3340="","⚠ Falta monto",IF(D3340="","⚠ Falta categoría",IF(ISNA(MATCH(D3340,catNom,0)),"⚠ Categoría no existe",IF(E3340="","⚠ Falta cuenta",IF(ISNA(MATCH(E3340,ctaNom,0)),"⚠ Cuenta no existe",IF(AND(OR(I3340="Transferencia",I3340="Pago tarjeta"),G3340=""),"⚠ Indica la cuenta «Hacia»",IF(AND(G3340&lt;&gt;"",G3340=E3340),"⚠ «Hacia» igual a la cuenta",IF(AND(G3340&lt;&gt;"",ISNA(MATCH(G3340,ctaNom,0))),"⚠ «Hacia» no existe",IF(AND(I3340="Pago tarjeta",IFERROR(INDEX(ctaTipo,MATCH(G3340,ctaNom,0)),"")&lt;&gt;"Tarjeta de crédito"),"⚠ «Hacia» debe ser la tarjeta",IF(AND(I3340="Trading",IFERROR(INDEX(ctaTipo,MATCH(E3340,ctaNom,0)),"")&lt;&gt;"Cuenta de trading"),"⚠ Usa la cuenta de trading","✓"))))))))))))</f>
        <v/>
      </c>
      <c r="I3340" s="19">
        <f>IF(OR(B3340="",C3340="",D3340=""),"",IFERROR(INDEX(catTipo,MATCH(D3340,catNom,0))&amp;"",""))</f>
        <v/>
      </c>
      <c r="J3340" s="19">
        <f>IF(I3340="","",IFERROR(INDEX(catGrupo,MATCH(D3340,catNom,0))&amp;"",""))</f>
        <v/>
      </c>
      <c r="K3340" s="19">
        <f>IF(I3340="Gasto",IF(IFERROR(INDEX(catClas,MATCH(D3340,catNom,0))&amp;"","")="","Variable",IFERROR(INDEX(catClas,MATCH(D3340,catNom,0))&amp;"","")),"")</f>
        <v/>
      </c>
      <c r="L3340" s="19">
        <f>IF(I3340="","",IFERROR(INDEX(catAlim,MATCH(D3340,catNom,0))&amp;"",""))</f>
        <v/>
      </c>
      <c r="M3340" s="19">
        <f>IF(I3340="","",IFERROR(INDEX(catComida,MATCH(D3340,catNom,0))&amp;"",""))</f>
        <v/>
      </c>
      <c r="N3340" s="19">
        <f>IF(I3340="","",IFERROR(INDEX(ctaMon,MATCH(E3340,ctaNom,0))&amp;"","DOP"))</f>
        <v/>
      </c>
      <c r="O3340" s="20">
        <f>IF(I3340="","",C3340*IF(N3340="USD",TasaUSD,1))</f>
        <v/>
      </c>
      <c r="P3340" s="20">
        <f>IF(I3340="","",IF(I3340="Gasto",O3340,0))</f>
        <v/>
      </c>
      <c r="Q3340" s="20">
        <f>IF(I3340="","",IF(I3340="Ingreso",O3340,0))</f>
        <v/>
      </c>
      <c r="R3340" s="20">
        <f>IF(I3340="","",IF(I3340="Trading",O3340,0))</f>
        <v/>
      </c>
      <c r="S3340" s="19">
        <f>IF(I3340="","",IF(AND(I3340="Gasto",K3340="Variable",J3340&lt;&gt;"Trading",O3340&gt;0,O3340&lt;=Umbral),1,0))</f>
        <v/>
      </c>
      <c r="T3340" s="20">
        <f>IF(OR(I3340="",E3340=""),"",IF(OR(I3340="Gasto",I3340="Transferencia",I3340="Pago tarjeta"),-1,1)*C3340)</f>
        <v/>
      </c>
      <c r="U3340" s="20">
        <f>IF(OR(G3340="",AND(I3340&lt;&gt;"Transferencia",I3340&lt;&gt;"Pago tarjeta")),"",IF(IFERROR(INDEX(ctaMon,MATCH(G3340,ctaNom,0))&amp;"","DOP")=N3340,C3340,IF(N3340="USD",C3340*TasaUSD,C3340/TasaUSD)))</f>
        <v/>
      </c>
      <c r="V3340" s="20">
        <f>IF(I3340="","",IF(IFERROR(INDEX(ctaLiq,MATCH(E3340,ctaNom,0))="Sí",FALSE),IF(OR(I3340="Gasto",I3340="Transferencia",I3340="Pago tarjeta"),-1,1)*O3340,0)+IF(AND(U3340&lt;&gt;"",IFERROR(INDEX(ctaLiq,MATCH(G3340,ctaNom,0))="Sí",FALSE)),O3340,0))</f>
        <v/>
      </c>
      <c r="W3340" s="19">
        <f>IF(OR(F3340="",I3340=""),"",IF(COUNTIFS(F$6:F3340,F3340,I$6:I3340,"?*")=1,MAX(W$5:W3339)+1,""))</f>
        <v/>
      </c>
    </row>
    <row r="3341">
      <c r="B3341" s="15" t="n"/>
      <c r="C3341" s="16" t="n"/>
      <c r="D3341" s="17" t="n"/>
      <c r="E3341" s="17" t="n"/>
      <c r="F3341" s="17" t="n"/>
      <c r="G3341" s="17" t="n"/>
      <c r="H3341" s="18">
        <f>IF(AND(B3341="",C3341="",D3341="",E3341=""),"",IF(B3341="","⚠ Falta fecha",IF(C3341="","⚠ Falta monto",IF(D3341="","⚠ Falta categoría",IF(ISNA(MATCH(D3341,catNom,0)),"⚠ Categoría no existe",IF(E3341="","⚠ Falta cuenta",IF(ISNA(MATCH(E3341,ctaNom,0)),"⚠ Cuenta no existe",IF(AND(OR(I3341="Transferencia",I3341="Pago tarjeta"),G3341=""),"⚠ Indica la cuenta «Hacia»",IF(AND(G3341&lt;&gt;"",G3341=E3341),"⚠ «Hacia» igual a la cuenta",IF(AND(G3341&lt;&gt;"",ISNA(MATCH(G3341,ctaNom,0))),"⚠ «Hacia» no existe",IF(AND(I3341="Pago tarjeta",IFERROR(INDEX(ctaTipo,MATCH(G3341,ctaNom,0)),"")&lt;&gt;"Tarjeta de crédito"),"⚠ «Hacia» debe ser la tarjeta",IF(AND(I3341="Trading",IFERROR(INDEX(ctaTipo,MATCH(E3341,ctaNom,0)),"")&lt;&gt;"Cuenta de trading"),"⚠ Usa la cuenta de trading","✓"))))))))))))</f>
        <v/>
      </c>
      <c r="I3341" s="19">
        <f>IF(OR(B3341="",C3341="",D3341=""),"",IFERROR(INDEX(catTipo,MATCH(D3341,catNom,0))&amp;"",""))</f>
        <v/>
      </c>
      <c r="J3341" s="19">
        <f>IF(I3341="","",IFERROR(INDEX(catGrupo,MATCH(D3341,catNom,0))&amp;"",""))</f>
        <v/>
      </c>
      <c r="K3341" s="19">
        <f>IF(I3341="Gasto",IF(IFERROR(INDEX(catClas,MATCH(D3341,catNom,0))&amp;"","")="","Variable",IFERROR(INDEX(catClas,MATCH(D3341,catNom,0))&amp;"","")),"")</f>
        <v/>
      </c>
      <c r="L3341" s="19">
        <f>IF(I3341="","",IFERROR(INDEX(catAlim,MATCH(D3341,catNom,0))&amp;"",""))</f>
        <v/>
      </c>
      <c r="M3341" s="19">
        <f>IF(I3341="","",IFERROR(INDEX(catComida,MATCH(D3341,catNom,0))&amp;"",""))</f>
        <v/>
      </c>
      <c r="N3341" s="19">
        <f>IF(I3341="","",IFERROR(INDEX(ctaMon,MATCH(E3341,ctaNom,0))&amp;"","DOP"))</f>
        <v/>
      </c>
      <c r="O3341" s="20">
        <f>IF(I3341="","",C3341*IF(N3341="USD",TasaUSD,1))</f>
        <v/>
      </c>
      <c r="P3341" s="20">
        <f>IF(I3341="","",IF(I3341="Gasto",O3341,0))</f>
        <v/>
      </c>
      <c r="Q3341" s="20">
        <f>IF(I3341="","",IF(I3341="Ingreso",O3341,0))</f>
        <v/>
      </c>
      <c r="R3341" s="20">
        <f>IF(I3341="","",IF(I3341="Trading",O3341,0))</f>
        <v/>
      </c>
      <c r="S3341" s="19">
        <f>IF(I3341="","",IF(AND(I3341="Gasto",K3341="Variable",J3341&lt;&gt;"Trading",O3341&gt;0,O3341&lt;=Umbral),1,0))</f>
        <v/>
      </c>
      <c r="T3341" s="20">
        <f>IF(OR(I3341="",E3341=""),"",IF(OR(I3341="Gasto",I3341="Transferencia",I3341="Pago tarjeta"),-1,1)*C3341)</f>
        <v/>
      </c>
      <c r="U3341" s="20">
        <f>IF(OR(G3341="",AND(I3341&lt;&gt;"Transferencia",I3341&lt;&gt;"Pago tarjeta")),"",IF(IFERROR(INDEX(ctaMon,MATCH(G3341,ctaNom,0))&amp;"","DOP")=N3341,C3341,IF(N3341="USD",C3341*TasaUSD,C3341/TasaUSD)))</f>
        <v/>
      </c>
      <c r="V3341" s="20">
        <f>IF(I3341="","",IF(IFERROR(INDEX(ctaLiq,MATCH(E3341,ctaNom,0))="Sí",FALSE),IF(OR(I3341="Gasto",I3341="Transferencia",I3341="Pago tarjeta"),-1,1)*O3341,0)+IF(AND(U3341&lt;&gt;"",IFERROR(INDEX(ctaLiq,MATCH(G3341,ctaNom,0))="Sí",FALSE)),O3341,0))</f>
        <v/>
      </c>
      <c r="W3341" s="19">
        <f>IF(OR(F3341="",I3341=""),"",IF(COUNTIFS(F$6:F3341,F3341,I$6:I3341,"?*")=1,MAX(W$5:W3340)+1,""))</f>
        <v/>
      </c>
    </row>
    <row r="3342">
      <c r="B3342" s="15" t="n"/>
      <c r="C3342" s="16" t="n"/>
      <c r="D3342" s="17" t="n"/>
      <c r="E3342" s="17" t="n"/>
      <c r="F3342" s="17" t="n"/>
      <c r="G3342" s="17" t="n"/>
      <c r="H3342" s="18">
        <f>IF(AND(B3342="",C3342="",D3342="",E3342=""),"",IF(B3342="","⚠ Falta fecha",IF(C3342="","⚠ Falta monto",IF(D3342="","⚠ Falta categoría",IF(ISNA(MATCH(D3342,catNom,0)),"⚠ Categoría no existe",IF(E3342="","⚠ Falta cuenta",IF(ISNA(MATCH(E3342,ctaNom,0)),"⚠ Cuenta no existe",IF(AND(OR(I3342="Transferencia",I3342="Pago tarjeta"),G3342=""),"⚠ Indica la cuenta «Hacia»",IF(AND(G3342&lt;&gt;"",G3342=E3342),"⚠ «Hacia» igual a la cuenta",IF(AND(G3342&lt;&gt;"",ISNA(MATCH(G3342,ctaNom,0))),"⚠ «Hacia» no existe",IF(AND(I3342="Pago tarjeta",IFERROR(INDEX(ctaTipo,MATCH(G3342,ctaNom,0)),"")&lt;&gt;"Tarjeta de crédito"),"⚠ «Hacia» debe ser la tarjeta",IF(AND(I3342="Trading",IFERROR(INDEX(ctaTipo,MATCH(E3342,ctaNom,0)),"")&lt;&gt;"Cuenta de trading"),"⚠ Usa la cuenta de trading","✓"))))))))))))</f>
        <v/>
      </c>
      <c r="I3342" s="19">
        <f>IF(OR(B3342="",C3342="",D3342=""),"",IFERROR(INDEX(catTipo,MATCH(D3342,catNom,0))&amp;"",""))</f>
        <v/>
      </c>
      <c r="J3342" s="19">
        <f>IF(I3342="","",IFERROR(INDEX(catGrupo,MATCH(D3342,catNom,0))&amp;"",""))</f>
        <v/>
      </c>
      <c r="K3342" s="19">
        <f>IF(I3342="Gasto",IF(IFERROR(INDEX(catClas,MATCH(D3342,catNom,0))&amp;"","")="","Variable",IFERROR(INDEX(catClas,MATCH(D3342,catNom,0))&amp;"","")),"")</f>
        <v/>
      </c>
      <c r="L3342" s="19">
        <f>IF(I3342="","",IFERROR(INDEX(catAlim,MATCH(D3342,catNom,0))&amp;"",""))</f>
        <v/>
      </c>
      <c r="M3342" s="19">
        <f>IF(I3342="","",IFERROR(INDEX(catComida,MATCH(D3342,catNom,0))&amp;"",""))</f>
        <v/>
      </c>
      <c r="N3342" s="19">
        <f>IF(I3342="","",IFERROR(INDEX(ctaMon,MATCH(E3342,ctaNom,0))&amp;"","DOP"))</f>
        <v/>
      </c>
      <c r="O3342" s="20">
        <f>IF(I3342="","",C3342*IF(N3342="USD",TasaUSD,1))</f>
        <v/>
      </c>
      <c r="P3342" s="20">
        <f>IF(I3342="","",IF(I3342="Gasto",O3342,0))</f>
        <v/>
      </c>
      <c r="Q3342" s="20">
        <f>IF(I3342="","",IF(I3342="Ingreso",O3342,0))</f>
        <v/>
      </c>
      <c r="R3342" s="20">
        <f>IF(I3342="","",IF(I3342="Trading",O3342,0))</f>
        <v/>
      </c>
      <c r="S3342" s="19">
        <f>IF(I3342="","",IF(AND(I3342="Gasto",K3342="Variable",J3342&lt;&gt;"Trading",O3342&gt;0,O3342&lt;=Umbral),1,0))</f>
        <v/>
      </c>
      <c r="T3342" s="20">
        <f>IF(OR(I3342="",E3342=""),"",IF(OR(I3342="Gasto",I3342="Transferencia",I3342="Pago tarjeta"),-1,1)*C3342)</f>
        <v/>
      </c>
      <c r="U3342" s="20">
        <f>IF(OR(G3342="",AND(I3342&lt;&gt;"Transferencia",I3342&lt;&gt;"Pago tarjeta")),"",IF(IFERROR(INDEX(ctaMon,MATCH(G3342,ctaNom,0))&amp;"","DOP")=N3342,C3342,IF(N3342="USD",C3342*TasaUSD,C3342/TasaUSD)))</f>
        <v/>
      </c>
      <c r="V3342" s="20">
        <f>IF(I3342="","",IF(IFERROR(INDEX(ctaLiq,MATCH(E3342,ctaNom,0))="Sí",FALSE),IF(OR(I3342="Gasto",I3342="Transferencia",I3342="Pago tarjeta"),-1,1)*O3342,0)+IF(AND(U3342&lt;&gt;"",IFERROR(INDEX(ctaLiq,MATCH(G3342,ctaNom,0))="Sí",FALSE)),O3342,0))</f>
        <v/>
      </c>
      <c r="W3342" s="19">
        <f>IF(OR(F3342="",I3342=""),"",IF(COUNTIFS(F$6:F3342,F3342,I$6:I3342,"?*")=1,MAX(W$5:W3341)+1,""))</f>
        <v/>
      </c>
    </row>
    <row r="3343">
      <c r="B3343" s="15" t="n"/>
      <c r="C3343" s="16" t="n"/>
      <c r="D3343" s="17" t="n"/>
      <c r="E3343" s="17" t="n"/>
      <c r="F3343" s="17" t="n"/>
      <c r="G3343" s="17" t="n"/>
      <c r="H3343" s="18">
        <f>IF(AND(B3343="",C3343="",D3343="",E3343=""),"",IF(B3343="","⚠ Falta fecha",IF(C3343="","⚠ Falta monto",IF(D3343="","⚠ Falta categoría",IF(ISNA(MATCH(D3343,catNom,0)),"⚠ Categoría no existe",IF(E3343="","⚠ Falta cuenta",IF(ISNA(MATCH(E3343,ctaNom,0)),"⚠ Cuenta no existe",IF(AND(OR(I3343="Transferencia",I3343="Pago tarjeta"),G3343=""),"⚠ Indica la cuenta «Hacia»",IF(AND(G3343&lt;&gt;"",G3343=E3343),"⚠ «Hacia» igual a la cuenta",IF(AND(G3343&lt;&gt;"",ISNA(MATCH(G3343,ctaNom,0))),"⚠ «Hacia» no existe",IF(AND(I3343="Pago tarjeta",IFERROR(INDEX(ctaTipo,MATCH(G3343,ctaNom,0)),"")&lt;&gt;"Tarjeta de crédito"),"⚠ «Hacia» debe ser la tarjeta",IF(AND(I3343="Trading",IFERROR(INDEX(ctaTipo,MATCH(E3343,ctaNom,0)),"")&lt;&gt;"Cuenta de trading"),"⚠ Usa la cuenta de trading","✓"))))))))))))</f>
        <v/>
      </c>
      <c r="I3343" s="19">
        <f>IF(OR(B3343="",C3343="",D3343=""),"",IFERROR(INDEX(catTipo,MATCH(D3343,catNom,0))&amp;"",""))</f>
        <v/>
      </c>
      <c r="J3343" s="19">
        <f>IF(I3343="","",IFERROR(INDEX(catGrupo,MATCH(D3343,catNom,0))&amp;"",""))</f>
        <v/>
      </c>
      <c r="K3343" s="19">
        <f>IF(I3343="Gasto",IF(IFERROR(INDEX(catClas,MATCH(D3343,catNom,0))&amp;"","")="","Variable",IFERROR(INDEX(catClas,MATCH(D3343,catNom,0))&amp;"","")),"")</f>
        <v/>
      </c>
      <c r="L3343" s="19">
        <f>IF(I3343="","",IFERROR(INDEX(catAlim,MATCH(D3343,catNom,0))&amp;"",""))</f>
        <v/>
      </c>
      <c r="M3343" s="19">
        <f>IF(I3343="","",IFERROR(INDEX(catComida,MATCH(D3343,catNom,0))&amp;"",""))</f>
        <v/>
      </c>
      <c r="N3343" s="19">
        <f>IF(I3343="","",IFERROR(INDEX(ctaMon,MATCH(E3343,ctaNom,0))&amp;"","DOP"))</f>
        <v/>
      </c>
      <c r="O3343" s="20">
        <f>IF(I3343="","",C3343*IF(N3343="USD",TasaUSD,1))</f>
        <v/>
      </c>
      <c r="P3343" s="20">
        <f>IF(I3343="","",IF(I3343="Gasto",O3343,0))</f>
        <v/>
      </c>
      <c r="Q3343" s="20">
        <f>IF(I3343="","",IF(I3343="Ingreso",O3343,0))</f>
        <v/>
      </c>
      <c r="R3343" s="20">
        <f>IF(I3343="","",IF(I3343="Trading",O3343,0))</f>
        <v/>
      </c>
      <c r="S3343" s="19">
        <f>IF(I3343="","",IF(AND(I3343="Gasto",K3343="Variable",J3343&lt;&gt;"Trading",O3343&gt;0,O3343&lt;=Umbral),1,0))</f>
        <v/>
      </c>
      <c r="T3343" s="20">
        <f>IF(OR(I3343="",E3343=""),"",IF(OR(I3343="Gasto",I3343="Transferencia",I3343="Pago tarjeta"),-1,1)*C3343)</f>
        <v/>
      </c>
      <c r="U3343" s="20">
        <f>IF(OR(G3343="",AND(I3343&lt;&gt;"Transferencia",I3343&lt;&gt;"Pago tarjeta")),"",IF(IFERROR(INDEX(ctaMon,MATCH(G3343,ctaNom,0))&amp;"","DOP")=N3343,C3343,IF(N3343="USD",C3343*TasaUSD,C3343/TasaUSD)))</f>
        <v/>
      </c>
      <c r="V3343" s="20">
        <f>IF(I3343="","",IF(IFERROR(INDEX(ctaLiq,MATCH(E3343,ctaNom,0))="Sí",FALSE),IF(OR(I3343="Gasto",I3343="Transferencia",I3343="Pago tarjeta"),-1,1)*O3343,0)+IF(AND(U3343&lt;&gt;"",IFERROR(INDEX(ctaLiq,MATCH(G3343,ctaNom,0))="Sí",FALSE)),O3343,0))</f>
        <v/>
      </c>
      <c r="W3343" s="19">
        <f>IF(OR(F3343="",I3343=""),"",IF(COUNTIFS(F$6:F3343,F3343,I$6:I3343,"?*")=1,MAX(W$5:W3342)+1,""))</f>
        <v/>
      </c>
    </row>
    <row r="3344">
      <c r="B3344" s="15" t="n"/>
      <c r="C3344" s="16" t="n"/>
      <c r="D3344" s="17" t="n"/>
      <c r="E3344" s="17" t="n"/>
      <c r="F3344" s="17" t="n"/>
      <c r="G3344" s="17" t="n"/>
      <c r="H3344" s="18">
        <f>IF(AND(B3344="",C3344="",D3344="",E3344=""),"",IF(B3344="","⚠ Falta fecha",IF(C3344="","⚠ Falta monto",IF(D3344="","⚠ Falta categoría",IF(ISNA(MATCH(D3344,catNom,0)),"⚠ Categoría no existe",IF(E3344="","⚠ Falta cuenta",IF(ISNA(MATCH(E3344,ctaNom,0)),"⚠ Cuenta no existe",IF(AND(OR(I3344="Transferencia",I3344="Pago tarjeta"),G3344=""),"⚠ Indica la cuenta «Hacia»",IF(AND(G3344&lt;&gt;"",G3344=E3344),"⚠ «Hacia» igual a la cuenta",IF(AND(G3344&lt;&gt;"",ISNA(MATCH(G3344,ctaNom,0))),"⚠ «Hacia» no existe",IF(AND(I3344="Pago tarjeta",IFERROR(INDEX(ctaTipo,MATCH(G3344,ctaNom,0)),"")&lt;&gt;"Tarjeta de crédito"),"⚠ «Hacia» debe ser la tarjeta",IF(AND(I3344="Trading",IFERROR(INDEX(ctaTipo,MATCH(E3344,ctaNom,0)),"")&lt;&gt;"Cuenta de trading"),"⚠ Usa la cuenta de trading","✓"))))))))))))</f>
        <v/>
      </c>
      <c r="I3344" s="19">
        <f>IF(OR(B3344="",C3344="",D3344=""),"",IFERROR(INDEX(catTipo,MATCH(D3344,catNom,0))&amp;"",""))</f>
        <v/>
      </c>
      <c r="J3344" s="19">
        <f>IF(I3344="","",IFERROR(INDEX(catGrupo,MATCH(D3344,catNom,0))&amp;"",""))</f>
        <v/>
      </c>
      <c r="K3344" s="19">
        <f>IF(I3344="Gasto",IF(IFERROR(INDEX(catClas,MATCH(D3344,catNom,0))&amp;"","")="","Variable",IFERROR(INDEX(catClas,MATCH(D3344,catNom,0))&amp;"","")),"")</f>
        <v/>
      </c>
      <c r="L3344" s="19">
        <f>IF(I3344="","",IFERROR(INDEX(catAlim,MATCH(D3344,catNom,0))&amp;"",""))</f>
        <v/>
      </c>
      <c r="M3344" s="19">
        <f>IF(I3344="","",IFERROR(INDEX(catComida,MATCH(D3344,catNom,0))&amp;"",""))</f>
        <v/>
      </c>
      <c r="N3344" s="19">
        <f>IF(I3344="","",IFERROR(INDEX(ctaMon,MATCH(E3344,ctaNom,0))&amp;"","DOP"))</f>
        <v/>
      </c>
      <c r="O3344" s="20">
        <f>IF(I3344="","",C3344*IF(N3344="USD",TasaUSD,1))</f>
        <v/>
      </c>
      <c r="P3344" s="20">
        <f>IF(I3344="","",IF(I3344="Gasto",O3344,0))</f>
        <v/>
      </c>
      <c r="Q3344" s="20">
        <f>IF(I3344="","",IF(I3344="Ingreso",O3344,0))</f>
        <v/>
      </c>
      <c r="R3344" s="20">
        <f>IF(I3344="","",IF(I3344="Trading",O3344,0))</f>
        <v/>
      </c>
      <c r="S3344" s="19">
        <f>IF(I3344="","",IF(AND(I3344="Gasto",K3344="Variable",J3344&lt;&gt;"Trading",O3344&gt;0,O3344&lt;=Umbral),1,0))</f>
        <v/>
      </c>
      <c r="T3344" s="20">
        <f>IF(OR(I3344="",E3344=""),"",IF(OR(I3344="Gasto",I3344="Transferencia",I3344="Pago tarjeta"),-1,1)*C3344)</f>
        <v/>
      </c>
      <c r="U3344" s="20">
        <f>IF(OR(G3344="",AND(I3344&lt;&gt;"Transferencia",I3344&lt;&gt;"Pago tarjeta")),"",IF(IFERROR(INDEX(ctaMon,MATCH(G3344,ctaNom,0))&amp;"","DOP")=N3344,C3344,IF(N3344="USD",C3344*TasaUSD,C3344/TasaUSD)))</f>
        <v/>
      </c>
      <c r="V3344" s="20">
        <f>IF(I3344="","",IF(IFERROR(INDEX(ctaLiq,MATCH(E3344,ctaNom,0))="Sí",FALSE),IF(OR(I3344="Gasto",I3344="Transferencia",I3344="Pago tarjeta"),-1,1)*O3344,0)+IF(AND(U3344&lt;&gt;"",IFERROR(INDEX(ctaLiq,MATCH(G3344,ctaNom,0))="Sí",FALSE)),O3344,0))</f>
        <v/>
      </c>
      <c r="W3344" s="19">
        <f>IF(OR(F3344="",I3344=""),"",IF(COUNTIFS(F$6:F3344,F3344,I$6:I3344,"?*")=1,MAX(W$5:W3343)+1,""))</f>
        <v/>
      </c>
    </row>
    <row r="3345">
      <c r="B3345" s="15" t="n"/>
      <c r="C3345" s="16" t="n"/>
      <c r="D3345" s="17" t="n"/>
      <c r="E3345" s="17" t="n"/>
      <c r="F3345" s="17" t="n"/>
      <c r="G3345" s="17" t="n"/>
      <c r="H3345" s="18">
        <f>IF(AND(B3345="",C3345="",D3345="",E3345=""),"",IF(B3345="","⚠ Falta fecha",IF(C3345="","⚠ Falta monto",IF(D3345="","⚠ Falta categoría",IF(ISNA(MATCH(D3345,catNom,0)),"⚠ Categoría no existe",IF(E3345="","⚠ Falta cuenta",IF(ISNA(MATCH(E3345,ctaNom,0)),"⚠ Cuenta no existe",IF(AND(OR(I3345="Transferencia",I3345="Pago tarjeta"),G3345=""),"⚠ Indica la cuenta «Hacia»",IF(AND(G3345&lt;&gt;"",G3345=E3345),"⚠ «Hacia» igual a la cuenta",IF(AND(G3345&lt;&gt;"",ISNA(MATCH(G3345,ctaNom,0))),"⚠ «Hacia» no existe",IF(AND(I3345="Pago tarjeta",IFERROR(INDEX(ctaTipo,MATCH(G3345,ctaNom,0)),"")&lt;&gt;"Tarjeta de crédito"),"⚠ «Hacia» debe ser la tarjeta",IF(AND(I3345="Trading",IFERROR(INDEX(ctaTipo,MATCH(E3345,ctaNom,0)),"")&lt;&gt;"Cuenta de trading"),"⚠ Usa la cuenta de trading","✓"))))))))))))</f>
        <v/>
      </c>
      <c r="I3345" s="19">
        <f>IF(OR(B3345="",C3345="",D3345=""),"",IFERROR(INDEX(catTipo,MATCH(D3345,catNom,0))&amp;"",""))</f>
        <v/>
      </c>
      <c r="J3345" s="19">
        <f>IF(I3345="","",IFERROR(INDEX(catGrupo,MATCH(D3345,catNom,0))&amp;"",""))</f>
        <v/>
      </c>
      <c r="K3345" s="19">
        <f>IF(I3345="Gasto",IF(IFERROR(INDEX(catClas,MATCH(D3345,catNom,0))&amp;"","")="","Variable",IFERROR(INDEX(catClas,MATCH(D3345,catNom,0))&amp;"","")),"")</f>
        <v/>
      </c>
      <c r="L3345" s="19">
        <f>IF(I3345="","",IFERROR(INDEX(catAlim,MATCH(D3345,catNom,0))&amp;"",""))</f>
        <v/>
      </c>
      <c r="M3345" s="19">
        <f>IF(I3345="","",IFERROR(INDEX(catComida,MATCH(D3345,catNom,0))&amp;"",""))</f>
        <v/>
      </c>
      <c r="N3345" s="19">
        <f>IF(I3345="","",IFERROR(INDEX(ctaMon,MATCH(E3345,ctaNom,0))&amp;"","DOP"))</f>
        <v/>
      </c>
      <c r="O3345" s="20">
        <f>IF(I3345="","",C3345*IF(N3345="USD",TasaUSD,1))</f>
        <v/>
      </c>
      <c r="P3345" s="20">
        <f>IF(I3345="","",IF(I3345="Gasto",O3345,0))</f>
        <v/>
      </c>
      <c r="Q3345" s="20">
        <f>IF(I3345="","",IF(I3345="Ingreso",O3345,0))</f>
        <v/>
      </c>
      <c r="R3345" s="20">
        <f>IF(I3345="","",IF(I3345="Trading",O3345,0))</f>
        <v/>
      </c>
      <c r="S3345" s="19">
        <f>IF(I3345="","",IF(AND(I3345="Gasto",K3345="Variable",J3345&lt;&gt;"Trading",O3345&gt;0,O3345&lt;=Umbral),1,0))</f>
        <v/>
      </c>
      <c r="T3345" s="20">
        <f>IF(OR(I3345="",E3345=""),"",IF(OR(I3345="Gasto",I3345="Transferencia",I3345="Pago tarjeta"),-1,1)*C3345)</f>
        <v/>
      </c>
      <c r="U3345" s="20">
        <f>IF(OR(G3345="",AND(I3345&lt;&gt;"Transferencia",I3345&lt;&gt;"Pago tarjeta")),"",IF(IFERROR(INDEX(ctaMon,MATCH(G3345,ctaNom,0))&amp;"","DOP")=N3345,C3345,IF(N3345="USD",C3345*TasaUSD,C3345/TasaUSD)))</f>
        <v/>
      </c>
      <c r="V3345" s="20">
        <f>IF(I3345="","",IF(IFERROR(INDEX(ctaLiq,MATCH(E3345,ctaNom,0))="Sí",FALSE),IF(OR(I3345="Gasto",I3345="Transferencia",I3345="Pago tarjeta"),-1,1)*O3345,0)+IF(AND(U3345&lt;&gt;"",IFERROR(INDEX(ctaLiq,MATCH(G3345,ctaNom,0))="Sí",FALSE)),O3345,0))</f>
        <v/>
      </c>
      <c r="W3345" s="19">
        <f>IF(OR(F3345="",I3345=""),"",IF(COUNTIFS(F$6:F3345,F3345,I$6:I3345,"?*")=1,MAX(W$5:W3344)+1,""))</f>
        <v/>
      </c>
    </row>
    <row r="3346">
      <c r="B3346" s="15" t="n"/>
      <c r="C3346" s="16" t="n"/>
      <c r="D3346" s="17" t="n"/>
      <c r="E3346" s="17" t="n"/>
      <c r="F3346" s="17" t="n"/>
      <c r="G3346" s="17" t="n"/>
      <c r="H3346" s="18">
        <f>IF(AND(B3346="",C3346="",D3346="",E3346=""),"",IF(B3346="","⚠ Falta fecha",IF(C3346="","⚠ Falta monto",IF(D3346="","⚠ Falta categoría",IF(ISNA(MATCH(D3346,catNom,0)),"⚠ Categoría no existe",IF(E3346="","⚠ Falta cuenta",IF(ISNA(MATCH(E3346,ctaNom,0)),"⚠ Cuenta no existe",IF(AND(OR(I3346="Transferencia",I3346="Pago tarjeta"),G3346=""),"⚠ Indica la cuenta «Hacia»",IF(AND(G3346&lt;&gt;"",G3346=E3346),"⚠ «Hacia» igual a la cuenta",IF(AND(G3346&lt;&gt;"",ISNA(MATCH(G3346,ctaNom,0))),"⚠ «Hacia» no existe",IF(AND(I3346="Pago tarjeta",IFERROR(INDEX(ctaTipo,MATCH(G3346,ctaNom,0)),"")&lt;&gt;"Tarjeta de crédito"),"⚠ «Hacia» debe ser la tarjeta",IF(AND(I3346="Trading",IFERROR(INDEX(ctaTipo,MATCH(E3346,ctaNom,0)),"")&lt;&gt;"Cuenta de trading"),"⚠ Usa la cuenta de trading","✓"))))))))))))</f>
        <v/>
      </c>
      <c r="I3346" s="19">
        <f>IF(OR(B3346="",C3346="",D3346=""),"",IFERROR(INDEX(catTipo,MATCH(D3346,catNom,0))&amp;"",""))</f>
        <v/>
      </c>
      <c r="J3346" s="19">
        <f>IF(I3346="","",IFERROR(INDEX(catGrupo,MATCH(D3346,catNom,0))&amp;"",""))</f>
        <v/>
      </c>
      <c r="K3346" s="19">
        <f>IF(I3346="Gasto",IF(IFERROR(INDEX(catClas,MATCH(D3346,catNom,0))&amp;"","")="","Variable",IFERROR(INDEX(catClas,MATCH(D3346,catNom,0))&amp;"","")),"")</f>
        <v/>
      </c>
      <c r="L3346" s="19">
        <f>IF(I3346="","",IFERROR(INDEX(catAlim,MATCH(D3346,catNom,0))&amp;"",""))</f>
        <v/>
      </c>
      <c r="M3346" s="19">
        <f>IF(I3346="","",IFERROR(INDEX(catComida,MATCH(D3346,catNom,0))&amp;"",""))</f>
        <v/>
      </c>
      <c r="N3346" s="19">
        <f>IF(I3346="","",IFERROR(INDEX(ctaMon,MATCH(E3346,ctaNom,0))&amp;"","DOP"))</f>
        <v/>
      </c>
      <c r="O3346" s="20">
        <f>IF(I3346="","",C3346*IF(N3346="USD",TasaUSD,1))</f>
        <v/>
      </c>
      <c r="P3346" s="20">
        <f>IF(I3346="","",IF(I3346="Gasto",O3346,0))</f>
        <v/>
      </c>
      <c r="Q3346" s="20">
        <f>IF(I3346="","",IF(I3346="Ingreso",O3346,0))</f>
        <v/>
      </c>
      <c r="R3346" s="20">
        <f>IF(I3346="","",IF(I3346="Trading",O3346,0))</f>
        <v/>
      </c>
      <c r="S3346" s="19">
        <f>IF(I3346="","",IF(AND(I3346="Gasto",K3346="Variable",J3346&lt;&gt;"Trading",O3346&gt;0,O3346&lt;=Umbral),1,0))</f>
        <v/>
      </c>
      <c r="T3346" s="20">
        <f>IF(OR(I3346="",E3346=""),"",IF(OR(I3346="Gasto",I3346="Transferencia",I3346="Pago tarjeta"),-1,1)*C3346)</f>
        <v/>
      </c>
      <c r="U3346" s="20">
        <f>IF(OR(G3346="",AND(I3346&lt;&gt;"Transferencia",I3346&lt;&gt;"Pago tarjeta")),"",IF(IFERROR(INDEX(ctaMon,MATCH(G3346,ctaNom,0))&amp;"","DOP")=N3346,C3346,IF(N3346="USD",C3346*TasaUSD,C3346/TasaUSD)))</f>
        <v/>
      </c>
      <c r="V3346" s="20">
        <f>IF(I3346="","",IF(IFERROR(INDEX(ctaLiq,MATCH(E3346,ctaNom,0))="Sí",FALSE),IF(OR(I3346="Gasto",I3346="Transferencia",I3346="Pago tarjeta"),-1,1)*O3346,0)+IF(AND(U3346&lt;&gt;"",IFERROR(INDEX(ctaLiq,MATCH(G3346,ctaNom,0))="Sí",FALSE)),O3346,0))</f>
        <v/>
      </c>
      <c r="W3346" s="19">
        <f>IF(OR(F3346="",I3346=""),"",IF(COUNTIFS(F$6:F3346,F3346,I$6:I3346,"?*")=1,MAX(W$5:W3345)+1,""))</f>
        <v/>
      </c>
    </row>
    <row r="3347">
      <c r="B3347" s="15" t="n"/>
      <c r="C3347" s="16" t="n"/>
      <c r="D3347" s="17" t="n"/>
      <c r="E3347" s="17" t="n"/>
      <c r="F3347" s="17" t="n"/>
      <c r="G3347" s="17" t="n"/>
      <c r="H3347" s="18">
        <f>IF(AND(B3347="",C3347="",D3347="",E3347=""),"",IF(B3347="","⚠ Falta fecha",IF(C3347="","⚠ Falta monto",IF(D3347="","⚠ Falta categoría",IF(ISNA(MATCH(D3347,catNom,0)),"⚠ Categoría no existe",IF(E3347="","⚠ Falta cuenta",IF(ISNA(MATCH(E3347,ctaNom,0)),"⚠ Cuenta no existe",IF(AND(OR(I3347="Transferencia",I3347="Pago tarjeta"),G3347=""),"⚠ Indica la cuenta «Hacia»",IF(AND(G3347&lt;&gt;"",G3347=E3347),"⚠ «Hacia» igual a la cuenta",IF(AND(G3347&lt;&gt;"",ISNA(MATCH(G3347,ctaNom,0))),"⚠ «Hacia» no existe",IF(AND(I3347="Pago tarjeta",IFERROR(INDEX(ctaTipo,MATCH(G3347,ctaNom,0)),"")&lt;&gt;"Tarjeta de crédito"),"⚠ «Hacia» debe ser la tarjeta",IF(AND(I3347="Trading",IFERROR(INDEX(ctaTipo,MATCH(E3347,ctaNom,0)),"")&lt;&gt;"Cuenta de trading"),"⚠ Usa la cuenta de trading","✓"))))))))))))</f>
        <v/>
      </c>
      <c r="I3347" s="19">
        <f>IF(OR(B3347="",C3347="",D3347=""),"",IFERROR(INDEX(catTipo,MATCH(D3347,catNom,0))&amp;"",""))</f>
        <v/>
      </c>
      <c r="J3347" s="19">
        <f>IF(I3347="","",IFERROR(INDEX(catGrupo,MATCH(D3347,catNom,0))&amp;"",""))</f>
        <v/>
      </c>
      <c r="K3347" s="19">
        <f>IF(I3347="Gasto",IF(IFERROR(INDEX(catClas,MATCH(D3347,catNom,0))&amp;"","")="","Variable",IFERROR(INDEX(catClas,MATCH(D3347,catNom,0))&amp;"","")),"")</f>
        <v/>
      </c>
      <c r="L3347" s="19">
        <f>IF(I3347="","",IFERROR(INDEX(catAlim,MATCH(D3347,catNom,0))&amp;"",""))</f>
        <v/>
      </c>
      <c r="M3347" s="19">
        <f>IF(I3347="","",IFERROR(INDEX(catComida,MATCH(D3347,catNom,0))&amp;"",""))</f>
        <v/>
      </c>
      <c r="N3347" s="19">
        <f>IF(I3347="","",IFERROR(INDEX(ctaMon,MATCH(E3347,ctaNom,0))&amp;"","DOP"))</f>
        <v/>
      </c>
      <c r="O3347" s="20">
        <f>IF(I3347="","",C3347*IF(N3347="USD",TasaUSD,1))</f>
        <v/>
      </c>
      <c r="P3347" s="20">
        <f>IF(I3347="","",IF(I3347="Gasto",O3347,0))</f>
        <v/>
      </c>
      <c r="Q3347" s="20">
        <f>IF(I3347="","",IF(I3347="Ingreso",O3347,0))</f>
        <v/>
      </c>
      <c r="R3347" s="20">
        <f>IF(I3347="","",IF(I3347="Trading",O3347,0))</f>
        <v/>
      </c>
      <c r="S3347" s="19">
        <f>IF(I3347="","",IF(AND(I3347="Gasto",K3347="Variable",J3347&lt;&gt;"Trading",O3347&gt;0,O3347&lt;=Umbral),1,0))</f>
        <v/>
      </c>
      <c r="T3347" s="20">
        <f>IF(OR(I3347="",E3347=""),"",IF(OR(I3347="Gasto",I3347="Transferencia",I3347="Pago tarjeta"),-1,1)*C3347)</f>
        <v/>
      </c>
      <c r="U3347" s="20">
        <f>IF(OR(G3347="",AND(I3347&lt;&gt;"Transferencia",I3347&lt;&gt;"Pago tarjeta")),"",IF(IFERROR(INDEX(ctaMon,MATCH(G3347,ctaNom,0))&amp;"","DOP")=N3347,C3347,IF(N3347="USD",C3347*TasaUSD,C3347/TasaUSD)))</f>
        <v/>
      </c>
      <c r="V3347" s="20">
        <f>IF(I3347="","",IF(IFERROR(INDEX(ctaLiq,MATCH(E3347,ctaNom,0))="Sí",FALSE),IF(OR(I3347="Gasto",I3347="Transferencia",I3347="Pago tarjeta"),-1,1)*O3347,0)+IF(AND(U3347&lt;&gt;"",IFERROR(INDEX(ctaLiq,MATCH(G3347,ctaNom,0))="Sí",FALSE)),O3347,0))</f>
        <v/>
      </c>
      <c r="W3347" s="19">
        <f>IF(OR(F3347="",I3347=""),"",IF(COUNTIFS(F$6:F3347,F3347,I$6:I3347,"?*")=1,MAX(W$5:W3346)+1,""))</f>
        <v/>
      </c>
    </row>
    <row r="3348">
      <c r="B3348" s="15" t="n"/>
      <c r="C3348" s="16" t="n"/>
      <c r="D3348" s="17" t="n"/>
      <c r="E3348" s="17" t="n"/>
      <c r="F3348" s="17" t="n"/>
      <c r="G3348" s="17" t="n"/>
      <c r="H3348" s="18">
        <f>IF(AND(B3348="",C3348="",D3348="",E3348=""),"",IF(B3348="","⚠ Falta fecha",IF(C3348="","⚠ Falta monto",IF(D3348="","⚠ Falta categoría",IF(ISNA(MATCH(D3348,catNom,0)),"⚠ Categoría no existe",IF(E3348="","⚠ Falta cuenta",IF(ISNA(MATCH(E3348,ctaNom,0)),"⚠ Cuenta no existe",IF(AND(OR(I3348="Transferencia",I3348="Pago tarjeta"),G3348=""),"⚠ Indica la cuenta «Hacia»",IF(AND(G3348&lt;&gt;"",G3348=E3348),"⚠ «Hacia» igual a la cuenta",IF(AND(G3348&lt;&gt;"",ISNA(MATCH(G3348,ctaNom,0))),"⚠ «Hacia» no existe",IF(AND(I3348="Pago tarjeta",IFERROR(INDEX(ctaTipo,MATCH(G3348,ctaNom,0)),"")&lt;&gt;"Tarjeta de crédito"),"⚠ «Hacia» debe ser la tarjeta",IF(AND(I3348="Trading",IFERROR(INDEX(ctaTipo,MATCH(E3348,ctaNom,0)),"")&lt;&gt;"Cuenta de trading"),"⚠ Usa la cuenta de trading","✓"))))))))))))</f>
        <v/>
      </c>
      <c r="I3348" s="19">
        <f>IF(OR(B3348="",C3348="",D3348=""),"",IFERROR(INDEX(catTipo,MATCH(D3348,catNom,0))&amp;"",""))</f>
        <v/>
      </c>
      <c r="J3348" s="19">
        <f>IF(I3348="","",IFERROR(INDEX(catGrupo,MATCH(D3348,catNom,0))&amp;"",""))</f>
        <v/>
      </c>
      <c r="K3348" s="19">
        <f>IF(I3348="Gasto",IF(IFERROR(INDEX(catClas,MATCH(D3348,catNom,0))&amp;"","")="","Variable",IFERROR(INDEX(catClas,MATCH(D3348,catNom,0))&amp;"","")),"")</f>
        <v/>
      </c>
      <c r="L3348" s="19">
        <f>IF(I3348="","",IFERROR(INDEX(catAlim,MATCH(D3348,catNom,0))&amp;"",""))</f>
        <v/>
      </c>
      <c r="M3348" s="19">
        <f>IF(I3348="","",IFERROR(INDEX(catComida,MATCH(D3348,catNom,0))&amp;"",""))</f>
        <v/>
      </c>
      <c r="N3348" s="19">
        <f>IF(I3348="","",IFERROR(INDEX(ctaMon,MATCH(E3348,ctaNom,0))&amp;"","DOP"))</f>
        <v/>
      </c>
      <c r="O3348" s="20">
        <f>IF(I3348="","",C3348*IF(N3348="USD",TasaUSD,1))</f>
        <v/>
      </c>
      <c r="P3348" s="20">
        <f>IF(I3348="","",IF(I3348="Gasto",O3348,0))</f>
        <v/>
      </c>
      <c r="Q3348" s="20">
        <f>IF(I3348="","",IF(I3348="Ingreso",O3348,0))</f>
        <v/>
      </c>
      <c r="R3348" s="20">
        <f>IF(I3348="","",IF(I3348="Trading",O3348,0))</f>
        <v/>
      </c>
      <c r="S3348" s="19">
        <f>IF(I3348="","",IF(AND(I3348="Gasto",K3348="Variable",J3348&lt;&gt;"Trading",O3348&gt;0,O3348&lt;=Umbral),1,0))</f>
        <v/>
      </c>
      <c r="T3348" s="20">
        <f>IF(OR(I3348="",E3348=""),"",IF(OR(I3348="Gasto",I3348="Transferencia",I3348="Pago tarjeta"),-1,1)*C3348)</f>
        <v/>
      </c>
      <c r="U3348" s="20">
        <f>IF(OR(G3348="",AND(I3348&lt;&gt;"Transferencia",I3348&lt;&gt;"Pago tarjeta")),"",IF(IFERROR(INDEX(ctaMon,MATCH(G3348,ctaNom,0))&amp;"","DOP")=N3348,C3348,IF(N3348="USD",C3348*TasaUSD,C3348/TasaUSD)))</f>
        <v/>
      </c>
      <c r="V3348" s="20">
        <f>IF(I3348="","",IF(IFERROR(INDEX(ctaLiq,MATCH(E3348,ctaNom,0))="Sí",FALSE),IF(OR(I3348="Gasto",I3348="Transferencia",I3348="Pago tarjeta"),-1,1)*O3348,0)+IF(AND(U3348&lt;&gt;"",IFERROR(INDEX(ctaLiq,MATCH(G3348,ctaNom,0))="Sí",FALSE)),O3348,0))</f>
        <v/>
      </c>
      <c r="W3348" s="19">
        <f>IF(OR(F3348="",I3348=""),"",IF(COUNTIFS(F$6:F3348,F3348,I$6:I3348,"?*")=1,MAX(W$5:W3347)+1,""))</f>
        <v/>
      </c>
    </row>
    <row r="3349">
      <c r="B3349" s="15" t="n"/>
      <c r="C3349" s="16" t="n"/>
      <c r="D3349" s="17" t="n"/>
      <c r="E3349" s="17" t="n"/>
      <c r="F3349" s="17" t="n"/>
      <c r="G3349" s="17" t="n"/>
      <c r="H3349" s="18">
        <f>IF(AND(B3349="",C3349="",D3349="",E3349=""),"",IF(B3349="","⚠ Falta fecha",IF(C3349="","⚠ Falta monto",IF(D3349="","⚠ Falta categoría",IF(ISNA(MATCH(D3349,catNom,0)),"⚠ Categoría no existe",IF(E3349="","⚠ Falta cuenta",IF(ISNA(MATCH(E3349,ctaNom,0)),"⚠ Cuenta no existe",IF(AND(OR(I3349="Transferencia",I3349="Pago tarjeta"),G3349=""),"⚠ Indica la cuenta «Hacia»",IF(AND(G3349&lt;&gt;"",G3349=E3349),"⚠ «Hacia» igual a la cuenta",IF(AND(G3349&lt;&gt;"",ISNA(MATCH(G3349,ctaNom,0))),"⚠ «Hacia» no existe",IF(AND(I3349="Pago tarjeta",IFERROR(INDEX(ctaTipo,MATCH(G3349,ctaNom,0)),"")&lt;&gt;"Tarjeta de crédito"),"⚠ «Hacia» debe ser la tarjeta",IF(AND(I3349="Trading",IFERROR(INDEX(ctaTipo,MATCH(E3349,ctaNom,0)),"")&lt;&gt;"Cuenta de trading"),"⚠ Usa la cuenta de trading","✓"))))))))))))</f>
        <v/>
      </c>
      <c r="I3349" s="19">
        <f>IF(OR(B3349="",C3349="",D3349=""),"",IFERROR(INDEX(catTipo,MATCH(D3349,catNom,0))&amp;"",""))</f>
        <v/>
      </c>
      <c r="J3349" s="19">
        <f>IF(I3349="","",IFERROR(INDEX(catGrupo,MATCH(D3349,catNom,0))&amp;"",""))</f>
        <v/>
      </c>
      <c r="K3349" s="19">
        <f>IF(I3349="Gasto",IF(IFERROR(INDEX(catClas,MATCH(D3349,catNom,0))&amp;"","")="","Variable",IFERROR(INDEX(catClas,MATCH(D3349,catNom,0))&amp;"","")),"")</f>
        <v/>
      </c>
      <c r="L3349" s="19">
        <f>IF(I3349="","",IFERROR(INDEX(catAlim,MATCH(D3349,catNom,0))&amp;"",""))</f>
        <v/>
      </c>
      <c r="M3349" s="19">
        <f>IF(I3349="","",IFERROR(INDEX(catComida,MATCH(D3349,catNom,0))&amp;"",""))</f>
        <v/>
      </c>
      <c r="N3349" s="19">
        <f>IF(I3349="","",IFERROR(INDEX(ctaMon,MATCH(E3349,ctaNom,0))&amp;"","DOP"))</f>
        <v/>
      </c>
      <c r="O3349" s="20">
        <f>IF(I3349="","",C3349*IF(N3349="USD",TasaUSD,1))</f>
        <v/>
      </c>
      <c r="P3349" s="20">
        <f>IF(I3349="","",IF(I3349="Gasto",O3349,0))</f>
        <v/>
      </c>
      <c r="Q3349" s="20">
        <f>IF(I3349="","",IF(I3349="Ingreso",O3349,0))</f>
        <v/>
      </c>
      <c r="R3349" s="20">
        <f>IF(I3349="","",IF(I3349="Trading",O3349,0))</f>
        <v/>
      </c>
      <c r="S3349" s="19">
        <f>IF(I3349="","",IF(AND(I3349="Gasto",K3349="Variable",J3349&lt;&gt;"Trading",O3349&gt;0,O3349&lt;=Umbral),1,0))</f>
        <v/>
      </c>
      <c r="T3349" s="20">
        <f>IF(OR(I3349="",E3349=""),"",IF(OR(I3349="Gasto",I3349="Transferencia",I3349="Pago tarjeta"),-1,1)*C3349)</f>
        <v/>
      </c>
      <c r="U3349" s="20">
        <f>IF(OR(G3349="",AND(I3349&lt;&gt;"Transferencia",I3349&lt;&gt;"Pago tarjeta")),"",IF(IFERROR(INDEX(ctaMon,MATCH(G3349,ctaNom,0))&amp;"","DOP")=N3349,C3349,IF(N3349="USD",C3349*TasaUSD,C3349/TasaUSD)))</f>
        <v/>
      </c>
      <c r="V3349" s="20">
        <f>IF(I3349="","",IF(IFERROR(INDEX(ctaLiq,MATCH(E3349,ctaNom,0))="Sí",FALSE),IF(OR(I3349="Gasto",I3349="Transferencia",I3349="Pago tarjeta"),-1,1)*O3349,0)+IF(AND(U3349&lt;&gt;"",IFERROR(INDEX(ctaLiq,MATCH(G3349,ctaNom,0))="Sí",FALSE)),O3349,0))</f>
        <v/>
      </c>
      <c r="W3349" s="19">
        <f>IF(OR(F3349="",I3349=""),"",IF(COUNTIFS(F$6:F3349,F3349,I$6:I3349,"?*")=1,MAX(W$5:W3348)+1,""))</f>
        <v/>
      </c>
    </row>
    <row r="3350">
      <c r="B3350" s="15" t="n"/>
      <c r="C3350" s="16" t="n"/>
      <c r="D3350" s="17" t="n"/>
      <c r="E3350" s="17" t="n"/>
      <c r="F3350" s="17" t="n"/>
      <c r="G3350" s="17" t="n"/>
      <c r="H3350" s="18">
        <f>IF(AND(B3350="",C3350="",D3350="",E3350=""),"",IF(B3350="","⚠ Falta fecha",IF(C3350="","⚠ Falta monto",IF(D3350="","⚠ Falta categoría",IF(ISNA(MATCH(D3350,catNom,0)),"⚠ Categoría no existe",IF(E3350="","⚠ Falta cuenta",IF(ISNA(MATCH(E3350,ctaNom,0)),"⚠ Cuenta no existe",IF(AND(OR(I3350="Transferencia",I3350="Pago tarjeta"),G3350=""),"⚠ Indica la cuenta «Hacia»",IF(AND(G3350&lt;&gt;"",G3350=E3350),"⚠ «Hacia» igual a la cuenta",IF(AND(G3350&lt;&gt;"",ISNA(MATCH(G3350,ctaNom,0))),"⚠ «Hacia» no existe",IF(AND(I3350="Pago tarjeta",IFERROR(INDEX(ctaTipo,MATCH(G3350,ctaNom,0)),"")&lt;&gt;"Tarjeta de crédito"),"⚠ «Hacia» debe ser la tarjeta",IF(AND(I3350="Trading",IFERROR(INDEX(ctaTipo,MATCH(E3350,ctaNom,0)),"")&lt;&gt;"Cuenta de trading"),"⚠ Usa la cuenta de trading","✓"))))))))))))</f>
        <v/>
      </c>
      <c r="I3350" s="19">
        <f>IF(OR(B3350="",C3350="",D3350=""),"",IFERROR(INDEX(catTipo,MATCH(D3350,catNom,0))&amp;"",""))</f>
        <v/>
      </c>
      <c r="J3350" s="19">
        <f>IF(I3350="","",IFERROR(INDEX(catGrupo,MATCH(D3350,catNom,0))&amp;"",""))</f>
        <v/>
      </c>
      <c r="K3350" s="19">
        <f>IF(I3350="Gasto",IF(IFERROR(INDEX(catClas,MATCH(D3350,catNom,0))&amp;"","")="","Variable",IFERROR(INDEX(catClas,MATCH(D3350,catNom,0))&amp;"","")),"")</f>
        <v/>
      </c>
      <c r="L3350" s="19">
        <f>IF(I3350="","",IFERROR(INDEX(catAlim,MATCH(D3350,catNom,0))&amp;"",""))</f>
        <v/>
      </c>
      <c r="M3350" s="19">
        <f>IF(I3350="","",IFERROR(INDEX(catComida,MATCH(D3350,catNom,0))&amp;"",""))</f>
        <v/>
      </c>
      <c r="N3350" s="19">
        <f>IF(I3350="","",IFERROR(INDEX(ctaMon,MATCH(E3350,ctaNom,0))&amp;"","DOP"))</f>
        <v/>
      </c>
      <c r="O3350" s="20">
        <f>IF(I3350="","",C3350*IF(N3350="USD",TasaUSD,1))</f>
        <v/>
      </c>
      <c r="P3350" s="20">
        <f>IF(I3350="","",IF(I3350="Gasto",O3350,0))</f>
        <v/>
      </c>
      <c r="Q3350" s="20">
        <f>IF(I3350="","",IF(I3350="Ingreso",O3350,0))</f>
        <v/>
      </c>
      <c r="R3350" s="20">
        <f>IF(I3350="","",IF(I3350="Trading",O3350,0))</f>
        <v/>
      </c>
      <c r="S3350" s="19">
        <f>IF(I3350="","",IF(AND(I3350="Gasto",K3350="Variable",J3350&lt;&gt;"Trading",O3350&gt;0,O3350&lt;=Umbral),1,0))</f>
        <v/>
      </c>
      <c r="T3350" s="20">
        <f>IF(OR(I3350="",E3350=""),"",IF(OR(I3350="Gasto",I3350="Transferencia",I3350="Pago tarjeta"),-1,1)*C3350)</f>
        <v/>
      </c>
      <c r="U3350" s="20">
        <f>IF(OR(G3350="",AND(I3350&lt;&gt;"Transferencia",I3350&lt;&gt;"Pago tarjeta")),"",IF(IFERROR(INDEX(ctaMon,MATCH(G3350,ctaNom,0))&amp;"","DOP")=N3350,C3350,IF(N3350="USD",C3350*TasaUSD,C3350/TasaUSD)))</f>
        <v/>
      </c>
      <c r="V3350" s="20">
        <f>IF(I3350="","",IF(IFERROR(INDEX(ctaLiq,MATCH(E3350,ctaNom,0))="Sí",FALSE),IF(OR(I3350="Gasto",I3350="Transferencia",I3350="Pago tarjeta"),-1,1)*O3350,0)+IF(AND(U3350&lt;&gt;"",IFERROR(INDEX(ctaLiq,MATCH(G3350,ctaNom,0))="Sí",FALSE)),O3350,0))</f>
        <v/>
      </c>
      <c r="W3350" s="19">
        <f>IF(OR(F3350="",I3350=""),"",IF(COUNTIFS(F$6:F3350,F3350,I$6:I3350,"?*")=1,MAX(W$5:W3349)+1,""))</f>
        <v/>
      </c>
    </row>
    <row r="3351">
      <c r="B3351" s="15" t="n"/>
      <c r="C3351" s="16" t="n"/>
      <c r="D3351" s="17" t="n"/>
      <c r="E3351" s="17" t="n"/>
      <c r="F3351" s="17" t="n"/>
      <c r="G3351" s="17" t="n"/>
      <c r="H3351" s="18">
        <f>IF(AND(B3351="",C3351="",D3351="",E3351=""),"",IF(B3351="","⚠ Falta fecha",IF(C3351="","⚠ Falta monto",IF(D3351="","⚠ Falta categoría",IF(ISNA(MATCH(D3351,catNom,0)),"⚠ Categoría no existe",IF(E3351="","⚠ Falta cuenta",IF(ISNA(MATCH(E3351,ctaNom,0)),"⚠ Cuenta no existe",IF(AND(OR(I3351="Transferencia",I3351="Pago tarjeta"),G3351=""),"⚠ Indica la cuenta «Hacia»",IF(AND(G3351&lt;&gt;"",G3351=E3351),"⚠ «Hacia» igual a la cuenta",IF(AND(G3351&lt;&gt;"",ISNA(MATCH(G3351,ctaNom,0))),"⚠ «Hacia» no existe",IF(AND(I3351="Pago tarjeta",IFERROR(INDEX(ctaTipo,MATCH(G3351,ctaNom,0)),"")&lt;&gt;"Tarjeta de crédito"),"⚠ «Hacia» debe ser la tarjeta",IF(AND(I3351="Trading",IFERROR(INDEX(ctaTipo,MATCH(E3351,ctaNom,0)),"")&lt;&gt;"Cuenta de trading"),"⚠ Usa la cuenta de trading","✓"))))))))))))</f>
        <v/>
      </c>
      <c r="I3351" s="19">
        <f>IF(OR(B3351="",C3351="",D3351=""),"",IFERROR(INDEX(catTipo,MATCH(D3351,catNom,0))&amp;"",""))</f>
        <v/>
      </c>
      <c r="J3351" s="19">
        <f>IF(I3351="","",IFERROR(INDEX(catGrupo,MATCH(D3351,catNom,0))&amp;"",""))</f>
        <v/>
      </c>
      <c r="K3351" s="19">
        <f>IF(I3351="Gasto",IF(IFERROR(INDEX(catClas,MATCH(D3351,catNom,0))&amp;"","")="","Variable",IFERROR(INDEX(catClas,MATCH(D3351,catNom,0))&amp;"","")),"")</f>
        <v/>
      </c>
      <c r="L3351" s="19">
        <f>IF(I3351="","",IFERROR(INDEX(catAlim,MATCH(D3351,catNom,0))&amp;"",""))</f>
        <v/>
      </c>
      <c r="M3351" s="19">
        <f>IF(I3351="","",IFERROR(INDEX(catComida,MATCH(D3351,catNom,0))&amp;"",""))</f>
        <v/>
      </c>
      <c r="N3351" s="19">
        <f>IF(I3351="","",IFERROR(INDEX(ctaMon,MATCH(E3351,ctaNom,0))&amp;"","DOP"))</f>
        <v/>
      </c>
      <c r="O3351" s="20">
        <f>IF(I3351="","",C3351*IF(N3351="USD",TasaUSD,1))</f>
        <v/>
      </c>
      <c r="P3351" s="20">
        <f>IF(I3351="","",IF(I3351="Gasto",O3351,0))</f>
        <v/>
      </c>
      <c r="Q3351" s="20">
        <f>IF(I3351="","",IF(I3351="Ingreso",O3351,0))</f>
        <v/>
      </c>
      <c r="R3351" s="20">
        <f>IF(I3351="","",IF(I3351="Trading",O3351,0))</f>
        <v/>
      </c>
      <c r="S3351" s="19">
        <f>IF(I3351="","",IF(AND(I3351="Gasto",K3351="Variable",J3351&lt;&gt;"Trading",O3351&gt;0,O3351&lt;=Umbral),1,0))</f>
        <v/>
      </c>
      <c r="T3351" s="20">
        <f>IF(OR(I3351="",E3351=""),"",IF(OR(I3351="Gasto",I3351="Transferencia",I3351="Pago tarjeta"),-1,1)*C3351)</f>
        <v/>
      </c>
      <c r="U3351" s="20">
        <f>IF(OR(G3351="",AND(I3351&lt;&gt;"Transferencia",I3351&lt;&gt;"Pago tarjeta")),"",IF(IFERROR(INDEX(ctaMon,MATCH(G3351,ctaNom,0))&amp;"","DOP")=N3351,C3351,IF(N3351="USD",C3351*TasaUSD,C3351/TasaUSD)))</f>
        <v/>
      </c>
      <c r="V3351" s="20">
        <f>IF(I3351="","",IF(IFERROR(INDEX(ctaLiq,MATCH(E3351,ctaNom,0))="Sí",FALSE),IF(OR(I3351="Gasto",I3351="Transferencia",I3351="Pago tarjeta"),-1,1)*O3351,0)+IF(AND(U3351&lt;&gt;"",IFERROR(INDEX(ctaLiq,MATCH(G3351,ctaNom,0))="Sí",FALSE)),O3351,0))</f>
        <v/>
      </c>
      <c r="W3351" s="19">
        <f>IF(OR(F3351="",I3351=""),"",IF(COUNTIFS(F$6:F3351,F3351,I$6:I3351,"?*")=1,MAX(W$5:W3350)+1,""))</f>
        <v/>
      </c>
    </row>
    <row r="3352">
      <c r="B3352" s="15" t="n"/>
      <c r="C3352" s="16" t="n"/>
      <c r="D3352" s="17" t="n"/>
      <c r="E3352" s="17" t="n"/>
      <c r="F3352" s="17" t="n"/>
      <c r="G3352" s="17" t="n"/>
      <c r="H3352" s="18">
        <f>IF(AND(B3352="",C3352="",D3352="",E3352=""),"",IF(B3352="","⚠ Falta fecha",IF(C3352="","⚠ Falta monto",IF(D3352="","⚠ Falta categoría",IF(ISNA(MATCH(D3352,catNom,0)),"⚠ Categoría no existe",IF(E3352="","⚠ Falta cuenta",IF(ISNA(MATCH(E3352,ctaNom,0)),"⚠ Cuenta no existe",IF(AND(OR(I3352="Transferencia",I3352="Pago tarjeta"),G3352=""),"⚠ Indica la cuenta «Hacia»",IF(AND(G3352&lt;&gt;"",G3352=E3352),"⚠ «Hacia» igual a la cuenta",IF(AND(G3352&lt;&gt;"",ISNA(MATCH(G3352,ctaNom,0))),"⚠ «Hacia» no existe",IF(AND(I3352="Pago tarjeta",IFERROR(INDEX(ctaTipo,MATCH(G3352,ctaNom,0)),"")&lt;&gt;"Tarjeta de crédito"),"⚠ «Hacia» debe ser la tarjeta",IF(AND(I3352="Trading",IFERROR(INDEX(ctaTipo,MATCH(E3352,ctaNom,0)),"")&lt;&gt;"Cuenta de trading"),"⚠ Usa la cuenta de trading","✓"))))))))))))</f>
        <v/>
      </c>
      <c r="I3352" s="19">
        <f>IF(OR(B3352="",C3352="",D3352=""),"",IFERROR(INDEX(catTipo,MATCH(D3352,catNom,0))&amp;"",""))</f>
        <v/>
      </c>
      <c r="J3352" s="19">
        <f>IF(I3352="","",IFERROR(INDEX(catGrupo,MATCH(D3352,catNom,0))&amp;"",""))</f>
        <v/>
      </c>
      <c r="K3352" s="19">
        <f>IF(I3352="Gasto",IF(IFERROR(INDEX(catClas,MATCH(D3352,catNom,0))&amp;"","")="","Variable",IFERROR(INDEX(catClas,MATCH(D3352,catNom,0))&amp;"","")),"")</f>
        <v/>
      </c>
      <c r="L3352" s="19">
        <f>IF(I3352="","",IFERROR(INDEX(catAlim,MATCH(D3352,catNom,0))&amp;"",""))</f>
        <v/>
      </c>
      <c r="M3352" s="19">
        <f>IF(I3352="","",IFERROR(INDEX(catComida,MATCH(D3352,catNom,0))&amp;"",""))</f>
        <v/>
      </c>
      <c r="N3352" s="19">
        <f>IF(I3352="","",IFERROR(INDEX(ctaMon,MATCH(E3352,ctaNom,0))&amp;"","DOP"))</f>
        <v/>
      </c>
      <c r="O3352" s="20">
        <f>IF(I3352="","",C3352*IF(N3352="USD",TasaUSD,1))</f>
        <v/>
      </c>
      <c r="P3352" s="20">
        <f>IF(I3352="","",IF(I3352="Gasto",O3352,0))</f>
        <v/>
      </c>
      <c r="Q3352" s="20">
        <f>IF(I3352="","",IF(I3352="Ingreso",O3352,0))</f>
        <v/>
      </c>
      <c r="R3352" s="20">
        <f>IF(I3352="","",IF(I3352="Trading",O3352,0))</f>
        <v/>
      </c>
      <c r="S3352" s="19">
        <f>IF(I3352="","",IF(AND(I3352="Gasto",K3352="Variable",J3352&lt;&gt;"Trading",O3352&gt;0,O3352&lt;=Umbral),1,0))</f>
        <v/>
      </c>
      <c r="T3352" s="20">
        <f>IF(OR(I3352="",E3352=""),"",IF(OR(I3352="Gasto",I3352="Transferencia",I3352="Pago tarjeta"),-1,1)*C3352)</f>
        <v/>
      </c>
      <c r="U3352" s="20">
        <f>IF(OR(G3352="",AND(I3352&lt;&gt;"Transferencia",I3352&lt;&gt;"Pago tarjeta")),"",IF(IFERROR(INDEX(ctaMon,MATCH(G3352,ctaNom,0))&amp;"","DOP")=N3352,C3352,IF(N3352="USD",C3352*TasaUSD,C3352/TasaUSD)))</f>
        <v/>
      </c>
      <c r="V3352" s="20">
        <f>IF(I3352="","",IF(IFERROR(INDEX(ctaLiq,MATCH(E3352,ctaNom,0))="Sí",FALSE),IF(OR(I3352="Gasto",I3352="Transferencia",I3352="Pago tarjeta"),-1,1)*O3352,0)+IF(AND(U3352&lt;&gt;"",IFERROR(INDEX(ctaLiq,MATCH(G3352,ctaNom,0))="Sí",FALSE)),O3352,0))</f>
        <v/>
      </c>
      <c r="W3352" s="19">
        <f>IF(OR(F3352="",I3352=""),"",IF(COUNTIFS(F$6:F3352,F3352,I$6:I3352,"?*")=1,MAX(W$5:W3351)+1,""))</f>
        <v/>
      </c>
    </row>
    <row r="3353">
      <c r="B3353" s="15" t="n"/>
      <c r="C3353" s="16" t="n"/>
      <c r="D3353" s="17" t="n"/>
      <c r="E3353" s="17" t="n"/>
      <c r="F3353" s="17" t="n"/>
      <c r="G3353" s="17" t="n"/>
      <c r="H3353" s="18">
        <f>IF(AND(B3353="",C3353="",D3353="",E3353=""),"",IF(B3353="","⚠ Falta fecha",IF(C3353="","⚠ Falta monto",IF(D3353="","⚠ Falta categoría",IF(ISNA(MATCH(D3353,catNom,0)),"⚠ Categoría no existe",IF(E3353="","⚠ Falta cuenta",IF(ISNA(MATCH(E3353,ctaNom,0)),"⚠ Cuenta no existe",IF(AND(OR(I3353="Transferencia",I3353="Pago tarjeta"),G3353=""),"⚠ Indica la cuenta «Hacia»",IF(AND(G3353&lt;&gt;"",G3353=E3353),"⚠ «Hacia» igual a la cuenta",IF(AND(G3353&lt;&gt;"",ISNA(MATCH(G3353,ctaNom,0))),"⚠ «Hacia» no existe",IF(AND(I3353="Pago tarjeta",IFERROR(INDEX(ctaTipo,MATCH(G3353,ctaNom,0)),"")&lt;&gt;"Tarjeta de crédito"),"⚠ «Hacia» debe ser la tarjeta",IF(AND(I3353="Trading",IFERROR(INDEX(ctaTipo,MATCH(E3353,ctaNom,0)),"")&lt;&gt;"Cuenta de trading"),"⚠ Usa la cuenta de trading","✓"))))))))))))</f>
        <v/>
      </c>
      <c r="I3353" s="19">
        <f>IF(OR(B3353="",C3353="",D3353=""),"",IFERROR(INDEX(catTipo,MATCH(D3353,catNom,0))&amp;"",""))</f>
        <v/>
      </c>
      <c r="J3353" s="19">
        <f>IF(I3353="","",IFERROR(INDEX(catGrupo,MATCH(D3353,catNom,0))&amp;"",""))</f>
        <v/>
      </c>
      <c r="K3353" s="19">
        <f>IF(I3353="Gasto",IF(IFERROR(INDEX(catClas,MATCH(D3353,catNom,0))&amp;"","")="","Variable",IFERROR(INDEX(catClas,MATCH(D3353,catNom,0))&amp;"","")),"")</f>
        <v/>
      </c>
      <c r="L3353" s="19">
        <f>IF(I3353="","",IFERROR(INDEX(catAlim,MATCH(D3353,catNom,0))&amp;"",""))</f>
        <v/>
      </c>
      <c r="M3353" s="19">
        <f>IF(I3353="","",IFERROR(INDEX(catComida,MATCH(D3353,catNom,0))&amp;"",""))</f>
        <v/>
      </c>
      <c r="N3353" s="19">
        <f>IF(I3353="","",IFERROR(INDEX(ctaMon,MATCH(E3353,ctaNom,0))&amp;"","DOP"))</f>
        <v/>
      </c>
      <c r="O3353" s="20">
        <f>IF(I3353="","",C3353*IF(N3353="USD",TasaUSD,1))</f>
        <v/>
      </c>
      <c r="P3353" s="20">
        <f>IF(I3353="","",IF(I3353="Gasto",O3353,0))</f>
        <v/>
      </c>
      <c r="Q3353" s="20">
        <f>IF(I3353="","",IF(I3353="Ingreso",O3353,0))</f>
        <v/>
      </c>
      <c r="R3353" s="20">
        <f>IF(I3353="","",IF(I3353="Trading",O3353,0))</f>
        <v/>
      </c>
      <c r="S3353" s="19">
        <f>IF(I3353="","",IF(AND(I3353="Gasto",K3353="Variable",J3353&lt;&gt;"Trading",O3353&gt;0,O3353&lt;=Umbral),1,0))</f>
        <v/>
      </c>
      <c r="T3353" s="20">
        <f>IF(OR(I3353="",E3353=""),"",IF(OR(I3353="Gasto",I3353="Transferencia",I3353="Pago tarjeta"),-1,1)*C3353)</f>
        <v/>
      </c>
      <c r="U3353" s="20">
        <f>IF(OR(G3353="",AND(I3353&lt;&gt;"Transferencia",I3353&lt;&gt;"Pago tarjeta")),"",IF(IFERROR(INDEX(ctaMon,MATCH(G3353,ctaNom,0))&amp;"","DOP")=N3353,C3353,IF(N3353="USD",C3353*TasaUSD,C3353/TasaUSD)))</f>
        <v/>
      </c>
      <c r="V3353" s="20">
        <f>IF(I3353="","",IF(IFERROR(INDEX(ctaLiq,MATCH(E3353,ctaNom,0))="Sí",FALSE),IF(OR(I3353="Gasto",I3353="Transferencia",I3353="Pago tarjeta"),-1,1)*O3353,0)+IF(AND(U3353&lt;&gt;"",IFERROR(INDEX(ctaLiq,MATCH(G3353,ctaNom,0))="Sí",FALSE)),O3353,0))</f>
        <v/>
      </c>
      <c r="W3353" s="19">
        <f>IF(OR(F3353="",I3353=""),"",IF(COUNTIFS(F$6:F3353,F3353,I$6:I3353,"?*")=1,MAX(W$5:W3352)+1,""))</f>
        <v/>
      </c>
    </row>
    <row r="3354">
      <c r="B3354" s="15" t="n"/>
      <c r="C3354" s="16" t="n"/>
      <c r="D3354" s="17" t="n"/>
      <c r="E3354" s="17" t="n"/>
      <c r="F3354" s="17" t="n"/>
      <c r="G3354" s="17" t="n"/>
      <c r="H3354" s="18">
        <f>IF(AND(B3354="",C3354="",D3354="",E3354=""),"",IF(B3354="","⚠ Falta fecha",IF(C3354="","⚠ Falta monto",IF(D3354="","⚠ Falta categoría",IF(ISNA(MATCH(D3354,catNom,0)),"⚠ Categoría no existe",IF(E3354="","⚠ Falta cuenta",IF(ISNA(MATCH(E3354,ctaNom,0)),"⚠ Cuenta no existe",IF(AND(OR(I3354="Transferencia",I3354="Pago tarjeta"),G3354=""),"⚠ Indica la cuenta «Hacia»",IF(AND(G3354&lt;&gt;"",G3354=E3354),"⚠ «Hacia» igual a la cuenta",IF(AND(G3354&lt;&gt;"",ISNA(MATCH(G3354,ctaNom,0))),"⚠ «Hacia» no existe",IF(AND(I3354="Pago tarjeta",IFERROR(INDEX(ctaTipo,MATCH(G3354,ctaNom,0)),"")&lt;&gt;"Tarjeta de crédito"),"⚠ «Hacia» debe ser la tarjeta",IF(AND(I3354="Trading",IFERROR(INDEX(ctaTipo,MATCH(E3354,ctaNom,0)),"")&lt;&gt;"Cuenta de trading"),"⚠ Usa la cuenta de trading","✓"))))))))))))</f>
        <v/>
      </c>
      <c r="I3354" s="19">
        <f>IF(OR(B3354="",C3354="",D3354=""),"",IFERROR(INDEX(catTipo,MATCH(D3354,catNom,0))&amp;"",""))</f>
        <v/>
      </c>
      <c r="J3354" s="19">
        <f>IF(I3354="","",IFERROR(INDEX(catGrupo,MATCH(D3354,catNom,0))&amp;"",""))</f>
        <v/>
      </c>
      <c r="K3354" s="19">
        <f>IF(I3354="Gasto",IF(IFERROR(INDEX(catClas,MATCH(D3354,catNom,0))&amp;"","")="","Variable",IFERROR(INDEX(catClas,MATCH(D3354,catNom,0))&amp;"","")),"")</f>
        <v/>
      </c>
      <c r="L3354" s="19">
        <f>IF(I3354="","",IFERROR(INDEX(catAlim,MATCH(D3354,catNom,0))&amp;"",""))</f>
        <v/>
      </c>
      <c r="M3354" s="19">
        <f>IF(I3354="","",IFERROR(INDEX(catComida,MATCH(D3354,catNom,0))&amp;"",""))</f>
        <v/>
      </c>
      <c r="N3354" s="19">
        <f>IF(I3354="","",IFERROR(INDEX(ctaMon,MATCH(E3354,ctaNom,0))&amp;"","DOP"))</f>
        <v/>
      </c>
      <c r="O3354" s="20">
        <f>IF(I3354="","",C3354*IF(N3354="USD",TasaUSD,1))</f>
        <v/>
      </c>
      <c r="P3354" s="20">
        <f>IF(I3354="","",IF(I3354="Gasto",O3354,0))</f>
        <v/>
      </c>
      <c r="Q3354" s="20">
        <f>IF(I3354="","",IF(I3354="Ingreso",O3354,0))</f>
        <v/>
      </c>
      <c r="R3354" s="20">
        <f>IF(I3354="","",IF(I3354="Trading",O3354,0))</f>
        <v/>
      </c>
      <c r="S3354" s="19">
        <f>IF(I3354="","",IF(AND(I3354="Gasto",K3354="Variable",J3354&lt;&gt;"Trading",O3354&gt;0,O3354&lt;=Umbral),1,0))</f>
        <v/>
      </c>
      <c r="T3354" s="20">
        <f>IF(OR(I3354="",E3354=""),"",IF(OR(I3354="Gasto",I3354="Transferencia",I3354="Pago tarjeta"),-1,1)*C3354)</f>
        <v/>
      </c>
      <c r="U3354" s="20">
        <f>IF(OR(G3354="",AND(I3354&lt;&gt;"Transferencia",I3354&lt;&gt;"Pago tarjeta")),"",IF(IFERROR(INDEX(ctaMon,MATCH(G3354,ctaNom,0))&amp;"","DOP")=N3354,C3354,IF(N3354="USD",C3354*TasaUSD,C3354/TasaUSD)))</f>
        <v/>
      </c>
      <c r="V3354" s="20">
        <f>IF(I3354="","",IF(IFERROR(INDEX(ctaLiq,MATCH(E3354,ctaNom,0))="Sí",FALSE),IF(OR(I3354="Gasto",I3354="Transferencia",I3354="Pago tarjeta"),-1,1)*O3354,0)+IF(AND(U3354&lt;&gt;"",IFERROR(INDEX(ctaLiq,MATCH(G3354,ctaNom,0))="Sí",FALSE)),O3354,0))</f>
        <v/>
      </c>
      <c r="W3354" s="19">
        <f>IF(OR(F3354="",I3354=""),"",IF(COUNTIFS(F$6:F3354,F3354,I$6:I3354,"?*")=1,MAX(W$5:W3353)+1,""))</f>
        <v/>
      </c>
    </row>
    <row r="3355">
      <c r="B3355" s="15" t="n"/>
      <c r="C3355" s="16" t="n"/>
      <c r="D3355" s="17" t="n"/>
      <c r="E3355" s="17" t="n"/>
      <c r="F3355" s="17" t="n"/>
      <c r="G3355" s="17" t="n"/>
      <c r="H3355" s="18">
        <f>IF(AND(B3355="",C3355="",D3355="",E3355=""),"",IF(B3355="","⚠ Falta fecha",IF(C3355="","⚠ Falta monto",IF(D3355="","⚠ Falta categoría",IF(ISNA(MATCH(D3355,catNom,0)),"⚠ Categoría no existe",IF(E3355="","⚠ Falta cuenta",IF(ISNA(MATCH(E3355,ctaNom,0)),"⚠ Cuenta no existe",IF(AND(OR(I3355="Transferencia",I3355="Pago tarjeta"),G3355=""),"⚠ Indica la cuenta «Hacia»",IF(AND(G3355&lt;&gt;"",G3355=E3355),"⚠ «Hacia» igual a la cuenta",IF(AND(G3355&lt;&gt;"",ISNA(MATCH(G3355,ctaNom,0))),"⚠ «Hacia» no existe",IF(AND(I3355="Pago tarjeta",IFERROR(INDEX(ctaTipo,MATCH(G3355,ctaNom,0)),"")&lt;&gt;"Tarjeta de crédito"),"⚠ «Hacia» debe ser la tarjeta",IF(AND(I3355="Trading",IFERROR(INDEX(ctaTipo,MATCH(E3355,ctaNom,0)),"")&lt;&gt;"Cuenta de trading"),"⚠ Usa la cuenta de trading","✓"))))))))))))</f>
        <v/>
      </c>
      <c r="I3355" s="19">
        <f>IF(OR(B3355="",C3355="",D3355=""),"",IFERROR(INDEX(catTipo,MATCH(D3355,catNom,0))&amp;"",""))</f>
        <v/>
      </c>
      <c r="J3355" s="19">
        <f>IF(I3355="","",IFERROR(INDEX(catGrupo,MATCH(D3355,catNom,0))&amp;"",""))</f>
        <v/>
      </c>
      <c r="K3355" s="19">
        <f>IF(I3355="Gasto",IF(IFERROR(INDEX(catClas,MATCH(D3355,catNom,0))&amp;"","")="","Variable",IFERROR(INDEX(catClas,MATCH(D3355,catNom,0))&amp;"","")),"")</f>
        <v/>
      </c>
      <c r="L3355" s="19">
        <f>IF(I3355="","",IFERROR(INDEX(catAlim,MATCH(D3355,catNom,0))&amp;"",""))</f>
        <v/>
      </c>
      <c r="M3355" s="19">
        <f>IF(I3355="","",IFERROR(INDEX(catComida,MATCH(D3355,catNom,0))&amp;"",""))</f>
        <v/>
      </c>
      <c r="N3355" s="19">
        <f>IF(I3355="","",IFERROR(INDEX(ctaMon,MATCH(E3355,ctaNom,0))&amp;"","DOP"))</f>
        <v/>
      </c>
      <c r="O3355" s="20">
        <f>IF(I3355="","",C3355*IF(N3355="USD",TasaUSD,1))</f>
        <v/>
      </c>
      <c r="P3355" s="20">
        <f>IF(I3355="","",IF(I3355="Gasto",O3355,0))</f>
        <v/>
      </c>
      <c r="Q3355" s="20">
        <f>IF(I3355="","",IF(I3355="Ingreso",O3355,0))</f>
        <v/>
      </c>
      <c r="R3355" s="20">
        <f>IF(I3355="","",IF(I3355="Trading",O3355,0))</f>
        <v/>
      </c>
      <c r="S3355" s="19">
        <f>IF(I3355="","",IF(AND(I3355="Gasto",K3355="Variable",J3355&lt;&gt;"Trading",O3355&gt;0,O3355&lt;=Umbral),1,0))</f>
        <v/>
      </c>
      <c r="T3355" s="20">
        <f>IF(OR(I3355="",E3355=""),"",IF(OR(I3355="Gasto",I3355="Transferencia",I3355="Pago tarjeta"),-1,1)*C3355)</f>
        <v/>
      </c>
      <c r="U3355" s="20">
        <f>IF(OR(G3355="",AND(I3355&lt;&gt;"Transferencia",I3355&lt;&gt;"Pago tarjeta")),"",IF(IFERROR(INDEX(ctaMon,MATCH(G3355,ctaNom,0))&amp;"","DOP")=N3355,C3355,IF(N3355="USD",C3355*TasaUSD,C3355/TasaUSD)))</f>
        <v/>
      </c>
      <c r="V3355" s="20">
        <f>IF(I3355="","",IF(IFERROR(INDEX(ctaLiq,MATCH(E3355,ctaNom,0))="Sí",FALSE),IF(OR(I3355="Gasto",I3355="Transferencia",I3355="Pago tarjeta"),-1,1)*O3355,0)+IF(AND(U3355&lt;&gt;"",IFERROR(INDEX(ctaLiq,MATCH(G3355,ctaNom,0))="Sí",FALSE)),O3355,0))</f>
        <v/>
      </c>
      <c r="W3355" s="19">
        <f>IF(OR(F3355="",I3355=""),"",IF(COUNTIFS(F$6:F3355,F3355,I$6:I3355,"?*")=1,MAX(W$5:W3354)+1,""))</f>
        <v/>
      </c>
    </row>
    <row r="3356">
      <c r="B3356" s="15" t="n"/>
      <c r="C3356" s="16" t="n"/>
      <c r="D3356" s="17" t="n"/>
      <c r="E3356" s="17" t="n"/>
      <c r="F3356" s="17" t="n"/>
      <c r="G3356" s="17" t="n"/>
      <c r="H3356" s="18">
        <f>IF(AND(B3356="",C3356="",D3356="",E3356=""),"",IF(B3356="","⚠ Falta fecha",IF(C3356="","⚠ Falta monto",IF(D3356="","⚠ Falta categoría",IF(ISNA(MATCH(D3356,catNom,0)),"⚠ Categoría no existe",IF(E3356="","⚠ Falta cuenta",IF(ISNA(MATCH(E3356,ctaNom,0)),"⚠ Cuenta no existe",IF(AND(OR(I3356="Transferencia",I3356="Pago tarjeta"),G3356=""),"⚠ Indica la cuenta «Hacia»",IF(AND(G3356&lt;&gt;"",G3356=E3356),"⚠ «Hacia» igual a la cuenta",IF(AND(G3356&lt;&gt;"",ISNA(MATCH(G3356,ctaNom,0))),"⚠ «Hacia» no existe",IF(AND(I3356="Pago tarjeta",IFERROR(INDEX(ctaTipo,MATCH(G3356,ctaNom,0)),"")&lt;&gt;"Tarjeta de crédito"),"⚠ «Hacia» debe ser la tarjeta",IF(AND(I3356="Trading",IFERROR(INDEX(ctaTipo,MATCH(E3356,ctaNom,0)),"")&lt;&gt;"Cuenta de trading"),"⚠ Usa la cuenta de trading","✓"))))))))))))</f>
        <v/>
      </c>
      <c r="I3356" s="19">
        <f>IF(OR(B3356="",C3356="",D3356=""),"",IFERROR(INDEX(catTipo,MATCH(D3356,catNom,0))&amp;"",""))</f>
        <v/>
      </c>
      <c r="J3356" s="19">
        <f>IF(I3356="","",IFERROR(INDEX(catGrupo,MATCH(D3356,catNom,0))&amp;"",""))</f>
        <v/>
      </c>
      <c r="K3356" s="19">
        <f>IF(I3356="Gasto",IF(IFERROR(INDEX(catClas,MATCH(D3356,catNom,0))&amp;"","")="","Variable",IFERROR(INDEX(catClas,MATCH(D3356,catNom,0))&amp;"","")),"")</f>
        <v/>
      </c>
      <c r="L3356" s="19">
        <f>IF(I3356="","",IFERROR(INDEX(catAlim,MATCH(D3356,catNom,0))&amp;"",""))</f>
        <v/>
      </c>
      <c r="M3356" s="19">
        <f>IF(I3356="","",IFERROR(INDEX(catComida,MATCH(D3356,catNom,0))&amp;"",""))</f>
        <v/>
      </c>
      <c r="N3356" s="19">
        <f>IF(I3356="","",IFERROR(INDEX(ctaMon,MATCH(E3356,ctaNom,0))&amp;"","DOP"))</f>
        <v/>
      </c>
      <c r="O3356" s="20">
        <f>IF(I3356="","",C3356*IF(N3356="USD",TasaUSD,1))</f>
        <v/>
      </c>
      <c r="P3356" s="20">
        <f>IF(I3356="","",IF(I3356="Gasto",O3356,0))</f>
        <v/>
      </c>
      <c r="Q3356" s="20">
        <f>IF(I3356="","",IF(I3356="Ingreso",O3356,0))</f>
        <v/>
      </c>
      <c r="R3356" s="20">
        <f>IF(I3356="","",IF(I3356="Trading",O3356,0))</f>
        <v/>
      </c>
      <c r="S3356" s="19">
        <f>IF(I3356="","",IF(AND(I3356="Gasto",K3356="Variable",J3356&lt;&gt;"Trading",O3356&gt;0,O3356&lt;=Umbral),1,0))</f>
        <v/>
      </c>
      <c r="T3356" s="20">
        <f>IF(OR(I3356="",E3356=""),"",IF(OR(I3356="Gasto",I3356="Transferencia",I3356="Pago tarjeta"),-1,1)*C3356)</f>
        <v/>
      </c>
      <c r="U3356" s="20">
        <f>IF(OR(G3356="",AND(I3356&lt;&gt;"Transferencia",I3356&lt;&gt;"Pago tarjeta")),"",IF(IFERROR(INDEX(ctaMon,MATCH(G3356,ctaNom,0))&amp;"","DOP")=N3356,C3356,IF(N3356="USD",C3356*TasaUSD,C3356/TasaUSD)))</f>
        <v/>
      </c>
      <c r="V3356" s="20">
        <f>IF(I3356="","",IF(IFERROR(INDEX(ctaLiq,MATCH(E3356,ctaNom,0))="Sí",FALSE),IF(OR(I3356="Gasto",I3356="Transferencia",I3356="Pago tarjeta"),-1,1)*O3356,0)+IF(AND(U3356&lt;&gt;"",IFERROR(INDEX(ctaLiq,MATCH(G3356,ctaNom,0))="Sí",FALSE)),O3356,0))</f>
        <v/>
      </c>
      <c r="W3356" s="19">
        <f>IF(OR(F3356="",I3356=""),"",IF(COUNTIFS(F$6:F3356,F3356,I$6:I3356,"?*")=1,MAX(W$5:W3355)+1,""))</f>
        <v/>
      </c>
    </row>
    <row r="3357">
      <c r="B3357" s="15" t="n"/>
      <c r="C3357" s="16" t="n"/>
      <c r="D3357" s="17" t="n"/>
      <c r="E3357" s="17" t="n"/>
      <c r="F3357" s="17" t="n"/>
      <c r="G3357" s="17" t="n"/>
      <c r="H3357" s="18">
        <f>IF(AND(B3357="",C3357="",D3357="",E3357=""),"",IF(B3357="","⚠ Falta fecha",IF(C3357="","⚠ Falta monto",IF(D3357="","⚠ Falta categoría",IF(ISNA(MATCH(D3357,catNom,0)),"⚠ Categoría no existe",IF(E3357="","⚠ Falta cuenta",IF(ISNA(MATCH(E3357,ctaNom,0)),"⚠ Cuenta no existe",IF(AND(OR(I3357="Transferencia",I3357="Pago tarjeta"),G3357=""),"⚠ Indica la cuenta «Hacia»",IF(AND(G3357&lt;&gt;"",G3357=E3357),"⚠ «Hacia» igual a la cuenta",IF(AND(G3357&lt;&gt;"",ISNA(MATCH(G3357,ctaNom,0))),"⚠ «Hacia» no existe",IF(AND(I3357="Pago tarjeta",IFERROR(INDEX(ctaTipo,MATCH(G3357,ctaNom,0)),"")&lt;&gt;"Tarjeta de crédito"),"⚠ «Hacia» debe ser la tarjeta",IF(AND(I3357="Trading",IFERROR(INDEX(ctaTipo,MATCH(E3357,ctaNom,0)),"")&lt;&gt;"Cuenta de trading"),"⚠ Usa la cuenta de trading","✓"))))))))))))</f>
        <v/>
      </c>
      <c r="I3357" s="19">
        <f>IF(OR(B3357="",C3357="",D3357=""),"",IFERROR(INDEX(catTipo,MATCH(D3357,catNom,0))&amp;"",""))</f>
        <v/>
      </c>
      <c r="J3357" s="19">
        <f>IF(I3357="","",IFERROR(INDEX(catGrupo,MATCH(D3357,catNom,0))&amp;"",""))</f>
        <v/>
      </c>
      <c r="K3357" s="19">
        <f>IF(I3357="Gasto",IF(IFERROR(INDEX(catClas,MATCH(D3357,catNom,0))&amp;"","")="","Variable",IFERROR(INDEX(catClas,MATCH(D3357,catNom,0))&amp;"","")),"")</f>
        <v/>
      </c>
      <c r="L3357" s="19">
        <f>IF(I3357="","",IFERROR(INDEX(catAlim,MATCH(D3357,catNom,0))&amp;"",""))</f>
        <v/>
      </c>
      <c r="M3357" s="19">
        <f>IF(I3357="","",IFERROR(INDEX(catComida,MATCH(D3357,catNom,0))&amp;"",""))</f>
        <v/>
      </c>
      <c r="N3357" s="19">
        <f>IF(I3357="","",IFERROR(INDEX(ctaMon,MATCH(E3357,ctaNom,0))&amp;"","DOP"))</f>
        <v/>
      </c>
      <c r="O3357" s="20">
        <f>IF(I3357="","",C3357*IF(N3357="USD",TasaUSD,1))</f>
        <v/>
      </c>
      <c r="P3357" s="20">
        <f>IF(I3357="","",IF(I3357="Gasto",O3357,0))</f>
        <v/>
      </c>
      <c r="Q3357" s="20">
        <f>IF(I3357="","",IF(I3357="Ingreso",O3357,0))</f>
        <v/>
      </c>
      <c r="R3357" s="20">
        <f>IF(I3357="","",IF(I3357="Trading",O3357,0))</f>
        <v/>
      </c>
      <c r="S3357" s="19">
        <f>IF(I3357="","",IF(AND(I3357="Gasto",K3357="Variable",J3357&lt;&gt;"Trading",O3357&gt;0,O3357&lt;=Umbral),1,0))</f>
        <v/>
      </c>
      <c r="T3357" s="20">
        <f>IF(OR(I3357="",E3357=""),"",IF(OR(I3357="Gasto",I3357="Transferencia",I3357="Pago tarjeta"),-1,1)*C3357)</f>
        <v/>
      </c>
      <c r="U3357" s="20">
        <f>IF(OR(G3357="",AND(I3357&lt;&gt;"Transferencia",I3357&lt;&gt;"Pago tarjeta")),"",IF(IFERROR(INDEX(ctaMon,MATCH(G3357,ctaNom,0))&amp;"","DOP")=N3357,C3357,IF(N3357="USD",C3357*TasaUSD,C3357/TasaUSD)))</f>
        <v/>
      </c>
      <c r="V3357" s="20">
        <f>IF(I3357="","",IF(IFERROR(INDEX(ctaLiq,MATCH(E3357,ctaNom,0))="Sí",FALSE),IF(OR(I3357="Gasto",I3357="Transferencia",I3357="Pago tarjeta"),-1,1)*O3357,0)+IF(AND(U3357&lt;&gt;"",IFERROR(INDEX(ctaLiq,MATCH(G3357,ctaNom,0))="Sí",FALSE)),O3357,0))</f>
        <v/>
      </c>
      <c r="W3357" s="19">
        <f>IF(OR(F3357="",I3357=""),"",IF(COUNTIFS(F$6:F3357,F3357,I$6:I3357,"?*")=1,MAX(W$5:W3356)+1,""))</f>
        <v/>
      </c>
    </row>
    <row r="3358">
      <c r="B3358" s="15" t="n"/>
      <c r="C3358" s="16" t="n"/>
      <c r="D3358" s="17" t="n"/>
      <c r="E3358" s="17" t="n"/>
      <c r="F3358" s="17" t="n"/>
      <c r="G3358" s="17" t="n"/>
      <c r="H3358" s="18">
        <f>IF(AND(B3358="",C3358="",D3358="",E3358=""),"",IF(B3358="","⚠ Falta fecha",IF(C3358="","⚠ Falta monto",IF(D3358="","⚠ Falta categoría",IF(ISNA(MATCH(D3358,catNom,0)),"⚠ Categoría no existe",IF(E3358="","⚠ Falta cuenta",IF(ISNA(MATCH(E3358,ctaNom,0)),"⚠ Cuenta no existe",IF(AND(OR(I3358="Transferencia",I3358="Pago tarjeta"),G3358=""),"⚠ Indica la cuenta «Hacia»",IF(AND(G3358&lt;&gt;"",G3358=E3358),"⚠ «Hacia» igual a la cuenta",IF(AND(G3358&lt;&gt;"",ISNA(MATCH(G3358,ctaNom,0))),"⚠ «Hacia» no existe",IF(AND(I3358="Pago tarjeta",IFERROR(INDEX(ctaTipo,MATCH(G3358,ctaNom,0)),"")&lt;&gt;"Tarjeta de crédito"),"⚠ «Hacia» debe ser la tarjeta",IF(AND(I3358="Trading",IFERROR(INDEX(ctaTipo,MATCH(E3358,ctaNom,0)),"")&lt;&gt;"Cuenta de trading"),"⚠ Usa la cuenta de trading","✓"))))))))))))</f>
        <v/>
      </c>
      <c r="I3358" s="19">
        <f>IF(OR(B3358="",C3358="",D3358=""),"",IFERROR(INDEX(catTipo,MATCH(D3358,catNom,0))&amp;"",""))</f>
        <v/>
      </c>
      <c r="J3358" s="19">
        <f>IF(I3358="","",IFERROR(INDEX(catGrupo,MATCH(D3358,catNom,0))&amp;"",""))</f>
        <v/>
      </c>
      <c r="K3358" s="19">
        <f>IF(I3358="Gasto",IF(IFERROR(INDEX(catClas,MATCH(D3358,catNom,0))&amp;"","")="","Variable",IFERROR(INDEX(catClas,MATCH(D3358,catNom,0))&amp;"","")),"")</f>
        <v/>
      </c>
      <c r="L3358" s="19">
        <f>IF(I3358="","",IFERROR(INDEX(catAlim,MATCH(D3358,catNom,0))&amp;"",""))</f>
        <v/>
      </c>
      <c r="M3358" s="19">
        <f>IF(I3358="","",IFERROR(INDEX(catComida,MATCH(D3358,catNom,0))&amp;"",""))</f>
        <v/>
      </c>
      <c r="N3358" s="19">
        <f>IF(I3358="","",IFERROR(INDEX(ctaMon,MATCH(E3358,ctaNom,0))&amp;"","DOP"))</f>
        <v/>
      </c>
      <c r="O3358" s="20">
        <f>IF(I3358="","",C3358*IF(N3358="USD",TasaUSD,1))</f>
        <v/>
      </c>
      <c r="P3358" s="20">
        <f>IF(I3358="","",IF(I3358="Gasto",O3358,0))</f>
        <v/>
      </c>
      <c r="Q3358" s="20">
        <f>IF(I3358="","",IF(I3358="Ingreso",O3358,0))</f>
        <v/>
      </c>
      <c r="R3358" s="20">
        <f>IF(I3358="","",IF(I3358="Trading",O3358,0))</f>
        <v/>
      </c>
      <c r="S3358" s="19">
        <f>IF(I3358="","",IF(AND(I3358="Gasto",K3358="Variable",J3358&lt;&gt;"Trading",O3358&gt;0,O3358&lt;=Umbral),1,0))</f>
        <v/>
      </c>
      <c r="T3358" s="20">
        <f>IF(OR(I3358="",E3358=""),"",IF(OR(I3358="Gasto",I3358="Transferencia",I3358="Pago tarjeta"),-1,1)*C3358)</f>
        <v/>
      </c>
      <c r="U3358" s="20">
        <f>IF(OR(G3358="",AND(I3358&lt;&gt;"Transferencia",I3358&lt;&gt;"Pago tarjeta")),"",IF(IFERROR(INDEX(ctaMon,MATCH(G3358,ctaNom,0))&amp;"","DOP")=N3358,C3358,IF(N3358="USD",C3358*TasaUSD,C3358/TasaUSD)))</f>
        <v/>
      </c>
      <c r="V3358" s="20">
        <f>IF(I3358="","",IF(IFERROR(INDEX(ctaLiq,MATCH(E3358,ctaNom,0))="Sí",FALSE),IF(OR(I3358="Gasto",I3358="Transferencia",I3358="Pago tarjeta"),-1,1)*O3358,0)+IF(AND(U3358&lt;&gt;"",IFERROR(INDEX(ctaLiq,MATCH(G3358,ctaNom,0))="Sí",FALSE)),O3358,0))</f>
        <v/>
      </c>
      <c r="W3358" s="19">
        <f>IF(OR(F3358="",I3358=""),"",IF(COUNTIFS(F$6:F3358,F3358,I$6:I3358,"?*")=1,MAX(W$5:W3357)+1,""))</f>
        <v/>
      </c>
    </row>
    <row r="3359">
      <c r="B3359" s="15" t="n"/>
      <c r="C3359" s="16" t="n"/>
      <c r="D3359" s="17" t="n"/>
      <c r="E3359" s="17" t="n"/>
      <c r="F3359" s="17" t="n"/>
      <c r="G3359" s="17" t="n"/>
      <c r="H3359" s="18">
        <f>IF(AND(B3359="",C3359="",D3359="",E3359=""),"",IF(B3359="","⚠ Falta fecha",IF(C3359="","⚠ Falta monto",IF(D3359="","⚠ Falta categoría",IF(ISNA(MATCH(D3359,catNom,0)),"⚠ Categoría no existe",IF(E3359="","⚠ Falta cuenta",IF(ISNA(MATCH(E3359,ctaNom,0)),"⚠ Cuenta no existe",IF(AND(OR(I3359="Transferencia",I3359="Pago tarjeta"),G3359=""),"⚠ Indica la cuenta «Hacia»",IF(AND(G3359&lt;&gt;"",G3359=E3359),"⚠ «Hacia» igual a la cuenta",IF(AND(G3359&lt;&gt;"",ISNA(MATCH(G3359,ctaNom,0))),"⚠ «Hacia» no existe",IF(AND(I3359="Pago tarjeta",IFERROR(INDEX(ctaTipo,MATCH(G3359,ctaNom,0)),"")&lt;&gt;"Tarjeta de crédito"),"⚠ «Hacia» debe ser la tarjeta",IF(AND(I3359="Trading",IFERROR(INDEX(ctaTipo,MATCH(E3359,ctaNom,0)),"")&lt;&gt;"Cuenta de trading"),"⚠ Usa la cuenta de trading","✓"))))))))))))</f>
        <v/>
      </c>
      <c r="I3359" s="19">
        <f>IF(OR(B3359="",C3359="",D3359=""),"",IFERROR(INDEX(catTipo,MATCH(D3359,catNom,0))&amp;"",""))</f>
        <v/>
      </c>
      <c r="J3359" s="19">
        <f>IF(I3359="","",IFERROR(INDEX(catGrupo,MATCH(D3359,catNom,0))&amp;"",""))</f>
        <v/>
      </c>
      <c r="K3359" s="19">
        <f>IF(I3359="Gasto",IF(IFERROR(INDEX(catClas,MATCH(D3359,catNom,0))&amp;"","")="","Variable",IFERROR(INDEX(catClas,MATCH(D3359,catNom,0))&amp;"","")),"")</f>
        <v/>
      </c>
      <c r="L3359" s="19">
        <f>IF(I3359="","",IFERROR(INDEX(catAlim,MATCH(D3359,catNom,0))&amp;"",""))</f>
        <v/>
      </c>
      <c r="M3359" s="19">
        <f>IF(I3359="","",IFERROR(INDEX(catComida,MATCH(D3359,catNom,0))&amp;"",""))</f>
        <v/>
      </c>
      <c r="N3359" s="19">
        <f>IF(I3359="","",IFERROR(INDEX(ctaMon,MATCH(E3359,ctaNom,0))&amp;"","DOP"))</f>
        <v/>
      </c>
      <c r="O3359" s="20">
        <f>IF(I3359="","",C3359*IF(N3359="USD",TasaUSD,1))</f>
        <v/>
      </c>
      <c r="P3359" s="20">
        <f>IF(I3359="","",IF(I3359="Gasto",O3359,0))</f>
        <v/>
      </c>
      <c r="Q3359" s="20">
        <f>IF(I3359="","",IF(I3359="Ingreso",O3359,0))</f>
        <v/>
      </c>
      <c r="R3359" s="20">
        <f>IF(I3359="","",IF(I3359="Trading",O3359,0))</f>
        <v/>
      </c>
      <c r="S3359" s="19">
        <f>IF(I3359="","",IF(AND(I3359="Gasto",K3359="Variable",J3359&lt;&gt;"Trading",O3359&gt;0,O3359&lt;=Umbral),1,0))</f>
        <v/>
      </c>
      <c r="T3359" s="20">
        <f>IF(OR(I3359="",E3359=""),"",IF(OR(I3359="Gasto",I3359="Transferencia",I3359="Pago tarjeta"),-1,1)*C3359)</f>
        <v/>
      </c>
      <c r="U3359" s="20">
        <f>IF(OR(G3359="",AND(I3359&lt;&gt;"Transferencia",I3359&lt;&gt;"Pago tarjeta")),"",IF(IFERROR(INDEX(ctaMon,MATCH(G3359,ctaNom,0))&amp;"","DOP")=N3359,C3359,IF(N3359="USD",C3359*TasaUSD,C3359/TasaUSD)))</f>
        <v/>
      </c>
      <c r="V3359" s="20">
        <f>IF(I3359="","",IF(IFERROR(INDEX(ctaLiq,MATCH(E3359,ctaNom,0))="Sí",FALSE),IF(OR(I3359="Gasto",I3359="Transferencia",I3359="Pago tarjeta"),-1,1)*O3359,0)+IF(AND(U3359&lt;&gt;"",IFERROR(INDEX(ctaLiq,MATCH(G3359,ctaNom,0))="Sí",FALSE)),O3359,0))</f>
        <v/>
      </c>
      <c r="W3359" s="19">
        <f>IF(OR(F3359="",I3359=""),"",IF(COUNTIFS(F$6:F3359,F3359,I$6:I3359,"?*")=1,MAX(W$5:W3358)+1,""))</f>
        <v/>
      </c>
    </row>
    <row r="3360">
      <c r="B3360" s="15" t="n"/>
      <c r="C3360" s="16" t="n"/>
      <c r="D3360" s="17" t="n"/>
      <c r="E3360" s="17" t="n"/>
      <c r="F3360" s="17" t="n"/>
      <c r="G3360" s="17" t="n"/>
      <c r="H3360" s="18">
        <f>IF(AND(B3360="",C3360="",D3360="",E3360=""),"",IF(B3360="","⚠ Falta fecha",IF(C3360="","⚠ Falta monto",IF(D3360="","⚠ Falta categoría",IF(ISNA(MATCH(D3360,catNom,0)),"⚠ Categoría no existe",IF(E3360="","⚠ Falta cuenta",IF(ISNA(MATCH(E3360,ctaNom,0)),"⚠ Cuenta no existe",IF(AND(OR(I3360="Transferencia",I3360="Pago tarjeta"),G3360=""),"⚠ Indica la cuenta «Hacia»",IF(AND(G3360&lt;&gt;"",G3360=E3360),"⚠ «Hacia» igual a la cuenta",IF(AND(G3360&lt;&gt;"",ISNA(MATCH(G3360,ctaNom,0))),"⚠ «Hacia» no existe",IF(AND(I3360="Pago tarjeta",IFERROR(INDEX(ctaTipo,MATCH(G3360,ctaNom,0)),"")&lt;&gt;"Tarjeta de crédito"),"⚠ «Hacia» debe ser la tarjeta",IF(AND(I3360="Trading",IFERROR(INDEX(ctaTipo,MATCH(E3360,ctaNom,0)),"")&lt;&gt;"Cuenta de trading"),"⚠ Usa la cuenta de trading","✓"))))))))))))</f>
        <v/>
      </c>
      <c r="I3360" s="19">
        <f>IF(OR(B3360="",C3360="",D3360=""),"",IFERROR(INDEX(catTipo,MATCH(D3360,catNom,0))&amp;"",""))</f>
        <v/>
      </c>
      <c r="J3360" s="19">
        <f>IF(I3360="","",IFERROR(INDEX(catGrupo,MATCH(D3360,catNom,0))&amp;"",""))</f>
        <v/>
      </c>
      <c r="K3360" s="19">
        <f>IF(I3360="Gasto",IF(IFERROR(INDEX(catClas,MATCH(D3360,catNom,0))&amp;"","")="","Variable",IFERROR(INDEX(catClas,MATCH(D3360,catNom,0))&amp;"","")),"")</f>
        <v/>
      </c>
      <c r="L3360" s="19">
        <f>IF(I3360="","",IFERROR(INDEX(catAlim,MATCH(D3360,catNom,0))&amp;"",""))</f>
        <v/>
      </c>
      <c r="M3360" s="19">
        <f>IF(I3360="","",IFERROR(INDEX(catComida,MATCH(D3360,catNom,0))&amp;"",""))</f>
        <v/>
      </c>
      <c r="N3360" s="19">
        <f>IF(I3360="","",IFERROR(INDEX(ctaMon,MATCH(E3360,ctaNom,0))&amp;"","DOP"))</f>
        <v/>
      </c>
      <c r="O3360" s="20">
        <f>IF(I3360="","",C3360*IF(N3360="USD",TasaUSD,1))</f>
        <v/>
      </c>
      <c r="P3360" s="20">
        <f>IF(I3360="","",IF(I3360="Gasto",O3360,0))</f>
        <v/>
      </c>
      <c r="Q3360" s="20">
        <f>IF(I3360="","",IF(I3360="Ingreso",O3360,0))</f>
        <v/>
      </c>
      <c r="R3360" s="20">
        <f>IF(I3360="","",IF(I3360="Trading",O3360,0))</f>
        <v/>
      </c>
      <c r="S3360" s="19">
        <f>IF(I3360="","",IF(AND(I3360="Gasto",K3360="Variable",J3360&lt;&gt;"Trading",O3360&gt;0,O3360&lt;=Umbral),1,0))</f>
        <v/>
      </c>
      <c r="T3360" s="20">
        <f>IF(OR(I3360="",E3360=""),"",IF(OR(I3360="Gasto",I3360="Transferencia",I3360="Pago tarjeta"),-1,1)*C3360)</f>
        <v/>
      </c>
      <c r="U3360" s="20">
        <f>IF(OR(G3360="",AND(I3360&lt;&gt;"Transferencia",I3360&lt;&gt;"Pago tarjeta")),"",IF(IFERROR(INDEX(ctaMon,MATCH(G3360,ctaNom,0))&amp;"","DOP")=N3360,C3360,IF(N3360="USD",C3360*TasaUSD,C3360/TasaUSD)))</f>
        <v/>
      </c>
      <c r="V3360" s="20">
        <f>IF(I3360="","",IF(IFERROR(INDEX(ctaLiq,MATCH(E3360,ctaNom,0))="Sí",FALSE),IF(OR(I3360="Gasto",I3360="Transferencia",I3360="Pago tarjeta"),-1,1)*O3360,0)+IF(AND(U3360&lt;&gt;"",IFERROR(INDEX(ctaLiq,MATCH(G3360,ctaNom,0))="Sí",FALSE)),O3360,0))</f>
        <v/>
      </c>
      <c r="W3360" s="19">
        <f>IF(OR(F3360="",I3360=""),"",IF(COUNTIFS(F$6:F3360,F3360,I$6:I3360,"?*")=1,MAX(W$5:W3359)+1,""))</f>
        <v/>
      </c>
    </row>
    <row r="3361">
      <c r="B3361" s="15" t="n"/>
      <c r="C3361" s="16" t="n"/>
      <c r="D3361" s="17" t="n"/>
      <c r="E3361" s="17" t="n"/>
      <c r="F3361" s="17" t="n"/>
      <c r="G3361" s="17" t="n"/>
      <c r="H3361" s="18">
        <f>IF(AND(B3361="",C3361="",D3361="",E3361=""),"",IF(B3361="","⚠ Falta fecha",IF(C3361="","⚠ Falta monto",IF(D3361="","⚠ Falta categoría",IF(ISNA(MATCH(D3361,catNom,0)),"⚠ Categoría no existe",IF(E3361="","⚠ Falta cuenta",IF(ISNA(MATCH(E3361,ctaNom,0)),"⚠ Cuenta no existe",IF(AND(OR(I3361="Transferencia",I3361="Pago tarjeta"),G3361=""),"⚠ Indica la cuenta «Hacia»",IF(AND(G3361&lt;&gt;"",G3361=E3361),"⚠ «Hacia» igual a la cuenta",IF(AND(G3361&lt;&gt;"",ISNA(MATCH(G3361,ctaNom,0))),"⚠ «Hacia» no existe",IF(AND(I3361="Pago tarjeta",IFERROR(INDEX(ctaTipo,MATCH(G3361,ctaNom,0)),"")&lt;&gt;"Tarjeta de crédito"),"⚠ «Hacia» debe ser la tarjeta",IF(AND(I3361="Trading",IFERROR(INDEX(ctaTipo,MATCH(E3361,ctaNom,0)),"")&lt;&gt;"Cuenta de trading"),"⚠ Usa la cuenta de trading","✓"))))))))))))</f>
        <v/>
      </c>
      <c r="I3361" s="19">
        <f>IF(OR(B3361="",C3361="",D3361=""),"",IFERROR(INDEX(catTipo,MATCH(D3361,catNom,0))&amp;"",""))</f>
        <v/>
      </c>
      <c r="J3361" s="19">
        <f>IF(I3361="","",IFERROR(INDEX(catGrupo,MATCH(D3361,catNom,0))&amp;"",""))</f>
        <v/>
      </c>
      <c r="K3361" s="19">
        <f>IF(I3361="Gasto",IF(IFERROR(INDEX(catClas,MATCH(D3361,catNom,0))&amp;"","")="","Variable",IFERROR(INDEX(catClas,MATCH(D3361,catNom,0))&amp;"","")),"")</f>
        <v/>
      </c>
      <c r="L3361" s="19">
        <f>IF(I3361="","",IFERROR(INDEX(catAlim,MATCH(D3361,catNom,0))&amp;"",""))</f>
        <v/>
      </c>
      <c r="M3361" s="19">
        <f>IF(I3361="","",IFERROR(INDEX(catComida,MATCH(D3361,catNom,0))&amp;"",""))</f>
        <v/>
      </c>
      <c r="N3361" s="19">
        <f>IF(I3361="","",IFERROR(INDEX(ctaMon,MATCH(E3361,ctaNom,0))&amp;"","DOP"))</f>
        <v/>
      </c>
      <c r="O3361" s="20">
        <f>IF(I3361="","",C3361*IF(N3361="USD",TasaUSD,1))</f>
        <v/>
      </c>
      <c r="P3361" s="20">
        <f>IF(I3361="","",IF(I3361="Gasto",O3361,0))</f>
        <v/>
      </c>
      <c r="Q3361" s="20">
        <f>IF(I3361="","",IF(I3361="Ingreso",O3361,0))</f>
        <v/>
      </c>
      <c r="R3361" s="20">
        <f>IF(I3361="","",IF(I3361="Trading",O3361,0))</f>
        <v/>
      </c>
      <c r="S3361" s="19">
        <f>IF(I3361="","",IF(AND(I3361="Gasto",K3361="Variable",J3361&lt;&gt;"Trading",O3361&gt;0,O3361&lt;=Umbral),1,0))</f>
        <v/>
      </c>
      <c r="T3361" s="20">
        <f>IF(OR(I3361="",E3361=""),"",IF(OR(I3361="Gasto",I3361="Transferencia",I3361="Pago tarjeta"),-1,1)*C3361)</f>
        <v/>
      </c>
      <c r="U3361" s="20">
        <f>IF(OR(G3361="",AND(I3361&lt;&gt;"Transferencia",I3361&lt;&gt;"Pago tarjeta")),"",IF(IFERROR(INDEX(ctaMon,MATCH(G3361,ctaNom,0))&amp;"","DOP")=N3361,C3361,IF(N3361="USD",C3361*TasaUSD,C3361/TasaUSD)))</f>
        <v/>
      </c>
      <c r="V3361" s="20">
        <f>IF(I3361="","",IF(IFERROR(INDEX(ctaLiq,MATCH(E3361,ctaNom,0))="Sí",FALSE),IF(OR(I3361="Gasto",I3361="Transferencia",I3361="Pago tarjeta"),-1,1)*O3361,0)+IF(AND(U3361&lt;&gt;"",IFERROR(INDEX(ctaLiq,MATCH(G3361,ctaNom,0))="Sí",FALSE)),O3361,0))</f>
        <v/>
      </c>
      <c r="W3361" s="19">
        <f>IF(OR(F3361="",I3361=""),"",IF(COUNTIFS(F$6:F3361,F3361,I$6:I3361,"?*")=1,MAX(W$5:W3360)+1,""))</f>
        <v/>
      </c>
    </row>
    <row r="3362">
      <c r="B3362" s="15" t="n"/>
      <c r="C3362" s="16" t="n"/>
      <c r="D3362" s="17" t="n"/>
      <c r="E3362" s="17" t="n"/>
      <c r="F3362" s="17" t="n"/>
      <c r="G3362" s="17" t="n"/>
      <c r="H3362" s="18">
        <f>IF(AND(B3362="",C3362="",D3362="",E3362=""),"",IF(B3362="","⚠ Falta fecha",IF(C3362="","⚠ Falta monto",IF(D3362="","⚠ Falta categoría",IF(ISNA(MATCH(D3362,catNom,0)),"⚠ Categoría no existe",IF(E3362="","⚠ Falta cuenta",IF(ISNA(MATCH(E3362,ctaNom,0)),"⚠ Cuenta no existe",IF(AND(OR(I3362="Transferencia",I3362="Pago tarjeta"),G3362=""),"⚠ Indica la cuenta «Hacia»",IF(AND(G3362&lt;&gt;"",G3362=E3362),"⚠ «Hacia» igual a la cuenta",IF(AND(G3362&lt;&gt;"",ISNA(MATCH(G3362,ctaNom,0))),"⚠ «Hacia» no existe",IF(AND(I3362="Pago tarjeta",IFERROR(INDEX(ctaTipo,MATCH(G3362,ctaNom,0)),"")&lt;&gt;"Tarjeta de crédito"),"⚠ «Hacia» debe ser la tarjeta",IF(AND(I3362="Trading",IFERROR(INDEX(ctaTipo,MATCH(E3362,ctaNom,0)),"")&lt;&gt;"Cuenta de trading"),"⚠ Usa la cuenta de trading","✓"))))))))))))</f>
        <v/>
      </c>
      <c r="I3362" s="19">
        <f>IF(OR(B3362="",C3362="",D3362=""),"",IFERROR(INDEX(catTipo,MATCH(D3362,catNom,0))&amp;"",""))</f>
        <v/>
      </c>
      <c r="J3362" s="19">
        <f>IF(I3362="","",IFERROR(INDEX(catGrupo,MATCH(D3362,catNom,0))&amp;"",""))</f>
        <v/>
      </c>
      <c r="K3362" s="19">
        <f>IF(I3362="Gasto",IF(IFERROR(INDEX(catClas,MATCH(D3362,catNom,0))&amp;"","")="","Variable",IFERROR(INDEX(catClas,MATCH(D3362,catNom,0))&amp;"","")),"")</f>
        <v/>
      </c>
      <c r="L3362" s="19">
        <f>IF(I3362="","",IFERROR(INDEX(catAlim,MATCH(D3362,catNom,0))&amp;"",""))</f>
        <v/>
      </c>
      <c r="M3362" s="19">
        <f>IF(I3362="","",IFERROR(INDEX(catComida,MATCH(D3362,catNom,0))&amp;"",""))</f>
        <v/>
      </c>
      <c r="N3362" s="19">
        <f>IF(I3362="","",IFERROR(INDEX(ctaMon,MATCH(E3362,ctaNom,0))&amp;"","DOP"))</f>
        <v/>
      </c>
      <c r="O3362" s="20">
        <f>IF(I3362="","",C3362*IF(N3362="USD",TasaUSD,1))</f>
        <v/>
      </c>
      <c r="P3362" s="20">
        <f>IF(I3362="","",IF(I3362="Gasto",O3362,0))</f>
        <v/>
      </c>
      <c r="Q3362" s="20">
        <f>IF(I3362="","",IF(I3362="Ingreso",O3362,0))</f>
        <v/>
      </c>
      <c r="R3362" s="20">
        <f>IF(I3362="","",IF(I3362="Trading",O3362,0))</f>
        <v/>
      </c>
      <c r="S3362" s="19">
        <f>IF(I3362="","",IF(AND(I3362="Gasto",K3362="Variable",J3362&lt;&gt;"Trading",O3362&gt;0,O3362&lt;=Umbral),1,0))</f>
        <v/>
      </c>
      <c r="T3362" s="20">
        <f>IF(OR(I3362="",E3362=""),"",IF(OR(I3362="Gasto",I3362="Transferencia",I3362="Pago tarjeta"),-1,1)*C3362)</f>
        <v/>
      </c>
      <c r="U3362" s="20">
        <f>IF(OR(G3362="",AND(I3362&lt;&gt;"Transferencia",I3362&lt;&gt;"Pago tarjeta")),"",IF(IFERROR(INDEX(ctaMon,MATCH(G3362,ctaNom,0))&amp;"","DOP")=N3362,C3362,IF(N3362="USD",C3362*TasaUSD,C3362/TasaUSD)))</f>
        <v/>
      </c>
      <c r="V3362" s="20">
        <f>IF(I3362="","",IF(IFERROR(INDEX(ctaLiq,MATCH(E3362,ctaNom,0))="Sí",FALSE),IF(OR(I3362="Gasto",I3362="Transferencia",I3362="Pago tarjeta"),-1,1)*O3362,0)+IF(AND(U3362&lt;&gt;"",IFERROR(INDEX(ctaLiq,MATCH(G3362,ctaNom,0))="Sí",FALSE)),O3362,0))</f>
        <v/>
      </c>
      <c r="W3362" s="19">
        <f>IF(OR(F3362="",I3362=""),"",IF(COUNTIFS(F$6:F3362,F3362,I$6:I3362,"?*")=1,MAX(W$5:W3361)+1,""))</f>
        <v/>
      </c>
    </row>
    <row r="3363">
      <c r="B3363" s="15" t="n"/>
      <c r="C3363" s="16" t="n"/>
      <c r="D3363" s="17" t="n"/>
      <c r="E3363" s="17" t="n"/>
      <c r="F3363" s="17" t="n"/>
      <c r="G3363" s="17" t="n"/>
      <c r="H3363" s="18">
        <f>IF(AND(B3363="",C3363="",D3363="",E3363=""),"",IF(B3363="","⚠ Falta fecha",IF(C3363="","⚠ Falta monto",IF(D3363="","⚠ Falta categoría",IF(ISNA(MATCH(D3363,catNom,0)),"⚠ Categoría no existe",IF(E3363="","⚠ Falta cuenta",IF(ISNA(MATCH(E3363,ctaNom,0)),"⚠ Cuenta no existe",IF(AND(OR(I3363="Transferencia",I3363="Pago tarjeta"),G3363=""),"⚠ Indica la cuenta «Hacia»",IF(AND(G3363&lt;&gt;"",G3363=E3363),"⚠ «Hacia» igual a la cuenta",IF(AND(G3363&lt;&gt;"",ISNA(MATCH(G3363,ctaNom,0))),"⚠ «Hacia» no existe",IF(AND(I3363="Pago tarjeta",IFERROR(INDEX(ctaTipo,MATCH(G3363,ctaNom,0)),"")&lt;&gt;"Tarjeta de crédito"),"⚠ «Hacia» debe ser la tarjeta",IF(AND(I3363="Trading",IFERROR(INDEX(ctaTipo,MATCH(E3363,ctaNom,0)),"")&lt;&gt;"Cuenta de trading"),"⚠ Usa la cuenta de trading","✓"))))))))))))</f>
        <v/>
      </c>
      <c r="I3363" s="19">
        <f>IF(OR(B3363="",C3363="",D3363=""),"",IFERROR(INDEX(catTipo,MATCH(D3363,catNom,0))&amp;"",""))</f>
        <v/>
      </c>
      <c r="J3363" s="19">
        <f>IF(I3363="","",IFERROR(INDEX(catGrupo,MATCH(D3363,catNom,0))&amp;"",""))</f>
        <v/>
      </c>
      <c r="K3363" s="19">
        <f>IF(I3363="Gasto",IF(IFERROR(INDEX(catClas,MATCH(D3363,catNom,0))&amp;"","")="","Variable",IFERROR(INDEX(catClas,MATCH(D3363,catNom,0))&amp;"","")),"")</f>
        <v/>
      </c>
      <c r="L3363" s="19">
        <f>IF(I3363="","",IFERROR(INDEX(catAlim,MATCH(D3363,catNom,0))&amp;"",""))</f>
        <v/>
      </c>
      <c r="M3363" s="19">
        <f>IF(I3363="","",IFERROR(INDEX(catComida,MATCH(D3363,catNom,0))&amp;"",""))</f>
        <v/>
      </c>
      <c r="N3363" s="19">
        <f>IF(I3363="","",IFERROR(INDEX(ctaMon,MATCH(E3363,ctaNom,0))&amp;"","DOP"))</f>
        <v/>
      </c>
      <c r="O3363" s="20">
        <f>IF(I3363="","",C3363*IF(N3363="USD",TasaUSD,1))</f>
        <v/>
      </c>
      <c r="P3363" s="20">
        <f>IF(I3363="","",IF(I3363="Gasto",O3363,0))</f>
        <v/>
      </c>
      <c r="Q3363" s="20">
        <f>IF(I3363="","",IF(I3363="Ingreso",O3363,0))</f>
        <v/>
      </c>
      <c r="R3363" s="20">
        <f>IF(I3363="","",IF(I3363="Trading",O3363,0))</f>
        <v/>
      </c>
      <c r="S3363" s="19">
        <f>IF(I3363="","",IF(AND(I3363="Gasto",K3363="Variable",J3363&lt;&gt;"Trading",O3363&gt;0,O3363&lt;=Umbral),1,0))</f>
        <v/>
      </c>
      <c r="T3363" s="20">
        <f>IF(OR(I3363="",E3363=""),"",IF(OR(I3363="Gasto",I3363="Transferencia",I3363="Pago tarjeta"),-1,1)*C3363)</f>
        <v/>
      </c>
      <c r="U3363" s="20">
        <f>IF(OR(G3363="",AND(I3363&lt;&gt;"Transferencia",I3363&lt;&gt;"Pago tarjeta")),"",IF(IFERROR(INDEX(ctaMon,MATCH(G3363,ctaNom,0))&amp;"","DOP")=N3363,C3363,IF(N3363="USD",C3363*TasaUSD,C3363/TasaUSD)))</f>
        <v/>
      </c>
      <c r="V3363" s="20">
        <f>IF(I3363="","",IF(IFERROR(INDEX(ctaLiq,MATCH(E3363,ctaNom,0))="Sí",FALSE),IF(OR(I3363="Gasto",I3363="Transferencia",I3363="Pago tarjeta"),-1,1)*O3363,0)+IF(AND(U3363&lt;&gt;"",IFERROR(INDEX(ctaLiq,MATCH(G3363,ctaNom,0))="Sí",FALSE)),O3363,0))</f>
        <v/>
      </c>
      <c r="W3363" s="19">
        <f>IF(OR(F3363="",I3363=""),"",IF(COUNTIFS(F$6:F3363,F3363,I$6:I3363,"?*")=1,MAX(W$5:W3362)+1,""))</f>
        <v/>
      </c>
    </row>
    <row r="3364">
      <c r="B3364" s="15" t="n"/>
      <c r="C3364" s="16" t="n"/>
      <c r="D3364" s="17" t="n"/>
      <c r="E3364" s="17" t="n"/>
      <c r="F3364" s="17" t="n"/>
      <c r="G3364" s="17" t="n"/>
      <c r="H3364" s="18">
        <f>IF(AND(B3364="",C3364="",D3364="",E3364=""),"",IF(B3364="","⚠ Falta fecha",IF(C3364="","⚠ Falta monto",IF(D3364="","⚠ Falta categoría",IF(ISNA(MATCH(D3364,catNom,0)),"⚠ Categoría no existe",IF(E3364="","⚠ Falta cuenta",IF(ISNA(MATCH(E3364,ctaNom,0)),"⚠ Cuenta no existe",IF(AND(OR(I3364="Transferencia",I3364="Pago tarjeta"),G3364=""),"⚠ Indica la cuenta «Hacia»",IF(AND(G3364&lt;&gt;"",G3364=E3364),"⚠ «Hacia» igual a la cuenta",IF(AND(G3364&lt;&gt;"",ISNA(MATCH(G3364,ctaNom,0))),"⚠ «Hacia» no existe",IF(AND(I3364="Pago tarjeta",IFERROR(INDEX(ctaTipo,MATCH(G3364,ctaNom,0)),"")&lt;&gt;"Tarjeta de crédito"),"⚠ «Hacia» debe ser la tarjeta",IF(AND(I3364="Trading",IFERROR(INDEX(ctaTipo,MATCH(E3364,ctaNom,0)),"")&lt;&gt;"Cuenta de trading"),"⚠ Usa la cuenta de trading","✓"))))))))))))</f>
        <v/>
      </c>
      <c r="I3364" s="19">
        <f>IF(OR(B3364="",C3364="",D3364=""),"",IFERROR(INDEX(catTipo,MATCH(D3364,catNom,0))&amp;"",""))</f>
        <v/>
      </c>
      <c r="J3364" s="19">
        <f>IF(I3364="","",IFERROR(INDEX(catGrupo,MATCH(D3364,catNom,0))&amp;"",""))</f>
        <v/>
      </c>
      <c r="K3364" s="19">
        <f>IF(I3364="Gasto",IF(IFERROR(INDEX(catClas,MATCH(D3364,catNom,0))&amp;"","")="","Variable",IFERROR(INDEX(catClas,MATCH(D3364,catNom,0))&amp;"","")),"")</f>
        <v/>
      </c>
      <c r="L3364" s="19">
        <f>IF(I3364="","",IFERROR(INDEX(catAlim,MATCH(D3364,catNom,0))&amp;"",""))</f>
        <v/>
      </c>
      <c r="M3364" s="19">
        <f>IF(I3364="","",IFERROR(INDEX(catComida,MATCH(D3364,catNom,0))&amp;"",""))</f>
        <v/>
      </c>
      <c r="N3364" s="19">
        <f>IF(I3364="","",IFERROR(INDEX(ctaMon,MATCH(E3364,ctaNom,0))&amp;"","DOP"))</f>
        <v/>
      </c>
      <c r="O3364" s="20">
        <f>IF(I3364="","",C3364*IF(N3364="USD",TasaUSD,1))</f>
        <v/>
      </c>
      <c r="P3364" s="20">
        <f>IF(I3364="","",IF(I3364="Gasto",O3364,0))</f>
        <v/>
      </c>
      <c r="Q3364" s="20">
        <f>IF(I3364="","",IF(I3364="Ingreso",O3364,0))</f>
        <v/>
      </c>
      <c r="R3364" s="20">
        <f>IF(I3364="","",IF(I3364="Trading",O3364,0))</f>
        <v/>
      </c>
      <c r="S3364" s="19">
        <f>IF(I3364="","",IF(AND(I3364="Gasto",K3364="Variable",J3364&lt;&gt;"Trading",O3364&gt;0,O3364&lt;=Umbral),1,0))</f>
        <v/>
      </c>
      <c r="T3364" s="20">
        <f>IF(OR(I3364="",E3364=""),"",IF(OR(I3364="Gasto",I3364="Transferencia",I3364="Pago tarjeta"),-1,1)*C3364)</f>
        <v/>
      </c>
      <c r="U3364" s="20">
        <f>IF(OR(G3364="",AND(I3364&lt;&gt;"Transferencia",I3364&lt;&gt;"Pago tarjeta")),"",IF(IFERROR(INDEX(ctaMon,MATCH(G3364,ctaNom,0))&amp;"","DOP")=N3364,C3364,IF(N3364="USD",C3364*TasaUSD,C3364/TasaUSD)))</f>
        <v/>
      </c>
      <c r="V3364" s="20">
        <f>IF(I3364="","",IF(IFERROR(INDEX(ctaLiq,MATCH(E3364,ctaNom,0))="Sí",FALSE),IF(OR(I3364="Gasto",I3364="Transferencia",I3364="Pago tarjeta"),-1,1)*O3364,0)+IF(AND(U3364&lt;&gt;"",IFERROR(INDEX(ctaLiq,MATCH(G3364,ctaNom,0))="Sí",FALSE)),O3364,0))</f>
        <v/>
      </c>
      <c r="W3364" s="19">
        <f>IF(OR(F3364="",I3364=""),"",IF(COUNTIFS(F$6:F3364,F3364,I$6:I3364,"?*")=1,MAX(W$5:W3363)+1,""))</f>
        <v/>
      </c>
    </row>
    <row r="3365">
      <c r="B3365" s="15" t="n"/>
      <c r="C3365" s="16" t="n"/>
      <c r="D3365" s="17" t="n"/>
      <c r="E3365" s="17" t="n"/>
      <c r="F3365" s="17" t="n"/>
      <c r="G3365" s="17" t="n"/>
      <c r="H3365" s="18">
        <f>IF(AND(B3365="",C3365="",D3365="",E3365=""),"",IF(B3365="","⚠ Falta fecha",IF(C3365="","⚠ Falta monto",IF(D3365="","⚠ Falta categoría",IF(ISNA(MATCH(D3365,catNom,0)),"⚠ Categoría no existe",IF(E3365="","⚠ Falta cuenta",IF(ISNA(MATCH(E3365,ctaNom,0)),"⚠ Cuenta no existe",IF(AND(OR(I3365="Transferencia",I3365="Pago tarjeta"),G3365=""),"⚠ Indica la cuenta «Hacia»",IF(AND(G3365&lt;&gt;"",G3365=E3365),"⚠ «Hacia» igual a la cuenta",IF(AND(G3365&lt;&gt;"",ISNA(MATCH(G3365,ctaNom,0))),"⚠ «Hacia» no existe",IF(AND(I3365="Pago tarjeta",IFERROR(INDEX(ctaTipo,MATCH(G3365,ctaNom,0)),"")&lt;&gt;"Tarjeta de crédito"),"⚠ «Hacia» debe ser la tarjeta",IF(AND(I3365="Trading",IFERROR(INDEX(ctaTipo,MATCH(E3365,ctaNom,0)),"")&lt;&gt;"Cuenta de trading"),"⚠ Usa la cuenta de trading","✓"))))))))))))</f>
        <v/>
      </c>
      <c r="I3365" s="19">
        <f>IF(OR(B3365="",C3365="",D3365=""),"",IFERROR(INDEX(catTipo,MATCH(D3365,catNom,0))&amp;"",""))</f>
        <v/>
      </c>
      <c r="J3365" s="19">
        <f>IF(I3365="","",IFERROR(INDEX(catGrupo,MATCH(D3365,catNom,0))&amp;"",""))</f>
        <v/>
      </c>
      <c r="K3365" s="19">
        <f>IF(I3365="Gasto",IF(IFERROR(INDEX(catClas,MATCH(D3365,catNom,0))&amp;"","")="","Variable",IFERROR(INDEX(catClas,MATCH(D3365,catNom,0))&amp;"","")),"")</f>
        <v/>
      </c>
      <c r="L3365" s="19">
        <f>IF(I3365="","",IFERROR(INDEX(catAlim,MATCH(D3365,catNom,0))&amp;"",""))</f>
        <v/>
      </c>
      <c r="M3365" s="19">
        <f>IF(I3365="","",IFERROR(INDEX(catComida,MATCH(D3365,catNom,0))&amp;"",""))</f>
        <v/>
      </c>
      <c r="N3365" s="19">
        <f>IF(I3365="","",IFERROR(INDEX(ctaMon,MATCH(E3365,ctaNom,0))&amp;"","DOP"))</f>
        <v/>
      </c>
      <c r="O3365" s="20">
        <f>IF(I3365="","",C3365*IF(N3365="USD",TasaUSD,1))</f>
        <v/>
      </c>
      <c r="P3365" s="20">
        <f>IF(I3365="","",IF(I3365="Gasto",O3365,0))</f>
        <v/>
      </c>
      <c r="Q3365" s="20">
        <f>IF(I3365="","",IF(I3365="Ingreso",O3365,0))</f>
        <v/>
      </c>
      <c r="R3365" s="20">
        <f>IF(I3365="","",IF(I3365="Trading",O3365,0))</f>
        <v/>
      </c>
      <c r="S3365" s="19">
        <f>IF(I3365="","",IF(AND(I3365="Gasto",K3365="Variable",J3365&lt;&gt;"Trading",O3365&gt;0,O3365&lt;=Umbral),1,0))</f>
        <v/>
      </c>
      <c r="T3365" s="20">
        <f>IF(OR(I3365="",E3365=""),"",IF(OR(I3365="Gasto",I3365="Transferencia",I3365="Pago tarjeta"),-1,1)*C3365)</f>
        <v/>
      </c>
      <c r="U3365" s="20">
        <f>IF(OR(G3365="",AND(I3365&lt;&gt;"Transferencia",I3365&lt;&gt;"Pago tarjeta")),"",IF(IFERROR(INDEX(ctaMon,MATCH(G3365,ctaNom,0))&amp;"","DOP")=N3365,C3365,IF(N3365="USD",C3365*TasaUSD,C3365/TasaUSD)))</f>
        <v/>
      </c>
      <c r="V3365" s="20">
        <f>IF(I3365="","",IF(IFERROR(INDEX(ctaLiq,MATCH(E3365,ctaNom,0))="Sí",FALSE),IF(OR(I3365="Gasto",I3365="Transferencia",I3365="Pago tarjeta"),-1,1)*O3365,0)+IF(AND(U3365&lt;&gt;"",IFERROR(INDEX(ctaLiq,MATCH(G3365,ctaNom,0))="Sí",FALSE)),O3365,0))</f>
        <v/>
      </c>
      <c r="W3365" s="19">
        <f>IF(OR(F3365="",I3365=""),"",IF(COUNTIFS(F$6:F3365,F3365,I$6:I3365,"?*")=1,MAX(W$5:W3364)+1,""))</f>
        <v/>
      </c>
    </row>
    <row r="3366">
      <c r="B3366" s="15" t="n"/>
      <c r="C3366" s="16" t="n"/>
      <c r="D3366" s="17" t="n"/>
      <c r="E3366" s="17" t="n"/>
      <c r="F3366" s="17" t="n"/>
      <c r="G3366" s="17" t="n"/>
      <c r="H3366" s="18">
        <f>IF(AND(B3366="",C3366="",D3366="",E3366=""),"",IF(B3366="","⚠ Falta fecha",IF(C3366="","⚠ Falta monto",IF(D3366="","⚠ Falta categoría",IF(ISNA(MATCH(D3366,catNom,0)),"⚠ Categoría no existe",IF(E3366="","⚠ Falta cuenta",IF(ISNA(MATCH(E3366,ctaNom,0)),"⚠ Cuenta no existe",IF(AND(OR(I3366="Transferencia",I3366="Pago tarjeta"),G3366=""),"⚠ Indica la cuenta «Hacia»",IF(AND(G3366&lt;&gt;"",G3366=E3366),"⚠ «Hacia» igual a la cuenta",IF(AND(G3366&lt;&gt;"",ISNA(MATCH(G3366,ctaNom,0))),"⚠ «Hacia» no existe",IF(AND(I3366="Pago tarjeta",IFERROR(INDEX(ctaTipo,MATCH(G3366,ctaNom,0)),"")&lt;&gt;"Tarjeta de crédito"),"⚠ «Hacia» debe ser la tarjeta",IF(AND(I3366="Trading",IFERROR(INDEX(ctaTipo,MATCH(E3366,ctaNom,0)),"")&lt;&gt;"Cuenta de trading"),"⚠ Usa la cuenta de trading","✓"))))))))))))</f>
        <v/>
      </c>
      <c r="I3366" s="19">
        <f>IF(OR(B3366="",C3366="",D3366=""),"",IFERROR(INDEX(catTipo,MATCH(D3366,catNom,0))&amp;"",""))</f>
        <v/>
      </c>
      <c r="J3366" s="19">
        <f>IF(I3366="","",IFERROR(INDEX(catGrupo,MATCH(D3366,catNom,0))&amp;"",""))</f>
        <v/>
      </c>
      <c r="K3366" s="19">
        <f>IF(I3366="Gasto",IF(IFERROR(INDEX(catClas,MATCH(D3366,catNom,0))&amp;"","")="","Variable",IFERROR(INDEX(catClas,MATCH(D3366,catNom,0))&amp;"","")),"")</f>
        <v/>
      </c>
      <c r="L3366" s="19">
        <f>IF(I3366="","",IFERROR(INDEX(catAlim,MATCH(D3366,catNom,0))&amp;"",""))</f>
        <v/>
      </c>
      <c r="M3366" s="19">
        <f>IF(I3366="","",IFERROR(INDEX(catComida,MATCH(D3366,catNom,0))&amp;"",""))</f>
        <v/>
      </c>
      <c r="N3366" s="19">
        <f>IF(I3366="","",IFERROR(INDEX(ctaMon,MATCH(E3366,ctaNom,0))&amp;"","DOP"))</f>
        <v/>
      </c>
      <c r="O3366" s="20">
        <f>IF(I3366="","",C3366*IF(N3366="USD",TasaUSD,1))</f>
        <v/>
      </c>
      <c r="P3366" s="20">
        <f>IF(I3366="","",IF(I3366="Gasto",O3366,0))</f>
        <v/>
      </c>
      <c r="Q3366" s="20">
        <f>IF(I3366="","",IF(I3366="Ingreso",O3366,0))</f>
        <v/>
      </c>
      <c r="R3366" s="20">
        <f>IF(I3366="","",IF(I3366="Trading",O3366,0))</f>
        <v/>
      </c>
      <c r="S3366" s="19">
        <f>IF(I3366="","",IF(AND(I3366="Gasto",K3366="Variable",J3366&lt;&gt;"Trading",O3366&gt;0,O3366&lt;=Umbral),1,0))</f>
        <v/>
      </c>
      <c r="T3366" s="20">
        <f>IF(OR(I3366="",E3366=""),"",IF(OR(I3366="Gasto",I3366="Transferencia",I3366="Pago tarjeta"),-1,1)*C3366)</f>
        <v/>
      </c>
      <c r="U3366" s="20">
        <f>IF(OR(G3366="",AND(I3366&lt;&gt;"Transferencia",I3366&lt;&gt;"Pago tarjeta")),"",IF(IFERROR(INDEX(ctaMon,MATCH(G3366,ctaNom,0))&amp;"","DOP")=N3366,C3366,IF(N3366="USD",C3366*TasaUSD,C3366/TasaUSD)))</f>
        <v/>
      </c>
      <c r="V3366" s="20">
        <f>IF(I3366="","",IF(IFERROR(INDEX(ctaLiq,MATCH(E3366,ctaNom,0))="Sí",FALSE),IF(OR(I3366="Gasto",I3366="Transferencia",I3366="Pago tarjeta"),-1,1)*O3366,0)+IF(AND(U3366&lt;&gt;"",IFERROR(INDEX(ctaLiq,MATCH(G3366,ctaNom,0))="Sí",FALSE)),O3366,0))</f>
        <v/>
      </c>
      <c r="W3366" s="19">
        <f>IF(OR(F3366="",I3366=""),"",IF(COUNTIFS(F$6:F3366,F3366,I$6:I3366,"?*")=1,MAX(W$5:W3365)+1,""))</f>
        <v/>
      </c>
    </row>
    <row r="3367">
      <c r="B3367" s="15" t="n"/>
      <c r="C3367" s="16" t="n"/>
      <c r="D3367" s="17" t="n"/>
      <c r="E3367" s="17" t="n"/>
      <c r="F3367" s="17" t="n"/>
      <c r="G3367" s="17" t="n"/>
      <c r="H3367" s="18">
        <f>IF(AND(B3367="",C3367="",D3367="",E3367=""),"",IF(B3367="","⚠ Falta fecha",IF(C3367="","⚠ Falta monto",IF(D3367="","⚠ Falta categoría",IF(ISNA(MATCH(D3367,catNom,0)),"⚠ Categoría no existe",IF(E3367="","⚠ Falta cuenta",IF(ISNA(MATCH(E3367,ctaNom,0)),"⚠ Cuenta no existe",IF(AND(OR(I3367="Transferencia",I3367="Pago tarjeta"),G3367=""),"⚠ Indica la cuenta «Hacia»",IF(AND(G3367&lt;&gt;"",G3367=E3367),"⚠ «Hacia» igual a la cuenta",IF(AND(G3367&lt;&gt;"",ISNA(MATCH(G3367,ctaNom,0))),"⚠ «Hacia» no existe",IF(AND(I3367="Pago tarjeta",IFERROR(INDEX(ctaTipo,MATCH(G3367,ctaNom,0)),"")&lt;&gt;"Tarjeta de crédito"),"⚠ «Hacia» debe ser la tarjeta",IF(AND(I3367="Trading",IFERROR(INDEX(ctaTipo,MATCH(E3367,ctaNom,0)),"")&lt;&gt;"Cuenta de trading"),"⚠ Usa la cuenta de trading","✓"))))))))))))</f>
        <v/>
      </c>
      <c r="I3367" s="19">
        <f>IF(OR(B3367="",C3367="",D3367=""),"",IFERROR(INDEX(catTipo,MATCH(D3367,catNom,0))&amp;"",""))</f>
        <v/>
      </c>
      <c r="J3367" s="19">
        <f>IF(I3367="","",IFERROR(INDEX(catGrupo,MATCH(D3367,catNom,0))&amp;"",""))</f>
        <v/>
      </c>
      <c r="K3367" s="19">
        <f>IF(I3367="Gasto",IF(IFERROR(INDEX(catClas,MATCH(D3367,catNom,0))&amp;"","")="","Variable",IFERROR(INDEX(catClas,MATCH(D3367,catNom,0))&amp;"","")),"")</f>
        <v/>
      </c>
      <c r="L3367" s="19">
        <f>IF(I3367="","",IFERROR(INDEX(catAlim,MATCH(D3367,catNom,0))&amp;"",""))</f>
        <v/>
      </c>
      <c r="M3367" s="19">
        <f>IF(I3367="","",IFERROR(INDEX(catComida,MATCH(D3367,catNom,0))&amp;"",""))</f>
        <v/>
      </c>
      <c r="N3367" s="19">
        <f>IF(I3367="","",IFERROR(INDEX(ctaMon,MATCH(E3367,ctaNom,0))&amp;"","DOP"))</f>
        <v/>
      </c>
      <c r="O3367" s="20">
        <f>IF(I3367="","",C3367*IF(N3367="USD",TasaUSD,1))</f>
        <v/>
      </c>
      <c r="P3367" s="20">
        <f>IF(I3367="","",IF(I3367="Gasto",O3367,0))</f>
        <v/>
      </c>
      <c r="Q3367" s="20">
        <f>IF(I3367="","",IF(I3367="Ingreso",O3367,0))</f>
        <v/>
      </c>
      <c r="R3367" s="20">
        <f>IF(I3367="","",IF(I3367="Trading",O3367,0))</f>
        <v/>
      </c>
      <c r="S3367" s="19">
        <f>IF(I3367="","",IF(AND(I3367="Gasto",K3367="Variable",J3367&lt;&gt;"Trading",O3367&gt;0,O3367&lt;=Umbral),1,0))</f>
        <v/>
      </c>
      <c r="T3367" s="20">
        <f>IF(OR(I3367="",E3367=""),"",IF(OR(I3367="Gasto",I3367="Transferencia",I3367="Pago tarjeta"),-1,1)*C3367)</f>
        <v/>
      </c>
      <c r="U3367" s="20">
        <f>IF(OR(G3367="",AND(I3367&lt;&gt;"Transferencia",I3367&lt;&gt;"Pago tarjeta")),"",IF(IFERROR(INDEX(ctaMon,MATCH(G3367,ctaNom,0))&amp;"","DOP")=N3367,C3367,IF(N3367="USD",C3367*TasaUSD,C3367/TasaUSD)))</f>
        <v/>
      </c>
      <c r="V3367" s="20">
        <f>IF(I3367="","",IF(IFERROR(INDEX(ctaLiq,MATCH(E3367,ctaNom,0))="Sí",FALSE),IF(OR(I3367="Gasto",I3367="Transferencia",I3367="Pago tarjeta"),-1,1)*O3367,0)+IF(AND(U3367&lt;&gt;"",IFERROR(INDEX(ctaLiq,MATCH(G3367,ctaNom,0))="Sí",FALSE)),O3367,0))</f>
        <v/>
      </c>
      <c r="W3367" s="19">
        <f>IF(OR(F3367="",I3367=""),"",IF(COUNTIFS(F$6:F3367,F3367,I$6:I3367,"?*")=1,MAX(W$5:W3366)+1,""))</f>
        <v/>
      </c>
    </row>
    <row r="3368">
      <c r="B3368" s="15" t="n"/>
      <c r="C3368" s="16" t="n"/>
      <c r="D3368" s="17" t="n"/>
      <c r="E3368" s="17" t="n"/>
      <c r="F3368" s="17" t="n"/>
      <c r="G3368" s="17" t="n"/>
      <c r="H3368" s="18">
        <f>IF(AND(B3368="",C3368="",D3368="",E3368=""),"",IF(B3368="","⚠ Falta fecha",IF(C3368="","⚠ Falta monto",IF(D3368="","⚠ Falta categoría",IF(ISNA(MATCH(D3368,catNom,0)),"⚠ Categoría no existe",IF(E3368="","⚠ Falta cuenta",IF(ISNA(MATCH(E3368,ctaNom,0)),"⚠ Cuenta no existe",IF(AND(OR(I3368="Transferencia",I3368="Pago tarjeta"),G3368=""),"⚠ Indica la cuenta «Hacia»",IF(AND(G3368&lt;&gt;"",G3368=E3368),"⚠ «Hacia» igual a la cuenta",IF(AND(G3368&lt;&gt;"",ISNA(MATCH(G3368,ctaNom,0))),"⚠ «Hacia» no existe",IF(AND(I3368="Pago tarjeta",IFERROR(INDEX(ctaTipo,MATCH(G3368,ctaNom,0)),"")&lt;&gt;"Tarjeta de crédito"),"⚠ «Hacia» debe ser la tarjeta",IF(AND(I3368="Trading",IFERROR(INDEX(ctaTipo,MATCH(E3368,ctaNom,0)),"")&lt;&gt;"Cuenta de trading"),"⚠ Usa la cuenta de trading","✓"))))))))))))</f>
        <v/>
      </c>
      <c r="I3368" s="19">
        <f>IF(OR(B3368="",C3368="",D3368=""),"",IFERROR(INDEX(catTipo,MATCH(D3368,catNom,0))&amp;"",""))</f>
        <v/>
      </c>
      <c r="J3368" s="19">
        <f>IF(I3368="","",IFERROR(INDEX(catGrupo,MATCH(D3368,catNom,0))&amp;"",""))</f>
        <v/>
      </c>
      <c r="K3368" s="19">
        <f>IF(I3368="Gasto",IF(IFERROR(INDEX(catClas,MATCH(D3368,catNom,0))&amp;"","")="","Variable",IFERROR(INDEX(catClas,MATCH(D3368,catNom,0))&amp;"","")),"")</f>
        <v/>
      </c>
      <c r="L3368" s="19">
        <f>IF(I3368="","",IFERROR(INDEX(catAlim,MATCH(D3368,catNom,0))&amp;"",""))</f>
        <v/>
      </c>
      <c r="M3368" s="19">
        <f>IF(I3368="","",IFERROR(INDEX(catComida,MATCH(D3368,catNom,0))&amp;"",""))</f>
        <v/>
      </c>
      <c r="N3368" s="19">
        <f>IF(I3368="","",IFERROR(INDEX(ctaMon,MATCH(E3368,ctaNom,0))&amp;"","DOP"))</f>
        <v/>
      </c>
      <c r="O3368" s="20">
        <f>IF(I3368="","",C3368*IF(N3368="USD",TasaUSD,1))</f>
        <v/>
      </c>
      <c r="P3368" s="20">
        <f>IF(I3368="","",IF(I3368="Gasto",O3368,0))</f>
        <v/>
      </c>
      <c r="Q3368" s="20">
        <f>IF(I3368="","",IF(I3368="Ingreso",O3368,0))</f>
        <v/>
      </c>
      <c r="R3368" s="20">
        <f>IF(I3368="","",IF(I3368="Trading",O3368,0))</f>
        <v/>
      </c>
      <c r="S3368" s="19">
        <f>IF(I3368="","",IF(AND(I3368="Gasto",K3368="Variable",J3368&lt;&gt;"Trading",O3368&gt;0,O3368&lt;=Umbral),1,0))</f>
        <v/>
      </c>
      <c r="T3368" s="20">
        <f>IF(OR(I3368="",E3368=""),"",IF(OR(I3368="Gasto",I3368="Transferencia",I3368="Pago tarjeta"),-1,1)*C3368)</f>
        <v/>
      </c>
      <c r="U3368" s="20">
        <f>IF(OR(G3368="",AND(I3368&lt;&gt;"Transferencia",I3368&lt;&gt;"Pago tarjeta")),"",IF(IFERROR(INDEX(ctaMon,MATCH(G3368,ctaNom,0))&amp;"","DOP")=N3368,C3368,IF(N3368="USD",C3368*TasaUSD,C3368/TasaUSD)))</f>
        <v/>
      </c>
      <c r="V3368" s="20">
        <f>IF(I3368="","",IF(IFERROR(INDEX(ctaLiq,MATCH(E3368,ctaNom,0))="Sí",FALSE),IF(OR(I3368="Gasto",I3368="Transferencia",I3368="Pago tarjeta"),-1,1)*O3368,0)+IF(AND(U3368&lt;&gt;"",IFERROR(INDEX(ctaLiq,MATCH(G3368,ctaNom,0))="Sí",FALSE)),O3368,0))</f>
        <v/>
      </c>
      <c r="W3368" s="19">
        <f>IF(OR(F3368="",I3368=""),"",IF(COUNTIFS(F$6:F3368,F3368,I$6:I3368,"?*")=1,MAX(W$5:W3367)+1,""))</f>
        <v/>
      </c>
    </row>
    <row r="3369">
      <c r="B3369" s="15" t="n"/>
      <c r="C3369" s="16" t="n"/>
      <c r="D3369" s="17" t="n"/>
      <c r="E3369" s="17" t="n"/>
      <c r="F3369" s="17" t="n"/>
      <c r="G3369" s="17" t="n"/>
      <c r="H3369" s="18">
        <f>IF(AND(B3369="",C3369="",D3369="",E3369=""),"",IF(B3369="","⚠ Falta fecha",IF(C3369="","⚠ Falta monto",IF(D3369="","⚠ Falta categoría",IF(ISNA(MATCH(D3369,catNom,0)),"⚠ Categoría no existe",IF(E3369="","⚠ Falta cuenta",IF(ISNA(MATCH(E3369,ctaNom,0)),"⚠ Cuenta no existe",IF(AND(OR(I3369="Transferencia",I3369="Pago tarjeta"),G3369=""),"⚠ Indica la cuenta «Hacia»",IF(AND(G3369&lt;&gt;"",G3369=E3369),"⚠ «Hacia» igual a la cuenta",IF(AND(G3369&lt;&gt;"",ISNA(MATCH(G3369,ctaNom,0))),"⚠ «Hacia» no existe",IF(AND(I3369="Pago tarjeta",IFERROR(INDEX(ctaTipo,MATCH(G3369,ctaNom,0)),"")&lt;&gt;"Tarjeta de crédito"),"⚠ «Hacia» debe ser la tarjeta",IF(AND(I3369="Trading",IFERROR(INDEX(ctaTipo,MATCH(E3369,ctaNom,0)),"")&lt;&gt;"Cuenta de trading"),"⚠ Usa la cuenta de trading","✓"))))))))))))</f>
        <v/>
      </c>
      <c r="I3369" s="19">
        <f>IF(OR(B3369="",C3369="",D3369=""),"",IFERROR(INDEX(catTipo,MATCH(D3369,catNom,0))&amp;"",""))</f>
        <v/>
      </c>
      <c r="J3369" s="19">
        <f>IF(I3369="","",IFERROR(INDEX(catGrupo,MATCH(D3369,catNom,0))&amp;"",""))</f>
        <v/>
      </c>
      <c r="K3369" s="19">
        <f>IF(I3369="Gasto",IF(IFERROR(INDEX(catClas,MATCH(D3369,catNom,0))&amp;"","")="","Variable",IFERROR(INDEX(catClas,MATCH(D3369,catNom,0))&amp;"","")),"")</f>
        <v/>
      </c>
      <c r="L3369" s="19">
        <f>IF(I3369="","",IFERROR(INDEX(catAlim,MATCH(D3369,catNom,0))&amp;"",""))</f>
        <v/>
      </c>
      <c r="M3369" s="19">
        <f>IF(I3369="","",IFERROR(INDEX(catComida,MATCH(D3369,catNom,0))&amp;"",""))</f>
        <v/>
      </c>
      <c r="N3369" s="19">
        <f>IF(I3369="","",IFERROR(INDEX(ctaMon,MATCH(E3369,ctaNom,0))&amp;"","DOP"))</f>
        <v/>
      </c>
      <c r="O3369" s="20">
        <f>IF(I3369="","",C3369*IF(N3369="USD",TasaUSD,1))</f>
        <v/>
      </c>
      <c r="P3369" s="20">
        <f>IF(I3369="","",IF(I3369="Gasto",O3369,0))</f>
        <v/>
      </c>
      <c r="Q3369" s="20">
        <f>IF(I3369="","",IF(I3369="Ingreso",O3369,0))</f>
        <v/>
      </c>
      <c r="R3369" s="20">
        <f>IF(I3369="","",IF(I3369="Trading",O3369,0))</f>
        <v/>
      </c>
      <c r="S3369" s="19">
        <f>IF(I3369="","",IF(AND(I3369="Gasto",K3369="Variable",J3369&lt;&gt;"Trading",O3369&gt;0,O3369&lt;=Umbral),1,0))</f>
        <v/>
      </c>
      <c r="T3369" s="20">
        <f>IF(OR(I3369="",E3369=""),"",IF(OR(I3369="Gasto",I3369="Transferencia",I3369="Pago tarjeta"),-1,1)*C3369)</f>
        <v/>
      </c>
      <c r="U3369" s="20">
        <f>IF(OR(G3369="",AND(I3369&lt;&gt;"Transferencia",I3369&lt;&gt;"Pago tarjeta")),"",IF(IFERROR(INDEX(ctaMon,MATCH(G3369,ctaNom,0))&amp;"","DOP")=N3369,C3369,IF(N3369="USD",C3369*TasaUSD,C3369/TasaUSD)))</f>
        <v/>
      </c>
      <c r="V3369" s="20">
        <f>IF(I3369="","",IF(IFERROR(INDEX(ctaLiq,MATCH(E3369,ctaNom,0))="Sí",FALSE),IF(OR(I3369="Gasto",I3369="Transferencia",I3369="Pago tarjeta"),-1,1)*O3369,0)+IF(AND(U3369&lt;&gt;"",IFERROR(INDEX(ctaLiq,MATCH(G3369,ctaNom,0))="Sí",FALSE)),O3369,0))</f>
        <v/>
      </c>
      <c r="W3369" s="19">
        <f>IF(OR(F3369="",I3369=""),"",IF(COUNTIFS(F$6:F3369,F3369,I$6:I3369,"?*")=1,MAX(W$5:W3368)+1,""))</f>
        <v/>
      </c>
    </row>
    <row r="3370">
      <c r="B3370" s="15" t="n"/>
      <c r="C3370" s="16" t="n"/>
      <c r="D3370" s="17" t="n"/>
      <c r="E3370" s="17" t="n"/>
      <c r="F3370" s="17" t="n"/>
      <c r="G3370" s="17" t="n"/>
      <c r="H3370" s="18">
        <f>IF(AND(B3370="",C3370="",D3370="",E3370=""),"",IF(B3370="","⚠ Falta fecha",IF(C3370="","⚠ Falta monto",IF(D3370="","⚠ Falta categoría",IF(ISNA(MATCH(D3370,catNom,0)),"⚠ Categoría no existe",IF(E3370="","⚠ Falta cuenta",IF(ISNA(MATCH(E3370,ctaNom,0)),"⚠ Cuenta no existe",IF(AND(OR(I3370="Transferencia",I3370="Pago tarjeta"),G3370=""),"⚠ Indica la cuenta «Hacia»",IF(AND(G3370&lt;&gt;"",G3370=E3370),"⚠ «Hacia» igual a la cuenta",IF(AND(G3370&lt;&gt;"",ISNA(MATCH(G3370,ctaNom,0))),"⚠ «Hacia» no existe",IF(AND(I3370="Pago tarjeta",IFERROR(INDEX(ctaTipo,MATCH(G3370,ctaNom,0)),"")&lt;&gt;"Tarjeta de crédito"),"⚠ «Hacia» debe ser la tarjeta",IF(AND(I3370="Trading",IFERROR(INDEX(ctaTipo,MATCH(E3370,ctaNom,0)),"")&lt;&gt;"Cuenta de trading"),"⚠ Usa la cuenta de trading","✓"))))))))))))</f>
        <v/>
      </c>
      <c r="I3370" s="19">
        <f>IF(OR(B3370="",C3370="",D3370=""),"",IFERROR(INDEX(catTipo,MATCH(D3370,catNom,0))&amp;"",""))</f>
        <v/>
      </c>
      <c r="J3370" s="19">
        <f>IF(I3370="","",IFERROR(INDEX(catGrupo,MATCH(D3370,catNom,0))&amp;"",""))</f>
        <v/>
      </c>
      <c r="K3370" s="19">
        <f>IF(I3370="Gasto",IF(IFERROR(INDEX(catClas,MATCH(D3370,catNom,0))&amp;"","")="","Variable",IFERROR(INDEX(catClas,MATCH(D3370,catNom,0))&amp;"","")),"")</f>
        <v/>
      </c>
      <c r="L3370" s="19">
        <f>IF(I3370="","",IFERROR(INDEX(catAlim,MATCH(D3370,catNom,0))&amp;"",""))</f>
        <v/>
      </c>
      <c r="M3370" s="19">
        <f>IF(I3370="","",IFERROR(INDEX(catComida,MATCH(D3370,catNom,0))&amp;"",""))</f>
        <v/>
      </c>
      <c r="N3370" s="19">
        <f>IF(I3370="","",IFERROR(INDEX(ctaMon,MATCH(E3370,ctaNom,0))&amp;"","DOP"))</f>
        <v/>
      </c>
      <c r="O3370" s="20">
        <f>IF(I3370="","",C3370*IF(N3370="USD",TasaUSD,1))</f>
        <v/>
      </c>
      <c r="P3370" s="20">
        <f>IF(I3370="","",IF(I3370="Gasto",O3370,0))</f>
        <v/>
      </c>
      <c r="Q3370" s="20">
        <f>IF(I3370="","",IF(I3370="Ingreso",O3370,0))</f>
        <v/>
      </c>
      <c r="R3370" s="20">
        <f>IF(I3370="","",IF(I3370="Trading",O3370,0))</f>
        <v/>
      </c>
      <c r="S3370" s="19">
        <f>IF(I3370="","",IF(AND(I3370="Gasto",K3370="Variable",J3370&lt;&gt;"Trading",O3370&gt;0,O3370&lt;=Umbral),1,0))</f>
        <v/>
      </c>
      <c r="T3370" s="20">
        <f>IF(OR(I3370="",E3370=""),"",IF(OR(I3370="Gasto",I3370="Transferencia",I3370="Pago tarjeta"),-1,1)*C3370)</f>
        <v/>
      </c>
      <c r="U3370" s="20">
        <f>IF(OR(G3370="",AND(I3370&lt;&gt;"Transferencia",I3370&lt;&gt;"Pago tarjeta")),"",IF(IFERROR(INDEX(ctaMon,MATCH(G3370,ctaNom,0))&amp;"","DOP")=N3370,C3370,IF(N3370="USD",C3370*TasaUSD,C3370/TasaUSD)))</f>
        <v/>
      </c>
      <c r="V3370" s="20">
        <f>IF(I3370="","",IF(IFERROR(INDEX(ctaLiq,MATCH(E3370,ctaNom,0))="Sí",FALSE),IF(OR(I3370="Gasto",I3370="Transferencia",I3370="Pago tarjeta"),-1,1)*O3370,0)+IF(AND(U3370&lt;&gt;"",IFERROR(INDEX(ctaLiq,MATCH(G3370,ctaNom,0))="Sí",FALSE)),O3370,0))</f>
        <v/>
      </c>
      <c r="W3370" s="19">
        <f>IF(OR(F3370="",I3370=""),"",IF(COUNTIFS(F$6:F3370,F3370,I$6:I3370,"?*")=1,MAX(W$5:W3369)+1,""))</f>
        <v/>
      </c>
    </row>
    <row r="3371">
      <c r="B3371" s="15" t="n"/>
      <c r="C3371" s="16" t="n"/>
      <c r="D3371" s="17" t="n"/>
      <c r="E3371" s="17" t="n"/>
      <c r="F3371" s="17" t="n"/>
      <c r="G3371" s="17" t="n"/>
      <c r="H3371" s="18">
        <f>IF(AND(B3371="",C3371="",D3371="",E3371=""),"",IF(B3371="","⚠ Falta fecha",IF(C3371="","⚠ Falta monto",IF(D3371="","⚠ Falta categoría",IF(ISNA(MATCH(D3371,catNom,0)),"⚠ Categoría no existe",IF(E3371="","⚠ Falta cuenta",IF(ISNA(MATCH(E3371,ctaNom,0)),"⚠ Cuenta no existe",IF(AND(OR(I3371="Transferencia",I3371="Pago tarjeta"),G3371=""),"⚠ Indica la cuenta «Hacia»",IF(AND(G3371&lt;&gt;"",G3371=E3371),"⚠ «Hacia» igual a la cuenta",IF(AND(G3371&lt;&gt;"",ISNA(MATCH(G3371,ctaNom,0))),"⚠ «Hacia» no existe",IF(AND(I3371="Pago tarjeta",IFERROR(INDEX(ctaTipo,MATCH(G3371,ctaNom,0)),"")&lt;&gt;"Tarjeta de crédito"),"⚠ «Hacia» debe ser la tarjeta",IF(AND(I3371="Trading",IFERROR(INDEX(ctaTipo,MATCH(E3371,ctaNom,0)),"")&lt;&gt;"Cuenta de trading"),"⚠ Usa la cuenta de trading","✓"))))))))))))</f>
        <v/>
      </c>
      <c r="I3371" s="19">
        <f>IF(OR(B3371="",C3371="",D3371=""),"",IFERROR(INDEX(catTipo,MATCH(D3371,catNom,0))&amp;"",""))</f>
        <v/>
      </c>
      <c r="J3371" s="19">
        <f>IF(I3371="","",IFERROR(INDEX(catGrupo,MATCH(D3371,catNom,0))&amp;"",""))</f>
        <v/>
      </c>
      <c r="K3371" s="19">
        <f>IF(I3371="Gasto",IF(IFERROR(INDEX(catClas,MATCH(D3371,catNom,0))&amp;"","")="","Variable",IFERROR(INDEX(catClas,MATCH(D3371,catNom,0))&amp;"","")),"")</f>
        <v/>
      </c>
      <c r="L3371" s="19">
        <f>IF(I3371="","",IFERROR(INDEX(catAlim,MATCH(D3371,catNom,0))&amp;"",""))</f>
        <v/>
      </c>
      <c r="M3371" s="19">
        <f>IF(I3371="","",IFERROR(INDEX(catComida,MATCH(D3371,catNom,0))&amp;"",""))</f>
        <v/>
      </c>
      <c r="N3371" s="19">
        <f>IF(I3371="","",IFERROR(INDEX(ctaMon,MATCH(E3371,ctaNom,0))&amp;"","DOP"))</f>
        <v/>
      </c>
      <c r="O3371" s="20">
        <f>IF(I3371="","",C3371*IF(N3371="USD",TasaUSD,1))</f>
        <v/>
      </c>
      <c r="P3371" s="20">
        <f>IF(I3371="","",IF(I3371="Gasto",O3371,0))</f>
        <v/>
      </c>
      <c r="Q3371" s="20">
        <f>IF(I3371="","",IF(I3371="Ingreso",O3371,0))</f>
        <v/>
      </c>
      <c r="R3371" s="20">
        <f>IF(I3371="","",IF(I3371="Trading",O3371,0))</f>
        <v/>
      </c>
      <c r="S3371" s="19">
        <f>IF(I3371="","",IF(AND(I3371="Gasto",K3371="Variable",J3371&lt;&gt;"Trading",O3371&gt;0,O3371&lt;=Umbral),1,0))</f>
        <v/>
      </c>
      <c r="T3371" s="20">
        <f>IF(OR(I3371="",E3371=""),"",IF(OR(I3371="Gasto",I3371="Transferencia",I3371="Pago tarjeta"),-1,1)*C3371)</f>
        <v/>
      </c>
      <c r="U3371" s="20">
        <f>IF(OR(G3371="",AND(I3371&lt;&gt;"Transferencia",I3371&lt;&gt;"Pago tarjeta")),"",IF(IFERROR(INDEX(ctaMon,MATCH(G3371,ctaNom,0))&amp;"","DOP")=N3371,C3371,IF(N3371="USD",C3371*TasaUSD,C3371/TasaUSD)))</f>
        <v/>
      </c>
      <c r="V3371" s="20">
        <f>IF(I3371="","",IF(IFERROR(INDEX(ctaLiq,MATCH(E3371,ctaNom,0))="Sí",FALSE),IF(OR(I3371="Gasto",I3371="Transferencia",I3371="Pago tarjeta"),-1,1)*O3371,0)+IF(AND(U3371&lt;&gt;"",IFERROR(INDEX(ctaLiq,MATCH(G3371,ctaNom,0))="Sí",FALSE)),O3371,0))</f>
        <v/>
      </c>
      <c r="W3371" s="19">
        <f>IF(OR(F3371="",I3371=""),"",IF(COUNTIFS(F$6:F3371,F3371,I$6:I3371,"?*")=1,MAX(W$5:W3370)+1,""))</f>
        <v/>
      </c>
    </row>
    <row r="3372">
      <c r="B3372" s="15" t="n"/>
      <c r="C3372" s="16" t="n"/>
      <c r="D3372" s="17" t="n"/>
      <c r="E3372" s="17" t="n"/>
      <c r="F3372" s="17" t="n"/>
      <c r="G3372" s="17" t="n"/>
      <c r="H3372" s="18">
        <f>IF(AND(B3372="",C3372="",D3372="",E3372=""),"",IF(B3372="","⚠ Falta fecha",IF(C3372="","⚠ Falta monto",IF(D3372="","⚠ Falta categoría",IF(ISNA(MATCH(D3372,catNom,0)),"⚠ Categoría no existe",IF(E3372="","⚠ Falta cuenta",IF(ISNA(MATCH(E3372,ctaNom,0)),"⚠ Cuenta no existe",IF(AND(OR(I3372="Transferencia",I3372="Pago tarjeta"),G3372=""),"⚠ Indica la cuenta «Hacia»",IF(AND(G3372&lt;&gt;"",G3372=E3372),"⚠ «Hacia» igual a la cuenta",IF(AND(G3372&lt;&gt;"",ISNA(MATCH(G3372,ctaNom,0))),"⚠ «Hacia» no existe",IF(AND(I3372="Pago tarjeta",IFERROR(INDEX(ctaTipo,MATCH(G3372,ctaNom,0)),"")&lt;&gt;"Tarjeta de crédito"),"⚠ «Hacia» debe ser la tarjeta",IF(AND(I3372="Trading",IFERROR(INDEX(ctaTipo,MATCH(E3372,ctaNom,0)),"")&lt;&gt;"Cuenta de trading"),"⚠ Usa la cuenta de trading","✓"))))))))))))</f>
        <v/>
      </c>
      <c r="I3372" s="19">
        <f>IF(OR(B3372="",C3372="",D3372=""),"",IFERROR(INDEX(catTipo,MATCH(D3372,catNom,0))&amp;"",""))</f>
        <v/>
      </c>
      <c r="J3372" s="19">
        <f>IF(I3372="","",IFERROR(INDEX(catGrupo,MATCH(D3372,catNom,0))&amp;"",""))</f>
        <v/>
      </c>
      <c r="K3372" s="19">
        <f>IF(I3372="Gasto",IF(IFERROR(INDEX(catClas,MATCH(D3372,catNom,0))&amp;"","")="","Variable",IFERROR(INDEX(catClas,MATCH(D3372,catNom,0))&amp;"","")),"")</f>
        <v/>
      </c>
      <c r="L3372" s="19">
        <f>IF(I3372="","",IFERROR(INDEX(catAlim,MATCH(D3372,catNom,0))&amp;"",""))</f>
        <v/>
      </c>
      <c r="M3372" s="19">
        <f>IF(I3372="","",IFERROR(INDEX(catComida,MATCH(D3372,catNom,0))&amp;"",""))</f>
        <v/>
      </c>
      <c r="N3372" s="19">
        <f>IF(I3372="","",IFERROR(INDEX(ctaMon,MATCH(E3372,ctaNom,0))&amp;"","DOP"))</f>
        <v/>
      </c>
      <c r="O3372" s="20">
        <f>IF(I3372="","",C3372*IF(N3372="USD",TasaUSD,1))</f>
        <v/>
      </c>
      <c r="P3372" s="20">
        <f>IF(I3372="","",IF(I3372="Gasto",O3372,0))</f>
        <v/>
      </c>
      <c r="Q3372" s="20">
        <f>IF(I3372="","",IF(I3372="Ingreso",O3372,0))</f>
        <v/>
      </c>
      <c r="R3372" s="20">
        <f>IF(I3372="","",IF(I3372="Trading",O3372,0))</f>
        <v/>
      </c>
      <c r="S3372" s="19">
        <f>IF(I3372="","",IF(AND(I3372="Gasto",K3372="Variable",J3372&lt;&gt;"Trading",O3372&gt;0,O3372&lt;=Umbral),1,0))</f>
        <v/>
      </c>
      <c r="T3372" s="20">
        <f>IF(OR(I3372="",E3372=""),"",IF(OR(I3372="Gasto",I3372="Transferencia",I3372="Pago tarjeta"),-1,1)*C3372)</f>
        <v/>
      </c>
      <c r="U3372" s="20">
        <f>IF(OR(G3372="",AND(I3372&lt;&gt;"Transferencia",I3372&lt;&gt;"Pago tarjeta")),"",IF(IFERROR(INDEX(ctaMon,MATCH(G3372,ctaNom,0))&amp;"","DOP")=N3372,C3372,IF(N3372="USD",C3372*TasaUSD,C3372/TasaUSD)))</f>
        <v/>
      </c>
      <c r="V3372" s="20">
        <f>IF(I3372="","",IF(IFERROR(INDEX(ctaLiq,MATCH(E3372,ctaNom,0))="Sí",FALSE),IF(OR(I3372="Gasto",I3372="Transferencia",I3372="Pago tarjeta"),-1,1)*O3372,0)+IF(AND(U3372&lt;&gt;"",IFERROR(INDEX(ctaLiq,MATCH(G3372,ctaNom,0))="Sí",FALSE)),O3372,0))</f>
        <v/>
      </c>
      <c r="W3372" s="19">
        <f>IF(OR(F3372="",I3372=""),"",IF(COUNTIFS(F$6:F3372,F3372,I$6:I3372,"?*")=1,MAX(W$5:W3371)+1,""))</f>
        <v/>
      </c>
    </row>
    <row r="3373">
      <c r="B3373" s="15" t="n"/>
      <c r="C3373" s="16" t="n"/>
      <c r="D3373" s="17" t="n"/>
      <c r="E3373" s="17" t="n"/>
      <c r="F3373" s="17" t="n"/>
      <c r="G3373" s="17" t="n"/>
      <c r="H3373" s="18">
        <f>IF(AND(B3373="",C3373="",D3373="",E3373=""),"",IF(B3373="","⚠ Falta fecha",IF(C3373="","⚠ Falta monto",IF(D3373="","⚠ Falta categoría",IF(ISNA(MATCH(D3373,catNom,0)),"⚠ Categoría no existe",IF(E3373="","⚠ Falta cuenta",IF(ISNA(MATCH(E3373,ctaNom,0)),"⚠ Cuenta no existe",IF(AND(OR(I3373="Transferencia",I3373="Pago tarjeta"),G3373=""),"⚠ Indica la cuenta «Hacia»",IF(AND(G3373&lt;&gt;"",G3373=E3373),"⚠ «Hacia» igual a la cuenta",IF(AND(G3373&lt;&gt;"",ISNA(MATCH(G3373,ctaNom,0))),"⚠ «Hacia» no existe",IF(AND(I3373="Pago tarjeta",IFERROR(INDEX(ctaTipo,MATCH(G3373,ctaNom,0)),"")&lt;&gt;"Tarjeta de crédito"),"⚠ «Hacia» debe ser la tarjeta",IF(AND(I3373="Trading",IFERROR(INDEX(ctaTipo,MATCH(E3373,ctaNom,0)),"")&lt;&gt;"Cuenta de trading"),"⚠ Usa la cuenta de trading","✓"))))))))))))</f>
        <v/>
      </c>
      <c r="I3373" s="19">
        <f>IF(OR(B3373="",C3373="",D3373=""),"",IFERROR(INDEX(catTipo,MATCH(D3373,catNom,0))&amp;"",""))</f>
        <v/>
      </c>
      <c r="J3373" s="19">
        <f>IF(I3373="","",IFERROR(INDEX(catGrupo,MATCH(D3373,catNom,0))&amp;"",""))</f>
        <v/>
      </c>
      <c r="K3373" s="19">
        <f>IF(I3373="Gasto",IF(IFERROR(INDEX(catClas,MATCH(D3373,catNom,0))&amp;"","")="","Variable",IFERROR(INDEX(catClas,MATCH(D3373,catNom,0))&amp;"","")),"")</f>
        <v/>
      </c>
      <c r="L3373" s="19">
        <f>IF(I3373="","",IFERROR(INDEX(catAlim,MATCH(D3373,catNom,0))&amp;"",""))</f>
        <v/>
      </c>
      <c r="M3373" s="19">
        <f>IF(I3373="","",IFERROR(INDEX(catComida,MATCH(D3373,catNom,0))&amp;"",""))</f>
        <v/>
      </c>
      <c r="N3373" s="19">
        <f>IF(I3373="","",IFERROR(INDEX(ctaMon,MATCH(E3373,ctaNom,0))&amp;"","DOP"))</f>
        <v/>
      </c>
      <c r="O3373" s="20">
        <f>IF(I3373="","",C3373*IF(N3373="USD",TasaUSD,1))</f>
        <v/>
      </c>
      <c r="P3373" s="20">
        <f>IF(I3373="","",IF(I3373="Gasto",O3373,0))</f>
        <v/>
      </c>
      <c r="Q3373" s="20">
        <f>IF(I3373="","",IF(I3373="Ingreso",O3373,0))</f>
        <v/>
      </c>
      <c r="R3373" s="20">
        <f>IF(I3373="","",IF(I3373="Trading",O3373,0))</f>
        <v/>
      </c>
      <c r="S3373" s="19">
        <f>IF(I3373="","",IF(AND(I3373="Gasto",K3373="Variable",J3373&lt;&gt;"Trading",O3373&gt;0,O3373&lt;=Umbral),1,0))</f>
        <v/>
      </c>
      <c r="T3373" s="20">
        <f>IF(OR(I3373="",E3373=""),"",IF(OR(I3373="Gasto",I3373="Transferencia",I3373="Pago tarjeta"),-1,1)*C3373)</f>
        <v/>
      </c>
      <c r="U3373" s="20">
        <f>IF(OR(G3373="",AND(I3373&lt;&gt;"Transferencia",I3373&lt;&gt;"Pago tarjeta")),"",IF(IFERROR(INDEX(ctaMon,MATCH(G3373,ctaNom,0))&amp;"","DOP")=N3373,C3373,IF(N3373="USD",C3373*TasaUSD,C3373/TasaUSD)))</f>
        <v/>
      </c>
      <c r="V3373" s="20">
        <f>IF(I3373="","",IF(IFERROR(INDEX(ctaLiq,MATCH(E3373,ctaNom,0))="Sí",FALSE),IF(OR(I3373="Gasto",I3373="Transferencia",I3373="Pago tarjeta"),-1,1)*O3373,0)+IF(AND(U3373&lt;&gt;"",IFERROR(INDEX(ctaLiq,MATCH(G3373,ctaNom,0))="Sí",FALSE)),O3373,0))</f>
        <v/>
      </c>
      <c r="W3373" s="19">
        <f>IF(OR(F3373="",I3373=""),"",IF(COUNTIFS(F$6:F3373,F3373,I$6:I3373,"?*")=1,MAX(W$5:W3372)+1,""))</f>
        <v/>
      </c>
    </row>
    <row r="3374">
      <c r="B3374" s="15" t="n"/>
      <c r="C3374" s="16" t="n"/>
      <c r="D3374" s="17" t="n"/>
      <c r="E3374" s="17" t="n"/>
      <c r="F3374" s="17" t="n"/>
      <c r="G3374" s="17" t="n"/>
      <c r="H3374" s="18">
        <f>IF(AND(B3374="",C3374="",D3374="",E3374=""),"",IF(B3374="","⚠ Falta fecha",IF(C3374="","⚠ Falta monto",IF(D3374="","⚠ Falta categoría",IF(ISNA(MATCH(D3374,catNom,0)),"⚠ Categoría no existe",IF(E3374="","⚠ Falta cuenta",IF(ISNA(MATCH(E3374,ctaNom,0)),"⚠ Cuenta no existe",IF(AND(OR(I3374="Transferencia",I3374="Pago tarjeta"),G3374=""),"⚠ Indica la cuenta «Hacia»",IF(AND(G3374&lt;&gt;"",G3374=E3374),"⚠ «Hacia» igual a la cuenta",IF(AND(G3374&lt;&gt;"",ISNA(MATCH(G3374,ctaNom,0))),"⚠ «Hacia» no existe",IF(AND(I3374="Pago tarjeta",IFERROR(INDEX(ctaTipo,MATCH(G3374,ctaNom,0)),"")&lt;&gt;"Tarjeta de crédito"),"⚠ «Hacia» debe ser la tarjeta",IF(AND(I3374="Trading",IFERROR(INDEX(ctaTipo,MATCH(E3374,ctaNom,0)),"")&lt;&gt;"Cuenta de trading"),"⚠ Usa la cuenta de trading","✓"))))))))))))</f>
        <v/>
      </c>
      <c r="I3374" s="19">
        <f>IF(OR(B3374="",C3374="",D3374=""),"",IFERROR(INDEX(catTipo,MATCH(D3374,catNom,0))&amp;"",""))</f>
        <v/>
      </c>
      <c r="J3374" s="19">
        <f>IF(I3374="","",IFERROR(INDEX(catGrupo,MATCH(D3374,catNom,0))&amp;"",""))</f>
        <v/>
      </c>
      <c r="K3374" s="19">
        <f>IF(I3374="Gasto",IF(IFERROR(INDEX(catClas,MATCH(D3374,catNom,0))&amp;"","")="","Variable",IFERROR(INDEX(catClas,MATCH(D3374,catNom,0))&amp;"","")),"")</f>
        <v/>
      </c>
      <c r="L3374" s="19">
        <f>IF(I3374="","",IFERROR(INDEX(catAlim,MATCH(D3374,catNom,0))&amp;"",""))</f>
        <v/>
      </c>
      <c r="M3374" s="19">
        <f>IF(I3374="","",IFERROR(INDEX(catComida,MATCH(D3374,catNom,0))&amp;"",""))</f>
        <v/>
      </c>
      <c r="N3374" s="19">
        <f>IF(I3374="","",IFERROR(INDEX(ctaMon,MATCH(E3374,ctaNom,0))&amp;"","DOP"))</f>
        <v/>
      </c>
      <c r="O3374" s="20">
        <f>IF(I3374="","",C3374*IF(N3374="USD",TasaUSD,1))</f>
        <v/>
      </c>
      <c r="P3374" s="20">
        <f>IF(I3374="","",IF(I3374="Gasto",O3374,0))</f>
        <v/>
      </c>
      <c r="Q3374" s="20">
        <f>IF(I3374="","",IF(I3374="Ingreso",O3374,0))</f>
        <v/>
      </c>
      <c r="R3374" s="20">
        <f>IF(I3374="","",IF(I3374="Trading",O3374,0))</f>
        <v/>
      </c>
      <c r="S3374" s="19">
        <f>IF(I3374="","",IF(AND(I3374="Gasto",K3374="Variable",J3374&lt;&gt;"Trading",O3374&gt;0,O3374&lt;=Umbral),1,0))</f>
        <v/>
      </c>
      <c r="T3374" s="20">
        <f>IF(OR(I3374="",E3374=""),"",IF(OR(I3374="Gasto",I3374="Transferencia",I3374="Pago tarjeta"),-1,1)*C3374)</f>
        <v/>
      </c>
      <c r="U3374" s="20">
        <f>IF(OR(G3374="",AND(I3374&lt;&gt;"Transferencia",I3374&lt;&gt;"Pago tarjeta")),"",IF(IFERROR(INDEX(ctaMon,MATCH(G3374,ctaNom,0))&amp;"","DOP")=N3374,C3374,IF(N3374="USD",C3374*TasaUSD,C3374/TasaUSD)))</f>
        <v/>
      </c>
      <c r="V3374" s="20">
        <f>IF(I3374="","",IF(IFERROR(INDEX(ctaLiq,MATCH(E3374,ctaNom,0))="Sí",FALSE),IF(OR(I3374="Gasto",I3374="Transferencia",I3374="Pago tarjeta"),-1,1)*O3374,0)+IF(AND(U3374&lt;&gt;"",IFERROR(INDEX(ctaLiq,MATCH(G3374,ctaNom,0))="Sí",FALSE)),O3374,0))</f>
        <v/>
      </c>
      <c r="W3374" s="19">
        <f>IF(OR(F3374="",I3374=""),"",IF(COUNTIFS(F$6:F3374,F3374,I$6:I3374,"?*")=1,MAX(W$5:W3373)+1,""))</f>
        <v/>
      </c>
    </row>
    <row r="3375">
      <c r="B3375" s="15" t="n"/>
      <c r="C3375" s="16" t="n"/>
      <c r="D3375" s="17" t="n"/>
      <c r="E3375" s="17" t="n"/>
      <c r="F3375" s="17" t="n"/>
      <c r="G3375" s="17" t="n"/>
      <c r="H3375" s="18">
        <f>IF(AND(B3375="",C3375="",D3375="",E3375=""),"",IF(B3375="","⚠ Falta fecha",IF(C3375="","⚠ Falta monto",IF(D3375="","⚠ Falta categoría",IF(ISNA(MATCH(D3375,catNom,0)),"⚠ Categoría no existe",IF(E3375="","⚠ Falta cuenta",IF(ISNA(MATCH(E3375,ctaNom,0)),"⚠ Cuenta no existe",IF(AND(OR(I3375="Transferencia",I3375="Pago tarjeta"),G3375=""),"⚠ Indica la cuenta «Hacia»",IF(AND(G3375&lt;&gt;"",G3375=E3375),"⚠ «Hacia» igual a la cuenta",IF(AND(G3375&lt;&gt;"",ISNA(MATCH(G3375,ctaNom,0))),"⚠ «Hacia» no existe",IF(AND(I3375="Pago tarjeta",IFERROR(INDEX(ctaTipo,MATCH(G3375,ctaNom,0)),"")&lt;&gt;"Tarjeta de crédito"),"⚠ «Hacia» debe ser la tarjeta",IF(AND(I3375="Trading",IFERROR(INDEX(ctaTipo,MATCH(E3375,ctaNom,0)),"")&lt;&gt;"Cuenta de trading"),"⚠ Usa la cuenta de trading","✓"))))))))))))</f>
        <v/>
      </c>
      <c r="I3375" s="19">
        <f>IF(OR(B3375="",C3375="",D3375=""),"",IFERROR(INDEX(catTipo,MATCH(D3375,catNom,0))&amp;"",""))</f>
        <v/>
      </c>
      <c r="J3375" s="19">
        <f>IF(I3375="","",IFERROR(INDEX(catGrupo,MATCH(D3375,catNom,0))&amp;"",""))</f>
        <v/>
      </c>
      <c r="K3375" s="19">
        <f>IF(I3375="Gasto",IF(IFERROR(INDEX(catClas,MATCH(D3375,catNom,0))&amp;"","")="","Variable",IFERROR(INDEX(catClas,MATCH(D3375,catNom,0))&amp;"","")),"")</f>
        <v/>
      </c>
      <c r="L3375" s="19">
        <f>IF(I3375="","",IFERROR(INDEX(catAlim,MATCH(D3375,catNom,0))&amp;"",""))</f>
        <v/>
      </c>
      <c r="M3375" s="19">
        <f>IF(I3375="","",IFERROR(INDEX(catComida,MATCH(D3375,catNom,0))&amp;"",""))</f>
        <v/>
      </c>
      <c r="N3375" s="19">
        <f>IF(I3375="","",IFERROR(INDEX(ctaMon,MATCH(E3375,ctaNom,0))&amp;"","DOP"))</f>
        <v/>
      </c>
      <c r="O3375" s="20">
        <f>IF(I3375="","",C3375*IF(N3375="USD",TasaUSD,1))</f>
        <v/>
      </c>
      <c r="P3375" s="20">
        <f>IF(I3375="","",IF(I3375="Gasto",O3375,0))</f>
        <v/>
      </c>
      <c r="Q3375" s="20">
        <f>IF(I3375="","",IF(I3375="Ingreso",O3375,0))</f>
        <v/>
      </c>
      <c r="R3375" s="20">
        <f>IF(I3375="","",IF(I3375="Trading",O3375,0))</f>
        <v/>
      </c>
      <c r="S3375" s="19">
        <f>IF(I3375="","",IF(AND(I3375="Gasto",K3375="Variable",J3375&lt;&gt;"Trading",O3375&gt;0,O3375&lt;=Umbral),1,0))</f>
        <v/>
      </c>
      <c r="T3375" s="20">
        <f>IF(OR(I3375="",E3375=""),"",IF(OR(I3375="Gasto",I3375="Transferencia",I3375="Pago tarjeta"),-1,1)*C3375)</f>
        <v/>
      </c>
      <c r="U3375" s="20">
        <f>IF(OR(G3375="",AND(I3375&lt;&gt;"Transferencia",I3375&lt;&gt;"Pago tarjeta")),"",IF(IFERROR(INDEX(ctaMon,MATCH(G3375,ctaNom,0))&amp;"","DOP")=N3375,C3375,IF(N3375="USD",C3375*TasaUSD,C3375/TasaUSD)))</f>
        <v/>
      </c>
      <c r="V3375" s="20">
        <f>IF(I3375="","",IF(IFERROR(INDEX(ctaLiq,MATCH(E3375,ctaNom,0))="Sí",FALSE),IF(OR(I3375="Gasto",I3375="Transferencia",I3375="Pago tarjeta"),-1,1)*O3375,0)+IF(AND(U3375&lt;&gt;"",IFERROR(INDEX(ctaLiq,MATCH(G3375,ctaNom,0))="Sí",FALSE)),O3375,0))</f>
        <v/>
      </c>
      <c r="W3375" s="19">
        <f>IF(OR(F3375="",I3375=""),"",IF(COUNTIFS(F$6:F3375,F3375,I$6:I3375,"?*")=1,MAX(W$5:W3374)+1,""))</f>
        <v/>
      </c>
    </row>
    <row r="3376">
      <c r="B3376" s="15" t="n"/>
      <c r="C3376" s="16" t="n"/>
      <c r="D3376" s="17" t="n"/>
      <c r="E3376" s="17" t="n"/>
      <c r="F3376" s="17" t="n"/>
      <c r="G3376" s="17" t="n"/>
      <c r="H3376" s="18">
        <f>IF(AND(B3376="",C3376="",D3376="",E3376=""),"",IF(B3376="","⚠ Falta fecha",IF(C3376="","⚠ Falta monto",IF(D3376="","⚠ Falta categoría",IF(ISNA(MATCH(D3376,catNom,0)),"⚠ Categoría no existe",IF(E3376="","⚠ Falta cuenta",IF(ISNA(MATCH(E3376,ctaNom,0)),"⚠ Cuenta no existe",IF(AND(OR(I3376="Transferencia",I3376="Pago tarjeta"),G3376=""),"⚠ Indica la cuenta «Hacia»",IF(AND(G3376&lt;&gt;"",G3376=E3376),"⚠ «Hacia» igual a la cuenta",IF(AND(G3376&lt;&gt;"",ISNA(MATCH(G3376,ctaNom,0))),"⚠ «Hacia» no existe",IF(AND(I3376="Pago tarjeta",IFERROR(INDEX(ctaTipo,MATCH(G3376,ctaNom,0)),"")&lt;&gt;"Tarjeta de crédito"),"⚠ «Hacia» debe ser la tarjeta",IF(AND(I3376="Trading",IFERROR(INDEX(ctaTipo,MATCH(E3376,ctaNom,0)),"")&lt;&gt;"Cuenta de trading"),"⚠ Usa la cuenta de trading","✓"))))))))))))</f>
        <v/>
      </c>
      <c r="I3376" s="19">
        <f>IF(OR(B3376="",C3376="",D3376=""),"",IFERROR(INDEX(catTipo,MATCH(D3376,catNom,0))&amp;"",""))</f>
        <v/>
      </c>
      <c r="J3376" s="19">
        <f>IF(I3376="","",IFERROR(INDEX(catGrupo,MATCH(D3376,catNom,0))&amp;"",""))</f>
        <v/>
      </c>
      <c r="K3376" s="19">
        <f>IF(I3376="Gasto",IF(IFERROR(INDEX(catClas,MATCH(D3376,catNom,0))&amp;"","")="","Variable",IFERROR(INDEX(catClas,MATCH(D3376,catNom,0))&amp;"","")),"")</f>
        <v/>
      </c>
      <c r="L3376" s="19">
        <f>IF(I3376="","",IFERROR(INDEX(catAlim,MATCH(D3376,catNom,0))&amp;"",""))</f>
        <v/>
      </c>
      <c r="M3376" s="19">
        <f>IF(I3376="","",IFERROR(INDEX(catComida,MATCH(D3376,catNom,0))&amp;"",""))</f>
        <v/>
      </c>
      <c r="N3376" s="19">
        <f>IF(I3376="","",IFERROR(INDEX(ctaMon,MATCH(E3376,ctaNom,0))&amp;"","DOP"))</f>
        <v/>
      </c>
      <c r="O3376" s="20">
        <f>IF(I3376="","",C3376*IF(N3376="USD",TasaUSD,1))</f>
        <v/>
      </c>
      <c r="P3376" s="20">
        <f>IF(I3376="","",IF(I3376="Gasto",O3376,0))</f>
        <v/>
      </c>
      <c r="Q3376" s="20">
        <f>IF(I3376="","",IF(I3376="Ingreso",O3376,0))</f>
        <v/>
      </c>
      <c r="R3376" s="20">
        <f>IF(I3376="","",IF(I3376="Trading",O3376,0))</f>
        <v/>
      </c>
      <c r="S3376" s="19">
        <f>IF(I3376="","",IF(AND(I3376="Gasto",K3376="Variable",J3376&lt;&gt;"Trading",O3376&gt;0,O3376&lt;=Umbral),1,0))</f>
        <v/>
      </c>
      <c r="T3376" s="20">
        <f>IF(OR(I3376="",E3376=""),"",IF(OR(I3376="Gasto",I3376="Transferencia",I3376="Pago tarjeta"),-1,1)*C3376)</f>
        <v/>
      </c>
      <c r="U3376" s="20">
        <f>IF(OR(G3376="",AND(I3376&lt;&gt;"Transferencia",I3376&lt;&gt;"Pago tarjeta")),"",IF(IFERROR(INDEX(ctaMon,MATCH(G3376,ctaNom,0))&amp;"","DOP")=N3376,C3376,IF(N3376="USD",C3376*TasaUSD,C3376/TasaUSD)))</f>
        <v/>
      </c>
      <c r="V3376" s="20">
        <f>IF(I3376="","",IF(IFERROR(INDEX(ctaLiq,MATCH(E3376,ctaNom,0))="Sí",FALSE),IF(OR(I3376="Gasto",I3376="Transferencia",I3376="Pago tarjeta"),-1,1)*O3376,0)+IF(AND(U3376&lt;&gt;"",IFERROR(INDEX(ctaLiq,MATCH(G3376,ctaNom,0))="Sí",FALSE)),O3376,0))</f>
        <v/>
      </c>
      <c r="W3376" s="19">
        <f>IF(OR(F3376="",I3376=""),"",IF(COUNTIFS(F$6:F3376,F3376,I$6:I3376,"?*")=1,MAX(W$5:W3375)+1,""))</f>
        <v/>
      </c>
    </row>
    <row r="3377">
      <c r="B3377" s="15" t="n"/>
      <c r="C3377" s="16" t="n"/>
      <c r="D3377" s="17" t="n"/>
      <c r="E3377" s="17" t="n"/>
      <c r="F3377" s="17" t="n"/>
      <c r="G3377" s="17" t="n"/>
      <c r="H3377" s="18">
        <f>IF(AND(B3377="",C3377="",D3377="",E3377=""),"",IF(B3377="","⚠ Falta fecha",IF(C3377="","⚠ Falta monto",IF(D3377="","⚠ Falta categoría",IF(ISNA(MATCH(D3377,catNom,0)),"⚠ Categoría no existe",IF(E3377="","⚠ Falta cuenta",IF(ISNA(MATCH(E3377,ctaNom,0)),"⚠ Cuenta no existe",IF(AND(OR(I3377="Transferencia",I3377="Pago tarjeta"),G3377=""),"⚠ Indica la cuenta «Hacia»",IF(AND(G3377&lt;&gt;"",G3377=E3377),"⚠ «Hacia» igual a la cuenta",IF(AND(G3377&lt;&gt;"",ISNA(MATCH(G3377,ctaNom,0))),"⚠ «Hacia» no existe",IF(AND(I3377="Pago tarjeta",IFERROR(INDEX(ctaTipo,MATCH(G3377,ctaNom,0)),"")&lt;&gt;"Tarjeta de crédito"),"⚠ «Hacia» debe ser la tarjeta",IF(AND(I3377="Trading",IFERROR(INDEX(ctaTipo,MATCH(E3377,ctaNom,0)),"")&lt;&gt;"Cuenta de trading"),"⚠ Usa la cuenta de trading","✓"))))))))))))</f>
        <v/>
      </c>
      <c r="I3377" s="19">
        <f>IF(OR(B3377="",C3377="",D3377=""),"",IFERROR(INDEX(catTipo,MATCH(D3377,catNom,0))&amp;"",""))</f>
        <v/>
      </c>
      <c r="J3377" s="19">
        <f>IF(I3377="","",IFERROR(INDEX(catGrupo,MATCH(D3377,catNom,0))&amp;"",""))</f>
        <v/>
      </c>
      <c r="K3377" s="19">
        <f>IF(I3377="Gasto",IF(IFERROR(INDEX(catClas,MATCH(D3377,catNom,0))&amp;"","")="","Variable",IFERROR(INDEX(catClas,MATCH(D3377,catNom,0))&amp;"","")),"")</f>
        <v/>
      </c>
      <c r="L3377" s="19">
        <f>IF(I3377="","",IFERROR(INDEX(catAlim,MATCH(D3377,catNom,0))&amp;"",""))</f>
        <v/>
      </c>
      <c r="M3377" s="19">
        <f>IF(I3377="","",IFERROR(INDEX(catComida,MATCH(D3377,catNom,0))&amp;"",""))</f>
        <v/>
      </c>
      <c r="N3377" s="19">
        <f>IF(I3377="","",IFERROR(INDEX(ctaMon,MATCH(E3377,ctaNom,0))&amp;"","DOP"))</f>
        <v/>
      </c>
      <c r="O3377" s="20">
        <f>IF(I3377="","",C3377*IF(N3377="USD",TasaUSD,1))</f>
        <v/>
      </c>
      <c r="P3377" s="20">
        <f>IF(I3377="","",IF(I3377="Gasto",O3377,0))</f>
        <v/>
      </c>
      <c r="Q3377" s="20">
        <f>IF(I3377="","",IF(I3377="Ingreso",O3377,0))</f>
        <v/>
      </c>
      <c r="R3377" s="20">
        <f>IF(I3377="","",IF(I3377="Trading",O3377,0))</f>
        <v/>
      </c>
      <c r="S3377" s="19">
        <f>IF(I3377="","",IF(AND(I3377="Gasto",K3377="Variable",J3377&lt;&gt;"Trading",O3377&gt;0,O3377&lt;=Umbral),1,0))</f>
        <v/>
      </c>
      <c r="T3377" s="20">
        <f>IF(OR(I3377="",E3377=""),"",IF(OR(I3377="Gasto",I3377="Transferencia",I3377="Pago tarjeta"),-1,1)*C3377)</f>
        <v/>
      </c>
      <c r="U3377" s="20">
        <f>IF(OR(G3377="",AND(I3377&lt;&gt;"Transferencia",I3377&lt;&gt;"Pago tarjeta")),"",IF(IFERROR(INDEX(ctaMon,MATCH(G3377,ctaNom,0))&amp;"","DOP")=N3377,C3377,IF(N3377="USD",C3377*TasaUSD,C3377/TasaUSD)))</f>
        <v/>
      </c>
      <c r="V3377" s="20">
        <f>IF(I3377="","",IF(IFERROR(INDEX(ctaLiq,MATCH(E3377,ctaNom,0))="Sí",FALSE),IF(OR(I3377="Gasto",I3377="Transferencia",I3377="Pago tarjeta"),-1,1)*O3377,0)+IF(AND(U3377&lt;&gt;"",IFERROR(INDEX(ctaLiq,MATCH(G3377,ctaNom,0))="Sí",FALSE)),O3377,0))</f>
        <v/>
      </c>
      <c r="W3377" s="19">
        <f>IF(OR(F3377="",I3377=""),"",IF(COUNTIFS(F$6:F3377,F3377,I$6:I3377,"?*")=1,MAX(W$5:W3376)+1,""))</f>
        <v/>
      </c>
    </row>
    <row r="3378">
      <c r="B3378" s="15" t="n"/>
      <c r="C3378" s="16" t="n"/>
      <c r="D3378" s="17" t="n"/>
      <c r="E3378" s="17" t="n"/>
      <c r="F3378" s="17" t="n"/>
      <c r="G3378" s="17" t="n"/>
      <c r="H3378" s="18">
        <f>IF(AND(B3378="",C3378="",D3378="",E3378=""),"",IF(B3378="","⚠ Falta fecha",IF(C3378="","⚠ Falta monto",IF(D3378="","⚠ Falta categoría",IF(ISNA(MATCH(D3378,catNom,0)),"⚠ Categoría no existe",IF(E3378="","⚠ Falta cuenta",IF(ISNA(MATCH(E3378,ctaNom,0)),"⚠ Cuenta no existe",IF(AND(OR(I3378="Transferencia",I3378="Pago tarjeta"),G3378=""),"⚠ Indica la cuenta «Hacia»",IF(AND(G3378&lt;&gt;"",G3378=E3378),"⚠ «Hacia» igual a la cuenta",IF(AND(G3378&lt;&gt;"",ISNA(MATCH(G3378,ctaNom,0))),"⚠ «Hacia» no existe",IF(AND(I3378="Pago tarjeta",IFERROR(INDEX(ctaTipo,MATCH(G3378,ctaNom,0)),"")&lt;&gt;"Tarjeta de crédito"),"⚠ «Hacia» debe ser la tarjeta",IF(AND(I3378="Trading",IFERROR(INDEX(ctaTipo,MATCH(E3378,ctaNom,0)),"")&lt;&gt;"Cuenta de trading"),"⚠ Usa la cuenta de trading","✓"))))))))))))</f>
        <v/>
      </c>
      <c r="I3378" s="19">
        <f>IF(OR(B3378="",C3378="",D3378=""),"",IFERROR(INDEX(catTipo,MATCH(D3378,catNom,0))&amp;"",""))</f>
        <v/>
      </c>
      <c r="J3378" s="19">
        <f>IF(I3378="","",IFERROR(INDEX(catGrupo,MATCH(D3378,catNom,0))&amp;"",""))</f>
        <v/>
      </c>
      <c r="K3378" s="19">
        <f>IF(I3378="Gasto",IF(IFERROR(INDEX(catClas,MATCH(D3378,catNom,0))&amp;"","")="","Variable",IFERROR(INDEX(catClas,MATCH(D3378,catNom,0))&amp;"","")),"")</f>
        <v/>
      </c>
      <c r="L3378" s="19">
        <f>IF(I3378="","",IFERROR(INDEX(catAlim,MATCH(D3378,catNom,0))&amp;"",""))</f>
        <v/>
      </c>
      <c r="M3378" s="19">
        <f>IF(I3378="","",IFERROR(INDEX(catComida,MATCH(D3378,catNom,0))&amp;"",""))</f>
        <v/>
      </c>
      <c r="N3378" s="19">
        <f>IF(I3378="","",IFERROR(INDEX(ctaMon,MATCH(E3378,ctaNom,0))&amp;"","DOP"))</f>
        <v/>
      </c>
      <c r="O3378" s="20">
        <f>IF(I3378="","",C3378*IF(N3378="USD",TasaUSD,1))</f>
        <v/>
      </c>
      <c r="P3378" s="20">
        <f>IF(I3378="","",IF(I3378="Gasto",O3378,0))</f>
        <v/>
      </c>
      <c r="Q3378" s="20">
        <f>IF(I3378="","",IF(I3378="Ingreso",O3378,0))</f>
        <v/>
      </c>
      <c r="R3378" s="20">
        <f>IF(I3378="","",IF(I3378="Trading",O3378,0))</f>
        <v/>
      </c>
      <c r="S3378" s="19">
        <f>IF(I3378="","",IF(AND(I3378="Gasto",K3378="Variable",J3378&lt;&gt;"Trading",O3378&gt;0,O3378&lt;=Umbral),1,0))</f>
        <v/>
      </c>
      <c r="T3378" s="20">
        <f>IF(OR(I3378="",E3378=""),"",IF(OR(I3378="Gasto",I3378="Transferencia",I3378="Pago tarjeta"),-1,1)*C3378)</f>
        <v/>
      </c>
      <c r="U3378" s="20">
        <f>IF(OR(G3378="",AND(I3378&lt;&gt;"Transferencia",I3378&lt;&gt;"Pago tarjeta")),"",IF(IFERROR(INDEX(ctaMon,MATCH(G3378,ctaNom,0))&amp;"","DOP")=N3378,C3378,IF(N3378="USD",C3378*TasaUSD,C3378/TasaUSD)))</f>
        <v/>
      </c>
      <c r="V3378" s="20">
        <f>IF(I3378="","",IF(IFERROR(INDEX(ctaLiq,MATCH(E3378,ctaNom,0))="Sí",FALSE),IF(OR(I3378="Gasto",I3378="Transferencia",I3378="Pago tarjeta"),-1,1)*O3378,0)+IF(AND(U3378&lt;&gt;"",IFERROR(INDEX(ctaLiq,MATCH(G3378,ctaNom,0))="Sí",FALSE)),O3378,0))</f>
        <v/>
      </c>
      <c r="W3378" s="19">
        <f>IF(OR(F3378="",I3378=""),"",IF(COUNTIFS(F$6:F3378,F3378,I$6:I3378,"?*")=1,MAX(W$5:W3377)+1,""))</f>
        <v/>
      </c>
    </row>
    <row r="3379">
      <c r="B3379" s="15" t="n"/>
      <c r="C3379" s="16" t="n"/>
      <c r="D3379" s="17" t="n"/>
      <c r="E3379" s="17" t="n"/>
      <c r="F3379" s="17" t="n"/>
      <c r="G3379" s="17" t="n"/>
      <c r="H3379" s="18">
        <f>IF(AND(B3379="",C3379="",D3379="",E3379=""),"",IF(B3379="","⚠ Falta fecha",IF(C3379="","⚠ Falta monto",IF(D3379="","⚠ Falta categoría",IF(ISNA(MATCH(D3379,catNom,0)),"⚠ Categoría no existe",IF(E3379="","⚠ Falta cuenta",IF(ISNA(MATCH(E3379,ctaNom,0)),"⚠ Cuenta no existe",IF(AND(OR(I3379="Transferencia",I3379="Pago tarjeta"),G3379=""),"⚠ Indica la cuenta «Hacia»",IF(AND(G3379&lt;&gt;"",G3379=E3379),"⚠ «Hacia» igual a la cuenta",IF(AND(G3379&lt;&gt;"",ISNA(MATCH(G3379,ctaNom,0))),"⚠ «Hacia» no existe",IF(AND(I3379="Pago tarjeta",IFERROR(INDEX(ctaTipo,MATCH(G3379,ctaNom,0)),"")&lt;&gt;"Tarjeta de crédito"),"⚠ «Hacia» debe ser la tarjeta",IF(AND(I3379="Trading",IFERROR(INDEX(ctaTipo,MATCH(E3379,ctaNom,0)),"")&lt;&gt;"Cuenta de trading"),"⚠ Usa la cuenta de trading","✓"))))))))))))</f>
        <v/>
      </c>
      <c r="I3379" s="19">
        <f>IF(OR(B3379="",C3379="",D3379=""),"",IFERROR(INDEX(catTipo,MATCH(D3379,catNom,0))&amp;"",""))</f>
        <v/>
      </c>
      <c r="J3379" s="19">
        <f>IF(I3379="","",IFERROR(INDEX(catGrupo,MATCH(D3379,catNom,0))&amp;"",""))</f>
        <v/>
      </c>
      <c r="K3379" s="19">
        <f>IF(I3379="Gasto",IF(IFERROR(INDEX(catClas,MATCH(D3379,catNom,0))&amp;"","")="","Variable",IFERROR(INDEX(catClas,MATCH(D3379,catNom,0))&amp;"","")),"")</f>
        <v/>
      </c>
      <c r="L3379" s="19">
        <f>IF(I3379="","",IFERROR(INDEX(catAlim,MATCH(D3379,catNom,0))&amp;"",""))</f>
        <v/>
      </c>
      <c r="M3379" s="19">
        <f>IF(I3379="","",IFERROR(INDEX(catComida,MATCH(D3379,catNom,0))&amp;"",""))</f>
        <v/>
      </c>
      <c r="N3379" s="19">
        <f>IF(I3379="","",IFERROR(INDEX(ctaMon,MATCH(E3379,ctaNom,0))&amp;"","DOP"))</f>
        <v/>
      </c>
      <c r="O3379" s="20">
        <f>IF(I3379="","",C3379*IF(N3379="USD",TasaUSD,1))</f>
        <v/>
      </c>
      <c r="P3379" s="20">
        <f>IF(I3379="","",IF(I3379="Gasto",O3379,0))</f>
        <v/>
      </c>
      <c r="Q3379" s="20">
        <f>IF(I3379="","",IF(I3379="Ingreso",O3379,0))</f>
        <v/>
      </c>
      <c r="R3379" s="20">
        <f>IF(I3379="","",IF(I3379="Trading",O3379,0))</f>
        <v/>
      </c>
      <c r="S3379" s="19">
        <f>IF(I3379="","",IF(AND(I3379="Gasto",K3379="Variable",J3379&lt;&gt;"Trading",O3379&gt;0,O3379&lt;=Umbral),1,0))</f>
        <v/>
      </c>
      <c r="T3379" s="20">
        <f>IF(OR(I3379="",E3379=""),"",IF(OR(I3379="Gasto",I3379="Transferencia",I3379="Pago tarjeta"),-1,1)*C3379)</f>
        <v/>
      </c>
      <c r="U3379" s="20">
        <f>IF(OR(G3379="",AND(I3379&lt;&gt;"Transferencia",I3379&lt;&gt;"Pago tarjeta")),"",IF(IFERROR(INDEX(ctaMon,MATCH(G3379,ctaNom,0))&amp;"","DOP")=N3379,C3379,IF(N3379="USD",C3379*TasaUSD,C3379/TasaUSD)))</f>
        <v/>
      </c>
      <c r="V3379" s="20">
        <f>IF(I3379="","",IF(IFERROR(INDEX(ctaLiq,MATCH(E3379,ctaNom,0))="Sí",FALSE),IF(OR(I3379="Gasto",I3379="Transferencia",I3379="Pago tarjeta"),-1,1)*O3379,0)+IF(AND(U3379&lt;&gt;"",IFERROR(INDEX(ctaLiq,MATCH(G3379,ctaNom,0))="Sí",FALSE)),O3379,0))</f>
        <v/>
      </c>
      <c r="W3379" s="19">
        <f>IF(OR(F3379="",I3379=""),"",IF(COUNTIFS(F$6:F3379,F3379,I$6:I3379,"?*")=1,MAX(W$5:W3378)+1,""))</f>
        <v/>
      </c>
    </row>
    <row r="3380">
      <c r="B3380" s="15" t="n"/>
      <c r="C3380" s="16" t="n"/>
      <c r="D3380" s="17" t="n"/>
      <c r="E3380" s="17" t="n"/>
      <c r="F3380" s="17" t="n"/>
      <c r="G3380" s="17" t="n"/>
      <c r="H3380" s="18">
        <f>IF(AND(B3380="",C3380="",D3380="",E3380=""),"",IF(B3380="","⚠ Falta fecha",IF(C3380="","⚠ Falta monto",IF(D3380="","⚠ Falta categoría",IF(ISNA(MATCH(D3380,catNom,0)),"⚠ Categoría no existe",IF(E3380="","⚠ Falta cuenta",IF(ISNA(MATCH(E3380,ctaNom,0)),"⚠ Cuenta no existe",IF(AND(OR(I3380="Transferencia",I3380="Pago tarjeta"),G3380=""),"⚠ Indica la cuenta «Hacia»",IF(AND(G3380&lt;&gt;"",G3380=E3380),"⚠ «Hacia» igual a la cuenta",IF(AND(G3380&lt;&gt;"",ISNA(MATCH(G3380,ctaNom,0))),"⚠ «Hacia» no existe",IF(AND(I3380="Pago tarjeta",IFERROR(INDEX(ctaTipo,MATCH(G3380,ctaNom,0)),"")&lt;&gt;"Tarjeta de crédito"),"⚠ «Hacia» debe ser la tarjeta",IF(AND(I3380="Trading",IFERROR(INDEX(ctaTipo,MATCH(E3380,ctaNom,0)),"")&lt;&gt;"Cuenta de trading"),"⚠ Usa la cuenta de trading","✓"))))))))))))</f>
        <v/>
      </c>
      <c r="I3380" s="19">
        <f>IF(OR(B3380="",C3380="",D3380=""),"",IFERROR(INDEX(catTipo,MATCH(D3380,catNom,0))&amp;"",""))</f>
        <v/>
      </c>
      <c r="J3380" s="19">
        <f>IF(I3380="","",IFERROR(INDEX(catGrupo,MATCH(D3380,catNom,0))&amp;"",""))</f>
        <v/>
      </c>
      <c r="K3380" s="19">
        <f>IF(I3380="Gasto",IF(IFERROR(INDEX(catClas,MATCH(D3380,catNom,0))&amp;"","")="","Variable",IFERROR(INDEX(catClas,MATCH(D3380,catNom,0))&amp;"","")),"")</f>
        <v/>
      </c>
      <c r="L3380" s="19">
        <f>IF(I3380="","",IFERROR(INDEX(catAlim,MATCH(D3380,catNom,0))&amp;"",""))</f>
        <v/>
      </c>
      <c r="M3380" s="19">
        <f>IF(I3380="","",IFERROR(INDEX(catComida,MATCH(D3380,catNom,0))&amp;"",""))</f>
        <v/>
      </c>
      <c r="N3380" s="19">
        <f>IF(I3380="","",IFERROR(INDEX(ctaMon,MATCH(E3380,ctaNom,0))&amp;"","DOP"))</f>
        <v/>
      </c>
      <c r="O3380" s="20">
        <f>IF(I3380="","",C3380*IF(N3380="USD",TasaUSD,1))</f>
        <v/>
      </c>
      <c r="P3380" s="20">
        <f>IF(I3380="","",IF(I3380="Gasto",O3380,0))</f>
        <v/>
      </c>
      <c r="Q3380" s="20">
        <f>IF(I3380="","",IF(I3380="Ingreso",O3380,0))</f>
        <v/>
      </c>
      <c r="R3380" s="20">
        <f>IF(I3380="","",IF(I3380="Trading",O3380,0))</f>
        <v/>
      </c>
      <c r="S3380" s="19">
        <f>IF(I3380="","",IF(AND(I3380="Gasto",K3380="Variable",J3380&lt;&gt;"Trading",O3380&gt;0,O3380&lt;=Umbral),1,0))</f>
        <v/>
      </c>
      <c r="T3380" s="20">
        <f>IF(OR(I3380="",E3380=""),"",IF(OR(I3380="Gasto",I3380="Transferencia",I3380="Pago tarjeta"),-1,1)*C3380)</f>
        <v/>
      </c>
      <c r="U3380" s="20">
        <f>IF(OR(G3380="",AND(I3380&lt;&gt;"Transferencia",I3380&lt;&gt;"Pago tarjeta")),"",IF(IFERROR(INDEX(ctaMon,MATCH(G3380,ctaNom,0))&amp;"","DOP")=N3380,C3380,IF(N3380="USD",C3380*TasaUSD,C3380/TasaUSD)))</f>
        <v/>
      </c>
      <c r="V3380" s="20">
        <f>IF(I3380="","",IF(IFERROR(INDEX(ctaLiq,MATCH(E3380,ctaNom,0))="Sí",FALSE),IF(OR(I3380="Gasto",I3380="Transferencia",I3380="Pago tarjeta"),-1,1)*O3380,0)+IF(AND(U3380&lt;&gt;"",IFERROR(INDEX(ctaLiq,MATCH(G3380,ctaNom,0))="Sí",FALSE)),O3380,0))</f>
        <v/>
      </c>
      <c r="W3380" s="19">
        <f>IF(OR(F3380="",I3380=""),"",IF(COUNTIFS(F$6:F3380,F3380,I$6:I3380,"?*")=1,MAX(W$5:W3379)+1,""))</f>
        <v/>
      </c>
    </row>
    <row r="3381">
      <c r="B3381" s="15" t="n"/>
      <c r="C3381" s="16" t="n"/>
      <c r="D3381" s="17" t="n"/>
      <c r="E3381" s="17" t="n"/>
      <c r="F3381" s="17" t="n"/>
      <c r="G3381" s="17" t="n"/>
      <c r="H3381" s="18">
        <f>IF(AND(B3381="",C3381="",D3381="",E3381=""),"",IF(B3381="","⚠ Falta fecha",IF(C3381="","⚠ Falta monto",IF(D3381="","⚠ Falta categoría",IF(ISNA(MATCH(D3381,catNom,0)),"⚠ Categoría no existe",IF(E3381="","⚠ Falta cuenta",IF(ISNA(MATCH(E3381,ctaNom,0)),"⚠ Cuenta no existe",IF(AND(OR(I3381="Transferencia",I3381="Pago tarjeta"),G3381=""),"⚠ Indica la cuenta «Hacia»",IF(AND(G3381&lt;&gt;"",G3381=E3381),"⚠ «Hacia» igual a la cuenta",IF(AND(G3381&lt;&gt;"",ISNA(MATCH(G3381,ctaNom,0))),"⚠ «Hacia» no existe",IF(AND(I3381="Pago tarjeta",IFERROR(INDEX(ctaTipo,MATCH(G3381,ctaNom,0)),"")&lt;&gt;"Tarjeta de crédito"),"⚠ «Hacia» debe ser la tarjeta",IF(AND(I3381="Trading",IFERROR(INDEX(ctaTipo,MATCH(E3381,ctaNom,0)),"")&lt;&gt;"Cuenta de trading"),"⚠ Usa la cuenta de trading","✓"))))))))))))</f>
        <v/>
      </c>
      <c r="I3381" s="19">
        <f>IF(OR(B3381="",C3381="",D3381=""),"",IFERROR(INDEX(catTipo,MATCH(D3381,catNom,0))&amp;"",""))</f>
        <v/>
      </c>
      <c r="J3381" s="19">
        <f>IF(I3381="","",IFERROR(INDEX(catGrupo,MATCH(D3381,catNom,0))&amp;"",""))</f>
        <v/>
      </c>
      <c r="K3381" s="19">
        <f>IF(I3381="Gasto",IF(IFERROR(INDEX(catClas,MATCH(D3381,catNom,0))&amp;"","")="","Variable",IFERROR(INDEX(catClas,MATCH(D3381,catNom,0))&amp;"","")),"")</f>
        <v/>
      </c>
      <c r="L3381" s="19">
        <f>IF(I3381="","",IFERROR(INDEX(catAlim,MATCH(D3381,catNom,0))&amp;"",""))</f>
        <v/>
      </c>
      <c r="M3381" s="19">
        <f>IF(I3381="","",IFERROR(INDEX(catComida,MATCH(D3381,catNom,0))&amp;"",""))</f>
        <v/>
      </c>
      <c r="N3381" s="19">
        <f>IF(I3381="","",IFERROR(INDEX(ctaMon,MATCH(E3381,ctaNom,0))&amp;"","DOP"))</f>
        <v/>
      </c>
      <c r="O3381" s="20">
        <f>IF(I3381="","",C3381*IF(N3381="USD",TasaUSD,1))</f>
        <v/>
      </c>
      <c r="P3381" s="20">
        <f>IF(I3381="","",IF(I3381="Gasto",O3381,0))</f>
        <v/>
      </c>
      <c r="Q3381" s="20">
        <f>IF(I3381="","",IF(I3381="Ingreso",O3381,0))</f>
        <v/>
      </c>
      <c r="R3381" s="20">
        <f>IF(I3381="","",IF(I3381="Trading",O3381,0))</f>
        <v/>
      </c>
      <c r="S3381" s="19">
        <f>IF(I3381="","",IF(AND(I3381="Gasto",K3381="Variable",J3381&lt;&gt;"Trading",O3381&gt;0,O3381&lt;=Umbral),1,0))</f>
        <v/>
      </c>
      <c r="T3381" s="20">
        <f>IF(OR(I3381="",E3381=""),"",IF(OR(I3381="Gasto",I3381="Transferencia",I3381="Pago tarjeta"),-1,1)*C3381)</f>
        <v/>
      </c>
      <c r="U3381" s="20">
        <f>IF(OR(G3381="",AND(I3381&lt;&gt;"Transferencia",I3381&lt;&gt;"Pago tarjeta")),"",IF(IFERROR(INDEX(ctaMon,MATCH(G3381,ctaNom,0))&amp;"","DOP")=N3381,C3381,IF(N3381="USD",C3381*TasaUSD,C3381/TasaUSD)))</f>
        <v/>
      </c>
      <c r="V3381" s="20">
        <f>IF(I3381="","",IF(IFERROR(INDEX(ctaLiq,MATCH(E3381,ctaNom,0))="Sí",FALSE),IF(OR(I3381="Gasto",I3381="Transferencia",I3381="Pago tarjeta"),-1,1)*O3381,0)+IF(AND(U3381&lt;&gt;"",IFERROR(INDEX(ctaLiq,MATCH(G3381,ctaNom,0))="Sí",FALSE)),O3381,0))</f>
        <v/>
      </c>
      <c r="W3381" s="19">
        <f>IF(OR(F3381="",I3381=""),"",IF(COUNTIFS(F$6:F3381,F3381,I$6:I3381,"?*")=1,MAX(W$5:W3380)+1,""))</f>
        <v/>
      </c>
    </row>
    <row r="3382">
      <c r="B3382" s="15" t="n"/>
      <c r="C3382" s="16" t="n"/>
      <c r="D3382" s="17" t="n"/>
      <c r="E3382" s="17" t="n"/>
      <c r="F3382" s="17" t="n"/>
      <c r="G3382" s="17" t="n"/>
      <c r="H3382" s="18">
        <f>IF(AND(B3382="",C3382="",D3382="",E3382=""),"",IF(B3382="","⚠ Falta fecha",IF(C3382="","⚠ Falta monto",IF(D3382="","⚠ Falta categoría",IF(ISNA(MATCH(D3382,catNom,0)),"⚠ Categoría no existe",IF(E3382="","⚠ Falta cuenta",IF(ISNA(MATCH(E3382,ctaNom,0)),"⚠ Cuenta no existe",IF(AND(OR(I3382="Transferencia",I3382="Pago tarjeta"),G3382=""),"⚠ Indica la cuenta «Hacia»",IF(AND(G3382&lt;&gt;"",G3382=E3382),"⚠ «Hacia» igual a la cuenta",IF(AND(G3382&lt;&gt;"",ISNA(MATCH(G3382,ctaNom,0))),"⚠ «Hacia» no existe",IF(AND(I3382="Pago tarjeta",IFERROR(INDEX(ctaTipo,MATCH(G3382,ctaNom,0)),"")&lt;&gt;"Tarjeta de crédito"),"⚠ «Hacia» debe ser la tarjeta",IF(AND(I3382="Trading",IFERROR(INDEX(ctaTipo,MATCH(E3382,ctaNom,0)),"")&lt;&gt;"Cuenta de trading"),"⚠ Usa la cuenta de trading","✓"))))))))))))</f>
        <v/>
      </c>
      <c r="I3382" s="19">
        <f>IF(OR(B3382="",C3382="",D3382=""),"",IFERROR(INDEX(catTipo,MATCH(D3382,catNom,0))&amp;"",""))</f>
        <v/>
      </c>
      <c r="J3382" s="19">
        <f>IF(I3382="","",IFERROR(INDEX(catGrupo,MATCH(D3382,catNom,0))&amp;"",""))</f>
        <v/>
      </c>
      <c r="K3382" s="19">
        <f>IF(I3382="Gasto",IF(IFERROR(INDEX(catClas,MATCH(D3382,catNom,0))&amp;"","")="","Variable",IFERROR(INDEX(catClas,MATCH(D3382,catNom,0))&amp;"","")),"")</f>
        <v/>
      </c>
      <c r="L3382" s="19">
        <f>IF(I3382="","",IFERROR(INDEX(catAlim,MATCH(D3382,catNom,0))&amp;"",""))</f>
        <v/>
      </c>
      <c r="M3382" s="19">
        <f>IF(I3382="","",IFERROR(INDEX(catComida,MATCH(D3382,catNom,0))&amp;"",""))</f>
        <v/>
      </c>
      <c r="N3382" s="19">
        <f>IF(I3382="","",IFERROR(INDEX(ctaMon,MATCH(E3382,ctaNom,0))&amp;"","DOP"))</f>
        <v/>
      </c>
      <c r="O3382" s="20">
        <f>IF(I3382="","",C3382*IF(N3382="USD",TasaUSD,1))</f>
        <v/>
      </c>
      <c r="P3382" s="20">
        <f>IF(I3382="","",IF(I3382="Gasto",O3382,0))</f>
        <v/>
      </c>
      <c r="Q3382" s="20">
        <f>IF(I3382="","",IF(I3382="Ingreso",O3382,0))</f>
        <v/>
      </c>
      <c r="R3382" s="20">
        <f>IF(I3382="","",IF(I3382="Trading",O3382,0))</f>
        <v/>
      </c>
      <c r="S3382" s="19">
        <f>IF(I3382="","",IF(AND(I3382="Gasto",K3382="Variable",J3382&lt;&gt;"Trading",O3382&gt;0,O3382&lt;=Umbral),1,0))</f>
        <v/>
      </c>
      <c r="T3382" s="20">
        <f>IF(OR(I3382="",E3382=""),"",IF(OR(I3382="Gasto",I3382="Transferencia",I3382="Pago tarjeta"),-1,1)*C3382)</f>
        <v/>
      </c>
      <c r="U3382" s="20">
        <f>IF(OR(G3382="",AND(I3382&lt;&gt;"Transferencia",I3382&lt;&gt;"Pago tarjeta")),"",IF(IFERROR(INDEX(ctaMon,MATCH(G3382,ctaNom,0))&amp;"","DOP")=N3382,C3382,IF(N3382="USD",C3382*TasaUSD,C3382/TasaUSD)))</f>
        <v/>
      </c>
      <c r="V3382" s="20">
        <f>IF(I3382="","",IF(IFERROR(INDEX(ctaLiq,MATCH(E3382,ctaNom,0))="Sí",FALSE),IF(OR(I3382="Gasto",I3382="Transferencia",I3382="Pago tarjeta"),-1,1)*O3382,0)+IF(AND(U3382&lt;&gt;"",IFERROR(INDEX(ctaLiq,MATCH(G3382,ctaNom,0))="Sí",FALSE)),O3382,0))</f>
        <v/>
      </c>
      <c r="W3382" s="19">
        <f>IF(OR(F3382="",I3382=""),"",IF(COUNTIFS(F$6:F3382,F3382,I$6:I3382,"?*")=1,MAX(W$5:W3381)+1,""))</f>
        <v/>
      </c>
    </row>
    <row r="3383">
      <c r="B3383" s="15" t="n"/>
      <c r="C3383" s="16" t="n"/>
      <c r="D3383" s="17" t="n"/>
      <c r="E3383" s="17" t="n"/>
      <c r="F3383" s="17" t="n"/>
      <c r="G3383" s="17" t="n"/>
      <c r="H3383" s="18">
        <f>IF(AND(B3383="",C3383="",D3383="",E3383=""),"",IF(B3383="","⚠ Falta fecha",IF(C3383="","⚠ Falta monto",IF(D3383="","⚠ Falta categoría",IF(ISNA(MATCH(D3383,catNom,0)),"⚠ Categoría no existe",IF(E3383="","⚠ Falta cuenta",IF(ISNA(MATCH(E3383,ctaNom,0)),"⚠ Cuenta no existe",IF(AND(OR(I3383="Transferencia",I3383="Pago tarjeta"),G3383=""),"⚠ Indica la cuenta «Hacia»",IF(AND(G3383&lt;&gt;"",G3383=E3383),"⚠ «Hacia» igual a la cuenta",IF(AND(G3383&lt;&gt;"",ISNA(MATCH(G3383,ctaNom,0))),"⚠ «Hacia» no existe",IF(AND(I3383="Pago tarjeta",IFERROR(INDEX(ctaTipo,MATCH(G3383,ctaNom,0)),"")&lt;&gt;"Tarjeta de crédito"),"⚠ «Hacia» debe ser la tarjeta",IF(AND(I3383="Trading",IFERROR(INDEX(ctaTipo,MATCH(E3383,ctaNom,0)),"")&lt;&gt;"Cuenta de trading"),"⚠ Usa la cuenta de trading","✓"))))))))))))</f>
        <v/>
      </c>
      <c r="I3383" s="19">
        <f>IF(OR(B3383="",C3383="",D3383=""),"",IFERROR(INDEX(catTipo,MATCH(D3383,catNom,0))&amp;"",""))</f>
        <v/>
      </c>
      <c r="J3383" s="19">
        <f>IF(I3383="","",IFERROR(INDEX(catGrupo,MATCH(D3383,catNom,0))&amp;"",""))</f>
        <v/>
      </c>
      <c r="K3383" s="19">
        <f>IF(I3383="Gasto",IF(IFERROR(INDEX(catClas,MATCH(D3383,catNom,0))&amp;"","")="","Variable",IFERROR(INDEX(catClas,MATCH(D3383,catNom,0))&amp;"","")),"")</f>
        <v/>
      </c>
      <c r="L3383" s="19">
        <f>IF(I3383="","",IFERROR(INDEX(catAlim,MATCH(D3383,catNom,0))&amp;"",""))</f>
        <v/>
      </c>
      <c r="M3383" s="19">
        <f>IF(I3383="","",IFERROR(INDEX(catComida,MATCH(D3383,catNom,0))&amp;"",""))</f>
        <v/>
      </c>
      <c r="N3383" s="19">
        <f>IF(I3383="","",IFERROR(INDEX(ctaMon,MATCH(E3383,ctaNom,0))&amp;"","DOP"))</f>
        <v/>
      </c>
      <c r="O3383" s="20">
        <f>IF(I3383="","",C3383*IF(N3383="USD",TasaUSD,1))</f>
        <v/>
      </c>
      <c r="P3383" s="20">
        <f>IF(I3383="","",IF(I3383="Gasto",O3383,0))</f>
        <v/>
      </c>
      <c r="Q3383" s="20">
        <f>IF(I3383="","",IF(I3383="Ingreso",O3383,0))</f>
        <v/>
      </c>
      <c r="R3383" s="20">
        <f>IF(I3383="","",IF(I3383="Trading",O3383,0))</f>
        <v/>
      </c>
      <c r="S3383" s="19">
        <f>IF(I3383="","",IF(AND(I3383="Gasto",K3383="Variable",J3383&lt;&gt;"Trading",O3383&gt;0,O3383&lt;=Umbral),1,0))</f>
        <v/>
      </c>
      <c r="T3383" s="20">
        <f>IF(OR(I3383="",E3383=""),"",IF(OR(I3383="Gasto",I3383="Transferencia",I3383="Pago tarjeta"),-1,1)*C3383)</f>
        <v/>
      </c>
      <c r="U3383" s="20">
        <f>IF(OR(G3383="",AND(I3383&lt;&gt;"Transferencia",I3383&lt;&gt;"Pago tarjeta")),"",IF(IFERROR(INDEX(ctaMon,MATCH(G3383,ctaNom,0))&amp;"","DOP")=N3383,C3383,IF(N3383="USD",C3383*TasaUSD,C3383/TasaUSD)))</f>
        <v/>
      </c>
      <c r="V3383" s="20">
        <f>IF(I3383="","",IF(IFERROR(INDEX(ctaLiq,MATCH(E3383,ctaNom,0))="Sí",FALSE),IF(OR(I3383="Gasto",I3383="Transferencia",I3383="Pago tarjeta"),-1,1)*O3383,0)+IF(AND(U3383&lt;&gt;"",IFERROR(INDEX(ctaLiq,MATCH(G3383,ctaNom,0))="Sí",FALSE)),O3383,0))</f>
        <v/>
      </c>
      <c r="W3383" s="19">
        <f>IF(OR(F3383="",I3383=""),"",IF(COUNTIFS(F$6:F3383,F3383,I$6:I3383,"?*")=1,MAX(W$5:W3382)+1,""))</f>
        <v/>
      </c>
    </row>
    <row r="3384">
      <c r="B3384" s="15" t="n"/>
      <c r="C3384" s="16" t="n"/>
      <c r="D3384" s="17" t="n"/>
      <c r="E3384" s="17" t="n"/>
      <c r="F3384" s="17" t="n"/>
      <c r="G3384" s="17" t="n"/>
      <c r="H3384" s="18">
        <f>IF(AND(B3384="",C3384="",D3384="",E3384=""),"",IF(B3384="","⚠ Falta fecha",IF(C3384="","⚠ Falta monto",IF(D3384="","⚠ Falta categoría",IF(ISNA(MATCH(D3384,catNom,0)),"⚠ Categoría no existe",IF(E3384="","⚠ Falta cuenta",IF(ISNA(MATCH(E3384,ctaNom,0)),"⚠ Cuenta no existe",IF(AND(OR(I3384="Transferencia",I3384="Pago tarjeta"),G3384=""),"⚠ Indica la cuenta «Hacia»",IF(AND(G3384&lt;&gt;"",G3384=E3384),"⚠ «Hacia» igual a la cuenta",IF(AND(G3384&lt;&gt;"",ISNA(MATCH(G3384,ctaNom,0))),"⚠ «Hacia» no existe",IF(AND(I3384="Pago tarjeta",IFERROR(INDEX(ctaTipo,MATCH(G3384,ctaNom,0)),"")&lt;&gt;"Tarjeta de crédito"),"⚠ «Hacia» debe ser la tarjeta",IF(AND(I3384="Trading",IFERROR(INDEX(ctaTipo,MATCH(E3384,ctaNom,0)),"")&lt;&gt;"Cuenta de trading"),"⚠ Usa la cuenta de trading","✓"))))))))))))</f>
        <v/>
      </c>
      <c r="I3384" s="19">
        <f>IF(OR(B3384="",C3384="",D3384=""),"",IFERROR(INDEX(catTipo,MATCH(D3384,catNom,0))&amp;"",""))</f>
        <v/>
      </c>
      <c r="J3384" s="19">
        <f>IF(I3384="","",IFERROR(INDEX(catGrupo,MATCH(D3384,catNom,0))&amp;"",""))</f>
        <v/>
      </c>
      <c r="K3384" s="19">
        <f>IF(I3384="Gasto",IF(IFERROR(INDEX(catClas,MATCH(D3384,catNom,0))&amp;"","")="","Variable",IFERROR(INDEX(catClas,MATCH(D3384,catNom,0))&amp;"","")),"")</f>
        <v/>
      </c>
      <c r="L3384" s="19">
        <f>IF(I3384="","",IFERROR(INDEX(catAlim,MATCH(D3384,catNom,0))&amp;"",""))</f>
        <v/>
      </c>
      <c r="M3384" s="19">
        <f>IF(I3384="","",IFERROR(INDEX(catComida,MATCH(D3384,catNom,0))&amp;"",""))</f>
        <v/>
      </c>
      <c r="N3384" s="19">
        <f>IF(I3384="","",IFERROR(INDEX(ctaMon,MATCH(E3384,ctaNom,0))&amp;"","DOP"))</f>
        <v/>
      </c>
      <c r="O3384" s="20">
        <f>IF(I3384="","",C3384*IF(N3384="USD",TasaUSD,1))</f>
        <v/>
      </c>
      <c r="P3384" s="20">
        <f>IF(I3384="","",IF(I3384="Gasto",O3384,0))</f>
        <v/>
      </c>
      <c r="Q3384" s="20">
        <f>IF(I3384="","",IF(I3384="Ingreso",O3384,0))</f>
        <v/>
      </c>
      <c r="R3384" s="20">
        <f>IF(I3384="","",IF(I3384="Trading",O3384,0))</f>
        <v/>
      </c>
      <c r="S3384" s="19">
        <f>IF(I3384="","",IF(AND(I3384="Gasto",K3384="Variable",J3384&lt;&gt;"Trading",O3384&gt;0,O3384&lt;=Umbral),1,0))</f>
        <v/>
      </c>
      <c r="T3384" s="20">
        <f>IF(OR(I3384="",E3384=""),"",IF(OR(I3384="Gasto",I3384="Transferencia",I3384="Pago tarjeta"),-1,1)*C3384)</f>
        <v/>
      </c>
      <c r="U3384" s="20">
        <f>IF(OR(G3384="",AND(I3384&lt;&gt;"Transferencia",I3384&lt;&gt;"Pago tarjeta")),"",IF(IFERROR(INDEX(ctaMon,MATCH(G3384,ctaNom,0))&amp;"","DOP")=N3384,C3384,IF(N3384="USD",C3384*TasaUSD,C3384/TasaUSD)))</f>
        <v/>
      </c>
      <c r="V3384" s="20">
        <f>IF(I3384="","",IF(IFERROR(INDEX(ctaLiq,MATCH(E3384,ctaNom,0))="Sí",FALSE),IF(OR(I3384="Gasto",I3384="Transferencia",I3384="Pago tarjeta"),-1,1)*O3384,0)+IF(AND(U3384&lt;&gt;"",IFERROR(INDEX(ctaLiq,MATCH(G3384,ctaNom,0))="Sí",FALSE)),O3384,0))</f>
        <v/>
      </c>
      <c r="W3384" s="19">
        <f>IF(OR(F3384="",I3384=""),"",IF(COUNTIFS(F$6:F3384,F3384,I$6:I3384,"?*")=1,MAX(W$5:W3383)+1,""))</f>
        <v/>
      </c>
    </row>
    <row r="3385">
      <c r="B3385" s="15" t="n"/>
      <c r="C3385" s="16" t="n"/>
      <c r="D3385" s="17" t="n"/>
      <c r="E3385" s="17" t="n"/>
      <c r="F3385" s="17" t="n"/>
      <c r="G3385" s="17" t="n"/>
      <c r="H3385" s="18">
        <f>IF(AND(B3385="",C3385="",D3385="",E3385=""),"",IF(B3385="","⚠ Falta fecha",IF(C3385="","⚠ Falta monto",IF(D3385="","⚠ Falta categoría",IF(ISNA(MATCH(D3385,catNom,0)),"⚠ Categoría no existe",IF(E3385="","⚠ Falta cuenta",IF(ISNA(MATCH(E3385,ctaNom,0)),"⚠ Cuenta no existe",IF(AND(OR(I3385="Transferencia",I3385="Pago tarjeta"),G3385=""),"⚠ Indica la cuenta «Hacia»",IF(AND(G3385&lt;&gt;"",G3385=E3385),"⚠ «Hacia» igual a la cuenta",IF(AND(G3385&lt;&gt;"",ISNA(MATCH(G3385,ctaNom,0))),"⚠ «Hacia» no existe",IF(AND(I3385="Pago tarjeta",IFERROR(INDEX(ctaTipo,MATCH(G3385,ctaNom,0)),"")&lt;&gt;"Tarjeta de crédito"),"⚠ «Hacia» debe ser la tarjeta",IF(AND(I3385="Trading",IFERROR(INDEX(ctaTipo,MATCH(E3385,ctaNom,0)),"")&lt;&gt;"Cuenta de trading"),"⚠ Usa la cuenta de trading","✓"))))))))))))</f>
        <v/>
      </c>
      <c r="I3385" s="19">
        <f>IF(OR(B3385="",C3385="",D3385=""),"",IFERROR(INDEX(catTipo,MATCH(D3385,catNom,0))&amp;"",""))</f>
        <v/>
      </c>
      <c r="J3385" s="19">
        <f>IF(I3385="","",IFERROR(INDEX(catGrupo,MATCH(D3385,catNom,0))&amp;"",""))</f>
        <v/>
      </c>
      <c r="K3385" s="19">
        <f>IF(I3385="Gasto",IF(IFERROR(INDEX(catClas,MATCH(D3385,catNom,0))&amp;"","")="","Variable",IFERROR(INDEX(catClas,MATCH(D3385,catNom,0))&amp;"","")),"")</f>
        <v/>
      </c>
      <c r="L3385" s="19">
        <f>IF(I3385="","",IFERROR(INDEX(catAlim,MATCH(D3385,catNom,0))&amp;"",""))</f>
        <v/>
      </c>
      <c r="M3385" s="19">
        <f>IF(I3385="","",IFERROR(INDEX(catComida,MATCH(D3385,catNom,0))&amp;"",""))</f>
        <v/>
      </c>
      <c r="N3385" s="19">
        <f>IF(I3385="","",IFERROR(INDEX(ctaMon,MATCH(E3385,ctaNom,0))&amp;"","DOP"))</f>
        <v/>
      </c>
      <c r="O3385" s="20">
        <f>IF(I3385="","",C3385*IF(N3385="USD",TasaUSD,1))</f>
        <v/>
      </c>
      <c r="P3385" s="20">
        <f>IF(I3385="","",IF(I3385="Gasto",O3385,0))</f>
        <v/>
      </c>
      <c r="Q3385" s="20">
        <f>IF(I3385="","",IF(I3385="Ingreso",O3385,0))</f>
        <v/>
      </c>
      <c r="R3385" s="20">
        <f>IF(I3385="","",IF(I3385="Trading",O3385,0))</f>
        <v/>
      </c>
      <c r="S3385" s="19">
        <f>IF(I3385="","",IF(AND(I3385="Gasto",K3385="Variable",J3385&lt;&gt;"Trading",O3385&gt;0,O3385&lt;=Umbral),1,0))</f>
        <v/>
      </c>
      <c r="T3385" s="20">
        <f>IF(OR(I3385="",E3385=""),"",IF(OR(I3385="Gasto",I3385="Transferencia",I3385="Pago tarjeta"),-1,1)*C3385)</f>
        <v/>
      </c>
      <c r="U3385" s="20">
        <f>IF(OR(G3385="",AND(I3385&lt;&gt;"Transferencia",I3385&lt;&gt;"Pago tarjeta")),"",IF(IFERROR(INDEX(ctaMon,MATCH(G3385,ctaNom,0))&amp;"","DOP")=N3385,C3385,IF(N3385="USD",C3385*TasaUSD,C3385/TasaUSD)))</f>
        <v/>
      </c>
      <c r="V3385" s="20">
        <f>IF(I3385="","",IF(IFERROR(INDEX(ctaLiq,MATCH(E3385,ctaNom,0))="Sí",FALSE),IF(OR(I3385="Gasto",I3385="Transferencia",I3385="Pago tarjeta"),-1,1)*O3385,0)+IF(AND(U3385&lt;&gt;"",IFERROR(INDEX(ctaLiq,MATCH(G3385,ctaNom,0))="Sí",FALSE)),O3385,0))</f>
        <v/>
      </c>
      <c r="W3385" s="19">
        <f>IF(OR(F3385="",I3385=""),"",IF(COUNTIFS(F$6:F3385,F3385,I$6:I3385,"?*")=1,MAX(W$5:W3384)+1,""))</f>
        <v/>
      </c>
    </row>
    <row r="3386">
      <c r="B3386" s="15" t="n"/>
      <c r="C3386" s="16" t="n"/>
      <c r="D3386" s="17" t="n"/>
      <c r="E3386" s="17" t="n"/>
      <c r="F3386" s="17" t="n"/>
      <c r="G3386" s="17" t="n"/>
      <c r="H3386" s="18">
        <f>IF(AND(B3386="",C3386="",D3386="",E3386=""),"",IF(B3386="","⚠ Falta fecha",IF(C3386="","⚠ Falta monto",IF(D3386="","⚠ Falta categoría",IF(ISNA(MATCH(D3386,catNom,0)),"⚠ Categoría no existe",IF(E3386="","⚠ Falta cuenta",IF(ISNA(MATCH(E3386,ctaNom,0)),"⚠ Cuenta no existe",IF(AND(OR(I3386="Transferencia",I3386="Pago tarjeta"),G3386=""),"⚠ Indica la cuenta «Hacia»",IF(AND(G3386&lt;&gt;"",G3386=E3386),"⚠ «Hacia» igual a la cuenta",IF(AND(G3386&lt;&gt;"",ISNA(MATCH(G3386,ctaNom,0))),"⚠ «Hacia» no existe",IF(AND(I3386="Pago tarjeta",IFERROR(INDEX(ctaTipo,MATCH(G3386,ctaNom,0)),"")&lt;&gt;"Tarjeta de crédito"),"⚠ «Hacia» debe ser la tarjeta",IF(AND(I3386="Trading",IFERROR(INDEX(ctaTipo,MATCH(E3386,ctaNom,0)),"")&lt;&gt;"Cuenta de trading"),"⚠ Usa la cuenta de trading","✓"))))))))))))</f>
        <v/>
      </c>
      <c r="I3386" s="19">
        <f>IF(OR(B3386="",C3386="",D3386=""),"",IFERROR(INDEX(catTipo,MATCH(D3386,catNom,0))&amp;"",""))</f>
        <v/>
      </c>
      <c r="J3386" s="19">
        <f>IF(I3386="","",IFERROR(INDEX(catGrupo,MATCH(D3386,catNom,0))&amp;"",""))</f>
        <v/>
      </c>
      <c r="K3386" s="19">
        <f>IF(I3386="Gasto",IF(IFERROR(INDEX(catClas,MATCH(D3386,catNom,0))&amp;"","")="","Variable",IFERROR(INDEX(catClas,MATCH(D3386,catNom,0))&amp;"","")),"")</f>
        <v/>
      </c>
      <c r="L3386" s="19">
        <f>IF(I3386="","",IFERROR(INDEX(catAlim,MATCH(D3386,catNom,0))&amp;"",""))</f>
        <v/>
      </c>
      <c r="M3386" s="19">
        <f>IF(I3386="","",IFERROR(INDEX(catComida,MATCH(D3386,catNom,0))&amp;"",""))</f>
        <v/>
      </c>
      <c r="N3386" s="19">
        <f>IF(I3386="","",IFERROR(INDEX(ctaMon,MATCH(E3386,ctaNom,0))&amp;"","DOP"))</f>
        <v/>
      </c>
      <c r="O3386" s="20">
        <f>IF(I3386="","",C3386*IF(N3386="USD",TasaUSD,1))</f>
        <v/>
      </c>
      <c r="P3386" s="20">
        <f>IF(I3386="","",IF(I3386="Gasto",O3386,0))</f>
        <v/>
      </c>
      <c r="Q3386" s="20">
        <f>IF(I3386="","",IF(I3386="Ingreso",O3386,0))</f>
        <v/>
      </c>
      <c r="R3386" s="20">
        <f>IF(I3386="","",IF(I3386="Trading",O3386,0))</f>
        <v/>
      </c>
      <c r="S3386" s="19">
        <f>IF(I3386="","",IF(AND(I3386="Gasto",K3386="Variable",J3386&lt;&gt;"Trading",O3386&gt;0,O3386&lt;=Umbral),1,0))</f>
        <v/>
      </c>
      <c r="T3386" s="20">
        <f>IF(OR(I3386="",E3386=""),"",IF(OR(I3386="Gasto",I3386="Transferencia",I3386="Pago tarjeta"),-1,1)*C3386)</f>
        <v/>
      </c>
      <c r="U3386" s="20">
        <f>IF(OR(G3386="",AND(I3386&lt;&gt;"Transferencia",I3386&lt;&gt;"Pago tarjeta")),"",IF(IFERROR(INDEX(ctaMon,MATCH(G3386,ctaNom,0))&amp;"","DOP")=N3386,C3386,IF(N3386="USD",C3386*TasaUSD,C3386/TasaUSD)))</f>
        <v/>
      </c>
      <c r="V3386" s="20">
        <f>IF(I3386="","",IF(IFERROR(INDEX(ctaLiq,MATCH(E3386,ctaNom,0))="Sí",FALSE),IF(OR(I3386="Gasto",I3386="Transferencia",I3386="Pago tarjeta"),-1,1)*O3386,0)+IF(AND(U3386&lt;&gt;"",IFERROR(INDEX(ctaLiq,MATCH(G3386,ctaNom,0))="Sí",FALSE)),O3386,0))</f>
        <v/>
      </c>
      <c r="W3386" s="19">
        <f>IF(OR(F3386="",I3386=""),"",IF(COUNTIFS(F$6:F3386,F3386,I$6:I3386,"?*")=1,MAX(W$5:W3385)+1,""))</f>
        <v/>
      </c>
    </row>
    <row r="3387">
      <c r="B3387" s="15" t="n"/>
      <c r="C3387" s="16" t="n"/>
      <c r="D3387" s="17" t="n"/>
      <c r="E3387" s="17" t="n"/>
      <c r="F3387" s="17" t="n"/>
      <c r="G3387" s="17" t="n"/>
      <c r="H3387" s="18">
        <f>IF(AND(B3387="",C3387="",D3387="",E3387=""),"",IF(B3387="","⚠ Falta fecha",IF(C3387="","⚠ Falta monto",IF(D3387="","⚠ Falta categoría",IF(ISNA(MATCH(D3387,catNom,0)),"⚠ Categoría no existe",IF(E3387="","⚠ Falta cuenta",IF(ISNA(MATCH(E3387,ctaNom,0)),"⚠ Cuenta no existe",IF(AND(OR(I3387="Transferencia",I3387="Pago tarjeta"),G3387=""),"⚠ Indica la cuenta «Hacia»",IF(AND(G3387&lt;&gt;"",G3387=E3387),"⚠ «Hacia» igual a la cuenta",IF(AND(G3387&lt;&gt;"",ISNA(MATCH(G3387,ctaNom,0))),"⚠ «Hacia» no existe",IF(AND(I3387="Pago tarjeta",IFERROR(INDEX(ctaTipo,MATCH(G3387,ctaNom,0)),"")&lt;&gt;"Tarjeta de crédito"),"⚠ «Hacia» debe ser la tarjeta",IF(AND(I3387="Trading",IFERROR(INDEX(ctaTipo,MATCH(E3387,ctaNom,0)),"")&lt;&gt;"Cuenta de trading"),"⚠ Usa la cuenta de trading","✓"))))))))))))</f>
        <v/>
      </c>
      <c r="I3387" s="19">
        <f>IF(OR(B3387="",C3387="",D3387=""),"",IFERROR(INDEX(catTipo,MATCH(D3387,catNom,0))&amp;"",""))</f>
        <v/>
      </c>
      <c r="J3387" s="19">
        <f>IF(I3387="","",IFERROR(INDEX(catGrupo,MATCH(D3387,catNom,0))&amp;"",""))</f>
        <v/>
      </c>
      <c r="K3387" s="19">
        <f>IF(I3387="Gasto",IF(IFERROR(INDEX(catClas,MATCH(D3387,catNom,0))&amp;"","")="","Variable",IFERROR(INDEX(catClas,MATCH(D3387,catNom,0))&amp;"","")),"")</f>
        <v/>
      </c>
      <c r="L3387" s="19">
        <f>IF(I3387="","",IFERROR(INDEX(catAlim,MATCH(D3387,catNom,0))&amp;"",""))</f>
        <v/>
      </c>
      <c r="M3387" s="19">
        <f>IF(I3387="","",IFERROR(INDEX(catComida,MATCH(D3387,catNom,0))&amp;"",""))</f>
        <v/>
      </c>
      <c r="N3387" s="19">
        <f>IF(I3387="","",IFERROR(INDEX(ctaMon,MATCH(E3387,ctaNom,0))&amp;"","DOP"))</f>
        <v/>
      </c>
      <c r="O3387" s="20">
        <f>IF(I3387="","",C3387*IF(N3387="USD",TasaUSD,1))</f>
        <v/>
      </c>
      <c r="P3387" s="20">
        <f>IF(I3387="","",IF(I3387="Gasto",O3387,0))</f>
        <v/>
      </c>
      <c r="Q3387" s="20">
        <f>IF(I3387="","",IF(I3387="Ingreso",O3387,0))</f>
        <v/>
      </c>
      <c r="R3387" s="20">
        <f>IF(I3387="","",IF(I3387="Trading",O3387,0))</f>
        <v/>
      </c>
      <c r="S3387" s="19">
        <f>IF(I3387="","",IF(AND(I3387="Gasto",K3387="Variable",J3387&lt;&gt;"Trading",O3387&gt;0,O3387&lt;=Umbral),1,0))</f>
        <v/>
      </c>
      <c r="T3387" s="20">
        <f>IF(OR(I3387="",E3387=""),"",IF(OR(I3387="Gasto",I3387="Transferencia",I3387="Pago tarjeta"),-1,1)*C3387)</f>
        <v/>
      </c>
      <c r="U3387" s="20">
        <f>IF(OR(G3387="",AND(I3387&lt;&gt;"Transferencia",I3387&lt;&gt;"Pago tarjeta")),"",IF(IFERROR(INDEX(ctaMon,MATCH(G3387,ctaNom,0))&amp;"","DOP")=N3387,C3387,IF(N3387="USD",C3387*TasaUSD,C3387/TasaUSD)))</f>
        <v/>
      </c>
      <c r="V3387" s="20">
        <f>IF(I3387="","",IF(IFERROR(INDEX(ctaLiq,MATCH(E3387,ctaNom,0))="Sí",FALSE),IF(OR(I3387="Gasto",I3387="Transferencia",I3387="Pago tarjeta"),-1,1)*O3387,0)+IF(AND(U3387&lt;&gt;"",IFERROR(INDEX(ctaLiq,MATCH(G3387,ctaNom,0))="Sí",FALSE)),O3387,0))</f>
        <v/>
      </c>
      <c r="W3387" s="19">
        <f>IF(OR(F3387="",I3387=""),"",IF(COUNTIFS(F$6:F3387,F3387,I$6:I3387,"?*")=1,MAX(W$5:W3386)+1,""))</f>
        <v/>
      </c>
    </row>
    <row r="3388">
      <c r="B3388" s="15" t="n"/>
      <c r="C3388" s="16" t="n"/>
      <c r="D3388" s="17" t="n"/>
      <c r="E3388" s="17" t="n"/>
      <c r="F3388" s="17" t="n"/>
      <c r="G3388" s="17" t="n"/>
      <c r="H3388" s="18">
        <f>IF(AND(B3388="",C3388="",D3388="",E3388=""),"",IF(B3388="","⚠ Falta fecha",IF(C3388="","⚠ Falta monto",IF(D3388="","⚠ Falta categoría",IF(ISNA(MATCH(D3388,catNom,0)),"⚠ Categoría no existe",IF(E3388="","⚠ Falta cuenta",IF(ISNA(MATCH(E3388,ctaNom,0)),"⚠ Cuenta no existe",IF(AND(OR(I3388="Transferencia",I3388="Pago tarjeta"),G3388=""),"⚠ Indica la cuenta «Hacia»",IF(AND(G3388&lt;&gt;"",G3388=E3388),"⚠ «Hacia» igual a la cuenta",IF(AND(G3388&lt;&gt;"",ISNA(MATCH(G3388,ctaNom,0))),"⚠ «Hacia» no existe",IF(AND(I3388="Pago tarjeta",IFERROR(INDEX(ctaTipo,MATCH(G3388,ctaNom,0)),"")&lt;&gt;"Tarjeta de crédito"),"⚠ «Hacia» debe ser la tarjeta",IF(AND(I3388="Trading",IFERROR(INDEX(ctaTipo,MATCH(E3388,ctaNom,0)),"")&lt;&gt;"Cuenta de trading"),"⚠ Usa la cuenta de trading","✓"))))))))))))</f>
        <v/>
      </c>
      <c r="I3388" s="19">
        <f>IF(OR(B3388="",C3388="",D3388=""),"",IFERROR(INDEX(catTipo,MATCH(D3388,catNom,0))&amp;"",""))</f>
        <v/>
      </c>
      <c r="J3388" s="19">
        <f>IF(I3388="","",IFERROR(INDEX(catGrupo,MATCH(D3388,catNom,0))&amp;"",""))</f>
        <v/>
      </c>
      <c r="K3388" s="19">
        <f>IF(I3388="Gasto",IF(IFERROR(INDEX(catClas,MATCH(D3388,catNom,0))&amp;"","")="","Variable",IFERROR(INDEX(catClas,MATCH(D3388,catNom,0))&amp;"","")),"")</f>
        <v/>
      </c>
      <c r="L3388" s="19">
        <f>IF(I3388="","",IFERROR(INDEX(catAlim,MATCH(D3388,catNom,0))&amp;"",""))</f>
        <v/>
      </c>
      <c r="M3388" s="19">
        <f>IF(I3388="","",IFERROR(INDEX(catComida,MATCH(D3388,catNom,0))&amp;"",""))</f>
        <v/>
      </c>
      <c r="N3388" s="19">
        <f>IF(I3388="","",IFERROR(INDEX(ctaMon,MATCH(E3388,ctaNom,0))&amp;"","DOP"))</f>
        <v/>
      </c>
      <c r="O3388" s="20">
        <f>IF(I3388="","",C3388*IF(N3388="USD",TasaUSD,1))</f>
        <v/>
      </c>
      <c r="P3388" s="20">
        <f>IF(I3388="","",IF(I3388="Gasto",O3388,0))</f>
        <v/>
      </c>
      <c r="Q3388" s="20">
        <f>IF(I3388="","",IF(I3388="Ingreso",O3388,0))</f>
        <v/>
      </c>
      <c r="R3388" s="20">
        <f>IF(I3388="","",IF(I3388="Trading",O3388,0))</f>
        <v/>
      </c>
      <c r="S3388" s="19">
        <f>IF(I3388="","",IF(AND(I3388="Gasto",K3388="Variable",J3388&lt;&gt;"Trading",O3388&gt;0,O3388&lt;=Umbral),1,0))</f>
        <v/>
      </c>
      <c r="T3388" s="20">
        <f>IF(OR(I3388="",E3388=""),"",IF(OR(I3388="Gasto",I3388="Transferencia",I3388="Pago tarjeta"),-1,1)*C3388)</f>
        <v/>
      </c>
      <c r="U3388" s="20">
        <f>IF(OR(G3388="",AND(I3388&lt;&gt;"Transferencia",I3388&lt;&gt;"Pago tarjeta")),"",IF(IFERROR(INDEX(ctaMon,MATCH(G3388,ctaNom,0))&amp;"","DOP")=N3388,C3388,IF(N3388="USD",C3388*TasaUSD,C3388/TasaUSD)))</f>
        <v/>
      </c>
      <c r="V3388" s="20">
        <f>IF(I3388="","",IF(IFERROR(INDEX(ctaLiq,MATCH(E3388,ctaNom,0))="Sí",FALSE),IF(OR(I3388="Gasto",I3388="Transferencia",I3388="Pago tarjeta"),-1,1)*O3388,0)+IF(AND(U3388&lt;&gt;"",IFERROR(INDEX(ctaLiq,MATCH(G3388,ctaNom,0))="Sí",FALSE)),O3388,0))</f>
        <v/>
      </c>
      <c r="W3388" s="19">
        <f>IF(OR(F3388="",I3388=""),"",IF(COUNTIFS(F$6:F3388,F3388,I$6:I3388,"?*")=1,MAX(W$5:W3387)+1,""))</f>
        <v/>
      </c>
    </row>
    <row r="3389">
      <c r="B3389" s="15" t="n"/>
      <c r="C3389" s="16" t="n"/>
      <c r="D3389" s="17" t="n"/>
      <c r="E3389" s="17" t="n"/>
      <c r="F3389" s="17" t="n"/>
      <c r="G3389" s="17" t="n"/>
      <c r="H3389" s="18">
        <f>IF(AND(B3389="",C3389="",D3389="",E3389=""),"",IF(B3389="","⚠ Falta fecha",IF(C3389="","⚠ Falta monto",IF(D3389="","⚠ Falta categoría",IF(ISNA(MATCH(D3389,catNom,0)),"⚠ Categoría no existe",IF(E3389="","⚠ Falta cuenta",IF(ISNA(MATCH(E3389,ctaNom,0)),"⚠ Cuenta no existe",IF(AND(OR(I3389="Transferencia",I3389="Pago tarjeta"),G3389=""),"⚠ Indica la cuenta «Hacia»",IF(AND(G3389&lt;&gt;"",G3389=E3389),"⚠ «Hacia» igual a la cuenta",IF(AND(G3389&lt;&gt;"",ISNA(MATCH(G3389,ctaNom,0))),"⚠ «Hacia» no existe",IF(AND(I3389="Pago tarjeta",IFERROR(INDEX(ctaTipo,MATCH(G3389,ctaNom,0)),"")&lt;&gt;"Tarjeta de crédito"),"⚠ «Hacia» debe ser la tarjeta",IF(AND(I3389="Trading",IFERROR(INDEX(ctaTipo,MATCH(E3389,ctaNom,0)),"")&lt;&gt;"Cuenta de trading"),"⚠ Usa la cuenta de trading","✓"))))))))))))</f>
        <v/>
      </c>
      <c r="I3389" s="19">
        <f>IF(OR(B3389="",C3389="",D3389=""),"",IFERROR(INDEX(catTipo,MATCH(D3389,catNom,0))&amp;"",""))</f>
        <v/>
      </c>
      <c r="J3389" s="19">
        <f>IF(I3389="","",IFERROR(INDEX(catGrupo,MATCH(D3389,catNom,0))&amp;"",""))</f>
        <v/>
      </c>
      <c r="K3389" s="19">
        <f>IF(I3389="Gasto",IF(IFERROR(INDEX(catClas,MATCH(D3389,catNom,0))&amp;"","")="","Variable",IFERROR(INDEX(catClas,MATCH(D3389,catNom,0))&amp;"","")),"")</f>
        <v/>
      </c>
      <c r="L3389" s="19">
        <f>IF(I3389="","",IFERROR(INDEX(catAlim,MATCH(D3389,catNom,0))&amp;"",""))</f>
        <v/>
      </c>
      <c r="M3389" s="19">
        <f>IF(I3389="","",IFERROR(INDEX(catComida,MATCH(D3389,catNom,0))&amp;"",""))</f>
        <v/>
      </c>
      <c r="N3389" s="19">
        <f>IF(I3389="","",IFERROR(INDEX(ctaMon,MATCH(E3389,ctaNom,0))&amp;"","DOP"))</f>
        <v/>
      </c>
      <c r="O3389" s="20">
        <f>IF(I3389="","",C3389*IF(N3389="USD",TasaUSD,1))</f>
        <v/>
      </c>
      <c r="P3389" s="20">
        <f>IF(I3389="","",IF(I3389="Gasto",O3389,0))</f>
        <v/>
      </c>
      <c r="Q3389" s="20">
        <f>IF(I3389="","",IF(I3389="Ingreso",O3389,0))</f>
        <v/>
      </c>
      <c r="R3389" s="20">
        <f>IF(I3389="","",IF(I3389="Trading",O3389,0))</f>
        <v/>
      </c>
      <c r="S3389" s="19">
        <f>IF(I3389="","",IF(AND(I3389="Gasto",K3389="Variable",J3389&lt;&gt;"Trading",O3389&gt;0,O3389&lt;=Umbral),1,0))</f>
        <v/>
      </c>
      <c r="T3389" s="20">
        <f>IF(OR(I3389="",E3389=""),"",IF(OR(I3389="Gasto",I3389="Transferencia",I3389="Pago tarjeta"),-1,1)*C3389)</f>
        <v/>
      </c>
      <c r="U3389" s="20">
        <f>IF(OR(G3389="",AND(I3389&lt;&gt;"Transferencia",I3389&lt;&gt;"Pago tarjeta")),"",IF(IFERROR(INDEX(ctaMon,MATCH(G3389,ctaNom,0))&amp;"","DOP")=N3389,C3389,IF(N3389="USD",C3389*TasaUSD,C3389/TasaUSD)))</f>
        <v/>
      </c>
      <c r="V3389" s="20">
        <f>IF(I3389="","",IF(IFERROR(INDEX(ctaLiq,MATCH(E3389,ctaNom,0))="Sí",FALSE),IF(OR(I3389="Gasto",I3389="Transferencia",I3389="Pago tarjeta"),-1,1)*O3389,0)+IF(AND(U3389&lt;&gt;"",IFERROR(INDEX(ctaLiq,MATCH(G3389,ctaNom,0))="Sí",FALSE)),O3389,0))</f>
        <v/>
      </c>
      <c r="W3389" s="19">
        <f>IF(OR(F3389="",I3389=""),"",IF(COUNTIFS(F$6:F3389,F3389,I$6:I3389,"?*")=1,MAX(W$5:W3388)+1,""))</f>
        <v/>
      </c>
    </row>
    <row r="3390">
      <c r="B3390" s="15" t="n"/>
      <c r="C3390" s="16" t="n"/>
      <c r="D3390" s="17" t="n"/>
      <c r="E3390" s="17" t="n"/>
      <c r="F3390" s="17" t="n"/>
      <c r="G3390" s="17" t="n"/>
      <c r="H3390" s="18">
        <f>IF(AND(B3390="",C3390="",D3390="",E3390=""),"",IF(B3390="","⚠ Falta fecha",IF(C3390="","⚠ Falta monto",IF(D3390="","⚠ Falta categoría",IF(ISNA(MATCH(D3390,catNom,0)),"⚠ Categoría no existe",IF(E3390="","⚠ Falta cuenta",IF(ISNA(MATCH(E3390,ctaNom,0)),"⚠ Cuenta no existe",IF(AND(OR(I3390="Transferencia",I3390="Pago tarjeta"),G3390=""),"⚠ Indica la cuenta «Hacia»",IF(AND(G3390&lt;&gt;"",G3390=E3390),"⚠ «Hacia» igual a la cuenta",IF(AND(G3390&lt;&gt;"",ISNA(MATCH(G3390,ctaNom,0))),"⚠ «Hacia» no existe",IF(AND(I3390="Pago tarjeta",IFERROR(INDEX(ctaTipo,MATCH(G3390,ctaNom,0)),"")&lt;&gt;"Tarjeta de crédito"),"⚠ «Hacia» debe ser la tarjeta",IF(AND(I3390="Trading",IFERROR(INDEX(ctaTipo,MATCH(E3390,ctaNom,0)),"")&lt;&gt;"Cuenta de trading"),"⚠ Usa la cuenta de trading","✓"))))))))))))</f>
        <v/>
      </c>
      <c r="I3390" s="19">
        <f>IF(OR(B3390="",C3390="",D3390=""),"",IFERROR(INDEX(catTipo,MATCH(D3390,catNom,0))&amp;"",""))</f>
        <v/>
      </c>
      <c r="J3390" s="19">
        <f>IF(I3390="","",IFERROR(INDEX(catGrupo,MATCH(D3390,catNom,0))&amp;"",""))</f>
        <v/>
      </c>
      <c r="K3390" s="19">
        <f>IF(I3390="Gasto",IF(IFERROR(INDEX(catClas,MATCH(D3390,catNom,0))&amp;"","")="","Variable",IFERROR(INDEX(catClas,MATCH(D3390,catNom,0))&amp;"","")),"")</f>
        <v/>
      </c>
      <c r="L3390" s="19">
        <f>IF(I3390="","",IFERROR(INDEX(catAlim,MATCH(D3390,catNom,0))&amp;"",""))</f>
        <v/>
      </c>
      <c r="M3390" s="19">
        <f>IF(I3390="","",IFERROR(INDEX(catComida,MATCH(D3390,catNom,0))&amp;"",""))</f>
        <v/>
      </c>
      <c r="N3390" s="19">
        <f>IF(I3390="","",IFERROR(INDEX(ctaMon,MATCH(E3390,ctaNom,0))&amp;"","DOP"))</f>
        <v/>
      </c>
      <c r="O3390" s="20">
        <f>IF(I3390="","",C3390*IF(N3390="USD",TasaUSD,1))</f>
        <v/>
      </c>
      <c r="P3390" s="20">
        <f>IF(I3390="","",IF(I3390="Gasto",O3390,0))</f>
        <v/>
      </c>
      <c r="Q3390" s="20">
        <f>IF(I3390="","",IF(I3390="Ingreso",O3390,0))</f>
        <v/>
      </c>
      <c r="R3390" s="20">
        <f>IF(I3390="","",IF(I3390="Trading",O3390,0))</f>
        <v/>
      </c>
      <c r="S3390" s="19">
        <f>IF(I3390="","",IF(AND(I3390="Gasto",K3390="Variable",J3390&lt;&gt;"Trading",O3390&gt;0,O3390&lt;=Umbral),1,0))</f>
        <v/>
      </c>
      <c r="T3390" s="20">
        <f>IF(OR(I3390="",E3390=""),"",IF(OR(I3390="Gasto",I3390="Transferencia",I3390="Pago tarjeta"),-1,1)*C3390)</f>
        <v/>
      </c>
      <c r="U3390" s="20">
        <f>IF(OR(G3390="",AND(I3390&lt;&gt;"Transferencia",I3390&lt;&gt;"Pago tarjeta")),"",IF(IFERROR(INDEX(ctaMon,MATCH(G3390,ctaNom,0))&amp;"","DOP")=N3390,C3390,IF(N3390="USD",C3390*TasaUSD,C3390/TasaUSD)))</f>
        <v/>
      </c>
      <c r="V3390" s="20">
        <f>IF(I3390="","",IF(IFERROR(INDEX(ctaLiq,MATCH(E3390,ctaNom,0))="Sí",FALSE),IF(OR(I3390="Gasto",I3390="Transferencia",I3390="Pago tarjeta"),-1,1)*O3390,0)+IF(AND(U3390&lt;&gt;"",IFERROR(INDEX(ctaLiq,MATCH(G3390,ctaNom,0))="Sí",FALSE)),O3390,0))</f>
        <v/>
      </c>
      <c r="W3390" s="19">
        <f>IF(OR(F3390="",I3390=""),"",IF(COUNTIFS(F$6:F3390,F3390,I$6:I3390,"?*")=1,MAX(W$5:W3389)+1,""))</f>
        <v/>
      </c>
    </row>
    <row r="3391">
      <c r="B3391" s="15" t="n"/>
      <c r="C3391" s="16" t="n"/>
      <c r="D3391" s="17" t="n"/>
      <c r="E3391" s="17" t="n"/>
      <c r="F3391" s="17" t="n"/>
      <c r="G3391" s="17" t="n"/>
      <c r="H3391" s="18">
        <f>IF(AND(B3391="",C3391="",D3391="",E3391=""),"",IF(B3391="","⚠ Falta fecha",IF(C3391="","⚠ Falta monto",IF(D3391="","⚠ Falta categoría",IF(ISNA(MATCH(D3391,catNom,0)),"⚠ Categoría no existe",IF(E3391="","⚠ Falta cuenta",IF(ISNA(MATCH(E3391,ctaNom,0)),"⚠ Cuenta no existe",IF(AND(OR(I3391="Transferencia",I3391="Pago tarjeta"),G3391=""),"⚠ Indica la cuenta «Hacia»",IF(AND(G3391&lt;&gt;"",G3391=E3391),"⚠ «Hacia» igual a la cuenta",IF(AND(G3391&lt;&gt;"",ISNA(MATCH(G3391,ctaNom,0))),"⚠ «Hacia» no existe",IF(AND(I3391="Pago tarjeta",IFERROR(INDEX(ctaTipo,MATCH(G3391,ctaNom,0)),"")&lt;&gt;"Tarjeta de crédito"),"⚠ «Hacia» debe ser la tarjeta",IF(AND(I3391="Trading",IFERROR(INDEX(ctaTipo,MATCH(E3391,ctaNom,0)),"")&lt;&gt;"Cuenta de trading"),"⚠ Usa la cuenta de trading","✓"))))))))))))</f>
        <v/>
      </c>
      <c r="I3391" s="19">
        <f>IF(OR(B3391="",C3391="",D3391=""),"",IFERROR(INDEX(catTipo,MATCH(D3391,catNom,0))&amp;"",""))</f>
        <v/>
      </c>
      <c r="J3391" s="19">
        <f>IF(I3391="","",IFERROR(INDEX(catGrupo,MATCH(D3391,catNom,0))&amp;"",""))</f>
        <v/>
      </c>
      <c r="K3391" s="19">
        <f>IF(I3391="Gasto",IF(IFERROR(INDEX(catClas,MATCH(D3391,catNom,0))&amp;"","")="","Variable",IFERROR(INDEX(catClas,MATCH(D3391,catNom,0))&amp;"","")),"")</f>
        <v/>
      </c>
      <c r="L3391" s="19">
        <f>IF(I3391="","",IFERROR(INDEX(catAlim,MATCH(D3391,catNom,0))&amp;"",""))</f>
        <v/>
      </c>
      <c r="M3391" s="19">
        <f>IF(I3391="","",IFERROR(INDEX(catComida,MATCH(D3391,catNom,0))&amp;"",""))</f>
        <v/>
      </c>
      <c r="N3391" s="19">
        <f>IF(I3391="","",IFERROR(INDEX(ctaMon,MATCH(E3391,ctaNom,0))&amp;"","DOP"))</f>
        <v/>
      </c>
      <c r="O3391" s="20">
        <f>IF(I3391="","",C3391*IF(N3391="USD",TasaUSD,1))</f>
        <v/>
      </c>
      <c r="P3391" s="20">
        <f>IF(I3391="","",IF(I3391="Gasto",O3391,0))</f>
        <v/>
      </c>
      <c r="Q3391" s="20">
        <f>IF(I3391="","",IF(I3391="Ingreso",O3391,0))</f>
        <v/>
      </c>
      <c r="R3391" s="20">
        <f>IF(I3391="","",IF(I3391="Trading",O3391,0))</f>
        <v/>
      </c>
      <c r="S3391" s="19">
        <f>IF(I3391="","",IF(AND(I3391="Gasto",K3391="Variable",J3391&lt;&gt;"Trading",O3391&gt;0,O3391&lt;=Umbral),1,0))</f>
        <v/>
      </c>
      <c r="T3391" s="20">
        <f>IF(OR(I3391="",E3391=""),"",IF(OR(I3391="Gasto",I3391="Transferencia",I3391="Pago tarjeta"),-1,1)*C3391)</f>
        <v/>
      </c>
      <c r="U3391" s="20">
        <f>IF(OR(G3391="",AND(I3391&lt;&gt;"Transferencia",I3391&lt;&gt;"Pago tarjeta")),"",IF(IFERROR(INDEX(ctaMon,MATCH(G3391,ctaNom,0))&amp;"","DOP")=N3391,C3391,IF(N3391="USD",C3391*TasaUSD,C3391/TasaUSD)))</f>
        <v/>
      </c>
      <c r="V3391" s="20">
        <f>IF(I3391="","",IF(IFERROR(INDEX(ctaLiq,MATCH(E3391,ctaNom,0))="Sí",FALSE),IF(OR(I3391="Gasto",I3391="Transferencia",I3391="Pago tarjeta"),-1,1)*O3391,0)+IF(AND(U3391&lt;&gt;"",IFERROR(INDEX(ctaLiq,MATCH(G3391,ctaNom,0))="Sí",FALSE)),O3391,0))</f>
        <v/>
      </c>
      <c r="W3391" s="19">
        <f>IF(OR(F3391="",I3391=""),"",IF(COUNTIFS(F$6:F3391,F3391,I$6:I3391,"?*")=1,MAX(W$5:W3390)+1,""))</f>
        <v/>
      </c>
    </row>
    <row r="3392">
      <c r="B3392" s="15" t="n"/>
      <c r="C3392" s="16" t="n"/>
      <c r="D3392" s="17" t="n"/>
      <c r="E3392" s="17" t="n"/>
      <c r="F3392" s="17" t="n"/>
      <c r="G3392" s="17" t="n"/>
      <c r="H3392" s="18">
        <f>IF(AND(B3392="",C3392="",D3392="",E3392=""),"",IF(B3392="","⚠ Falta fecha",IF(C3392="","⚠ Falta monto",IF(D3392="","⚠ Falta categoría",IF(ISNA(MATCH(D3392,catNom,0)),"⚠ Categoría no existe",IF(E3392="","⚠ Falta cuenta",IF(ISNA(MATCH(E3392,ctaNom,0)),"⚠ Cuenta no existe",IF(AND(OR(I3392="Transferencia",I3392="Pago tarjeta"),G3392=""),"⚠ Indica la cuenta «Hacia»",IF(AND(G3392&lt;&gt;"",G3392=E3392),"⚠ «Hacia» igual a la cuenta",IF(AND(G3392&lt;&gt;"",ISNA(MATCH(G3392,ctaNom,0))),"⚠ «Hacia» no existe",IF(AND(I3392="Pago tarjeta",IFERROR(INDEX(ctaTipo,MATCH(G3392,ctaNom,0)),"")&lt;&gt;"Tarjeta de crédito"),"⚠ «Hacia» debe ser la tarjeta",IF(AND(I3392="Trading",IFERROR(INDEX(ctaTipo,MATCH(E3392,ctaNom,0)),"")&lt;&gt;"Cuenta de trading"),"⚠ Usa la cuenta de trading","✓"))))))))))))</f>
        <v/>
      </c>
      <c r="I3392" s="19">
        <f>IF(OR(B3392="",C3392="",D3392=""),"",IFERROR(INDEX(catTipo,MATCH(D3392,catNom,0))&amp;"",""))</f>
        <v/>
      </c>
      <c r="J3392" s="19">
        <f>IF(I3392="","",IFERROR(INDEX(catGrupo,MATCH(D3392,catNom,0))&amp;"",""))</f>
        <v/>
      </c>
      <c r="K3392" s="19">
        <f>IF(I3392="Gasto",IF(IFERROR(INDEX(catClas,MATCH(D3392,catNom,0))&amp;"","")="","Variable",IFERROR(INDEX(catClas,MATCH(D3392,catNom,0))&amp;"","")),"")</f>
        <v/>
      </c>
      <c r="L3392" s="19">
        <f>IF(I3392="","",IFERROR(INDEX(catAlim,MATCH(D3392,catNom,0))&amp;"",""))</f>
        <v/>
      </c>
      <c r="M3392" s="19">
        <f>IF(I3392="","",IFERROR(INDEX(catComida,MATCH(D3392,catNom,0))&amp;"",""))</f>
        <v/>
      </c>
      <c r="N3392" s="19">
        <f>IF(I3392="","",IFERROR(INDEX(ctaMon,MATCH(E3392,ctaNom,0))&amp;"","DOP"))</f>
        <v/>
      </c>
      <c r="O3392" s="20">
        <f>IF(I3392="","",C3392*IF(N3392="USD",TasaUSD,1))</f>
        <v/>
      </c>
      <c r="P3392" s="20">
        <f>IF(I3392="","",IF(I3392="Gasto",O3392,0))</f>
        <v/>
      </c>
      <c r="Q3392" s="20">
        <f>IF(I3392="","",IF(I3392="Ingreso",O3392,0))</f>
        <v/>
      </c>
      <c r="R3392" s="20">
        <f>IF(I3392="","",IF(I3392="Trading",O3392,0))</f>
        <v/>
      </c>
      <c r="S3392" s="19">
        <f>IF(I3392="","",IF(AND(I3392="Gasto",K3392="Variable",J3392&lt;&gt;"Trading",O3392&gt;0,O3392&lt;=Umbral),1,0))</f>
        <v/>
      </c>
      <c r="T3392" s="20">
        <f>IF(OR(I3392="",E3392=""),"",IF(OR(I3392="Gasto",I3392="Transferencia",I3392="Pago tarjeta"),-1,1)*C3392)</f>
        <v/>
      </c>
      <c r="U3392" s="20">
        <f>IF(OR(G3392="",AND(I3392&lt;&gt;"Transferencia",I3392&lt;&gt;"Pago tarjeta")),"",IF(IFERROR(INDEX(ctaMon,MATCH(G3392,ctaNom,0))&amp;"","DOP")=N3392,C3392,IF(N3392="USD",C3392*TasaUSD,C3392/TasaUSD)))</f>
        <v/>
      </c>
      <c r="V3392" s="20">
        <f>IF(I3392="","",IF(IFERROR(INDEX(ctaLiq,MATCH(E3392,ctaNom,0))="Sí",FALSE),IF(OR(I3392="Gasto",I3392="Transferencia",I3392="Pago tarjeta"),-1,1)*O3392,0)+IF(AND(U3392&lt;&gt;"",IFERROR(INDEX(ctaLiq,MATCH(G3392,ctaNom,0))="Sí",FALSE)),O3392,0))</f>
        <v/>
      </c>
      <c r="W3392" s="19">
        <f>IF(OR(F3392="",I3392=""),"",IF(COUNTIFS(F$6:F3392,F3392,I$6:I3392,"?*")=1,MAX(W$5:W3391)+1,""))</f>
        <v/>
      </c>
    </row>
    <row r="3393">
      <c r="B3393" s="15" t="n"/>
      <c r="C3393" s="16" t="n"/>
      <c r="D3393" s="17" t="n"/>
      <c r="E3393" s="17" t="n"/>
      <c r="F3393" s="17" t="n"/>
      <c r="G3393" s="17" t="n"/>
      <c r="H3393" s="18">
        <f>IF(AND(B3393="",C3393="",D3393="",E3393=""),"",IF(B3393="","⚠ Falta fecha",IF(C3393="","⚠ Falta monto",IF(D3393="","⚠ Falta categoría",IF(ISNA(MATCH(D3393,catNom,0)),"⚠ Categoría no existe",IF(E3393="","⚠ Falta cuenta",IF(ISNA(MATCH(E3393,ctaNom,0)),"⚠ Cuenta no existe",IF(AND(OR(I3393="Transferencia",I3393="Pago tarjeta"),G3393=""),"⚠ Indica la cuenta «Hacia»",IF(AND(G3393&lt;&gt;"",G3393=E3393),"⚠ «Hacia» igual a la cuenta",IF(AND(G3393&lt;&gt;"",ISNA(MATCH(G3393,ctaNom,0))),"⚠ «Hacia» no existe",IF(AND(I3393="Pago tarjeta",IFERROR(INDEX(ctaTipo,MATCH(G3393,ctaNom,0)),"")&lt;&gt;"Tarjeta de crédito"),"⚠ «Hacia» debe ser la tarjeta",IF(AND(I3393="Trading",IFERROR(INDEX(ctaTipo,MATCH(E3393,ctaNom,0)),"")&lt;&gt;"Cuenta de trading"),"⚠ Usa la cuenta de trading","✓"))))))))))))</f>
        <v/>
      </c>
      <c r="I3393" s="19">
        <f>IF(OR(B3393="",C3393="",D3393=""),"",IFERROR(INDEX(catTipo,MATCH(D3393,catNom,0))&amp;"",""))</f>
        <v/>
      </c>
      <c r="J3393" s="19">
        <f>IF(I3393="","",IFERROR(INDEX(catGrupo,MATCH(D3393,catNom,0))&amp;"",""))</f>
        <v/>
      </c>
      <c r="K3393" s="19">
        <f>IF(I3393="Gasto",IF(IFERROR(INDEX(catClas,MATCH(D3393,catNom,0))&amp;"","")="","Variable",IFERROR(INDEX(catClas,MATCH(D3393,catNom,0))&amp;"","")),"")</f>
        <v/>
      </c>
      <c r="L3393" s="19">
        <f>IF(I3393="","",IFERROR(INDEX(catAlim,MATCH(D3393,catNom,0))&amp;"",""))</f>
        <v/>
      </c>
      <c r="M3393" s="19">
        <f>IF(I3393="","",IFERROR(INDEX(catComida,MATCH(D3393,catNom,0))&amp;"",""))</f>
        <v/>
      </c>
      <c r="N3393" s="19">
        <f>IF(I3393="","",IFERROR(INDEX(ctaMon,MATCH(E3393,ctaNom,0))&amp;"","DOP"))</f>
        <v/>
      </c>
      <c r="O3393" s="20">
        <f>IF(I3393="","",C3393*IF(N3393="USD",TasaUSD,1))</f>
        <v/>
      </c>
      <c r="P3393" s="20">
        <f>IF(I3393="","",IF(I3393="Gasto",O3393,0))</f>
        <v/>
      </c>
      <c r="Q3393" s="20">
        <f>IF(I3393="","",IF(I3393="Ingreso",O3393,0))</f>
        <v/>
      </c>
      <c r="R3393" s="20">
        <f>IF(I3393="","",IF(I3393="Trading",O3393,0))</f>
        <v/>
      </c>
      <c r="S3393" s="19">
        <f>IF(I3393="","",IF(AND(I3393="Gasto",K3393="Variable",J3393&lt;&gt;"Trading",O3393&gt;0,O3393&lt;=Umbral),1,0))</f>
        <v/>
      </c>
      <c r="T3393" s="20">
        <f>IF(OR(I3393="",E3393=""),"",IF(OR(I3393="Gasto",I3393="Transferencia",I3393="Pago tarjeta"),-1,1)*C3393)</f>
        <v/>
      </c>
      <c r="U3393" s="20">
        <f>IF(OR(G3393="",AND(I3393&lt;&gt;"Transferencia",I3393&lt;&gt;"Pago tarjeta")),"",IF(IFERROR(INDEX(ctaMon,MATCH(G3393,ctaNom,0))&amp;"","DOP")=N3393,C3393,IF(N3393="USD",C3393*TasaUSD,C3393/TasaUSD)))</f>
        <v/>
      </c>
      <c r="V3393" s="20">
        <f>IF(I3393="","",IF(IFERROR(INDEX(ctaLiq,MATCH(E3393,ctaNom,0))="Sí",FALSE),IF(OR(I3393="Gasto",I3393="Transferencia",I3393="Pago tarjeta"),-1,1)*O3393,0)+IF(AND(U3393&lt;&gt;"",IFERROR(INDEX(ctaLiq,MATCH(G3393,ctaNom,0))="Sí",FALSE)),O3393,0))</f>
        <v/>
      </c>
      <c r="W3393" s="19">
        <f>IF(OR(F3393="",I3393=""),"",IF(COUNTIFS(F$6:F3393,F3393,I$6:I3393,"?*")=1,MAX(W$5:W3392)+1,""))</f>
        <v/>
      </c>
    </row>
    <row r="3394">
      <c r="B3394" s="15" t="n"/>
      <c r="C3394" s="16" t="n"/>
      <c r="D3394" s="17" t="n"/>
      <c r="E3394" s="17" t="n"/>
      <c r="F3394" s="17" t="n"/>
      <c r="G3394" s="17" t="n"/>
      <c r="H3394" s="18">
        <f>IF(AND(B3394="",C3394="",D3394="",E3394=""),"",IF(B3394="","⚠ Falta fecha",IF(C3394="","⚠ Falta monto",IF(D3394="","⚠ Falta categoría",IF(ISNA(MATCH(D3394,catNom,0)),"⚠ Categoría no existe",IF(E3394="","⚠ Falta cuenta",IF(ISNA(MATCH(E3394,ctaNom,0)),"⚠ Cuenta no existe",IF(AND(OR(I3394="Transferencia",I3394="Pago tarjeta"),G3394=""),"⚠ Indica la cuenta «Hacia»",IF(AND(G3394&lt;&gt;"",G3394=E3394),"⚠ «Hacia» igual a la cuenta",IF(AND(G3394&lt;&gt;"",ISNA(MATCH(G3394,ctaNom,0))),"⚠ «Hacia» no existe",IF(AND(I3394="Pago tarjeta",IFERROR(INDEX(ctaTipo,MATCH(G3394,ctaNom,0)),"")&lt;&gt;"Tarjeta de crédito"),"⚠ «Hacia» debe ser la tarjeta",IF(AND(I3394="Trading",IFERROR(INDEX(ctaTipo,MATCH(E3394,ctaNom,0)),"")&lt;&gt;"Cuenta de trading"),"⚠ Usa la cuenta de trading","✓"))))))))))))</f>
        <v/>
      </c>
      <c r="I3394" s="19">
        <f>IF(OR(B3394="",C3394="",D3394=""),"",IFERROR(INDEX(catTipo,MATCH(D3394,catNom,0))&amp;"",""))</f>
        <v/>
      </c>
      <c r="J3394" s="19">
        <f>IF(I3394="","",IFERROR(INDEX(catGrupo,MATCH(D3394,catNom,0))&amp;"",""))</f>
        <v/>
      </c>
      <c r="K3394" s="19">
        <f>IF(I3394="Gasto",IF(IFERROR(INDEX(catClas,MATCH(D3394,catNom,0))&amp;"","")="","Variable",IFERROR(INDEX(catClas,MATCH(D3394,catNom,0))&amp;"","")),"")</f>
        <v/>
      </c>
      <c r="L3394" s="19">
        <f>IF(I3394="","",IFERROR(INDEX(catAlim,MATCH(D3394,catNom,0))&amp;"",""))</f>
        <v/>
      </c>
      <c r="M3394" s="19">
        <f>IF(I3394="","",IFERROR(INDEX(catComida,MATCH(D3394,catNom,0))&amp;"",""))</f>
        <v/>
      </c>
      <c r="N3394" s="19">
        <f>IF(I3394="","",IFERROR(INDEX(ctaMon,MATCH(E3394,ctaNom,0))&amp;"","DOP"))</f>
        <v/>
      </c>
      <c r="O3394" s="20">
        <f>IF(I3394="","",C3394*IF(N3394="USD",TasaUSD,1))</f>
        <v/>
      </c>
      <c r="P3394" s="20">
        <f>IF(I3394="","",IF(I3394="Gasto",O3394,0))</f>
        <v/>
      </c>
      <c r="Q3394" s="20">
        <f>IF(I3394="","",IF(I3394="Ingreso",O3394,0))</f>
        <v/>
      </c>
      <c r="R3394" s="20">
        <f>IF(I3394="","",IF(I3394="Trading",O3394,0))</f>
        <v/>
      </c>
      <c r="S3394" s="19">
        <f>IF(I3394="","",IF(AND(I3394="Gasto",K3394="Variable",J3394&lt;&gt;"Trading",O3394&gt;0,O3394&lt;=Umbral),1,0))</f>
        <v/>
      </c>
      <c r="T3394" s="20">
        <f>IF(OR(I3394="",E3394=""),"",IF(OR(I3394="Gasto",I3394="Transferencia",I3394="Pago tarjeta"),-1,1)*C3394)</f>
        <v/>
      </c>
      <c r="U3394" s="20">
        <f>IF(OR(G3394="",AND(I3394&lt;&gt;"Transferencia",I3394&lt;&gt;"Pago tarjeta")),"",IF(IFERROR(INDEX(ctaMon,MATCH(G3394,ctaNom,0))&amp;"","DOP")=N3394,C3394,IF(N3394="USD",C3394*TasaUSD,C3394/TasaUSD)))</f>
        <v/>
      </c>
      <c r="V3394" s="20">
        <f>IF(I3394="","",IF(IFERROR(INDEX(ctaLiq,MATCH(E3394,ctaNom,0))="Sí",FALSE),IF(OR(I3394="Gasto",I3394="Transferencia",I3394="Pago tarjeta"),-1,1)*O3394,0)+IF(AND(U3394&lt;&gt;"",IFERROR(INDEX(ctaLiq,MATCH(G3394,ctaNom,0))="Sí",FALSE)),O3394,0))</f>
        <v/>
      </c>
      <c r="W3394" s="19">
        <f>IF(OR(F3394="",I3394=""),"",IF(COUNTIFS(F$6:F3394,F3394,I$6:I3394,"?*")=1,MAX(W$5:W3393)+1,""))</f>
        <v/>
      </c>
    </row>
    <row r="3395">
      <c r="B3395" s="15" t="n"/>
      <c r="C3395" s="16" t="n"/>
      <c r="D3395" s="17" t="n"/>
      <c r="E3395" s="17" t="n"/>
      <c r="F3395" s="17" t="n"/>
      <c r="G3395" s="17" t="n"/>
      <c r="H3395" s="18">
        <f>IF(AND(B3395="",C3395="",D3395="",E3395=""),"",IF(B3395="","⚠ Falta fecha",IF(C3395="","⚠ Falta monto",IF(D3395="","⚠ Falta categoría",IF(ISNA(MATCH(D3395,catNom,0)),"⚠ Categoría no existe",IF(E3395="","⚠ Falta cuenta",IF(ISNA(MATCH(E3395,ctaNom,0)),"⚠ Cuenta no existe",IF(AND(OR(I3395="Transferencia",I3395="Pago tarjeta"),G3395=""),"⚠ Indica la cuenta «Hacia»",IF(AND(G3395&lt;&gt;"",G3395=E3395),"⚠ «Hacia» igual a la cuenta",IF(AND(G3395&lt;&gt;"",ISNA(MATCH(G3395,ctaNom,0))),"⚠ «Hacia» no existe",IF(AND(I3395="Pago tarjeta",IFERROR(INDEX(ctaTipo,MATCH(G3395,ctaNom,0)),"")&lt;&gt;"Tarjeta de crédito"),"⚠ «Hacia» debe ser la tarjeta",IF(AND(I3395="Trading",IFERROR(INDEX(ctaTipo,MATCH(E3395,ctaNom,0)),"")&lt;&gt;"Cuenta de trading"),"⚠ Usa la cuenta de trading","✓"))))))))))))</f>
        <v/>
      </c>
      <c r="I3395" s="19">
        <f>IF(OR(B3395="",C3395="",D3395=""),"",IFERROR(INDEX(catTipo,MATCH(D3395,catNom,0))&amp;"",""))</f>
        <v/>
      </c>
      <c r="J3395" s="19">
        <f>IF(I3395="","",IFERROR(INDEX(catGrupo,MATCH(D3395,catNom,0))&amp;"",""))</f>
        <v/>
      </c>
      <c r="K3395" s="19">
        <f>IF(I3395="Gasto",IF(IFERROR(INDEX(catClas,MATCH(D3395,catNom,0))&amp;"","")="","Variable",IFERROR(INDEX(catClas,MATCH(D3395,catNom,0))&amp;"","")),"")</f>
        <v/>
      </c>
      <c r="L3395" s="19">
        <f>IF(I3395="","",IFERROR(INDEX(catAlim,MATCH(D3395,catNom,0))&amp;"",""))</f>
        <v/>
      </c>
      <c r="M3395" s="19">
        <f>IF(I3395="","",IFERROR(INDEX(catComida,MATCH(D3395,catNom,0))&amp;"",""))</f>
        <v/>
      </c>
      <c r="N3395" s="19">
        <f>IF(I3395="","",IFERROR(INDEX(ctaMon,MATCH(E3395,ctaNom,0))&amp;"","DOP"))</f>
        <v/>
      </c>
      <c r="O3395" s="20">
        <f>IF(I3395="","",C3395*IF(N3395="USD",TasaUSD,1))</f>
        <v/>
      </c>
      <c r="P3395" s="20">
        <f>IF(I3395="","",IF(I3395="Gasto",O3395,0))</f>
        <v/>
      </c>
      <c r="Q3395" s="20">
        <f>IF(I3395="","",IF(I3395="Ingreso",O3395,0))</f>
        <v/>
      </c>
      <c r="R3395" s="20">
        <f>IF(I3395="","",IF(I3395="Trading",O3395,0))</f>
        <v/>
      </c>
      <c r="S3395" s="19">
        <f>IF(I3395="","",IF(AND(I3395="Gasto",K3395="Variable",J3395&lt;&gt;"Trading",O3395&gt;0,O3395&lt;=Umbral),1,0))</f>
        <v/>
      </c>
      <c r="T3395" s="20">
        <f>IF(OR(I3395="",E3395=""),"",IF(OR(I3395="Gasto",I3395="Transferencia",I3395="Pago tarjeta"),-1,1)*C3395)</f>
        <v/>
      </c>
      <c r="U3395" s="20">
        <f>IF(OR(G3395="",AND(I3395&lt;&gt;"Transferencia",I3395&lt;&gt;"Pago tarjeta")),"",IF(IFERROR(INDEX(ctaMon,MATCH(G3395,ctaNom,0))&amp;"","DOP")=N3395,C3395,IF(N3395="USD",C3395*TasaUSD,C3395/TasaUSD)))</f>
        <v/>
      </c>
      <c r="V3395" s="20">
        <f>IF(I3395="","",IF(IFERROR(INDEX(ctaLiq,MATCH(E3395,ctaNom,0))="Sí",FALSE),IF(OR(I3395="Gasto",I3395="Transferencia",I3395="Pago tarjeta"),-1,1)*O3395,0)+IF(AND(U3395&lt;&gt;"",IFERROR(INDEX(ctaLiq,MATCH(G3395,ctaNom,0))="Sí",FALSE)),O3395,0))</f>
        <v/>
      </c>
      <c r="W3395" s="19">
        <f>IF(OR(F3395="",I3395=""),"",IF(COUNTIFS(F$6:F3395,F3395,I$6:I3395,"?*")=1,MAX(W$5:W3394)+1,""))</f>
        <v/>
      </c>
    </row>
    <row r="3396">
      <c r="B3396" s="15" t="n"/>
      <c r="C3396" s="16" t="n"/>
      <c r="D3396" s="17" t="n"/>
      <c r="E3396" s="17" t="n"/>
      <c r="F3396" s="17" t="n"/>
      <c r="G3396" s="17" t="n"/>
      <c r="H3396" s="18">
        <f>IF(AND(B3396="",C3396="",D3396="",E3396=""),"",IF(B3396="","⚠ Falta fecha",IF(C3396="","⚠ Falta monto",IF(D3396="","⚠ Falta categoría",IF(ISNA(MATCH(D3396,catNom,0)),"⚠ Categoría no existe",IF(E3396="","⚠ Falta cuenta",IF(ISNA(MATCH(E3396,ctaNom,0)),"⚠ Cuenta no existe",IF(AND(OR(I3396="Transferencia",I3396="Pago tarjeta"),G3396=""),"⚠ Indica la cuenta «Hacia»",IF(AND(G3396&lt;&gt;"",G3396=E3396),"⚠ «Hacia» igual a la cuenta",IF(AND(G3396&lt;&gt;"",ISNA(MATCH(G3396,ctaNom,0))),"⚠ «Hacia» no existe",IF(AND(I3396="Pago tarjeta",IFERROR(INDEX(ctaTipo,MATCH(G3396,ctaNom,0)),"")&lt;&gt;"Tarjeta de crédito"),"⚠ «Hacia» debe ser la tarjeta",IF(AND(I3396="Trading",IFERROR(INDEX(ctaTipo,MATCH(E3396,ctaNom,0)),"")&lt;&gt;"Cuenta de trading"),"⚠ Usa la cuenta de trading","✓"))))))))))))</f>
        <v/>
      </c>
      <c r="I3396" s="19">
        <f>IF(OR(B3396="",C3396="",D3396=""),"",IFERROR(INDEX(catTipo,MATCH(D3396,catNom,0))&amp;"",""))</f>
        <v/>
      </c>
      <c r="J3396" s="19">
        <f>IF(I3396="","",IFERROR(INDEX(catGrupo,MATCH(D3396,catNom,0))&amp;"",""))</f>
        <v/>
      </c>
      <c r="K3396" s="19">
        <f>IF(I3396="Gasto",IF(IFERROR(INDEX(catClas,MATCH(D3396,catNom,0))&amp;"","")="","Variable",IFERROR(INDEX(catClas,MATCH(D3396,catNom,0))&amp;"","")),"")</f>
        <v/>
      </c>
      <c r="L3396" s="19">
        <f>IF(I3396="","",IFERROR(INDEX(catAlim,MATCH(D3396,catNom,0))&amp;"",""))</f>
        <v/>
      </c>
      <c r="M3396" s="19">
        <f>IF(I3396="","",IFERROR(INDEX(catComida,MATCH(D3396,catNom,0))&amp;"",""))</f>
        <v/>
      </c>
      <c r="N3396" s="19">
        <f>IF(I3396="","",IFERROR(INDEX(ctaMon,MATCH(E3396,ctaNom,0))&amp;"","DOP"))</f>
        <v/>
      </c>
      <c r="O3396" s="20">
        <f>IF(I3396="","",C3396*IF(N3396="USD",TasaUSD,1))</f>
        <v/>
      </c>
      <c r="P3396" s="20">
        <f>IF(I3396="","",IF(I3396="Gasto",O3396,0))</f>
        <v/>
      </c>
      <c r="Q3396" s="20">
        <f>IF(I3396="","",IF(I3396="Ingreso",O3396,0))</f>
        <v/>
      </c>
      <c r="R3396" s="20">
        <f>IF(I3396="","",IF(I3396="Trading",O3396,0))</f>
        <v/>
      </c>
      <c r="S3396" s="19">
        <f>IF(I3396="","",IF(AND(I3396="Gasto",K3396="Variable",J3396&lt;&gt;"Trading",O3396&gt;0,O3396&lt;=Umbral),1,0))</f>
        <v/>
      </c>
      <c r="T3396" s="20">
        <f>IF(OR(I3396="",E3396=""),"",IF(OR(I3396="Gasto",I3396="Transferencia",I3396="Pago tarjeta"),-1,1)*C3396)</f>
        <v/>
      </c>
      <c r="U3396" s="20">
        <f>IF(OR(G3396="",AND(I3396&lt;&gt;"Transferencia",I3396&lt;&gt;"Pago tarjeta")),"",IF(IFERROR(INDEX(ctaMon,MATCH(G3396,ctaNom,0))&amp;"","DOP")=N3396,C3396,IF(N3396="USD",C3396*TasaUSD,C3396/TasaUSD)))</f>
        <v/>
      </c>
      <c r="V3396" s="20">
        <f>IF(I3396="","",IF(IFERROR(INDEX(ctaLiq,MATCH(E3396,ctaNom,0))="Sí",FALSE),IF(OR(I3396="Gasto",I3396="Transferencia",I3396="Pago tarjeta"),-1,1)*O3396,0)+IF(AND(U3396&lt;&gt;"",IFERROR(INDEX(ctaLiq,MATCH(G3396,ctaNom,0))="Sí",FALSE)),O3396,0))</f>
        <v/>
      </c>
      <c r="W3396" s="19">
        <f>IF(OR(F3396="",I3396=""),"",IF(COUNTIFS(F$6:F3396,F3396,I$6:I3396,"?*")=1,MAX(W$5:W3395)+1,""))</f>
        <v/>
      </c>
    </row>
    <row r="3397">
      <c r="B3397" s="15" t="n"/>
      <c r="C3397" s="16" t="n"/>
      <c r="D3397" s="17" t="n"/>
      <c r="E3397" s="17" t="n"/>
      <c r="F3397" s="17" t="n"/>
      <c r="G3397" s="17" t="n"/>
      <c r="H3397" s="18">
        <f>IF(AND(B3397="",C3397="",D3397="",E3397=""),"",IF(B3397="","⚠ Falta fecha",IF(C3397="","⚠ Falta monto",IF(D3397="","⚠ Falta categoría",IF(ISNA(MATCH(D3397,catNom,0)),"⚠ Categoría no existe",IF(E3397="","⚠ Falta cuenta",IF(ISNA(MATCH(E3397,ctaNom,0)),"⚠ Cuenta no existe",IF(AND(OR(I3397="Transferencia",I3397="Pago tarjeta"),G3397=""),"⚠ Indica la cuenta «Hacia»",IF(AND(G3397&lt;&gt;"",G3397=E3397),"⚠ «Hacia» igual a la cuenta",IF(AND(G3397&lt;&gt;"",ISNA(MATCH(G3397,ctaNom,0))),"⚠ «Hacia» no existe",IF(AND(I3397="Pago tarjeta",IFERROR(INDEX(ctaTipo,MATCH(G3397,ctaNom,0)),"")&lt;&gt;"Tarjeta de crédito"),"⚠ «Hacia» debe ser la tarjeta",IF(AND(I3397="Trading",IFERROR(INDEX(ctaTipo,MATCH(E3397,ctaNom,0)),"")&lt;&gt;"Cuenta de trading"),"⚠ Usa la cuenta de trading","✓"))))))))))))</f>
        <v/>
      </c>
      <c r="I3397" s="19">
        <f>IF(OR(B3397="",C3397="",D3397=""),"",IFERROR(INDEX(catTipo,MATCH(D3397,catNom,0))&amp;"",""))</f>
        <v/>
      </c>
      <c r="J3397" s="19">
        <f>IF(I3397="","",IFERROR(INDEX(catGrupo,MATCH(D3397,catNom,0))&amp;"",""))</f>
        <v/>
      </c>
      <c r="K3397" s="19">
        <f>IF(I3397="Gasto",IF(IFERROR(INDEX(catClas,MATCH(D3397,catNom,0))&amp;"","")="","Variable",IFERROR(INDEX(catClas,MATCH(D3397,catNom,0))&amp;"","")),"")</f>
        <v/>
      </c>
      <c r="L3397" s="19">
        <f>IF(I3397="","",IFERROR(INDEX(catAlim,MATCH(D3397,catNom,0))&amp;"",""))</f>
        <v/>
      </c>
      <c r="M3397" s="19">
        <f>IF(I3397="","",IFERROR(INDEX(catComida,MATCH(D3397,catNom,0))&amp;"",""))</f>
        <v/>
      </c>
      <c r="N3397" s="19">
        <f>IF(I3397="","",IFERROR(INDEX(ctaMon,MATCH(E3397,ctaNom,0))&amp;"","DOP"))</f>
        <v/>
      </c>
      <c r="O3397" s="20">
        <f>IF(I3397="","",C3397*IF(N3397="USD",TasaUSD,1))</f>
        <v/>
      </c>
      <c r="P3397" s="20">
        <f>IF(I3397="","",IF(I3397="Gasto",O3397,0))</f>
        <v/>
      </c>
      <c r="Q3397" s="20">
        <f>IF(I3397="","",IF(I3397="Ingreso",O3397,0))</f>
        <v/>
      </c>
      <c r="R3397" s="20">
        <f>IF(I3397="","",IF(I3397="Trading",O3397,0))</f>
        <v/>
      </c>
      <c r="S3397" s="19">
        <f>IF(I3397="","",IF(AND(I3397="Gasto",K3397="Variable",J3397&lt;&gt;"Trading",O3397&gt;0,O3397&lt;=Umbral),1,0))</f>
        <v/>
      </c>
      <c r="T3397" s="20">
        <f>IF(OR(I3397="",E3397=""),"",IF(OR(I3397="Gasto",I3397="Transferencia",I3397="Pago tarjeta"),-1,1)*C3397)</f>
        <v/>
      </c>
      <c r="U3397" s="20">
        <f>IF(OR(G3397="",AND(I3397&lt;&gt;"Transferencia",I3397&lt;&gt;"Pago tarjeta")),"",IF(IFERROR(INDEX(ctaMon,MATCH(G3397,ctaNom,0))&amp;"","DOP")=N3397,C3397,IF(N3397="USD",C3397*TasaUSD,C3397/TasaUSD)))</f>
        <v/>
      </c>
      <c r="V3397" s="20">
        <f>IF(I3397="","",IF(IFERROR(INDEX(ctaLiq,MATCH(E3397,ctaNom,0))="Sí",FALSE),IF(OR(I3397="Gasto",I3397="Transferencia",I3397="Pago tarjeta"),-1,1)*O3397,0)+IF(AND(U3397&lt;&gt;"",IFERROR(INDEX(ctaLiq,MATCH(G3397,ctaNom,0))="Sí",FALSE)),O3397,0))</f>
        <v/>
      </c>
      <c r="W3397" s="19">
        <f>IF(OR(F3397="",I3397=""),"",IF(COUNTIFS(F$6:F3397,F3397,I$6:I3397,"?*")=1,MAX(W$5:W3396)+1,""))</f>
        <v/>
      </c>
    </row>
    <row r="3398">
      <c r="B3398" s="15" t="n"/>
      <c r="C3398" s="16" t="n"/>
      <c r="D3398" s="17" t="n"/>
      <c r="E3398" s="17" t="n"/>
      <c r="F3398" s="17" t="n"/>
      <c r="G3398" s="17" t="n"/>
      <c r="H3398" s="18">
        <f>IF(AND(B3398="",C3398="",D3398="",E3398=""),"",IF(B3398="","⚠ Falta fecha",IF(C3398="","⚠ Falta monto",IF(D3398="","⚠ Falta categoría",IF(ISNA(MATCH(D3398,catNom,0)),"⚠ Categoría no existe",IF(E3398="","⚠ Falta cuenta",IF(ISNA(MATCH(E3398,ctaNom,0)),"⚠ Cuenta no existe",IF(AND(OR(I3398="Transferencia",I3398="Pago tarjeta"),G3398=""),"⚠ Indica la cuenta «Hacia»",IF(AND(G3398&lt;&gt;"",G3398=E3398),"⚠ «Hacia» igual a la cuenta",IF(AND(G3398&lt;&gt;"",ISNA(MATCH(G3398,ctaNom,0))),"⚠ «Hacia» no existe",IF(AND(I3398="Pago tarjeta",IFERROR(INDEX(ctaTipo,MATCH(G3398,ctaNom,0)),"")&lt;&gt;"Tarjeta de crédito"),"⚠ «Hacia» debe ser la tarjeta",IF(AND(I3398="Trading",IFERROR(INDEX(ctaTipo,MATCH(E3398,ctaNom,0)),"")&lt;&gt;"Cuenta de trading"),"⚠ Usa la cuenta de trading","✓"))))))))))))</f>
        <v/>
      </c>
      <c r="I3398" s="19">
        <f>IF(OR(B3398="",C3398="",D3398=""),"",IFERROR(INDEX(catTipo,MATCH(D3398,catNom,0))&amp;"",""))</f>
        <v/>
      </c>
      <c r="J3398" s="19">
        <f>IF(I3398="","",IFERROR(INDEX(catGrupo,MATCH(D3398,catNom,0))&amp;"",""))</f>
        <v/>
      </c>
      <c r="K3398" s="19">
        <f>IF(I3398="Gasto",IF(IFERROR(INDEX(catClas,MATCH(D3398,catNom,0))&amp;"","")="","Variable",IFERROR(INDEX(catClas,MATCH(D3398,catNom,0))&amp;"","")),"")</f>
        <v/>
      </c>
      <c r="L3398" s="19">
        <f>IF(I3398="","",IFERROR(INDEX(catAlim,MATCH(D3398,catNom,0))&amp;"",""))</f>
        <v/>
      </c>
      <c r="M3398" s="19">
        <f>IF(I3398="","",IFERROR(INDEX(catComida,MATCH(D3398,catNom,0))&amp;"",""))</f>
        <v/>
      </c>
      <c r="N3398" s="19">
        <f>IF(I3398="","",IFERROR(INDEX(ctaMon,MATCH(E3398,ctaNom,0))&amp;"","DOP"))</f>
        <v/>
      </c>
      <c r="O3398" s="20">
        <f>IF(I3398="","",C3398*IF(N3398="USD",TasaUSD,1))</f>
        <v/>
      </c>
      <c r="P3398" s="20">
        <f>IF(I3398="","",IF(I3398="Gasto",O3398,0))</f>
        <v/>
      </c>
      <c r="Q3398" s="20">
        <f>IF(I3398="","",IF(I3398="Ingreso",O3398,0))</f>
        <v/>
      </c>
      <c r="R3398" s="20">
        <f>IF(I3398="","",IF(I3398="Trading",O3398,0))</f>
        <v/>
      </c>
      <c r="S3398" s="19">
        <f>IF(I3398="","",IF(AND(I3398="Gasto",K3398="Variable",J3398&lt;&gt;"Trading",O3398&gt;0,O3398&lt;=Umbral),1,0))</f>
        <v/>
      </c>
      <c r="T3398" s="20">
        <f>IF(OR(I3398="",E3398=""),"",IF(OR(I3398="Gasto",I3398="Transferencia",I3398="Pago tarjeta"),-1,1)*C3398)</f>
        <v/>
      </c>
      <c r="U3398" s="20">
        <f>IF(OR(G3398="",AND(I3398&lt;&gt;"Transferencia",I3398&lt;&gt;"Pago tarjeta")),"",IF(IFERROR(INDEX(ctaMon,MATCH(G3398,ctaNom,0))&amp;"","DOP")=N3398,C3398,IF(N3398="USD",C3398*TasaUSD,C3398/TasaUSD)))</f>
        <v/>
      </c>
      <c r="V3398" s="20">
        <f>IF(I3398="","",IF(IFERROR(INDEX(ctaLiq,MATCH(E3398,ctaNom,0))="Sí",FALSE),IF(OR(I3398="Gasto",I3398="Transferencia",I3398="Pago tarjeta"),-1,1)*O3398,0)+IF(AND(U3398&lt;&gt;"",IFERROR(INDEX(ctaLiq,MATCH(G3398,ctaNom,0))="Sí",FALSE)),O3398,0))</f>
        <v/>
      </c>
      <c r="W3398" s="19">
        <f>IF(OR(F3398="",I3398=""),"",IF(COUNTIFS(F$6:F3398,F3398,I$6:I3398,"?*")=1,MAX(W$5:W3397)+1,""))</f>
        <v/>
      </c>
    </row>
    <row r="3399">
      <c r="B3399" s="15" t="n"/>
      <c r="C3399" s="16" t="n"/>
      <c r="D3399" s="17" t="n"/>
      <c r="E3399" s="17" t="n"/>
      <c r="F3399" s="17" t="n"/>
      <c r="G3399" s="17" t="n"/>
      <c r="H3399" s="18">
        <f>IF(AND(B3399="",C3399="",D3399="",E3399=""),"",IF(B3399="","⚠ Falta fecha",IF(C3399="","⚠ Falta monto",IF(D3399="","⚠ Falta categoría",IF(ISNA(MATCH(D3399,catNom,0)),"⚠ Categoría no existe",IF(E3399="","⚠ Falta cuenta",IF(ISNA(MATCH(E3399,ctaNom,0)),"⚠ Cuenta no existe",IF(AND(OR(I3399="Transferencia",I3399="Pago tarjeta"),G3399=""),"⚠ Indica la cuenta «Hacia»",IF(AND(G3399&lt;&gt;"",G3399=E3399),"⚠ «Hacia» igual a la cuenta",IF(AND(G3399&lt;&gt;"",ISNA(MATCH(G3399,ctaNom,0))),"⚠ «Hacia» no existe",IF(AND(I3399="Pago tarjeta",IFERROR(INDEX(ctaTipo,MATCH(G3399,ctaNom,0)),"")&lt;&gt;"Tarjeta de crédito"),"⚠ «Hacia» debe ser la tarjeta",IF(AND(I3399="Trading",IFERROR(INDEX(ctaTipo,MATCH(E3399,ctaNom,0)),"")&lt;&gt;"Cuenta de trading"),"⚠ Usa la cuenta de trading","✓"))))))))))))</f>
        <v/>
      </c>
      <c r="I3399" s="19">
        <f>IF(OR(B3399="",C3399="",D3399=""),"",IFERROR(INDEX(catTipo,MATCH(D3399,catNom,0))&amp;"",""))</f>
        <v/>
      </c>
      <c r="J3399" s="19">
        <f>IF(I3399="","",IFERROR(INDEX(catGrupo,MATCH(D3399,catNom,0))&amp;"",""))</f>
        <v/>
      </c>
      <c r="K3399" s="19">
        <f>IF(I3399="Gasto",IF(IFERROR(INDEX(catClas,MATCH(D3399,catNom,0))&amp;"","")="","Variable",IFERROR(INDEX(catClas,MATCH(D3399,catNom,0))&amp;"","")),"")</f>
        <v/>
      </c>
      <c r="L3399" s="19">
        <f>IF(I3399="","",IFERROR(INDEX(catAlim,MATCH(D3399,catNom,0))&amp;"",""))</f>
        <v/>
      </c>
      <c r="M3399" s="19">
        <f>IF(I3399="","",IFERROR(INDEX(catComida,MATCH(D3399,catNom,0))&amp;"",""))</f>
        <v/>
      </c>
      <c r="N3399" s="19">
        <f>IF(I3399="","",IFERROR(INDEX(ctaMon,MATCH(E3399,ctaNom,0))&amp;"","DOP"))</f>
        <v/>
      </c>
      <c r="O3399" s="20">
        <f>IF(I3399="","",C3399*IF(N3399="USD",TasaUSD,1))</f>
        <v/>
      </c>
      <c r="P3399" s="20">
        <f>IF(I3399="","",IF(I3399="Gasto",O3399,0))</f>
        <v/>
      </c>
      <c r="Q3399" s="20">
        <f>IF(I3399="","",IF(I3399="Ingreso",O3399,0))</f>
        <v/>
      </c>
      <c r="R3399" s="20">
        <f>IF(I3399="","",IF(I3399="Trading",O3399,0))</f>
        <v/>
      </c>
      <c r="S3399" s="19">
        <f>IF(I3399="","",IF(AND(I3399="Gasto",K3399="Variable",J3399&lt;&gt;"Trading",O3399&gt;0,O3399&lt;=Umbral),1,0))</f>
        <v/>
      </c>
      <c r="T3399" s="20">
        <f>IF(OR(I3399="",E3399=""),"",IF(OR(I3399="Gasto",I3399="Transferencia",I3399="Pago tarjeta"),-1,1)*C3399)</f>
        <v/>
      </c>
      <c r="U3399" s="20">
        <f>IF(OR(G3399="",AND(I3399&lt;&gt;"Transferencia",I3399&lt;&gt;"Pago tarjeta")),"",IF(IFERROR(INDEX(ctaMon,MATCH(G3399,ctaNom,0))&amp;"","DOP")=N3399,C3399,IF(N3399="USD",C3399*TasaUSD,C3399/TasaUSD)))</f>
        <v/>
      </c>
      <c r="V3399" s="20">
        <f>IF(I3399="","",IF(IFERROR(INDEX(ctaLiq,MATCH(E3399,ctaNom,0))="Sí",FALSE),IF(OR(I3399="Gasto",I3399="Transferencia",I3399="Pago tarjeta"),-1,1)*O3399,0)+IF(AND(U3399&lt;&gt;"",IFERROR(INDEX(ctaLiq,MATCH(G3399,ctaNom,0))="Sí",FALSE)),O3399,0))</f>
        <v/>
      </c>
      <c r="W3399" s="19">
        <f>IF(OR(F3399="",I3399=""),"",IF(COUNTIFS(F$6:F3399,F3399,I$6:I3399,"?*")=1,MAX(W$5:W3398)+1,""))</f>
        <v/>
      </c>
    </row>
    <row r="3400">
      <c r="B3400" s="15" t="n"/>
      <c r="C3400" s="16" t="n"/>
      <c r="D3400" s="17" t="n"/>
      <c r="E3400" s="17" t="n"/>
      <c r="F3400" s="17" t="n"/>
      <c r="G3400" s="17" t="n"/>
      <c r="H3400" s="18">
        <f>IF(AND(B3400="",C3400="",D3400="",E3400=""),"",IF(B3400="","⚠ Falta fecha",IF(C3400="","⚠ Falta monto",IF(D3400="","⚠ Falta categoría",IF(ISNA(MATCH(D3400,catNom,0)),"⚠ Categoría no existe",IF(E3400="","⚠ Falta cuenta",IF(ISNA(MATCH(E3400,ctaNom,0)),"⚠ Cuenta no existe",IF(AND(OR(I3400="Transferencia",I3400="Pago tarjeta"),G3400=""),"⚠ Indica la cuenta «Hacia»",IF(AND(G3400&lt;&gt;"",G3400=E3400),"⚠ «Hacia» igual a la cuenta",IF(AND(G3400&lt;&gt;"",ISNA(MATCH(G3400,ctaNom,0))),"⚠ «Hacia» no existe",IF(AND(I3400="Pago tarjeta",IFERROR(INDEX(ctaTipo,MATCH(G3400,ctaNom,0)),"")&lt;&gt;"Tarjeta de crédito"),"⚠ «Hacia» debe ser la tarjeta",IF(AND(I3400="Trading",IFERROR(INDEX(ctaTipo,MATCH(E3400,ctaNom,0)),"")&lt;&gt;"Cuenta de trading"),"⚠ Usa la cuenta de trading","✓"))))))))))))</f>
        <v/>
      </c>
      <c r="I3400" s="19">
        <f>IF(OR(B3400="",C3400="",D3400=""),"",IFERROR(INDEX(catTipo,MATCH(D3400,catNom,0))&amp;"",""))</f>
        <v/>
      </c>
      <c r="J3400" s="19">
        <f>IF(I3400="","",IFERROR(INDEX(catGrupo,MATCH(D3400,catNom,0))&amp;"",""))</f>
        <v/>
      </c>
      <c r="K3400" s="19">
        <f>IF(I3400="Gasto",IF(IFERROR(INDEX(catClas,MATCH(D3400,catNom,0))&amp;"","")="","Variable",IFERROR(INDEX(catClas,MATCH(D3400,catNom,0))&amp;"","")),"")</f>
        <v/>
      </c>
      <c r="L3400" s="19">
        <f>IF(I3400="","",IFERROR(INDEX(catAlim,MATCH(D3400,catNom,0))&amp;"",""))</f>
        <v/>
      </c>
      <c r="M3400" s="19">
        <f>IF(I3400="","",IFERROR(INDEX(catComida,MATCH(D3400,catNom,0))&amp;"",""))</f>
        <v/>
      </c>
      <c r="N3400" s="19">
        <f>IF(I3400="","",IFERROR(INDEX(ctaMon,MATCH(E3400,ctaNom,0))&amp;"","DOP"))</f>
        <v/>
      </c>
      <c r="O3400" s="20">
        <f>IF(I3400="","",C3400*IF(N3400="USD",TasaUSD,1))</f>
        <v/>
      </c>
      <c r="P3400" s="20">
        <f>IF(I3400="","",IF(I3400="Gasto",O3400,0))</f>
        <v/>
      </c>
      <c r="Q3400" s="20">
        <f>IF(I3400="","",IF(I3400="Ingreso",O3400,0))</f>
        <v/>
      </c>
      <c r="R3400" s="20">
        <f>IF(I3400="","",IF(I3400="Trading",O3400,0))</f>
        <v/>
      </c>
      <c r="S3400" s="19">
        <f>IF(I3400="","",IF(AND(I3400="Gasto",K3400="Variable",J3400&lt;&gt;"Trading",O3400&gt;0,O3400&lt;=Umbral),1,0))</f>
        <v/>
      </c>
      <c r="T3400" s="20">
        <f>IF(OR(I3400="",E3400=""),"",IF(OR(I3400="Gasto",I3400="Transferencia",I3400="Pago tarjeta"),-1,1)*C3400)</f>
        <v/>
      </c>
      <c r="U3400" s="20">
        <f>IF(OR(G3400="",AND(I3400&lt;&gt;"Transferencia",I3400&lt;&gt;"Pago tarjeta")),"",IF(IFERROR(INDEX(ctaMon,MATCH(G3400,ctaNom,0))&amp;"","DOP")=N3400,C3400,IF(N3400="USD",C3400*TasaUSD,C3400/TasaUSD)))</f>
        <v/>
      </c>
      <c r="V3400" s="20">
        <f>IF(I3400="","",IF(IFERROR(INDEX(ctaLiq,MATCH(E3400,ctaNom,0))="Sí",FALSE),IF(OR(I3400="Gasto",I3400="Transferencia",I3400="Pago tarjeta"),-1,1)*O3400,0)+IF(AND(U3400&lt;&gt;"",IFERROR(INDEX(ctaLiq,MATCH(G3400,ctaNom,0))="Sí",FALSE)),O3400,0))</f>
        <v/>
      </c>
      <c r="W3400" s="19">
        <f>IF(OR(F3400="",I3400=""),"",IF(COUNTIFS(F$6:F3400,F3400,I$6:I3400,"?*")=1,MAX(W$5:W3399)+1,""))</f>
        <v/>
      </c>
    </row>
    <row r="3401">
      <c r="B3401" s="15" t="n"/>
      <c r="C3401" s="16" t="n"/>
      <c r="D3401" s="17" t="n"/>
      <c r="E3401" s="17" t="n"/>
      <c r="F3401" s="17" t="n"/>
      <c r="G3401" s="17" t="n"/>
      <c r="H3401" s="18">
        <f>IF(AND(B3401="",C3401="",D3401="",E3401=""),"",IF(B3401="","⚠ Falta fecha",IF(C3401="","⚠ Falta monto",IF(D3401="","⚠ Falta categoría",IF(ISNA(MATCH(D3401,catNom,0)),"⚠ Categoría no existe",IF(E3401="","⚠ Falta cuenta",IF(ISNA(MATCH(E3401,ctaNom,0)),"⚠ Cuenta no existe",IF(AND(OR(I3401="Transferencia",I3401="Pago tarjeta"),G3401=""),"⚠ Indica la cuenta «Hacia»",IF(AND(G3401&lt;&gt;"",G3401=E3401),"⚠ «Hacia» igual a la cuenta",IF(AND(G3401&lt;&gt;"",ISNA(MATCH(G3401,ctaNom,0))),"⚠ «Hacia» no existe",IF(AND(I3401="Pago tarjeta",IFERROR(INDEX(ctaTipo,MATCH(G3401,ctaNom,0)),"")&lt;&gt;"Tarjeta de crédito"),"⚠ «Hacia» debe ser la tarjeta",IF(AND(I3401="Trading",IFERROR(INDEX(ctaTipo,MATCH(E3401,ctaNom,0)),"")&lt;&gt;"Cuenta de trading"),"⚠ Usa la cuenta de trading","✓"))))))))))))</f>
        <v/>
      </c>
      <c r="I3401" s="19">
        <f>IF(OR(B3401="",C3401="",D3401=""),"",IFERROR(INDEX(catTipo,MATCH(D3401,catNom,0))&amp;"",""))</f>
        <v/>
      </c>
      <c r="J3401" s="19">
        <f>IF(I3401="","",IFERROR(INDEX(catGrupo,MATCH(D3401,catNom,0))&amp;"",""))</f>
        <v/>
      </c>
      <c r="K3401" s="19">
        <f>IF(I3401="Gasto",IF(IFERROR(INDEX(catClas,MATCH(D3401,catNom,0))&amp;"","")="","Variable",IFERROR(INDEX(catClas,MATCH(D3401,catNom,0))&amp;"","")),"")</f>
        <v/>
      </c>
      <c r="L3401" s="19">
        <f>IF(I3401="","",IFERROR(INDEX(catAlim,MATCH(D3401,catNom,0))&amp;"",""))</f>
        <v/>
      </c>
      <c r="M3401" s="19">
        <f>IF(I3401="","",IFERROR(INDEX(catComida,MATCH(D3401,catNom,0))&amp;"",""))</f>
        <v/>
      </c>
      <c r="N3401" s="19">
        <f>IF(I3401="","",IFERROR(INDEX(ctaMon,MATCH(E3401,ctaNom,0))&amp;"","DOP"))</f>
        <v/>
      </c>
      <c r="O3401" s="20">
        <f>IF(I3401="","",C3401*IF(N3401="USD",TasaUSD,1))</f>
        <v/>
      </c>
      <c r="P3401" s="20">
        <f>IF(I3401="","",IF(I3401="Gasto",O3401,0))</f>
        <v/>
      </c>
      <c r="Q3401" s="20">
        <f>IF(I3401="","",IF(I3401="Ingreso",O3401,0))</f>
        <v/>
      </c>
      <c r="R3401" s="20">
        <f>IF(I3401="","",IF(I3401="Trading",O3401,0))</f>
        <v/>
      </c>
      <c r="S3401" s="19">
        <f>IF(I3401="","",IF(AND(I3401="Gasto",K3401="Variable",J3401&lt;&gt;"Trading",O3401&gt;0,O3401&lt;=Umbral),1,0))</f>
        <v/>
      </c>
      <c r="T3401" s="20">
        <f>IF(OR(I3401="",E3401=""),"",IF(OR(I3401="Gasto",I3401="Transferencia",I3401="Pago tarjeta"),-1,1)*C3401)</f>
        <v/>
      </c>
      <c r="U3401" s="20">
        <f>IF(OR(G3401="",AND(I3401&lt;&gt;"Transferencia",I3401&lt;&gt;"Pago tarjeta")),"",IF(IFERROR(INDEX(ctaMon,MATCH(G3401,ctaNom,0))&amp;"","DOP")=N3401,C3401,IF(N3401="USD",C3401*TasaUSD,C3401/TasaUSD)))</f>
        <v/>
      </c>
      <c r="V3401" s="20">
        <f>IF(I3401="","",IF(IFERROR(INDEX(ctaLiq,MATCH(E3401,ctaNom,0))="Sí",FALSE),IF(OR(I3401="Gasto",I3401="Transferencia",I3401="Pago tarjeta"),-1,1)*O3401,0)+IF(AND(U3401&lt;&gt;"",IFERROR(INDEX(ctaLiq,MATCH(G3401,ctaNom,0))="Sí",FALSE)),O3401,0))</f>
        <v/>
      </c>
      <c r="W3401" s="19">
        <f>IF(OR(F3401="",I3401=""),"",IF(COUNTIFS(F$6:F3401,F3401,I$6:I3401,"?*")=1,MAX(W$5:W3400)+1,""))</f>
        <v/>
      </c>
    </row>
    <row r="3402">
      <c r="B3402" s="15" t="n"/>
      <c r="C3402" s="16" t="n"/>
      <c r="D3402" s="17" t="n"/>
      <c r="E3402" s="17" t="n"/>
      <c r="F3402" s="17" t="n"/>
      <c r="G3402" s="17" t="n"/>
      <c r="H3402" s="18">
        <f>IF(AND(B3402="",C3402="",D3402="",E3402=""),"",IF(B3402="","⚠ Falta fecha",IF(C3402="","⚠ Falta monto",IF(D3402="","⚠ Falta categoría",IF(ISNA(MATCH(D3402,catNom,0)),"⚠ Categoría no existe",IF(E3402="","⚠ Falta cuenta",IF(ISNA(MATCH(E3402,ctaNom,0)),"⚠ Cuenta no existe",IF(AND(OR(I3402="Transferencia",I3402="Pago tarjeta"),G3402=""),"⚠ Indica la cuenta «Hacia»",IF(AND(G3402&lt;&gt;"",G3402=E3402),"⚠ «Hacia» igual a la cuenta",IF(AND(G3402&lt;&gt;"",ISNA(MATCH(G3402,ctaNom,0))),"⚠ «Hacia» no existe",IF(AND(I3402="Pago tarjeta",IFERROR(INDEX(ctaTipo,MATCH(G3402,ctaNom,0)),"")&lt;&gt;"Tarjeta de crédito"),"⚠ «Hacia» debe ser la tarjeta",IF(AND(I3402="Trading",IFERROR(INDEX(ctaTipo,MATCH(E3402,ctaNom,0)),"")&lt;&gt;"Cuenta de trading"),"⚠ Usa la cuenta de trading","✓"))))))))))))</f>
        <v/>
      </c>
      <c r="I3402" s="19">
        <f>IF(OR(B3402="",C3402="",D3402=""),"",IFERROR(INDEX(catTipo,MATCH(D3402,catNom,0))&amp;"",""))</f>
        <v/>
      </c>
      <c r="J3402" s="19">
        <f>IF(I3402="","",IFERROR(INDEX(catGrupo,MATCH(D3402,catNom,0))&amp;"",""))</f>
        <v/>
      </c>
      <c r="K3402" s="19">
        <f>IF(I3402="Gasto",IF(IFERROR(INDEX(catClas,MATCH(D3402,catNom,0))&amp;"","")="","Variable",IFERROR(INDEX(catClas,MATCH(D3402,catNom,0))&amp;"","")),"")</f>
        <v/>
      </c>
      <c r="L3402" s="19">
        <f>IF(I3402="","",IFERROR(INDEX(catAlim,MATCH(D3402,catNom,0))&amp;"",""))</f>
        <v/>
      </c>
      <c r="M3402" s="19">
        <f>IF(I3402="","",IFERROR(INDEX(catComida,MATCH(D3402,catNom,0))&amp;"",""))</f>
        <v/>
      </c>
      <c r="N3402" s="19">
        <f>IF(I3402="","",IFERROR(INDEX(ctaMon,MATCH(E3402,ctaNom,0))&amp;"","DOP"))</f>
        <v/>
      </c>
      <c r="O3402" s="20">
        <f>IF(I3402="","",C3402*IF(N3402="USD",TasaUSD,1))</f>
        <v/>
      </c>
      <c r="P3402" s="20">
        <f>IF(I3402="","",IF(I3402="Gasto",O3402,0))</f>
        <v/>
      </c>
      <c r="Q3402" s="20">
        <f>IF(I3402="","",IF(I3402="Ingreso",O3402,0))</f>
        <v/>
      </c>
      <c r="R3402" s="20">
        <f>IF(I3402="","",IF(I3402="Trading",O3402,0))</f>
        <v/>
      </c>
      <c r="S3402" s="19">
        <f>IF(I3402="","",IF(AND(I3402="Gasto",K3402="Variable",J3402&lt;&gt;"Trading",O3402&gt;0,O3402&lt;=Umbral),1,0))</f>
        <v/>
      </c>
      <c r="T3402" s="20">
        <f>IF(OR(I3402="",E3402=""),"",IF(OR(I3402="Gasto",I3402="Transferencia",I3402="Pago tarjeta"),-1,1)*C3402)</f>
        <v/>
      </c>
      <c r="U3402" s="20">
        <f>IF(OR(G3402="",AND(I3402&lt;&gt;"Transferencia",I3402&lt;&gt;"Pago tarjeta")),"",IF(IFERROR(INDEX(ctaMon,MATCH(G3402,ctaNom,0))&amp;"","DOP")=N3402,C3402,IF(N3402="USD",C3402*TasaUSD,C3402/TasaUSD)))</f>
        <v/>
      </c>
      <c r="V3402" s="20">
        <f>IF(I3402="","",IF(IFERROR(INDEX(ctaLiq,MATCH(E3402,ctaNom,0))="Sí",FALSE),IF(OR(I3402="Gasto",I3402="Transferencia",I3402="Pago tarjeta"),-1,1)*O3402,0)+IF(AND(U3402&lt;&gt;"",IFERROR(INDEX(ctaLiq,MATCH(G3402,ctaNom,0))="Sí",FALSE)),O3402,0))</f>
        <v/>
      </c>
      <c r="W3402" s="19">
        <f>IF(OR(F3402="",I3402=""),"",IF(COUNTIFS(F$6:F3402,F3402,I$6:I3402,"?*")=1,MAX(W$5:W3401)+1,""))</f>
        <v/>
      </c>
    </row>
    <row r="3403">
      <c r="B3403" s="15" t="n"/>
      <c r="C3403" s="16" t="n"/>
      <c r="D3403" s="17" t="n"/>
      <c r="E3403" s="17" t="n"/>
      <c r="F3403" s="17" t="n"/>
      <c r="G3403" s="17" t="n"/>
      <c r="H3403" s="18">
        <f>IF(AND(B3403="",C3403="",D3403="",E3403=""),"",IF(B3403="","⚠ Falta fecha",IF(C3403="","⚠ Falta monto",IF(D3403="","⚠ Falta categoría",IF(ISNA(MATCH(D3403,catNom,0)),"⚠ Categoría no existe",IF(E3403="","⚠ Falta cuenta",IF(ISNA(MATCH(E3403,ctaNom,0)),"⚠ Cuenta no existe",IF(AND(OR(I3403="Transferencia",I3403="Pago tarjeta"),G3403=""),"⚠ Indica la cuenta «Hacia»",IF(AND(G3403&lt;&gt;"",G3403=E3403),"⚠ «Hacia» igual a la cuenta",IF(AND(G3403&lt;&gt;"",ISNA(MATCH(G3403,ctaNom,0))),"⚠ «Hacia» no existe",IF(AND(I3403="Pago tarjeta",IFERROR(INDEX(ctaTipo,MATCH(G3403,ctaNom,0)),"")&lt;&gt;"Tarjeta de crédito"),"⚠ «Hacia» debe ser la tarjeta",IF(AND(I3403="Trading",IFERROR(INDEX(ctaTipo,MATCH(E3403,ctaNom,0)),"")&lt;&gt;"Cuenta de trading"),"⚠ Usa la cuenta de trading","✓"))))))))))))</f>
        <v/>
      </c>
      <c r="I3403" s="19">
        <f>IF(OR(B3403="",C3403="",D3403=""),"",IFERROR(INDEX(catTipo,MATCH(D3403,catNom,0))&amp;"",""))</f>
        <v/>
      </c>
      <c r="J3403" s="19">
        <f>IF(I3403="","",IFERROR(INDEX(catGrupo,MATCH(D3403,catNom,0))&amp;"",""))</f>
        <v/>
      </c>
      <c r="K3403" s="19">
        <f>IF(I3403="Gasto",IF(IFERROR(INDEX(catClas,MATCH(D3403,catNom,0))&amp;"","")="","Variable",IFERROR(INDEX(catClas,MATCH(D3403,catNom,0))&amp;"","")),"")</f>
        <v/>
      </c>
      <c r="L3403" s="19">
        <f>IF(I3403="","",IFERROR(INDEX(catAlim,MATCH(D3403,catNom,0))&amp;"",""))</f>
        <v/>
      </c>
      <c r="M3403" s="19">
        <f>IF(I3403="","",IFERROR(INDEX(catComida,MATCH(D3403,catNom,0))&amp;"",""))</f>
        <v/>
      </c>
      <c r="N3403" s="19">
        <f>IF(I3403="","",IFERROR(INDEX(ctaMon,MATCH(E3403,ctaNom,0))&amp;"","DOP"))</f>
        <v/>
      </c>
      <c r="O3403" s="20">
        <f>IF(I3403="","",C3403*IF(N3403="USD",TasaUSD,1))</f>
        <v/>
      </c>
      <c r="P3403" s="20">
        <f>IF(I3403="","",IF(I3403="Gasto",O3403,0))</f>
        <v/>
      </c>
      <c r="Q3403" s="20">
        <f>IF(I3403="","",IF(I3403="Ingreso",O3403,0))</f>
        <v/>
      </c>
      <c r="R3403" s="20">
        <f>IF(I3403="","",IF(I3403="Trading",O3403,0))</f>
        <v/>
      </c>
      <c r="S3403" s="19">
        <f>IF(I3403="","",IF(AND(I3403="Gasto",K3403="Variable",J3403&lt;&gt;"Trading",O3403&gt;0,O3403&lt;=Umbral),1,0))</f>
        <v/>
      </c>
      <c r="T3403" s="20">
        <f>IF(OR(I3403="",E3403=""),"",IF(OR(I3403="Gasto",I3403="Transferencia",I3403="Pago tarjeta"),-1,1)*C3403)</f>
        <v/>
      </c>
      <c r="U3403" s="20">
        <f>IF(OR(G3403="",AND(I3403&lt;&gt;"Transferencia",I3403&lt;&gt;"Pago tarjeta")),"",IF(IFERROR(INDEX(ctaMon,MATCH(G3403,ctaNom,0))&amp;"","DOP")=N3403,C3403,IF(N3403="USD",C3403*TasaUSD,C3403/TasaUSD)))</f>
        <v/>
      </c>
      <c r="V3403" s="20">
        <f>IF(I3403="","",IF(IFERROR(INDEX(ctaLiq,MATCH(E3403,ctaNom,0))="Sí",FALSE),IF(OR(I3403="Gasto",I3403="Transferencia",I3403="Pago tarjeta"),-1,1)*O3403,0)+IF(AND(U3403&lt;&gt;"",IFERROR(INDEX(ctaLiq,MATCH(G3403,ctaNom,0))="Sí",FALSE)),O3403,0))</f>
        <v/>
      </c>
      <c r="W3403" s="19">
        <f>IF(OR(F3403="",I3403=""),"",IF(COUNTIFS(F$6:F3403,F3403,I$6:I3403,"?*")=1,MAX(W$5:W3402)+1,""))</f>
        <v/>
      </c>
    </row>
    <row r="3404">
      <c r="B3404" s="15" t="n"/>
      <c r="C3404" s="16" t="n"/>
      <c r="D3404" s="17" t="n"/>
      <c r="E3404" s="17" t="n"/>
      <c r="F3404" s="17" t="n"/>
      <c r="G3404" s="17" t="n"/>
      <c r="H3404" s="18">
        <f>IF(AND(B3404="",C3404="",D3404="",E3404=""),"",IF(B3404="","⚠ Falta fecha",IF(C3404="","⚠ Falta monto",IF(D3404="","⚠ Falta categoría",IF(ISNA(MATCH(D3404,catNom,0)),"⚠ Categoría no existe",IF(E3404="","⚠ Falta cuenta",IF(ISNA(MATCH(E3404,ctaNom,0)),"⚠ Cuenta no existe",IF(AND(OR(I3404="Transferencia",I3404="Pago tarjeta"),G3404=""),"⚠ Indica la cuenta «Hacia»",IF(AND(G3404&lt;&gt;"",G3404=E3404),"⚠ «Hacia» igual a la cuenta",IF(AND(G3404&lt;&gt;"",ISNA(MATCH(G3404,ctaNom,0))),"⚠ «Hacia» no existe",IF(AND(I3404="Pago tarjeta",IFERROR(INDEX(ctaTipo,MATCH(G3404,ctaNom,0)),"")&lt;&gt;"Tarjeta de crédito"),"⚠ «Hacia» debe ser la tarjeta",IF(AND(I3404="Trading",IFERROR(INDEX(ctaTipo,MATCH(E3404,ctaNom,0)),"")&lt;&gt;"Cuenta de trading"),"⚠ Usa la cuenta de trading","✓"))))))))))))</f>
        <v/>
      </c>
      <c r="I3404" s="19">
        <f>IF(OR(B3404="",C3404="",D3404=""),"",IFERROR(INDEX(catTipo,MATCH(D3404,catNom,0))&amp;"",""))</f>
        <v/>
      </c>
      <c r="J3404" s="19">
        <f>IF(I3404="","",IFERROR(INDEX(catGrupo,MATCH(D3404,catNom,0))&amp;"",""))</f>
        <v/>
      </c>
      <c r="K3404" s="19">
        <f>IF(I3404="Gasto",IF(IFERROR(INDEX(catClas,MATCH(D3404,catNom,0))&amp;"","")="","Variable",IFERROR(INDEX(catClas,MATCH(D3404,catNom,0))&amp;"","")),"")</f>
        <v/>
      </c>
      <c r="L3404" s="19">
        <f>IF(I3404="","",IFERROR(INDEX(catAlim,MATCH(D3404,catNom,0))&amp;"",""))</f>
        <v/>
      </c>
      <c r="M3404" s="19">
        <f>IF(I3404="","",IFERROR(INDEX(catComida,MATCH(D3404,catNom,0))&amp;"",""))</f>
        <v/>
      </c>
      <c r="N3404" s="19">
        <f>IF(I3404="","",IFERROR(INDEX(ctaMon,MATCH(E3404,ctaNom,0))&amp;"","DOP"))</f>
        <v/>
      </c>
      <c r="O3404" s="20">
        <f>IF(I3404="","",C3404*IF(N3404="USD",TasaUSD,1))</f>
        <v/>
      </c>
      <c r="P3404" s="20">
        <f>IF(I3404="","",IF(I3404="Gasto",O3404,0))</f>
        <v/>
      </c>
      <c r="Q3404" s="20">
        <f>IF(I3404="","",IF(I3404="Ingreso",O3404,0))</f>
        <v/>
      </c>
      <c r="R3404" s="20">
        <f>IF(I3404="","",IF(I3404="Trading",O3404,0))</f>
        <v/>
      </c>
      <c r="S3404" s="19">
        <f>IF(I3404="","",IF(AND(I3404="Gasto",K3404="Variable",J3404&lt;&gt;"Trading",O3404&gt;0,O3404&lt;=Umbral),1,0))</f>
        <v/>
      </c>
      <c r="T3404" s="20">
        <f>IF(OR(I3404="",E3404=""),"",IF(OR(I3404="Gasto",I3404="Transferencia",I3404="Pago tarjeta"),-1,1)*C3404)</f>
        <v/>
      </c>
      <c r="U3404" s="20">
        <f>IF(OR(G3404="",AND(I3404&lt;&gt;"Transferencia",I3404&lt;&gt;"Pago tarjeta")),"",IF(IFERROR(INDEX(ctaMon,MATCH(G3404,ctaNom,0))&amp;"","DOP")=N3404,C3404,IF(N3404="USD",C3404*TasaUSD,C3404/TasaUSD)))</f>
        <v/>
      </c>
      <c r="V3404" s="20">
        <f>IF(I3404="","",IF(IFERROR(INDEX(ctaLiq,MATCH(E3404,ctaNom,0))="Sí",FALSE),IF(OR(I3404="Gasto",I3404="Transferencia",I3404="Pago tarjeta"),-1,1)*O3404,0)+IF(AND(U3404&lt;&gt;"",IFERROR(INDEX(ctaLiq,MATCH(G3404,ctaNom,0))="Sí",FALSE)),O3404,0))</f>
        <v/>
      </c>
      <c r="W3404" s="19">
        <f>IF(OR(F3404="",I3404=""),"",IF(COUNTIFS(F$6:F3404,F3404,I$6:I3404,"?*")=1,MAX(W$5:W3403)+1,""))</f>
        <v/>
      </c>
    </row>
    <row r="3405">
      <c r="B3405" s="15" t="n"/>
      <c r="C3405" s="16" t="n"/>
      <c r="D3405" s="17" t="n"/>
      <c r="E3405" s="17" t="n"/>
      <c r="F3405" s="17" t="n"/>
      <c r="G3405" s="17" t="n"/>
      <c r="H3405" s="18">
        <f>IF(AND(B3405="",C3405="",D3405="",E3405=""),"",IF(B3405="","⚠ Falta fecha",IF(C3405="","⚠ Falta monto",IF(D3405="","⚠ Falta categoría",IF(ISNA(MATCH(D3405,catNom,0)),"⚠ Categoría no existe",IF(E3405="","⚠ Falta cuenta",IF(ISNA(MATCH(E3405,ctaNom,0)),"⚠ Cuenta no existe",IF(AND(OR(I3405="Transferencia",I3405="Pago tarjeta"),G3405=""),"⚠ Indica la cuenta «Hacia»",IF(AND(G3405&lt;&gt;"",G3405=E3405),"⚠ «Hacia» igual a la cuenta",IF(AND(G3405&lt;&gt;"",ISNA(MATCH(G3405,ctaNom,0))),"⚠ «Hacia» no existe",IF(AND(I3405="Pago tarjeta",IFERROR(INDEX(ctaTipo,MATCH(G3405,ctaNom,0)),"")&lt;&gt;"Tarjeta de crédito"),"⚠ «Hacia» debe ser la tarjeta",IF(AND(I3405="Trading",IFERROR(INDEX(ctaTipo,MATCH(E3405,ctaNom,0)),"")&lt;&gt;"Cuenta de trading"),"⚠ Usa la cuenta de trading","✓"))))))))))))</f>
        <v/>
      </c>
      <c r="I3405" s="19">
        <f>IF(OR(B3405="",C3405="",D3405=""),"",IFERROR(INDEX(catTipo,MATCH(D3405,catNom,0))&amp;"",""))</f>
        <v/>
      </c>
      <c r="J3405" s="19">
        <f>IF(I3405="","",IFERROR(INDEX(catGrupo,MATCH(D3405,catNom,0))&amp;"",""))</f>
        <v/>
      </c>
      <c r="K3405" s="19">
        <f>IF(I3405="Gasto",IF(IFERROR(INDEX(catClas,MATCH(D3405,catNom,0))&amp;"","")="","Variable",IFERROR(INDEX(catClas,MATCH(D3405,catNom,0))&amp;"","")),"")</f>
        <v/>
      </c>
      <c r="L3405" s="19">
        <f>IF(I3405="","",IFERROR(INDEX(catAlim,MATCH(D3405,catNom,0))&amp;"",""))</f>
        <v/>
      </c>
      <c r="M3405" s="19">
        <f>IF(I3405="","",IFERROR(INDEX(catComida,MATCH(D3405,catNom,0))&amp;"",""))</f>
        <v/>
      </c>
      <c r="N3405" s="19">
        <f>IF(I3405="","",IFERROR(INDEX(ctaMon,MATCH(E3405,ctaNom,0))&amp;"","DOP"))</f>
        <v/>
      </c>
      <c r="O3405" s="20">
        <f>IF(I3405="","",C3405*IF(N3405="USD",TasaUSD,1))</f>
        <v/>
      </c>
      <c r="P3405" s="20">
        <f>IF(I3405="","",IF(I3405="Gasto",O3405,0))</f>
        <v/>
      </c>
      <c r="Q3405" s="20">
        <f>IF(I3405="","",IF(I3405="Ingreso",O3405,0))</f>
        <v/>
      </c>
      <c r="R3405" s="20">
        <f>IF(I3405="","",IF(I3405="Trading",O3405,0))</f>
        <v/>
      </c>
      <c r="S3405" s="19">
        <f>IF(I3405="","",IF(AND(I3405="Gasto",K3405="Variable",J3405&lt;&gt;"Trading",O3405&gt;0,O3405&lt;=Umbral),1,0))</f>
        <v/>
      </c>
      <c r="T3405" s="20">
        <f>IF(OR(I3405="",E3405=""),"",IF(OR(I3405="Gasto",I3405="Transferencia",I3405="Pago tarjeta"),-1,1)*C3405)</f>
        <v/>
      </c>
      <c r="U3405" s="20">
        <f>IF(OR(G3405="",AND(I3405&lt;&gt;"Transferencia",I3405&lt;&gt;"Pago tarjeta")),"",IF(IFERROR(INDEX(ctaMon,MATCH(G3405,ctaNom,0))&amp;"","DOP")=N3405,C3405,IF(N3405="USD",C3405*TasaUSD,C3405/TasaUSD)))</f>
        <v/>
      </c>
      <c r="V3405" s="20">
        <f>IF(I3405="","",IF(IFERROR(INDEX(ctaLiq,MATCH(E3405,ctaNom,0))="Sí",FALSE),IF(OR(I3405="Gasto",I3405="Transferencia",I3405="Pago tarjeta"),-1,1)*O3405,0)+IF(AND(U3405&lt;&gt;"",IFERROR(INDEX(ctaLiq,MATCH(G3405,ctaNom,0))="Sí",FALSE)),O3405,0))</f>
        <v/>
      </c>
      <c r="W3405" s="19">
        <f>IF(OR(F3405="",I3405=""),"",IF(COUNTIFS(F$6:F3405,F3405,I$6:I3405,"?*")=1,MAX(W$5:W3404)+1,""))</f>
        <v/>
      </c>
    </row>
    <row r="3406">
      <c r="B3406" s="15" t="n"/>
      <c r="C3406" s="16" t="n"/>
      <c r="D3406" s="17" t="n"/>
      <c r="E3406" s="17" t="n"/>
      <c r="F3406" s="17" t="n"/>
      <c r="G3406" s="17" t="n"/>
      <c r="H3406" s="18">
        <f>IF(AND(B3406="",C3406="",D3406="",E3406=""),"",IF(B3406="","⚠ Falta fecha",IF(C3406="","⚠ Falta monto",IF(D3406="","⚠ Falta categoría",IF(ISNA(MATCH(D3406,catNom,0)),"⚠ Categoría no existe",IF(E3406="","⚠ Falta cuenta",IF(ISNA(MATCH(E3406,ctaNom,0)),"⚠ Cuenta no existe",IF(AND(OR(I3406="Transferencia",I3406="Pago tarjeta"),G3406=""),"⚠ Indica la cuenta «Hacia»",IF(AND(G3406&lt;&gt;"",G3406=E3406),"⚠ «Hacia» igual a la cuenta",IF(AND(G3406&lt;&gt;"",ISNA(MATCH(G3406,ctaNom,0))),"⚠ «Hacia» no existe",IF(AND(I3406="Pago tarjeta",IFERROR(INDEX(ctaTipo,MATCH(G3406,ctaNom,0)),"")&lt;&gt;"Tarjeta de crédito"),"⚠ «Hacia» debe ser la tarjeta",IF(AND(I3406="Trading",IFERROR(INDEX(ctaTipo,MATCH(E3406,ctaNom,0)),"")&lt;&gt;"Cuenta de trading"),"⚠ Usa la cuenta de trading","✓"))))))))))))</f>
        <v/>
      </c>
      <c r="I3406" s="19">
        <f>IF(OR(B3406="",C3406="",D3406=""),"",IFERROR(INDEX(catTipo,MATCH(D3406,catNom,0))&amp;"",""))</f>
        <v/>
      </c>
      <c r="J3406" s="19">
        <f>IF(I3406="","",IFERROR(INDEX(catGrupo,MATCH(D3406,catNom,0))&amp;"",""))</f>
        <v/>
      </c>
      <c r="K3406" s="19">
        <f>IF(I3406="Gasto",IF(IFERROR(INDEX(catClas,MATCH(D3406,catNom,0))&amp;"","")="","Variable",IFERROR(INDEX(catClas,MATCH(D3406,catNom,0))&amp;"","")),"")</f>
        <v/>
      </c>
      <c r="L3406" s="19">
        <f>IF(I3406="","",IFERROR(INDEX(catAlim,MATCH(D3406,catNom,0))&amp;"",""))</f>
        <v/>
      </c>
      <c r="M3406" s="19">
        <f>IF(I3406="","",IFERROR(INDEX(catComida,MATCH(D3406,catNom,0))&amp;"",""))</f>
        <v/>
      </c>
      <c r="N3406" s="19">
        <f>IF(I3406="","",IFERROR(INDEX(ctaMon,MATCH(E3406,ctaNom,0))&amp;"","DOP"))</f>
        <v/>
      </c>
      <c r="O3406" s="20">
        <f>IF(I3406="","",C3406*IF(N3406="USD",TasaUSD,1))</f>
        <v/>
      </c>
      <c r="P3406" s="20">
        <f>IF(I3406="","",IF(I3406="Gasto",O3406,0))</f>
        <v/>
      </c>
      <c r="Q3406" s="20">
        <f>IF(I3406="","",IF(I3406="Ingreso",O3406,0))</f>
        <v/>
      </c>
      <c r="R3406" s="20">
        <f>IF(I3406="","",IF(I3406="Trading",O3406,0))</f>
        <v/>
      </c>
      <c r="S3406" s="19">
        <f>IF(I3406="","",IF(AND(I3406="Gasto",K3406="Variable",J3406&lt;&gt;"Trading",O3406&gt;0,O3406&lt;=Umbral),1,0))</f>
        <v/>
      </c>
      <c r="T3406" s="20">
        <f>IF(OR(I3406="",E3406=""),"",IF(OR(I3406="Gasto",I3406="Transferencia",I3406="Pago tarjeta"),-1,1)*C3406)</f>
        <v/>
      </c>
      <c r="U3406" s="20">
        <f>IF(OR(G3406="",AND(I3406&lt;&gt;"Transferencia",I3406&lt;&gt;"Pago tarjeta")),"",IF(IFERROR(INDEX(ctaMon,MATCH(G3406,ctaNom,0))&amp;"","DOP")=N3406,C3406,IF(N3406="USD",C3406*TasaUSD,C3406/TasaUSD)))</f>
        <v/>
      </c>
      <c r="V3406" s="20">
        <f>IF(I3406="","",IF(IFERROR(INDEX(ctaLiq,MATCH(E3406,ctaNom,0))="Sí",FALSE),IF(OR(I3406="Gasto",I3406="Transferencia",I3406="Pago tarjeta"),-1,1)*O3406,0)+IF(AND(U3406&lt;&gt;"",IFERROR(INDEX(ctaLiq,MATCH(G3406,ctaNom,0))="Sí",FALSE)),O3406,0))</f>
        <v/>
      </c>
      <c r="W3406" s="19">
        <f>IF(OR(F3406="",I3406=""),"",IF(COUNTIFS(F$6:F3406,F3406,I$6:I3406,"?*")=1,MAX(W$5:W3405)+1,""))</f>
        <v/>
      </c>
    </row>
    <row r="3407">
      <c r="B3407" s="15" t="n"/>
      <c r="C3407" s="16" t="n"/>
      <c r="D3407" s="17" t="n"/>
      <c r="E3407" s="17" t="n"/>
      <c r="F3407" s="17" t="n"/>
      <c r="G3407" s="17" t="n"/>
      <c r="H3407" s="18">
        <f>IF(AND(B3407="",C3407="",D3407="",E3407=""),"",IF(B3407="","⚠ Falta fecha",IF(C3407="","⚠ Falta monto",IF(D3407="","⚠ Falta categoría",IF(ISNA(MATCH(D3407,catNom,0)),"⚠ Categoría no existe",IF(E3407="","⚠ Falta cuenta",IF(ISNA(MATCH(E3407,ctaNom,0)),"⚠ Cuenta no existe",IF(AND(OR(I3407="Transferencia",I3407="Pago tarjeta"),G3407=""),"⚠ Indica la cuenta «Hacia»",IF(AND(G3407&lt;&gt;"",G3407=E3407),"⚠ «Hacia» igual a la cuenta",IF(AND(G3407&lt;&gt;"",ISNA(MATCH(G3407,ctaNom,0))),"⚠ «Hacia» no existe",IF(AND(I3407="Pago tarjeta",IFERROR(INDEX(ctaTipo,MATCH(G3407,ctaNom,0)),"")&lt;&gt;"Tarjeta de crédito"),"⚠ «Hacia» debe ser la tarjeta",IF(AND(I3407="Trading",IFERROR(INDEX(ctaTipo,MATCH(E3407,ctaNom,0)),"")&lt;&gt;"Cuenta de trading"),"⚠ Usa la cuenta de trading","✓"))))))))))))</f>
        <v/>
      </c>
      <c r="I3407" s="19">
        <f>IF(OR(B3407="",C3407="",D3407=""),"",IFERROR(INDEX(catTipo,MATCH(D3407,catNom,0))&amp;"",""))</f>
        <v/>
      </c>
      <c r="J3407" s="19">
        <f>IF(I3407="","",IFERROR(INDEX(catGrupo,MATCH(D3407,catNom,0))&amp;"",""))</f>
        <v/>
      </c>
      <c r="K3407" s="19">
        <f>IF(I3407="Gasto",IF(IFERROR(INDEX(catClas,MATCH(D3407,catNom,0))&amp;"","")="","Variable",IFERROR(INDEX(catClas,MATCH(D3407,catNom,0))&amp;"","")),"")</f>
        <v/>
      </c>
      <c r="L3407" s="19">
        <f>IF(I3407="","",IFERROR(INDEX(catAlim,MATCH(D3407,catNom,0))&amp;"",""))</f>
        <v/>
      </c>
      <c r="M3407" s="19">
        <f>IF(I3407="","",IFERROR(INDEX(catComida,MATCH(D3407,catNom,0))&amp;"",""))</f>
        <v/>
      </c>
      <c r="N3407" s="19">
        <f>IF(I3407="","",IFERROR(INDEX(ctaMon,MATCH(E3407,ctaNom,0))&amp;"","DOP"))</f>
        <v/>
      </c>
      <c r="O3407" s="20">
        <f>IF(I3407="","",C3407*IF(N3407="USD",TasaUSD,1))</f>
        <v/>
      </c>
      <c r="P3407" s="20">
        <f>IF(I3407="","",IF(I3407="Gasto",O3407,0))</f>
        <v/>
      </c>
      <c r="Q3407" s="20">
        <f>IF(I3407="","",IF(I3407="Ingreso",O3407,0))</f>
        <v/>
      </c>
      <c r="R3407" s="20">
        <f>IF(I3407="","",IF(I3407="Trading",O3407,0))</f>
        <v/>
      </c>
      <c r="S3407" s="19">
        <f>IF(I3407="","",IF(AND(I3407="Gasto",K3407="Variable",J3407&lt;&gt;"Trading",O3407&gt;0,O3407&lt;=Umbral),1,0))</f>
        <v/>
      </c>
      <c r="T3407" s="20">
        <f>IF(OR(I3407="",E3407=""),"",IF(OR(I3407="Gasto",I3407="Transferencia",I3407="Pago tarjeta"),-1,1)*C3407)</f>
        <v/>
      </c>
      <c r="U3407" s="20">
        <f>IF(OR(G3407="",AND(I3407&lt;&gt;"Transferencia",I3407&lt;&gt;"Pago tarjeta")),"",IF(IFERROR(INDEX(ctaMon,MATCH(G3407,ctaNom,0))&amp;"","DOP")=N3407,C3407,IF(N3407="USD",C3407*TasaUSD,C3407/TasaUSD)))</f>
        <v/>
      </c>
      <c r="V3407" s="20">
        <f>IF(I3407="","",IF(IFERROR(INDEX(ctaLiq,MATCH(E3407,ctaNom,0))="Sí",FALSE),IF(OR(I3407="Gasto",I3407="Transferencia",I3407="Pago tarjeta"),-1,1)*O3407,0)+IF(AND(U3407&lt;&gt;"",IFERROR(INDEX(ctaLiq,MATCH(G3407,ctaNom,0))="Sí",FALSE)),O3407,0))</f>
        <v/>
      </c>
      <c r="W3407" s="19">
        <f>IF(OR(F3407="",I3407=""),"",IF(COUNTIFS(F$6:F3407,F3407,I$6:I3407,"?*")=1,MAX(W$5:W3406)+1,""))</f>
        <v/>
      </c>
    </row>
    <row r="3408">
      <c r="B3408" s="15" t="n"/>
      <c r="C3408" s="16" t="n"/>
      <c r="D3408" s="17" t="n"/>
      <c r="E3408" s="17" t="n"/>
      <c r="F3408" s="17" t="n"/>
      <c r="G3408" s="17" t="n"/>
      <c r="H3408" s="18">
        <f>IF(AND(B3408="",C3408="",D3408="",E3408=""),"",IF(B3408="","⚠ Falta fecha",IF(C3408="","⚠ Falta monto",IF(D3408="","⚠ Falta categoría",IF(ISNA(MATCH(D3408,catNom,0)),"⚠ Categoría no existe",IF(E3408="","⚠ Falta cuenta",IF(ISNA(MATCH(E3408,ctaNom,0)),"⚠ Cuenta no existe",IF(AND(OR(I3408="Transferencia",I3408="Pago tarjeta"),G3408=""),"⚠ Indica la cuenta «Hacia»",IF(AND(G3408&lt;&gt;"",G3408=E3408),"⚠ «Hacia» igual a la cuenta",IF(AND(G3408&lt;&gt;"",ISNA(MATCH(G3408,ctaNom,0))),"⚠ «Hacia» no existe",IF(AND(I3408="Pago tarjeta",IFERROR(INDEX(ctaTipo,MATCH(G3408,ctaNom,0)),"")&lt;&gt;"Tarjeta de crédito"),"⚠ «Hacia» debe ser la tarjeta",IF(AND(I3408="Trading",IFERROR(INDEX(ctaTipo,MATCH(E3408,ctaNom,0)),"")&lt;&gt;"Cuenta de trading"),"⚠ Usa la cuenta de trading","✓"))))))))))))</f>
        <v/>
      </c>
      <c r="I3408" s="19">
        <f>IF(OR(B3408="",C3408="",D3408=""),"",IFERROR(INDEX(catTipo,MATCH(D3408,catNom,0))&amp;"",""))</f>
        <v/>
      </c>
      <c r="J3408" s="19">
        <f>IF(I3408="","",IFERROR(INDEX(catGrupo,MATCH(D3408,catNom,0))&amp;"",""))</f>
        <v/>
      </c>
      <c r="K3408" s="19">
        <f>IF(I3408="Gasto",IF(IFERROR(INDEX(catClas,MATCH(D3408,catNom,0))&amp;"","")="","Variable",IFERROR(INDEX(catClas,MATCH(D3408,catNom,0))&amp;"","")),"")</f>
        <v/>
      </c>
      <c r="L3408" s="19">
        <f>IF(I3408="","",IFERROR(INDEX(catAlim,MATCH(D3408,catNom,0))&amp;"",""))</f>
        <v/>
      </c>
      <c r="M3408" s="19">
        <f>IF(I3408="","",IFERROR(INDEX(catComida,MATCH(D3408,catNom,0))&amp;"",""))</f>
        <v/>
      </c>
      <c r="N3408" s="19">
        <f>IF(I3408="","",IFERROR(INDEX(ctaMon,MATCH(E3408,ctaNom,0))&amp;"","DOP"))</f>
        <v/>
      </c>
      <c r="O3408" s="20">
        <f>IF(I3408="","",C3408*IF(N3408="USD",TasaUSD,1))</f>
        <v/>
      </c>
      <c r="P3408" s="20">
        <f>IF(I3408="","",IF(I3408="Gasto",O3408,0))</f>
        <v/>
      </c>
      <c r="Q3408" s="20">
        <f>IF(I3408="","",IF(I3408="Ingreso",O3408,0))</f>
        <v/>
      </c>
      <c r="R3408" s="20">
        <f>IF(I3408="","",IF(I3408="Trading",O3408,0))</f>
        <v/>
      </c>
      <c r="S3408" s="19">
        <f>IF(I3408="","",IF(AND(I3408="Gasto",K3408="Variable",J3408&lt;&gt;"Trading",O3408&gt;0,O3408&lt;=Umbral),1,0))</f>
        <v/>
      </c>
      <c r="T3408" s="20">
        <f>IF(OR(I3408="",E3408=""),"",IF(OR(I3408="Gasto",I3408="Transferencia",I3408="Pago tarjeta"),-1,1)*C3408)</f>
        <v/>
      </c>
      <c r="U3408" s="20">
        <f>IF(OR(G3408="",AND(I3408&lt;&gt;"Transferencia",I3408&lt;&gt;"Pago tarjeta")),"",IF(IFERROR(INDEX(ctaMon,MATCH(G3408,ctaNom,0))&amp;"","DOP")=N3408,C3408,IF(N3408="USD",C3408*TasaUSD,C3408/TasaUSD)))</f>
        <v/>
      </c>
      <c r="V3408" s="20">
        <f>IF(I3408="","",IF(IFERROR(INDEX(ctaLiq,MATCH(E3408,ctaNom,0))="Sí",FALSE),IF(OR(I3408="Gasto",I3408="Transferencia",I3408="Pago tarjeta"),-1,1)*O3408,0)+IF(AND(U3408&lt;&gt;"",IFERROR(INDEX(ctaLiq,MATCH(G3408,ctaNom,0))="Sí",FALSE)),O3408,0))</f>
        <v/>
      </c>
      <c r="W3408" s="19">
        <f>IF(OR(F3408="",I3408=""),"",IF(COUNTIFS(F$6:F3408,F3408,I$6:I3408,"?*")=1,MAX(W$5:W3407)+1,""))</f>
        <v/>
      </c>
    </row>
    <row r="3409">
      <c r="B3409" s="15" t="n"/>
      <c r="C3409" s="16" t="n"/>
      <c r="D3409" s="17" t="n"/>
      <c r="E3409" s="17" t="n"/>
      <c r="F3409" s="17" t="n"/>
      <c r="G3409" s="17" t="n"/>
      <c r="H3409" s="18">
        <f>IF(AND(B3409="",C3409="",D3409="",E3409=""),"",IF(B3409="","⚠ Falta fecha",IF(C3409="","⚠ Falta monto",IF(D3409="","⚠ Falta categoría",IF(ISNA(MATCH(D3409,catNom,0)),"⚠ Categoría no existe",IF(E3409="","⚠ Falta cuenta",IF(ISNA(MATCH(E3409,ctaNom,0)),"⚠ Cuenta no existe",IF(AND(OR(I3409="Transferencia",I3409="Pago tarjeta"),G3409=""),"⚠ Indica la cuenta «Hacia»",IF(AND(G3409&lt;&gt;"",G3409=E3409),"⚠ «Hacia» igual a la cuenta",IF(AND(G3409&lt;&gt;"",ISNA(MATCH(G3409,ctaNom,0))),"⚠ «Hacia» no existe",IF(AND(I3409="Pago tarjeta",IFERROR(INDEX(ctaTipo,MATCH(G3409,ctaNom,0)),"")&lt;&gt;"Tarjeta de crédito"),"⚠ «Hacia» debe ser la tarjeta",IF(AND(I3409="Trading",IFERROR(INDEX(ctaTipo,MATCH(E3409,ctaNom,0)),"")&lt;&gt;"Cuenta de trading"),"⚠ Usa la cuenta de trading","✓"))))))))))))</f>
        <v/>
      </c>
      <c r="I3409" s="19">
        <f>IF(OR(B3409="",C3409="",D3409=""),"",IFERROR(INDEX(catTipo,MATCH(D3409,catNom,0))&amp;"",""))</f>
        <v/>
      </c>
      <c r="J3409" s="19">
        <f>IF(I3409="","",IFERROR(INDEX(catGrupo,MATCH(D3409,catNom,0))&amp;"",""))</f>
        <v/>
      </c>
      <c r="K3409" s="19">
        <f>IF(I3409="Gasto",IF(IFERROR(INDEX(catClas,MATCH(D3409,catNom,0))&amp;"","")="","Variable",IFERROR(INDEX(catClas,MATCH(D3409,catNom,0))&amp;"","")),"")</f>
        <v/>
      </c>
      <c r="L3409" s="19">
        <f>IF(I3409="","",IFERROR(INDEX(catAlim,MATCH(D3409,catNom,0))&amp;"",""))</f>
        <v/>
      </c>
      <c r="M3409" s="19">
        <f>IF(I3409="","",IFERROR(INDEX(catComida,MATCH(D3409,catNom,0))&amp;"",""))</f>
        <v/>
      </c>
      <c r="N3409" s="19">
        <f>IF(I3409="","",IFERROR(INDEX(ctaMon,MATCH(E3409,ctaNom,0))&amp;"","DOP"))</f>
        <v/>
      </c>
      <c r="O3409" s="20">
        <f>IF(I3409="","",C3409*IF(N3409="USD",TasaUSD,1))</f>
        <v/>
      </c>
      <c r="P3409" s="20">
        <f>IF(I3409="","",IF(I3409="Gasto",O3409,0))</f>
        <v/>
      </c>
      <c r="Q3409" s="20">
        <f>IF(I3409="","",IF(I3409="Ingreso",O3409,0))</f>
        <v/>
      </c>
      <c r="R3409" s="20">
        <f>IF(I3409="","",IF(I3409="Trading",O3409,0))</f>
        <v/>
      </c>
      <c r="S3409" s="19">
        <f>IF(I3409="","",IF(AND(I3409="Gasto",K3409="Variable",J3409&lt;&gt;"Trading",O3409&gt;0,O3409&lt;=Umbral),1,0))</f>
        <v/>
      </c>
      <c r="T3409" s="20">
        <f>IF(OR(I3409="",E3409=""),"",IF(OR(I3409="Gasto",I3409="Transferencia",I3409="Pago tarjeta"),-1,1)*C3409)</f>
        <v/>
      </c>
      <c r="U3409" s="20">
        <f>IF(OR(G3409="",AND(I3409&lt;&gt;"Transferencia",I3409&lt;&gt;"Pago tarjeta")),"",IF(IFERROR(INDEX(ctaMon,MATCH(G3409,ctaNom,0))&amp;"","DOP")=N3409,C3409,IF(N3409="USD",C3409*TasaUSD,C3409/TasaUSD)))</f>
        <v/>
      </c>
      <c r="V3409" s="20">
        <f>IF(I3409="","",IF(IFERROR(INDEX(ctaLiq,MATCH(E3409,ctaNom,0))="Sí",FALSE),IF(OR(I3409="Gasto",I3409="Transferencia",I3409="Pago tarjeta"),-1,1)*O3409,0)+IF(AND(U3409&lt;&gt;"",IFERROR(INDEX(ctaLiq,MATCH(G3409,ctaNom,0))="Sí",FALSE)),O3409,0))</f>
        <v/>
      </c>
      <c r="W3409" s="19">
        <f>IF(OR(F3409="",I3409=""),"",IF(COUNTIFS(F$6:F3409,F3409,I$6:I3409,"?*")=1,MAX(W$5:W3408)+1,""))</f>
        <v/>
      </c>
    </row>
    <row r="3410">
      <c r="B3410" s="15" t="n"/>
      <c r="C3410" s="16" t="n"/>
      <c r="D3410" s="17" t="n"/>
      <c r="E3410" s="17" t="n"/>
      <c r="F3410" s="17" t="n"/>
      <c r="G3410" s="17" t="n"/>
      <c r="H3410" s="18">
        <f>IF(AND(B3410="",C3410="",D3410="",E3410=""),"",IF(B3410="","⚠ Falta fecha",IF(C3410="","⚠ Falta monto",IF(D3410="","⚠ Falta categoría",IF(ISNA(MATCH(D3410,catNom,0)),"⚠ Categoría no existe",IF(E3410="","⚠ Falta cuenta",IF(ISNA(MATCH(E3410,ctaNom,0)),"⚠ Cuenta no existe",IF(AND(OR(I3410="Transferencia",I3410="Pago tarjeta"),G3410=""),"⚠ Indica la cuenta «Hacia»",IF(AND(G3410&lt;&gt;"",G3410=E3410),"⚠ «Hacia» igual a la cuenta",IF(AND(G3410&lt;&gt;"",ISNA(MATCH(G3410,ctaNom,0))),"⚠ «Hacia» no existe",IF(AND(I3410="Pago tarjeta",IFERROR(INDEX(ctaTipo,MATCH(G3410,ctaNom,0)),"")&lt;&gt;"Tarjeta de crédito"),"⚠ «Hacia» debe ser la tarjeta",IF(AND(I3410="Trading",IFERROR(INDEX(ctaTipo,MATCH(E3410,ctaNom,0)),"")&lt;&gt;"Cuenta de trading"),"⚠ Usa la cuenta de trading","✓"))))))))))))</f>
        <v/>
      </c>
      <c r="I3410" s="19">
        <f>IF(OR(B3410="",C3410="",D3410=""),"",IFERROR(INDEX(catTipo,MATCH(D3410,catNom,0))&amp;"",""))</f>
        <v/>
      </c>
      <c r="J3410" s="19">
        <f>IF(I3410="","",IFERROR(INDEX(catGrupo,MATCH(D3410,catNom,0))&amp;"",""))</f>
        <v/>
      </c>
      <c r="K3410" s="19">
        <f>IF(I3410="Gasto",IF(IFERROR(INDEX(catClas,MATCH(D3410,catNom,0))&amp;"","")="","Variable",IFERROR(INDEX(catClas,MATCH(D3410,catNom,0))&amp;"","")),"")</f>
        <v/>
      </c>
      <c r="L3410" s="19">
        <f>IF(I3410="","",IFERROR(INDEX(catAlim,MATCH(D3410,catNom,0))&amp;"",""))</f>
        <v/>
      </c>
      <c r="M3410" s="19">
        <f>IF(I3410="","",IFERROR(INDEX(catComida,MATCH(D3410,catNom,0))&amp;"",""))</f>
        <v/>
      </c>
      <c r="N3410" s="19">
        <f>IF(I3410="","",IFERROR(INDEX(ctaMon,MATCH(E3410,ctaNom,0))&amp;"","DOP"))</f>
        <v/>
      </c>
      <c r="O3410" s="20">
        <f>IF(I3410="","",C3410*IF(N3410="USD",TasaUSD,1))</f>
        <v/>
      </c>
      <c r="P3410" s="20">
        <f>IF(I3410="","",IF(I3410="Gasto",O3410,0))</f>
        <v/>
      </c>
      <c r="Q3410" s="20">
        <f>IF(I3410="","",IF(I3410="Ingreso",O3410,0))</f>
        <v/>
      </c>
      <c r="R3410" s="20">
        <f>IF(I3410="","",IF(I3410="Trading",O3410,0))</f>
        <v/>
      </c>
      <c r="S3410" s="19">
        <f>IF(I3410="","",IF(AND(I3410="Gasto",K3410="Variable",J3410&lt;&gt;"Trading",O3410&gt;0,O3410&lt;=Umbral),1,0))</f>
        <v/>
      </c>
      <c r="T3410" s="20">
        <f>IF(OR(I3410="",E3410=""),"",IF(OR(I3410="Gasto",I3410="Transferencia",I3410="Pago tarjeta"),-1,1)*C3410)</f>
        <v/>
      </c>
      <c r="U3410" s="20">
        <f>IF(OR(G3410="",AND(I3410&lt;&gt;"Transferencia",I3410&lt;&gt;"Pago tarjeta")),"",IF(IFERROR(INDEX(ctaMon,MATCH(G3410,ctaNom,0))&amp;"","DOP")=N3410,C3410,IF(N3410="USD",C3410*TasaUSD,C3410/TasaUSD)))</f>
        <v/>
      </c>
      <c r="V3410" s="20">
        <f>IF(I3410="","",IF(IFERROR(INDEX(ctaLiq,MATCH(E3410,ctaNom,0))="Sí",FALSE),IF(OR(I3410="Gasto",I3410="Transferencia",I3410="Pago tarjeta"),-1,1)*O3410,0)+IF(AND(U3410&lt;&gt;"",IFERROR(INDEX(ctaLiq,MATCH(G3410,ctaNom,0))="Sí",FALSE)),O3410,0))</f>
        <v/>
      </c>
      <c r="W3410" s="19">
        <f>IF(OR(F3410="",I3410=""),"",IF(COUNTIFS(F$6:F3410,F3410,I$6:I3410,"?*")=1,MAX(W$5:W3409)+1,""))</f>
        <v/>
      </c>
    </row>
    <row r="3411">
      <c r="B3411" s="15" t="n"/>
      <c r="C3411" s="16" t="n"/>
      <c r="D3411" s="17" t="n"/>
      <c r="E3411" s="17" t="n"/>
      <c r="F3411" s="17" t="n"/>
      <c r="G3411" s="17" t="n"/>
      <c r="H3411" s="18">
        <f>IF(AND(B3411="",C3411="",D3411="",E3411=""),"",IF(B3411="","⚠ Falta fecha",IF(C3411="","⚠ Falta monto",IF(D3411="","⚠ Falta categoría",IF(ISNA(MATCH(D3411,catNom,0)),"⚠ Categoría no existe",IF(E3411="","⚠ Falta cuenta",IF(ISNA(MATCH(E3411,ctaNom,0)),"⚠ Cuenta no existe",IF(AND(OR(I3411="Transferencia",I3411="Pago tarjeta"),G3411=""),"⚠ Indica la cuenta «Hacia»",IF(AND(G3411&lt;&gt;"",G3411=E3411),"⚠ «Hacia» igual a la cuenta",IF(AND(G3411&lt;&gt;"",ISNA(MATCH(G3411,ctaNom,0))),"⚠ «Hacia» no existe",IF(AND(I3411="Pago tarjeta",IFERROR(INDEX(ctaTipo,MATCH(G3411,ctaNom,0)),"")&lt;&gt;"Tarjeta de crédito"),"⚠ «Hacia» debe ser la tarjeta",IF(AND(I3411="Trading",IFERROR(INDEX(ctaTipo,MATCH(E3411,ctaNom,0)),"")&lt;&gt;"Cuenta de trading"),"⚠ Usa la cuenta de trading","✓"))))))))))))</f>
        <v/>
      </c>
      <c r="I3411" s="19">
        <f>IF(OR(B3411="",C3411="",D3411=""),"",IFERROR(INDEX(catTipo,MATCH(D3411,catNom,0))&amp;"",""))</f>
        <v/>
      </c>
      <c r="J3411" s="19">
        <f>IF(I3411="","",IFERROR(INDEX(catGrupo,MATCH(D3411,catNom,0))&amp;"",""))</f>
        <v/>
      </c>
      <c r="K3411" s="19">
        <f>IF(I3411="Gasto",IF(IFERROR(INDEX(catClas,MATCH(D3411,catNom,0))&amp;"","")="","Variable",IFERROR(INDEX(catClas,MATCH(D3411,catNom,0))&amp;"","")),"")</f>
        <v/>
      </c>
      <c r="L3411" s="19">
        <f>IF(I3411="","",IFERROR(INDEX(catAlim,MATCH(D3411,catNom,0))&amp;"",""))</f>
        <v/>
      </c>
      <c r="M3411" s="19">
        <f>IF(I3411="","",IFERROR(INDEX(catComida,MATCH(D3411,catNom,0))&amp;"",""))</f>
        <v/>
      </c>
      <c r="N3411" s="19">
        <f>IF(I3411="","",IFERROR(INDEX(ctaMon,MATCH(E3411,ctaNom,0))&amp;"","DOP"))</f>
        <v/>
      </c>
      <c r="O3411" s="20">
        <f>IF(I3411="","",C3411*IF(N3411="USD",TasaUSD,1))</f>
        <v/>
      </c>
      <c r="P3411" s="20">
        <f>IF(I3411="","",IF(I3411="Gasto",O3411,0))</f>
        <v/>
      </c>
      <c r="Q3411" s="20">
        <f>IF(I3411="","",IF(I3411="Ingreso",O3411,0))</f>
        <v/>
      </c>
      <c r="R3411" s="20">
        <f>IF(I3411="","",IF(I3411="Trading",O3411,0))</f>
        <v/>
      </c>
      <c r="S3411" s="19">
        <f>IF(I3411="","",IF(AND(I3411="Gasto",K3411="Variable",J3411&lt;&gt;"Trading",O3411&gt;0,O3411&lt;=Umbral),1,0))</f>
        <v/>
      </c>
      <c r="T3411" s="20">
        <f>IF(OR(I3411="",E3411=""),"",IF(OR(I3411="Gasto",I3411="Transferencia",I3411="Pago tarjeta"),-1,1)*C3411)</f>
        <v/>
      </c>
      <c r="U3411" s="20">
        <f>IF(OR(G3411="",AND(I3411&lt;&gt;"Transferencia",I3411&lt;&gt;"Pago tarjeta")),"",IF(IFERROR(INDEX(ctaMon,MATCH(G3411,ctaNom,0))&amp;"","DOP")=N3411,C3411,IF(N3411="USD",C3411*TasaUSD,C3411/TasaUSD)))</f>
        <v/>
      </c>
      <c r="V3411" s="20">
        <f>IF(I3411="","",IF(IFERROR(INDEX(ctaLiq,MATCH(E3411,ctaNom,0))="Sí",FALSE),IF(OR(I3411="Gasto",I3411="Transferencia",I3411="Pago tarjeta"),-1,1)*O3411,0)+IF(AND(U3411&lt;&gt;"",IFERROR(INDEX(ctaLiq,MATCH(G3411,ctaNom,0))="Sí",FALSE)),O3411,0))</f>
        <v/>
      </c>
      <c r="W3411" s="19">
        <f>IF(OR(F3411="",I3411=""),"",IF(COUNTIFS(F$6:F3411,F3411,I$6:I3411,"?*")=1,MAX(W$5:W3410)+1,""))</f>
        <v/>
      </c>
    </row>
    <row r="3412">
      <c r="B3412" s="15" t="n"/>
      <c r="C3412" s="16" t="n"/>
      <c r="D3412" s="17" t="n"/>
      <c r="E3412" s="17" t="n"/>
      <c r="F3412" s="17" t="n"/>
      <c r="G3412" s="17" t="n"/>
      <c r="H3412" s="18">
        <f>IF(AND(B3412="",C3412="",D3412="",E3412=""),"",IF(B3412="","⚠ Falta fecha",IF(C3412="","⚠ Falta monto",IF(D3412="","⚠ Falta categoría",IF(ISNA(MATCH(D3412,catNom,0)),"⚠ Categoría no existe",IF(E3412="","⚠ Falta cuenta",IF(ISNA(MATCH(E3412,ctaNom,0)),"⚠ Cuenta no existe",IF(AND(OR(I3412="Transferencia",I3412="Pago tarjeta"),G3412=""),"⚠ Indica la cuenta «Hacia»",IF(AND(G3412&lt;&gt;"",G3412=E3412),"⚠ «Hacia» igual a la cuenta",IF(AND(G3412&lt;&gt;"",ISNA(MATCH(G3412,ctaNom,0))),"⚠ «Hacia» no existe",IF(AND(I3412="Pago tarjeta",IFERROR(INDEX(ctaTipo,MATCH(G3412,ctaNom,0)),"")&lt;&gt;"Tarjeta de crédito"),"⚠ «Hacia» debe ser la tarjeta",IF(AND(I3412="Trading",IFERROR(INDEX(ctaTipo,MATCH(E3412,ctaNom,0)),"")&lt;&gt;"Cuenta de trading"),"⚠ Usa la cuenta de trading","✓"))))))))))))</f>
        <v/>
      </c>
      <c r="I3412" s="19">
        <f>IF(OR(B3412="",C3412="",D3412=""),"",IFERROR(INDEX(catTipo,MATCH(D3412,catNom,0))&amp;"",""))</f>
        <v/>
      </c>
      <c r="J3412" s="19">
        <f>IF(I3412="","",IFERROR(INDEX(catGrupo,MATCH(D3412,catNom,0))&amp;"",""))</f>
        <v/>
      </c>
      <c r="K3412" s="19">
        <f>IF(I3412="Gasto",IF(IFERROR(INDEX(catClas,MATCH(D3412,catNom,0))&amp;"","")="","Variable",IFERROR(INDEX(catClas,MATCH(D3412,catNom,0))&amp;"","")),"")</f>
        <v/>
      </c>
      <c r="L3412" s="19">
        <f>IF(I3412="","",IFERROR(INDEX(catAlim,MATCH(D3412,catNom,0))&amp;"",""))</f>
        <v/>
      </c>
      <c r="M3412" s="19">
        <f>IF(I3412="","",IFERROR(INDEX(catComida,MATCH(D3412,catNom,0))&amp;"",""))</f>
        <v/>
      </c>
      <c r="N3412" s="19">
        <f>IF(I3412="","",IFERROR(INDEX(ctaMon,MATCH(E3412,ctaNom,0))&amp;"","DOP"))</f>
        <v/>
      </c>
      <c r="O3412" s="20">
        <f>IF(I3412="","",C3412*IF(N3412="USD",TasaUSD,1))</f>
        <v/>
      </c>
      <c r="P3412" s="20">
        <f>IF(I3412="","",IF(I3412="Gasto",O3412,0))</f>
        <v/>
      </c>
      <c r="Q3412" s="20">
        <f>IF(I3412="","",IF(I3412="Ingreso",O3412,0))</f>
        <v/>
      </c>
      <c r="R3412" s="20">
        <f>IF(I3412="","",IF(I3412="Trading",O3412,0))</f>
        <v/>
      </c>
      <c r="S3412" s="19">
        <f>IF(I3412="","",IF(AND(I3412="Gasto",K3412="Variable",J3412&lt;&gt;"Trading",O3412&gt;0,O3412&lt;=Umbral),1,0))</f>
        <v/>
      </c>
      <c r="T3412" s="20">
        <f>IF(OR(I3412="",E3412=""),"",IF(OR(I3412="Gasto",I3412="Transferencia",I3412="Pago tarjeta"),-1,1)*C3412)</f>
        <v/>
      </c>
      <c r="U3412" s="20">
        <f>IF(OR(G3412="",AND(I3412&lt;&gt;"Transferencia",I3412&lt;&gt;"Pago tarjeta")),"",IF(IFERROR(INDEX(ctaMon,MATCH(G3412,ctaNom,0))&amp;"","DOP")=N3412,C3412,IF(N3412="USD",C3412*TasaUSD,C3412/TasaUSD)))</f>
        <v/>
      </c>
      <c r="V3412" s="20">
        <f>IF(I3412="","",IF(IFERROR(INDEX(ctaLiq,MATCH(E3412,ctaNom,0))="Sí",FALSE),IF(OR(I3412="Gasto",I3412="Transferencia",I3412="Pago tarjeta"),-1,1)*O3412,0)+IF(AND(U3412&lt;&gt;"",IFERROR(INDEX(ctaLiq,MATCH(G3412,ctaNom,0))="Sí",FALSE)),O3412,0))</f>
        <v/>
      </c>
      <c r="W3412" s="19">
        <f>IF(OR(F3412="",I3412=""),"",IF(COUNTIFS(F$6:F3412,F3412,I$6:I3412,"?*")=1,MAX(W$5:W3411)+1,""))</f>
        <v/>
      </c>
    </row>
    <row r="3413">
      <c r="B3413" s="15" t="n"/>
      <c r="C3413" s="16" t="n"/>
      <c r="D3413" s="17" t="n"/>
      <c r="E3413" s="17" t="n"/>
      <c r="F3413" s="17" t="n"/>
      <c r="G3413" s="17" t="n"/>
      <c r="H3413" s="18">
        <f>IF(AND(B3413="",C3413="",D3413="",E3413=""),"",IF(B3413="","⚠ Falta fecha",IF(C3413="","⚠ Falta monto",IF(D3413="","⚠ Falta categoría",IF(ISNA(MATCH(D3413,catNom,0)),"⚠ Categoría no existe",IF(E3413="","⚠ Falta cuenta",IF(ISNA(MATCH(E3413,ctaNom,0)),"⚠ Cuenta no existe",IF(AND(OR(I3413="Transferencia",I3413="Pago tarjeta"),G3413=""),"⚠ Indica la cuenta «Hacia»",IF(AND(G3413&lt;&gt;"",G3413=E3413),"⚠ «Hacia» igual a la cuenta",IF(AND(G3413&lt;&gt;"",ISNA(MATCH(G3413,ctaNom,0))),"⚠ «Hacia» no existe",IF(AND(I3413="Pago tarjeta",IFERROR(INDEX(ctaTipo,MATCH(G3413,ctaNom,0)),"")&lt;&gt;"Tarjeta de crédito"),"⚠ «Hacia» debe ser la tarjeta",IF(AND(I3413="Trading",IFERROR(INDEX(ctaTipo,MATCH(E3413,ctaNom,0)),"")&lt;&gt;"Cuenta de trading"),"⚠ Usa la cuenta de trading","✓"))))))))))))</f>
        <v/>
      </c>
      <c r="I3413" s="19">
        <f>IF(OR(B3413="",C3413="",D3413=""),"",IFERROR(INDEX(catTipo,MATCH(D3413,catNom,0))&amp;"",""))</f>
        <v/>
      </c>
      <c r="J3413" s="19">
        <f>IF(I3413="","",IFERROR(INDEX(catGrupo,MATCH(D3413,catNom,0))&amp;"",""))</f>
        <v/>
      </c>
      <c r="K3413" s="19">
        <f>IF(I3413="Gasto",IF(IFERROR(INDEX(catClas,MATCH(D3413,catNom,0))&amp;"","")="","Variable",IFERROR(INDEX(catClas,MATCH(D3413,catNom,0))&amp;"","")),"")</f>
        <v/>
      </c>
      <c r="L3413" s="19">
        <f>IF(I3413="","",IFERROR(INDEX(catAlim,MATCH(D3413,catNom,0))&amp;"",""))</f>
        <v/>
      </c>
      <c r="M3413" s="19">
        <f>IF(I3413="","",IFERROR(INDEX(catComida,MATCH(D3413,catNom,0))&amp;"",""))</f>
        <v/>
      </c>
      <c r="N3413" s="19">
        <f>IF(I3413="","",IFERROR(INDEX(ctaMon,MATCH(E3413,ctaNom,0))&amp;"","DOP"))</f>
        <v/>
      </c>
      <c r="O3413" s="20">
        <f>IF(I3413="","",C3413*IF(N3413="USD",TasaUSD,1))</f>
        <v/>
      </c>
      <c r="P3413" s="20">
        <f>IF(I3413="","",IF(I3413="Gasto",O3413,0))</f>
        <v/>
      </c>
      <c r="Q3413" s="20">
        <f>IF(I3413="","",IF(I3413="Ingreso",O3413,0))</f>
        <v/>
      </c>
      <c r="R3413" s="20">
        <f>IF(I3413="","",IF(I3413="Trading",O3413,0))</f>
        <v/>
      </c>
      <c r="S3413" s="19">
        <f>IF(I3413="","",IF(AND(I3413="Gasto",K3413="Variable",J3413&lt;&gt;"Trading",O3413&gt;0,O3413&lt;=Umbral),1,0))</f>
        <v/>
      </c>
      <c r="T3413" s="20">
        <f>IF(OR(I3413="",E3413=""),"",IF(OR(I3413="Gasto",I3413="Transferencia",I3413="Pago tarjeta"),-1,1)*C3413)</f>
        <v/>
      </c>
      <c r="U3413" s="20">
        <f>IF(OR(G3413="",AND(I3413&lt;&gt;"Transferencia",I3413&lt;&gt;"Pago tarjeta")),"",IF(IFERROR(INDEX(ctaMon,MATCH(G3413,ctaNom,0))&amp;"","DOP")=N3413,C3413,IF(N3413="USD",C3413*TasaUSD,C3413/TasaUSD)))</f>
        <v/>
      </c>
      <c r="V3413" s="20">
        <f>IF(I3413="","",IF(IFERROR(INDEX(ctaLiq,MATCH(E3413,ctaNom,0))="Sí",FALSE),IF(OR(I3413="Gasto",I3413="Transferencia",I3413="Pago tarjeta"),-1,1)*O3413,0)+IF(AND(U3413&lt;&gt;"",IFERROR(INDEX(ctaLiq,MATCH(G3413,ctaNom,0))="Sí",FALSE)),O3413,0))</f>
        <v/>
      </c>
      <c r="W3413" s="19">
        <f>IF(OR(F3413="",I3413=""),"",IF(COUNTIFS(F$6:F3413,F3413,I$6:I3413,"?*")=1,MAX(W$5:W3412)+1,""))</f>
        <v/>
      </c>
    </row>
    <row r="3414">
      <c r="B3414" s="15" t="n"/>
      <c r="C3414" s="16" t="n"/>
      <c r="D3414" s="17" t="n"/>
      <c r="E3414" s="17" t="n"/>
      <c r="F3414" s="17" t="n"/>
      <c r="G3414" s="17" t="n"/>
      <c r="H3414" s="18">
        <f>IF(AND(B3414="",C3414="",D3414="",E3414=""),"",IF(B3414="","⚠ Falta fecha",IF(C3414="","⚠ Falta monto",IF(D3414="","⚠ Falta categoría",IF(ISNA(MATCH(D3414,catNom,0)),"⚠ Categoría no existe",IF(E3414="","⚠ Falta cuenta",IF(ISNA(MATCH(E3414,ctaNom,0)),"⚠ Cuenta no existe",IF(AND(OR(I3414="Transferencia",I3414="Pago tarjeta"),G3414=""),"⚠ Indica la cuenta «Hacia»",IF(AND(G3414&lt;&gt;"",G3414=E3414),"⚠ «Hacia» igual a la cuenta",IF(AND(G3414&lt;&gt;"",ISNA(MATCH(G3414,ctaNom,0))),"⚠ «Hacia» no existe",IF(AND(I3414="Pago tarjeta",IFERROR(INDEX(ctaTipo,MATCH(G3414,ctaNom,0)),"")&lt;&gt;"Tarjeta de crédito"),"⚠ «Hacia» debe ser la tarjeta",IF(AND(I3414="Trading",IFERROR(INDEX(ctaTipo,MATCH(E3414,ctaNom,0)),"")&lt;&gt;"Cuenta de trading"),"⚠ Usa la cuenta de trading","✓"))))))))))))</f>
        <v/>
      </c>
      <c r="I3414" s="19">
        <f>IF(OR(B3414="",C3414="",D3414=""),"",IFERROR(INDEX(catTipo,MATCH(D3414,catNom,0))&amp;"",""))</f>
        <v/>
      </c>
      <c r="J3414" s="19">
        <f>IF(I3414="","",IFERROR(INDEX(catGrupo,MATCH(D3414,catNom,0))&amp;"",""))</f>
        <v/>
      </c>
      <c r="K3414" s="19">
        <f>IF(I3414="Gasto",IF(IFERROR(INDEX(catClas,MATCH(D3414,catNom,0))&amp;"","")="","Variable",IFERROR(INDEX(catClas,MATCH(D3414,catNom,0))&amp;"","")),"")</f>
        <v/>
      </c>
      <c r="L3414" s="19">
        <f>IF(I3414="","",IFERROR(INDEX(catAlim,MATCH(D3414,catNom,0))&amp;"",""))</f>
        <v/>
      </c>
      <c r="M3414" s="19">
        <f>IF(I3414="","",IFERROR(INDEX(catComida,MATCH(D3414,catNom,0))&amp;"",""))</f>
        <v/>
      </c>
      <c r="N3414" s="19">
        <f>IF(I3414="","",IFERROR(INDEX(ctaMon,MATCH(E3414,ctaNom,0))&amp;"","DOP"))</f>
        <v/>
      </c>
      <c r="O3414" s="20">
        <f>IF(I3414="","",C3414*IF(N3414="USD",TasaUSD,1))</f>
        <v/>
      </c>
      <c r="P3414" s="20">
        <f>IF(I3414="","",IF(I3414="Gasto",O3414,0))</f>
        <v/>
      </c>
      <c r="Q3414" s="20">
        <f>IF(I3414="","",IF(I3414="Ingreso",O3414,0))</f>
        <v/>
      </c>
      <c r="R3414" s="20">
        <f>IF(I3414="","",IF(I3414="Trading",O3414,0))</f>
        <v/>
      </c>
      <c r="S3414" s="19">
        <f>IF(I3414="","",IF(AND(I3414="Gasto",K3414="Variable",J3414&lt;&gt;"Trading",O3414&gt;0,O3414&lt;=Umbral),1,0))</f>
        <v/>
      </c>
      <c r="T3414" s="20">
        <f>IF(OR(I3414="",E3414=""),"",IF(OR(I3414="Gasto",I3414="Transferencia",I3414="Pago tarjeta"),-1,1)*C3414)</f>
        <v/>
      </c>
      <c r="U3414" s="20">
        <f>IF(OR(G3414="",AND(I3414&lt;&gt;"Transferencia",I3414&lt;&gt;"Pago tarjeta")),"",IF(IFERROR(INDEX(ctaMon,MATCH(G3414,ctaNom,0))&amp;"","DOP")=N3414,C3414,IF(N3414="USD",C3414*TasaUSD,C3414/TasaUSD)))</f>
        <v/>
      </c>
      <c r="V3414" s="20">
        <f>IF(I3414="","",IF(IFERROR(INDEX(ctaLiq,MATCH(E3414,ctaNom,0))="Sí",FALSE),IF(OR(I3414="Gasto",I3414="Transferencia",I3414="Pago tarjeta"),-1,1)*O3414,0)+IF(AND(U3414&lt;&gt;"",IFERROR(INDEX(ctaLiq,MATCH(G3414,ctaNom,0))="Sí",FALSE)),O3414,0))</f>
        <v/>
      </c>
      <c r="W3414" s="19">
        <f>IF(OR(F3414="",I3414=""),"",IF(COUNTIFS(F$6:F3414,F3414,I$6:I3414,"?*")=1,MAX(W$5:W3413)+1,""))</f>
        <v/>
      </c>
    </row>
    <row r="3415">
      <c r="B3415" s="15" t="n"/>
      <c r="C3415" s="16" t="n"/>
      <c r="D3415" s="17" t="n"/>
      <c r="E3415" s="17" t="n"/>
      <c r="F3415" s="17" t="n"/>
      <c r="G3415" s="17" t="n"/>
      <c r="H3415" s="18">
        <f>IF(AND(B3415="",C3415="",D3415="",E3415=""),"",IF(B3415="","⚠ Falta fecha",IF(C3415="","⚠ Falta monto",IF(D3415="","⚠ Falta categoría",IF(ISNA(MATCH(D3415,catNom,0)),"⚠ Categoría no existe",IF(E3415="","⚠ Falta cuenta",IF(ISNA(MATCH(E3415,ctaNom,0)),"⚠ Cuenta no existe",IF(AND(OR(I3415="Transferencia",I3415="Pago tarjeta"),G3415=""),"⚠ Indica la cuenta «Hacia»",IF(AND(G3415&lt;&gt;"",G3415=E3415),"⚠ «Hacia» igual a la cuenta",IF(AND(G3415&lt;&gt;"",ISNA(MATCH(G3415,ctaNom,0))),"⚠ «Hacia» no existe",IF(AND(I3415="Pago tarjeta",IFERROR(INDEX(ctaTipo,MATCH(G3415,ctaNom,0)),"")&lt;&gt;"Tarjeta de crédito"),"⚠ «Hacia» debe ser la tarjeta",IF(AND(I3415="Trading",IFERROR(INDEX(ctaTipo,MATCH(E3415,ctaNom,0)),"")&lt;&gt;"Cuenta de trading"),"⚠ Usa la cuenta de trading","✓"))))))))))))</f>
        <v/>
      </c>
      <c r="I3415" s="19">
        <f>IF(OR(B3415="",C3415="",D3415=""),"",IFERROR(INDEX(catTipo,MATCH(D3415,catNom,0))&amp;"",""))</f>
        <v/>
      </c>
      <c r="J3415" s="19">
        <f>IF(I3415="","",IFERROR(INDEX(catGrupo,MATCH(D3415,catNom,0))&amp;"",""))</f>
        <v/>
      </c>
      <c r="K3415" s="19">
        <f>IF(I3415="Gasto",IF(IFERROR(INDEX(catClas,MATCH(D3415,catNom,0))&amp;"","")="","Variable",IFERROR(INDEX(catClas,MATCH(D3415,catNom,0))&amp;"","")),"")</f>
        <v/>
      </c>
      <c r="L3415" s="19">
        <f>IF(I3415="","",IFERROR(INDEX(catAlim,MATCH(D3415,catNom,0))&amp;"",""))</f>
        <v/>
      </c>
      <c r="M3415" s="19">
        <f>IF(I3415="","",IFERROR(INDEX(catComida,MATCH(D3415,catNom,0))&amp;"",""))</f>
        <v/>
      </c>
      <c r="N3415" s="19">
        <f>IF(I3415="","",IFERROR(INDEX(ctaMon,MATCH(E3415,ctaNom,0))&amp;"","DOP"))</f>
        <v/>
      </c>
      <c r="O3415" s="20">
        <f>IF(I3415="","",C3415*IF(N3415="USD",TasaUSD,1))</f>
        <v/>
      </c>
      <c r="P3415" s="20">
        <f>IF(I3415="","",IF(I3415="Gasto",O3415,0))</f>
        <v/>
      </c>
      <c r="Q3415" s="20">
        <f>IF(I3415="","",IF(I3415="Ingreso",O3415,0))</f>
        <v/>
      </c>
      <c r="R3415" s="20">
        <f>IF(I3415="","",IF(I3415="Trading",O3415,0))</f>
        <v/>
      </c>
      <c r="S3415" s="19">
        <f>IF(I3415="","",IF(AND(I3415="Gasto",K3415="Variable",J3415&lt;&gt;"Trading",O3415&gt;0,O3415&lt;=Umbral),1,0))</f>
        <v/>
      </c>
      <c r="T3415" s="20">
        <f>IF(OR(I3415="",E3415=""),"",IF(OR(I3415="Gasto",I3415="Transferencia",I3415="Pago tarjeta"),-1,1)*C3415)</f>
        <v/>
      </c>
      <c r="U3415" s="20">
        <f>IF(OR(G3415="",AND(I3415&lt;&gt;"Transferencia",I3415&lt;&gt;"Pago tarjeta")),"",IF(IFERROR(INDEX(ctaMon,MATCH(G3415,ctaNom,0))&amp;"","DOP")=N3415,C3415,IF(N3415="USD",C3415*TasaUSD,C3415/TasaUSD)))</f>
        <v/>
      </c>
      <c r="V3415" s="20">
        <f>IF(I3415="","",IF(IFERROR(INDEX(ctaLiq,MATCH(E3415,ctaNom,0))="Sí",FALSE),IF(OR(I3415="Gasto",I3415="Transferencia",I3415="Pago tarjeta"),-1,1)*O3415,0)+IF(AND(U3415&lt;&gt;"",IFERROR(INDEX(ctaLiq,MATCH(G3415,ctaNom,0))="Sí",FALSE)),O3415,0))</f>
        <v/>
      </c>
      <c r="W3415" s="19">
        <f>IF(OR(F3415="",I3415=""),"",IF(COUNTIFS(F$6:F3415,F3415,I$6:I3415,"?*")=1,MAX(W$5:W3414)+1,""))</f>
        <v/>
      </c>
    </row>
    <row r="3416">
      <c r="B3416" s="15" t="n"/>
      <c r="C3416" s="16" t="n"/>
      <c r="D3416" s="17" t="n"/>
      <c r="E3416" s="17" t="n"/>
      <c r="F3416" s="17" t="n"/>
      <c r="G3416" s="17" t="n"/>
      <c r="H3416" s="18">
        <f>IF(AND(B3416="",C3416="",D3416="",E3416=""),"",IF(B3416="","⚠ Falta fecha",IF(C3416="","⚠ Falta monto",IF(D3416="","⚠ Falta categoría",IF(ISNA(MATCH(D3416,catNom,0)),"⚠ Categoría no existe",IF(E3416="","⚠ Falta cuenta",IF(ISNA(MATCH(E3416,ctaNom,0)),"⚠ Cuenta no existe",IF(AND(OR(I3416="Transferencia",I3416="Pago tarjeta"),G3416=""),"⚠ Indica la cuenta «Hacia»",IF(AND(G3416&lt;&gt;"",G3416=E3416),"⚠ «Hacia» igual a la cuenta",IF(AND(G3416&lt;&gt;"",ISNA(MATCH(G3416,ctaNom,0))),"⚠ «Hacia» no existe",IF(AND(I3416="Pago tarjeta",IFERROR(INDEX(ctaTipo,MATCH(G3416,ctaNom,0)),"")&lt;&gt;"Tarjeta de crédito"),"⚠ «Hacia» debe ser la tarjeta",IF(AND(I3416="Trading",IFERROR(INDEX(ctaTipo,MATCH(E3416,ctaNom,0)),"")&lt;&gt;"Cuenta de trading"),"⚠ Usa la cuenta de trading","✓"))))))))))))</f>
        <v/>
      </c>
      <c r="I3416" s="19">
        <f>IF(OR(B3416="",C3416="",D3416=""),"",IFERROR(INDEX(catTipo,MATCH(D3416,catNom,0))&amp;"",""))</f>
        <v/>
      </c>
      <c r="J3416" s="19">
        <f>IF(I3416="","",IFERROR(INDEX(catGrupo,MATCH(D3416,catNom,0))&amp;"",""))</f>
        <v/>
      </c>
      <c r="K3416" s="19">
        <f>IF(I3416="Gasto",IF(IFERROR(INDEX(catClas,MATCH(D3416,catNom,0))&amp;"","")="","Variable",IFERROR(INDEX(catClas,MATCH(D3416,catNom,0))&amp;"","")),"")</f>
        <v/>
      </c>
      <c r="L3416" s="19">
        <f>IF(I3416="","",IFERROR(INDEX(catAlim,MATCH(D3416,catNom,0))&amp;"",""))</f>
        <v/>
      </c>
      <c r="M3416" s="19">
        <f>IF(I3416="","",IFERROR(INDEX(catComida,MATCH(D3416,catNom,0))&amp;"",""))</f>
        <v/>
      </c>
      <c r="N3416" s="19">
        <f>IF(I3416="","",IFERROR(INDEX(ctaMon,MATCH(E3416,ctaNom,0))&amp;"","DOP"))</f>
        <v/>
      </c>
      <c r="O3416" s="20">
        <f>IF(I3416="","",C3416*IF(N3416="USD",TasaUSD,1))</f>
        <v/>
      </c>
      <c r="P3416" s="20">
        <f>IF(I3416="","",IF(I3416="Gasto",O3416,0))</f>
        <v/>
      </c>
      <c r="Q3416" s="20">
        <f>IF(I3416="","",IF(I3416="Ingreso",O3416,0))</f>
        <v/>
      </c>
      <c r="R3416" s="20">
        <f>IF(I3416="","",IF(I3416="Trading",O3416,0))</f>
        <v/>
      </c>
      <c r="S3416" s="19">
        <f>IF(I3416="","",IF(AND(I3416="Gasto",K3416="Variable",J3416&lt;&gt;"Trading",O3416&gt;0,O3416&lt;=Umbral),1,0))</f>
        <v/>
      </c>
      <c r="T3416" s="20">
        <f>IF(OR(I3416="",E3416=""),"",IF(OR(I3416="Gasto",I3416="Transferencia",I3416="Pago tarjeta"),-1,1)*C3416)</f>
        <v/>
      </c>
      <c r="U3416" s="20">
        <f>IF(OR(G3416="",AND(I3416&lt;&gt;"Transferencia",I3416&lt;&gt;"Pago tarjeta")),"",IF(IFERROR(INDEX(ctaMon,MATCH(G3416,ctaNom,0))&amp;"","DOP")=N3416,C3416,IF(N3416="USD",C3416*TasaUSD,C3416/TasaUSD)))</f>
        <v/>
      </c>
      <c r="V3416" s="20">
        <f>IF(I3416="","",IF(IFERROR(INDEX(ctaLiq,MATCH(E3416,ctaNom,0))="Sí",FALSE),IF(OR(I3416="Gasto",I3416="Transferencia",I3416="Pago tarjeta"),-1,1)*O3416,0)+IF(AND(U3416&lt;&gt;"",IFERROR(INDEX(ctaLiq,MATCH(G3416,ctaNom,0))="Sí",FALSE)),O3416,0))</f>
        <v/>
      </c>
      <c r="W3416" s="19">
        <f>IF(OR(F3416="",I3416=""),"",IF(COUNTIFS(F$6:F3416,F3416,I$6:I3416,"?*")=1,MAX(W$5:W3415)+1,""))</f>
        <v/>
      </c>
    </row>
    <row r="3417">
      <c r="B3417" s="15" t="n"/>
      <c r="C3417" s="16" t="n"/>
      <c r="D3417" s="17" t="n"/>
      <c r="E3417" s="17" t="n"/>
      <c r="F3417" s="17" t="n"/>
      <c r="G3417" s="17" t="n"/>
      <c r="H3417" s="18">
        <f>IF(AND(B3417="",C3417="",D3417="",E3417=""),"",IF(B3417="","⚠ Falta fecha",IF(C3417="","⚠ Falta monto",IF(D3417="","⚠ Falta categoría",IF(ISNA(MATCH(D3417,catNom,0)),"⚠ Categoría no existe",IF(E3417="","⚠ Falta cuenta",IF(ISNA(MATCH(E3417,ctaNom,0)),"⚠ Cuenta no existe",IF(AND(OR(I3417="Transferencia",I3417="Pago tarjeta"),G3417=""),"⚠ Indica la cuenta «Hacia»",IF(AND(G3417&lt;&gt;"",G3417=E3417),"⚠ «Hacia» igual a la cuenta",IF(AND(G3417&lt;&gt;"",ISNA(MATCH(G3417,ctaNom,0))),"⚠ «Hacia» no existe",IF(AND(I3417="Pago tarjeta",IFERROR(INDEX(ctaTipo,MATCH(G3417,ctaNom,0)),"")&lt;&gt;"Tarjeta de crédito"),"⚠ «Hacia» debe ser la tarjeta",IF(AND(I3417="Trading",IFERROR(INDEX(ctaTipo,MATCH(E3417,ctaNom,0)),"")&lt;&gt;"Cuenta de trading"),"⚠ Usa la cuenta de trading","✓"))))))))))))</f>
        <v/>
      </c>
      <c r="I3417" s="19">
        <f>IF(OR(B3417="",C3417="",D3417=""),"",IFERROR(INDEX(catTipo,MATCH(D3417,catNom,0))&amp;"",""))</f>
        <v/>
      </c>
      <c r="J3417" s="19">
        <f>IF(I3417="","",IFERROR(INDEX(catGrupo,MATCH(D3417,catNom,0))&amp;"",""))</f>
        <v/>
      </c>
      <c r="K3417" s="19">
        <f>IF(I3417="Gasto",IF(IFERROR(INDEX(catClas,MATCH(D3417,catNom,0))&amp;"","")="","Variable",IFERROR(INDEX(catClas,MATCH(D3417,catNom,0))&amp;"","")),"")</f>
        <v/>
      </c>
      <c r="L3417" s="19">
        <f>IF(I3417="","",IFERROR(INDEX(catAlim,MATCH(D3417,catNom,0))&amp;"",""))</f>
        <v/>
      </c>
      <c r="M3417" s="19">
        <f>IF(I3417="","",IFERROR(INDEX(catComida,MATCH(D3417,catNom,0))&amp;"",""))</f>
        <v/>
      </c>
      <c r="N3417" s="19">
        <f>IF(I3417="","",IFERROR(INDEX(ctaMon,MATCH(E3417,ctaNom,0))&amp;"","DOP"))</f>
        <v/>
      </c>
      <c r="O3417" s="20">
        <f>IF(I3417="","",C3417*IF(N3417="USD",TasaUSD,1))</f>
        <v/>
      </c>
      <c r="P3417" s="20">
        <f>IF(I3417="","",IF(I3417="Gasto",O3417,0))</f>
        <v/>
      </c>
      <c r="Q3417" s="20">
        <f>IF(I3417="","",IF(I3417="Ingreso",O3417,0))</f>
        <v/>
      </c>
      <c r="R3417" s="20">
        <f>IF(I3417="","",IF(I3417="Trading",O3417,0))</f>
        <v/>
      </c>
      <c r="S3417" s="19">
        <f>IF(I3417="","",IF(AND(I3417="Gasto",K3417="Variable",J3417&lt;&gt;"Trading",O3417&gt;0,O3417&lt;=Umbral),1,0))</f>
        <v/>
      </c>
      <c r="T3417" s="20">
        <f>IF(OR(I3417="",E3417=""),"",IF(OR(I3417="Gasto",I3417="Transferencia",I3417="Pago tarjeta"),-1,1)*C3417)</f>
        <v/>
      </c>
      <c r="U3417" s="20">
        <f>IF(OR(G3417="",AND(I3417&lt;&gt;"Transferencia",I3417&lt;&gt;"Pago tarjeta")),"",IF(IFERROR(INDEX(ctaMon,MATCH(G3417,ctaNom,0))&amp;"","DOP")=N3417,C3417,IF(N3417="USD",C3417*TasaUSD,C3417/TasaUSD)))</f>
        <v/>
      </c>
      <c r="V3417" s="20">
        <f>IF(I3417="","",IF(IFERROR(INDEX(ctaLiq,MATCH(E3417,ctaNom,0))="Sí",FALSE),IF(OR(I3417="Gasto",I3417="Transferencia",I3417="Pago tarjeta"),-1,1)*O3417,0)+IF(AND(U3417&lt;&gt;"",IFERROR(INDEX(ctaLiq,MATCH(G3417,ctaNom,0))="Sí",FALSE)),O3417,0))</f>
        <v/>
      </c>
      <c r="W3417" s="19">
        <f>IF(OR(F3417="",I3417=""),"",IF(COUNTIFS(F$6:F3417,F3417,I$6:I3417,"?*")=1,MAX(W$5:W3416)+1,""))</f>
        <v/>
      </c>
    </row>
    <row r="3418">
      <c r="B3418" s="15" t="n"/>
      <c r="C3418" s="16" t="n"/>
      <c r="D3418" s="17" t="n"/>
      <c r="E3418" s="17" t="n"/>
      <c r="F3418" s="17" t="n"/>
      <c r="G3418" s="17" t="n"/>
      <c r="H3418" s="18">
        <f>IF(AND(B3418="",C3418="",D3418="",E3418=""),"",IF(B3418="","⚠ Falta fecha",IF(C3418="","⚠ Falta monto",IF(D3418="","⚠ Falta categoría",IF(ISNA(MATCH(D3418,catNom,0)),"⚠ Categoría no existe",IF(E3418="","⚠ Falta cuenta",IF(ISNA(MATCH(E3418,ctaNom,0)),"⚠ Cuenta no existe",IF(AND(OR(I3418="Transferencia",I3418="Pago tarjeta"),G3418=""),"⚠ Indica la cuenta «Hacia»",IF(AND(G3418&lt;&gt;"",G3418=E3418),"⚠ «Hacia» igual a la cuenta",IF(AND(G3418&lt;&gt;"",ISNA(MATCH(G3418,ctaNom,0))),"⚠ «Hacia» no existe",IF(AND(I3418="Pago tarjeta",IFERROR(INDEX(ctaTipo,MATCH(G3418,ctaNom,0)),"")&lt;&gt;"Tarjeta de crédito"),"⚠ «Hacia» debe ser la tarjeta",IF(AND(I3418="Trading",IFERROR(INDEX(ctaTipo,MATCH(E3418,ctaNom,0)),"")&lt;&gt;"Cuenta de trading"),"⚠ Usa la cuenta de trading","✓"))))))))))))</f>
        <v/>
      </c>
      <c r="I3418" s="19">
        <f>IF(OR(B3418="",C3418="",D3418=""),"",IFERROR(INDEX(catTipo,MATCH(D3418,catNom,0))&amp;"",""))</f>
        <v/>
      </c>
      <c r="J3418" s="19">
        <f>IF(I3418="","",IFERROR(INDEX(catGrupo,MATCH(D3418,catNom,0))&amp;"",""))</f>
        <v/>
      </c>
      <c r="K3418" s="19">
        <f>IF(I3418="Gasto",IF(IFERROR(INDEX(catClas,MATCH(D3418,catNom,0))&amp;"","")="","Variable",IFERROR(INDEX(catClas,MATCH(D3418,catNom,0))&amp;"","")),"")</f>
        <v/>
      </c>
      <c r="L3418" s="19">
        <f>IF(I3418="","",IFERROR(INDEX(catAlim,MATCH(D3418,catNom,0))&amp;"",""))</f>
        <v/>
      </c>
      <c r="M3418" s="19">
        <f>IF(I3418="","",IFERROR(INDEX(catComida,MATCH(D3418,catNom,0))&amp;"",""))</f>
        <v/>
      </c>
      <c r="N3418" s="19">
        <f>IF(I3418="","",IFERROR(INDEX(ctaMon,MATCH(E3418,ctaNom,0))&amp;"","DOP"))</f>
        <v/>
      </c>
      <c r="O3418" s="20">
        <f>IF(I3418="","",C3418*IF(N3418="USD",TasaUSD,1))</f>
        <v/>
      </c>
      <c r="P3418" s="20">
        <f>IF(I3418="","",IF(I3418="Gasto",O3418,0))</f>
        <v/>
      </c>
      <c r="Q3418" s="20">
        <f>IF(I3418="","",IF(I3418="Ingreso",O3418,0))</f>
        <v/>
      </c>
      <c r="R3418" s="20">
        <f>IF(I3418="","",IF(I3418="Trading",O3418,0))</f>
        <v/>
      </c>
      <c r="S3418" s="19">
        <f>IF(I3418="","",IF(AND(I3418="Gasto",K3418="Variable",J3418&lt;&gt;"Trading",O3418&gt;0,O3418&lt;=Umbral),1,0))</f>
        <v/>
      </c>
      <c r="T3418" s="20">
        <f>IF(OR(I3418="",E3418=""),"",IF(OR(I3418="Gasto",I3418="Transferencia",I3418="Pago tarjeta"),-1,1)*C3418)</f>
        <v/>
      </c>
      <c r="U3418" s="20">
        <f>IF(OR(G3418="",AND(I3418&lt;&gt;"Transferencia",I3418&lt;&gt;"Pago tarjeta")),"",IF(IFERROR(INDEX(ctaMon,MATCH(G3418,ctaNom,0))&amp;"","DOP")=N3418,C3418,IF(N3418="USD",C3418*TasaUSD,C3418/TasaUSD)))</f>
        <v/>
      </c>
      <c r="V3418" s="20">
        <f>IF(I3418="","",IF(IFERROR(INDEX(ctaLiq,MATCH(E3418,ctaNom,0))="Sí",FALSE),IF(OR(I3418="Gasto",I3418="Transferencia",I3418="Pago tarjeta"),-1,1)*O3418,0)+IF(AND(U3418&lt;&gt;"",IFERROR(INDEX(ctaLiq,MATCH(G3418,ctaNom,0))="Sí",FALSE)),O3418,0))</f>
        <v/>
      </c>
      <c r="W3418" s="19">
        <f>IF(OR(F3418="",I3418=""),"",IF(COUNTIFS(F$6:F3418,F3418,I$6:I3418,"?*")=1,MAX(W$5:W3417)+1,""))</f>
        <v/>
      </c>
    </row>
    <row r="3419">
      <c r="B3419" s="15" t="n"/>
      <c r="C3419" s="16" t="n"/>
      <c r="D3419" s="17" t="n"/>
      <c r="E3419" s="17" t="n"/>
      <c r="F3419" s="17" t="n"/>
      <c r="G3419" s="17" t="n"/>
      <c r="H3419" s="18">
        <f>IF(AND(B3419="",C3419="",D3419="",E3419=""),"",IF(B3419="","⚠ Falta fecha",IF(C3419="","⚠ Falta monto",IF(D3419="","⚠ Falta categoría",IF(ISNA(MATCH(D3419,catNom,0)),"⚠ Categoría no existe",IF(E3419="","⚠ Falta cuenta",IF(ISNA(MATCH(E3419,ctaNom,0)),"⚠ Cuenta no existe",IF(AND(OR(I3419="Transferencia",I3419="Pago tarjeta"),G3419=""),"⚠ Indica la cuenta «Hacia»",IF(AND(G3419&lt;&gt;"",G3419=E3419),"⚠ «Hacia» igual a la cuenta",IF(AND(G3419&lt;&gt;"",ISNA(MATCH(G3419,ctaNom,0))),"⚠ «Hacia» no existe",IF(AND(I3419="Pago tarjeta",IFERROR(INDEX(ctaTipo,MATCH(G3419,ctaNom,0)),"")&lt;&gt;"Tarjeta de crédito"),"⚠ «Hacia» debe ser la tarjeta",IF(AND(I3419="Trading",IFERROR(INDEX(ctaTipo,MATCH(E3419,ctaNom,0)),"")&lt;&gt;"Cuenta de trading"),"⚠ Usa la cuenta de trading","✓"))))))))))))</f>
        <v/>
      </c>
      <c r="I3419" s="19">
        <f>IF(OR(B3419="",C3419="",D3419=""),"",IFERROR(INDEX(catTipo,MATCH(D3419,catNom,0))&amp;"",""))</f>
        <v/>
      </c>
      <c r="J3419" s="19">
        <f>IF(I3419="","",IFERROR(INDEX(catGrupo,MATCH(D3419,catNom,0))&amp;"",""))</f>
        <v/>
      </c>
      <c r="K3419" s="19">
        <f>IF(I3419="Gasto",IF(IFERROR(INDEX(catClas,MATCH(D3419,catNom,0))&amp;"","")="","Variable",IFERROR(INDEX(catClas,MATCH(D3419,catNom,0))&amp;"","")),"")</f>
        <v/>
      </c>
      <c r="L3419" s="19">
        <f>IF(I3419="","",IFERROR(INDEX(catAlim,MATCH(D3419,catNom,0))&amp;"",""))</f>
        <v/>
      </c>
      <c r="M3419" s="19">
        <f>IF(I3419="","",IFERROR(INDEX(catComida,MATCH(D3419,catNom,0))&amp;"",""))</f>
        <v/>
      </c>
      <c r="N3419" s="19">
        <f>IF(I3419="","",IFERROR(INDEX(ctaMon,MATCH(E3419,ctaNom,0))&amp;"","DOP"))</f>
        <v/>
      </c>
      <c r="O3419" s="20">
        <f>IF(I3419="","",C3419*IF(N3419="USD",TasaUSD,1))</f>
        <v/>
      </c>
      <c r="P3419" s="20">
        <f>IF(I3419="","",IF(I3419="Gasto",O3419,0))</f>
        <v/>
      </c>
      <c r="Q3419" s="20">
        <f>IF(I3419="","",IF(I3419="Ingreso",O3419,0))</f>
        <v/>
      </c>
      <c r="R3419" s="20">
        <f>IF(I3419="","",IF(I3419="Trading",O3419,0))</f>
        <v/>
      </c>
      <c r="S3419" s="19">
        <f>IF(I3419="","",IF(AND(I3419="Gasto",K3419="Variable",J3419&lt;&gt;"Trading",O3419&gt;0,O3419&lt;=Umbral),1,0))</f>
        <v/>
      </c>
      <c r="T3419" s="20">
        <f>IF(OR(I3419="",E3419=""),"",IF(OR(I3419="Gasto",I3419="Transferencia",I3419="Pago tarjeta"),-1,1)*C3419)</f>
        <v/>
      </c>
      <c r="U3419" s="20">
        <f>IF(OR(G3419="",AND(I3419&lt;&gt;"Transferencia",I3419&lt;&gt;"Pago tarjeta")),"",IF(IFERROR(INDEX(ctaMon,MATCH(G3419,ctaNom,0))&amp;"","DOP")=N3419,C3419,IF(N3419="USD",C3419*TasaUSD,C3419/TasaUSD)))</f>
        <v/>
      </c>
      <c r="V3419" s="20">
        <f>IF(I3419="","",IF(IFERROR(INDEX(ctaLiq,MATCH(E3419,ctaNom,0))="Sí",FALSE),IF(OR(I3419="Gasto",I3419="Transferencia",I3419="Pago tarjeta"),-1,1)*O3419,0)+IF(AND(U3419&lt;&gt;"",IFERROR(INDEX(ctaLiq,MATCH(G3419,ctaNom,0))="Sí",FALSE)),O3419,0))</f>
        <v/>
      </c>
      <c r="W3419" s="19">
        <f>IF(OR(F3419="",I3419=""),"",IF(COUNTIFS(F$6:F3419,F3419,I$6:I3419,"?*")=1,MAX(W$5:W3418)+1,""))</f>
        <v/>
      </c>
    </row>
    <row r="3420">
      <c r="B3420" s="15" t="n"/>
      <c r="C3420" s="16" t="n"/>
      <c r="D3420" s="17" t="n"/>
      <c r="E3420" s="17" t="n"/>
      <c r="F3420" s="17" t="n"/>
      <c r="G3420" s="17" t="n"/>
      <c r="H3420" s="18">
        <f>IF(AND(B3420="",C3420="",D3420="",E3420=""),"",IF(B3420="","⚠ Falta fecha",IF(C3420="","⚠ Falta monto",IF(D3420="","⚠ Falta categoría",IF(ISNA(MATCH(D3420,catNom,0)),"⚠ Categoría no existe",IF(E3420="","⚠ Falta cuenta",IF(ISNA(MATCH(E3420,ctaNom,0)),"⚠ Cuenta no existe",IF(AND(OR(I3420="Transferencia",I3420="Pago tarjeta"),G3420=""),"⚠ Indica la cuenta «Hacia»",IF(AND(G3420&lt;&gt;"",G3420=E3420),"⚠ «Hacia» igual a la cuenta",IF(AND(G3420&lt;&gt;"",ISNA(MATCH(G3420,ctaNom,0))),"⚠ «Hacia» no existe",IF(AND(I3420="Pago tarjeta",IFERROR(INDEX(ctaTipo,MATCH(G3420,ctaNom,0)),"")&lt;&gt;"Tarjeta de crédito"),"⚠ «Hacia» debe ser la tarjeta",IF(AND(I3420="Trading",IFERROR(INDEX(ctaTipo,MATCH(E3420,ctaNom,0)),"")&lt;&gt;"Cuenta de trading"),"⚠ Usa la cuenta de trading","✓"))))))))))))</f>
        <v/>
      </c>
      <c r="I3420" s="19">
        <f>IF(OR(B3420="",C3420="",D3420=""),"",IFERROR(INDEX(catTipo,MATCH(D3420,catNom,0))&amp;"",""))</f>
        <v/>
      </c>
      <c r="J3420" s="19">
        <f>IF(I3420="","",IFERROR(INDEX(catGrupo,MATCH(D3420,catNom,0))&amp;"",""))</f>
        <v/>
      </c>
      <c r="K3420" s="19">
        <f>IF(I3420="Gasto",IF(IFERROR(INDEX(catClas,MATCH(D3420,catNom,0))&amp;"","")="","Variable",IFERROR(INDEX(catClas,MATCH(D3420,catNom,0))&amp;"","")),"")</f>
        <v/>
      </c>
      <c r="L3420" s="19">
        <f>IF(I3420="","",IFERROR(INDEX(catAlim,MATCH(D3420,catNom,0))&amp;"",""))</f>
        <v/>
      </c>
      <c r="M3420" s="19">
        <f>IF(I3420="","",IFERROR(INDEX(catComida,MATCH(D3420,catNom,0))&amp;"",""))</f>
        <v/>
      </c>
      <c r="N3420" s="19">
        <f>IF(I3420="","",IFERROR(INDEX(ctaMon,MATCH(E3420,ctaNom,0))&amp;"","DOP"))</f>
        <v/>
      </c>
      <c r="O3420" s="20">
        <f>IF(I3420="","",C3420*IF(N3420="USD",TasaUSD,1))</f>
        <v/>
      </c>
      <c r="P3420" s="20">
        <f>IF(I3420="","",IF(I3420="Gasto",O3420,0))</f>
        <v/>
      </c>
      <c r="Q3420" s="20">
        <f>IF(I3420="","",IF(I3420="Ingreso",O3420,0))</f>
        <v/>
      </c>
      <c r="R3420" s="20">
        <f>IF(I3420="","",IF(I3420="Trading",O3420,0))</f>
        <v/>
      </c>
      <c r="S3420" s="19">
        <f>IF(I3420="","",IF(AND(I3420="Gasto",K3420="Variable",J3420&lt;&gt;"Trading",O3420&gt;0,O3420&lt;=Umbral),1,0))</f>
        <v/>
      </c>
      <c r="T3420" s="20">
        <f>IF(OR(I3420="",E3420=""),"",IF(OR(I3420="Gasto",I3420="Transferencia",I3420="Pago tarjeta"),-1,1)*C3420)</f>
        <v/>
      </c>
      <c r="U3420" s="20">
        <f>IF(OR(G3420="",AND(I3420&lt;&gt;"Transferencia",I3420&lt;&gt;"Pago tarjeta")),"",IF(IFERROR(INDEX(ctaMon,MATCH(G3420,ctaNom,0))&amp;"","DOP")=N3420,C3420,IF(N3420="USD",C3420*TasaUSD,C3420/TasaUSD)))</f>
        <v/>
      </c>
      <c r="V3420" s="20">
        <f>IF(I3420="","",IF(IFERROR(INDEX(ctaLiq,MATCH(E3420,ctaNom,0))="Sí",FALSE),IF(OR(I3420="Gasto",I3420="Transferencia",I3420="Pago tarjeta"),-1,1)*O3420,0)+IF(AND(U3420&lt;&gt;"",IFERROR(INDEX(ctaLiq,MATCH(G3420,ctaNom,0))="Sí",FALSE)),O3420,0))</f>
        <v/>
      </c>
      <c r="W3420" s="19">
        <f>IF(OR(F3420="",I3420=""),"",IF(COUNTIFS(F$6:F3420,F3420,I$6:I3420,"?*")=1,MAX(W$5:W3419)+1,""))</f>
        <v/>
      </c>
    </row>
    <row r="3421">
      <c r="B3421" s="15" t="n"/>
      <c r="C3421" s="16" t="n"/>
      <c r="D3421" s="17" t="n"/>
      <c r="E3421" s="17" t="n"/>
      <c r="F3421" s="17" t="n"/>
      <c r="G3421" s="17" t="n"/>
      <c r="H3421" s="18">
        <f>IF(AND(B3421="",C3421="",D3421="",E3421=""),"",IF(B3421="","⚠ Falta fecha",IF(C3421="","⚠ Falta monto",IF(D3421="","⚠ Falta categoría",IF(ISNA(MATCH(D3421,catNom,0)),"⚠ Categoría no existe",IF(E3421="","⚠ Falta cuenta",IF(ISNA(MATCH(E3421,ctaNom,0)),"⚠ Cuenta no existe",IF(AND(OR(I3421="Transferencia",I3421="Pago tarjeta"),G3421=""),"⚠ Indica la cuenta «Hacia»",IF(AND(G3421&lt;&gt;"",G3421=E3421),"⚠ «Hacia» igual a la cuenta",IF(AND(G3421&lt;&gt;"",ISNA(MATCH(G3421,ctaNom,0))),"⚠ «Hacia» no existe",IF(AND(I3421="Pago tarjeta",IFERROR(INDEX(ctaTipo,MATCH(G3421,ctaNom,0)),"")&lt;&gt;"Tarjeta de crédito"),"⚠ «Hacia» debe ser la tarjeta",IF(AND(I3421="Trading",IFERROR(INDEX(ctaTipo,MATCH(E3421,ctaNom,0)),"")&lt;&gt;"Cuenta de trading"),"⚠ Usa la cuenta de trading","✓"))))))))))))</f>
        <v/>
      </c>
      <c r="I3421" s="19">
        <f>IF(OR(B3421="",C3421="",D3421=""),"",IFERROR(INDEX(catTipo,MATCH(D3421,catNom,0))&amp;"",""))</f>
        <v/>
      </c>
      <c r="J3421" s="19">
        <f>IF(I3421="","",IFERROR(INDEX(catGrupo,MATCH(D3421,catNom,0))&amp;"",""))</f>
        <v/>
      </c>
      <c r="K3421" s="19">
        <f>IF(I3421="Gasto",IF(IFERROR(INDEX(catClas,MATCH(D3421,catNom,0))&amp;"","")="","Variable",IFERROR(INDEX(catClas,MATCH(D3421,catNom,0))&amp;"","")),"")</f>
        <v/>
      </c>
      <c r="L3421" s="19">
        <f>IF(I3421="","",IFERROR(INDEX(catAlim,MATCH(D3421,catNom,0))&amp;"",""))</f>
        <v/>
      </c>
      <c r="M3421" s="19">
        <f>IF(I3421="","",IFERROR(INDEX(catComida,MATCH(D3421,catNom,0))&amp;"",""))</f>
        <v/>
      </c>
      <c r="N3421" s="19">
        <f>IF(I3421="","",IFERROR(INDEX(ctaMon,MATCH(E3421,ctaNom,0))&amp;"","DOP"))</f>
        <v/>
      </c>
      <c r="O3421" s="20">
        <f>IF(I3421="","",C3421*IF(N3421="USD",TasaUSD,1))</f>
        <v/>
      </c>
      <c r="P3421" s="20">
        <f>IF(I3421="","",IF(I3421="Gasto",O3421,0))</f>
        <v/>
      </c>
      <c r="Q3421" s="20">
        <f>IF(I3421="","",IF(I3421="Ingreso",O3421,0))</f>
        <v/>
      </c>
      <c r="R3421" s="20">
        <f>IF(I3421="","",IF(I3421="Trading",O3421,0))</f>
        <v/>
      </c>
      <c r="S3421" s="19">
        <f>IF(I3421="","",IF(AND(I3421="Gasto",K3421="Variable",J3421&lt;&gt;"Trading",O3421&gt;0,O3421&lt;=Umbral),1,0))</f>
        <v/>
      </c>
      <c r="T3421" s="20">
        <f>IF(OR(I3421="",E3421=""),"",IF(OR(I3421="Gasto",I3421="Transferencia",I3421="Pago tarjeta"),-1,1)*C3421)</f>
        <v/>
      </c>
      <c r="U3421" s="20">
        <f>IF(OR(G3421="",AND(I3421&lt;&gt;"Transferencia",I3421&lt;&gt;"Pago tarjeta")),"",IF(IFERROR(INDEX(ctaMon,MATCH(G3421,ctaNom,0))&amp;"","DOP")=N3421,C3421,IF(N3421="USD",C3421*TasaUSD,C3421/TasaUSD)))</f>
        <v/>
      </c>
      <c r="V3421" s="20">
        <f>IF(I3421="","",IF(IFERROR(INDEX(ctaLiq,MATCH(E3421,ctaNom,0))="Sí",FALSE),IF(OR(I3421="Gasto",I3421="Transferencia",I3421="Pago tarjeta"),-1,1)*O3421,0)+IF(AND(U3421&lt;&gt;"",IFERROR(INDEX(ctaLiq,MATCH(G3421,ctaNom,0))="Sí",FALSE)),O3421,0))</f>
        <v/>
      </c>
      <c r="W3421" s="19">
        <f>IF(OR(F3421="",I3421=""),"",IF(COUNTIFS(F$6:F3421,F3421,I$6:I3421,"?*")=1,MAX(W$5:W3420)+1,""))</f>
        <v/>
      </c>
    </row>
    <row r="3422">
      <c r="B3422" s="15" t="n"/>
      <c r="C3422" s="16" t="n"/>
      <c r="D3422" s="17" t="n"/>
      <c r="E3422" s="17" t="n"/>
      <c r="F3422" s="17" t="n"/>
      <c r="G3422" s="17" t="n"/>
      <c r="H3422" s="18">
        <f>IF(AND(B3422="",C3422="",D3422="",E3422=""),"",IF(B3422="","⚠ Falta fecha",IF(C3422="","⚠ Falta monto",IF(D3422="","⚠ Falta categoría",IF(ISNA(MATCH(D3422,catNom,0)),"⚠ Categoría no existe",IF(E3422="","⚠ Falta cuenta",IF(ISNA(MATCH(E3422,ctaNom,0)),"⚠ Cuenta no existe",IF(AND(OR(I3422="Transferencia",I3422="Pago tarjeta"),G3422=""),"⚠ Indica la cuenta «Hacia»",IF(AND(G3422&lt;&gt;"",G3422=E3422),"⚠ «Hacia» igual a la cuenta",IF(AND(G3422&lt;&gt;"",ISNA(MATCH(G3422,ctaNom,0))),"⚠ «Hacia» no existe",IF(AND(I3422="Pago tarjeta",IFERROR(INDEX(ctaTipo,MATCH(G3422,ctaNom,0)),"")&lt;&gt;"Tarjeta de crédito"),"⚠ «Hacia» debe ser la tarjeta",IF(AND(I3422="Trading",IFERROR(INDEX(ctaTipo,MATCH(E3422,ctaNom,0)),"")&lt;&gt;"Cuenta de trading"),"⚠ Usa la cuenta de trading","✓"))))))))))))</f>
        <v/>
      </c>
      <c r="I3422" s="19">
        <f>IF(OR(B3422="",C3422="",D3422=""),"",IFERROR(INDEX(catTipo,MATCH(D3422,catNom,0))&amp;"",""))</f>
        <v/>
      </c>
      <c r="J3422" s="19">
        <f>IF(I3422="","",IFERROR(INDEX(catGrupo,MATCH(D3422,catNom,0))&amp;"",""))</f>
        <v/>
      </c>
      <c r="K3422" s="19">
        <f>IF(I3422="Gasto",IF(IFERROR(INDEX(catClas,MATCH(D3422,catNom,0))&amp;"","")="","Variable",IFERROR(INDEX(catClas,MATCH(D3422,catNom,0))&amp;"","")),"")</f>
        <v/>
      </c>
      <c r="L3422" s="19">
        <f>IF(I3422="","",IFERROR(INDEX(catAlim,MATCH(D3422,catNom,0))&amp;"",""))</f>
        <v/>
      </c>
      <c r="M3422" s="19">
        <f>IF(I3422="","",IFERROR(INDEX(catComida,MATCH(D3422,catNom,0))&amp;"",""))</f>
        <v/>
      </c>
      <c r="N3422" s="19">
        <f>IF(I3422="","",IFERROR(INDEX(ctaMon,MATCH(E3422,ctaNom,0))&amp;"","DOP"))</f>
        <v/>
      </c>
      <c r="O3422" s="20">
        <f>IF(I3422="","",C3422*IF(N3422="USD",TasaUSD,1))</f>
        <v/>
      </c>
      <c r="P3422" s="20">
        <f>IF(I3422="","",IF(I3422="Gasto",O3422,0))</f>
        <v/>
      </c>
      <c r="Q3422" s="20">
        <f>IF(I3422="","",IF(I3422="Ingreso",O3422,0))</f>
        <v/>
      </c>
      <c r="R3422" s="20">
        <f>IF(I3422="","",IF(I3422="Trading",O3422,0))</f>
        <v/>
      </c>
      <c r="S3422" s="19">
        <f>IF(I3422="","",IF(AND(I3422="Gasto",K3422="Variable",J3422&lt;&gt;"Trading",O3422&gt;0,O3422&lt;=Umbral),1,0))</f>
        <v/>
      </c>
      <c r="T3422" s="20">
        <f>IF(OR(I3422="",E3422=""),"",IF(OR(I3422="Gasto",I3422="Transferencia",I3422="Pago tarjeta"),-1,1)*C3422)</f>
        <v/>
      </c>
      <c r="U3422" s="20">
        <f>IF(OR(G3422="",AND(I3422&lt;&gt;"Transferencia",I3422&lt;&gt;"Pago tarjeta")),"",IF(IFERROR(INDEX(ctaMon,MATCH(G3422,ctaNom,0))&amp;"","DOP")=N3422,C3422,IF(N3422="USD",C3422*TasaUSD,C3422/TasaUSD)))</f>
        <v/>
      </c>
      <c r="V3422" s="20">
        <f>IF(I3422="","",IF(IFERROR(INDEX(ctaLiq,MATCH(E3422,ctaNom,0))="Sí",FALSE),IF(OR(I3422="Gasto",I3422="Transferencia",I3422="Pago tarjeta"),-1,1)*O3422,0)+IF(AND(U3422&lt;&gt;"",IFERROR(INDEX(ctaLiq,MATCH(G3422,ctaNom,0))="Sí",FALSE)),O3422,0))</f>
        <v/>
      </c>
      <c r="W3422" s="19">
        <f>IF(OR(F3422="",I3422=""),"",IF(COUNTIFS(F$6:F3422,F3422,I$6:I3422,"?*")=1,MAX(W$5:W3421)+1,""))</f>
        <v/>
      </c>
    </row>
    <row r="3423">
      <c r="B3423" s="15" t="n"/>
      <c r="C3423" s="16" t="n"/>
      <c r="D3423" s="17" t="n"/>
      <c r="E3423" s="17" t="n"/>
      <c r="F3423" s="17" t="n"/>
      <c r="G3423" s="17" t="n"/>
      <c r="H3423" s="18">
        <f>IF(AND(B3423="",C3423="",D3423="",E3423=""),"",IF(B3423="","⚠ Falta fecha",IF(C3423="","⚠ Falta monto",IF(D3423="","⚠ Falta categoría",IF(ISNA(MATCH(D3423,catNom,0)),"⚠ Categoría no existe",IF(E3423="","⚠ Falta cuenta",IF(ISNA(MATCH(E3423,ctaNom,0)),"⚠ Cuenta no existe",IF(AND(OR(I3423="Transferencia",I3423="Pago tarjeta"),G3423=""),"⚠ Indica la cuenta «Hacia»",IF(AND(G3423&lt;&gt;"",G3423=E3423),"⚠ «Hacia» igual a la cuenta",IF(AND(G3423&lt;&gt;"",ISNA(MATCH(G3423,ctaNom,0))),"⚠ «Hacia» no existe",IF(AND(I3423="Pago tarjeta",IFERROR(INDEX(ctaTipo,MATCH(G3423,ctaNom,0)),"")&lt;&gt;"Tarjeta de crédito"),"⚠ «Hacia» debe ser la tarjeta",IF(AND(I3423="Trading",IFERROR(INDEX(ctaTipo,MATCH(E3423,ctaNom,0)),"")&lt;&gt;"Cuenta de trading"),"⚠ Usa la cuenta de trading","✓"))))))))))))</f>
        <v/>
      </c>
      <c r="I3423" s="19">
        <f>IF(OR(B3423="",C3423="",D3423=""),"",IFERROR(INDEX(catTipo,MATCH(D3423,catNom,0))&amp;"",""))</f>
        <v/>
      </c>
      <c r="J3423" s="19">
        <f>IF(I3423="","",IFERROR(INDEX(catGrupo,MATCH(D3423,catNom,0))&amp;"",""))</f>
        <v/>
      </c>
      <c r="K3423" s="19">
        <f>IF(I3423="Gasto",IF(IFERROR(INDEX(catClas,MATCH(D3423,catNom,0))&amp;"","")="","Variable",IFERROR(INDEX(catClas,MATCH(D3423,catNom,0))&amp;"","")),"")</f>
        <v/>
      </c>
      <c r="L3423" s="19">
        <f>IF(I3423="","",IFERROR(INDEX(catAlim,MATCH(D3423,catNom,0))&amp;"",""))</f>
        <v/>
      </c>
      <c r="M3423" s="19">
        <f>IF(I3423="","",IFERROR(INDEX(catComida,MATCH(D3423,catNom,0))&amp;"",""))</f>
        <v/>
      </c>
      <c r="N3423" s="19">
        <f>IF(I3423="","",IFERROR(INDEX(ctaMon,MATCH(E3423,ctaNom,0))&amp;"","DOP"))</f>
        <v/>
      </c>
      <c r="O3423" s="20">
        <f>IF(I3423="","",C3423*IF(N3423="USD",TasaUSD,1))</f>
        <v/>
      </c>
      <c r="P3423" s="20">
        <f>IF(I3423="","",IF(I3423="Gasto",O3423,0))</f>
        <v/>
      </c>
      <c r="Q3423" s="20">
        <f>IF(I3423="","",IF(I3423="Ingreso",O3423,0))</f>
        <v/>
      </c>
      <c r="R3423" s="20">
        <f>IF(I3423="","",IF(I3423="Trading",O3423,0))</f>
        <v/>
      </c>
      <c r="S3423" s="19">
        <f>IF(I3423="","",IF(AND(I3423="Gasto",K3423="Variable",J3423&lt;&gt;"Trading",O3423&gt;0,O3423&lt;=Umbral),1,0))</f>
        <v/>
      </c>
      <c r="T3423" s="20">
        <f>IF(OR(I3423="",E3423=""),"",IF(OR(I3423="Gasto",I3423="Transferencia",I3423="Pago tarjeta"),-1,1)*C3423)</f>
        <v/>
      </c>
      <c r="U3423" s="20">
        <f>IF(OR(G3423="",AND(I3423&lt;&gt;"Transferencia",I3423&lt;&gt;"Pago tarjeta")),"",IF(IFERROR(INDEX(ctaMon,MATCH(G3423,ctaNom,0))&amp;"","DOP")=N3423,C3423,IF(N3423="USD",C3423*TasaUSD,C3423/TasaUSD)))</f>
        <v/>
      </c>
      <c r="V3423" s="20">
        <f>IF(I3423="","",IF(IFERROR(INDEX(ctaLiq,MATCH(E3423,ctaNom,0))="Sí",FALSE),IF(OR(I3423="Gasto",I3423="Transferencia",I3423="Pago tarjeta"),-1,1)*O3423,0)+IF(AND(U3423&lt;&gt;"",IFERROR(INDEX(ctaLiq,MATCH(G3423,ctaNom,0))="Sí",FALSE)),O3423,0))</f>
        <v/>
      </c>
      <c r="W3423" s="19">
        <f>IF(OR(F3423="",I3423=""),"",IF(COUNTIFS(F$6:F3423,F3423,I$6:I3423,"?*")=1,MAX(W$5:W3422)+1,""))</f>
        <v/>
      </c>
    </row>
    <row r="3424">
      <c r="B3424" s="15" t="n"/>
      <c r="C3424" s="16" t="n"/>
      <c r="D3424" s="17" t="n"/>
      <c r="E3424" s="17" t="n"/>
      <c r="F3424" s="17" t="n"/>
      <c r="G3424" s="17" t="n"/>
      <c r="H3424" s="18">
        <f>IF(AND(B3424="",C3424="",D3424="",E3424=""),"",IF(B3424="","⚠ Falta fecha",IF(C3424="","⚠ Falta monto",IF(D3424="","⚠ Falta categoría",IF(ISNA(MATCH(D3424,catNom,0)),"⚠ Categoría no existe",IF(E3424="","⚠ Falta cuenta",IF(ISNA(MATCH(E3424,ctaNom,0)),"⚠ Cuenta no existe",IF(AND(OR(I3424="Transferencia",I3424="Pago tarjeta"),G3424=""),"⚠ Indica la cuenta «Hacia»",IF(AND(G3424&lt;&gt;"",G3424=E3424),"⚠ «Hacia» igual a la cuenta",IF(AND(G3424&lt;&gt;"",ISNA(MATCH(G3424,ctaNom,0))),"⚠ «Hacia» no existe",IF(AND(I3424="Pago tarjeta",IFERROR(INDEX(ctaTipo,MATCH(G3424,ctaNom,0)),"")&lt;&gt;"Tarjeta de crédito"),"⚠ «Hacia» debe ser la tarjeta",IF(AND(I3424="Trading",IFERROR(INDEX(ctaTipo,MATCH(E3424,ctaNom,0)),"")&lt;&gt;"Cuenta de trading"),"⚠ Usa la cuenta de trading","✓"))))))))))))</f>
        <v/>
      </c>
      <c r="I3424" s="19">
        <f>IF(OR(B3424="",C3424="",D3424=""),"",IFERROR(INDEX(catTipo,MATCH(D3424,catNom,0))&amp;"",""))</f>
        <v/>
      </c>
      <c r="J3424" s="19">
        <f>IF(I3424="","",IFERROR(INDEX(catGrupo,MATCH(D3424,catNom,0))&amp;"",""))</f>
        <v/>
      </c>
      <c r="K3424" s="19">
        <f>IF(I3424="Gasto",IF(IFERROR(INDEX(catClas,MATCH(D3424,catNom,0))&amp;"","")="","Variable",IFERROR(INDEX(catClas,MATCH(D3424,catNom,0))&amp;"","")),"")</f>
        <v/>
      </c>
      <c r="L3424" s="19">
        <f>IF(I3424="","",IFERROR(INDEX(catAlim,MATCH(D3424,catNom,0))&amp;"",""))</f>
        <v/>
      </c>
      <c r="M3424" s="19">
        <f>IF(I3424="","",IFERROR(INDEX(catComida,MATCH(D3424,catNom,0))&amp;"",""))</f>
        <v/>
      </c>
      <c r="N3424" s="19">
        <f>IF(I3424="","",IFERROR(INDEX(ctaMon,MATCH(E3424,ctaNom,0))&amp;"","DOP"))</f>
        <v/>
      </c>
      <c r="O3424" s="20">
        <f>IF(I3424="","",C3424*IF(N3424="USD",TasaUSD,1))</f>
        <v/>
      </c>
      <c r="P3424" s="20">
        <f>IF(I3424="","",IF(I3424="Gasto",O3424,0))</f>
        <v/>
      </c>
      <c r="Q3424" s="20">
        <f>IF(I3424="","",IF(I3424="Ingreso",O3424,0))</f>
        <v/>
      </c>
      <c r="R3424" s="20">
        <f>IF(I3424="","",IF(I3424="Trading",O3424,0))</f>
        <v/>
      </c>
      <c r="S3424" s="19">
        <f>IF(I3424="","",IF(AND(I3424="Gasto",K3424="Variable",J3424&lt;&gt;"Trading",O3424&gt;0,O3424&lt;=Umbral),1,0))</f>
        <v/>
      </c>
      <c r="T3424" s="20">
        <f>IF(OR(I3424="",E3424=""),"",IF(OR(I3424="Gasto",I3424="Transferencia",I3424="Pago tarjeta"),-1,1)*C3424)</f>
        <v/>
      </c>
      <c r="U3424" s="20">
        <f>IF(OR(G3424="",AND(I3424&lt;&gt;"Transferencia",I3424&lt;&gt;"Pago tarjeta")),"",IF(IFERROR(INDEX(ctaMon,MATCH(G3424,ctaNom,0))&amp;"","DOP")=N3424,C3424,IF(N3424="USD",C3424*TasaUSD,C3424/TasaUSD)))</f>
        <v/>
      </c>
      <c r="V3424" s="20">
        <f>IF(I3424="","",IF(IFERROR(INDEX(ctaLiq,MATCH(E3424,ctaNom,0))="Sí",FALSE),IF(OR(I3424="Gasto",I3424="Transferencia",I3424="Pago tarjeta"),-1,1)*O3424,0)+IF(AND(U3424&lt;&gt;"",IFERROR(INDEX(ctaLiq,MATCH(G3424,ctaNom,0))="Sí",FALSE)),O3424,0))</f>
        <v/>
      </c>
      <c r="W3424" s="19">
        <f>IF(OR(F3424="",I3424=""),"",IF(COUNTIFS(F$6:F3424,F3424,I$6:I3424,"?*")=1,MAX(W$5:W3423)+1,""))</f>
        <v/>
      </c>
    </row>
    <row r="3425">
      <c r="B3425" s="15" t="n"/>
      <c r="C3425" s="16" t="n"/>
      <c r="D3425" s="17" t="n"/>
      <c r="E3425" s="17" t="n"/>
      <c r="F3425" s="17" t="n"/>
      <c r="G3425" s="17" t="n"/>
      <c r="H3425" s="18">
        <f>IF(AND(B3425="",C3425="",D3425="",E3425=""),"",IF(B3425="","⚠ Falta fecha",IF(C3425="","⚠ Falta monto",IF(D3425="","⚠ Falta categoría",IF(ISNA(MATCH(D3425,catNom,0)),"⚠ Categoría no existe",IF(E3425="","⚠ Falta cuenta",IF(ISNA(MATCH(E3425,ctaNom,0)),"⚠ Cuenta no existe",IF(AND(OR(I3425="Transferencia",I3425="Pago tarjeta"),G3425=""),"⚠ Indica la cuenta «Hacia»",IF(AND(G3425&lt;&gt;"",G3425=E3425),"⚠ «Hacia» igual a la cuenta",IF(AND(G3425&lt;&gt;"",ISNA(MATCH(G3425,ctaNom,0))),"⚠ «Hacia» no existe",IF(AND(I3425="Pago tarjeta",IFERROR(INDEX(ctaTipo,MATCH(G3425,ctaNom,0)),"")&lt;&gt;"Tarjeta de crédito"),"⚠ «Hacia» debe ser la tarjeta",IF(AND(I3425="Trading",IFERROR(INDEX(ctaTipo,MATCH(E3425,ctaNom,0)),"")&lt;&gt;"Cuenta de trading"),"⚠ Usa la cuenta de trading","✓"))))))))))))</f>
        <v/>
      </c>
      <c r="I3425" s="19">
        <f>IF(OR(B3425="",C3425="",D3425=""),"",IFERROR(INDEX(catTipo,MATCH(D3425,catNom,0))&amp;"",""))</f>
        <v/>
      </c>
      <c r="J3425" s="19">
        <f>IF(I3425="","",IFERROR(INDEX(catGrupo,MATCH(D3425,catNom,0))&amp;"",""))</f>
        <v/>
      </c>
      <c r="K3425" s="19">
        <f>IF(I3425="Gasto",IF(IFERROR(INDEX(catClas,MATCH(D3425,catNom,0))&amp;"","")="","Variable",IFERROR(INDEX(catClas,MATCH(D3425,catNom,0))&amp;"","")),"")</f>
        <v/>
      </c>
      <c r="L3425" s="19">
        <f>IF(I3425="","",IFERROR(INDEX(catAlim,MATCH(D3425,catNom,0))&amp;"",""))</f>
        <v/>
      </c>
      <c r="M3425" s="19">
        <f>IF(I3425="","",IFERROR(INDEX(catComida,MATCH(D3425,catNom,0))&amp;"",""))</f>
        <v/>
      </c>
      <c r="N3425" s="19">
        <f>IF(I3425="","",IFERROR(INDEX(ctaMon,MATCH(E3425,ctaNom,0))&amp;"","DOP"))</f>
        <v/>
      </c>
      <c r="O3425" s="20">
        <f>IF(I3425="","",C3425*IF(N3425="USD",TasaUSD,1))</f>
        <v/>
      </c>
      <c r="P3425" s="20">
        <f>IF(I3425="","",IF(I3425="Gasto",O3425,0))</f>
        <v/>
      </c>
      <c r="Q3425" s="20">
        <f>IF(I3425="","",IF(I3425="Ingreso",O3425,0))</f>
        <v/>
      </c>
      <c r="R3425" s="20">
        <f>IF(I3425="","",IF(I3425="Trading",O3425,0))</f>
        <v/>
      </c>
      <c r="S3425" s="19">
        <f>IF(I3425="","",IF(AND(I3425="Gasto",K3425="Variable",J3425&lt;&gt;"Trading",O3425&gt;0,O3425&lt;=Umbral),1,0))</f>
        <v/>
      </c>
      <c r="T3425" s="20">
        <f>IF(OR(I3425="",E3425=""),"",IF(OR(I3425="Gasto",I3425="Transferencia",I3425="Pago tarjeta"),-1,1)*C3425)</f>
        <v/>
      </c>
      <c r="U3425" s="20">
        <f>IF(OR(G3425="",AND(I3425&lt;&gt;"Transferencia",I3425&lt;&gt;"Pago tarjeta")),"",IF(IFERROR(INDEX(ctaMon,MATCH(G3425,ctaNom,0))&amp;"","DOP")=N3425,C3425,IF(N3425="USD",C3425*TasaUSD,C3425/TasaUSD)))</f>
        <v/>
      </c>
      <c r="V3425" s="20">
        <f>IF(I3425="","",IF(IFERROR(INDEX(ctaLiq,MATCH(E3425,ctaNom,0))="Sí",FALSE),IF(OR(I3425="Gasto",I3425="Transferencia",I3425="Pago tarjeta"),-1,1)*O3425,0)+IF(AND(U3425&lt;&gt;"",IFERROR(INDEX(ctaLiq,MATCH(G3425,ctaNom,0))="Sí",FALSE)),O3425,0))</f>
        <v/>
      </c>
      <c r="W3425" s="19">
        <f>IF(OR(F3425="",I3425=""),"",IF(COUNTIFS(F$6:F3425,F3425,I$6:I3425,"?*")=1,MAX(W$5:W3424)+1,""))</f>
        <v/>
      </c>
    </row>
    <row r="3426">
      <c r="B3426" s="15" t="n"/>
      <c r="C3426" s="16" t="n"/>
      <c r="D3426" s="17" t="n"/>
      <c r="E3426" s="17" t="n"/>
      <c r="F3426" s="17" t="n"/>
      <c r="G3426" s="17" t="n"/>
      <c r="H3426" s="18">
        <f>IF(AND(B3426="",C3426="",D3426="",E3426=""),"",IF(B3426="","⚠ Falta fecha",IF(C3426="","⚠ Falta monto",IF(D3426="","⚠ Falta categoría",IF(ISNA(MATCH(D3426,catNom,0)),"⚠ Categoría no existe",IF(E3426="","⚠ Falta cuenta",IF(ISNA(MATCH(E3426,ctaNom,0)),"⚠ Cuenta no existe",IF(AND(OR(I3426="Transferencia",I3426="Pago tarjeta"),G3426=""),"⚠ Indica la cuenta «Hacia»",IF(AND(G3426&lt;&gt;"",G3426=E3426),"⚠ «Hacia» igual a la cuenta",IF(AND(G3426&lt;&gt;"",ISNA(MATCH(G3426,ctaNom,0))),"⚠ «Hacia» no existe",IF(AND(I3426="Pago tarjeta",IFERROR(INDEX(ctaTipo,MATCH(G3426,ctaNom,0)),"")&lt;&gt;"Tarjeta de crédito"),"⚠ «Hacia» debe ser la tarjeta",IF(AND(I3426="Trading",IFERROR(INDEX(ctaTipo,MATCH(E3426,ctaNom,0)),"")&lt;&gt;"Cuenta de trading"),"⚠ Usa la cuenta de trading","✓"))))))))))))</f>
        <v/>
      </c>
      <c r="I3426" s="19">
        <f>IF(OR(B3426="",C3426="",D3426=""),"",IFERROR(INDEX(catTipo,MATCH(D3426,catNom,0))&amp;"",""))</f>
        <v/>
      </c>
      <c r="J3426" s="19">
        <f>IF(I3426="","",IFERROR(INDEX(catGrupo,MATCH(D3426,catNom,0))&amp;"",""))</f>
        <v/>
      </c>
      <c r="K3426" s="19">
        <f>IF(I3426="Gasto",IF(IFERROR(INDEX(catClas,MATCH(D3426,catNom,0))&amp;"","")="","Variable",IFERROR(INDEX(catClas,MATCH(D3426,catNom,0))&amp;"","")),"")</f>
        <v/>
      </c>
      <c r="L3426" s="19">
        <f>IF(I3426="","",IFERROR(INDEX(catAlim,MATCH(D3426,catNom,0))&amp;"",""))</f>
        <v/>
      </c>
      <c r="M3426" s="19">
        <f>IF(I3426="","",IFERROR(INDEX(catComida,MATCH(D3426,catNom,0))&amp;"",""))</f>
        <v/>
      </c>
      <c r="N3426" s="19">
        <f>IF(I3426="","",IFERROR(INDEX(ctaMon,MATCH(E3426,ctaNom,0))&amp;"","DOP"))</f>
        <v/>
      </c>
      <c r="O3426" s="20">
        <f>IF(I3426="","",C3426*IF(N3426="USD",TasaUSD,1))</f>
        <v/>
      </c>
      <c r="P3426" s="20">
        <f>IF(I3426="","",IF(I3426="Gasto",O3426,0))</f>
        <v/>
      </c>
      <c r="Q3426" s="20">
        <f>IF(I3426="","",IF(I3426="Ingreso",O3426,0))</f>
        <v/>
      </c>
      <c r="R3426" s="20">
        <f>IF(I3426="","",IF(I3426="Trading",O3426,0))</f>
        <v/>
      </c>
      <c r="S3426" s="19">
        <f>IF(I3426="","",IF(AND(I3426="Gasto",K3426="Variable",J3426&lt;&gt;"Trading",O3426&gt;0,O3426&lt;=Umbral),1,0))</f>
        <v/>
      </c>
      <c r="T3426" s="20">
        <f>IF(OR(I3426="",E3426=""),"",IF(OR(I3426="Gasto",I3426="Transferencia",I3426="Pago tarjeta"),-1,1)*C3426)</f>
        <v/>
      </c>
      <c r="U3426" s="20">
        <f>IF(OR(G3426="",AND(I3426&lt;&gt;"Transferencia",I3426&lt;&gt;"Pago tarjeta")),"",IF(IFERROR(INDEX(ctaMon,MATCH(G3426,ctaNom,0))&amp;"","DOP")=N3426,C3426,IF(N3426="USD",C3426*TasaUSD,C3426/TasaUSD)))</f>
        <v/>
      </c>
      <c r="V3426" s="20">
        <f>IF(I3426="","",IF(IFERROR(INDEX(ctaLiq,MATCH(E3426,ctaNom,0))="Sí",FALSE),IF(OR(I3426="Gasto",I3426="Transferencia",I3426="Pago tarjeta"),-1,1)*O3426,0)+IF(AND(U3426&lt;&gt;"",IFERROR(INDEX(ctaLiq,MATCH(G3426,ctaNom,0))="Sí",FALSE)),O3426,0))</f>
        <v/>
      </c>
      <c r="W3426" s="19">
        <f>IF(OR(F3426="",I3426=""),"",IF(COUNTIFS(F$6:F3426,F3426,I$6:I3426,"?*")=1,MAX(W$5:W3425)+1,""))</f>
        <v/>
      </c>
    </row>
    <row r="3427">
      <c r="B3427" s="15" t="n"/>
      <c r="C3427" s="16" t="n"/>
      <c r="D3427" s="17" t="n"/>
      <c r="E3427" s="17" t="n"/>
      <c r="F3427" s="17" t="n"/>
      <c r="G3427" s="17" t="n"/>
      <c r="H3427" s="18">
        <f>IF(AND(B3427="",C3427="",D3427="",E3427=""),"",IF(B3427="","⚠ Falta fecha",IF(C3427="","⚠ Falta monto",IF(D3427="","⚠ Falta categoría",IF(ISNA(MATCH(D3427,catNom,0)),"⚠ Categoría no existe",IF(E3427="","⚠ Falta cuenta",IF(ISNA(MATCH(E3427,ctaNom,0)),"⚠ Cuenta no existe",IF(AND(OR(I3427="Transferencia",I3427="Pago tarjeta"),G3427=""),"⚠ Indica la cuenta «Hacia»",IF(AND(G3427&lt;&gt;"",G3427=E3427),"⚠ «Hacia» igual a la cuenta",IF(AND(G3427&lt;&gt;"",ISNA(MATCH(G3427,ctaNom,0))),"⚠ «Hacia» no existe",IF(AND(I3427="Pago tarjeta",IFERROR(INDEX(ctaTipo,MATCH(G3427,ctaNom,0)),"")&lt;&gt;"Tarjeta de crédito"),"⚠ «Hacia» debe ser la tarjeta",IF(AND(I3427="Trading",IFERROR(INDEX(ctaTipo,MATCH(E3427,ctaNom,0)),"")&lt;&gt;"Cuenta de trading"),"⚠ Usa la cuenta de trading","✓"))))))))))))</f>
        <v/>
      </c>
      <c r="I3427" s="19">
        <f>IF(OR(B3427="",C3427="",D3427=""),"",IFERROR(INDEX(catTipo,MATCH(D3427,catNom,0))&amp;"",""))</f>
        <v/>
      </c>
      <c r="J3427" s="19">
        <f>IF(I3427="","",IFERROR(INDEX(catGrupo,MATCH(D3427,catNom,0))&amp;"",""))</f>
        <v/>
      </c>
      <c r="K3427" s="19">
        <f>IF(I3427="Gasto",IF(IFERROR(INDEX(catClas,MATCH(D3427,catNom,0))&amp;"","")="","Variable",IFERROR(INDEX(catClas,MATCH(D3427,catNom,0))&amp;"","")),"")</f>
        <v/>
      </c>
      <c r="L3427" s="19">
        <f>IF(I3427="","",IFERROR(INDEX(catAlim,MATCH(D3427,catNom,0))&amp;"",""))</f>
        <v/>
      </c>
      <c r="M3427" s="19">
        <f>IF(I3427="","",IFERROR(INDEX(catComida,MATCH(D3427,catNom,0))&amp;"",""))</f>
        <v/>
      </c>
      <c r="N3427" s="19">
        <f>IF(I3427="","",IFERROR(INDEX(ctaMon,MATCH(E3427,ctaNom,0))&amp;"","DOP"))</f>
        <v/>
      </c>
      <c r="O3427" s="20">
        <f>IF(I3427="","",C3427*IF(N3427="USD",TasaUSD,1))</f>
        <v/>
      </c>
      <c r="P3427" s="20">
        <f>IF(I3427="","",IF(I3427="Gasto",O3427,0))</f>
        <v/>
      </c>
      <c r="Q3427" s="20">
        <f>IF(I3427="","",IF(I3427="Ingreso",O3427,0))</f>
        <v/>
      </c>
      <c r="R3427" s="20">
        <f>IF(I3427="","",IF(I3427="Trading",O3427,0))</f>
        <v/>
      </c>
      <c r="S3427" s="19">
        <f>IF(I3427="","",IF(AND(I3427="Gasto",K3427="Variable",J3427&lt;&gt;"Trading",O3427&gt;0,O3427&lt;=Umbral),1,0))</f>
        <v/>
      </c>
      <c r="T3427" s="20">
        <f>IF(OR(I3427="",E3427=""),"",IF(OR(I3427="Gasto",I3427="Transferencia",I3427="Pago tarjeta"),-1,1)*C3427)</f>
        <v/>
      </c>
      <c r="U3427" s="20">
        <f>IF(OR(G3427="",AND(I3427&lt;&gt;"Transferencia",I3427&lt;&gt;"Pago tarjeta")),"",IF(IFERROR(INDEX(ctaMon,MATCH(G3427,ctaNom,0))&amp;"","DOP")=N3427,C3427,IF(N3427="USD",C3427*TasaUSD,C3427/TasaUSD)))</f>
        <v/>
      </c>
      <c r="V3427" s="20">
        <f>IF(I3427="","",IF(IFERROR(INDEX(ctaLiq,MATCH(E3427,ctaNom,0))="Sí",FALSE),IF(OR(I3427="Gasto",I3427="Transferencia",I3427="Pago tarjeta"),-1,1)*O3427,0)+IF(AND(U3427&lt;&gt;"",IFERROR(INDEX(ctaLiq,MATCH(G3427,ctaNom,0))="Sí",FALSE)),O3427,0))</f>
        <v/>
      </c>
      <c r="W3427" s="19">
        <f>IF(OR(F3427="",I3427=""),"",IF(COUNTIFS(F$6:F3427,F3427,I$6:I3427,"?*")=1,MAX(W$5:W3426)+1,""))</f>
        <v/>
      </c>
    </row>
    <row r="3428">
      <c r="B3428" s="15" t="n"/>
      <c r="C3428" s="16" t="n"/>
      <c r="D3428" s="17" t="n"/>
      <c r="E3428" s="17" t="n"/>
      <c r="F3428" s="17" t="n"/>
      <c r="G3428" s="17" t="n"/>
      <c r="H3428" s="18">
        <f>IF(AND(B3428="",C3428="",D3428="",E3428=""),"",IF(B3428="","⚠ Falta fecha",IF(C3428="","⚠ Falta monto",IF(D3428="","⚠ Falta categoría",IF(ISNA(MATCH(D3428,catNom,0)),"⚠ Categoría no existe",IF(E3428="","⚠ Falta cuenta",IF(ISNA(MATCH(E3428,ctaNom,0)),"⚠ Cuenta no existe",IF(AND(OR(I3428="Transferencia",I3428="Pago tarjeta"),G3428=""),"⚠ Indica la cuenta «Hacia»",IF(AND(G3428&lt;&gt;"",G3428=E3428),"⚠ «Hacia» igual a la cuenta",IF(AND(G3428&lt;&gt;"",ISNA(MATCH(G3428,ctaNom,0))),"⚠ «Hacia» no existe",IF(AND(I3428="Pago tarjeta",IFERROR(INDEX(ctaTipo,MATCH(G3428,ctaNom,0)),"")&lt;&gt;"Tarjeta de crédito"),"⚠ «Hacia» debe ser la tarjeta",IF(AND(I3428="Trading",IFERROR(INDEX(ctaTipo,MATCH(E3428,ctaNom,0)),"")&lt;&gt;"Cuenta de trading"),"⚠ Usa la cuenta de trading","✓"))))))))))))</f>
        <v/>
      </c>
      <c r="I3428" s="19">
        <f>IF(OR(B3428="",C3428="",D3428=""),"",IFERROR(INDEX(catTipo,MATCH(D3428,catNom,0))&amp;"",""))</f>
        <v/>
      </c>
      <c r="J3428" s="19">
        <f>IF(I3428="","",IFERROR(INDEX(catGrupo,MATCH(D3428,catNom,0))&amp;"",""))</f>
        <v/>
      </c>
      <c r="K3428" s="19">
        <f>IF(I3428="Gasto",IF(IFERROR(INDEX(catClas,MATCH(D3428,catNom,0))&amp;"","")="","Variable",IFERROR(INDEX(catClas,MATCH(D3428,catNom,0))&amp;"","")),"")</f>
        <v/>
      </c>
      <c r="L3428" s="19">
        <f>IF(I3428="","",IFERROR(INDEX(catAlim,MATCH(D3428,catNom,0))&amp;"",""))</f>
        <v/>
      </c>
      <c r="M3428" s="19">
        <f>IF(I3428="","",IFERROR(INDEX(catComida,MATCH(D3428,catNom,0))&amp;"",""))</f>
        <v/>
      </c>
      <c r="N3428" s="19">
        <f>IF(I3428="","",IFERROR(INDEX(ctaMon,MATCH(E3428,ctaNom,0))&amp;"","DOP"))</f>
        <v/>
      </c>
      <c r="O3428" s="20">
        <f>IF(I3428="","",C3428*IF(N3428="USD",TasaUSD,1))</f>
        <v/>
      </c>
      <c r="P3428" s="20">
        <f>IF(I3428="","",IF(I3428="Gasto",O3428,0))</f>
        <v/>
      </c>
      <c r="Q3428" s="20">
        <f>IF(I3428="","",IF(I3428="Ingreso",O3428,0))</f>
        <v/>
      </c>
      <c r="R3428" s="20">
        <f>IF(I3428="","",IF(I3428="Trading",O3428,0))</f>
        <v/>
      </c>
      <c r="S3428" s="19">
        <f>IF(I3428="","",IF(AND(I3428="Gasto",K3428="Variable",J3428&lt;&gt;"Trading",O3428&gt;0,O3428&lt;=Umbral),1,0))</f>
        <v/>
      </c>
      <c r="T3428" s="20">
        <f>IF(OR(I3428="",E3428=""),"",IF(OR(I3428="Gasto",I3428="Transferencia",I3428="Pago tarjeta"),-1,1)*C3428)</f>
        <v/>
      </c>
      <c r="U3428" s="20">
        <f>IF(OR(G3428="",AND(I3428&lt;&gt;"Transferencia",I3428&lt;&gt;"Pago tarjeta")),"",IF(IFERROR(INDEX(ctaMon,MATCH(G3428,ctaNom,0))&amp;"","DOP")=N3428,C3428,IF(N3428="USD",C3428*TasaUSD,C3428/TasaUSD)))</f>
        <v/>
      </c>
      <c r="V3428" s="20">
        <f>IF(I3428="","",IF(IFERROR(INDEX(ctaLiq,MATCH(E3428,ctaNom,0))="Sí",FALSE),IF(OR(I3428="Gasto",I3428="Transferencia",I3428="Pago tarjeta"),-1,1)*O3428,0)+IF(AND(U3428&lt;&gt;"",IFERROR(INDEX(ctaLiq,MATCH(G3428,ctaNom,0))="Sí",FALSE)),O3428,0))</f>
        <v/>
      </c>
      <c r="W3428" s="19">
        <f>IF(OR(F3428="",I3428=""),"",IF(COUNTIFS(F$6:F3428,F3428,I$6:I3428,"?*")=1,MAX(W$5:W3427)+1,""))</f>
        <v/>
      </c>
    </row>
    <row r="3429">
      <c r="B3429" s="15" t="n"/>
      <c r="C3429" s="16" t="n"/>
      <c r="D3429" s="17" t="n"/>
      <c r="E3429" s="17" t="n"/>
      <c r="F3429" s="17" t="n"/>
      <c r="G3429" s="17" t="n"/>
      <c r="H3429" s="18">
        <f>IF(AND(B3429="",C3429="",D3429="",E3429=""),"",IF(B3429="","⚠ Falta fecha",IF(C3429="","⚠ Falta monto",IF(D3429="","⚠ Falta categoría",IF(ISNA(MATCH(D3429,catNom,0)),"⚠ Categoría no existe",IF(E3429="","⚠ Falta cuenta",IF(ISNA(MATCH(E3429,ctaNom,0)),"⚠ Cuenta no existe",IF(AND(OR(I3429="Transferencia",I3429="Pago tarjeta"),G3429=""),"⚠ Indica la cuenta «Hacia»",IF(AND(G3429&lt;&gt;"",G3429=E3429),"⚠ «Hacia» igual a la cuenta",IF(AND(G3429&lt;&gt;"",ISNA(MATCH(G3429,ctaNom,0))),"⚠ «Hacia» no existe",IF(AND(I3429="Pago tarjeta",IFERROR(INDEX(ctaTipo,MATCH(G3429,ctaNom,0)),"")&lt;&gt;"Tarjeta de crédito"),"⚠ «Hacia» debe ser la tarjeta",IF(AND(I3429="Trading",IFERROR(INDEX(ctaTipo,MATCH(E3429,ctaNom,0)),"")&lt;&gt;"Cuenta de trading"),"⚠ Usa la cuenta de trading","✓"))))))))))))</f>
        <v/>
      </c>
      <c r="I3429" s="19">
        <f>IF(OR(B3429="",C3429="",D3429=""),"",IFERROR(INDEX(catTipo,MATCH(D3429,catNom,0))&amp;"",""))</f>
        <v/>
      </c>
      <c r="J3429" s="19">
        <f>IF(I3429="","",IFERROR(INDEX(catGrupo,MATCH(D3429,catNom,0))&amp;"",""))</f>
        <v/>
      </c>
      <c r="K3429" s="19">
        <f>IF(I3429="Gasto",IF(IFERROR(INDEX(catClas,MATCH(D3429,catNom,0))&amp;"","")="","Variable",IFERROR(INDEX(catClas,MATCH(D3429,catNom,0))&amp;"","")),"")</f>
        <v/>
      </c>
      <c r="L3429" s="19">
        <f>IF(I3429="","",IFERROR(INDEX(catAlim,MATCH(D3429,catNom,0))&amp;"",""))</f>
        <v/>
      </c>
      <c r="M3429" s="19">
        <f>IF(I3429="","",IFERROR(INDEX(catComida,MATCH(D3429,catNom,0))&amp;"",""))</f>
        <v/>
      </c>
      <c r="N3429" s="19">
        <f>IF(I3429="","",IFERROR(INDEX(ctaMon,MATCH(E3429,ctaNom,0))&amp;"","DOP"))</f>
        <v/>
      </c>
      <c r="O3429" s="20">
        <f>IF(I3429="","",C3429*IF(N3429="USD",TasaUSD,1))</f>
        <v/>
      </c>
      <c r="P3429" s="20">
        <f>IF(I3429="","",IF(I3429="Gasto",O3429,0))</f>
        <v/>
      </c>
      <c r="Q3429" s="20">
        <f>IF(I3429="","",IF(I3429="Ingreso",O3429,0))</f>
        <v/>
      </c>
      <c r="R3429" s="20">
        <f>IF(I3429="","",IF(I3429="Trading",O3429,0))</f>
        <v/>
      </c>
      <c r="S3429" s="19">
        <f>IF(I3429="","",IF(AND(I3429="Gasto",K3429="Variable",J3429&lt;&gt;"Trading",O3429&gt;0,O3429&lt;=Umbral),1,0))</f>
        <v/>
      </c>
      <c r="T3429" s="20">
        <f>IF(OR(I3429="",E3429=""),"",IF(OR(I3429="Gasto",I3429="Transferencia",I3429="Pago tarjeta"),-1,1)*C3429)</f>
        <v/>
      </c>
      <c r="U3429" s="20">
        <f>IF(OR(G3429="",AND(I3429&lt;&gt;"Transferencia",I3429&lt;&gt;"Pago tarjeta")),"",IF(IFERROR(INDEX(ctaMon,MATCH(G3429,ctaNom,0))&amp;"","DOP")=N3429,C3429,IF(N3429="USD",C3429*TasaUSD,C3429/TasaUSD)))</f>
        <v/>
      </c>
      <c r="V3429" s="20">
        <f>IF(I3429="","",IF(IFERROR(INDEX(ctaLiq,MATCH(E3429,ctaNom,0))="Sí",FALSE),IF(OR(I3429="Gasto",I3429="Transferencia",I3429="Pago tarjeta"),-1,1)*O3429,0)+IF(AND(U3429&lt;&gt;"",IFERROR(INDEX(ctaLiq,MATCH(G3429,ctaNom,0))="Sí",FALSE)),O3429,0))</f>
        <v/>
      </c>
      <c r="W3429" s="19">
        <f>IF(OR(F3429="",I3429=""),"",IF(COUNTIFS(F$6:F3429,F3429,I$6:I3429,"?*")=1,MAX(W$5:W3428)+1,""))</f>
        <v/>
      </c>
    </row>
    <row r="3430">
      <c r="B3430" s="15" t="n"/>
      <c r="C3430" s="16" t="n"/>
      <c r="D3430" s="17" t="n"/>
      <c r="E3430" s="17" t="n"/>
      <c r="F3430" s="17" t="n"/>
      <c r="G3430" s="17" t="n"/>
      <c r="H3430" s="18">
        <f>IF(AND(B3430="",C3430="",D3430="",E3430=""),"",IF(B3430="","⚠ Falta fecha",IF(C3430="","⚠ Falta monto",IF(D3430="","⚠ Falta categoría",IF(ISNA(MATCH(D3430,catNom,0)),"⚠ Categoría no existe",IF(E3430="","⚠ Falta cuenta",IF(ISNA(MATCH(E3430,ctaNom,0)),"⚠ Cuenta no existe",IF(AND(OR(I3430="Transferencia",I3430="Pago tarjeta"),G3430=""),"⚠ Indica la cuenta «Hacia»",IF(AND(G3430&lt;&gt;"",G3430=E3430),"⚠ «Hacia» igual a la cuenta",IF(AND(G3430&lt;&gt;"",ISNA(MATCH(G3430,ctaNom,0))),"⚠ «Hacia» no existe",IF(AND(I3430="Pago tarjeta",IFERROR(INDEX(ctaTipo,MATCH(G3430,ctaNom,0)),"")&lt;&gt;"Tarjeta de crédito"),"⚠ «Hacia» debe ser la tarjeta",IF(AND(I3430="Trading",IFERROR(INDEX(ctaTipo,MATCH(E3430,ctaNom,0)),"")&lt;&gt;"Cuenta de trading"),"⚠ Usa la cuenta de trading","✓"))))))))))))</f>
        <v/>
      </c>
      <c r="I3430" s="19">
        <f>IF(OR(B3430="",C3430="",D3430=""),"",IFERROR(INDEX(catTipo,MATCH(D3430,catNom,0))&amp;"",""))</f>
        <v/>
      </c>
      <c r="J3430" s="19">
        <f>IF(I3430="","",IFERROR(INDEX(catGrupo,MATCH(D3430,catNom,0))&amp;"",""))</f>
        <v/>
      </c>
      <c r="K3430" s="19">
        <f>IF(I3430="Gasto",IF(IFERROR(INDEX(catClas,MATCH(D3430,catNom,0))&amp;"","")="","Variable",IFERROR(INDEX(catClas,MATCH(D3430,catNom,0))&amp;"","")),"")</f>
        <v/>
      </c>
      <c r="L3430" s="19">
        <f>IF(I3430="","",IFERROR(INDEX(catAlim,MATCH(D3430,catNom,0))&amp;"",""))</f>
        <v/>
      </c>
      <c r="M3430" s="19">
        <f>IF(I3430="","",IFERROR(INDEX(catComida,MATCH(D3430,catNom,0))&amp;"",""))</f>
        <v/>
      </c>
      <c r="N3430" s="19">
        <f>IF(I3430="","",IFERROR(INDEX(ctaMon,MATCH(E3430,ctaNom,0))&amp;"","DOP"))</f>
        <v/>
      </c>
      <c r="O3430" s="20">
        <f>IF(I3430="","",C3430*IF(N3430="USD",TasaUSD,1))</f>
        <v/>
      </c>
      <c r="P3430" s="20">
        <f>IF(I3430="","",IF(I3430="Gasto",O3430,0))</f>
        <v/>
      </c>
      <c r="Q3430" s="20">
        <f>IF(I3430="","",IF(I3430="Ingreso",O3430,0))</f>
        <v/>
      </c>
      <c r="R3430" s="20">
        <f>IF(I3430="","",IF(I3430="Trading",O3430,0))</f>
        <v/>
      </c>
      <c r="S3430" s="19">
        <f>IF(I3430="","",IF(AND(I3430="Gasto",K3430="Variable",J3430&lt;&gt;"Trading",O3430&gt;0,O3430&lt;=Umbral),1,0))</f>
        <v/>
      </c>
      <c r="T3430" s="20">
        <f>IF(OR(I3430="",E3430=""),"",IF(OR(I3430="Gasto",I3430="Transferencia",I3430="Pago tarjeta"),-1,1)*C3430)</f>
        <v/>
      </c>
      <c r="U3430" s="20">
        <f>IF(OR(G3430="",AND(I3430&lt;&gt;"Transferencia",I3430&lt;&gt;"Pago tarjeta")),"",IF(IFERROR(INDEX(ctaMon,MATCH(G3430,ctaNom,0))&amp;"","DOP")=N3430,C3430,IF(N3430="USD",C3430*TasaUSD,C3430/TasaUSD)))</f>
        <v/>
      </c>
      <c r="V3430" s="20">
        <f>IF(I3430="","",IF(IFERROR(INDEX(ctaLiq,MATCH(E3430,ctaNom,0))="Sí",FALSE),IF(OR(I3430="Gasto",I3430="Transferencia",I3430="Pago tarjeta"),-1,1)*O3430,0)+IF(AND(U3430&lt;&gt;"",IFERROR(INDEX(ctaLiq,MATCH(G3430,ctaNom,0))="Sí",FALSE)),O3430,0))</f>
        <v/>
      </c>
      <c r="W3430" s="19">
        <f>IF(OR(F3430="",I3430=""),"",IF(COUNTIFS(F$6:F3430,F3430,I$6:I3430,"?*")=1,MAX(W$5:W3429)+1,""))</f>
        <v/>
      </c>
    </row>
    <row r="3431">
      <c r="B3431" s="15" t="n"/>
      <c r="C3431" s="16" t="n"/>
      <c r="D3431" s="17" t="n"/>
      <c r="E3431" s="17" t="n"/>
      <c r="F3431" s="17" t="n"/>
      <c r="G3431" s="17" t="n"/>
      <c r="H3431" s="18">
        <f>IF(AND(B3431="",C3431="",D3431="",E3431=""),"",IF(B3431="","⚠ Falta fecha",IF(C3431="","⚠ Falta monto",IF(D3431="","⚠ Falta categoría",IF(ISNA(MATCH(D3431,catNom,0)),"⚠ Categoría no existe",IF(E3431="","⚠ Falta cuenta",IF(ISNA(MATCH(E3431,ctaNom,0)),"⚠ Cuenta no existe",IF(AND(OR(I3431="Transferencia",I3431="Pago tarjeta"),G3431=""),"⚠ Indica la cuenta «Hacia»",IF(AND(G3431&lt;&gt;"",G3431=E3431),"⚠ «Hacia» igual a la cuenta",IF(AND(G3431&lt;&gt;"",ISNA(MATCH(G3431,ctaNom,0))),"⚠ «Hacia» no existe",IF(AND(I3431="Pago tarjeta",IFERROR(INDEX(ctaTipo,MATCH(G3431,ctaNom,0)),"")&lt;&gt;"Tarjeta de crédito"),"⚠ «Hacia» debe ser la tarjeta",IF(AND(I3431="Trading",IFERROR(INDEX(ctaTipo,MATCH(E3431,ctaNom,0)),"")&lt;&gt;"Cuenta de trading"),"⚠ Usa la cuenta de trading","✓"))))))))))))</f>
        <v/>
      </c>
      <c r="I3431" s="19">
        <f>IF(OR(B3431="",C3431="",D3431=""),"",IFERROR(INDEX(catTipo,MATCH(D3431,catNom,0))&amp;"",""))</f>
        <v/>
      </c>
      <c r="J3431" s="19">
        <f>IF(I3431="","",IFERROR(INDEX(catGrupo,MATCH(D3431,catNom,0))&amp;"",""))</f>
        <v/>
      </c>
      <c r="K3431" s="19">
        <f>IF(I3431="Gasto",IF(IFERROR(INDEX(catClas,MATCH(D3431,catNom,0))&amp;"","")="","Variable",IFERROR(INDEX(catClas,MATCH(D3431,catNom,0))&amp;"","")),"")</f>
        <v/>
      </c>
      <c r="L3431" s="19">
        <f>IF(I3431="","",IFERROR(INDEX(catAlim,MATCH(D3431,catNom,0))&amp;"",""))</f>
        <v/>
      </c>
      <c r="M3431" s="19">
        <f>IF(I3431="","",IFERROR(INDEX(catComida,MATCH(D3431,catNom,0))&amp;"",""))</f>
        <v/>
      </c>
      <c r="N3431" s="19">
        <f>IF(I3431="","",IFERROR(INDEX(ctaMon,MATCH(E3431,ctaNom,0))&amp;"","DOP"))</f>
        <v/>
      </c>
      <c r="O3431" s="20">
        <f>IF(I3431="","",C3431*IF(N3431="USD",TasaUSD,1))</f>
        <v/>
      </c>
      <c r="P3431" s="20">
        <f>IF(I3431="","",IF(I3431="Gasto",O3431,0))</f>
        <v/>
      </c>
      <c r="Q3431" s="20">
        <f>IF(I3431="","",IF(I3431="Ingreso",O3431,0))</f>
        <v/>
      </c>
      <c r="R3431" s="20">
        <f>IF(I3431="","",IF(I3431="Trading",O3431,0))</f>
        <v/>
      </c>
      <c r="S3431" s="19">
        <f>IF(I3431="","",IF(AND(I3431="Gasto",K3431="Variable",J3431&lt;&gt;"Trading",O3431&gt;0,O3431&lt;=Umbral),1,0))</f>
        <v/>
      </c>
      <c r="T3431" s="20">
        <f>IF(OR(I3431="",E3431=""),"",IF(OR(I3431="Gasto",I3431="Transferencia",I3431="Pago tarjeta"),-1,1)*C3431)</f>
        <v/>
      </c>
      <c r="U3431" s="20">
        <f>IF(OR(G3431="",AND(I3431&lt;&gt;"Transferencia",I3431&lt;&gt;"Pago tarjeta")),"",IF(IFERROR(INDEX(ctaMon,MATCH(G3431,ctaNom,0))&amp;"","DOP")=N3431,C3431,IF(N3431="USD",C3431*TasaUSD,C3431/TasaUSD)))</f>
        <v/>
      </c>
      <c r="V3431" s="20">
        <f>IF(I3431="","",IF(IFERROR(INDEX(ctaLiq,MATCH(E3431,ctaNom,0))="Sí",FALSE),IF(OR(I3431="Gasto",I3431="Transferencia",I3431="Pago tarjeta"),-1,1)*O3431,0)+IF(AND(U3431&lt;&gt;"",IFERROR(INDEX(ctaLiq,MATCH(G3431,ctaNom,0))="Sí",FALSE)),O3431,0))</f>
        <v/>
      </c>
      <c r="W3431" s="19">
        <f>IF(OR(F3431="",I3431=""),"",IF(COUNTIFS(F$6:F3431,F3431,I$6:I3431,"?*")=1,MAX(W$5:W3430)+1,""))</f>
        <v/>
      </c>
    </row>
    <row r="3432">
      <c r="B3432" s="15" t="n"/>
      <c r="C3432" s="16" t="n"/>
      <c r="D3432" s="17" t="n"/>
      <c r="E3432" s="17" t="n"/>
      <c r="F3432" s="17" t="n"/>
      <c r="G3432" s="17" t="n"/>
      <c r="H3432" s="18">
        <f>IF(AND(B3432="",C3432="",D3432="",E3432=""),"",IF(B3432="","⚠ Falta fecha",IF(C3432="","⚠ Falta monto",IF(D3432="","⚠ Falta categoría",IF(ISNA(MATCH(D3432,catNom,0)),"⚠ Categoría no existe",IF(E3432="","⚠ Falta cuenta",IF(ISNA(MATCH(E3432,ctaNom,0)),"⚠ Cuenta no existe",IF(AND(OR(I3432="Transferencia",I3432="Pago tarjeta"),G3432=""),"⚠ Indica la cuenta «Hacia»",IF(AND(G3432&lt;&gt;"",G3432=E3432),"⚠ «Hacia» igual a la cuenta",IF(AND(G3432&lt;&gt;"",ISNA(MATCH(G3432,ctaNom,0))),"⚠ «Hacia» no existe",IF(AND(I3432="Pago tarjeta",IFERROR(INDEX(ctaTipo,MATCH(G3432,ctaNom,0)),"")&lt;&gt;"Tarjeta de crédito"),"⚠ «Hacia» debe ser la tarjeta",IF(AND(I3432="Trading",IFERROR(INDEX(ctaTipo,MATCH(E3432,ctaNom,0)),"")&lt;&gt;"Cuenta de trading"),"⚠ Usa la cuenta de trading","✓"))))))))))))</f>
        <v/>
      </c>
      <c r="I3432" s="19">
        <f>IF(OR(B3432="",C3432="",D3432=""),"",IFERROR(INDEX(catTipo,MATCH(D3432,catNom,0))&amp;"",""))</f>
        <v/>
      </c>
      <c r="J3432" s="19">
        <f>IF(I3432="","",IFERROR(INDEX(catGrupo,MATCH(D3432,catNom,0))&amp;"",""))</f>
        <v/>
      </c>
      <c r="K3432" s="19">
        <f>IF(I3432="Gasto",IF(IFERROR(INDEX(catClas,MATCH(D3432,catNom,0))&amp;"","")="","Variable",IFERROR(INDEX(catClas,MATCH(D3432,catNom,0))&amp;"","")),"")</f>
        <v/>
      </c>
      <c r="L3432" s="19">
        <f>IF(I3432="","",IFERROR(INDEX(catAlim,MATCH(D3432,catNom,0))&amp;"",""))</f>
        <v/>
      </c>
      <c r="M3432" s="19">
        <f>IF(I3432="","",IFERROR(INDEX(catComida,MATCH(D3432,catNom,0))&amp;"",""))</f>
        <v/>
      </c>
      <c r="N3432" s="19">
        <f>IF(I3432="","",IFERROR(INDEX(ctaMon,MATCH(E3432,ctaNom,0))&amp;"","DOP"))</f>
        <v/>
      </c>
      <c r="O3432" s="20">
        <f>IF(I3432="","",C3432*IF(N3432="USD",TasaUSD,1))</f>
        <v/>
      </c>
      <c r="P3432" s="20">
        <f>IF(I3432="","",IF(I3432="Gasto",O3432,0))</f>
        <v/>
      </c>
      <c r="Q3432" s="20">
        <f>IF(I3432="","",IF(I3432="Ingreso",O3432,0))</f>
        <v/>
      </c>
      <c r="R3432" s="20">
        <f>IF(I3432="","",IF(I3432="Trading",O3432,0))</f>
        <v/>
      </c>
      <c r="S3432" s="19">
        <f>IF(I3432="","",IF(AND(I3432="Gasto",K3432="Variable",J3432&lt;&gt;"Trading",O3432&gt;0,O3432&lt;=Umbral),1,0))</f>
        <v/>
      </c>
      <c r="T3432" s="20">
        <f>IF(OR(I3432="",E3432=""),"",IF(OR(I3432="Gasto",I3432="Transferencia",I3432="Pago tarjeta"),-1,1)*C3432)</f>
        <v/>
      </c>
      <c r="U3432" s="20">
        <f>IF(OR(G3432="",AND(I3432&lt;&gt;"Transferencia",I3432&lt;&gt;"Pago tarjeta")),"",IF(IFERROR(INDEX(ctaMon,MATCH(G3432,ctaNom,0))&amp;"","DOP")=N3432,C3432,IF(N3432="USD",C3432*TasaUSD,C3432/TasaUSD)))</f>
        <v/>
      </c>
      <c r="V3432" s="20">
        <f>IF(I3432="","",IF(IFERROR(INDEX(ctaLiq,MATCH(E3432,ctaNom,0))="Sí",FALSE),IF(OR(I3432="Gasto",I3432="Transferencia",I3432="Pago tarjeta"),-1,1)*O3432,0)+IF(AND(U3432&lt;&gt;"",IFERROR(INDEX(ctaLiq,MATCH(G3432,ctaNom,0))="Sí",FALSE)),O3432,0))</f>
        <v/>
      </c>
      <c r="W3432" s="19">
        <f>IF(OR(F3432="",I3432=""),"",IF(COUNTIFS(F$6:F3432,F3432,I$6:I3432,"?*")=1,MAX(W$5:W3431)+1,""))</f>
        <v/>
      </c>
    </row>
    <row r="3433">
      <c r="B3433" s="15" t="n"/>
      <c r="C3433" s="16" t="n"/>
      <c r="D3433" s="17" t="n"/>
      <c r="E3433" s="17" t="n"/>
      <c r="F3433" s="17" t="n"/>
      <c r="G3433" s="17" t="n"/>
      <c r="H3433" s="18">
        <f>IF(AND(B3433="",C3433="",D3433="",E3433=""),"",IF(B3433="","⚠ Falta fecha",IF(C3433="","⚠ Falta monto",IF(D3433="","⚠ Falta categoría",IF(ISNA(MATCH(D3433,catNom,0)),"⚠ Categoría no existe",IF(E3433="","⚠ Falta cuenta",IF(ISNA(MATCH(E3433,ctaNom,0)),"⚠ Cuenta no existe",IF(AND(OR(I3433="Transferencia",I3433="Pago tarjeta"),G3433=""),"⚠ Indica la cuenta «Hacia»",IF(AND(G3433&lt;&gt;"",G3433=E3433),"⚠ «Hacia» igual a la cuenta",IF(AND(G3433&lt;&gt;"",ISNA(MATCH(G3433,ctaNom,0))),"⚠ «Hacia» no existe",IF(AND(I3433="Pago tarjeta",IFERROR(INDEX(ctaTipo,MATCH(G3433,ctaNom,0)),"")&lt;&gt;"Tarjeta de crédito"),"⚠ «Hacia» debe ser la tarjeta",IF(AND(I3433="Trading",IFERROR(INDEX(ctaTipo,MATCH(E3433,ctaNom,0)),"")&lt;&gt;"Cuenta de trading"),"⚠ Usa la cuenta de trading","✓"))))))))))))</f>
        <v/>
      </c>
      <c r="I3433" s="19">
        <f>IF(OR(B3433="",C3433="",D3433=""),"",IFERROR(INDEX(catTipo,MATCH(D3433,catNom,0))&amp;"",""))</f>
        <v/>
      </c>
      <c r="J3433" s="19">
        <f>IF(I3433="","",IFERROR(INDEX(catGrupo,MATCH(D3433,catNom,0))&amp;"",""))</f>
        <v/>
      </c>
      <c r="K3433" s="19">
        <f>IF(I3433="Gasto",IF(IFERROR(INDEX(catClas,MATCH(D3433,catNom,0))&amp;"","")="","Variable",IFERROR(INDEX(catClas,MATCH(D3433,catNom,0))&amp;"","")),"")</f>
        <v/>
      </c>
      <c r="L3433" s="19">
        <f>IF(I3433="","",IFERROR(INDEX(catAlim,MATCH(D3433,catNom,0))&amp;"",""))</f>
        <v/>
      </c>
      <c r="M3433" s="19">
        <f>IF(I3433="","",IFERROR(INDEX(catComida,MATCH(D3433,catNom,0))&amp;"",""))</f>
        <v/>
      </c>
      <c r="N3433" s="19">
        <f>IF(I3433="","",IFERROR(INDEX(ctaMon,MATCH(E3433,ctaNom,0))&amp;"","DOP"))</f>
        <v/>
      </c>
      <c r="O3433" s="20">
        <f>IF(I3433="","",C3433*IF(N3433="USD",TasaUSD,1))</f>
        <v/>
      </c>
      <c r="P3433" s="20">
        <f>IF(I3433="","",IF(I3433="Gasto",O3433,0))</f>
        <v/>
      </c>
      <c r="Q3433" s="20">
        <f>IF(I3433="","",IF(I3433="Ingreso",O3433,0))</f>
        <v/>
      </c>
      <c r="R3433" s="20">
        <f>IF(I3433="","",IF(I3433="Trading",O3433,0))</f>
        <v/>
      </c>
      <c r="S3433" s="19">
        <f>IF(I3433="","",IF(AND(I3433="Gasto",K3433="Variable",J3433&lt;&gt;"Trading",O3433&gt;0,O3433&lt;=Umbral),1,0))</f>
        <v/>
      </c>
      <c r="T3433" s="20">
        <f>IF(OR(I3433="",E3433=""),"",IF(OR(I3433="Gasto",I3433="Transferencia",I3433="Pago tarjeta"),-1,1)*C3433)</f>
        <v/>
      </c>
      <c r="U3433" s="20">
        <f>IF(OR(G3433="",AND(I3433&lt;&gt;"Transferencia",I3433&lt;&gt;"Pago tarjeta")),"",IF(IFERROR(INDEX(ctaMon,MATCH(G3433,ctaNom,0))&amp;"","DOP")=N3433,C3433,IF(N3433="USD",C3433*TasaUSD,C3433/TasaUSD)))</f>
        <v/>
      </c>
      <c r="V3433" s="20">
        <f>IF(I3433="","",IF(IFERROR(INDEX(ctaLiq,MATCH(E3433,ctaNom,0))="Sí",FALSE),IF(OR(I3433="Gasto",I3433="Transferencia",I3433="Pago tarjeta"),-1,1)*O3433,0)+IF(AND(U3433&lt;&gt;"",IFERROR(INDEX(ctaLiq,MATCH(G3433,ctaNom,0))="Sí",FALSE)),O3433,0))</f>
        <v/>
      </c>
      <c r="W3433" s="19">
        <f>IF(OR(F3433="",I3433=""),"",IF(COUNTIFS(F$6:F3433,F3433,I$6:I3433,"?*")=1,MAX(W$5:W3432)+1,""))</f>
        <v/>
      </c>
    </row>
    <row r="3434">
      <c r="B3434" s="15" t="n"/>
      <c r="C3434" s="16" t="n"/>
      <c r="D3434" s="17" t="n"/>
      <c r="E3434" s="17" t="n"/>
      <c r="F3434" s="17" t="n"/>
      <c r="G3434" s="17" t="n"/>
      <c r="H3434" s="18">
        <f>IF(AND(B3434="",C3434="",D3434="",E3434=""),"",IF(B3434="","⚠ Falta fecha",IF(C3434="","⚠ Falta monto",IF(D3434="","⚠ Falta categoría",IF(ISNA(MATCH(D3434,catNom,0)),"⚠ Categoría no existe",IF(E3434="","⚠ Falta cuenta",IF(ISNA(MATCH(E3434,ctaNom,0)),"⚠ Cuenta no existe",IF(AND(OR(I3434="Transferencia",I3434="Pago tarjeta"),G3434=""),"⚠ Indica la cuenta «Hacia»",IF(AND(G3434&lt;&gt;"",G3434=E3434),"⚠ «Hacia» igual a la cuenta",IF(AND(G3434&lt;&gt;"",ISNA(MATCH(G3434,ctaNom,0))),"⚠ «Hacia» no existe",IF(AND(I3434="Pago tarjeta",IFERROR(INDEX(ctaTipo,MATCH(G3434,ctaNom,0)),"")&lt;&gt;"Tarjeta de crédito"),"⚠ «Hacia» debe ser la tarjeta",IF(AND(I3434="Trading",IFERROR(INDEX(ctaTipo,MATCH(E3434,ctaNom,0)),"")&lt;&gt;"Cuenta de trading"),"⚠ Usa la cuenta de trading","✓"))))))))))))</f>
        <v/>
      </c>
      <c r="I3434" s="19">
        <f>IF(OR(B3434="",C3434="",D3434=""),"",IFERROR(INDEX(catTipo,MATCH(D3434,catNom,0))&amp;"",""))</f>
        <v/>
      </c>
      <c r="J3434" s="19">
        <f>IF(I3434="","",IFERROR(INDEX(catGrupo,MATCH(D3434,catNom,0))&amp;"",""))</f>
        <v/>
      </c>
      <c r="K3434" s="19">
        <f>IF(I3434="Gasto",IF(IFERROR(INDEX(catClas,MATCH(D3434,catNom,0))&amp;"","")="","Variable",IFERROR(INDEX(catClas,MATCH(D3434,catNom,0))&amp;"","")),"")</f>
        <v/>
      </c>
      <c r="L3434" s="19">
        <f>IF(I3434="","",IFERROR(INDEX(catAlim,MATCH(D3434,catNom,0))&amp;"",""))</f>
        <v/>
      </c>
      <c r="M3434" s="19">
        <f>IF(I3434="","",IFERROR(INDEX(catComida,MATCH(D3434,catNom,0))&amp;"",""))</f>
        <v/>
      </c>
      <c r="N3434" s="19">
        <f>IF(I3434="","",IFERROR(INDEX(ctaMon,MATCH(E3434,ctaNom,0))&amp;"","DOP"))</f>
        <v/>
      </c>
      <c r="O3434" s="20">
        <f>IF(I3434="","",C3434*IF(N3434="USD",TasaUSD,1))</f>
        <v/>
      </c>
      <c r="P3434" s="20">
        <f>IF(I3434="","",IF(I3434="Gasto",O3434,0))</f>
        <v/>
      </c>
      <c r="Q3434" s="20">
        <f>IF(I3434="","",IF(I3434="Ingreso",O3434,0))</f>
        <v/>
      </c>
      <c r="R3434" s="20">
        <f>IF(I3434="","",IF(I3434="Trading",O3434,0))</f>
        <v/>
      </c>
      <c r="S3434" s="19">
        <f>IF(I3434="","",IF(AND(I3434="Gasto",K3434="Variable",J3434&lt;&gt;"Trading",O3434&gt;0,O3434&lt;=Umbral),1,0))</f>
        <v/>
      </c>
      <c r="T3434" s="20">
        <f>IF(OR(I3434="",E3434=""),"",IF(OR(I3434="Gasto",I3434="Transferencia",I3434="Pago tarjeta"),-1,1)*C3434)</f>
        <v/>
      </c>
      <c r="U3434" s="20">
        <f>IF(OR(G3434="",AND(I3434&lt;&gt;"Transferencia",I3434&lt;&gt;"Pago tarjeta")),"",IF(IFERROR(INDEX(ctaMon,MATCH(G3434,ctaNom,0))&amp;"","DOP")=N3434,C3434,IF(N3434="USD",C3434*TasaUSD,C3434/TasaUSD)))</f>
        <v/>
      </c>
      <c r="V3434" s="20">
        <f>IF(I3434="","",IF(IFERROR(INDEX(ctaLiq,MATCH(E3434,ctaNom,0))="Sí",FALSE),IF(OR(I3434="Gasto",I3434="Transferencia",I3434="Pago tarjeta"),-1,1)*O3434,0)+IF(AND(U3434&lt;&gt;"",IFERROR(INDEX(ctaLiq,MATCH(G3434,ctaNom,0))="Sí",FALSE)),O3434,0))</f>
        <v/>
      </c>
      <c r="W3434" s="19">
        <f>IF(OR(F3434="",I3434=""),"",IF(COUNTIFS(F$6:F3434,F3434,I$6:I3434,"?*")=1,MAX(W$5:W3433)+1,""))</f>
        <v/>
      </c>
    </row>
    <row r="3435">
      <c r="B3435" s="15" t="n"/>
      <c r="C3435" s="16" t="n"/>
      <c r="D3435" s="17" t="n"/>
      <c r="E3435" s="17" t="n"/>
      <c r="F3435" s="17" t="n"/>
      <c r="G3435" s="17" t="n"/>
      <c r="H3435" s="18">
        <f>IF(AND(B3435="",C3435="",D3435="",E3435=""),"",IF(B3435="","⚠ Falta fecha",IF(C3435="","⚠ Falta monto",IF(D3435="","⚠ Falta categoría",IF(ISNA(MATCH(D3435,catNom,0)),"⚠ Categoría no existe",IF(E3435="","⚠ Falta cuenta",IF(ISNA(MATCH(E3435,ctaNom,0)),"⚠ Cuenta no existe",IF(AND(OR(I3435="Transferencia",I3435="Pago tarjeta"),G3435=""),"⚠ Indica la cuenta «Hacia»",IF(AND(G3435&lt;&gt;"",G3435=E3435),"⚠ «Hacia» igual a la cuenta",IF(AND(G3435&lt;&gt;"",ISNA(MATCH(G3435,ctaNom,0))),"⚠ «Hacia» no existe",IF(AND(I3435="Pago tarjeta",IFERROR(INDEX(ctaTipo,MATCH(G3435,ctaNom,0)),"")&lt;&gt;"Tarjeta de crédito"),"⚠ «Hacia» debe ser la tarjeta",IF(AND(I3435="Trading",IFERROR(INDEX(ctaTipo,MATCH(E3435,ctaNom,0)),"")&lt;&gt;"Cuenta de trading"),"⚠ Usa la cuenta de trading","✓"))))))))))))</f>
        <v/>
      </c>
      <c r="I3435" s="19">
        <f>IF(OR(B3435="",C3435="",D3435=""),"",IFERROR(INDEX(catTipo,MATCH(D3435,catNom,0))&amp;"",""))</f>
        <v/>
      </c>
      <c r="J3435" s="19">
        <f>IF(I3435="","",IFERROR(INDEX(catGrupo,MATCH(D3435,catNom,0))&amp;"",""))</f>
        <v/>
      </c>
      <c r="K3435" s="19">
        <f>IF(I3435="Gasto",IF(IFERROR(INDEX(catClas,MATCH(D3435,catNom,0))&amp;"","")="","Variable",IFERROR(INDEX(catClas,MATCH(D3435,catNom,0))&amp;"","")),"")</f>
        <v/>
      </c>
      <c r="L3435" s="19">
        <f>IF(I3435="","",IFERROR(INDEX(catAlim,MATCH(D3435,catNom,0))&amp;"",""))</f>
        <v/>
      </c>
      <c r="M3435" s="19">
        <f>IF(I3435="","",IFERROR(INDEX(catComida,MATCH(D3435,catNom,0))&amp;"",""))</f>
        <v/>
      </c>
      <c r="N3435" s="19">
        <f>IF(I3435="","",IFERROR(INDEX(ctaMon,MATCH(E3435,ctaNom,0))&amp;"","DOP"))</f>
        <v/>
      </c>
      <c r="O3435" s="20">
        <f>IF(I3435="","",C3435*IF(N3435="USD",TasaUSD,1))</f>
        <v/>
      </c>
      <c r="P3435" s="20">
        <f>IF(I3435="","",IF(I3435="Gasto",O3435,0))</f>
        <v/>
      </c>
      <c r="Q3435" s="20">
        <f>IF(I3435="","",IF(I3435="Ingreso",O3435,0))</f>
        <v/>
      </c>
      <c r="R3435" s="20">
        <f>IF(I3435="","",IF(I3435="Trading",O3435,0))</f>
        <v/>
      </c>
      <c r="S3435" s="19">
        <f>IF(I3435="","",IF(AND(I3435="Gasto",K3435="Variable",J3435&lt;&gt;"Trading",O3435&gt;0,O3435&lt;=Umbral),1,0))</f>
        <v/>
      </c>
      <c r="T3435" s="20">
        <f>IF(OR(I3435="",E3435=""),"",IF(OR(I3435="Gasto",I3435="Transferencia",I3435="Pago tarjeta"),-1,1)*C3435)</f>
        <v/>
      </c>
      <c r="U3435" s="20">
        <f>IF(OR(G3435="",AND(I3435&lt;&gt;"Transferencia",I3435&lt;&gt;"Pago tarjeta")),"",IF(IFERROR(INDEX(ctaMon,MATCH(G3435,ctaNom,0))&amp;"","DOP")=N3435,C3435,IF(N3435="USD",C3435*TasaUSD,C3435/TasaUSD)))</f>
        <v/>
      </c>
      <c r="V3435" s="20">
        <f>IF(I3435="","",IF(IFERROR(INDEX(ctaLiq,MATCH(E3435,ctaNom,0))="Sí",FALSE),IF(OR(I3435="Gasto",I3435="Transferencia",I3435="Pago tarjeta"),-1,1)*O3435,0)+IF(AND(U3435&lt;&gt;"",IFERROR(INDEX(ctaLiq,MATCH(G3435,ctaNom,0))="Sí",FALSE)),O3435,0))</f>
        <v/>
      </c>
      <c r="W3435" s="19">
        <f>IF(OR(F3435="",I3435=""),"",IF(COUNTIFS(F$6:F3435,F3435,I$6:I3435,"?*")=1,MAX(W$5:W3434)+1,""))</f>
        <v/>
      </c>
    </row>
    <row r="3436">
      <c r="B3436" s="15" t="n"/>
      <c r="C3436" s="16" t="n"/>
      <c r="D3436" s="17" t="n"/>
      <c r="E3436" s="17" t="n"/>
      <c r="F3436" s="17" t="n"/>
      <c r="G3436" s="17" t="n"/>
      <c r="H3436" s="18">
        <f>IF(AND(B3436="",C3436="",D3436="",E3436=""),"",IF(B3436="","⚠ Falta fecha",IF(C3436="","⚠ Falta monto",IF(D3436="","⚠ Falta categoría",IF(ISNA(MATCH(D3436,catNom,0)),"⚠ Categoría no existe",IF(E3436="","⚠ Falta cuenta",IF(ISNA(MATCH(E3436,ctaNom,0)),"⚠ Cuenta no existe",IF(AND(OR(I3436="Transferencia",I3436="Pago tarjeta"),G3436=""),"⚠ Indica la cuenta «Hacia»",IF(AND(G3436&lt;&gt;"",G3436=E3436),"⚠ «Hacia» igual a la cuenta",IF(AND(G3436&lt;&gt;"",ISNA(MATCH(G3436,ctaNom,0))),"⚠ «Hacia» no existe",IF(AND(I3436="Pago tarjeta",IFERROR(INDEX(ctaTipo,MATCH(G3436,ctaNom,0)),"")&lt;&gt;"Tarjeta de crédito"),"⚠ «Hacia» debe ser la tarjeta",IF(AND(I3436="Trading",IFERROR(INDEX(ctaTipo,MATCH(E3436,ctaNom,0)),"")&lt;&gt;"Cuenta de trading"),"⚠ Usa la cuenta de trading","✓"))))))))))))</f>
        <v/>
      </c>
      <c r="I3436" s="19">
        <f>IF(OR(B3436="",C3436="",D3436=""),"",IFERROR(INDEX(catTipo,MATCH(D3436,catNom,0))&amp;"",""))</f>
        <v/>
      </c>
      <c r="J3436" s="19">
        <f>IF(I3436="","",IFERROR(INDEX(catGrupo,MATCH(D3436,catNom,0))&amp;"",""))</f>
        <v/>
      </c>
      <c r="K3436" s="19">
        <f>IF(I3436="Gasto",IF(IFERROR(INDEX(catClas,MATCH(D3436,catNom,0))&amp;"","")="","Variable",IFERROR(INDEX(catClas,MATCH(D3436,catNom,0))&amp;"","")),"")</f>
        <v/>
      </c>
      <c r="L3436" s="19">
        <f>IF(I3436="","",IFERROR(INDEX(catAlim,MATCH(D3436,catNom,0))&amp;"",""))</f>
        <v/>
      </c>
      <c r="M3436" s="19">
        <f>IF(I3436="","",IFERROR(INDEX(catComida,MATCH(D3436,catNom,0))&amp;"",""))</f>
        <v/>
      </c>
      <c r="N3436" s="19">
        <f>IF(I3436="","",IFERROR(INDEX(ctaMon,MATCH(E3436,ctaNom,0))&amp;"","DOP"))</f>
        <v/>
      </c>
      <c r="O3436" s="20">
        <f>IF(I3436="","",C3436*IF(N3436="USD",TasaUSD,1))</f>
        <v/>
      </c>
      <c r="P3436" s="20">
        <f>IF(I3436="","",IF(I3436="Gasto",O3436,0))</f>
        <v/>
      </c>
      <c r="Q3436" s="20">
        <f>IF(I3436="","",IF(I3436="Ingreso",O3436,0))</f>
        <v/>
      </c>
      <c r="R3436" s="20">
        <f>IF(I3436="","",IF(I3436="Trading",O3436,0))</f>
        <v/>
      </c>
      <c r="S3436" s="19">
        <f>IF(I3436="","",IF(AND(I3436="Gasto",K3436="Variable",J3436&lt;&gt;"Trading",O3436&gt;0,O3436&lt;=Umbral),1,0))</f>
        <v/>
      </c>
      <c r="T3436" s="20">
        <f>IF(OR(I3436="",E3436=""),"",IF(OR(I3436="Gasto",I3436="Transferencia",I3436="Pago tarjeta"),-1,1)*C3436)</f>
        <v/>
      </c>
      <c r="U3436" s="20">
        <f>IF(OR(G3436="",AND(I3436&lt;&gt;"Transferencia",I3436&lt;&gt;"Pago tarjeta")),"",IF(IFERROR(INDEX(ctaMon,MATCH(G3436,ctaNom,0))&amp;"","DOP")=N3436,C3436,IF(N3436="USD",C3436*TasaUSD,C3436/TasaUSD)))</f>
        <v/>
      </c>
      <c r="V3436" s="20">
        <f>IF(I3436="","",IF(IFERROR(INDEX(ctaLiq,MATCH(E3436,ctaNom,0))="Sí",FALSE),IF(OR(I3436="Gasto",I3436="Transferencia",I3436="Pago tarjeta"),-1,1)*O3436,0)+IF(AND(U3436&lt;&gt;"",IFERROR(INDEX(ctaLiq,MATCH(G3436,ctaNom,0))="Sí",FALSE)),O3436,0))</f>
        <v/>
      </c>
      <c r="W3436" s="19">
        <f>IF(OR(F3436="",I3436=""),"",IF(COUNTIFS(F$6:F3436,F3436,I$6:I3436,"?*")=1,MAX(W$5:W3435)+1,""))</f>
        <v/>
      </c>
    </row>
    <row r="3437">
      <c r="B3437" s="15" t="n"/>
      <c r="C3437" s="16" t="n"/>
      <c r="D3437" s="17" t="n"/>
      <c r="E3437" s="17" t="n"/>
      <c r="F3437" s="17" t="n"/>
      <c r="G3437" s="17" t="n"/>
      <c r="H3437" s="18">
        <f>IF(AND(B3437="",C3437="",D3437="",E3437=""),"",IF(B3437="","⚠ Falta fecha",IF(C3437="","⚠ Falta monto",IF(D3437="","⚠ Falta categoría",IF(ISNA(MATCH(D3437,catNom,0)),"⚠ Categoría no existe",IF(E3437="","⚠ Falta cuenta",IF(ISNA(MATCH(E3437,ctaNom,0)),"⚠ Cuenta no existe",IF(AND(OR(I3437="Transferencia",I3437="Pago tarjeta"),G3437=""),"⚠ Indica la cuenta «Hacia»",IF(AND(G3437&lt;&gt;"",G3437=E3437),"⚠ «Hacia» igual a la cuenta",IF(AND(G3437&lt;&gt;"",ISNA(MATCH(G3437,ctaNom,0))),"⚠ «Hacia» no existe",IF(AND(I3437="Pago tarjeta",IFERROR(INDEX(ctaTipo,MATCH(G3437,ctaNom,0)),"")&lt;&gt;"Tarjeta de crédito"),"⚠ «Hacia» debe ser la tarjeta",IF(AND(I3437="Trading",IFERROR(INDEX(ctaTipo,MATCH(E3437,ctaNom,0)),"")&lt;&gt;"Cuenta de trading"),"⚠ Usa la cuenta de trading","✓"))))))))))))</f>
        <v/>
      </c>
      <c r="I3437" s="19">
        <f>IF(OR(B3437="",C3437="",D3437=""),"",IFERROR(INDEX(catTipo,MATCH(D3437,catNom,0))&amp;"",""))</f>
        <v/>
      </c>
      <c r="J3437" s="19">
        <f>IF(I3437="","",IFERROR(INDEX(catGrupo,MATCH(D3437,catNom,0))&amp;"",""))</f>
        <v/>
      </c>
      <c r="K3437" s="19">
        <f>IF(I3437="Gasto",IF(IFERROR(INDEX(catClas,MATCH(D3437,catNom,0))&amp;"","")="","Variable",IFERROR(INDEX(catClas,MATCH(D3437,catNom,0))&amp;"","")),"")</f>
        <v/>
      </c>
      <c r="L3437" s="19">
        <f>IF(I3437="","",IFERROR(INDEX(catAlim,MATCH(D3437,catNom,0))&amp;"",""))</f>
        <v/>
      </c>
      <c r="M3437" s="19">
        <f>IF(I3437="","",IFERROR(INDEX(catComida,MATCH(D3437,catNom,0))&amp;"",""))</f>
        <v/>
      </c>
      <c r="N3437" s="19">
        <f>IF(I3437="","",IFERROR(INDEX(ctaMon,MATCH(E3437,ctaNom,0))&amp;"","DOP"))</f>
        <v/>
      </c>
      <c r="O3437" s="20">
        <f>IF(I3437="","",C3437*IF(N3437="USD",TasaUSD,1))</f>
        <v/>
      </c>
      <c r="P3437" s="20">
        <f>IF(I3437="","",IF(I3437="Gasto",O3437,0))</f>
        <v/>
      </c>
      <c r="Q3437" s="20">
        <f>IF(I3437="","",IF(I3437="Ingreso",O3437,0))</f>
        <v/>
      </c>
      <c r="R3437" s="20">
        <f>IF(I3437="","",IF(I3437="Trading",O3437,0))</f>
        <v/>
      </c>
      <c r="S3437" s="19">
        <f>IF(I3437="","",IF(AND(I3437="Gasto",K3437="Variable",J3437&lt;&gt;"Trading",O3437&gt;0,O3437&lt;=Umbral),1,0))</f>
        <v/>
      </c>
      <c r="T3437" s="20">
        <f>IF(OR(I3437="",E3437=""),"",IF(OR(I3437="Gasto",I3437="Transferencia",I3437="Pago tarjeta"),-1,1)*C3437)</f>
        <v/>
      </c>
      <c r="U3437" s="20">
        <f>IF(OR(G3437="",AND(I3437&lt;&gt;"Transferencia",I3437&lt;&gt;"Pago tarjeta")),"",IF(IFERROR(INDEX(ctaMon,MATCH(G3437,ctaNom,0))&amp;"","DOP")=N3437,C3437,IF(N3437="USD",C3437*TasaUSD,C3437/TasaUSD)))</f>
        <v/>
      </c>
      <c r="V3437" s="20">
        <f>IF(I3437="","",IF(IFERROR(INDEX(ctaLiq,MATCH(E3437,ctaNom,0))="Sí",FALSE),IF(OR(I3437="Gasto",I3437="Transferencia",I3437="Pago tarjeta"),-1,1)*O3437,0)+IF(AND(U3437&lt;&gt;"",IFERROR(INDEX(ctaLiq,MATCH(G3437,ctaNom,0))="Sí",FALSE)),O3437,0))</f>
        <v/>
      </c>
      <c r="W3437" s="19">
        <f>IF(OR(F3437="",I3437=""),"",IF(COUNTIFS(F$6:F3437,F3437,I$6:I3437,"?*")=1,MAX(W$5:W3436)+1,""))</f>
        <v/>
      </c>
    </row>
    <row r="3438">
      <c r="B3438" s="15" t="n"/>
      <c r="C3438" s="16" t="n"/>
      <c r="D3438" s="17" t="n"/>
      <c r="E3438" s="17" t="n"/>
      <c r="F3438" s="17" t="n"/>
      <c r="G3438" s="17" t="n"/>
      <c r="H3438" s="18">
        <f>IF(AND(B3438="",C3438="",D3438="",E3438=""),"",IF(B3438="","⚠ Falta fecha",IF(C3438="","⚠ Falta monto",IF(D3438="","⚠ Falta categoría",IF(ISNA(MATCH(D3438,catNom,0)),"⚠ Categoría no existe",IF(E3438="","⚠ Falta cuenta",IF(ISNA(MATCH(E3438,ctaNom,0)),"⚠ Cuenta no existe",IF(AND(OR(I3438="Transferencia",I3438="Pago tarjeta"),G3438=""),"⚠ Indica la cuenta «Hacia»",IF(AND(G3438&lt;&gt;"",G3438=E3438),"⚠ «Hacia» igual a la cuenta",IF(AND(G3438&lt;&gt;"",ISNA(MATCH(G3438,ctaNom,0))),"⚠ «Hacia» no existe",IF(AND(I3438="Pago tarjeta",IFERROR(INDEX(ctaTipo,MATCH(G3438,ctaNom,0)),"")&lt;&gt;"Tarjeta de crédito"),"⚠ «Hacia» debe ser la tarjeta",IF(AND(I3438="Trading",IFERROR(INDEX(ctaTipo,MATCH(E3438,ctaNom,0)),"")&lt;&gt;"Cuenta de trading"),"⚠ Usa la cuenta de trading","✓"))))))))))))</f>
        <v/>
      </c>
      <c r="I3438" s="19">
        <f>IF(OR(B3438="",C3438="",D3438=""),"",IFERROR(INDEX(catTipo,MATCH(D3438,catNom,0))&amp;"",""))</f>
        <v/>
      </c>
      <c r="J3438" s="19">
        <f>IF(I3438="","",IFERROR(INDEX(catGrupo,MATCH(D3438,catNom,0))&amp;"",""))</f>
        <v/>
      </c>
      <c r="K3438" s="19">
        <f>IF(I3438="Gasto",IF(IFERROR(INDEX(catClas,MATCH(D3438,catNom,0))&amp;"","")="","Variable",IFERROR(INDEX(catClas,MATCH(D3438,catNom,0))&amp;"","")),"")</f>
        <v/>
      </c>
      <c r="L3438" s="19">
        <f>IF(I3438="","",IFERROR(INDEX(catAlim,MATCH(D3438,catNom,0))&amp;"",""))</f>
        <v/>
      </c>
      <c r="M3438" s="19">
        <f>IF(I3438="","",IFERROR(INDEX(catComida,MATCH(D3438,catNom,0))&amp;"",""))</f>
        <v/>
      </c>
      <c r="N3438" s="19">
        <f>IF(I3438="","",IFERROR(INDEX(ctaMon,MATCH(E3438,ctaNom,0))&amp;"","DOP"))</f>
        <v/>
      </c>
      <c r="O3438" s="20">
        <f>IF(I3438="","",C3438*IF(N3438="USD",TasaUSD,1))</f>
        <v/>
      </c>
      <c r="P3438" s="20">
        <f>IF(I3438="","",IF(I3438="Gasto",O3438,0))</f>
        <v/>
      </c>
      <c r="Q3438" s="20">
        <f>IF(I3438="","",IF(I3438="Ingreso",O3438,0))</f>
        <v/>
      </c>
      <c r="R3438" s="20">
        <f>IF(I3438="","",IF(I3438="Trading",O3438,0))</f>
        <v/>
      </c>
      <c r="S3438" s="19">
        <f>IF(I3438="","",IF(AND(I3438="Gasto",K3438="Variable",J3438&lt;&gt;"Trading",O3438&gt;0,O3438&lt;=Umbral),1,0))</f>
        <v/>
      </c>
      <c r="T3438" s="20">
        <f>IF(OR(I3438="",E3438=""),"",IF(OR(I3438="Gasto",I3438="Transferencia",I3438="Pago tarjeta"),-1,1)*C3438)</f>
        <v/>
      </c>
      <c r="U3438" s="20">
        <f>IF(OR(G3438="",AND(I3438&lt;&gt;"Transferencia",I3438&lt;&gt;"Pago tarjeta")),"",IF(IFERROR(INDEX(ctaMon,MATCH(G3438,ctaNom,0))&amp;"","DOP")=N3438,C3438,IF(N3438="USD",C3438*TasaUSD,C3438/TasaUSD)))</f>
        <v/>
      </c>
      <c r="V3438" s="20">
        <f>IF(I3438="","",IF(IFERROR(INDEX(ctaLiq,MATCH(E3438,ctaNom,0))="Sí",FALSE),IF(OR(I3438="Gasto",I3438="Transferencia",I3438="Pago tarjeta"),-1,1)*O3438,0)+IF(AND(U3438&lt;&gt;"",IFERROR(INDEX(ctaLiq,MATCH(G3438,ctaNom,0))="Sí",FALSE)),O3438,0))</f>
        <v/>
      </c>
      <c r="W3438" s="19">
        <f>IF(OR(F3438="",I3438=""),"",IF(COUNTIFS(F$6:F3438,F3438,I$6:I3438,"?*")=1,MAX(W$5:W3437)+1,""))</f>
        <v/>
      </c>
    </row>
    <row r="3439">
      <c r="B3439" s="15" t="n"/>
      <c r="C3439" s="16" t="n"/>
      <c r="D3439" s="17" t="n"/>
      <c r="E3439" s="17" t="n"/>
      <c r="F3439" s="17" t="n"/>
      <c r="G3439" s="17" t="n"/>
      <c r="H3439" s="18">
        <f>IF(AND(B3439="",C3439="",D3439="",E3439=""),"",IF(B3439="","⚠ Falta fecha",IF(C3439="","⚠ Falta monto",IF(D3439="","⚠ Falta categoría",IF(ISNA(MATCH(D3439,catNom,0)),"⚠ Categoría no existe",IF(E3439="","⚠ Falta cuenta",IF(ISNA(MATCH(E3439,ctaNom,0)),"⚠ Cuenta no existe",IF(AND(OR(I3439="Transferencia",I3439="Pago tarjeta"),G3439=""),"⚠ Indica la cuenta «Hacia»",IF(AND(G3439&lt;&gt;"",G3439=E3439),"⚠ «Hacia» igual a la cuenta",IF(AND(G3439&lt;&gt;"",ISNA(MATCH(G3439,ctaNom,0))),"⚠ «Hacia» no existe",IF(AND(I3439="Pago tarjeta",IFERROR(INDEX(ctaTipo,MATCH(G3439,ctaNom,0)),"")&lt;&gt;"Tarjeta de crédito"),"⚠ «Hacia» debe ser la tarjeta",IF(AND(I3439="Trading",IFERROR(INDEX(ctaTipo,MATCH(E3439,ctaNom,0)),"")&lt;&gt;"Cuenta de trading"),"⚠ Usa la cuenta de trading","✓"))))))))))))</f>
        <v/>
      </c>
      <c r="I3439" s="19">
        <f>IF(OR(B3439="",C3439="",D3439=""),"",IFERROR(INDEX(catTipo,MATCH(D3439,catNom,0))&amp;"",""))</f>
        <v/>
      </c>
      <c r="J3439" s="19">
        <f>IF(I3439="","",IFERROR(INDEX(catGrupo,MATCH(D3439,catNom,0))&amp;"",""))</f>
        <v/>
      </c>
      <c r="K3439" s="19">
        <f>IF(I3439="Gasto",IF(IFERROR(INDEX(catClas,MATCH(D3439,catNom,0))&amp;"","")="","Variable",IFERROR(INDEX(catClas,MATCH(D3439,catNom,0))&amp;"","")),"")</f>
        <v/>
      </c>
      <c r="L3439" s="19">
        <f>IF(I3439="","",IFERROR(INDEX(catAlim,MATCH(D3439,catNom,0))&amp;"",""))</f>
        <v/>
      </c>
      <c r="M3439" s="19">
        <f>IF(I3439="","",IFERROR(INDEX(catComida,MATCH(D3439,catNom,0))&amp;"",""))</f>
        <v/>
      </c>
      <c r="N3439" s="19">
        <f>IF(I3439="","",IFERROR(INDEX(ctaMon,MATCH(E3439,ctaNom,0))&amp;"","DOP"))</f>
        <v/>
      </c>
      <c r="O3439" s="20">
        <f>IF(I3439="","",C3439*IF(N3439="USD",TasaUSD,1))</f>
        <v/>
      </c>
      <c r="P3439" s="20">
        <f>IF(I3439="","",IF(I3439="Gasto",O3439,0))</f>
        <v/>
      </c>
      <c r="Q3439" s="20">
        <f>IF(I3439="","",IF(I3439="Ingreso",O3439,0))</f>
        <v/>
      </c>
      <c r="R3439" s="20">
        <f>IF(I3439="","",IF(I3439="Trading",O3439,0))</f>
        <v/>
      </c>
      <c r="S3439" s="19">
        <f>IF(I3439="","",IF(AND(I3439="Gasto",K3439="Variable",J3439&lt;&gt;"Trading",O3439&gt;0,O3439&lt;=Umbral),1,0))</f>
        <v/>
      </c>
      <c r="T3439" s="20">
        <f>IF(OR(I3439="",E3439=""),"",IF(OR(I3439="Gasto",I3439="Transferencia",I3439="Pago tarjeta"),-1,1)*C3439)</f>
        <v/>
      </c>
      <c r="U3439" s="20">
        <f>IF(OR(G3439="",AND(I3439&lt;&gt;"Transferencia",I3439&lt;&gt;"Pago tarjeta")),"",IF(IFERROR(INDEX(ctaMon,MATCH(G3439,ctaNom,0))&amp;"","DOP")=N3439,C3439,IF(N3439="USD",C3439*TasaUSD,C3439/TasaUSD)))</f>
        <v/>
      </c>
      <c r="V3439" s="20">
        <f>IF(I3439="","",IF(IFERROR(INDEX(ctaLiq,MATCH(E3439,ctaNom,0))="Sí",FALSE),IF(OR(I3439="Gasto",I3439="Transferencia",I3439="Pago tarjeta"),-1,1)*O3439,0)+IF(AND(U3439&lt;&gt;"",IFERROR(INDEX(ctaLiq,MATCH(G3439,ctaNom,0))="Sí",FALSE)),O3439,0))</f>
        <v/>
      </c>
      <c r="W3439" s="19">
        <f>IF(OR(F3439="",I3439=""),"",IF(COUNTIFS(F$6:F3439,F3439,I$6:I3439,"?*")=1,MAX(W$5:W3438)+1,""))</f>
        <v/>
      </c>
    </row>
    <row r="3440">
      <c r="B3440" s="15" t="n"/>
      <c r="C3440" s="16" t="n"/>
      <c r="D3440" s="17" t="n"/>
      <c r="E3440" s="17" t="n"/>
      <c r="F3440" s="17" t="n"/>
      <c r="G3440" s="17" t="n"/>
      <c r="H3440" s="18">
        <f>IF(AND(B3440="",C3440="",D3440="",E3440=""),"",IF(B3440="","⚠ Falta fecha",IF(C3440="","⚠ Falta monto",IF(D3440="","⚠ Falta categoría",IF(ISNA(MATCH(D3440,catNom,0)),"⚠ Categoría no existe",IF(E3440="","⚠ Falta cuenta",IF(ISNA(MATCH(E3440,ctaNom,0)),"⚠ Cuenta no existe",IF(AND(OR(I3440="Transferencia",I3440="Pago tarjeta"),G3440=""),"⚠ Indica la cuenta «Hacia»",IF(AND(G3440&lt;&gt;"",G3440=E3440),"⚠ «Hacia» igual a la cuenta",IF(AND(G3440&lt;&gt;"",ISNA(MATCH(G3440,ctaNom,0))),"⚠ «Hacia» no existe",IF(AND(I3440="Pago tarjeta",IFERROR(INDEX(ctaTipo,MATCH(G3440,ctaNom,0)),"")&lt;&gt;"Tarjeta de crédito"),"⚠ «Hacia» debe ser la tarjeta",IF(AND(I3440="Trading",IFERROR(INDEX(ctaTipo,MATCH(E3440,ctaNom,0)),"")&lt;&gt;"Cuenta de trading"),"⚠ Usa la cuenta de trading","✓"))))))))))))</f>
        <v/>
      </c>
      <c r="I3440" s="19">
        <f>IF(OR(B3440="",C3440="",D3440=""),"",IFERROR(INDEX(catTipo,MATCH(D3440,catNom,0))&amp;"",""))</f>
        <v/>
      </c>
      <c r="J3440" s="19">
        <f>IF(I3440="","",IFERROR(INDEX(catGrupo,MATCH(D3440,catNom,0))&amp;"",""))</f>
        <v/>
      </c>
      <c r="K3440" s="19">
        <f>IF(I3440="Gasto",IF(IFERROR(INDEX(catClas,MATCH(D3440,catNom,0))&amp;"","")="","Variable",IFERROR(INDEX(catClas,MATCH(D3440,catNom,0))&amp;"","")),"")</f>
        <v/>
      </c>
      <c r="L3440" s="19">
        <f>IF(I3440="","",IFERROR(INDEX(catAlim,MATCH(D3440,catNom,0))&amp;"",""))</f>
        <v/>
      </c>
      <c r="M3440" s="19">
        <f>IF(I3440="","",IFERROR(INDEX(catComida,MATCH(D3440,catNom,0))&amp;"",""))</f>
        <v/>
      </c>
      <c r="N3440" s="19">
        <f>IF(I3440="","",IFERROR(INDEX(ctaMon,MATCH(E3440,ctaNom,0))&amp;"","DOP"))</f>
        <v/>
      </c>
      <c r="O3440" s="20">
        <f>IF(I3440="","",C3440*IF(N3440="USD",TasaUSD,1))</f>
        <v/>
      </c>
      <c r="P3440" s="20">
        <f>IF(I3440="","",IF(I3440="Gasto",O3440,0))</f>
        <v/>
      </c>
      <c r="Q3440" s="20">
        <f>IF(I3440="","",IF(I3440="Ingreso",O3440,0))</f>
        <v/>
      </c>
      <c r="R3440" s="20">
        <f>IF(I3440="","",IF(I3440="Trading",O3440,0))</f>
        <v/>
      </c>
      <c r="S3440" s="19">
        <f>IF(I3440="","",IF(AND(I3440="Gasto",K3440="Variable",J3440&lt;&gt;"Trading",O3440&gt;0,O3440&lt;=Umbral),1,0))</f>
        <v/>
      </c>
      <c r="T3440" s="20">
        <f>IF(OR(I3440="",E3440=""),"",IF(OR(I3440="Gasto",I3440="Transferencia",I3440="Pago tarjeta"),-1,1)*C3440)</f>
        <v/>
      </c>
      <c r="U3440" s="20">
        <f>IF(OR(G3440="",AND(I3440&lt;&gt;"Transferencia",I3440&lt;&gt;"Pago tarjeta")),"",IF(IFERROR(INDEX(ctaMon,MATCH(G3440,ctaNom,0))&amp;"","DOP")=N3440,C3440,IF(N3440="USD",C3440*TasaUSD,C3440/TasaUSD)))</f>
        <v/>
      </c>
      <c r="V3440" s="20">
        <f>IF(I3440="","",IF(IFERROR(INDEX(ctaLiq,MATCH(E3440,ctaNom,0))="Sí",FALSE),IF(OR(I3440="Gasto",I3440="Transferencia",I3440="Pago tarjeta"),-1,1)*O3440,0)+IF(AND(U3440&lt;&gt;"",IFERROR(INDEX(ctaLiq,MATCH(G3440,ctaNom,0))="Sí",FALSE)),O3440,0))</f>
        <v/>
      </c>
      <c r="W3440" s="19">
        <f>IF(OR(F3440="",I3440=""),"",IF(COUNTIFS(F$6:F3440,F3440,I$6:I3440,"?*")=1,MAX(W$5:W3439)+1,""))</f>
        <v/>
      </c>
    </row>
    <row r="3441">
      <c r="B3441" s="15" t="n"/>
      <c r="C3441" s="16" t="n"/>
      <c r="D3441" s="17" t="n"/>
      <c r="E3441" s="17" t="n"/>
      <c r="F3441" s="17" t="n"/>
      <c r="G3441" s="17" t="n"/>
      <c r="H3441" s="18">
        <f>IF(AND(B3441="",C3441="",D3441="",E3441=""),"",IF(B3441="","⚠ Falta fecha",IF(C3441="","⚠ Falta monto",IF(D3441="","⚠ Falta categoría",IF(ISNA(MATCH(D3441,catNom,0)),"⚠ Categoría no existe",IF(E3441="","⚠ Falta cuenta",IF(ISNA(MATCH(E3441,ctaNom,0)),"⚠ Cuenta no existe",IF(AND(OR(I3441="Transferencia",I3441="Pago tarjeta"),G3441=""),"⚠ Indica la cuenta «Hacia»",IF(AND(G3441&lt;&gt;"",G3441=E3441),"⚠ «Hacia» igual a la cuenta",IF(AND(G3441&lt;&gt;"",ISNA(MATCH(G3441,ctaNom,0))),"⚠ «Hacia» no existe",IF(AND(I3441="Pago tarjeta",IFERROR(INDEX(ctaTipo,MATCH(G3441,ctaNom,0)),"")&lt;&gt;"Tarjeta de crédito"),"⚠ «Hacia» debe ser la tarjeta",IF(AND(I3441="Trading",IFERROR(INDEX(ctaTipo,MATCH(E3441,ctaNom,0)),"")&lt;&gt;"Cuenta de trading"),"⚠ Usa la cuenta de trading","✓"))))))))))))</f>
        <v/>
      </c>
      <c r="I3441" s="19">
        <f>IF(OR(B3441="",C3441="",D3441=""),"",IFERROR(INDEX(catTipo,MATCH(D3441,catNom,0))&amp;"",""))</f>
        <v/>
      </c>
      <c r="J3441" s="19">
        <f>IF(I3441="","",IFERROR(INDEX(catGrupo,MATCH(D3441,catNom,0))&amp;"",""))</f>
        <v/>
      </c>
      <c r="K3441" s="19">
        <f>IF(I3441="Gasto",IF(IFERROR(INDEX(catClas,MATCH(D3441,catNom,0))&amp;"","")="","Variable",IFERROR(INDEX(catClas,MATCH(D3441,catNom,0))&amp;"","")),"")</f>
        <v/>
      </c>
      <c r="L3441" s="19">
        <f>IF(I3441="","",IFERROR(INDEX(catAlim,MATCH(D3441,catNom,0))&amp;"",""))</f>
        <v/>
      </c>
      <c r="M3441" s="19">
        <f>IF(I3441="","",IFERROR(INDEX(catComida,MATCH(D3441,catNom,0))&amp;"",""))</f>
        <v/>
      </c>
      <c r="N3441" s="19">
        <f>IF(I3441="","",IFERROR(INDEX(ctaMon,MATCH(E3441,ctaNom,0))&amp;"","DOP"))</f>
        <v/>
      </c>
      <c r="O3441" s="20">
        <f>IF(I3441="","",C3441*IF(N3441="USD",TasaUSD,1))</f>
        <v/>
      </c>
      <c r="P3441" s="20">
        <f>IF(I3441="","",IF(I3441="Gasto",O3441,0))</f>
        <v/>
      </c>
      <c r="Q3441" s="20">
        <f>IF(I3441="","",IF(I3441="Ingreso",O3441,0))</f>
        <v/>
      </c>
      <c r="R3441" s="20">
        <f>IF(I3441="","",IF(I3441="Trading",O3441,0))</f>
        <v/>
      </c>
      <c r="S3441" s="19">
        <f>IF(I3441="","",IF(AND(I3441="Gasto",K3441="Variable",J3441&lt;&gt;"Trading",O3441&gt;0,O3441&lt;=Umbral),1,0))</f>
        <v/>
      </c>
      <c r="T3441" s="20">
        <f>IF(OR(I3441="",E3441=""),"",IF(OR(I3441="Gasto",I3441="Transferencia",I3441="Pago tarjeta"),-1,1)*C3441)</f>
        <v/>
      </c>
      <c r="U3441" s="20">
        <f>IF(OR(G3441="",AND(I3441&lt;&gt;"Transferencia",I3441&lt;&gt;"Pago tarjeta")),"",IF(IFERROR(INDEX(ctaMon,MATCH(G3441,ctaNom,0))&amp;"","DOP")=N3441,C3441,IF(N3441="USD",C3441*TasaUSD,C3441/TasaUSD)))</f>
        <v/>
      </c>
      <c r="V3441" s="20">
        <f>IF(I3441="","",IF(IFERROR(INDEX(ctaLiq,MATCH(E3441,ctaNom,0))="Sí",FALSE),IF(OR(I3441="Gasto",I3441="Transferencia",I3441="Pago tarjeta"),-1,1)*O3441,0)+IF(AND(U3441&lt;&gt;"",IFERROR(INDEX(ctaLiq,MATCH(G3441,ctaNom,0))="Sí",FALSE)),O3441,0))</f>
        <v/>
      </c>
      <c r="W3441" s="19">
        <f>IF(OR(F3441="",I3441=""),"",IF(COUNTIFS(F$6:F3441,F3441,I$6:I3441,"?*")=1,MAX(W$5:W3440)+1,""))</f>
        <v/>
      </c>
    </row>
    <row r="3442">
      <c r="B3442" s="15" t="n"/>
      <c r="C3442" s="16" t="n"/>
      <c r="D3442" s="17" t="n"/>
      <c r="E3442" s="17" t="n"/>
      <c r="F3442" s="17" t="n"/>
      <c r="G3442" s="17" t="n"/>
      <c r="H3442" s="18">
        <f>IF(AND(B3442="",C3442="",D3442="",E3442=""),"",IF(B3442="","⚠ Falta fecha",IF(C3442="","⚠ Falta monto",IF(D3442="","⚠ Falta categoría",IF(ISNA(MATCH(D3442,catNom,0)),"⚠ Categoría no existe",IF(E3442="","⚠ Falta cuenta",IF(ISNA(MATCH(E3442,ctaNom,0)),"⚠ Cuenta no existe",IF(AND(OR(I3442="Transferencia",I3442="Pago tarjeta"),G3442=""),"⚠ Indica la cuenta «Hacia»",IF(AND(G3442&lt;&gt;"",G3442=E3442),"⚠ «Hacia» igual a la cuenta",IF(AND(G3442&lt;&gt;"",ISNA(MATCH(G3442,ctaNom,0))),"⚠ «Hacia» no existe",IF(AND(I3442="Pago tarjeta",IFERROR(INDEX(ctaTipo,MATCH(G3442,ctaNom,0)),"")&lt;&gt;"Tarjeta de crédito"),"⚠ «Hacia» debe ser la tarjeta",IF(AND(I3442="Trading",IFERROR(INDEX(ctaTipo,MATCH(E3442,ctaNom,0)),"")&lt;&gt;"Cuenta de trading"),"⚠ Usa la cuenta de trading","✓"))))))))))))</f>
        <v/>
      </c>
      <c r="I3442" s="19">
        <f>IF(OR(B3442="",C3442="",D3442=""),"",IFERROR(INDEX(catTipo,MATCH(D3442,catNom,0))&amp;"",""))</f>
        <v/>
      </c>
      <c r="J3442" s="19">
        <f>IF(I3442="","",IFERROR(INDEX(catGrupo,MATCH(D3442,catNom,0))&amp;"",""))</f>
        <v/>
      </c>
      <c r="K3442" s="19">
        <f>IF(I3442="Gasto",IF(IFERROR(INDEX(catClas,MATCH(D3442,catNom,0))&amp;"","")="","Variable",IFERROR(INDEX(catClas,MATCH(D3442,catNom,0))&amp;"","")),"")</f>
        <v/>
      </c>
      <c r="L3442" s="19">
        <f>IF(I3442="","",IFERROR(INDEX(catAlim,MATCH(D3442,catNom,0))&amp;"",""))</f>
        <v/>
      </c>
      <c r="M3442" s="19">
        <f>IF(I3442="","",IFERROR(INDEX(catComida,MATCH(D3442,catNom,0))&amp;"",""))</f>
        <v/>
      </c>
      <c r="N3442" s="19">
        <f>IF(I3442="","",IFERROR(INDEX(ctaMon,MATCH(E3442,ctaNom,0))&amp;"","DOP"))</f>
        <v/>
      </c>
      <c r="O3442" s="20">
        <f>IF(I3442="","",C3442*IF(N3442="USD",TasaUSD,1))</f>
        <v/>
      </c>
      <c r="P3442" s="20">
        <f>IF(I3442="","",IF(I3442="Gasto",O3442,0))</f>
        <v/>
      </c>
      <c r="Q3442" s="20">
        <f>IF(I3442="","",IF(I3442="Ingreso",O3442,0))</f>
        <v/>
      </c>
      <c r="R3442" s="20">
        <f>IF(I3442="","",IF(I3442="Trading",O3442,0))</f>
        <v/>
      </c>
      <c r="S3442" s="19">
        <f>IF(I3442="","",IF(AND(I3442="Gasto",K3442="Variable",J3442&lt;&gt;"Trading",O3442&gt;0,O3442&lt;=Umbral),1,0))</f>
        <v/>
      </c>
      <c r="T3442" s="20">
        <f>IF(OR(I3442="",E3442=""),"",IF(OR(I3442="Gasto",I3442="Transferencia",I3442="Pago tarjeta"),-1,1)*C3442)</f>
        <v/>
      </c>
      <c r="U3442" s="20">
        <f>IF(OR(G3442="",AND(I3442&lt;&gt;"Transferencia",I3442&lt;&gt;"Pago tarjeta")),"",IF(IFERROR(INDEX(ctaMon,MATCH(G3442,ctaNom,0))&amp;"","DOP")=N3442,C3442,IF(N3442="USD",C3442*TasaUSD,C3442/TasaUSD)))</f>
        <v/>
      </c>
      <c r="V3442" s="20">
        <f>IF(I3442="","",IF(IFERROR(INDEX(ctaLiq,MATCH(E3442,ctaNom,0))="Sí",FALSE),IF(OR(I3442="Gasto",I3442="Transferencia",I3442="Pago tarjeta"),-1,1)*O3442,0)+IF(AND(U3442&lt;&gt;"",IFERROR(INDEX(ctaLiq,MATCH(G3442,ctaNom,0))="Sí",FALSE)),O3442,0))</f>
        <v/>
      </c>
      <c r="W3442" s="19">
        <f>IF(OR(F3442="",I3442=""),"",IF(COUNTIFS(F$6:F3442,F3442,I$6:I3442,"?*")=1,MAX(W$5:W3441)+1,""))</f>
        <v/>
      </c>
    </row>
    <row r="3443">
      <c r="B3443" s="15" t="n"/>
      <c r="C3443" s="16" t="n"/>
      <c r="D3443" s="17" t="n"/>
      <c r="E3443" s="17" t="n"/>
      <c r="F3443" s="17" t="n"/>
      <c r="G3443" s="17" t="n"/>
      <c r="H3443" s="18">
        <f>IF(AND(B3443="",C3443="",D3443="",E3443=""),"",IF(B3443="","⚠ Falta fecha",IF(C3443="","⚠ Falta monto",IF(D3443="","⚠ Falta categoría",IF(ISNA(MATCH(D3443,catNom,0)),"⚠ Categoría no existe",IF(E3443="","⚠ Falta cuenta",IF(ISNA(MATCH(E3443,ctaNom,0)),"⚠ Cuenta no existe",IF(AND(OR(I3443="Transferencia",I3443="Pago tarjeta"),G3443=""),"⚠ Indica la cuenta «Hacia»",IF(AND(G3443&lt;&gt;"",G3443=E3443),"⚠ «Hacia» igual a la cuenta",IF(AND(G3443&lt;&gt;"",ISNA(MATCH(G3443,ctaNom,0))),"⚠ «Hacia» no existe",IF(AND(I3443="Pago tarjeta",IFERROR(INDEX(ctaTipo,MATCH(G3443,ctaNom,0)),"")&lt;&gt;"Tarjeta de crédito"),"⚠ «Hacia» debe ser la tarjeta",IF(AND(I3443="Trading",IFERROR(INDEX(ctaTipo,MATCH(E3443,ctaNom,0)),"")&lt;&gt;"Cuenta de trading"),"⚠ Usa la cuenta de trading","✓"))))))))))))</f>
        <v/>
      </c>
      <c r="I3443" s="19">
        <f>IF(OR(B3443="",C3443="",D3443=""),"",IFERROR(INDEX(catTipo,MATCH(D3443,catNom,0))&amp;"",""))</f>
        <v/>
      </c>
      <c r="J3443" s="19">
        <f>IF(I3443="","",IFERROR(INDEX(catGrupo,MATCH(D3443,catNom,0))&amp;"",""))</f>
        <v/>
      </c>
      <c r="K3443" s="19">
        <f>IF(I3443="Gasto",IF(IFERROR(INDEX(catClas,MATCH(D3443,catNom,0))&amp;"","")="","Variable",IFERROR(INDEX(catClas,MATCH(D3443,catNom,0))&amp;"","")),"")</f>
        <v/>
      </c>
      <c r="L3443" s="19">
        <f>IF(I3443="","",IFERROR(INDEX(catAlim,MATCH(D3443,catNom,0))&amp;"",""))</f>
        <v/>
      </c>
      <c r="M3443" s="19">
        <f>IF(I3443="","",IFERROR(INDEX(catComida,MATCH(D3443,catNom,0))&amp;"",""))</f>
        <v/>
      </c>
      <c r="N3443" s="19">
        <f>IF(I3443="","",IFERROR(INDEX(ctaMon,MATCH(E3443,ctaNom,0))&amp;"","DOP"))</f>
        <v/>
      </c>
      <c r="O3443" s="20">
        <f>IF(I3443="","",C3443*IF(N3443="USD",TasaUSD,1))</f>
        <v/>
      </c>
      <c r="P3443" s="20">
        <f>IF(I3443="","",IF(I3443="Gasto",O3443,0))</f>
        <v/>
      </c>
      <c r="Q3443" s="20">
        <f>IF(I3443="","",IF(I3443="Ingreso",O3443,0))</f>
        <v/>
      </c>
      <c r="R3443" s="20">
        <f>IF(I3443="","",IF(I3443="Trading",O3443,0))</f>
        <v/>
      </c>
      <c r="S3443" s="19">
        <f>IF(I3443="","",IF(AND(I3443="Gasto",K3443="Variable",J3443&lt;&gt;"Trading",O3443&gt;0,O3443&lt;=Umbral),1,0))</f>
        <v/>
      </c>
      <c r="T3443" s="20">
        <f>IF(OR(I3443="",E3443=""),"",IF(OR(I3443="Gasto",I3443="Transferencia",I3443="Pago tarjeta"),-1,1)*C3443)</f>
        <v/>
      </c>
      <c r="U3443" s="20">
        <f>IF(OR(G3443="",AND(I3443&lt;&gt;"Transferencia",I3443&lt;&gt;"Pago tarjeta")),"",IF(IFERROR(INDEX(ctaMon,MATCH(G3443,ctaNom,0))&amp;"","DOP")=N3443,C3443,IF(N3443="USD",C3443*TasaUSD,C3443/TasaUSD)))</f>
        <v/>
      </c>
      <c r="V3443" s="20">
        <f>IF(I3443="","",IF(IFERROR(INDEX(ctaLiq,MATCH(E3443,ctaNom,0))="Sí",FALSE),IF(OR(I3443="Gasto",I3443="Transferencia",I3443="Pago tarjeta"),-1,1)*O3443,0)+IF(AND(U3443&lt;&gt;"",IFERROR(INDEX(ctaLiq,MATCH(G3443,ctaNom,0))="Sí",FALSE)),O3443,0))</f>
        <v/>
      </c>
      <c r="W3443" s="19">
        <f>IF(OR(F3443="",I3443=""),"",IF(COUNTIFS(F$6:F3443,F3443,I$6:I3443,"?*")=1,MAX(W$5:W3442)+1,""))</f>
        <v/>
      </c>
    </row>
    <row r="3444">
      <c r="B3444" s="15" t="n"/>
      <c r="C3444" s="16" t="n"/>
      <c r="D3444" s="17" t="n"/>
      <c r="E3444" s="17" t="n"/>
      <c r="F3444" s="17" t="n"/>
      <c r="G3444" s="17" t="n"/>
      <c r="H3444" s="18">
        <f>IF(AND(B3444="",C3444="",D3444="",E3444=""),"",IF(B3444="","⚠ Falta fecha",IF(C3444="","⚠ Falta monto",IF(D3444="","⚠ Falta categoría",IF(ISNA(MATCH(D3444,catNom,0)),"⚠ Categoría no existe",IF(E3444="","⚠ Falta cuenta",IF(ISNA(MATCH(E3444,ctaNom,0)),"⚠ Cuenta no existe",IF(AND(OR(I3444="Transferencia",I3444="Pago tarjeta"),G3444=""),"⚠ Indica la cuenta «Hacia»",IF(AND(G3444&lt;&gt;"",G3444=E3444),"⚠ «Hacia» igual a la cuenta",IF(AND(G3444&lt;&gt;"",ISNA(MATCH(G3444,ctaNom,0))),"⚠ «Hacia» no existe",IF(AND(I3444="Pago tarjeta",IFERROR(INDEX(ctaTipo,MATCH(G3444,ctaNom,0)),"")&lt;&gt;"Tarjeta de crédito"),"⚠ «Hacia» debe ser la tarjeta",IF(AND(I3444="Trading",IFERROR(INDEX(ctaTipo,MATCH(E3444,ctaNom,0)),"")&lt;&gt;"Cuenta de trading"),"⚠ Usa la cuenta de trading","✓"))))))))))))</f>
        <v/>
      </c>
      <c r="I3444" s="19">
        <f>IF(OR(B3444="",C3444="",D3444=""),"",IFERROR(INDEX(catTipo,MATCH(D3444,catNom,0))&amp;"",""))</f>
        <v/>
      </c>
      <c r="J3444" s="19">
        <f>IF(I3444="","",IFERROR(INDEX(catGrupo,MATCH(D3444,catNom,0))&amp;"",""))</f>
        <v/>
      </c>
      <c r="K3444" s="19">
        <f>IF(I3444="Gasto",IF(IFERROR(INDEX(catClas,MATCH(D3444,catNom,0))&amp;"","")="","Variable",IFERROR(INDEX(catClas,MATCH(D3444,catNom,0))&amp;"","")),"")</f>
        <v/>
      </c>
      <c r="L3444" s="19">
        <f>IF(I3444="","",IFERROR(INDEX(catAlim,MATCH(D3444,catNom,0))&amp;"",""))</f>
        <v/>
      </c>
      <c r="M3444" s="19">
        <f>IF(I3444="","",IFERROR(INDEX(catComida,MATCH(D3444,catNom,0))&amp;"",""))</f>
        <v/>
      </c>
      <c r="N3444" s="19">
        <f>IF(I3444="","",IFERROR(INDEX(ctaMon,MATCH(E3444,ctaNom,0))&amp;"","DOP"))</f>
        <v/>
      </c>
      <c r="O3444" s="20">
        <f>IF(I3444="","",C3444*IF(N3444="USD",TasaUSD,1))</f>
        <v/>
      </c>
      <c r="P3444" s="20">
        <f>IF(I3444="","",IF(I3444="Gasto",O3444,0))</f>
        <v/>
      </c>
      <c r="Q3444" s="20">
        <f>IF(I3444="","",IF(I3444="Ingreso",O3444,0))</f>
        <v/>
      </c>
      <c r="R3444" s="20">
        <f>IF(I3444="","",IF(I3444="Trading",O3444,0))</f>
        <v/>
      </c>
      <c r="S3444" s="19">
        <f>IF(I3444="","",IF(AND(I3444="Gasto",K3444="Variable",J3444&lt;&gt;"Trading",O3444&gt;0,O3444&lt;=Umbral),1,0))</f>
        <v/>
      </c>
      <c r="T3444" s="20">
        <f>IF(OR(I3444="",E3444=""),"",IF(OR(I3444="Gasto",I3444="Transferencia",I3444="Pago tarjeta"),-1,1)*C3444)</f>
        <v/>
      </c>
      <c r="U3444" s="20">
        <f>IF(OR(G3444="",AND(I3444&lt;&gt;"Transferencia",I3444&lt;&gt;"Pago tarjeta")),"",IF(IFERROR(INDEX(ctaMon,MATCH(G3444,ctaNom,0))&amp;"","DOP")=N3444,C3444,IF(N3444="USD",C3444*TasaUSD,C3444/TasaUSD)))</f>
        <v/>
      </c>
      <c r="V3444" s="20">
        <f>IF(I3444="","",IF(IFERROR(INDEX(ctaLiq,MATCH(E3444,ctaNom,0))="Sí",FALSE),IF(OR(I3444="Gasto",I3444="Transferencia",I3444="Pago tarjeta"),-1,1)*O3444,0)+IF(AND(U3444&lt;&gt;"",IFERROR(INDEX(ctaLiq,MATCH(G3444,ctaNom,0))="Sí",FALSE)),O3444,0))</f>
        <v/>
      </c>
      <c r="W3444" s="19">
        <f>IF(OR(F3444="",I3444=""),"",IF(COUNTIFS(F$6:F3444,F3444,I$6:I3444,"?*")=1,MAX(W$5:W3443)+1,""))</f>
        <v/>
      </c>
    </row>
    <row r="3445">
      <c r="B3445" s="15" t="n"/>
      <c r="C3445" s="16" t="n"/>
      <c r="D3445" s="17" t="n"/>
      <c r="E3445" s="17" t="n"/>
      <c r="F3445" s="17" t="n"/>
      <c r="G3445" s="17" t="n"/>
      <c r="H3445" s="18">
        <f>IF(AND(B3445="",C3445="",D3445="",E3445=""),"",IF(B3445="","⚠ Falta fecha",IF(C3445="","⚠ Falta monto",IF(D3445="","⚠ Falta categoría",IF(ISNA(MATCH(D3445,catNom,0)),"⚠ Categoría no existe",IF(E3445="","⚠ Falta cuenta",IF(ISNA(MATCH(E3445,ctaNom,0)),"⚠ Cuenta no existe",IF(AND(OR(I3445="Transferencia",I3445="Pago tarjeta"),G3445=""),"⚠ Indica la cuenta «Hacia»",IF(AND(G3445&lt;&gt;"",G3445=E3445),"⚠ «Hacia» igual a la cuenta",IF(AND(G3445&lt;&gt;"",ISNA(MATCH(G3445,ctaNom,0))),"⚠ «Hacia» no existe",IF(AND(I3445="Pago tarjeta",IFERROR(INDEX(ctaTipo,MATCH(G3445,ctaNom,0)),"")&lt;&gt;"Tarjeta de crédito"),"⚠ «Hacia» debe ser la tarjeta",IF(AND(I3445="Trading",IFERROR(INDEX(ctaTipo,MATCH(E3445,ctaNom,0)),"")&lt;&gt;"Cuenta de trading"),"⚠ Usa la cuenta de trading","✓"))))))))))))</f>
        <v/>
      </c>
      <c r="I3445" s="19">
        <f>IF(OR(B3445="",C3445="",D3445=""),"",IFERROR(INDEX(catTipo,MATCH(D3445,catNom,0))&amp;"",""))</f>
        <v/>
      </c>
      <c r="J3445" s="19">
        <f>IF(I3445="","",IFERROR(INDEX(catGrupo,MATCH(D3445,catNom,0))&amp;"",""))</f>
        <v/>
      </c>
      <c r="K3445" s="19">
        <f>IF(I3445="Gasto",IF(IFERROR(INDEX(catClas,MATCH(D3445,catNom,0))&amp;"","")="","Variable",IFERROR(INDEX(catClas,MATCH(D3445,catNom,0))&amp;"","")),"")</f>
        <v/>
      </c>
      <c r="L3445" s="19">
        <f>IF(I3445="","",IFERROR(INDEX(catAlim,MATCH(D3445,catNom,0))&amp;"",""))</f>
        <v/>
      </c>
      <c r="M3445" s="19">
        <f>IF(I3445="","",IFERROR(INDEX(catComida,MATCH(D3445,catNom,0))&amp;"",""))</f>
        <v/>
      </c>
      <c r="N3445" s="19">
        <f>IF(I3445="","",IFERROR(INDEX(ctaMon,MATCH(E3445,ctaNom,0))&amp;"","DOP"))</f>
        <v/>
      </c>
      <c r="O3445" s="20">
        <f>IF(I3445="","",C3445*IF(N3445="USD",TasaUSD,1))</f>
        <v/>
      </c>
      <c r="P3445" s="20">
        <f>IF(I3445="","",IF(I3445="Gasto",O3445,0))</f>
        <v/>
      </c>
      <c r="Q3445" s="20">
        <f>IF(I3445="","",IF(I3445="Ingreso",O3445,0))</f>
        <v/>
      </c>
      <c r="R3445" s="20">
        <f>IF(I3445="","",IF(I3445="Trading",O3445,0))</f>
        <v/>
      </c>
      <c r="S3445" s="19">
        <f>IF(I3445="","",IF(AND(I3445="Gasto",K3445="Variable",J3445&lt;&gt;"Trading",O3445&gt;0,O3445&lt;=Umbral),1,0))</f>
        <v/>
      </c>
      <c r="T3445" s="20">
        <f>IF(OR(I3445="",E3445=""),"",IF(OR(I3445="Gasto",I3445="Transferencia",I3445="Pago tarjeta"),-1,1)*C3445)</f>
        <v/>
      </c>
      <c r="U3445" s="20">
        <f>IF(OR(G3445="",AND(I3445&lt;&gt;"Transferencia",I3445&lt;&gt;"Pago tarjeta")),"",IF(IFERROR(INDEX(ctaMon,MATCH(G3445,ctaNom,0))&amp;"","DOP")=N3445,C3445,IF(N3445="USD",C3445*TasaUSD,C3445/TasaUSD)))</f>
        <v/>
      </c>
      <c r="V3445" s="20">
        <f>IF(I3445="","",IF(IFERROR(INDEX(ctaLiq,MATCH(E3445,ctaNom,0))="Sí",FALSE),IF(OR(I3445="Gasto",I3445="Transferencia",I3445="Pago tarjeta"),-1,1)*O3445,0)+IF(AND(U3445&lt;&gt;"",IFERROR(INDEX(ctaLiq,MATCH(G3445,ctaNom,0))="Sí",FALSE)),O3445,0))</f>
        <v/>
      </c>
      <c r="W3445" s="19">
        <f>IF(OR(F3445="",I3445=""),"",IF(COUNTIFS(F$6:F3445,F3445,I$6:I3445,"?*")=1,MAX(W$5:W3444)+1,""))</f>
        <v/>
      </c>
    </row>
    <row r="3446">
      <c r="B3446" s="15" t="n"/>
      <c r="C3446" s="16" t="n"/>
      <c r="D3446" s="17" t="n"/>
      <c r="E3446" s="17" t="n"/>
      <c r="F3446" s="17" t="n"/>
      <c r="G3446" s="17" t="n"/>
      <c r="H3446" s="18">
        <f>IF(AND(B3446="",C3446="",D3446="",E3446=""),"",IF(B3446="","⚠ Falta fecha",IF(C3446="","⚠ Falta monto",IF(D3446="","⚠ Falta categoría",IF(ISNA(MATCH(D3446,catNom,0)),"⚠ Categoría no existe",IF(E3446="","⚠ Falta cuenta",IF(ISNA(MATCH(E3446,ctaNom,0)),"⚠ Cuenta no existe",IF(AND(OR(I3446="Transferencia",I3446="Pago tarjeta"),G3446=""),"⚠ Indica la cuenta «Hacia»",IF(AND(G3446&lt;&gt;"",G3446=E3446),"⚠ «Hacia» igual a la cuenta",IF(AND(G3446&lt;&gt;"",ISNA(MATCH(G3446,ctaNom,0))),"⚠ «Hacia» no existe",IF(AND(I3446="Pago tarjeta",IFERROR(INDEX(ctaTipo,MATCH(G3446,ctaNom,0)),"")&lt;&gt;"Tarjeta de crédito"),"⚠ «Hacia» debe ser la tarjeta",IF(AND(I3446="Trading",IFERROR(INDEX(ctaTipo,MATCH(E3446,ctaNom,0)),"")&lt;&gt;"Cuenta de trading"),"⚠ Usa la cuenta de trading","✓"))))))))))))</f>
        <v/>
      </c>
      <c r="I3446" s="19">
        <f>IF(OR(B3446="",C3446="",D3446=""),"",IFERROR(INDEX(catTipo,MATCH(D3446,catNom,0))&amp;"",""))</f>
        <v/>
      </c>
      <c r="J3446" s="19">
        <f>IF(I3446="","",IFERROR(INDEX(catGrupo,MATCH(D3446,catNom,0))&amp;"",""))</f>
        <v/>
      </c>
      <c r="K3446" s="19">
        <f>IF(I3446="Gasto",IF(IFERROR(INDEX(catClas,MATCH(D3446,catNom,0))&amp;"","")="","Variable",IFERROR(INDEX(catClas,MATCH(D3446,catNom,0))&amp;"","")),"")</f>
        <v/>
      </c>
      <c r="L3446" s="19">
        <f>IF(I3446="","",IFERROR(INDEX(catAlim,MATCH(D3446,catNom,0))&amp;"",""))</f>
        <v/>
      </c>
      <c r="M3446" s="19">
        <f>IF(I3446="","",IFERROR(INDEX(catComida,MATCH(D3446,catNom,0))&amp;"",""))</f>
        <v/>
      </c>
      <c r="N3446" s="19">
        <f>IF(I3446="","",IFERROR(INDEX(ctaMon,MATCH(E3446,ctaNom,0))&amp;"","DOP"))</f>
        <v/>
      </c>
      <c r="O3446" s="20">
        <f>IF(I3446="","",C3446*IF(N3446="USD",TasaUSD,1))</f>
        <v/>
      </c>
      <c r="P3446" s="20">
        <f>IF(I3446="","",IF(I3446="Gasto",O3446,0))</f>
        <v/>
      </c>
      <c r="Q3446" s="20">
        <f>IF(I3446="","",IF(I3446="Ingreso",O3446,0))</f>
        <v/>
      </c>
      <c r="R3446" s="20">
        <f>IF(I3446="","",IF(I3446="Trading",O3446,0))</f>
        <v/>
      </c>
      <c r="S3446" s="19">
        <f>IF(I3446="","",IF(AND(I3446="Gasto",K3446="Variable",J3446&lt;&gt;"Trading",O3446&gt;0,O3446&lt;=Umbral),1,0))</f>
        <v/>
      </c>
      <c r="T3446" s="20">
        <f>IF(OR(I3446="",E3446=""),"",IF(OR(I3446="Gasto",I3446="Transferencia",I3446="Pago tarjeta"),-1,1)*C3446)</f>
        <v/>
      </c>
      <c r="U3446" s="20">
        <f>IF(OR(G3446="",AND(I3446&lt;&gt;"Transferencia",I3446&lt;&gt;"Pago tarjeta")),"",IF(IFERROR(INDEX(ctaMon,MATCH(G3446,ctaNom,0))&amp;"","DOP")=N3446,C3446,IF(N3446="USD",C3446*TasaUSD,C3446/TasaUSD)))</f>
        <v/>
      </c>
      <c r="V3446" s="20">
        <f>IF(I3446="","",IF(IFERROR(INDEX(ctaLiq,MATCH(E3446,ctaNom,0))="Sí",FALSE),IF(OR(I3446="Gasto",I3446="Transferencia",I3446="Pago tarjeta"),-1,1)*O3446,0)+IF(AND(U3446&lt;&gt;"",IFERROR(INDEX(ctaLiq,MATCH(G3446,ctaNom,0))="Sí",FALSE)),O3446,0))</f>
        <v/>
      </c>
      <c r="W3446" s="19">
        <f>IF(OR(F3446="",I3446=""),"",IF(COUNTIFS(F$6:F3446,F3446,I$6:I3446,"?*")=1,MAX(W$5:W3445)+1,""))</f>
        <v/>
      </c>
    </row>
    <row r="3447">
      <c r="B3447" s="15" t="n"/>
      <c r="C3447" s="16" t="n"/>
      <c r="D3447" s="17" t="n"/>
      <c r="E3447" s="17" t="n"/>
      <c r="F3447" s="17" t="n"/>
      <c r="G3447" s="17" t="n"/>
      <c r="H3447" s="18">
        <f>IF(AND(B3447="",C3447="",D3447="",E3447=""),"",IF(B3447="","⚠ Falta fecha",IF(C3447="","⚠ Falta monto",IF(D3447="","⚠ Falta categoría",IF(ISNA(MATCH(D3447,catNom,0)),"⚠ Categoría no existe",IF(E3447="","⚠ Falta cuenta",IF(ISNA(MATCH(E3447,ctaNom,0)),"⚠ Cuenta no existe",IF(AND(OR(I3447="Transferencia",I3447="Pago tarjeta"),G3447=""),"⚠ Indica la cuenta «Hacia»",IF(AND(G3447&lt;&gt;"",G3447=E3447),"⚠ «Hacia» igual a la cuenta",IF(AND(G3447&lt;&gt;"",ISNA(MATCH(G3447,ctaNom,0))),"⚠ «Hacia» no existe",IF(AND(I3447="Pago tarjeta",IFERROR(INDEX(ctaTipo,MATCH(G3447,ctaNom,0)),"")&lt;&gt;"Tarjeta de crédito"),"⚠ «Hacia» debe ser la tarjeta",IF(AND(I3447="Trading",IFERROR(INDEX(ctaTipo,MATCH(E3447,ctaNom,0)),"")&lt;&gt;"Cuenta de trading"),"⚠ Usa la cuenta de trading","✓"))))))))))))</f>
        <v/>
      </c>
      <c r="I3447" s="19">
        <f>IF(OR(B3447="",C3447="",D3447=""),"",IFERROR(INDEX(catTipo,MATCH(D3447,catNom,0))&amp;"",""))</f>
        <v/>
      </c>
      <c r="J3447" s="19">
        <f>IF(I3447="","",IFERROR(INDEX(catGrupo,MATCH(D3447,catNom,0))&amp;"",""))</f>
        <v/>
      </c>
      <c r="K3447" s="19">
        <f>IF(I3447="Gasto",IF(IFERROR(INDEX(catClas,MATCH(D3447,catNom,0))&amp;"","")="","Variable",IFERROR(INDEX(catClas,MATCH(D3447,catNom,0))&amp;"","")),"")</f>
        <v/>
      </c>
      <c r="L3447" s="19">
        <f>IF(I3447="","",IFERROR(INDEX(catAlim,MATCH(D3447,catNom,0))&amp;"",""))</f>
        <v/>
      </c>
      <c r="M3447" s="19">
        <f>IF(I3447="","",IFERROR(INDEX(catComida,MATCH(D3447,catNom,0))&amp;"",""))</f>
        <v/>
      </c>
      <c r="N3447" s="19">
        <f>IF(I3447="","",IFERROR(INDEX(ctaMon,MATCH(E3447,ctaNom,0))&amp;"","DOP"))</f>
        <v/>
      </c>
      <c r="O3447" s="20">
        <f>IF(I3447="","",C3447*IF(N3447="USD",TasaUSD,1))</f>
        <v/>
      </c>
      <c r="P3447" s="20">
        <f>IF(I3447="","",IF(I3447="Gasto",O3447,0))</f>
        <v/>
      </c>
      <c r="Q3447" s="20">
        <f>IF(I3447="","",IF(I3447="Ingreso",O3447,0))</f>
        <v/>
      </c>
      <c r="R3447" s="20">
        <f>IF(I3447="","",IF(I3447="Trading",O3447,0))</f>
        <v/>
      </c>
      <c r="S3447" s="19">
        <f>IF(I3447="","",IF(AND(I3447="Gasto",K3447="Variable",J3447&lt;&gt;"Trading",O3447&gt;0,O3447&lt;=Umbral),1,0))</f>
        <v/>
      </c>
      <c r="T3447" s="20">
        <f>IF(OR(I3447="",E3447=""),"",IF(OR(I3447="Gasto",I3447="Transferencia",I3447="Pago tarjeta"),-1,1)*C3447)</f>
        <v/>
      </c>
      <c r="U3447" s="20">
        <f>IF(OR(G3447="",AND(I3447&lt;&gt;"Transferencia",I3447&lt;&gt;"Pago tarjeta")),"",IF(IFERROR(INDEX(ctaMon,MATCH(G3447,ctaNom,0))&amp;"","DOP")=N3447,C3447,IF(N3447="USD",C3447*TasaUSD,C3447/TasaUSD)))</f>
        <v/>
      </c>
      <c r="V3447" s="20">
        <f>IF(I3447="","",IF(IFERROR(INDEX(ctaLiq,MATCH(E3447,ctaNom,0))="Sí",FALSE),IF(OR(I3447="Gasto",I3447="Transferencia",I3447="Pago tarjeta"),-1,1)*O3447,0)+IF(AND(U3447&lt;&gt;"",IFERROR(INDEX(ctaLiq,MATCH(G3447,ctaNom,0))="Sí",FALSE)),O3447,0))</f>
        <v/>
      </c>
      <c r="W3447" s="19">
        <f>IF(OR(F3447="",I3447=""),"",IF(COUNTIFS(F$6:F3447,F3447,I$6:I3447,"?*")=1,MAX(W$5:W3446)+1,""))</f>
        <v/>
      </c>
    </row>
    <row r="3448">
      <c r="B3448" s="15" t="n"/>
      <c r="C3448" s="16" t="n"/>
      <c r="D3448" s="17" t="n"/>
      <c r="E3448" s="17" t="n"/>
      <c r="F3448" s="17" t="n"/>
      <c r="G3448" s="17" t="n"/>
      <c r="H3448" s="18">
        <f>IF(AND(B3448="",C3448="",D3448="",E3448=""),"",IF(B3448="","⚠ Falta fecha",IF(C3448="","⚠ Falta monto",IF(D3448="","⚠ Falta categoría",IF(ISNA(MATCH(D3448,catNom,0)),"⚠ Categoría no existe",IF(E3448="","⚠ Falta cuenta",IF(ISNA(MATCH(E3448,ctaNom,0)),"⚠ Cuenta no existe",IF(AND(OR(I3448="Transferencia",I3448="Pago tarjeta"),G3448=""),"⚠ Indica la cuenta «Hacia»",IF(AND(G3448&lt;&gt;"",G3448=E3448),"⚠ «Hacia» igual a la cuenta",IF(AND(G3448&lt;&gt;"",ISNA(MATCH(G3448,ctaNom,0))),"⚠ «Hacia» no existe",IF(AND(I3448="Pago tarjeta",IFERROR(INDEX(ctaTipo,MATCH(G3448,ctaNom,0)),"")&lt;&gt;"Tarjeta de crédito"),"⚠ «Hacia» debe ser la tarjeta",IF(AND(I3448="Trading",IFERROR(INDEX(ctaTipo,MATCH(E3448,ctaNom,0)),"")&lt;&gt;"Cuenta de trading"),"⚠ Usa la cuenta de trading","✓"))))))))))))</f>
        <v/>
      </c>
      <c r="I3448" s="19">
        <f>IF(OR(B3448="",C3448="",D3448=""),"",IFERROR(INDEX(catTipo,MATCH(D3448,catNom,0))&amp;"",""))</f>
        <v/>
      </c>
      <c r="J3448" s="19">
        <f>IF(I3448="","",IFERROR(INDEX(catGrupo,MATCH(D3448,catNom,0))&amp;"",""))</f>
        <v/>
      </c>
      <c r="K3448" s="19">
        <f>IF(I3448="Gasto",IF(IFERROR(INDEX(catClas,MATCH(D3448,catNom,0))&amp;"","")="","Variable",IFERROR(INDEX(catClas,MATCH(D3448,catNom,0))&amp;"","")),"")</f>
        <v/>
      </c>
      <c r="L3448" s="19">
        <f>IF(I3448="","",IFERROR(INDEX(catAlim,MATCH(D3448,catNom,0))&amp;"",""))</f>
        <v/>
      </c>
      <c r="M3448" s="19">
        <f>IF(I3448="","",IFERROR(INDEX(catComida,MATCH(D3448,catNom,0))&amp;"",""))</f>
        <v/>
      </c>
      <c r="N3448" s="19">
        <f>IF(I3448="","",IFERROR(INDEX(ctaMon,MATCH(E3448,ctaNom,0))&amp;"","DOP"))</f>
        <v/>
      </c>
      <c r="O3448" s="20">
        <f>IF(I3448="","",C3448*IF(N3448="USD",TasaUSD,1))</f>
        <v/>
      </c>
      <c r="P3448" s="20">
        <f>IF(I3448="","",IF(I3448="Gasto",O3448,0))</f>
        <v/>
      </c>
      <c r="Q3448" s="20">
        <f>IF(I3448="","",IF(I3448="Ingreso",O3448,0))</f>
        <v/>
      </c>
      <c r="R3448" s="20">
        <f>IF(I3448="","",IF(I3448="Trading",O3448,0))</f>
        <v/>
      </c>
      <c r="S3448" s="19">
        <f>IF(I3448="","",IF(AND(I3448="Gasto",K3448="Variable",J3448&lt;&gt;"Trading",O3448&gt;0,O3448&lt;=Umbral),1,0))</f>
        <v/>
      </c>
      <c r="T3448" s="20">
        <f>IF(OR(I3448="",E3448=""),"",IF(OR(I3448="Gasto",I3448="Transferencia",I3448="Pago tarjeta"),-1,1)*C3448)</f>
        <v/>
      </c>
      <c r="U3448" s="20">
        <f>IF(OR(G3448="",AND(I3448&lt;&gt;"Transferencia",I3448&lt;&gt;"Pago tarjeta")),"",IF(IFERROR(INDEX(ctaMon,MATCH(G3448,ctaNom,0))&amp;"","DOP")=N3448,C3448,IF(N3448="USD",C3448*TasaUSD,C3448/TasaUSD)))</f>
        <v/>
      </c>
      <c r="V3448" s="20">
        <f>IF(I3448="","",IF(IFERROR(INDEX(ctaLiq,MATCH(E3448,ctaNom,0))="Sí",FALSE),IF(OR(I3448="Gasto",I3448="Transferencia",I3448="Pago tarjeta"),-1,1)*O3448,0)+IF(AND(U3448&lt;&gt;"",IFERROR(INDEX(ctaLiq,MATCH(G3448,ctaNom,0))="Sí",FALSE)),O3448,0))</f>
        <v/>
      </c>
      <c r="W3448" s="19">
        <f>IF(OR(F3448="",I3448=""),"",IF(COUNTIFS(F$6:F3448,F3448,I$6:I3448,"?*")=1,MAX(W$5:W3447)+1,""))</f>
        <v/>
      </c>
    </row>
    <row r="3449">
      <c r="B3449" s="15" t="n"/>
      <c r="C3449" s="16" t="n"/>
      <c r="D3449" s="17" t="n"/>
      <c r="E3449" s="17" t="n"/>
      <c r="F3449" s="17" t="n"/>
      <c r="G3449" s="17" t="n"/>
      <c r="H3449" s="18">
        <f>IF(AND(B3449="",C3449="",D3449="",E3449=""),"",IF(B3449="","⚠ Falta fecha",IF(C3449="","⚠ Falta monto",IF(D3449="","⚠ Falta categoría",IF(ISNA(MATCH(D3449,catNom,0)),"⚠ Categoría no existe",IF(E3449="","⚠ Falta cuenta",IF(ISNA(MATCH(E3449,ctaNom,0)),"⚠ Cuenta no existe",IF(AND(OR(I3449="Transferencia",I3449="Pago tarjeta"),G3449=""),"⚠ Indica la cuenta «Hacia»",IF(AND(G3449&lt;&gt;"",G3449=E3449),"⚠ «Hacia» igual a la cuenta",IF(AND(G3449&lt;&gt;"",ISNA(MATCH(G3449,ctaNom,0))),"⚠ «Hacia» no existe",IF(AND(I3449="Pago tarjeta",IFERROR(INDEX(ctaTipo,MATCH(G3449,ctaNom,0)),"")&lt;&gt;"Tarjeta de crédito"),"⚠ «Hacia» debe ser la tarjeta",IF(AND(I3449="Trading",IFERROR(INDEX(ctaTipo,MATCH(E3449,ctaNom,0)),"")&lt;&gt;"Cuenta de trading"),"⚠ Usa la cuenta de trading","✓"))))))))))))</f>
        <v/>
      </c>
      <c r="I3449" s="19">
        <f>IF(OR(B3449="",C3449="",D3449=""),"",IFERROR(INDEX(catTipo,MATCH(D3449,catNom,0))&amp;"",""))</f>
        <v/>
      </c>
      <c r="J3449" s="19">
        <f>IF(I3449="","",IFERROR(INDEX(catGrupo,MATCH(D3449,catNom,0))&amp;"",""))</f>
        <v/>
      </c>
      <c r="K3449" s="19">
        <f>IF(I3449="Gasto",IF(IFERROR(INDEX(catClas,MATCH(D3449,catNom,0))&amp;"","")="","Variable",IFERROR(INDEX(catClas,MATCH(D3449,catNom,0))&amp;"","")),"")</f>
        <v/>
      </c>
      <c r="L3449" s="19">
        <f>IF(I3449="","",IFERROR(INDEX(catAlim,MATCH(D3449,catNom,0))&amp;"",""))</f>
        <v/>
      </c>
      <c r="M3449" s="19">
        <f>IF(I3449="","",IFERROR(INDEX(catComida,MATCH(D3449,catNom,0))&amp;"",""))</f>
        <v/>
      </c>
      <c r="N3449" s="19">
        <f>IF(I3449="","",IFERROR(INDEX(ctaMon,MATCH(E3449,ctaNom,0))&amp;"","DOP"))</f>
        <v/>
      </c>
      <c r="O3449" s="20">
        <f>IF(I3449="","",C3449*IF(N3449="USD",TasaUSD,1))</f>
        <v/>
      </c>
      <c r="P3449" s="20">
        <f>IF(I3449="","",IF(I3449="Gasto",O3449,0))</f>
        <v/>
      </c>
      <c r="Q3449" s="20">
        <f>IF(I3449="","",IF(I3449="Ingreso",O3449,0))</f>
        <v/>
      </c>
      <c r="R3449" s="20">
        <f>IF(I3449="","",IF(I3449="Trading",O3449,0))</f>
        <v/>
      </c>
      <c r="S3449" s="19">
        <f>IF(I3449="","",IF(AND(I3449="Gasto",K3449="Variable",J3449&lt;&gt;"Trading",O3449&gt;0,O3449&lt;=Umbral),1,0))</f>
        <v/>
      </c>
      <c r="T3449" s="20">
        <f>IF(OR(I3449="",E3449=""),"",IF(OR(I3449="Gasto",I3449="Transferencia",I3449="Pago tarjeta"),-1,1)*C3449)</f>
        <v/>
      </c>
      <c r="U3449" s="20">
        <f>IF(OR(G3449="",AND(I3449&lt;&gt;"Transferencia",I3449&lt;&gt;"Pago tarjeta")),"",IF(IFERROR(INDEX(ctaMon,MATCH(G3449,ctaNom,0))&amp;"","DOP")=N3449,C3449,IF(N3449="USD",C3449*TasaUSD,C3449/TasaUSD)))</f>
        <v/>
      </c>
      <c r="V3449" s="20">
        <f>IF(I3449="","",IF(IFERROR(INDEX(ctaLiq,MATCH(E3449,ctaNom,0))="Sí",FALSE),IF(OR(I3449="Gasto",I3449="Transferencia",I3449="Pago tarjeta"),-1,1)*O3449,0)+IF(AND(U3449&lt;&gt;"",IFERROR(INDEX(ctaLiq,MATCH(G3449,ctaNom,0))="Sí",FALSE)),O3449,0))</f>
        <v/>
      </c>
      <c r="W3449" s="19">
        <f>IF(OR(F3449="",I3449=""),"",IF(COUNTIFS(F$6:F3449,F3449,I$6:I3449,"?*")=1,MAX(W$5:W3448)+1,""))</f>
        <v/>
      </c>
    </row>
    <row r="3450">
      <c r="B3450" s="15" t="n"/>
      <c r="C3450" s="16" t="n"/>
      <c r="D3450" s="17" t="n"/>
      <c r="E3450" s="17" t="n"/>
      <c r="F3450" s="17" t="n"/>
      <c r="G3450" s="17" t="n"/>
      <c r="H3450" s="18">
        <f>IF(AND(B3450="",C3450="",D3450="",E3450=""),"",IF(B3450="","⚠ Falta fecha",IF(C3450="","⚠ Falta monto",IF(D3450="","⚠ Falta categoría",IF(ISNA(MATCH(D3450,catNom,0)),"⚠ Categoría no existe",IF(E3450="","⚠ Falta cuenta",IF(ISNA(MATCH(E3450,ctaNom,0)),"⚠ Cuenta no existe",IF(AND(OR(I3450="Transferencia",I3450="Pago tarjeta"),G3450=""),"⚠ Indica la cuenta «Hacia»",IF(AND(G3450&lt;&gt;"",G3450=E3450),"⚠ «Hacia» igual a la cuenta",IF(AND(G3450&lt;&gt;"",ISNA(MATCH(G3450,ctaNom,0))),"⚠ «Hacia» no existe",IF(AND(I3450="Pago tarjeta",IFERROR(INDEX(ctaTipo,MATCH(G3450,ctaNom,0)),"")&lt;&gt;"Tarjeta de crédito"),"⚠ «Hacia» debe ser la tarjeta",IF(AND(I3450="Trading",IFERROR(INDEX(ctaTipo,MATCH(E3450,ctaNom,0)),"")&lt;&gt;"Cuenta de trading"),"⚠ Usa la cuenta de trading","✓"))))))))))))</f>
        <v/>
      </c>
      <c r="I3450" s="19">
        <f>IF(OR(B3450="",C3450="",D3450=""),"",IFERROR(INDEX(catTipo,MATCH(D3450,catNom,0))&amp;"",""))</f>
        <v/>
      </c>
      <c r="J3450" s="19">
        <f>IF(I3450="","",IFERROR(INDEX(catGrupo,MATCH(D3450,catNom,0))&amp;"",""))</f>
        <v/>
      </c>
      <c r="K3450" s="19">
        <f>IF(I3450="Gasto",IF(IFERROR(INDEX(catClas,MATCH(D3450,catNom,0))&amp;"","")="","Variable",IFERROR(INDEX(catClas,MATCH(D3450,catNom,0))&amp;"","")),"")</f>
        <v/>
      </c>
      <c r="L3450" s="19">
        <f>IF(I3450="","",IFERROR(INDEX(catAlim,MATCH(D3450,catNom,0))&amp;"",""))</f>
        <v/>
      </c>
      <c r="M3450" s="19">
        <f>IF(I3450="","",IFERROR(INDEX(catComida,MATCH(D3450,catNom,0))&amp;"",""))</f>
        <v/>
      </c>
      <c r="N3450" s="19">
        <f>IF(I3450="","",IFERROR(INDEX(ctaMon,MATCH(E3450,ctaNom,0))&amp;"","DOP"))</f>
        <v/>
      </c>
      <c r="O3450" s="20">
        <f>IF(I3450="","",C3450*IF(N3450="USD",TasaUSD,1))</f>
        <v/>
      </c>
      <c r="P3450" s="20">
        <f>IF(I3450="","",IF(I3450="Gasto",O3450,0))</f>
        <v/>
      </c>
      <c r="Q3450" s="20">
        <f>IF(I3450="","",IF(I3450="Ingreso",O3450,0))</f>
        <v/>
      </c>
      <c r="R3450" s="20">
        <f>IF(I3450="","",IF(I3450="Trading",O3450,0))</f>
        <v/>
      </c>
      <c r="S3450" s="19">
        <f>IF(I3450="","",IF(AND(I3450="Gasto",K3450="Variable",J3450&lt;&gt;"Trading",O3450&gt;0,O3450&lt;=Umbral),1,0))</f>
        <v/>
      </c>
      <c r="T3450" s="20">
        <f>IF(OR(I3450="",E3450=""),"",IF(OR(I3450="Gasto",I3450="Transferencia",I3450="Pago tarjeta"),-1,1)*C3450)</f>
        <v/>
      </c>
      <c r="U3450" s="20">
        <f>IF(OR(G3450="",AND(I3450&lt;&gt;"Transferencia",I3450&lt;&gt;"Pago tarjeta")),"",IF(IFERROR(INDEX(ctaMon,MATCH(G3450,ctaNom,0))&amp;"","DOP")=N3450,C3450,IF(N3450="USD",C3450*TasaUSD,C3450/TasaUSD)))</f>
        <v/>
      </c>
      <c r="V3450" s="20">
        <f>IF(I3450="","",IF(IFERROR(INDEX(ctaLiq,MATCH(E3450,ctaNom,0))="Sí",FALSE),IF(OR(I3450="Gasto",I3450="Transferencia",I3450="Pago tarjeta"),-1,1)*O3450,0)+IF(AND(U3450&lt;&gt;"",IFERROR(INDEX(ctaLiq,MATCH(G3450,ctaNom,0))="Sí",FALSE)),O3450,0))</f>
        <v/>
      </c>
      <c r="W3450" s="19">
        <f>IF(OR(F3450="",I3450=""),"",IF(COUNTIFS(F$6:F3450,F3450,I$6:I3450,"?*")=1,MAX(W$5:W3449)+1,""))</f>
        <v/>
      </c>
    </row>
    <row r="3451">
      <c r="B3451" s="15" t="n"/>
      <c r="C3451" s="16" t="n"/>
      <c r="D3451" s="17" t="n"/>
      <c r="E3451" s="17" t="n"/>
      <c r="F3451" s="17" t="n"/>
      <c r="G3451" s="17" t="n"/>
      <c r="H3451" s="18">
        <f>IF(AND(B3451="",C3451="",D3451="",E3451=""),"",IF(B3451="","⚠ Falta fecha",IF(C3451="","⚠ Falta monto",IF(D3451="","⚠ Falta categoría",IF(ISNA(MATCH(D3451,catNom,0)),"⚠ Categoría no existe",IF(E3451="","⚠ Falta cuenta",IF(ISNA(MATCH(E3451,ctaNom,0)),"⚠ Cuenta no existe",IF(AND(OR(I3451="Transferencia",I3451="Pago tarjeta"),G3451=""),"⚠ Indica la cuenta «Hacia»",IF(AND(G3451&lt;&gt;"",G3451=E3451),"⚠ «Hacia» igual a la cuenta",IF(AND(G3451&lt;&gt;"",ISNA(MATCH(G3451,ctaNom,0))),"⚠ «Hacia» no existe",IF(AND(I3451="Pago tarjeta",IFERROR(INDEX(ctaTipo,MATCH(G3451,ctaNom,0)),"")&lt;&gt;"Tarjeta de crédito"),"⚠ «Hacia» debe ser la tarjeta",IF(AND(I3451="Trading",IFERROR(INDEX(ctaTipo,MATCH(E3451,ctaNom,0)),"")&lt;&gt;"Cuenta de trading"),"⚠ Usa la cuenta de trading","✓"))))))))))))</f>
        <v/>
      </c>
      <c r="I3451" s="19">
        <f>IF(OR(B3451="",C3451="",D3451=""),"",IFERROR(INDEX(catTipo,MATCH(D3451,catNom,0))&amp;"",""))</f>
        <v/>
      </c>
      <c r="J3451" s="19">
        <f>IF(I3451="","",IFERROR(INDEX(catGrupo,MATCH(D3451,catNom,0))&amp;"",""))</f>
        <v/>
      </c>
      <c r="K3451" s="19">
        <f>IF(I3451="Gasto",IF(IFERROR(INDEX(catClas,MATCH(D3451,catNom,0))&amp;"","")="","Variable",IFERROR(INDEX(catClas,MATCH(D3451,catNom,0))&amp;"","")),"")</f>
        <v/>
      </c>
      <c r="L3451" s="19">
        <f>IF(I3451="","",IFERROR(INDEX(catAlim,MATCH(D3451,catNom,0))&amp;"",""))</f>
        <v/>
      </c>
      <c r="M3451" s="19">
        <f>IF(I3451="","",IFERROR(INDEX(catComida,MATCH(D3451,catNom,0))&amp;"",""))</f>
        <v/>
      </c>
      <c r="N3451" s="19">
        <f>IF(I3451="","",IFERROR(INDEX(ctaMon,MATCH(E3451,ctaNom,0))&amp;"","DOP"))</f>
        <v/>
      </c>
      <c r="O3451" s="20">
        <f>IF(I3451="","",C3451*IF(N3451="USD",TasaUSD,1))</f>
        <v/>
      </c>
      <c r="P3451" s="20">
        <f>IF(I3451="","",IF(I3451="Gasto",O3451,0))</f>
        <v/>
      </c>
      <c r="Q3451" s="20">
        <f>IF(I3451="","",IF(I3451="Ingreso",O3451,0))</f>
        <v/>
      </c>
      <c r="R3451" s="20">
        <f>IF(I3451="","",IF(I3451="Trading",O3451,0))</f>
        <v/>
      </c>
      <c r="S3451" s="19">
        <f>IF(I3451="","",IF(AND(I3451="Gasto",K3451="Variable",J3451&lt;&gt;"Trading",O3451&gt;0,O3451&lt;=Umbral),1,0))</f>
        <v/>
      </c>
      <c r="T3451" s="20">
        <f>IF(OR(I3451="",E3451=""),"",IF(OR(I3451="Gasto",I3451="Transferencia",I3451="Pago tarjeta"),-1,1)*C3451)</f>
        <v/>
      </c>
      <c r="U3451" s="20">
        <f>IF(OR(G3451="",AND(I3451&lt;&gt;"Transferencia",I3451&lt;&gt;"Pago tarjeta")),"",IF(IFERROR(INDEX(ctaMon,MATCH(G3451,ctaNom,0))&amp;"","DOP")=N3451,C3451,IF(N3451="USD",C3451*TasaUSD,C3451/TasaUSD)))</f>
        <v/>
      </c>
      <c r="V3451" s="20">
        <f>IF(I3451="","",IF(IFERROR(INDEX(ctaLiq,MATCH(E3451,ctaNom,0))="Sí",FALSE),IF(OR(I3451="Gasto",I3451="Transferencia",I3451="Pago tarjeta"),-1,1)*O3451,0)+IF(AND(U3451&lt;&gt;"",IFERROR(INDEX(ctaLiq,MATCH(G3451,ctaNom,0))="Sí",FALSE)),O3451,0))</f>
        <v/>
      </c>
      <c r="W3451" s="19">
        <f>IF(OR(F3451="",I3451=""),"",IF(COUNTIFS(F$6:F3451,F3451,I$6:I3451,"?*")=1,MAX(W$5:W3450)+1,""))</f>
        <v/>
      </c>
    </row>
    <row r="3452">
      <c r="B3452" s="15" t="n"/>
      <c r="C3452" s="16" t="n"/>
      <c r="D3452" s="17" t="n"/>
      <c r="E3452" s="17" t="n"/>
      <c r="F3452" s="17" t="n"/>
      <c r="G3452" s="17" t="n"/>
      <c r="H3452" s="18">
        <f>IF(AND(B3452="",C3452="",D3452="",E3452=""),"",IF(B3452="","⚠ Falta fecha",IF(C3452="","⚠ Falta monto",IF(D3452="","⚠ Falta categoría",IF(ISNA(MATCH(D3452,catNom,0)),"⚠ Categoría no existe",IF(E3452="","⚠ Falta cuenta",IF(ISNA(MATCH(E3452,ctaNom,0)),"⚠ Cuenta no existe",IF(AND(OR(I3452="Transferencia",I3452="Pago tarjeta"),G3452=""),"⚠ Indica la cuenta «Hacia»",IF(AND(G3452&lt;&gt;"",G3452=E3452),"⚠ «Hacia» igual a la cuenta",IF(AND(G3452&lt;&gt;"",ISNA(MATCH(G3452,ctaNom,0))),"⚠ «Hacia» no existe",IF(AND(I3452="Pago tarjeta",IFERROR(INDEX(ctaTipo,MATCH(G3452,ctaNom,0)),"")&lt;&gt;"Tarjeta de crédito"),"⚠ «Hacia» debe ser la tarjeta",IF(AND(I3452="Trading",IFERROR(INDEX(ctaTipo,MATCH(E3452,ctaNom,0)),"")&lt;&gt;"Cuenta de trading"),"⚠ Usa la cuenta de trading","✓"))))))))))))</f>
        <v/>
      </c>
      <c r="I3452" s="19">
        <f>IF(OR(B3452="",C3452="",D3452=""),"",IFERROR(INDEX(catTipo,MATCH(D3452,catNom,0))&amp;"",""))</f>
        <v/>
      </c>
      <c r="J3452" s="19">
        <f>IF(I3452="","",IFERROR(INDEX(catGrupo,MATCH(D3452,catNom,0))&amp;"",""))</f>
        <v/>
      </c>
      <c r="K3452" s="19">
        <f>IF(I3452="Gasto",IF(IFERROR(INDEX(catClas,MATCH(D3452,catNom,0))&amp;"","")="","Variable",IFERROR(INDEX(catClas,MATCH(D3452,catNom,0))&amp;"","")),"")</f>
        <v/>
      </c>
      <c r="L3452" s="19">
        <f>IF(I3452="","",IFERROR(INDEX(catAlim,MATCH(D3452,catNom,0))&amp;"",""))</f>
        <v/>
      </c>
      <c r="M3452" s="19">
        <f>IF(I3452="","",IFERROR(INDEX(catComida,MATCH(D3452,catNom,0))&amp;"",""))</f>
        <v/>
      </c>
      <c r="N3452" s="19">
        <f>IF(I3452="","",IFERROR(INDEX(ctaMon,MATCH(E3452,ctaNom,0))&amp;"","DOP"))</f>
        <v/>
      </c>
      <c r="O3452" s="20">
        <f>IF(I3452="","",C3452*IF(N3452="USD",TasaUSD,1))</f>
        <v/>
      </c>
      <c r="P3452" s="20">
        <f>IF(I3452="","",IF(I3452="Gasto",O3452,0))</f>
        <v/>
      </c>
      <c r="Q3452" s="20">
        <f>IF(I3452="","",IF(I3452="Ingreso",O3452,0))</f>
        <v/>
      </c>
      <c r="R3452" s="20">
        <f>IF(I3452="","",IF(I3452="Trading",O3452,0))</f>
        <v/>
      </c>
      <c r="S3452" s="19">
        <f>IF(I3452="","",IF(AND(I3452="Gasto",K3452="Variable",J3452&lt;&gt;"Trading",O3452&gt;0,O3452&lt;=Umbral),1,0))</f>
        <v/>
      </c>
      <c r="T3452" s="20">
        <f>IF(OR(I3452="",E3452=""),"",IF(OR(I3452="Gasto",I3452="Transferencia",I3452="Pago tarjeta"),-1,1)*C3452)</f>
        <v/>
      </c>
      <c r="U3452" s="20">
        <f>IF(OR(G3452="",AND(I3452&lt;&gt;"Transferencia",I3452&lt;&gt;"Pago tarjeta")),"",IF(IFERROR(INDEX(ctaMon,MATCH(G3452,ctaNom,0))&amp;"","DOP")=N3452,C3452,IF(N3452="USD",C3452*TasaUSD,C3452/TasaUSD)))</f>
        <v/>
      </c>
      <c r="V3452" s="20">
        <f>IF(I3452="","",IF(IFERROR(INDEX(ctaLiq,MATCH(E3452,ctaNom,0))="Sí",FALSE),IF(OR(I3452="Gasto",I3452="Transferencia",I3452="Pago tarjeta"),-1,1)*O3452,0)+IF(AND(U3452&lt;&gt;"",IFERROR(INDEX(ctaLiq,MATCH(G3452,ctaNom,0))="Sí",FALSE)),O3452,0))</f>
        <v/>
      </c>
      <c r="W3452" s="19">
        <f>IF(OR(F3452="",I3452=""),"",IF(COUNTIFS(F$6:F3452,F3452,I$6:I3452,"?*")=1,MAX(W$5:W3451)+1,""))</f>
        <v/>
      </c>
    </row>
    <row r="3453">
      <c r="B3453" s="15" t="n"/>
      <c r="C3453" s="16" t="n"/>
      <c r="D3453" s="17" t="n"/>
      <c r="E3453" s="17" t="n"/>
      <c r="F3453" s="17" t="n"/>
      <c r="G3453" s="17" t="n"/>
      <c r="H3453" s="18">
        <f>IF(AND(B3453="",C3453="",D3453="",E3453=""),"",IF(B3453="","⚠ Falta fecha",IF(C3453="","⚠ Falta monto",IF(D3453="","⚠ Falta categoría",IF(ISNA(MATCH(D3453,catNom,0)),"⚠ Categoría no existe",IF(E3453="","⚠ Falta cuenta",IF(ISNA(MATCH(E3453,ctaNom,0)),"⚠ Cuenta no existe",IF(AND(OR(I3453="Transferencia",I3453="Pago tarjeta"),G3453=""),"⚠ Indica la cuenta «Hacia»",IF(AND(G3453&lt;&gt;"",G3453=E3453),"⚠ «Hacia» igual a la cuenta",IF(AND(G3453&lt;&gt;"",ISNA(MATCH(G3453,ctaNom,0))),"⚠ «Hacia» no existe",IF(AND(I3453="Pago tarjeta",IFERROR(INDEX(ctaTipo,MATCH(G3453,ctaNom,0)),"")&lt;&gt;"Tarjeta de crédito"),"⚠ «Hacia» debe ser la tarjeta",IF(AND(I3453="Trading",IFERROR(INDEX(ctaTipo,MATCH(E3453,ctaNom,0)),"")&lt;&gt;"Cuenta de trading"),"⚠ Usa la cuenta de trading","✓"))))))))))))</f>
        <v/>
      </c>
      <c r="I3453" s="19">
        <f>IF(OR(B3453="",C3453="",D3453=""),"",IFERROR(INDEX(catTipo,MATCH(D3453,catNom,0))&amp;"",""))</f>
        <v/>
      </c>
      <c r="J3453" s="19">
        <f>IF(I3453="","",IFERROR(INDEX(catGrupo,MATCH(D3453,catNom,0))&amp;"",""))</f>
        <v/>
      </c>
      <c r="K3453" s="19">
        <f>IF(I3453="Gasto",IF(IFERROR(INDEX(catClas,MATCH(D3453,catNom,0))&amp;"","")="","Variable",IFERROR(INDEX(catClas,MATCH(D3453,catNom,0))&amp;"","")),"")</f>
        <v/>
      </c>
      <c r="L3453" s="19">
        <f>IF(I3453="","",IFERROR(INDEX(catAlim,MATCH(D3453,catNom,0))&amp;"",""))</f>
        <v/>
      </c>
      <c r="M3453" s="19">
        <f>IF(I3453="","",IFERROR(INDEX(catComida,MATCH(D3453,catNom,0))&amp;"",""))</f>
        <v/>
      </c>
      <c r="N3453" s="19">
        <f>IF(I3453="","",IFERROR(INDEX(ctaMon,MATCH(E3453,ctaNom,0))&amp;"","DOP"))</f>
        <v/>
      </c>
      <c r="O3453" s="20">
        <f>IF(I3453="","",C3453*IF(N3453="USD",TasaUSD,1))</f>
        <v/>
      </c>
      <c r="P3453" s="20">
        <f>IF(I3453="","",IF(I3453="Gasto",O3453,0))</f>
        <v/>
      </c>
      <c r="Q3453" s="20">
        <f>IF(I3453="","",IF(I3453="Ingreso",O3453,0))</f>
        <v/>
      </c>
      <c r="R3453" s="20">
        <f>IF(I3453="","",IF(I3453="Trading",O3453,0))</f>
        <v/>
      </c>
      <c r="S3453" s="19">
        <f>IF(I3453="","",IF(AND(I3453="Gasto",K3453="Variable",J3453&lt;&gt;"Trading",O3453&gt;0,O3453&lt;=Umbral),1,0))</f>
        <v/>
      </c>
      <c r="T3453" s="20">
        <f>IF(OR(I3453="",E3453=""),"",IF(OR(I3453="Gasto",I3453="Transferencia",I3453="Pago tarjeta"),-1,1)*C3453)</f>
        <v/>
      </c>
      <c r="U3453" s="20">
        <f>IF(OR(G3453="",AND(I3453&lt;&gt;"Transferencia",I3453&lt;&gt;"Pago tarjeta")),"",IF(IFERROR(INDEX(ctaMon,MATCH(G3453,ctaNom,0))&amp;"","DOP")=N3453,C3453,IF(N3453="USD",C3453*TasaUSD,C3453/TasaUSD)))</f>
        <v/>
      </c>
      <c r="V3453" s="20">
        <f>IF(I3453="","",IF(IFERROR(INDEX(ctaLiq,MATCH(E3453,ctaNom,0))="Sí",FALSE),IF(OR(I3453="Gasto",I3453="Transferencia",I3453="Pago tarjeta"),-1,1)*O3453,0)+IF(AND(U3453&lt;&gt;"",IFERROR(INDEX(ctaLiq,MATCH(G3453,ctaNom,0))="Sí",FALSE)),O3453,0))</f>
        <v/>
      </c>
      <c r="W3453" s="19">
        <f>IF(OR(F3453="",I3453=""),"",IF(COUNTIFS(F$6:F3453,F3453,I$6:I3453,"?*")=1,MAX(W$5:W3452)+1,""))</f>
        <v/>
      </c>
    </row>
    <row r="3454">
      <c r="B3454" s="15" t="n"/>
      <c r="C3454" s="16" t="n"/>
      <c r="D3454" s="17" t="n"/>
      <c r="E3454" s="17" t="n"/>
      <c r="F3454" s="17" t="n"/>
      <c r="G3454" s="17" t="n"/>
      <c r="H3454" s="18">
        <f>IF(AND(B3454="",C3454="",D3454="",E3454=""),"",IF(B3454="","⚠ Falta fecha",IF(C3454="","⚠ Falta monto",IF(D3454="","⚠ Falta categoría",IF(ISNA(MATCH(D3454,catNom,0)),"⚠ Categoría no existe",IF(E3454="","⚠ Falta cuenta",IF(ISNA(MATCH(E3454,ctaNom,0)),"⚠ Cuenta no existe",IF(AND(OR(I3454="Transferencia",I3454="Pago tarjeta"),G3454=""),"⚠ Indica la cuenta «Hacia»",IF(AND(G3454&lt;&gt;"",G3454=E3454),"⚠ «Hacia» igual a la cuenta",IF(AND(G3454&lt;&gt;"",ISNA(MATCH(G3454,ctaNom,0))),"⚠ «Hacia» no existe",IF(AND(I3454="Pago tarjeta",IFERROR(INDEX(ctaTipo,MATCH(G3454,ctaNom,0)),"")&lt;&gt;"Tarjeta de crédito"),"⚠ «Hacia» debe ser la tarjeta",IF(AND(I3454="Trading",IFERROR(INDEX(ctaTipo,MATCH(E3454,ctaNom,0)),"")&lt;&gt;"Cuenta de trading"),"⚠ Usa la cuenta de trading","✓"))))))))))))</f>
        <v/>
      </c>
      <c r="I3454" s="19">
        <f>IF(OR(B3454="",C3454="",D3454=""),"",IFERROR(INDEX(catTipo,MATCH(D3454,catNom,0))&amp;"",""))</f>
        <v/>
      </c>
      <c r="J3454" s="19">
        <f>IF(I3454="","",IFERROR(INDEX(catGrupo,MATCH(D3454,catNom,0))&amp;"",""))</f>
        <v/>
      </c>
      <c r="K3454" s="19">
        <f>IF(I3454="Gasto",IF(IFERROR(INDEX(catClas,MATCH(D3454,catNom,0))&amp;"","")="","Variable",IFERROR(INDEX(catClas,MATCH(D3454,catNom,0))&amp;"","")),"")</f>
        <v/>
      </c>
      <c r="L3454" s="19">
        <f>IF(I3454="","",IFERROR(INDEX(catAlim,MATCH(D3454,catNom,0))&amp;"",""))</f>
        <v/>
      </c>
      <c r="M3454" s="19">
        <f>IF(I3454="","",IFERROR(INDEX(catComida,MATCH(D3454,catNom,0))&amp;"",""))</f>
        <v/>
      </c>
      <c r="N3454" s="19">
        <f>IF(I3454="","",IFERROR(INDEX(ctaMon,MATCH(E3454,ctaNom,0))&amp;"","DOP"))</f>
        <v/>
      </c>
      <c r="O3454" s="20">
        <f>IF(I3454="","",C3454*IF(N3454="USD",TasaUSD,1))</f>
        <v/>
      </c>
      <c r="P3454" s="20">
        <f>IF(I3454="","",IF(I3454="Gasto",O3454,0))</f>
        <v/>
      </c>
      <c r="Q3454" s="20">
        <f>IF(I3454="","",IF(I3454="Ingreso",O3454,0))</f>
        <v/>
      </c>
      <c r="R3454" s="20">
        <f>IF(I3454="","",IF(I3454="Trading",O3454,0))</f>
        <v/>
      </c>
      <c r="S3454" s="19">
        <f>IF(I3454="","",IF(AND(I3454="Gasto",K3454="Variable",J3454&lt;&gt;"Trading",O3454&gt;0,O3454&lt;=Umbral),1,0))</f>
        <v/>
      </c>
      <c r="T3454" s="20">
        <f>IF(OR(I3454="",E3454=""),"",IF(OR(I3454="Gasto",I3454="Transferencia",I3454="Pago tarjeta"),-1,1)*C3454)</f>
        <v/>
      </c>
      <c r="U3454" s="20">
        <f>IF(OR(G3454="",AND(I3454&lt;&gt;"Transferencia",I3454&lt;&gt;"Pago tarjeta")),"",IF(IFERROR(INDEX(ctaMon,MATCH(G3454,ctaNom,0))&amp;"","DOP")=N3454,C3454,IF(N3454="USD",C3454*TasaUSD,C3454/TasaUSD)))</f>
        <v/>
      </c>
      <c r="V3454" s="20">
        <f>IF(I3454="","",IF(IFERROR(INDEX(ctaLiq,MATCH(E3454,ctaNom,0))="Sí",FALSE),IF(OR(I3454="Gasto",I3454="Transferencia",I3454="Pago tarjeta"),-1,1)*O3454,0)+IF(AND(U3454&lt;&gt;"",IFERROR(INDEX(ctaLiq,MATCH(G3454,ctaNom,0))="Sí",FALSE)),O3454,0))</f>
        <v/>
      </c>
      <c r="W3454" s="19">
        <f>IF(OR(F3454="",I3454=""),"",IF(COUNTIFS(F$6:F3454,F3454,I$6:I3454,"?*")=1,MAX(W$5:W3453)+1,""))</f>
        <v/>
      </c>
    </row>
    <row r="3455">
      <c r="B3455" s="15" t="n"/>
      <c r="C3455" s="16" t="n"/>
      <c r="D3455" s="17" t="n"/>
      <c r="E3455" s="17" t="n"/>
      <c r="F3455" s="17" t="n"/>
      <c r="G3455" s="17" t="n"/>
      <c r="H3455" s="18">
        <f>IF(AND(B3455="",C3455="",D3455="",E3455=""),"",IF(B3455="","⚠ Falta fecha",IF(C3455="","⚠ Falta monto",IF(D3455="","⚠ Falta categoría",IF(ISNA(MATCH(D3455,catNom,0)),"⚠ Categoría no existe",IF(E3455="","⚠ Falta cuenta",IF(ISNA(MATCH(E3455,ctaNom,0)),"⚠ Cuenta no existe",IF(AND(OR(I3455="Transferencia",I3455="Pago tarjeta"),G3455=""),"⚠ Indica la cuenta «Hacia»",IF(AND(G3455&lt;&gt;"",G3455=E3455),"⚠ «Hacia» igual a la cuenta",IF(AND(G3455&lt;&gt;"",ISNA(MATCH(G3455,ctaNom,0))),"⚠ «Hacia» no existe",IF(AND(I3455="Pago tarjeta",IFERROR(INDEX(ctaTipo,MATCH(G3455,ctaNom,0)),"")&lt;&gt;"Tarjeta de crédito"),"⚠ «Hacia» debe ser la tarjeta",IF(AND(I3455="Trading",IFERROR(INDEX(ctaTipo,MATCH(E3455,ctaNom,0)),"")&lt;&gt;"Cuenta de trading"),"⚠ Usa la cuenta de trading","✓"))))))))))))</f>
        <v/>
      </c>
      <c r="I3455" s="19">
        <f>IF(OR(B3455="",C3455="",D3455=""),"",IFERROR(INDEX(catTipo,MATCH(D3455,catNom,0))&amp;"",""))</f>
        <v/>
      </c>
      <c r="J3455" s="19">
        <f>IF(I3455="","",IFERROR(INDEX(catGrupo,MATCH(D3455,catNom,0))&amp;"",""))</f>
        <v/>
      </c>
      <c r="K3455" s="19">
        <f>IF(I3455="Gasto",IF(IFERROR(INDEX(catClas,MATCH(D3455,catNom,0))&amp;"","")="","Variable",IFERROR(INDEX(catClas,MATCH(D3455,catNom,0))&amp;"","")),"")</f>
        <v/>
      </c>
      <c r="L3455" s="19">
        <f>IF(I3455="","",IFERROR(INDEX(catAlim,MATCH(D3455,catNom,0))&amp;"",""))</f>
        <v/>
      </c>
      <c r="M3455" s="19">
        <f>IF(I3455="","",IFERROR(INDEX(catComida,MATCH(D3455,catNom,0))&amp;"",""))</f>
        <v/>
      </c>
      <c r="N3455" s="19">
        <f>IF(I3455="","",IFERROR(INDEX(ctaMon,MATCH(E3455,ctaNom,0))&amp;"","DOP"))</f>
        <v/>
      </c>
      <c r="O3455" s="20">
        <f>IF(I3455="","",C3455*IF(N3455="USD",TasaUSD,1))</f>
        <v/>
      </c>
      <c r="P3455" s="20">
        <f>IF(I3455="","",IF(I3455="Gasto",O3455,0))</f>
        <v/>
      </c>
      <c r="Q3455" s="20">
        <f>IF(I3455="","",IF(I3455="Ingreso",O3455,0))</f>
        <v/>
      </c>
      <c r="R3455" s="20">
        <f>IF(I3455="","",IF(I3455="Trading",O3455,0))</f>
        <v/>
      </c>
      <c r="S3455" s="19">
        <f>IF(I3455="","",IF(AND(I3455="Gasto",K3455="Variable",J3455&lt;&gt;"Trading",O3455&gt;0,O3455&lt;=Umbral),1,0))</f>
        <v/>
      </c>
      <c r="T3455" s="20">
        <f>IF(OR(I3455="",E3455=""),"",IF(OR(I3455="Gasto",I3455="Transferencia",I3455="Pago tarjeta"),-1,1)*C3455)</f>
        <v/>
      </c>
      <c r="U3455" s="20">
        <f>IF(OR(G3455="",AND(I3455&lt;&gt;"Transferencia",I3455&lt;&gt;"Pago tarjeta")),"",IF(IFERROR(INDEX(ctaMon,MATCH(G3455,ctaNom,0))&amp;"","DOP")=N3455,C3455,IF(N3455="USD",C3455*TasaUSD,C3455/TasaUSD)))</f>
        <v/>
      </c>
      <c r="V3455" s="20">
        <f>IF(I3455="","",IF(IFERROR(INDEX(ctaLiq,MATCH(E3455,ctaNom,0))="Sí",FALSE),IF(OR(I3455="Gasto",I3455="Transferencia",I3455="Pago tarjeta"),-1,1)*O3455,0)+IF(AND(U3455&lt;&gt;"",IFERROR(INDEX(ctaLiq,MATCH(G3455,ctaNom,0))="Sí",FALSE)),O3455,0))</f>
        <v/>
      </c>
      <c r="W3455" s="19">
        <f>IF(OR(F3455="",I3455=""),"",IF(COUNTIFS(F$6:F3455,F3455,I$6:I3455,"?*")=1,MAX(W$5:W3454)+1,""))</f>
        <v/>
      </c>
    </row>
    <row r="3456">
      <c r="B3456" s="15" t="n"/>
      <c r="C3456" s="16" t="n"/>
      <c r="D3456" s="17" t="n"/>
      <c r="E3456" s="17" t="n"/>
      <c r="F3456" s="17" t="n"/>
      <c r="G3456" s="17" t="n"/>
      <c r="H3456" s="18">
        <f>IF(AND(B3456="",C3456="",D3456="",E3456=""),"",IF(B3456="","⚠ Falta fecha",IF(C3456="","⚠ Falta monto",IF(D3456="","⚠ Falta categoría",IF(ISNA(MATCH(D3456,catNom,0)),"⚠ Categoría no existe",IF(E3456="","⚠ Falta cuenta",IF(ISNA(MATCH(E3456,ctaNom,0)),"⚠ Cuenta no existe",IF(AND(OR(I3456="Transferencia",I3456="Pago tarjeta"),G3456=""),"⚠ Indica la cuenta «Hacia»",IF(AND(G3456&lt;&gt;"",G3456=E3456),"⚠ «Hacia» igual a la cuenta",IF(AND(G3456&lt;&gt;"",ISNA(MATCH(G3456,ctaNom,0))),"⚠ «Hacia» no existe",IF(AND(I3456="Pago tarjeta",IFERROR(INDEX(ctaTipo,MATCH(G3456,ctaNom,0)),"")&lt;&gt;"Tarjeta de crédito"),"⚠ «Hacia» debe ser la tarjeta",IF(AND(I3456="Trading",IFERROR(INDEX(ctaTipo,MATCH(E3456,ctaNom,0)),"")&lt;&gt;"Cuenta de trading"),"⚠ Usa la cuenta de trading","✓"))))))))))))</f>
        <v/>
      </c>
      <c r="I3456" s="19">
        <f>IF(OR(B3456="",C3456="",D3456=""),"",IFERROR(INDEX(catTipo,MATCH(D3456,catNom,0))&amp;"",""))</f>
        <v/>
      </c>
      <c r="J3456" s="19">
        <f>IF(I3456="","",IFERROR(INDEX(catGrupo,MATCH(D3456,catNom,0))&amp;"",""))</f>
        <v/>
      </c>
      <c r="K3456" s="19">
        <f>IF(I3456="Gasto",IF(IFERROR(INDEX(catClas,MATCH(D3456,catNom,0))&amp;"","")="","Variable",IFERROR(INDEX(catClas,MATCH(D3456,catNom,0))&amp;"","")),"")</f>
        <v/>
      </c>
      <c r="L3456" s="19">
        <f>IF(I3456="","",IFERROR(INDEX(catAlim,MATCH(D3456,catNom,0))&amp;"",""))</f>
        <v/>
      </c>
      <c r="M3456" s="19">
        <f>IF(I3456="","",IFERROR(INDEX(catComida,MATCH(D3456,catNom,0))&amp;"",""))</f>
        <v/>
      </c>
      <c r="N3456" s="19">
        <f>IF(I3456="","",IFERROR(INDEX(ctaMon,MATCH(E3456,ctaNom,0))&amp;"","DOP"))</f>
        <v/>
      </c>
      <c r="O3456" s="20">
        <f>IF(I3456="","",C3456*IF(N3456="USD",TasaUSD,1))</f>
        <v/>
      </c>
      <c r="P3456" s="20">
        <f>IF(I3456="","",IF(I3456="Gasto",O3456,0))</f>
        <v/>
      </c>
      <c r="Q3456" s="20">
        <f>IF(I3456="","",IF(I3456="Ingreso",O3456,0))</f>
        <v/>
      </c>
      <c r="R3456" s="20">
        <f>IF(I3456="","",IF(I3456="Trading",O3456,0))</f>
        <v/>
      </c>
      <c r="S3456" s="19">
        <f>IF(I3456="","",IF(AND(I3456="Gasto",K3456="Variable",J3456&lt;&gt;"Trading",O3456&gt;0,O3456&lt;=Umbral),1,0))</f>
        <v/>
      </c>
      <c r="T3456" s="20">
        <f>IF(OR(I3456="",E3456=""),"",IF(OR(I3456="Gasto",I3456="Transferencia",I3456="Pago tarjeta"),-1,1)*C3456)</f>
        <v/>
      </c>
      <c r="U3456" s="20">
        <f>IF(OR(G3456="",AND(I3456&lt;&gt;"Transferencia",I3456&lt;&gt;"Pago tarjeta")),"",IF(IFERROR(INDEX(ctaMon,MATCH(G3456,ctaNom,0))&amp;"","DOP")=N3456,C3456,IF(N3456="USD",C3456*TasaUSD,C3456/TasaUSD)))</f>
        <v/>
      </c>
      <c r="V3456" s="20">
        <f>IF(I3456="","",IF(IFERROR(INDEX(ctaLiq,MATCH(E3456,ctaNom,0))="Sí",FALSE),IF(OR(I3456="Gasto",I3456="Transferencia",I3456="Pago tarjeta"),-1,1)*O3456,0)+IF(AND(U3456&lt;&gt;"",IFERROR(INDEX(ctaLiq,MATCH(G3456,ctaNom,0))="Sí",FALSE)),O3456,0))</f>
        <v/>
      </c>
      <c r="W3456" s="19">
        <f>IF(OR(F3456="",I3456=""),"",IF(COUNTIFS(F$6:F3456,F3456,I$6:I3456,"?*")=1,MAX(W$5:W3455)+1,""))</f>
        <v/>
      </c>
    </row>
    <row r="3457">
      <c r="B3457" s="15" t="n"/>
      <c r="C3457" s="16" t="n"/>
      <c r="D3457" s="17" t="n"/>
      <c r="E3457" s="17" t="n"/>
      <c r="F3457" s="17" t="n"/>
      <c r="G3457" s="17" t="n"/>
      <c r="H3457" s="18">
        <f>IF(AND(B3457="",C3457="",D3457="",E3457=""),"",IF(B3457="","⚠ Falta fecha",IF(C3457="","⚠ Falta monto",IF(D3457="","⚠ Falta categoría",IF(ISNA(MATCH(D3457,catNom,0)),"⚠ Categoría no existe",IF(E3457="","⚠ Falta cuenta",IF(ISNA(MATCH(E3457,ctaNom,0)),"⚠ Cuenta no existe",IF(AND(OR(I3457="Transferencia",I3457="Pago tarjeta"),G3457=""),"⚠ Indica la cuenta «Hacia»",IF(AND(G3457&lt;&gt;"",G3457=E3457),"⚠ «Hacia» igual a la cuenta",IF(AND(G3457&lt;&gt;"",ISNA(MATCH(G3457,ctaNom,0))),"⚠ «Hacia» no existe",IF(AND(I3457="Pago tarjeta",IFERROR(INDEX(ctaTipo,MATCH(G3457,ctaNom,0)),"")&lt;&gt;"Tarjeta de crédito"),"⚠ «Hacia» debe ser la tarjeta",IF(AND(I3457="Trading",IFERROR(INDEX(ctaTipo,MATCH(E3457,ctaNom,0)),"")&lt;&gt;"Cuenta de trading"),"⚠ Usa la cuenta de trading","✓"))))))))))))</f>
        <v/>
      </c>
      <c r="I3457" s="19">
        <f>IF(OR(B3457="",C3457="",D3457=""),"",IFERROR(INDEX(catTipo,MATCH(D3457,catNom,0))&amp;"",""))</f>
        <v/>
      </c>
      <c r="J3457" s="19">
        <f>IF(I3457="","",IFERROR(INDEX(catGrupo,MATCH(D3457,catNom,0))&amp;"",""))</f>
        <v/>
      </c>
      <c r="K3457" s="19">
        <f>IF(I3457="Gasto",IF(IFERROR(INDEX(catClas,MATCH(D3457,catNom,0))&amp;"","")="","Variable",IFERROR(INDEX(catClas,MATCH(D3457,catNom,0))&amp;"","")),"")</f>
        <v/>
      </c>
      <c r="L3457" s="19">
        <f>IF(I3457="","",IFERROR(INDEX(catAlim,MATCH(D3457,catNom,0))&amp;"",""))</f>
        <v/>
      </c>
      <c r="M3457" s="19">
        <f>IF(I3457="","",IFERROR(INDEX(catComida,MATCH(D3457,catNom,0))&amp;"",""))</f>
        <v/>
      </c>
      <c r="N3457" s="19">
        <f>IF(I3457="","",IFERROR(INDEX(ctaMon,MATCH(E3457,ctaNom,0))&amp;"","DOP"))</f>
        <v/>
      </c>
      <c r="O3457" s="20">
        <f>IF(I3457="","",C3457*IF(N3457="USD",TasaUSD,1))</f>
        <v/>
      </c>
      <c r="P3457" s="20">
        <f>IF(I3457="","",IF(I3457="Gasto",O3457,0))</f>
        <v/>
      </c>
      <c r="Q3457" s="20">
        <f>IF(I3457="","",IF(I3457="Ingreso",O3457,0))</f>
        <v/>
      </c>
      <c r="R3457" s="20">
        <f>IF(I3457="","",IF(I3457="Trading",O3457,0))</f>
        <v/>
      </c>
      <c r="S3457" s="19">
        <f>IF(I3457="","",IF(AND(I3457="Gasto",K3457="Variable",J3457&lt;&gt;"Trading",O3457&gt;0,O3457&lt;=Umbral),1,0))</f>
        <v/>
      </c>
      <c r="T3457" s="20">
        <f>IF(OR(I3457="",E3457=""),"",IF(OR(I3457="Gasto",I3457="Transferencia",I3457="Pago tarjeta"),-1,1)*C3457)</f>
        <v/>
      </c>
      <c r="U3457" s="20">
        <f>IF(OR(G3457="",AND(I3457&lt;&gt;"Transferencia",I3457&lt;&gt;"Pago tarjeta")),"",IF(IFERROR(INDEX(ctaMon,MATCH(G3457,ctaNom,0))&amp;"","DOP")=N3457,C3457,IF(N3457="USD",C3457*TasaUSD,C3457/TasaUSD)))</f>
        <v/>
      </c>
      <c r="V3457" s="20">
        <f>IF(I3457="","",IF(IFERROR(INDEX(ctaLiq,MATCH(E3457,ctaNom,0))="Sí",FALSE),IF(OR(I3457="Gasto",I3457="Transferencia",I3457="Pago tarjeta"),-1,1)*O3457,0)+IF(AND(U3457&lt;&gt;"",IFERROR(INDEX(ctaLiq,MATCH(G3457,ctaNom,0))="Sí",FALSE)),O3457,0))</f>
        <v/>
      </c>
      <c r="W3457" s="19">
        <f>IF(OR(F3457="",I3457=""),"",IF(COUNTIFS(F$6:F3457,F3457,I$6:I3457,"?*")=1,MAX(W$5:W3456)+1,""))</f>
        <v/>
      </c>
    </row>
    <row r="3458">
      <c r="B3458" s="15" t="n"/>
      <c r="C3458" s="16" t="n"/>
      <c r="D3458" s="17" t="n"/>
      <c r="E3458" s="17" t="n"/>
      <c r="F3458" s="17" t="n"/>
      <c r="G3458" s="17" t="n"/>
      <c r="H3458" s="18">
        <f>IF(AND(B3458="",C3458="",D3458="",E3458=""),"",IF(B3458="","⚠ Falta fecha",IF(C3458="","⚠ Falta monto",IF(D3458="","⚠ Falta categoría",IF(ISNA(MATCH(D3458,catNom,0)),"⚠ Categoría no existe",IF(E3458="","⚠ Falta cuenta",IF(ISNA(MATCH(E3458,ctaNom,0)),"⚠ Cuenta no existe",IF(AND(OR(I3458="Transferencia",I3458="Pago tarjeta"),G3458=""),"⚠ Indica la cuenta «Hacia»",IF(AND(G3458&lt;&gt;"",G3458=E3458),"⚠ «Hacia» igual a la cuenta",IF(AND(G3458&lt;&gt;"",ISNA(MATCH(G3458,ctaNom,0))),"⚠ «Hacia» no existe",IF(AND(I3458="Pago tarjeta",IFERROR(INDEX(ctaTipo,MATCH(G3458,ctaNom,0)),"")&lt;&gt;"Tarjeta de crédito"),"⚠ «Hacia» debe ser la tarjeta",IF(AND(I3458="Trading",IFERROR(INDEX(ctaTipo,MATCH(E3458,ctaNom,0)),"")&lt;&gt;"Cuenta de trading"),"⚠ Usa la cuenta de trading","✓"))))))))))))</f>
        <v/>
      </c>
      <c r="I3458" s="19">
        <f>IF(OR(B3458="",C3458="",D3458=""),"",IFERROR(INDEX(catTipo,MATCH(D3458,catNom,0))&amp;"",""))</f>
        <v/>
      </c>
      <c r="J3458" s="19">
        <f>IF(I3458="","",IFERROR(INDEX(catGrupo,MATCH(D3458,catNom,0))&amp;"",""))</f>
        <v/>
      </c>
      <c r="K3458" s="19">
        <f>IF(I3458="Gasto",IF(IFERROR(INDEX(catClas,MATCH(D3458,catNom,0))&amp;"","")="","Variable",IFERROR(INDEX(catClas,MATCH(D3458,catNom,0))&amp;"","")),"")</f>
        <v/>
      </c>
      <c r="L3458" s="19">
        <f>IF(I3458="","",IFERROR(INDEX(catAlim,MATCH(D3458,catNom,0))&amp;"",""))</f>
        <v/>
      </c>
      <c r="M3458" s="19">
        <f>IF(I3458="","",IFERROR(INDEX(catComida,MATCH(D3458,catNom,0))&amp;"",""))</f>
        <v/>
      </c>
      <c r="N3458" s="19">
        <f>IF(I3458="","",IFERROR(INDEX(ctaMon,MATCH(E3458,ctaNom,0))&amp;"","DOP"))</f>
        <v/>
      </c>
      <c r="O3458" s="20">
        <f>IF(I3458="","",C3458*IF(N3458="USD",TasaUSD,1))</f>
        <v/>
      </c>
      <c r="P3458" s="20">
        <f>IF(I3458="","",IF(I3458="Gasto",O3458,0))</f>
        <v/>
      </c>
      <c r="Q3458" s="20">
        <f>IF(I3458="","",IF(I3458="Ingreso",O3458,0))</f>
        <v/>
      </c>
      <c r="R3458" s="20">
        <f>IF(I3458="","",IF(I3458="Trading",O3458,0))</f>
        <v/>
      </c>
      <c r="S3458" s="19">
        <f>IF(I3458="","",IF(AND(I3458="Gasto",K3458="Variable",J3458&lt;&gt;"Trading",O3458&gt;0,O3458&lt;=Umbral),1,0))</f>
        <v/>
      </c>
      <c r="T3458" s="20">
        <f>IF(OR(I3458="",E3458=""),"",IF(OR(I3458="Gasto",I3458="Transferencia",I3458="Pago tarjeta"),-1,1)*C3458)</f>
        <v/>
      </c>
      <c r="U3458" s="20">
        <f>IF(OR(G3458="",AND(I3458&lt;&gt;"Transferencia",I3458&lt;&gt;"Pago tarjeta")),"",IF(IFERROR(INDEX(ctaMon,MATCH(G3458,ctaNom,0))&amp;"","DOP")=N3458,C3458,IF(N3458="USD",C3458*TasaUSD,C3458/TasaUSD)))</f>
        <v/>
      </c>
      <c r="V3458" s="20">
        <f>IF(I3458="","",IF(IFERROR(INDEX(ctaLiq,MATCH(E3458,ctaNom,0))="Sí",FALSE),IF(OR(I3458="Gasto",I3458="Transferencia",I3458="Pago tarjeta"),-1,1)*O3458,0)+IF(AND(U3458&lt;&gt;"",IFERROR(INDEX(ctaLiq,MATCH(G3458,ctaNom,0))="Sí",FALSE)),O3458,0))</f>
        <v/>
      </c>
      <c r="W3458" s="19">
        <f>IF(OR(F3458="",I3458=""),"",IF(COUNTIFS(F$6:F3458,F3458,I$6:I3458,"?*")=1,MAX(W$5:W3457)+1,""))</f>
        <v/>
      </c>
    </row>
    <row r="3459">
      <c r="B3459" s="15" t="n"/>
      <c r="C3459" s="16" t="n"/>
      <c r="D3459" s="17" t="n"/>
      <c r="E3459" s="17" t="n"/>
      <c r="F3459" s="17" t="n"/>
      <c r="G3459" s="17" t="n"/>
      <c r="H3459" s="18">
        <f>IF(AND(B3459="",C3459="",D3459="",E3459=""),"",IF(B3459="","⚠ Falta fecha",IF(C3459="","⚠ Falta monto",IF(D3459="","⚠ Falta categoría",IF(ISNA(MATCH(D3459,catNom,0)),"⚠ Categoría no existe",IF(E3459="","⚠ Falta cuenta",IF(ISNA(MATCH(E3459,ctaNom,0)),"⚠ Cuenta no existe",IF(AND(OR(I3459="Transferencia",I3459="Pago tarjeta"),G3459=""),"⚠ Indica la cuenta «Hacia»",IF(AND(G3459&lt;&gt;"",G3459=E3459),"⚠ «Hacia» igual a la cuenta",IF(AND(G3459&lt;&gt;"",ISNA(MATCH(G3459,ctaNom,0))),"⚠ «Hacia» no existe",IF(AND(I3459="Pago tarjeta",IFERROR(INDEX(ctaTipo,MATCH(G3459,ctaNom,0)),"")&lt;&gt;"Tarjeta de crédito"),"⚠ «Hacia» debe ser la tarjeta",IF(AND(I3459="Trading",IFERROR(INDEX(ctaTipo,MATCH(E3459,ctaNom,0)),"")&lt;&gt;"Cuenta de trading"),"⚠ Usa la cuenta de trading","✓"))))))))))))</f>
        <v/>
      </c>
      <c r="I3459" s="19">
        <f>IF(OR(B3459="",C3459="",D3459=""),"",IFERROR(INDEX(catTipo,MATCH(D3459,catNom,0))&amp;"",""))</f>
        <v/>
      </c>
      <c r="J3459" s="19">
        <f>IF(I3459="","",IFERROR(INDEX(catGrupo,MATCH(D3459,catNom,0))&amp;"",""))</f>
        <v/>
      </c>
      <c r="K3459" s="19">
        <f>IF(I3459="Gasto",IF(IFERROR(INDEX(catClas,MATCH(D3459,catNom,0))&amp;"","")="","Variable",IFERROR(INDEX(catClas,MATCH(D3459,catNom,0))&amp;"","")),"")</f>
        <v/>
      </c>
      <c r="L3459" s="19">
        <f>IF(I3459="","",IFERROR(INDEX(catAlim,MATCH(D3459,catNom,0))&amp;"",""))</f>
        <v/>
      </c>
      <c r="M3459" s="19">
        <f>IF(I3459="","",IFERROR(INDEX(catComida,MATCH(D3459,catNom,0))&amp;"",""))</f>
        <v/>
      </c>
      <c r="N3459" s="19">
        <f>IF(I3459="","",IFERROR(INDEX(ctaMon,MATCH(E3459,ctaNom,0))&amp;"","DOP"))</f>
        <v/>
      </c>
      <c r="O3459" s="20">
        <f>IF(I3459="","",C3459*IF(N3459="USD",TasaUSD,1))</f>
        <v/>
      </c>
      <c r="P3459" s="20">
        <f>IF(I3459="","",IF(I3459="Gasto",O3459,0))</f>
        <v/>
      </c>
      <c r="Q3459" s="20">
        <f>IF(I3459="","",IF(I3459="Ingreso",O3459,0))</f>
        <v/>
      </c>
      <c r="R3459" s="20">
        <f>IF(I3459="","",IF(I3459="Trading",O3459,0))</f>
        <v/>
      </c>
      <c r="S3459" s="19">
        <f>IF(I3459="","",IF(AND(I3459="Gasto",K3459="Variable",J3459&lt;&gt;"Trading",O3459&gt;0,O3459&lt;=Umbral),1,0))</f>
        <v/>
      </c>
      <c r="T3459" s="20">
        <f>IF(OR(I3459="",E3459=""),"",IF(OR(I3459="Gasto",I3459="Transferencia",I3459="Pago tarjeta"),-1,1)*C3459)</f>
        <v/>
      </c>
      <c r="U3459" s="20">
        <f>IF(OR(G3459="",AND(I3459&lt;&gt;"Transferencia",I3459&lt;&gt;"Pago tarjeta")),"",IF(IFERROR(INDEX(ctaMon,MATCH(G3459,ctaNom,0))&amp;"","DOP")=N3459,C3459,IF(N3459="USD",C3459*TasaUSD,C3459/TasaUSD)))</f>
        <v/>
      </c>
      <c r="V3459" s="20">
        <f>IF(I3459="","",IF(IFERROR(INDEX(ctaLiq,MATCH(E3459,ctaNom,0))="Sí",FALSE),IF(OR(I3459="Gasto",I3459="Transferencia",I3459="Pago tarjeta"),-1,1)*O3459,0)+IF(AND(U3459&lt;&gt;"",IFERROR(INDEX(ctaLiq,MATCH(G3459,ctaNom,0))="Sí",FALSE)),O3459,0))</f>
        <v/>
      </c>
      <c r="W3459" s="19">
        <f>IF(OR(F3459="",I3459=""),"",IF(COUNTIFS(F$6:F3459,F3459,I$6:I3459,"?*")=1,MAX(W$5:W3458)+1,""))</f>
        <v/>
      </c>
    </row>
    <row r="3460">
      <c r="B3460" s="15" t="n"/>
      <c r="C3460" s="16" t="n"/>
      <c r="D3460" s="17" t="n"/>
      <c r="E3460" s="17" t="n"/>
      <c r="F3460" s="17" t="n"/>
      <c r="G3460" s="17" t="n"/>
      <c r="H3460" s="18">
        <f>IF(AND(B3460="",C3460="",D3460="",E3460=""),"",IF(B3460="","⚠ Falta fecha",IF(C3460="","⚠ Falta monto",IF(D3460="","⚠ Falta categoría",IF(ISNA(MATCH(D3460,catNom,0)),"⚠ Categoría no existe",IF(E3460="","⚠ Falta cuenta",IF(ISNA(MATCH(E3460,ctaNom,0)),"⚠ Cuenta no existe",IF(AND(OR(I3460="Transferencia",I3460="Pago tarjeta"),G3460=""),"⚠ Indica la cuenta «Hacia»",IF(AND(G3460&lt;&gt;"",G3460=E3460),"⚠ «Hacia» igual a la cuenta",IF(AND(G3460&lt;&gt;"",ISNA(MATCH(G3460,ctaNom,0))),"⚠ «Hacia» no existe",IF(AND(I3460="Pago tarjeta",IFERROR(INDEX(ctaTipo,MATCH(G3460,ctaNom,0)),"")&lt;&gt;"Tarjeta de crédito"),"⚠ «Hacia» debe ser la tarjeta",IF(AND(I3460="Trading",IFERROR(INDEX(ctaTipo,MATCH(E3460,ctaNom,0)),"")&lt;&gt;"Cuenta de trading"),"⚠ Usa la cuenta de trading","✓"))))))))))))</f>
        <v/>
      </c>
      <c r="I3460" s="19">
        <f>IF(OR(B3460="",C3460="",D3460=""),"",IFERROR(INDEX(catTipo,MATCH(D3460,catNom,0))&amp;"",""))</f>
        <v/>
      </c>
      <c r="J3460" s="19">
        <f>IF(I3460="","",IFERROR(INDEX(catGrupo,MATCH(D3460,catNom,0))&amp;"",""))</f>
        <v/>
      </c>
      <c r="K3460" s="19">
        <f>IF(I3460="Gasto",IF(IFERROR(INDEX(catClas,MATCH(D3460,catNom,0))&amp;"","")="","Variable",IFERROR(INDEX(catClas,MATCH(D3460,catNom,0))&amp;"","")),"")</f>
        <v/>
      </c>
      <c r="L3460" s="19">
        <f>IF(I3460="","",IFERROR(INDEX(catAlim,MATCH(D3460,catNom,0))&amp;"",""))</f>
        <v/>
      </c>
      <c r="M3460" s="19">
        <f>IF(I3460="","",IFERROR(INDEX(catComida,MATCH(D3460,catNom,0))&amp;"",""))</f>
        <v/>
      </c>
      <c r="N3460" s="19">
        <f>IF(I3460="","",IFERROR(INDEX(ctaMon,MATCH(E3460,ctaNom,0))&amp;"","DOP"))</f>
        <v/>
      </c>
      <c r="O3460" s="20">
        <f>IF(I3460="","",C3460*IF(N3460="USD",TasaUSD,1))</f>
        <v/>
      </c>
      <c r="P3460" s="20">
        <f>IF(I3460="","",IF(I3460="Gasto",O3460,0))</f>
        <v/>
      </c>
      <c r="Q3460" s="20">
        <f>IF(I3460="","",IF(I3460="Ingreso",O3460,0))</f>
        <v/>
      </c>
      <c r="R3460" s="20">
        <f>IF(I3460="","",IF(I3460="Trading",O3460,0))</f>
        <v/>
      </c>
      <c r="S3460" s="19">
        <f>IF(I3460="","",IF(AND(I3460="Gasto",K3460="Variable",J3460&lt;&gt;"Trading",O3460&gt;0,O3460&lt;=Umbral),1,0))</f>
        <v/>
      </c>
      <c r="T3460" s="20">
        <f>IF(OR(I3460="",E3460=""),"",IF(OR(I3460="Gasto",I3460="Transferencia",I3460="Pago tarjeta"),-1,1)*C3460)</f>
        <v/>
      </c>
      <c r="U3460" s="20">
        <f>IF(OR(G3460="",AND(I3460&lt;&gt;"Transferencia",I3460&lt;&gt;"Pago tarjeta")),"",IF(IFERROR(INDEX(ctaMon,MATCH(G3460,ctaNom,0))&amp;"","DOP")=N3460,C3460,IF(N3460="USD",C3460*TasaUSD,C3460/TasaUSD)))</f>
        <v/>
      </c>
      <c r="V3460" s="20">
        <f>IF(I3460="","",IF(IFERROR(INDEX(ctaLiq,MATCH(E3460,ctaNom,0))="Sí",FALSE),IF(OR(I3460="Gasto",I3460="Transferencia",I3460="Pago tarjeta"),-1,1)*O3460,0)+IF(AND(U3460&lt;&gt;"",IFERROR(INDEX(ctaLiq,MATCH(G3460,ctaNom,0))="Sí",FALSE)),O3460,0))</f>
        <v/>
      </c>
      <c r="W3460" s="19">
        <f>IF(OR(F3460="",I3460=""),"",IF(COUNTIFS(F$6:F3460,F3460,I$6:I3460,"?*")=1,MAX(W$5:W3459)+1,""))</f>
        <v/>
      </c>
    </row>
    <row r="3461">
      <c r="B3461" s="15" t="n"/>
      <c r="C3461" s="16" t="n"/>
      <c r="D3461" s="17" t="n"/>
      <c r="E3461" s="17" t="n"/>
      <c r="F3461" s="17" t="n"/>
      <c r="G3461" s="17" t="n"/>
      <c r="H3461" s="18">
        <f>IF(AND(B3461="",C3461="",D3461="",E3461=""),"",IF(B3461="","⚠ Falta fecha",IF(C3461="","⚠ Falta monto",IF(D3461="","⚠ Falta categoría",IF(ISNA(MATCH(D3461,catNom,0)),"⚠ Categoría no existe",IF(E3461="","⚠ Falta cuenta",IF(ISNA(MATCH(E3461,ctaNom,0)),"⚠ Cuenta no existe",IF(AND(OR(I3461="Transferencia",I3461="Pago tarjeta"),G3461=""),"⚠ Indica la cuenta «Hacia»",IF(AND(G3461&lt;&gt;"",G3461=E3461),"⚠ «Hacia» igual a la cuenta",IF(AND(G3461&lt;&gt;"",ISNA(MATCH(G3461,ctaNom,0))),"⚠ «Hacia» no existe",IF(AND(I3461="Pago tarjeta",IFERROR(INDEX(ctaTipo,MATCH(G3461,ctaNom,0)),"")&lt;&gt;"Tarjeta de crédito"),"⚠ «Hacia» debe ser la tarjeta",IF(AND(I3461="Trading",IFERROR(INDEX(ctaTipo,MATCH(E3461,ctaNom,0)),"")&lt;&gt;"Cuenta de trading"),"⚠ Usa la cuenta de trading","✓"))))))))))))</f>
        <v/>
      </c>
      <c r="I3461" s="19">
        <f>IF(OR(B3461="",C3461="",D3461=""),"",IFERROR(INDEX(catTipo,MATCH(D3461,catNom,0))&amp;"",""))</f>
        <v/>
      </c>
      <c r="J3461" s="19">
        <f>IF(I3461="","",IFERROR(INDEX(catGrupo,MATCH(D3461,catNom,0))&amp;"",""))</f>
        <v/>
      </c>
      <c r="K3461" s="19">
        <f>IF(I3461="Gasto",IF(IFERROR(INDEX(catClas,MATCH(D3461,catNom,0))&amp;"","")="","Variable",IFERROR(INDEX(catClas,MATCH(D3461,catNom,0))&amp;"","")),"")</f>
        <v/>
      </c>
      <c r="L3461" s="19">
        <f>IF(I3461="","",IFERROR(INDEX(catAlim,MATCH(D3461,catNom,0))&amp;"",""))</f>
        <v/>
      </c>
      <c r="M3461" s="19">
        <f>IF(I3461="","",IFERROR(INDEX(catComida,MATCH(D3461,catNom,0))&amp;"",""))</f>
        <v/>
      </c>
      <c r="N3461" s="19">
        <f>IF(I3461="","",IFERROR(INDEX(ctaMon,MATCH(E3461,ctaNom,0))&amp;"","DOP"))</f>
        <v/>
      </c>
      <c r="O3461" s="20">
        <f>IF(I3461="","",C3461*IF(N3461="USD",TasaUSD,1))</f>
        <v/>
      </c>
      <c r="P3461" s="20">
        <f>IF(I3461="","",IF(I3461="Gasto",O3461,0))</f>
        <v/>
      </c>
      <c r="Q3461" s="20">
        <f>IF(I3461="","",IF(I3461="Ingreso",O3461,0))</f>
        <v/>
      </c>
      <c r="R3461" s="20">
        <f>IF(I3461="","",IF(I3461="Trading",O3461,0))</f>
        <v/>
      </c>
      <c r="S3461" s="19">
        <f>IF(I3461="","",IF(AND(I3461="Gasto",K3461="Variable",J3461&lt;&gt;"Trading",O3461&gt;0,O3461&lt;=Umbral),1,0))</f>
        <v/>
      </c>
      <c r="T3461" s="20">
        <f>IF(OR(I3461="",E3461=""),"",IF(OR(I3461="Gasto",I3461="Transferencia",I3461="Pago tarjeta"),-1,1)*C3461)</f>
        <v/>
      </c>
      <c r="U3461" s="20">
        <f>IF(OR(G3461="",AND(I3461&lt;&gt;"Transferencia",I3461&lt;&gt;"Pago tarjeta")),"",IF(IFERROR(INDEX(ctaMon,MATCH(G3461,ctaNom,0))&amp;"","DOP")=N3461,C3461,IF(N3461="USD",C3461*TasaUSD,C3461/TasaUSD)))</f>
        <v/>
      </c>
      <c r="V3461" s="20">
        <f>IF(I3461="","",IF(IFERROR(INDEX(ctaLiq,MATCH(E3461,ctaNom,0))="Sí",FALSE),IF(OR(I3461="Gasto",I3461="Transferencia",I3461="Pago tarjeta"),-1,1)*O3461,0)+IF(AND(U3461&lt;&gt;"",IFERROR(INDEX(ctaLiq,MATCH(G3461,ctaNom,0))="Sí",FALSE)),O3461,0))</f>
        <v/>
      </c>
      <c r="W3461" s="19">
        <f>IF(OR(F3461="",I3461=""),"",IF(COUNTIFS(F$6:F3461,F3461,I$6:I3461,"?*")=1,MAX(W$5:W3460)+1,""))</f>
        <v/>
      </c>
    </row>
    <row r="3462">
      <c r="B3462" s="15" t="n"/>
      <c r="C3462" s="16" t="n"/>
      <c r="D3462" s="17" t="n"/>
      <c r="E3462" s="17" t="n"/>
      <c r="F3462" s="17" t="n"/>
      <c r="G3462" s="17" t="n"/>
      <c r="H3462" s="18">
        <f>IF(AND(B3462="",C3462="",D3462="",E3462=""),"",IF(B3462="","⚠ Falta fecha",IF(C3462="","⚠ Falta monto",IF(D3462="","⚠ Falta categoría",IF(ISNA(MATCH(D3462,catNom,0)),"⚠ Categoría no existe",IF(E3462="","⚠ Falta cuenta",IF(ISNA(MATCH(E3462,ctaNom,0)),"⚠ Cuenta no existe",IF(AND(OR(I3462="Transferencia",I3462="Pago tarjeta"),G3462=""),"⚠ Indica la cuenta «Hacia»",IF(AND(G3462&lt;&gt;"",G3462=E3462),"⚠ «Hacia» igual a la cuenta",IF(AND(G3462&lt;&gt;"",ISNA(MATCH(G3462,ctaNom,0))),"⚠ «Hacia» no existe",IF(AND(I3462="Pago tarjeta",IFERROR(INDEX(ctaTipo,MATCH(G3462,ctaNom,0)),"")&lt;&gt;"Tarjeta de crédito"),"⚠ «Hacia» debe ser la tarjeta",IF(AND(I3462="Trading",IFERROR(INDEX(ctaTipo,MATCH(E3462,ctaNom,0)),"")&lt;&gt;"Cuenta de trading"),"⚠ Usa la cuenta de trading","✓"))))))))))))</f>
        <v/>
      </c>
      <c r="I3462" s="19">
        <f>IF(OR(B3462="",C3462="",D3462=""),"",IFERROR(INDEX(catTipo,MATCH(D3462,catNom,0))&amp;"",""))</f>
        <v/>
      </c>
      <c r="J3462" s="19">
        <f>IF(I3462="","",IFERROR(INDEX(catGrupo,MATCH(D3462,catNom,0))&amp;"",""))</f>
        <v/>
      </c>
      <c r="K3462" s="19">
        <f>IF(I3462="Gasto",IF(IFERROR(INDEX(catClas,MATCH(D3462,catNom,0))&amp;"","")="","Variable",IFERROR(INDEX(catClas,MATCH(D3462,catNom,0))&amp;"","")),"")</f>
        <v/>
      </c>
      <c r="L3462" s="19">
        <f>IF(I3462="","",IFERROR(INDEX(catAlim,MATCH(D3462,catNom,0))&amp;"",""))</f>
        <v/>
      </c>
      <c r="M3462" s="19">
        <f>IF(I3462="","",IFERROR(INDEX(catComida,MATCH(D3462,catNom,0))&amp;"",""))</f>
        <v/>
      </c>
      <c r="N3462" s="19">
        <f>IF(I3462="","",IFERROR(INDEX(ctaMon,MATCH(E3462,ctaNom,0))&amp;"","DOP"))</f>
        <v/>
      </c>
      <c r="O3462" s="20">
        <f>IF(I3462="","",C3462*IF(N3462="USD",TasaUSD,1))</f>
        <v/>
      </c>
      <c r="P3462" s="20">
        <f>IF(I3462="","",IF(I3462="Gasto",O3462,0))</f>
        <v/>
      </c>
      <c r="Q3462" s="20">
        <f>IF(I3462="","",IF(I3462="Ingreso",O3462,0))</f>
        <v/>
      </c>
      <c r="R3462" s="20">
        <f>IF(I3462="","",IF(I3462="Trading",O3462,0))</f>
        <v/>
      </c>
      <c r="S3462" s="19">
        <f>IF(I3462="","",IF(AND(I3462="Gasto",K3462="Variable",J3462&lt;&gt;"Trading",O3462&gt;0,O3462&lt;=Umbral),1,0))</f>
        <v/>
      </c>
      <c r="T3462" s="20">
        <f>IF(OR(I3462="",E3462=""),"",IF(OR(I3462="Gasto",I3462="Transferencia",I3462="Pago tarjeta"),-1,1)*C3462)</f>
        <v/>
      </c>
      <c r="U3462" s="20">
        <f>IF(OR(G3462="",AND(I3462&lt;&gt;"Transferencia",I3462&lt;&gt;"Pago tarjeta")),"",IF(IFERROR(INDEX(ctaMon,MATCH(G3462,ctaNom,0))&amp;"","DOP")=N3462,C3462,IF(N3462="USD",C3462*TasaUSD,C3462/TasaUSD)))</f>
        <v/>
      </c>
      <c r="V3462" s="20">
        <f>IF(I3462="","",IF(IFERROR(INDEX(ctaLiq,MATCH(E3462,ctaNom,0))="Sí",FALSE),IF(OR(I3462="Gasto",I3462="Transferencia",I3462="Pago tarjeta"),-1,1)*O3462,0)+IF(AND(U3462&lt;&gt;"",IFERROR(INDEX(ctaLiq,MATCH(G3462,ctaNom,0))="Sí",FALSE)),O3462,0))</f>
        <v/>
      </c>
      <c r="W3462" s="19">
        <f>IF(OR(F3462="",I3462=""),"",IF(COUNTIFS(F$6:F3462,F3462,I$6:I3462,"?*")=1,MAX(W$5:W3461)+1,""))</f>
        <v/>
      </c>
    </row>
    <row r="3463">
      <c r="B3463" s="15" t="n"/>
      <c r="C3463" s="16" t="n"/>
      <c r="D3463" s="17" t="n"/>
      <c r="E3463" s="17" t="n"/>
      <c r="F3463" s="17" t="n"/>
      <c r="G3463" s="17" t="n"/>
      <c r="H3463" s="18">
        <f>IF(AND(B3463="",C3463="",D3463="",E3463=""),"",IF(B3463="","⚠ Falta fecha",IF(C3463="","⚠ Falta monto",IF(D3463="","⚠ Falta categoría",IF(ISNA(MATCH(D3463,catNom,0)),"⚠ Categoría no existe",IF(E3463="","⚠ Falta cuenta",IF(ISNA(MATCH(E3463,ctaNom,0)),"⚠ Cuenta no existe",IF(AND(OR(I3463="Transferencia",I3463="Pago tarjeta"),G3463=""),"⚠ Indica la cuenta «Hacia»",IF(AND(G3463&lt;&gt;"",G3463=E3463),"⚠ «Hacia» igual a la cuenta",IF(AND(G3463&lt;&gt;"",ISNA(MATCH(G3463,ctaNom,0))),"⚠ «Hacia» no existe",IF(AND(I3463="Pago tarjeta",IFERROR(INDEX(ctaTipo,MATCH(G3463,ctaNom,0)),"")&lt;&gt;"Tarjeta de crédito"),"⚠ «Hacia» debe ser la tarjeta",IF(AND(I3463="Trading",IFERROR(INDEX(ctaTipo,MATCH(E3463,ctaNom,0)),"")&lt;&gt;"Cuenta de trading"),"⚠ Usa la cuenta de trading","✓"))))))))))))</f>
        <v/>
      </c>
      <c r="I3463" s="19">
        <f>IF(OR(B3463="",C3463="",D3463=""),"",IFERROR(INDEX(catTipo,MATCH(D3463,catNom,0))&amp;"",""))</f>
        <v/>
      </c>
      <c r="J3463" s="19">
        <f>IF(I3463="","",IFERROR(INDEX(catGrupo,MATCH(D3463,catNom,0))&amp;"",""))</f>
        <v/>
      </c>
      <c r="K3463" s="19">
        <f>IF(I3463="Gasto",IF(IFERROR(INDEX(catClas,MATCH(D3463,catNom,0))&amp;"","")="","Variable",IFERROR(INDEX(catClas,MATCH(D3463,catNom,0))&amp;"","")),"")</f>
        <v/>
      </c>
      <c r="L3463" s="19">
        <f>IF(I3463="","",IFERROR(INDEX(catAlim,MATCH(D3463,catNom,0))&amp;"",""))</f>
        <v/>
      </c>
      <c r="M3463" s="19">
        <f>IF(I3463="","",IFERROR(INDEX(catComida,MATCH(D3463,catNom,0))&amp;"",""))</f>
        <v/>
      </c>
      <c r="N3463" s="19">
        <f>IF(I3463="","",IFERROR(INDEX(ctaMon,MATCH(E3463,ctaNom,0))&amp;"","DOP"))</f>
        <v/>
      </c>
      <c r="O3463" s="20">
        <f>IF(I3463="","",C3463*IF(N3463="USD",TasaUSD,1))</f>
        <v/>
      </c>
      <c r="P3463" s="20">
        <f>IF(I3463="","",IF(I3463="Gasto",O3463,0))</f>
        <v/>
      </c>
      <c r="Q3463" s="20">
        <f>IF(I3463="","",IF(I3463="Ingreso",O3463,0))</f>
        <v/>
      </c>
      <c r="R3463" s="20">
        <f>IF(I3463="","",IF(I3463="Trading",O3463,0))</f>
        <v/>
      </c>
      <c r="S3463" s="19">
        <f>IF(I3463="","",IF(AND(I3463="Gasto",K3463="Variable",J3463&lt;&gt;"Trading",O3463&gt;0,O3463&lt;=Umbral),1,0))</f>
        <v/>
      </c>
      <c r="T3463" s="20">
        <f>IF(OR(I3463="",E3463=""),"",IF(OR(I3463="Gasto",I3463="Transferencia",I3463="Pago tarjeta"),-1,1)*C3463)</f>
        <v/>
      </c>
      <c r="U3463" s="20">
        <f>IF(OR(G3463="",AND(I3463&lt;&gt;"Transferencia",I3463&lt;&gt;"Pago tarjeta")),"",IF(IFERROR(INDEX(ctaMon,MATCH(G3463,ctaNom,0))&amp;"","DOP")=N3463,C3463,IF(N3463="USD",C3463*TasaUSD,C3463/TasaUSD)))</f>
        <v/>
      </c>
      <c r="V3463" s="20">
        <f>IF(I3463="","",IF(IFERROR(INDEX(ctaLiq,MATCH(E3463,ctaNom,0))="Sí",FALSE),IF(OR(I3463="Gasto",I3463="Transferencia",I3463="Pago tarjeta"),-1,1)*O3463,0)+IF(AND(U3463&lt;&gt;"",IFERROR(INDEX(ctaLiq,MATCH(G3463,ctaNom,0))="Sí",FALSE)),O3463,0))</f>
        <v/>
      </c>
      <c r="W3463" s="19">
        <f>IF(OR(F3463="",I3463=""),"",IF(COUNTIFS(F$6:F3463,F3463,I$6:I3463,"?*")=1,MAX(W$5:W3462)+1,""))</f>
        <v/>
      </c>
    </row>
    <row r="3464">
      <c r="B3464" s="15" t="n"/>
      <c r="C3464" s="16" t="n"/>
      <c r="D3464" s="17" t="n"/>
      <c r="E3464" s="17" t="n"/>
      <c r="F3464" s="17" t="n"/>
      <c r="G3464" s="17" t="n"/>
      <c r="H3464" s="18">
        <f>IF(AND(B3464="",C3464="",D3464="",E3464=""),"",IF(B3464="","⚠ Falta fecha",IF(C3464="","⚠ Falta monto",IF(D3464="","⚠ Falta categoría",IF(ISNA(MATCH(D3464,catNom,0)),"⚠ Categoría no existe",IF(E3464="","⚠ Falta cuenta",IF(ISNA(MATCH(E3464,ctaNom,0)),"⚠ Cuenta no existe",IF(AND(OR(I3464="Transferencia",I3464="Pago tarjeta"),G3464=""),"⚠ Indica la cuenta «Hacia»",IF(AND(G3464&lt;&gt;"",G3464=E3464),"⚠ «Hacia» igual a la cuenta",IF(AND(G3464&lt;&gt;"",ISNA(MATCH(G3464,ctaNom,0))),"⚠ «Hacia» no existe",IF(AND(I3464="Pago tarjeta",IFERROR(INDEX(ctaTipo,MATCH(G3464,ctaNom,0)),"")&lt;&gt;"Tarjeta de crédito"),"⚠ «Hacia» debe ser la tarjeta",IF(AND(I3464="Trading",IFERROR(INDEX(ctaTipo,MATCH(E3464,ctaNom,0)),"")&lt;&gt;"Cuenta de trading"),"⚠ Usa la cuenta de trading","✓"))))))))))))</f>
        <v/>
      </c>
      <c r="I3464" s="19">
        <f>IF(OR(B3464="",C3464="",D3464=""),"",IFERROR(INDEX(catTipo,MATCH(D3464,catNom,0))&amp;"",""))</f>
        <v/>
      </c>
      <c r="J3464" s="19">
        <f>IF(I3464="","",IFERROR(INDEX(catGrupo,MATCH(D3464,catNom,0))&amp;"",""))</f>
        <v/>
      </c>
      <c r="K3464" s="19">
        <f>IF(I3464="Gasto",IF(IFERROR(INDEX(catClas,MATCH(D3464,catNom,0))&amp;"","")="","Variable",IFERROR(INDEX(catClas,MATCH(D3464,catNom,0))&amp;"","")),"")</f>
        <v/>
      </c>
      <c r="L3464" s="19">
        <f>IF(I3464="","",IFERROR(INDEX(catAlim,MATCH(D3464,catNom,0))&amp;"",""))</f>
        <v/>
      </c>
      <c r="M3464" s="19">
        <f>IF(I3464="","",IFERROR(INDEX(catComida,MATCH(D3464,catNom,0))&amp;"",""))</f>
        <v/>
      </c>
      <c r="N3464" s="19">
        <f>IF(I3464="","",IFERROR(INDEX(ctaMon,MATCH(E3464,ctaNom,0))&amp;"","DOP"))</f>
        <v/>
      </c>
      <c r="O3464" s="20">
        <f>IF(I3464="","",C3464*IF(N3464="USD",TasaUSD,1))</f>
        <v/>
      </c>
      <c r="P3464" s="20">
        <f>IF(I3464="","",IF(I3464="Gasto",O3464,0))</f>
        <v/>
      </c>
      <c r="Q3464" s="20">
        <f>IF(I3464="","",IF(I3464="Ingreso",O3464,0))</f>
        <v/>
      </c>
      <c r="R3464" s="20">
        <f>IF(I3464="","",IF(I3464="Trading",O3464,0))</f>
        <v/>
      </c>
      <c r="S3464" s="19">
        <f>IF(I3464="","",IF(AND(I3464="Gasto",K3464="Variable",J3464&lt;&gt;"Trading",O3464&gt;0,O3464&lt;=Umbral),1,0))</f>
        <v/>
      </c>
      <c r="T3464" s="20">
        <f>IF(OR(I3464="",E3464=""),"",IF(OR(I3464="Gasto",I3464="Transferencia",I3464="Pago tarjeta"),-1,1)*C3464)</f>
        <v/>
      </c>
      <c r="U3464" s="20">
        <f>IF(OR(G3464="",AND(I3464&lt;&gt;"Transferencia",I3464&lt;&gt;"Pago tarjeta")),"",IF(IFERROR(INDEX(ctaMon,MATCH(G3464,ctaNom,0))&amp;"","DOP")=N3464,C3464,IF(N3464="USD",C3464*TasaUSD,C3464/TasaUSD)))</f>
        <v/>
      </c>
      <c r="V3464" s="20">
        <f>IF(I3464="","",IF(IFERROR(INDEX(ctaLiq,MATCH(E3464,ctaNom,0))="Sí",FALSE),IF(OR(I3464="Gasto",I3464="Transferencia",I3464="Pago tarjeta"),-1,1)*O3464,0)+IF(AND(U3464&lt;&gt;"",IFERROR(INDEX(ctaLiq,MATCH(G3464,ctaNom,0))="Sí",FALSE)),O3464,0))</f>
        <v/>
      </c>
      <c r="W3464" s="19">
        <f>IF(OR(F3464="",I3464=""),"",IF(COUNTIFS(F$6:F3464,F3464,I$6:I3464,"?*")=1,MAX(W$5:W3463)+1,""))</f>
        <v/>
      </c>
    </row>
    <row r="3465">
      <c r="B3465" s="15" t="n"/>
      <c r="C3465" s="16" t="n"/>
      <c r="D3465" s="17" t="n"/>
      <c r="E3465" s="17" t="n"/>
      <c r="F3465" s="17" t="n"/>
      <c r="G3465" s="17" t="n"/>
      <c r="H3465" s="18">
        <f>IF(AND(B3465="",C3465="",D3465="",E3465=""),"",IF(B3465="","⚠ Falta fecha",IF(C3465="","⚠ Falta monto",IF(D3465="","⚠ Falta categoría",IF(ISNA(MATCH(D3465,catNom,0)),"⚠ Categoría no existe",IF(E3465="","⚠ Falta cuenta",IF(ISNA(MATCH(E3465,ctaNom,0)),"⚠ Cuenta no existe",IF(AND(OR(I3465="Transferencia",I3465="Pago tarjeta"),G3465=""),"⚠ Indica la cuenta «Hacia»",IF(AND(G3465&lt;&gt;"",G3465=E3465),"⚠ «Hacia» igual a la cuenta",IF(AND(G3465&lt;&gt;"",ISNA(MATCH(G3465,ctaNom,0))),"⚠ «Hacia» no existe",IF(AND(I3465="Pago tarjeta",IFERROR(INDEX(ctaTipo,MATCH(G3465,ctaNom,0)),"")&lt;&gt;"Tarjeta de crédito"),"⚠ «Hacia» debe ser la tarjeta",IF(AND(I3465="Trading",IFERROR(INDEX(ctaTipo,MATCH(E3465,ctaNom,0)),"")&lt;&gt;"Cuenta de trading"),"⚠ Usa la cuenta de trading","✓"))))))))))))</f>
        <v/>
      </c>
      <c r="I3465" s="19">
        <f>IF(OR(B3465="",C3465="",D3465=""),"",IFERROR(INDEX(catTipo,MATCH(D3465,catNom,0))&amp;"",""))</f>
        <v/>
      </c>
      <c r="J3465" s="19">
        <f>IF(I3465="","",IFERROR(INDEX(catGrupo,MATCH(D3465,catNom,0))&amp;"",""))</f>
        <v/>
      </c>
      <c r="K3465" s="19">
        <f>IF(I3465="Gasto",IF(IFERROR(INDEX(catClas,MATCH(D3465,catNom,0))&amp;"","")="","Variable",IFERROR(INDEX(catClas,MATCH(D3465,catNom,0))&amp;"","")),"")</f>
        <v/>
      </c>
      <c r="L3465" s="19">
        <f>IF(I3465="","",IFERROR(INDEX(catAlim,MATCH(D3465,catNom,0))&amp;"",""))</f>
        <v/>
      </c>
      <c r="M3465" s="19">
        <f>IF(I3465="","",IFERROR(INDEX(catComida,MATCH(D3465,catNom,0))&amp;"",""))</f>
        <v/>
      </c>
      <c r="N3465" s="19">
        <f>IF(I3465="","",IFERROR(INDEX(ctaMon,MATCH(E3465,ctaNom,0))&amp;"","DOP"))</f>
        <v/>
      </c>
      <c r="O3465" s="20">
        <f>IF(I3465="","",C3465*IF(N3465="USD",TasaUSD,1))</f>
        <v/>
      </c>
      <c r="P3465" s="20">
        <f>IF(I3465="","",IF(I3465="Gasto",O3465,0))</f>
        <v/>
      </c>
      <c r="Q3465" s="20">
        <f>IF(I3465="","",IF(I3465="Ingreso",O3465,0))</f>
        <v/>
      </c>
      <c r="R3465" s="20">
        <f>IF(I3465="","",IF(I3465="Trading",O3465,0))</f>
        <v/>
      </c>
      <c r="S3465" s="19">
        <f>IF(I3465="","",IF(AND(I3465="Gasto",K3465="Variable",J3465&lt;&gt;"Trading",O3465&gt;0,O3465&lt;=Umbral),1,0))</f>
        <v/>
      </c>
      <c r="T3465" s="20">
        <f>IF(OR(I3465="",E3465=""),"",IF(OR(I3465="Gasto",I3465="Transferencia",I3465="Pago tarjeta"),-1,1)*C3465)</f>
        <v/>
      </c>
      <c r="U3465" s="20">
        <f>IF(OR(G3465="",AND(I3465&lt;&gt;"Transferencia",I3465&lt;&gt;"Pago tarjeta")),"",IF(IFERROR(INDEX(ctaMon,MATCH(G3465,ctaNom,0))&amp;"","DOP")=N3465,C3465,IF(N3465="USD",C3465*TasaUSD,C3465/TasaUSD)))</f>
        <v/>
      </c>
      <c r="V3465" s="20">
        <f>IF(I3465="","",IF(IFERROR(INDEX(ctaLiq,MATCH(E3465,ctaNom,0))="Sí",FALSE),IF(OR(I3465="Gasto",I3465="Transferencia",I3465="Pago tarjeta"),-1,1)*O3465,0)+IF(AND(U3465&lt;&gt;"",IFERROR(INDEX(ctaLiq,MATCH(G3465,ctaNom,0))="Sí",FALSE)),O3465,0))</f>
        <v/>
      </c>
      <c r="W3465" s="19">
        <f>IF(OR(F3465="",I3465=""),"",IF(COUNTIFS(F$6:F3465,F3465,I$6:I3465,"?*")=1,MAX(W$5:W3464)+1,""))</f>
        <v/>
      </c>
    </row>
    <row r="3466">
      <c r="B3466" s="15" t="n"/>
      <c r="C3466" s="16" t="n"/>
      <c r="D3466" s="17" t="n"/>
      <c r="E3466" s="17" t="n"/>
      <c r="F3466" s="17" t="n"/>
      <c r="G3466" s="17" t="n"/>
      <c r="H3466" s="18">
        <f>IF(AND(B3466="",C3466="",D3466="",E3466=""),"",IF(B3466="","⚠ Falta fecha",IF(C3466="","⚠ Falta monto",IF(D3466="","⚠ Falta categoría",IF(ISNA(MATCH(D3466,catNom,0)),"⚠ Categoría no existe",IF(E3466="","⚠ Falta cuenta",IF(ISNA(MATCH(E3466,ctaNom,0)),"⚠ Cuenta no existe",IF(AND(OR(I3466="Transferencia",I3466="Pago tarjeta"),G3466=""),"⚠ Indica la cuenta «Hacia»",IF(AND(G3466&lt;&gt;"",G3466=E3466),"⚠ «Hacia» igual a la cuenta",IF(AND(G3466&lt;&gt;"",ISNA(MATCH(G3466,ctaNom,0))),"⚠ «Hacia» no existe",IF(AND(I3466="Pago tarjeta",IFERROR(INDEX(ctaTipo,MATCH(G3466,ctaNom,0)),"")&lt;&gt;"Tarjeta de crédito"),"⚠ «Hacia» debe ser la tarjeta",IF(AND(I3466="Trading",IFERROR(INDEX(ctaTipo,MATCH(E3466,ctaNom,0)),"")&lt;&gt;"Cuenta de trading"),"⚠ Usa la cuenta de trading","✓"))))))))))))</f>
        <v/>
      </c>
      <c r="I3466" s="19">
        <f>IF(OR(B3466="",C3466="",D3466=""),"",IFERROR(INDEX(catTipo,MATCH(D3466,catNom,0))&amp;"",""))</f>
        <v/>
      </c>
      <c r="J3466" s="19">
        <f>IF(I3466="","",IFERROR(INDEX(catGrupo,MATCH(D3466,catNom,0))&amp;"",""))</f>
        <v/>
      </c>
      <c r="K3466" s="19">
        <f>IF(I3466="Gasto",IF(IFERROR(INDEX(catClas,MATCH(D3466,catNom,0))&amp;"","")="","Variable",IFERROR(INDEX(catClas,MATCH(D3466,catNom,0))&amp;"","")),"")</f>
        <v/>
      </c>
      <c r="L3466" s="19">
        <f>IF(I3466="","",IFERROR(INDEX(catAlim,MATCH(D3466,catNom,0))&amp;"",""))</f>
        <v/>
      </c>
      <c r="M3466" s="19">
        <f>IF(I3466="","",IFERROR(INDEX(catComida,MATCH(D3466,catNom,0))&amp;"",""))</f>
        <v/>
      </c>
      <c r="N3466" s="19">
        <f>IF(I3466="","",IFERROR(INDEX(ctaMon,MATCH(E3466,ctaNom,0))&amp;"","DOP"))</f>
        <v/>
      </c>
      <c r="O3466" s="20">
        <f>IF(I3466="","",C3466*IF(N3466="USD",TasaUSD,1))</f>
        <v/>
      </c>
      <c r="P3466" s="20">
        <f>IF(I3466="","",IF(I3466="Gasto",O3466,0))</f>
        <v/>
      </c>
      <c r="Q3466" s="20">
        <f>IF(I3466="","",IF(I3466="Ingreso",O3466,0))</f>
        <v/>
      </c>
      <c r="R3466" s="20">
        <f>IF(I3466="","",IF(I3466="Trading",O3466,0))</f>
        <v/>
      </c>
      <c r="S3466" s="19">
        <f>IF(I3466="","",IF(AND(I3466="Gasto",K3466="Variable",J3466&lt;&gt;"Trading",O3466&gt;0,O3466&lt;=Umbral),1,0))</f>
        <v/>
      </c>
      <c r="T3466" s="20">
        <f>IF(OR(I3466="",E3466=""),"",IF(OR(I3466="Gasto",I3466="Transferencia",I3466="Pago tarjeta"),-1,1)*C3466)</f>
        <v/>
      </c>
      <c r="U3466" s="20">
        <f>IF(OR(G3466="",AND(I3466&lt;&gt;"Transferencia",I3466&lt;&gt;"Pago tarjeta")),"",IF(IFERROR(INDEX(ctaMon,MATCH(G3466,ctaNom,0))&amp;"","DOP")=N3466,C3466,IF(N3466="USD",C3466*TasaUSD,C3466/TasaUSD)))</f>
        <v/>
      </c>
      <c r="V3466" s="20">
        <f>IF(I3466="","",IF(IFERROR(INDEX(ctaLiq,MATCH(E3466,ctaNom,0))="Sí",FALSE),IF(OR(I3466="Gasto",I3466="Transferencia",I3466="Pago tarjeta"),-1,1)*O3466,0)+IF(AND(U3466&lt;&gt;"",IFERROR(INDEX(ctaLiq,MATCH(G3466,ctaNom,0))="Sí",FALSE)),O3466,0))</f>
        <v/>
      </c>
      <c r="W3466" s="19">
        <f>IF(OR(F3466="",I3466=""),"",IF(COUNTIFS(F$6:F3466,F3466,I$6:I3466,"?*")=1,MAX(W$5:W3465)+1,""))</f>
        <v/>
      </c>
    </row>
    <row r="3467">
      <c r="B3467" s="15" t="n"/>
      <c r="C3467" s="16" t="n"/>
      <c r="D3467" s="17" t="n"/>
      <c r="E3467" s="17" t="n"/>
      <c r="F3467" s="17" t="n"/>
      <c r="G3467" s="17" t="n"/>
      <c r="H3467" s="18">
        <f>IF(AND(B3467="",C3467="",D3467="",E3467=""),"",IF(B3467="","⚠ Falta fecha",IF(C3467="","⚠ Falta monto",IF(D3467="","⚠ Falta categoría",IF(ISNA(MATCH(D3467,catNom,0)),"⚠ Categoría no existe",IF(E3467="","⚠ Falta cuenta",IF(ISNA(MATCH(E3467,ctaNom,0)),"⚠ Cuenta no existe",IF(AND(OR(I3467="Transferencia",I3467="Pago tarjeta"),G3467=""),"⚠ Indica la cuenta «Hacia»",IF(AND(G3467&lt;&gt;"",G3467=E3467),"⚠ «Hacia» igual a la cuenta",IF(AND(G3467&lt;&gt;"",ISNA(MATCH(G3467,ctaNom,0))),"⚠ «Hacia» no existe",IF(AND(I3467="Pago tarjeta",IFERROR(INDEX(ctaTipo,MATCH(G3467,ctaNom,0)),"")&lt;&gt;"Tarjeta de crédito"),"⚠ «Hacia» debe ser la tarjeta",IF(AND(I3467="Trading",IFERROR(INDEX(ctaTipo,MATCH(E3467,ctaNom,0)),"")&lt;&gt;"Cuenta de trading"),"⚠ Usa la cuenta de trading","✓"))))))))))))</f>
        <v/>
      </c>
      <c r="I3467" s="19">
        <f>IF(OR(B3467="",C3467="",D3467=""),"",IFERROR(INDEX(catTipo,MATCH(D3467,catNom,0))&amp;"",""))</f>
        <v/>
      </c>
      <c r="J3467" s="19">
        <f>IF(I3467="","",IFERROR(INDEX(catGrupo,MATCH(D3467,catNom,0))&amp;"",""))</f>
        <v/>
      </c>
      <c r="K3467" s="19">
        <f>IF(I3467="Gasto",IF(IFERROR(INDEX(catClas,MATCH(D3467,catNom,0))&amp;"","")="","Variable",IFERROR(INDEX(catClas,MATCH(D3467,catNom,0))&amp;"","")),"")</f>
        <v/>
      </c>
      <c r="L3467" s="19">
        <f>IF(I3467="","",IFERROR(INDEX(catAlim,MATCH(D3467,catNom,0))&amp;"",""))</f>
        <v/>
      </c>
      <c r="M3467" s="19">
        <f>IF(I3467="","",IFERROR(INDEX(catComida,MATCH(D3467,catNom,0))&amp;"",""))</f>
        <v/>
      </c>
      <c r="N3467" s="19">
        <f>IF(I3467="","",IFERROR(INDEX(ctaMon,MATCH(E3467,ctaNom,0))&amp;"","DOP"))</f>
        <v/>
      </c>
      <c r="O3467" s="20">
        <f>IF(I3467="","",C3467*IF(N3467="USD",TasaUSD,1))</f>
        <v/>
      </c>
      <c r="P3467" s="20">
        <f>IF(I3467="","",IF(I3467="Gasto",O3467,0))</f>
        <v/>
      </c>
      <c r="Q3467" s="20">
        <f>IF(I3467="","",IF(I3467="Ingreso",O3467,0))</f>
        <v/>
      </c>
      <c r="R3467" s="20">
        <f>IF(I3467="","",IF(I3467="Trading",O3467,0))</f>
        <v/>
      </c>
      <c r="S3467" s="19">
        <f>IF(I3467="","",IF(AND(I3467="Gasto",K3467="Variable",J3467&lt;&gt;"Trading",O3467&gt;0,O3467&lt;=Umbral),1,0))</f>
        <v/>
      </c>
      <c r="T3467" s="20">
        <f>IF(OR(I3467="",E3467=""),"",IF(OR(I3467="Gasto",I3467="Transferencia",I3467="Pago tarjeta"),-1,1)*C3467)</f>
        <v/>
      </c>
      <c r="U3467" s="20">
        <f>IF(OR(G3467="",AND(I3467&lt;&gt;"Transferencia",I3467&lt;&gt;"Pago tarjeta")),"",IF(IFERROR(INDEX(ctaMon,MATCH(G3467,ctaNom,0))&amp;"","DOP")=N3467,C3467,IF(N3467="USD",C3467*TasaUSD,C3467/TasaUSD)))</f>
        <v/>
      </c>
      <c r="V3467" s="20">
        <f>IF(I3467="","",IF(IFERROR(INDEX(ctaLiq,MATCH(E3467,ctaNom,0))="Sí",FALSE),IF(OR(I3467="Gasto",I3467="Transferencia",I3467="Pago tarjeta"),-1,1)*O3467,0)+IF(AND(U3467&lt;&gt;"",IFERROR(INDEX(ctaLiq,MATCH(G3467,ctaNom,0))="Sí",FALSE)),O3467,0))</f>
        <v/>
      </c>
      <c r="W3467" s="19">
        <f>IF(OR(F3467="",I3467=""),"",IF(COUNTIFS(F$6:F3467,F3467,I$6:I3467,"?*")=1,MAX(W$5:W3466)+1,""))</f>
        <v/>
      </c>
    </row>
    <row r="3468">
      <c r="B3468" s="15" t="n"/>
      <c r="C3468" s="16" t="n"/>
      <c r="D3468" s="17" t="n"/>
      <c r="E3468" s="17" t="n"/>
      <c r="F3468" s="17" t="n"/>
      <c r="G3468" s="17" t="n"/>
      <c r="H3468" s="18">
        <f>IF(AND(B3468="",C3468="",D3468="",E3468=""),"",IF(B3468="","⚠ Falta fecha",IF(C3468="","⚠ Falta monto",IF(D3468="","⚠ Falta categoría",IF(ISNA(MATCH(D3468,catNom,0)),"⚠ Categoría no existe",IF(E3468="","⚠ Falta cuenta",IF(ISNA(MATCH(E3468,ctaNom,0)),"⚠ Cuenta no existe",IF(AND(OR(I3468="Transferencia",I3468="Pago tarjeta"),G3468=""),"⚠ Indica la cuenta «Hacia»",IF(AND(G3468&lt;&gt;"",G3468=E3468),"⚠ «Hacia» igual a la cuenta",IF(AND(G3468&lt;&gt;"",ISNA(MATCH(G3468,ctaNom,0))),"⚠ «Hacia» no existe",IF(AND(I3468="Pago tarjeta",IFERROR(INDEX(ctaTipo,MATCH(G3468,ctaNom,0)),"")&lt;&gt;"Tarjeta de crédito"),"⚠ «Hacia» debe ser la tarjeta",IF(AND(I3468="Trading",IFERROR(INDEX(ctaTipo,MATCH(E3468,ctaNom,0)),"")&lt;&gt;"Cuenta de trading"),"⚠ Usa la cuenta de trading","✓"))))))))))))</f>
        <v/>
      </c>
      <c r="I3468" s="19">
        <f>IF(OR(B3468="",C3468="",D3468=""),"",IFERROR(INDEX(catTipo,MATCH(D3468,catNom,0))&amp;"",""))</f>
        <v/>
      </c>
      <c r="J3468" s="19">
        <f>IF(I3468="","",IFERROR(INDEX(catGrupo,MATCH(D3468,catNom,0))&amp;"",""))</f>
        <v/>
      </c>
      <c r="K3468" s="19">
        <f>IF(I3468="Gasto",IF(IFERROR(INDEX(catClas,MATCH(D3468,catNom,0))&amp;"","")="","Variable",IFERROR(INDEX(catClas,MATCH(D3468,catNom,0))&amp;"","")),"")</f>
        <v/>
      </c>
      <c r="L3468" s="19">
        <f>IF(I3468="","",IFERROR(INDEX(catAlim,MATCH(D3468,catNom,0))&amp;"",""))</f>
        <v/>
      </c>
      <c r="M3468" s="19">
        <f>IF(I3468="","",IFERROR(INDEX(catComida,MATCH(D3468,catNom,0))&amp;"",""))</f>
        <v/>
      </c>
      <c r="N3468" s="19">
        <f>IF(I3468="","",IFERROR(INDEX(ctaMon,MATCH(E3468,ctaNom,0))&amp;"","DOP"))</f>
        <v/>
      </c>
      <c r="O3468" s="20">
        <f>IF(I3468="","",C3468*IF(N3468="USD",TasaUSD,1))</f>
        <v/>
      </c>
      <c r="P3468" s="20">
        <f>IF(I3468="","",IF(I3468="Gasto",O3468,0))</f>
        <v/>
      </c>
      <c r="Q3468" s="20">
        <f>IF(I3468="","",IF(I3468="Ingreso",O3468,0))</f>
        <v/>
      </c>
      <c r="R3468" s="20">
        <f>IF(I3468="","",IF(I3468="Trading",O3468,0))</f>
        <v/>
      </c>
      <c r="S3468" s="19">
        <f>IF(I3468="","",IF(AND(I3468="Gasto",K3468="Variable",J3468&lt;&gt;"Trading",O3468&gt;0,O3468&lt;=Umbral),1,0))</f>
        <v/>
      </c>
      <c r="T3468" s="20">
        <f>IF(OR(I3468="",E3468=""),"",IF(OR(I3468="Gasto",I3468="Transferencia",I3468="Pago tarjeta"),-1,1)*C3468)</f>
        <v/>
      </c>
      <c r="U3468" s="20">
        <f>IF(OR(G3468="",AND(I3468&lt;&gt;"Transferencia",I3468&lt;&gt;"Pago tarjeta")),"",IF(IFERROR(INDEX(ctaMon,MATCH(G3468,ctaNom,0))&amp;"","DOP")=N3468,C3468,IF(N3468="USD",C3468*TasaUSD,C3468/TasaUSD)))</f>
        <v/>
      </c>
      <c r="V3468" s="20">
        <f>IF(I3468="","",IF(IFERROR(INDEX(ctaLiq,MATCH(E3468,ctaNom,0))="Sí",FALSE),IF(OR(I3468="Gasto",I3468="Transferencia",I3468="Pago tarjeta"),-1,1)*O3468,0)+IF(AND(U3468&lt;&gt;"",IFERROR(INDEX(ctaLiq,MATCH(G3468,ctaNom,0))="Sí",FALSE)),O3468,0))</f>
        <v/>
      </c>
      <c r="W3468" s="19">
        <f>IF(OR(F3468="",I3468=""),"",IF(COUNTIFS(F$6:F3468,F3468,I$6:I3468,"?*")=1,MAX(W$5:W3467)+1,""))</f>
        <v/>
      </c>
    </row>
    <row r="3469">
      <c r="B3469" s="15" t="n"/>
      <c r="C3469" s="16" t="n"/>
      <c r="D3469" s="17" t="n"/>
      <c r="E3469" s="17" t="n"/>
      <c r="F3469" s="17" t="n"/>
      <c r="G3469" s="17" t="n"/>
      <c r="H3469" s="18">
        <f>IF(AND(B3469="",C3469="",D3469="",E3469=""),"",IF(B3469="","⚠ Falta fecha",IF(C3469="","⚠ Falta monto",IF(D3469="","⚠ Falta categoría",IF(ISNA(MATCH(D3469,catNom,0)),"⚠ Categoría no existe",IF(E3469="","⚠ Falta cuenta",IF(ISNA(MATCH(E3469,ctaNom,0)),"⚠ Cuenta no existe",IF(AND(OR(I3469="Transferencia",I3469="Pago tarjeta"),G3469=""),"⚠ Indica la cuenta «Hacia»",IF(AND(G3469&lt;&gt;"",G3469=E3469),"⚠ «Hacia» igual a la cuenta",IF(AND(G3469&lt;&gt;"",ISNA(MATCH(G3469,ctaNom,0))),"⚠ «Hacia» no existe",IF(AND(I3469="Pago tarjeta",IFERROR(INDEX(ctaTipo,MATCH(G3469,ctaNom,0)),"")&lt;&gt;"Tarjeta de crédito"),"⚠ «Hacia» debe ser la tarjeta",IF(AND(I3469="Trading",IFERROR(INDEX(ctaTipo,MATCH(E3469,ctaNom,0)),"")&lt;&gt;"Cuenta de trading"),"⚠ Usa la cuenta de trading","✓"))))))))))))</f>
        <v/>
      </c>
      <c r="I3469" s="19">
        <f>IF(OR(B3469="",C3469="",D3469=""),"",IFERROR(INDEX(catTipo,MATCH(D3469,catNom,0))&amp;"",""))</f>
        <v/>
      </c>
      <c r="J3469" s="19">
        <f>IF(I3469="","",IFERROR(INDEX(catGrupo,MATCH(D3469,catNom,0))&amp;"",""))</f>
        <v/>
      </c>
      <c r="K3469" s="19">
        <f>IF(I3469="Gasto",IF(IFERROR(INDEX(catClas,MATCH(D3469,catNom,0))&amp;"","")="","Variable",IFERROR(INDEX(catClas,MATCH(D3469,catNom,0))&amp;"","")),"")</f>
        <v/>
      </c>
      <c r="L3469" s="19">
        <f>IF(I3469="","",IFERROR(INDEX(catAlim,MATCH(D3469,catNom,0))&amp;"",""))</f>
        <v/>
      </c>
      <c r="M3469" s="19">
        <f>IF(I3469="","",IFERROR(INDEX(catComida,MATCH(D3469,catNom,0))&amp;"",""))</f>
        <v/>
      </c>
      <c r="N3469" s="19">
        <f>IF(I3469="","",IFERROR(INDEX(ctaMon,MATCH(E3469,ctaNom,0))&amp;"","DOP"))</f>
        <v/>
      </c>
      <c r="O3469" s="20">
        <f>IF(I3469="","",C3469*IF(N3469="USD",TasaUSD,1))</f>
        <v/>
      </c>
      <c r="P3469" s="20">
        <f>IF(I3469="","",IF(I3469="Gasto",O3469,0))</f>
        <v/>
      </c>
      <c r="Q3469" s="20">
        <f>IF(I3469="","",IF(I3469="Ingreso",O3469,0))</f>
        <v/>
      </c>
      <c r="R3469" s="20">
        <f>IF(I3469="","",IF(I3469="Trading",O3469,0))</f>
        <v/>
      </c>
      <c r="S3469" s="19">
        <f>IF(I3469="","",IF(AND(I3469="Gasto",K3469="Variable",J3469&lt;&gt;"Trading",O3469&gt;0,O3469&lt;=Umbral),1,0))</f>
        <v/>
      </c>
      <c r="T3469" s="20">
        <f>IF(OR(I3469="",E3469=""),"",IF(OR(I3469="Gasto",I3469="Transferencia",I3469="Pago tarjeta"),-1,1)*C3469)</f>
        <v/>
      </c>
      <c r="U3469" s="20">
        <f>IF(OR(G3469="",AND(I3469&lt;&gt;"Transferencia",I3469&lt;&gt;"Pago tarjeta")),"",IF(IFERROR(INDEX(ctaMon,MATCH(G3469,ctaNom,0))&amp;"","DOP")=N3469,C3469,IF(N3469="USD",C3469*TasaUSD,C3469/TasaUSD)))</f>
        <v/>
      </c>
      <c r="V3469" s="20">
        <f>IF(I3469="","",IF(IFERROR(INDEX(ctaLiq,MATCH(E3469,ctaNom,0))="Sí",FALSE),IF(OR(I3469="Gasto",I3469="Transferencia",I3469="Pago tarjeta"),-1,1)*O3469,0)+IF(AND(U3469&lt;&gt;"",IFERROR(INDEX(ctaLiq,MATCH(G3469,ctaNom,0))="Sí",FALSE)),O3469,0))</f>
        <v/>
      </c>
      <c r="W3469" s="19">
        <f>IF(OR(F3469="",I3469=""),"",IF(COUNTIFS(F$6:F3469,F3469,I$6:I3469,"?*")=1,MAX(W$5:W3468)+1,""))</f>
        <v/>
      </c>
    </row>
    <row r="3470">
      <c r="B3470" s="15" t="n"/>
      <c r="C3470" s="16" t="n"/>
      <c r="D3470" s="17" t="n"/>
      <c r="E3470" s="17" t="n"/>
      <c r="F3470" s="17" t="n"/>
      <c r="G3470" s="17" t="n"/>
      <c r="H3470" s="18">
        <f>IF(AND(B3470="",C3470="",D3470="",E3470=""),"",IF(B3470="","⚠ Falta fecha",IF(C3470="","⚠ Falta monto",IF(D3470="","⚠ Falta categoría",IF(ISNA(MATCH(D3470,catNom,0)),"⚠ Categoría no existe",IF(E3470="","⚠ Falta cuenta",IF(ISNA(MATCH(E3470,ctaNom,0)),"⚠ Cuenta no existe",IF(AND(OR(I3470="Transferencia",I3470="Pago tarjeta"),G3470=""),"⚠ Indica la cuenta «Hacia»",IF(AND(G3470&lt;&gt;"",G3470=E3470),"⚠ «Hacia» igual a la cuenta",IF(AND(G3470&lt;&gt;"",ISNA(MATCH(G3470,ctaNom,0))),"⚠ «Hacia» no existe",IF(AND(I3470="Pago tarjeta",IFERROR(INDEX(ctaTipo,MATCH(G3470,ctaNom,0)),"")&lt;&gt;"Tarjeta de crédito"),"⚠ «Hacia» debe ser la tarjeta",IF(AND(I3470="Trading",IFERROR(INDEX(ctaTipo,MATCH(E3470,ctaNom,0)),"")&lt;&gt;"Cuenta de trading"),"⚠ Usa la cuenta de trading","✓"))))))))))))</f>
        <v/>
      </c>
      <c r="I3470" s="19">
        <f>IF(OR(B3470="",C3470="",D3470=""),"",IFERROR(INDEX(catTipo,MATCH(D3470,catNom,0))&amp;"",""))</f>
        <v/>
      </c>
      <c r="J3470" s="19">
        <f>IF(I3470="","",IFERROR(INDEX(catGrupo,MATCH(D3470,catNom,0))&amp;"",""))</f>
        <v/>
      </c>
      <c r="K3470" s="19">
        <f>IF(I3470="Gasto",IF(IFERROR(INDEX(catClas,MATCH(D3470,catNom,0))&amp;"","")="","Variable",IFERROR(INDEX(catClas,MATCH(D3470,catNom,0))&amp;"","")),"")</f>
        <v/>
      </c>
      <c r="L3470" s="19">
        <f>IF(I3470="","",IFERROR(INDEX(catAlim,MATCH(D3470,catNom,0))&amp;"",""))</f>
        <v/>
      </c>
      <c r="M3470" s="19">
        <f>IF(I3470="","",IFERROR(INDEX(catComida,MATCH(D3470,catNom,0))&amp;"",""))</f>
        <v/>
      </c>
      <c r="N3470" s="19">
        <f>IF(I3470="","",IFERROR(INDEX(ctaMon,MATCH(E3470,ctaNom,0))&amp;"","DOP"))</f>
        <v/>
      </c>
      <c r="O3470" s="20">
        <f>IF(I3470="","",C3470*IF(N3470="USD",TasaUSD,1))</f>
        <v/>
      </c>
      <c r="P3470" s="20">
        <f>IF(I3470="","",IF(I3470="Gasto",O3470,0))</f>
        <v/>
      </c>
      <c r="Q3470" s="20">
        <f>IF(I3470="","",IF(I3470="Ingreso",O3470,0))</f>
        <v/>
      </c>
      <c r="R3470" s="20">
        <f>IF(I3470="","",IF(I3470="Trading",O3470,0))</f>
        <v/>
      </c>
      <c r="S3470" s="19">
        <f>IF(I3470="","",IF(AND(I3470="Gasto",K3470="Variable",J3470&lt;&gt;"Trading",O3470&gt;0,O3470&lt;=Umbral),1,0))</f>
        <v/>
      </c>
      <c r="T3470" s="20">
        <f>IF(OR(I3470="",E3470=""),"",IF(OR(I3470="Gasto",I3470="Transferencia",I3470="Pago tarjeta"),-1,1)*C3470)</f>
        <v/>
      </c>
      <c r="U3470" s="20">
        <f>IF(OR(G3470="",AND(I3470&lt;&gt;"Transferencia",I3470&lt;&gt;"Pago tarjeta")),"",IF(IFERROR(INDEX(ctaMon,MATCH(G3470,ctaNom,0))&amp;"","DOP")=N3470,C3470,IF(N3470="USD",C3470*TasaUSD,C3470/TasaUSD)))</f>
        <v/>
      </c>
      <c r="V3470" s="20">
        <f>IF(I3470="","",IF(IFERROR(INDEX(ctaLiq,MATCH(E3470,ctaNom,0))="Sí",FALSE),IF(OR(I3470="Gasto",I3470="Transferencia",I3470="Pago tarjeta"),-1,1)*O3470,0)+IF(AND(U3470&lt;&gt;"",IFERROR(INDEX(ctaLiq,MATCH(G3470,ctaNom,0))="Sí",FALSE)),O3470,0))</f>
        <v/>
      </c>
      <c r="W3470" s="19">
        <f>IF(OR(F3470="",I3470=""),"",IF(COUNTIFS(F$6:F3470,F3470,I$6:I3470,"?*")=1,MAX(W$5:W3469)+1,""))</f>
        <v/>
      </c>
    </row>
    <row r="3471">
      <c r="B3471" s="15" t="n"/>
      <c r="C3471" s="16" t="n"/>
      <c r="D3471" s="17" t="n"/>
      <c r="E3471" s="17" t="n"/>
      <c r="F3471" s="17" t="n"/>
      <c r="G3471" s="17" t="n"/>
      <c r="H3471" s="18">
        <f>IF(AND(B3471="",C3471="",D3471="",E3471=""),"",IF(B3471="","⚠ Falta fecha",IF(C3471="","⚠ Falta monto",IF(D3471="","⚠ Falta categoría",IF(ISNA(MATCH(D3471,catNom,0)),"⚠ Categoría no existe",IF(E3471="","⚠ Falta cuenta",IF(ISNA(MATCH(E3471,ctaNom,0)),"⚠ Cuenta no existe",IF(AND(OR(I3471="Transferencia",I3471="Pago tarjeta"),G3471=""),"⚠ Indica la cuenta «Hacia»",IF(AND(G3471&lt;&gt;"",G3471=E3471),"⚠ «Hacia» igual a la cuenta",IF(AND(G3471&lt;&gt;"",ISNA(MATCH(G3471,ctaNom,0))),"⚠ «Hacia» no existe",IF(AND(I3471="Pago tarjeta",IFERROR(INDEX(ctaTipo,MATCH(G3471,ctaNom,0)),"")&lt;&gt;"Tarjeta de crédito"),"⚠ «Hacia» debe ser la tarjeta",IF(AND(I3471="Trading",IFERROR(INDEX(ctaTipo,MATCH(E3471,ctaNom,0)),"")&lt;&gt;"Cuenta de trading"),"⚠ Usa la cuenta de trading","✓"))))))))))))</f>
        <v/>
      </c>
      <c r="I3471" s="19">
        <f>IF(OR(B3471="",C3471="",D3471=""),"",IFERROR(INDEX(catTipo,MATCH(D3471,catNom,0))&amp;"",""))</f>
        <v/>
      </c>
      <c r="J3471" s="19">
        <f>IF(I3471="","",IFERROR(INDEX(catGrupo,MATCH(D3471,catNom,0))&amp;"",""))</f>
        <v/>
      </c>
      <c r="K3471" s="19">
        <f>IF(I3471="Gasto",IF(IFERROR(INDEX(catClas,MATCH(D3471,catNom,0))&amp;"","")="","Variable",IFERROR(INDEX(catClas,MATCH(D3471,catNom,0))&amp;"","")),"")</f>
        <v/>
      </c>
      <c r="L3471" s="19">
        <f>IF(I3471="","",IFERROR(INDEX(catAlim,MATCH(D3471,catNom,0))&amp;"",""))</f>
        <v/>
      </c>
      <c r="M3471" s="19">
        <f>IF(I3471="","",IFERROR(INDEX(catComida,MATCH(D3471,catNom,0))&amp;"",""))</f>
        <v/>
      </c>
      <c r="N3471" s="19">
        <f>IF(I3471="","",IFERROR(INDEX(ctaMon,MATCH(E3471,ctaNom,0))&amp;"","DOP"))</f>
        <v/>
      </c>
      <c r="O3471" s="20">
        <f>IF(I3471="","",C3471*IF(N3471="USD",TasaUSD,1))</f>
        <v/>
      </c>
      <c r="P3471" s="20">
        <f>IF(I3471="","",IF(I3471="Gasto",O3471,0))</f>
        <v/>
      </c>
      <c r="Q3471" s="20">
        <f>IF(I3471="","",IF(I3471="Ingreso",O3471,0))</f>
        <v/>
      </c>
      <c r="R3471" s="20">
        <f>IF(I3471="","",IF(I3471="Trading",O3471,0))</f>
        <v/>
      </c>
      <c r="S3471" s="19">
        <f>IF(I3471="","",IF(AND(I3471="Gasto",K3471="Variable",J3471&lt;&gt;"Trading",O3471&gt;0,O3471&lt;=Umbral),1,0))</f>
        <v/>
      </c>
      <c r="T3471" s="20">
        <f>IF(OR(I3471="",E3471=""),"",IF(OR(I3471="Gasto",I3471="Transferencia",I3471="Pago tarjeta"),-1,1)*C3471)</f>
        <v/>
      </c>
      <c r="U3471" s="20">
        <f>IF(OR(G3471="",AND(I3471&lt;&gt;"Transferencia",I3471&lt;&gt;"Pago tarjeta")),"",IF(IFERROR(INDEX(ctaMon,MATCH(G3471,ctaNom,0))&amp;"","DOP")=N3471,C3471,IF(N3471="USD",C3471*TasaUSD,C3471/TasaUSD)))</f>
        <v/>
      </c>
      <c r="V3471" s="20">
        <f>IF(I3471="","",IF(IFERROR(INDEX(ctaLiq,MATCH(E3471,ctaNom,0))="Sí",FALSE),IF(OR(I3471="Gasto",I3471="Transferencia",I3471="Pago tarjeta"),-1,1)*O3471,0)+IF(AND(U3471&lt;&gt;"",IFERROR(INDEX(ctaLiq,MATCH(G3471,ctaNom,0))="Sí",FALSE)),O3471,0))</f>
        <v/>
      </c>
      <c r="W3471" s="19">
        <f>IF(OR(F3471="",I3471=""),"",IF(COUNTIFS(F$6:F3471,F3471,I$6:I3471,"?*")=1,MAX(W$5:W3470)+1,""))</f>
        <v/>
      </c>
    </row>
    <row r="3472">
      <c r="B3472" s="15" t="n"/>
      <c r="C3472" s="16" t="n"/>
      <c r="D3472" s="17" t="n"/>
      <c r="E3472" s="17" t="n"/>
      <c r="F3472" s="17" t="n"/>
      <c r="G3472" s="17" t="n"/>
      <c r="H3472" s="18">
        <f>IF(AND(B3472="",C3472="",D3472="",E3472=""),"",IF(B3472="","⚠ Falta fecha",IF(C3472="","⚠ Falta monto",IF(D3472="","⚠ Falta categoría",IF(ISNA(MATCH(D3472,catNom,0)),"⚠ Categoría no existe",IF(E3472="","⚠ Falta cuenta",IF(ISNA(MATCH(E3472,ctaNom,0)),"⚠ Cuenta no existe",IF(AND(OR(I3472="Transferencia",I3472="Pago tarjeta"),G3472=""),"⚠ Indica la cuenta «Hacia»",IF(AND(G3472&lt;&gt;"",G3472=E3472),"⚠ «Hacia» igual a la cuenta",IF(AND(G3472&lt;&gt;"",ISNA(MATCH(G3472,ctaNom,0))),"⚠ «Hacia» no existe",IF(AND(I3472="Pago tarjeta",IFERROR(INDEX(ctaTipo,MATCH(G3472,ctaNom,0)),"")&lt;&gt;"Tarjeta de crédito"),"⚠ «Hacia» debe ser la tarjeta",IF(AND(I3472="Trading",IFERROR(INDEX(ctaTipo,MATCH(E3472,ctaNom,0)),"")&lt;&gt;"Cuenta de trading"),"⚠ Usa la cuenta de trading","✓"))))))))))))</f>
        <v/>
      </c>
      <c r="I3472" s="19">
        <f>IF(OR(B3472="",C3472="",D3472=""),"",IFERROR(INDEX(catTipo,MATCH(D3472,catNom,0))&amp;"",""))</f>
        <v/>
      </c>
      <c r="J3472" s="19">
        <f>IF(I3472="","",IFERROR(INDEX(catGrupo,MATCH(D3472,catNom,0))&amp;"",""))</f>
        <v/>
      </c>
      <c r="K3472" s="19">
        <f>IF(I3472="Gasto",IF(IFERROR(INDEX(catClas,MATCH(D3472,catNom,0))&amp;"","")="","Variable",IFERROR(INDEX(catClas,MATCH(D3472,catNom,0))&amp;"","")),"")</f>
        <v/>
      </c>
      <c r="L3472" s="19">
        <f>IF(I3472="","",IFERROR(INDEX(catAlim,MATCH(D3472,catNom,0))&amp;"",""))</f>
        <v/>
      </c>
      <c r="M3472" s="19">
        <f>IF(I3472="","",IFERROR(INDEX(catComida,MATCH(D3472,catNom,0))&amp;"",""))</f>
        <v/>
      </c>
      <c r="N3472" s="19">
        <f>IF(I3472="","",IFERROR(INDEX(ctaMon,MATCH(E3472,ctaNom,0))&amp;"","DOP"))</f>
        <v/>
      </c>
      <c r="O3472" s="20">
        <f>IF(I3472="","",C3472*IF(N3472="USD",TasaUSD,1))</f>
        <v/>
      </c>
      <c r="P3472" s="20">
        <f>IF(I3472="","",IF(I3472="Gasto",O3472,0))</f>
        <v/>
      </c>
      <c r="Q3472" s="20">
        <f>IF(I3472="","",IF(I3472="Ingreso",O3472,0))</f>
        <v/>
      </c>
      <c r="R3472" s="20">
        <f>IF(I3472="","",IF(I3472="Trading",O3472,0))</f>
        <v/>
      </c>
      <c r="S3472" s="19">
        <f>IF(I3472="","",IF(AND(I3472="Gasto",K3472="Variable",J3472&lt;&gt;"Trading",O3472&gt;0,O3472&lt;=Umbral),1,0))</f>
        <v/>
      </c>
      <c r="T3472" s="20">
        <f>IF(OR(I3472="",E3472=""),"",IF(OR(I3472="Gasto",I3472="Transferencia",I3472="Pago tarjeta"),-1,1)*C3472)</f>
        <v/>
      </c>
      <c r="U3472" s="20">
        <f>IF(OR(G3472="",AND(I3472&lt;&gt;"Transferencia",I3472&lt;&gt;"Pago tarjeta")),"",IF(IFERROR(INDEX(ctaMon,MATCH(G3472,ctaNom,0))&amp;"","DOP")=N3472,C3472,IF(N3472="USD",C3472*TasaUSD,C3472/TasaUSD)))</f>
        <v/>
      </c>
      <c r="V3472" s="20">
        <f>IF(I3472="","",IF(IFERROR(INDEX(ctaLiq,MATCH(E3472,ctaNom,0))="Sí",FALSE),IF(OR(I3472="Gasto",I3472="Transferencia",I3472="Pago tarjeta"),-1,1)*O3472,0)+IF(AND(U3472&lt;&gt;"",IFERROR(INDEX(ctaLiq,MATCH(G3472,ctaNom,0))="Sí",FALSE)),O3472,0))</f>
        <v/>
      </c>
      <c r="W3472" s="19">
        <f>IF(OR(F3472="",I3472=""),"",IF(COUNTIFS(F$6:F3472,F3472,I$6:I3472,"?*")=1,MAX(W$5:W3471)+1,""))</f>
        <v/>
      </c>
    </row>
    <row r="3473">
      <c r="B3473" s="15" t="n"/>
      <c r="C3473" s="16" t="n"/>
      <c r="D3473" s="17" t="n"/>
      <c r="E3473" s="17" t="n"/>
      <c r="F3473" s="17" t="n"/>
      <c r="G3473" s="17" t="n"/>
      <c r="H3473" s="18">
        <f>IF(AND(B3473="",C3473="",D3473="",E3473=""),"",IF(B3473="","⚠ Falta fecha",IF(C3473="","⚠ Falta monto",IF(D3473="","⚠ Falta categoría",IF(ISNA(MATCH(D3473,catNom,0)),"⚠ Categoría no existe",IF(E3473="","⚠ Falta cuenta",IF(ISNA(MATCH(E3473,ctaNom,0)),"⚠ Cuenta no existe",IF(AND(OR(I3473="Transferencia",I3473="Pago tarjeta"),G3473=""),"⚠ Indica la cuenta «Hacia»",IF(AND(G3473&lt;&gt;"",G3473=E3473),"⚠ «Hacia» igual a la cuenta",IF(AND(G3473&lt;&gt;"",ISNA(MATCH(G3473,ctaNom,0))),"⚠ «Hacia» no existe",IF(AND(I3473="Pago tarjeta",IFERROR(INDEX(ctaTipo,MATCH(G3473,ctaNom,0)),"")&lt;&gt;"Tarjeta de crédito"),"⚠ «Hacia» debe ser la tarjeta",IF(AND(I3473="Trading",IFERROR(INDEX(ctaTipo,MATCH(E3473,ctaNom,0)),"")&lt;&gt;"Cuenta de trading"),"⚠ Usa la cuenta de trading","✓"))))))))))))</f>
        <v/>
      </c>
      <c r="I3473" s="19">
        <f>IF(OR(B3473="",C3473="",D3473=""),"",IFERROR(INDEX(catTipo,MATCH(D3473,catNom,0))&amp;"",""))</f>
        <v/>
      </c>
      <c r="J3473" s="19">
        <f>IF(I3473="","",IFERROR(INDEX(catGrupo,MATCH(D3473,catNom,0))&amp;"",""))</f>
        <v/>
      </c>
      <c r="K3473" s="19">
        <f>IF(I3473="Gasto",IF(IFERROR(INDEX(catClas,MATCH(D3473,catNom,0))&amp;"","")="","Variable",IFERROR(INDEX(catClas,MATCH(D3473,catNom,0))&amp;"","")),"")</f>
        <v/>
      </c>
      <c r="L3473" s="19">
        <f>IF(I3473="","",IFERROR(INDEX(catAlim,MATCH(D3473,catNom,0))&amp;"",""))</f>
        <v/>
      </c>
      <c r="M3473" s="19">
        <f>IF(I3473="","",IFERROR(INDEX(catComida,MATCH(D3473,catNom,0))&amp;"",""))</f>
        <v/>
      </c>
      <c r="N3473" s="19">
        <f>IF(I3473="","",IFERROR(INDEX(ctaMon,MATCH(E3473,ctaNom,0))&amp;"","DOP"))</f>
        <v/>
      </c>
      <c r="O3473" s="20">
        <f>IF(I3473="","",C3473*IF(N3473="USD",TasaUSD,1))</f>
        <v/>
      </c>
      <c r="P3473" s="20">
        <f>IF(I3473="","",IF(I3473="Gasto",O3473,0))</f>
        <v/>
      </c>
      <c r="Q3473" s="20">
        <f>IF(I3473="","",IF(I3473="Ingreso",O3473,0))</f>
        <v/>
      </c>
      <c r="R3473" s="20">
        <f>IF(I3473="","",IF(I3473="Trading",O3473,0))</f>
        <v/>
      </c>
      <c r="S3473" s="19">
        <f>IF(I3473="","",IF(AND(I3473="Gasto",K3473="Variable",J3473&lt;&gt;"Trading",O3473&gt;0,O3473&lt;=Umbral),1,0))</f>
        <v/>
      </c>
      <c r="T3473" s="20">
        <f>IF(OR(I3473="",E3473=""),"",IF(OR(I3473="Gasto",I3473="Transferencia",I3473="Pago tarjeta"),-1,1)*C3473)</f>
        <v/>
      </c>
      <c r="U3473" s="20">
        <f>IF(OR(G3473="",AND(I3473&lt;&gt;"Transferencia",I3473&lt;&gt;"Pago tarjeta")),"",IF(IFERROR(INDEX(ctaMon,MATCH(G3473,ctaNom,0))&amp;"","DOP")=N3473,C3473,IF(N3473="USD",C3473*TasaUSD,C3473/TasaUSD)))</f>
        <v/>
      </c>
      <c r="V3473" s="20">
        <f>IF(I3473="","",IF(IFERROR(INDEX(ctaLiq,MATCH(E3473,ctaNom,0))="Sí",FALSE),IF(OR(I3473="Gasto",I3473="Transferencia",I3473="Pago tarjeta"),-1,1)*O3473,0)+IF(AND(U3473&lt;&gt;"",IFERROR(INDEX(ctaLiq,MATCH(G3473,ctaNom,0))="Sí",FALSE)),O3473,0))</f>
        <v/>
      </c>
      <c r="W3473" s="19">
        <f>IF(OR(F3473="",I3473=""),"",IF(COUNTIFS(F$6:F3473,F3473,I$6:I3473,"?*")=1,MAX(W$5:W3472)+1,""))</f>
        <v/>
      </c>
    </row>
    <row r="3474">
      <c r="B3474" s="15" t="n"/>
      <c r="C3474" s="16" t="n"/>
      <c r="D3474" s="17" t="n"/>
      <c r="E3474" s="17" t="n"/>
      <c r="F3474" s="17" t="n"/>
      <c r="G3474" s="17" t="n"/>
      <c r="H3474" s="18">
        <f>IF(AND(B3474="",C3474="",D3474="",E3474=""),"",IF(B3474="","⚠ Falta fecha",IF(C3474="","⚠ Falta monto",IF(D3474="","⚠ Falta categoría",IF(ISNA(MATCH(D3474,catNom,0)),"⚠ Categoría no existe",IF(E3474="","⚠ Falta cuenta",IF(ISNA(MATCH(E3474,ctaNom,0)),"⚠ Cuenta no existe",IF(AND(OR(I3474="Transferencia",I3474="Pago tarjeta"),G3474=""),"⚠ Indica la cuenta «Hacia»",IF(AND(G3474&lt;&gt;"",G3474=E3474),"⚠ «Hacia» igual a la cuenta",IF(AND(G3474&lt;&gt;"",ISNA(MATCH(G3474,ctaNom,0))),"⚠ «Hacia» no existe",IF(AND(I3474="Pago tarjeta",IFERROR(INDEX(ctaTipo,MATCH(G3474,ctaNom,0)),"")&lt;&gt;"Tarjeta de crédito"),"⚠ «Hacia» debe ser la tarjeta",IF(AND(I3474="Trading",IFERROR(INDEX(ctaTipo,MATCH(E3474,ctaNom,0)),"")&lt;&gt;"Cuenta de trading"),"⚠ Usa la cuenta de trading","✓"))))))))))))</f>
        <v/>
      </c>
      <c r="I3474" s="19">
        <f>IF(OR(B3474="",C3474="",D3474=""),"",IFERROR(INDEX(catTipo,MATCH(D3474,catNom,0))&amp;"",""))</f>
        <v/>
      </c>
      <c r="J3474" s="19">
        <f>IF(I3474="","",IFERROR(INDEX(catGrupo,MATCH(D3474,catNom,0))&amp;"",""))</f>
        <v/>
      </c>
      <c r="K3474" s="19">
        <f>IF(I3474="Gasto",IF(IFERROR(INDEX(catClas,MATCH(D3474,catNom,0))&amp;"","")="","Variable",IFERROR(INDEX(catClas,MATCH(D3474,catNom,0))&amp;"","")),"")</f>
        <v/>
      </c>
      <c r="L3474" s="19">
        <f>IF(I3474="","",IFERROR(INDEX(catAlim,MATCH(D3474,catNom,0))&amp;"",""))</f>
        <v/>
      </c>
      <c r="M3474" s="19">
        <f>IF(I3474="","",IFERROR(INDEX(catComida,MATCH(D3474,catNom,0))&amp;"",""))</f>
        <v/>
      </c>
      <c r="N3474" s="19">
        <f>IF(I3474="","",IFERROR(INDEX(ctaMon,MATCH(E3474,ctaNom,0))&amp;"","DOP"))</f>
        <v/>
      </c>
      <c r="O3474" s="20">
        <f>IF(I3474="","",C3474*IF(N3474="USD",TasaUSD,1))</f>
        <v/>
      </c>
      <c r="P3474" s="20">
        <f>IF(I3474="","",IF(I3474="Gasto",O3474,0))</f>
        <v/>
      </c>
      <c r="Q3474" s="20">
        <f>IF(I3474="","",IF(I3474="Ingreso",O3474,0))</f>
        <v/>
      </c>
      <c r="R3474" s="20">
        <f>IF(I3474="","",IF(I3474="Trading",O3474,0))</f>
        <v/>
      </c>
      <c r="S3474" s="19">
        <f>IF(I3474="","",IF(AND(I3474="Gasto",K3474="Variable",J3474&lt;&gt;"Trading",O3474&gt;0,O3474&lt;=Umbral),1,0))</f>
        <v/>
      </c>
      <c r="T3474" s="20">
        <f>IF(OR(I3474="",E3474=""),"",IF(OR(I3474="Gasto",I3474="Transferencia",I3474="Pago tarjeta"),-1,1)*C3474)</f>
        <v/>
      </c>
      <c r="U3474" s="20">
        <f>IF(OR(G3474="",AND(I3474&lt;&gt;"Transferencia",I3474&lt;&gt;"Pago tarjeta")),"",IF(IFERROR(INDEX(ctaMon,MATCH(G3474,ctaNom,0))&amp;"","DOP")=N3474,C3474,IF(N3474="USD",C3474*TasaUSD,C3474/TasaUSD)))</f>
        <v/>
      </c>
      <c r="V3474" s="20">
        <f>IF(I3474="","",IF(IFERROR(INDEX(ctaLiq,MATCH(E3474,ctaNom,0))="Sí",FALSE),IF(OR(I3474="Gasto",I3474="Transferencia",I3474="Pago tarjeta"),-1,1)*O3474,0)+IF(AND(U3474&lt;&gt;"",IFERROR(INDEX(ctaLiq,MATCH(G3474,ctaNom,0))="Sí",FALSE)),O3474,0))</f>
        <v/>
      </c>
      <c r="W3474" s="19">
        <f>IF(OR(F3474="",I3474=""),"",IF(COUNTIFS(F$6:F3474,F3474,I$6:I3474,"?*")=1,MAX(W$5:W3473)+1,""))</f>
        <v/>
      </c>
    </row>
    <row r="3475">
      <c r="B3475" s="15" t="n"/>
      <c r="C3475" s="16" t="n"/>
      <c r="D3475" s="17" t="n"/>
      <c r="E3475" s="17" t="n"/>
      <c r="F3475" s="17" t="n"/>
      <c r="G3475" s="17" t="n"/>
      <c r="H3475" s="18">
        <f>IF(AND(B3475="",C3475="",D3475="",E3475=""),"",IF(B3475="","⚠ Falta fecha",IF(C3475="","⚠ Falta monto",IF(D3475="","⚠ Falta categoría",IF(ISNA(MATCH(D3475,catNom,0)),"⚠ Categoría no existe",IF(E3475="","⚠ Falta cuenta",IF(ISNA(MATCH(E3475,ctaNom,0)),"⚠ Cuenta no existe",IF(AND(OR(I3475="Transferencia",I3475="Pago tarjeta"),G3475=""),"⚠ Indica la cuenta «Hacia»",IF(AND(G3475&lt;&gt;"",G3475=E3475),"⚠ «Hacia» igual a la cuenta",IF(AND(G3475&lt;&gt;"",ISNA(MATCH(G3475,ctaNom,0))),"⚠ «Hacia» no existe",IF(AND(I3475="Pago tarjeta",IFERROR(INDEX(ctaTipo,MATCH(G3475,ctaNom,0)),"")&lt;&gt;"Tarjeta de crédito"),"⚠ «Hacia» debe ser la tarjeta",IF(AND(I3475="Trading",IFERROR(INDEX(ctaTipo,MATCH(E3475,ctaNom,0)),"")&lt;&gt;"Cuenta de trading"),"⚠ Usa la cuenta de trading","✓"))))))))))))</f>
        <v/>
      </c>
      <c r="I3475" s="19">
        <f>IF(OR(B3475="",C3475="",D3475=""),"",IFERROR(INDEX(catTipo,MATCH(D3475,catNom,0))&amp;"",""))</f>
        <v/>
      </c>
      <c r="J3475" s="19">
        <f>IF(I3475="","",IFERROR(INDEX(catGrupo,MATCH(D3475,catNom,0))&amp;"",""))</f>
        <v/>
      </c>
      <c r="K3475" s="19">
        <f>IF(I3475="Gasto",IF(IFERROR(INDEX(catClas,MATCH(D3475,catNom,0))&amp;"","")="","Variable",IFERROR(INDEX(catClas,MATCH(D3475,catNom,0))&amp;"","")),"")</f>
        <v/>
      </c>
      <c r="L3475" s="19">
        <f>IF(I3475="","",IFERROR(INDEX(catAlim,MATCH(D3475,catNom,0))&amp;"",""))</f>
        <v/>
      </c>
      <c r="M3475" s="19">
        <f>IF(I3475="","",IFERROR(INDEX(catComida,MATCH(D3475,catNom,0))&amp;"",""))</f>
        <v/>
      </c>
      <c r="N3475" s="19">
        <f>IF(I3475="","",IFERROR(INDEX(ctaMon,MATCH(E3475,ctaNom,0))&amp;"","DOP"))</f>
        <v/>
      </c>
      <c r="O3475" s="20">
        <f>IF(I3475="","",C3475*IF(N3475="USD",TasaUSD,1))</f>
        <v/>
      </c>
      <c r="P3475" s="20">
        <f>IF(I3475="","",IF(I3475="Gasto",O3475,0))</f>
        <v/>
      </c>
      <c r="Q3475" s="20">
        <f>IF(I3475="","",IF(I3475="Ingreso",O3475,0))</f>
        <v/>
      </c>
      <c r="R3475" s="20">
        <f>IF(I3475="","",IF(I3475="Trading",O3475,0))</f>
        <v/>
      </c>
      <c r="S3475" s="19">
        <f>IF(I3475="","",IF(AND(I3475="Gasto",K3475="Variable",J3475&lt;&gt;"Trading",O3475&gt;0,O3475&lt;=Umbral),1,0))</f>
        <v/>
      </c>
      <c r="T3475" s="20">
        <f>IF(OR(I3475="",E3475=""),"",IF(OR(I3475="Gasto",I3475="Transferencia",I3475="Pago tarjeta"),-1,1)*C3475)</f>
        <v/>
      </c>
      <c r="U3475" s="20">
        <f>IF(OR(G3475="",AND(I3475&lt;&gt;"Transferencia",I3475&lt;&gt;"Pago tarjeta")),"",IF(IFERROR(INDEX(ctaMon,MATCH(G3475,ctaNom,0))&amp;"","DOP")=N3475,C3475,IF(N3475="USD",C3475*TasaUSD,C3475/TasaUSD)))</f>
        <v/>
      </c>
      <c r="V3475" s="20">
        <f>IF(I3475="","",IF(IFERROR(INDEX(ctaLiq,MATCH(E3475,ctaNom,0))="Sí",FALSE),IF(OR(I3475="Gasto",I3475="Transferencia",I3475="Pago tarjeta"),-1,1)*O3475,0)+IF(AND(U3475&lt;&gt;"",IFERROR(INDEX(ctaLiq,MATCH(G3475,ctaNom,0))="Sí",FALSE)),O3475,0))</f>
        <v/>
      </c>
      <c r="W3475" s="19">
        <f>IF(OR(F3475="",I3475=""),"",IF(COUNTIFS(F$6:F3475,F3475,I$6:I3475,"?*")=1,MAX(W$5:W3474)+1,""))</f>
        <v/>
      </c>
    </row>
    <row r="3476">
      <c r="B3476" s="15" t="n"/>
      <c r="C3476" s="16" t="n"/>
      <c r="D3476" s="17" t="n"/>
      <c r="E3476" s="17" t="n"/>
      <c r="F3476" s="17" t="n"/>
      <c r="G3476" s="17" t="n"/>
      <c r="H3476" s="18">
        <f>IF(AND(B3476="",C3476="",D3476="",E3476=""),"",IF(B3476="","⚠ Falta fecha",IF(C3476="","⚠ Falta monto",IF(D3476="","⚠ Falta categoría",IF(ISNA(MATCH(D3476,catNom,0)),"⚠ Categoría no existe",IF(E3476="","⚠ Falta cuenta",IF(ISNA(MATCH(E3476,ctaNom,0)),"⚠ Cuenta no existe",IF(AND(OR(I3476="Transferencia",I3476="Pago tarjeta"),G3476=""),"⚠ Indica la cuenta «Hacia»",IF(AND(G3476&lt;&gt;"",G3476=E3476),"⚠ «Hacia» igual a la cuenta",IF(AND(G3476&lt;&gt;"",ISNA(MATCH(G3476,ctaNom,0))),"⚠ «Hacia» no existe",IF(AND(I3476="Pago tarjeta",IFERROR(INDEX(ctaTipo,MATCH(G3476,ctaNom,0)),"")&lt;&gt;"Tarjeta de crédito"),"⚠ «Hacia» debe ser la tarjeta",IF(AND(I3476="Trading",IFERROR(INDEX(ctaTipo,MATCH(E3476,ctaNom,0)),"")&lt;&gt;"Cuenta de trading"),"⚠ Usa la cuenta de trading","✓"))))))))))))</f>
        <v/>
      </c>
      <c r="I3476" s="19">
        <f>IF(OR(B3476="",C3476="",D3476=""),"",IFERROR(INDEX(catTipo,MATCH(D3476,catNom,0))&amp;"",""))</f>
        <v/>
      </c>
      <c r="J3476" s="19">
        <f>IF(I3476="","",IFERROR(INDEX(catGrupo,MATCH(D3476,catNom,0))&amp;"",""))</f>
        <v/>
      </c>
      <c r="K3476" s="19">
        <f>IF(I3476="Gasto",IF(IFERROR(INDEX(catClas,MATCH(D3476,catNom,0))&amp;"","")="","Variable",IFERROR(INDEX(catClas,MATCH(D3476,catNom,0))&amp;"","")),"")</f>
        <v/>
      </c>
      <c r="L3476" s="19">
        <f>IF(I3476="","",IFERROR(INDEX(catAlim,MATCH(D3476,catNom,0))&amp;"",""))</f>
        <v/>
      </c>
      <c r="M3476" s="19">
        <f>IF(I3476="","",IFERROR(INDEX(catComida,MATCH(D3476,catNom,0))&amp;"",""))</f>
        <v/>
      </c>
      <c r="N3476" s="19">
        <f>IF(I3476="","",IFERROR(INDEX(ctaMon,MATCH(E3476,ctaNom,0))&amp;"","DOP"))</f>
        <v/>
      </c>
      <c r="O3476" s="20">
        <f>IF(I3476="","",C3476*IF(N3476="USD",TasaUSD,1))</f>
        <v/>
      </c>
      <c r="P3476" s="20">
        <f>IF(I3476="","",IF(I3476="Gasto",O3476,0))</f>
        <v/>
      </c>
      <c r="Q3476" s="20">
        <f>IF(I3476="","",IF(I3476="Ingreso",O3476,0))</f>
        <v/>
      </c>
      <c r="R3476" s="20">
        <f>IF(I3476="","",IF(I3476="Trading",O3476,0))</f>
        <v/>
      </c>
      <c r="S3476" s="19">
        <f>IF(I3476="","",IF(AND(I3476="Gasto",K3476="Variable",J3476&lt;&gt;"Trading",O3476&gt;0,O3476&lt;=Umbral),1,0))</f>
        <v/>
      </c>
      <c r="T3476" s="20">
        <f>IF(OR(I3476="",E3476=""),"",IF(OR(I3476="Gasto",I3476="Transferencia",I3476="Pago tarjeta"),-1,1)*C3476)</f>
        <v/>
      </c>
      <c r="U3476" s="20">
        <f>IF(OR(G3476="",AND(I3476&lt;&gt;"Transferencia",I3476&lt;&gt;"Pago tarjeta")),"",IF(IFERROR(INDEX(ctaMon,MATCH(G3476,ctaNom,0))&amp;"","DOP")=N3476,C3476,IF(N3476="USD",C3476*TasaUSD,C3476/TasaUSD)))</f>
        <v/>
      </c>
      <c r="V3476" s="20">
        <f>IF(I3476="","",IF(IFERROR(INDEX(ctaLiq,MATCH(E3476,ctaNom,0))="Sí",FALSE),IF(OR(I3476="Gasto",I3476="Transferencia",I3476="Pago tarjeta"),-1,1)*O3476,0)+IF(AND(U3476&lt;&gt;"",IFERROR(INDEX(ctaLiq,MATCH(G3476,ctaNom,0))="Sí",FALSE)),O3476,0))</f>
        <v/>
      </c>
      <c r="W3476" s="19">
        <f>IF(OR(F3476="",I3476=""),"",IF(COUNTIFS(F$6:F3476,F3476,I$6:I3476,"?*")=1,MAX(W$5:W3475)+1,""))</f>
        <v/>
      </c>
    </row>
    <row r="3477">
      <c r="B3477" s="15" t="n"/>
      <c r="C3477" s="16" t="n"/>
      <c r="D3477" s="17" t="n"/>
      <c r="E3477" s="17" t="n"/>
      <c r="F3477" s="17" t="n"/>
      <c r="G3477" s="17" t="n"/>
      <c r="H3477" s="18">
        <f>IF(AND(B3477="",C3477="",D3477="",E3477=""),"",IF(B3477="","⚠ Falta fecha",IF(C3477="","⚠ Falta monto",IF(D3477="","⚠ Falta categoría",IF(ISNA(MATCH(D3477,catNom,0)),"⚠ Categoría no existe",IF(E3477="","⚠ Falta cuenta",IF(ISNA(MATCH(E3477,ctaNom,0)),"⚠ Cuenta no existe",IF(AND(OR(I3477="Transferencia",I3477="Pago tarjeta"),G3477=""),"⚠ Indica la cuenta «Hacia»",IF(AND(G3477&lt;&gt;"",G3477=E3477),"⚠ «Hacia» igual a la cuenta",IF(AND(G3477&lt;&gt;"",ISNA(MATCH(G3477,ctaNom,0))),"⚠ «Hacia» no existe",IF(AND(I3477="Pago tarjeta",IFERROR(INDEX(ctaTipo,MATCH(G3477,ctaNom,0)),"")&lt;&gt;"Tarjeta de crédito"),"⚠ «Hacia» debe ser la tarjeta",IF(AND(I3477="Trading",IFERROR(INDEX(ctaTipo,MATCH(E3477,ctaNom,0)),"")&lt;&gt;"Cuenta de trading"),"⚠ Usa la cuenta de trading","✓"))))))))))))</f>
        <v/>
      </c>
      <c r="I3477" s="19">
        <f>IF(OR(B3477="",C3477="",D3477=""),"",IFERROR(INDEX(catTipo,MATCH(D3477,catNom,0))&amp;"",""))</f>
        <v/>
      </c>
      <c r="J3477" s="19">
        <f>IF(I3477="","",IFERROR(INDEX(catGrupo,MATCH(D3477,catNom,0))&amp;"",""))</f>
        <v/>
      </c>
      <c r="K3477" s="19">
        <f>IF(I3477="Gasto",IF(IFERROR(INDEX(catClas,MATCH(D3477,catNom,0))&amp;"","")="","Variable",IFERROR(INDEX(catClas,MATCH(D3477,catNom,0))&amp;"","")),"")</f>
        <v/>
      </c>
      <c r="L3477" s="19">
        <f>IF(I3477="","",IFERROR(INDEX(catAlim,MATCH(D3477,catNom,0))&amp;"",""))</f>
        <v/>
      </c>
      <c r="M3477" s="19">
        <f>IF(I3477="","",IFERROR(INDEX(catComida,MATCH(D3477,catNom,0))&amp;"",""))</f>
        <v/>
      </c>
      <c r="N3477" s="19">
        <f>IF(I3477="","",IFERROR(INDEX(ctaMon,MATCH(E3477,ctaNom,0))&amp;"","DOP"))</f>
        <v/>
      </c>
      <c r="O3477" s="20">
        <f>IF(I3477="","",C3477*IF(N3477="USD",TasaUSD,1))</f>
        <v/>
      </c>
      <c r="P3477" s="20">
        <f>IF(I3477="","",IF(I3477="Gasto",O3477,0))</f>
        <v/>
      </c>
      <c r="Q3477" s="20">
        <f>IF(I3477="","",IF(I3477="Ingreso",O3477,0))</f>
        <v/>
      </c>
      <c r="R3477" s="20">
        <f>IF(I3477="","",IF(I3477="Trading",O3477,0))</f>
        <v/>
      </c>
      <c r="S3477" s="19">
        <f>IF(I3477="","",IF(AND(I3477="Gasto",K3477="Variable",J3477&lt;&gt;"Trading",O3477&gt;0,O3477&lt;=Umbral),1,0))</f>
        <v/>
      </c>
      <c r="T3477" s="20">
        <f>IF(OR(I3477="",E3477=""),"",IF(OR(I3477="Gasto",I3477="Transferencia",I3477="Pago tarjeta"),-1,1)*C3477)</f>
        <v/>
      </c>
      <c r="U3477" s="20">
        <f>IF(OR(G3477="",AND(I3477&lt;&gt;"Transferencia",I3477&lt;&gt;"Pago tarjeta")),"",IF(IFERROR(INDEX(ctaMon,MATCH(G3477,ctaNom,0))&amp;"","DOP")=N3477,C3477,IF(N3477="USD",C3477*TasaUSD,C3477/TasaUSD)))</f>
        <v/>
      </c>
      <c r="V3477" s="20">
        <f>IF(I3477="","",IF(IFERROR(INDEX(ctaLiq,MATCH(E3477,ctaNom,0))="Sí",FALSE),IF(OR(I3477="Gasto",I3477="Transferencia",I3477="Pago tarjeta"),-1,1)*O3477,0)+IF(AND(U3477&lt;&gt;"",IFERROR(INDEX(ctaLiq,MATCH(G3477,ctaNom,0))="Sí",FALSE)),O3477,0))</f>
        <v/>
      </c>
      <c r="W3477" s="19">
        <f>IF(OR(F3477="",I3477=""),"",IF(COUNTIFS(F$6:F3477,F3477,I$6:I3477,"?*")=1,MAX(W$5:W3476)+1,""))</f>
        <v/>
      </c>
    </row>
    <row r="3478">
      <c r="B3478" s="15" t="n"/>
      <c r="C3478" s="16" t="n"/>
      <c r="D3478" s="17" t="n"/>
      <c r="E3478" s="17" t="n"/>
      <c r="F3478" s="17" t="n"/>
      <c r="G3478" s="17" t="n"/>
      <c r="H3478" s="18">
        <f>IF(AND(B3478="",C3478="",D3478="",E3478=""),"",IF(B3478="","⚠ Falta fecha",IF(C3478="","⚠ Falta monto",IF(D3478="","⚠ Falta categoría",IF(ISNA(MATCH(D3478,catNom,0)),"⚠ Categoría no existe",IF(E3478="","⚠ Falta cuenta",IF(ISNA(MATCH(E3478,ctaNom,0)),"⚠ Cuenta no existe",IF(AND(OR(I3478="Transferencia",I3478="Pago tarjeta"),G3478=""),"⚠ Indica la cuenta «Hacia»",IF(AND(G3478&lt;&gt;"",G3478=E3478),"⚠ «Hacia» igual a la cuenta",IF(AND(G3478&lt;&gt;"",ISNA(MATCH(G3478,ctaNom,0))),"⚠ «Hacia» no existe",IF(AND(I3478="Pago tarjeta",IFERROR(INDEX(ctaTipo,MATCH(G3478,ctaNom,0)),"")&lt;&gt;"Tarjeta de crédito"),"⚠ «Hacia» debe ser la tarjeta",IF(AND(I3478="Trading",IFERROR(INDEX(ctaTipo,MATCH(E3478,ctaNom,0)),"")&lt;&gt;"Cuenta de trading"),"⚠ Usa la cuenta de trading","✓"))))))))))))</f>
        <v/>
      </c>
      <c r="I3478" s="19">
        <f>IF(OR(B3478="",C3478="",D3478=""),"",IFERROR(INDEX(catTipo,MATCH(D3478,catNom,0))&amp;"",""))</f>
        <v/>
      </c>
      <c r="J3478" s="19">
        <f>IF(I3478="","",IFERROR(INDEX(catGrupo,MATCH(D3478,catNom,0))&amp;"",""))</f>
        <v/>
      </c>
      <c r="K3478" s="19">
        <f>IF(I3478="Gasto",IF(IFERROR(INDEX(catClas,MATCH(D3478,catNom,0))&amp;"","")="","Variable",IFERROR(INDEX(catClas,MATCH(D3478,catNom,0))&amp;"","")),"")</f>
        <v/>
      </c>
      <c r="L3478" s="19">
        <f>IF(I3478="","",IFERROR(INDEX(catAlim,MATCH(D3478,catNom,0))&amp;"",""))</f>
        <v/>
      </c>
      <c r="M3478" s="19">
        <f>IF(I3478="","",IFERROR(INDEX(catComida,MATCH(D3478,catNom,0))&amp;"",""))</f>
        <v/>
      </c>
      <c r="N3478" s="19">
        <f>IF(I3478="","",IFERROR(INDEX(ctaMon,MATCH(E3478,ctaNom,0))&amp;"","DOP"))</f>
        <v/>
      </c>
      <c r="O3478" s="20">
        <f>IF(I3478="","",C3478*IF(N3478="USD",TasaUSD,1))</f>
        <v/>
      </c>
      <c r="P3478" s="20">
        <f>IF(I3478="","",IF(I3478="Gasto",O3478,0))</f>
        <v/>
      </c>
      <c r="Q3478" s="20">
        <f>IF(I3478="","",IF(I3478="Ingreso",O3478,0))</f>
        <v/>
      </c>
      <c r="R3478" s="20">
        <f>IF(I3478="","",IF(I3478="Trading",O3478,0))</f>
        <v/>
      </c>
      <c r="S3478" s="19">
        <f>IF(I3478="","",IF(AND(I3478="Gasto",K3478="Variable",J3478&lt;&gt;"Trading",O3478&gt;0,O3478&lt;=Umbral),1,0))</f>
        <v/>
      </c>
      <c r="T3478" s="20">
        <f>IF(OR(I3478="",E3478=""),"",IF(OR(I3478="Gasto",I3478="Transferencia",I3478="Pago tarjeta"),-1,1)*C3478)</f>
        <v/>
      </c>
      <c r="U3478" s="20">
        <f>IF(OR(G3478="",AND(I3478&lt;&gt;"Transferencia",I3478&lt;&gt;"Pago tarjeta")),"",IF(IFERROR(INDEX(ctaMon,MATCH(G3478,ctaNom,0))&amp;"","DOP")=N3478,C3478,IF(N3478="USD",C3478*TasaUSD,C3478/TasaUSD)))</f>
        <v/>
      </c>
      <c r="V3478" s="20">
        <f>IF(I3478="","",IF(IFERROR(INDEX(ctaLiq,MATCH(E3478,ctaNom,0))="Sí",FALSE),IF(OR(I3478="Gasto",I3478="Transferencia",I3478="Pago tarjeta"),-1,1)*O3478,0)+IF(AND(U3478&lt;&gt;"",IFERROR(INDEX(ctaLiq,MATCH(G3478,ctaNom,0))="Sí",FALSE)),O3478,0))</f>
        <v/>
      </c>
      <c r="W3478" s="19">
        <f>IF(OR(F3478="",I3478=""),"",IF(COUNTIFS(F$6:F3478,F3478,I$6:I3478,"?*")=1,MAX(W$5:W3477)+1,""))</f>
        <v/>
      </c>
    </row>
    <row r="3479">
      <c r="B3479" s="15" t="n"/>
      <c r="C3479" s="16" t="n"/>
      <c r="D3479" s="17" t="n"/>
      <c r="E3479" s="17" t="n"/>
      <c r="F3479" s="17" t="n"/>
      <c r="G3479" s="17" t="n"/>
      <c r="H3479" s="18">
        <f>IF(AND(B3479="",C3479="",D3479="",E3479=""),"",IF(B3479="","⚠ Falta fecha",IF(C3479="","⚠ Falta monto",IF(D3479="","⚠ Falta categoría",IF(ISNA(MATCH(D3479,catNom,0)),"⚠ Categoría no existe",IF(E3479="","⚠ Falta cuenta",IF(ISNA(MATCH(E3479,ctaNom,0)),"⚠ Cuenta no existe",IF(AND(OR(I3479="Transferencia",I3479="Pago tarjeta"),G3479=""),"⚠ Indica la cuenta «Hacia»",IF(AND(G3479&lt;&gt;"",G3479=E3479),"⚠ «Hacia» igual a la cuenta",IF(AND(G3479&lt;&gt;"",ISNA(MATCH(G3479,ctaNom,0))),"⚠ «Hacia» no existe",IF(AND(I3479="Pago tarjeta",IFERROR(INDEX(ctaTipo,MATCH(G3479,ctaNom,0)),"")&lt;&gt;"Tarjeta de crédito"),"⚠ «Hacia» debe ser la tarjeta",IF(AND(I3479="Trading",IFERROR(INDEX(ctaTipo,MATCH(E3479,ctaNom,0)),"")&lt;&gt;"Cuenta de trading"),"⚠ Usa la cuenta de trading","✓"))))))))))))</f>
        <v/>
      </c>
      <c r="I3479" s="19">
        <f>IF(OR(B3479="",C3479="",D3479=""),"",IFERROR(INDEX(catTipo,MATCH(D3479,catNom,0))&amp;"",""))</f>
        <v/>
      </c>
      <c r="J3479" s="19">
        <f>IF(I3479="","",IFERROR(INDEX(catGrupo,MATCH(D3479,catNom,0))&amp;"",""))</f>
        <v/>
      </c>
      <c r="K3479" s="19">
        <f>IF(I3479="Gasto",IF(IFERROR(INDEX(catClas,MATCH(D3479,catNom,0))&amp;"","")="","Variable",IFERROR(INDEX(catClas,MATCH(D3479,catNom,0))&amp;"","")),"")</f>
        <v/>
      </c>
      <c r="L3479" s="19">
        <f>IF(I3479="","",IFERROR(INDEX(catAlim,MATCH(D3479,catNom,0))&amp;"",""))</f>
        <v/>
      </c>
      <c r="M3479" s="19">
        <f>IF(I3479="","",IFERROR(INDEX(catComida,MATCH(D3479,catNom,0))&amp;"",""))</f>
        <v/>
      </c>
      <c r="N3479" s="19">
        <f>IF(I3479="","",IFERROR(INDEX(ctaMon,MATCH(E3479,ctaNom,0))&amp;"","DOP"))</f>
        <v/>
      </c>
      <c r="O3479" s="20">
        <f>IF(I3479="","",C3479*IF(N3479="USD",TasaUSD,1))</f>
        <v/>
      </c>
      <c r="P3479" s="20">
        <f>IF(I3479="","",IF(I3479="Gasto",O3479,0))</f>
        <v/>
      </c>
      <c r="Q3479" s="20">
        <f>IF(I3479="","",IF(I3479="Ingreso",O3479,0))</f>
        <v/>
      </c>
      <c r="R3479" s="20">
        <f>IF(I3479="","",IF(I3479="Trading",O3479,0))</f>
        <v/>
      </c>
      <c r="S3479" s="19">
        <f>IF(I3479="","",IF(AND(I3479="Gasto",K3479="Variable",J3479&lt;&gt;"Trading",O3479&gt;0,O3479&lt;=Umbral),1,0))</f>
        <v/>
      </c>
      <c r="T3479" s="20">
        <f>IF(OR(I3479="",E3479=""),"",IF(OR(I3479="Gasto",I3479="Transferencia",I3479="Pago tarjeta"),-1,1)*C3479)</f>
        <v/>
      </c>
      <c r="U3479" s="20">
        <f>IF(OR(G3479="",AND(I3479&lt;&gt;"Transferencia",I3479&lt;&gt;"Pago tarjeta")),"",IF(IFERROR(INDEX(ctaMon,MATCH(G3479,ctaNom,0))&amp;"","DOP")=N3479,C3479,IF(N3479="USD",C3479*TasaUSD,C3479/TasaUSD)))</f>
        <v/>
      </c>
      <c r="V3479" s="20">
        <f>IF(I3479="","",IF(IFERROR(INDEX(ctaLiq,MATCH(E3479,ctaNom,0))="Sí",FALSE),IF(OR(I3479="Gasto",I3479="Transferencia",I3479="Pago tarjeta"),-1,1)*O3479,0)+IF(AND(U3479&lt;&gt;"",IFERROR(INDEX(ctaLiq,MATCH(G3479,ctaNom,0))="Sí",FALSE)),O3479,0))</f>
        <v/>
      </c>
      <c r="W3479" s="19">
        <f>IF(OR(F3479="",I3479=""),"",IF(COUNTIFS(F$6:F3479,F3479,I$6:I3479,"?*")=1,MAX(W$5:W3478)+1,""))</f>
        <v/>
      </c>
    </row>
    <row r="3480">
      <c r="B3480" s="15" t="n"/>
      <c r="C3480" s="16" t="n"/>
      <c r="D3480" s="17" t="n"/>
      <c r="E3480" s="17" t="n"/>
      <c r="F3480" s="17" t="n"/>
      <c r="G3480" s="17" t="n"/>
      <c r="H3480" s="18">
        <f>IF(AND(B3480="",C3480="",D3480="",E3480=""),"",IF(B3480="","⚠ Falta fecha",IF(C3480="","⚠ Falta monto",IF(D3480="","⚠ Falta categoría",IF(ISNA(MATCH(D3480,catNom,0)),"⚠ Categoría no existe",IF(E3480="","⚠ Falta cuenta",IF(ISNA(MATCH(E3480,ctaNom,0)),"⚠ Cuenta no existe",IF(AND(OR(I3480="Transferencia",I3480="Pago tarjeta"),G3480=""),"⚠ Indica la cuenta «Hacia»",IF(AND(G3480&lt;&gt;"",G3480=E3480),"⚠ «Hacia» igual a la cuenta",IF(AND(G3480&lt;&gt;"",ISNA(MATCH(G3480,ctaNom,0))),"⚠ «Hacia» no existe",IF(AND(I3480="Pago tarjeta",IFERROR(INDEX(ctaTipo,MATCH(G3480,ctaNom,0)),"")&lt;&gt;"Tarjeta de crédito"),"⚠ «Hacia» debe ser la tarjeta",IF(AND(I3480="Trading",IFERROR(INDEX(ctaTipo,MATCH(E3480,ctaNom,0)),"")&lt;&gt;"Cuenta de trading"),"⚠ Usa la cuenta de trading","✓"))))))))))))</f>
        <v/>
      </c>
      <c r="I3480" s="19">
        <f>IF(OR(B3480="",C3480="",D3480=""),"",IFERROR(INDEX(catTipo,MATCH(D3480,catNom,0))&amp;"",""))</f>
        <v/>
      </c>
      <c r="J3480" s="19">
        <f>IF(I3480="","",IFERROR(INDEX(catGrupo,MATCH(D3480,catNom,0))&amp;"",""))</f>
        <v/>
      </c>
      <c r="K3480" s="19">
        <f>IF(I3480="Gasto",IF(IFERROR(INDEX(catClas,MATCH(D3480,catNom,0))&amp;"","")="","Variable",IFERROR(INDEX(catClas,MATCH(D3480,catNom,0))&amp;"","")),"")</f>
        <v/>
      </c>
      <c r="L3480" s="19">
        <f>IF(I3480="","",IFERROR(INDEX(catAlim,MATCH(D3480,catNom,0))&amp;"",""))</f>
        <v/>
      </c>
      <c r="M3480" s="19">
        <f>IF(I3480="","",IFERROR(INDEX(catComida,MATCH(D3480,catNom,0))&amp;"",""))</f>
        <v/>
      </c>
      <c r="N3480" s="19">
        <f>IF(I3480="","",IFERROR(INDEX(ctaMon,MATCH(E3480,ctaNom,0))&amp;"","DOP"))</f>
        <v/>
      </c>
      <c r="O3480" s="20">
        <f>IF(I3480="","",C3480*IF(N3480="USD",TasaUSD,1))</f>
        <v/>
      </c>
      <c r="P3480" s="20">
        <f>IF(I3480="","",IF(I3480="Gasto",O3480,0))</f>
        <v/>
      </c>
      <c r="Q3480" s="20">
        <f>IF(I3480="","",IF(I3480="Ingreso",O3480,0))</f>
        <v/>
      </c>
      <c r="R3480" s="20">
        <f>IF(I3480="","",IF(I3480="Trading",O3480,0))</f>
        <v/>
      </c>
      <c r="S3480" s="19">
        <f>IF(I3480="","",IF(AND(I3480="Gasto",K3480="Variable",J3480&lt;&gt;"Trading",O3480&gt;0,O3480&lt;=Umbral),1,0))</f>
        <v/>
      </c>
      <c r="T3480" s="20">
        <f>IF(OR(I3480="",E3480=""),"",IF(OR(I3480="Gasto",I3480="Transferencia",I3480="Pago tarjeta"),-1,1)*C3480)</f>
        <v/>
      </c>
      <c r="U3480" s="20">
        <f>IF(OR(G3480="",AND(I3480&lt;&gt;"Transferencia",I3480&lt;&gt;"Pago tarjeta")),"",IF(IFERROR(INDEX(ctaMon,MATCH(G3480,ctaNom,0))&amp;"","DOP")=N3480,C3480,IF(N3480="USD",C3480*TasaUSD,C3480/TasaUSD)))</f>
        <v/>
      </c>
      <c r="V3480" s="20">
        <f>IF(I3480="","",IF(IFERROR(INDEX(ctaLiq,MATCH(E3480,ctaNom,0))="Sí",FALSE),IF(OR(I3480="Gasto",I3480="Transferencia",I3480="Pago tarjeta"),-1,1)*O3480,0)+IF(AND(U3480&lt;&gt;"",IFERROR(INDEX(ctaLiq,MATCH(G3480,ctaNom,0))="Sí",FALSE)),O3480,0))</f>
        <v/>
      </c>
      <c r="W3480" s="19">
        <f>IF(OR(F3480="",I3480=""),"",IF(COUNTIFS(F$6:F3480,F3480,I$6:I3480,"?*")=1,MAX(W$5:W3479)+1,""))</f>
        <v/>
      </c>
    </row>
    <row r="3481">
      <c r="B3481" s="15" t="n"/>
      <c r="C3481" s="16" t="n"/>
      <c r="D3481" s="17" t="n"/>
      <c r="E3481" s="17" t="n"/>
      <c r="F3481" s="17" t="n"/>
      <c r="G3481" s="17" t="n"/>
      <c r="H3481" s="18">
        <f>IF(AND(B3481="",C3481="",D3481="",E3481=""),"",IF(B3481="","⚠ Falta fecha",IF(C3481="","⚠ Falta monto",IF(D3481="","⚠ Falta categoría",IF(ISNA(MATCH(D3481,catNom,0)),"⚠ Categoría no existe",IF(E3481="","⚠ Falta cuenta",IF(ISNA(MATCH(E3481,ctaNom,0)),"⚠ Cuenta no existe",IF(AND(OR(I3481="Transferencia",I3481="Pago tarjeta"),G3481=""),"⚠ Indica la cuenta «Hacia»",IF(AND(G3481&lt;&gt;"",G3481=E3481),"⚠ «Hacia» igual a la cuenta",IF(AND(G3481&lt;&gt;"",ISNA(MATCH(G3481,ctaNom,0))),"⚠ «Hacia» no existe",IF(AND(I3481="Pago tarjeta",IFERROR(INDEX(ctaTipo,MATCH(G3481,ctaNom,0)),"")&lt;&gt;"Tarjeta de crédito"),"⚠ «Hacia» debe ser la tarjeta",IF(AND(I3481="Trading",IFERROR(INDEX(ctaTipo,MATCH(E3481,ctaNom,0)),"")&lt;&gt;"Cuenta de trading"),"⚠ Usa la cuenta de trading","✓"))))))))))))</f>
        <v/>
      </c>
      <c r="I3481" s="19">
        <f>IF(OR(B3481="",C3481="",D3481=""),"",IFERROR(INDEX(catTipo,MATCH(D3481,catNom,0))&amp;"",""))</f>
        <v/>
      </c>
      <c r="J3481" s="19">
        <f>IF(I3481="","",IFERROR(INDEX(catGrupo,MATCH(D3481,catNom,0))&amp;"",""))</f>
        <v/>
      </c>
      <c r="K3481" s="19">
        <f>IF(I3481="Gasto",IF(IFERROR(INDEX(catClas,MATCH(D3481,catNom,0))&amp;"","")="","Variable",IFERROR(INDEX(catClas,MATCH(D3481,catNom,0))&amp;"","")),"")</f>
        <v/>
      </c>
      <c r="L3481" s="19">
        <f>IF(I3481="","",IFERROR(INDEX(catAlim,MATCH(D3481,catNom,0))&amp;"",""))</f>
        <v/>
      </c>
      <c r="M3481" s="19">
        <f>IF(I3481="","",IFERROR(INDEX(catComida,MATCH(D3481,catNom,0))&amp;"",""))</f>
        <v/>
      </c>
      <c r="N3481" s="19">
        <f>IF(I3481="","",IFERROR(INDEX(ctaMon,MATCH(E3481,ctaNom,0))&amp;"","DOP"))</f>
        <v/>
      </c>
      <c r="O3481" s="20">
        <f>IF(I3481="","",C3481*IF(N3481="USD",TasaUSD,1))</f>
        <v/>
      </c>
      <c r="P3481" s="20">
        <f>IF(I3481="","",IF(I3481="Gasto",O3481,0))</f>
        <v/>
      </c>
      <c r="Q3481" s="20">
        <f>IF(I3481="","",IF(I3481="Ingreso",O3481,0))</f>
        <v/>
      </c>
      <c r="R3481" s="20">
        <f>IF(I3481="","",IF(I3481="Trading",O3481,0))</f>
        <v/>
      </c>
      <c r="S3481" s="19">
        <f>IF(I3481="","",IF(AND(I3481="Gasto",K3481="Variable",J3481&lt;&gt;"Trading",O3481&gt;0,O3481&lt;=Umbral),1,0))</f>
        <v/>
      </c>
      <c r="T3481" s="20">
        <f>IF(OR(I3481="",E3481=""),"",IF(OR(I3481="Gasto",I3481="Transferencia",I3481="Pago tarjeta"),-1,1)*C3481)</f>
        <v/>
      </c>
      <c r="U3481" s="20">
        <f>IF(OR(G3481="",AND(I3481&lt;&gt;"Transferencia",I3481&lt;&gt;"Pago tarjeta")),"",IF(IFERROR(INDEX(ctaMon,MATCH(G3481,ctaNom,0))&amp;"","DOP")=N3481,C3481,IF(N3481="USD",C3481*TasaUSD,C3481/TasaUSD)))</f>
        <v/>
      </c>
      <c r="V3481" s="20">
        <f>IF(I3481="","",IF(IFERROR(INDEX(ctaLiq,MATCH(E3481,ctaNom,0))="Sí",FALSE),IF(OR(I3481="Gasto",I3481="Transferencia",I3481="Pago tarjeta"),-1,1)*O3481,0)+IF(AND(U3481&lt;&gt;"",IFERROR(INDEX(ctaLiq,MATCH(G3481,ctaNom,0))="Sí",FALSE)),O3481,0))</f>
        <v/>
      </c>
      <c r="W3481" s="19">
        <f>IF(OR(F3481="",I3481=""),"",IF(COUNTIFS(F$6:F3481,F3481,I$6:I3481,"?*")=1,MAX(W$5:W3480)+1,""))</f>
        <v/>
      </c>
    </row>
    <row r="3482">
      <c r="B3482" s="15" t="n"/>
      <c r="C3482" s="16" t="n"/>
      <c r="D3482" s="17" t="n"/>
      <c r="E3482" s="17" t="n"/>
      <c r="F3482" s="17" t="n"/>
      <c r="G3482" s="17" t="n"/>
      <c r="H3482" s="18">
        <f>IF(AND(B3482="",C3482="",D3482="",E3482=""),"",IF(B3482="","⚠ Falta fecha",IF(C3482="","⚠ Falta monto",IF(D3482="","⚠ Falta categoría",IF(ISNA(MATCH(D3482,catNom,0)),"⚠ Categoría no existe",IF(E3482="","⚠ Falta cuenta",IF(ISNA(MATCH(E3482,ctaNom,0)),"⚠ Cuenta no existe",IF(AND(OR(I3482="Transferencia",I3482="Pago tarjeta"),G3482=""),"⚠ Indica la cuenta «Hacia»",IF(AND(G3482&lt;&gt;"",G3482=E3482),"⚠ «Hacia» igual a la cuenta",IF(AND(G3482&lt;&gt;"",ISNA(MATCH(G3482,ctaNom,0))),"⚠ «Hacia» no existe",IF(AND(I3482="Pago tarjeta",IFERROR(INDEX(ctaTipo,MATCH(G3482,ctaNom,0)),"")&lt;&gt;"Tarjeta de crédito"),"⚠ «Hacia» debe ser la tarjeta",IF(AND(I3482="Trading",IFERROR(INDEX(ctaTipo,MATCH(E3482,ctaNom,0)),"")&lt;&gt;"Cuenta de trading"),"⚠ Usa la cuenta de trading","✓"))))))))))))</f>
        <v/>
      </c>
      <c r="I3482" s="19">
        <f>IF(OR(B3482="",C3482="",D3482=""),"",IFERROR(INDEX(catTipo,MATCH(D3482,catNom,0))&amp;"",""))</f>
        <v/>
      </c>
      <c r="J3482" s="19">
        <f>IF(I3482="","",IFERROR(INDEX(catGrupo,MATCH(D3482,catNom,0))&amp;"",""))</f>
        <v/>
      </c>
      <c r="K3482" s="19">
        <f>IF(I3482="Gasto",IF(IFERROR(INDEX(catClas,MATCH(D3482,catNom,0))&amp;"","")="","Variable",IFERROR(INDEX(catClas,MATCH(D3482,catNom,0))&amp;"","")),"")</f>
        <v/>
      </c>
      <c r="L3482" s="19">
        <f>IF(I3482="","",IFERROR(INDEX(catAlim,MATCH(D3482,catNom,0))&amp;"",""))</f>
        <v/>
      </c>
      <c r="M3482" s="19">
        <f>IF(I3482="","",IFERROR(INDEX(catComida,MATCH(D3482,catNom,0))&amp;"",""))</f>
        <v/>
      </c>
      <c r="N3482" s="19">
        <f>IF(I3482="","",IFERROR(INDEX(ctaMon,MATCH(E3482,ctaNom,0))&amp;"","DOP"))</f>
        <v/>
      </c>
      <c r="O3482" s="20">
        <f>IF(I3482="","",C3482*IF(N3482="USD",TasaUSD,1))</f>
        <v/>
      </c>
      <c r="P3482" s="20">
        <f>IF(I3482="","",IF(I3482="Gasto",O3482,0))</f>
        <v/>
      </c>
      <c r="Q3482" s="20">
        <f>IF(I3482="","",IF(I3482="Ingreso",O3482,0))</f>
        <v/>
      </c>
      <c r="R3482" s="20">
        <f>IF(I3482="","",IF(I3482="Trading",O3482,0))</f>
        <v/>
      </c>
      <c r="S3482" s="19">
        <f>IF(I3482="","",IF(AND(I3482="Gasto",K3482="Variable",J3482&lt;&gt;"Trading",O3482&gt;0,O3482&lt;=Umbral),1,0))</f>
        <v/>
      </c>
      <c r="T3482" s="20">
        <f>IF(OR(I3482="",E3482=""),"",IF(OR(I3482="Gasto",I3482="Transferencia",I3482="Pago tarjeta"),-1,1)*C3482)</f>
        <v/>
      </c>
      <c r="U3482" s="20">
        <f>IF(OR(G3482="",AND(I3482&lt;&gt;"Transferencia",I3482&lt;&gt;"Pago tarjeta")),"",IF(IFERROR(INDEX(ctaMon,MATCH(G3482,ctaNom,0))&amp;"","DOP")=N3482,C3482,IF(N3482="USD",C3482*TasaUSD,C3482/TasaUSD)))</f>
        <v/>
      </c>
      <c r="V3482" s="20">
        <f>IF(I3482="","",IF(IFERROR(INDEX(ctaLiq,MATCH(E3482,ctaNom,0))="Sí",FALSE),IF(OR(I3482="Gasto",I3482="Transferencia",I3482="Pago tarjeta"),-1,1)*O3482,0)+IF(AND(U3482&lt;&gt;"",IFERROR(INDEX(ctaLiq,MATCH(G3482,ctaNom,0))="Sí",FALSE)),O3482,0))</f>
        <v/>
      </c>
      <c r="W3482" s="19">
        <f>IF(OR(F3482="",I3482=""),"",IF(COUNTIFS(F$6:F3482,F3482,I$6:I3482,"?*")=1,MAX(W$5:W3481)+1,""))</f>
        <v/>
      </c>
    </row>
    <row r="3483">
      <c r="B3483" s="15" t="n"/>
      <c r="C3483" s="16" t="n"/>
      <c r="D3483" s="17" t="n"/>
      <c r="E3483" s="17" t="n"/>
      <c r="F3483" s="17" t="n"/>
      <c r="G3483" s="17" t="n"/>
      <c r="H3483" s="18">
        <f>IF(AND(B3483="",C3483="",D3483="",E3483=""),"",IF(B3483="","⚠ Falta fecha",IF(C3483="","⚠ Falta monto",IF(D3483="","⚠ Falta categoría",IF(ISNA(MATCH(D3483,catNom,0)),"⚠ Categoría no existe",IF(E3483="","⚠ Falta cuenta",IF(ISNA(MATCH(E3483,ctaNom,0)),"⚠ Cuenta no existe",IF(AND(OR(I3483="Transferencia",I3483="Pago tarjeta"),G3483=""),"⚠ Indica la cuenta «Hacia»",IF(AND(G3483&lt;&gt;"",G3483=E3483),"⚠ «Hacia» igual a la cuenta",IF(AND(G3483&lt;&gt;"",ISNA(MATCH(G3483,ctaNom,0))),"⚠ «Hacia» no existe",IF(AND(I3483="Pago tarjeta",IFERROR(INDEX(ctaTipo,MATCH(G3483,ctaNom,0)),"")&lt;&gt;"Tarjeta de crédito"),"⚠ «Hacia» debe ser la tarjeta",IF(AND(I3483="Trading",IFERROR(INDEX(ctaTipo,MATCH(E3483,ctaNom,0)),"")&lt;&gt;"Cuenta de trading"),"⚠ Usa la cuenta de trading","✓"))))))))))))</f>
        <v/>
      </c>
      <c r="I3483" s="19">
        <f>IF(OR(B3483="",C3483="",D3483=""),"",IFERROR(INDEX(catTipo,MATCH(D3483,catNom,0))&amp;"",""))</f>
        <v/>
      </c>
      <c r="J3483" s="19">
        <f>IF(I3483="","",IFERROR(INDEX(catGrupo,MATCH(D3483,catNom,0))&amp;"",""))</f>
        <v/>
      </c>
      <c r="K3483" s="19">
        <f>IF(I3483="Gasto",IF(IFERROR(INDEX(catClas,MATCH(D3483,catNom,0))&amp;"","")="","Variable",IFERROR(INDEX(catClas,MATCH(D3483,catNom,0))&amp;"","")),"")</f>
        <v/>
      </c>
      <c r="L3483" s="19">
        <f>IF(I3483="","",IFERROR(INDEX(catAlim,MATCH(D3483,catNom,0))&amp;"",""))</f>
        <v/>
      </c>
      <c r="M3483" s="19">
        <f>IF(I3483="","",IFERROR(INDEX(catComida,MATCH(D3483,catNom,0))&amp;"",""))</f>
        <v/>
      </c>
      <c r="N3483" s="19">
        <f>IF(I3483="","",IFERROR(INDEX(ctaMon,MATCH(E3483,ctaNom,0))&amp;"","DOP"))</f>
        <v/>
      </c>
      <c r="O3483" s="20">
        <f>IF(I3483="","",C3483*IF(N3483="USD",TasaUSD,1))</f>
        <v/>
      </c>
      <c r="P3483" s="20">
        <f>IF(I3483="","",IF(I3483="Gasto",O3483,0))</f>
        <v/>
      </c>
      <c r="Q3483" s="20">
        <f>IF(I3483="","",IF(I3483="Ingreso",O3483,0))</f>
        <v/>
      </c>
      <c r="R3483" s="20">
        <f>IF(I3483="","",IF(I3483="Trading",O3483,0))</f>
        <v/>
      </c>
      <c r="S3483" s="19">
        <f>IF(I3483="","",IF(AND(I3483="Gasto",K3483="Variable",J3483&lt;&gt;"Trading",O3483&gt;0,O3483&lt;=Umbral),1,0))</f>
        <v/>
      </c>
      <c r="T3483" s="20">
        <f>IF(OR(I3483="",E3483=""),"",IF(OR(I3483="Gasto",I3483="Transferencia",I3483="Pago tarjeta"),-1,1)*C3483)</f>
        <v/>
      </c>
      <c r="U3483" s="20">
        <f>IF(OR(G3483="",AND(I3483&lt;&gt;"Transferencia",I3483&lt;&gt;"Pago tarjeta")),"",IF(IFERROR(INDEX(ctaMon,MATCH(G3483,ctaNom,0))&amp;"","DOP")=N3483,C3483,IF(N3483="USD",C3483*TasaUSD,C3483/TasaUSD)))</f>
        <v/>
      </c>
      <c r="V3483" s="20">
        <f>IF(I3483="","",IF(IFERROR(INDEX(ctaLiq,MATCH(E3483,ctaNom,0))="Sí",FALSE),IF(OR(I3483="Gasto",I3483="Transferencia",I3483="Pago tarjeta"),-1,1)*O3483,0)+IF(AND(U3483&lt;&gt;"",IFERROR(INDEX(ctaLiq,MATCH(G3483,ctaNom,0))="Sí",FALSE)),O3483,0))</f>
        <v/>
      </c>
      <c r="W3483" s="19">
        <f>IF(OR(F3483="",I3483=""),"",IF(COUNTIFS(F$6:F3483,F3483,I$6:I3483,"?*")=1,MAX(W$5:W3482)+1,""))</f>
        <v/>
      </c>
    </row>
    <row r="3484">
      <c r="B3484" s="15" t="n"/>
      <c r="C3484" s="16" t="n"/>
      <c r="D3484" s="17" t="n"/>
      <c r="E3484" s="17" t="n"/>
      <c r="F3484" s="17" t="n"/>
      <c r="G3484" s="17" t="n"/>
      <c r="H3484" s="18">
        <f>IF(AND(B3484="",C3484="",D3484="",E3484=""),"",IF(B3484="","⚠ Falta fecha",IF(C3484="","⚠ Falta monto",IF(D3484="","⚠ Falta categoría",IF(ISNA(MATCH(D3484,catNom,0)),"⚠ Categoría no existe",IF(E3484="","⚠ Falta cuenta",IF(ISNA(MATCH(E3484,ctaNom,0)),"⚠ Cuenta no existe",IF(AND(OR(I3484="Transferencia",I3484="Pago tarjeta"),G3484=""),"⚠ Indica la cuenta «Hacia»",IF(AND(G3484&lt;&gt;"",G3484=E3484),"⚠ «Hacia» igual a la cuenta",IF(AND(G3484&lt;&gt;"",ISNA(MATCH(G3484,ctaNom,0))),"⚠ «Hacia» no existe",IF(AND(I3484="Pago tarjeta",IFERROR(INDEX(ctaTipo,MATCH(G3484,ctaNom,0)),"")&lt;&gt;"Tarjeta de crédito"),"⚠ «Hacia» debe ser la tarjeta",IF(AND(I3484="Trading",IFERROR(INDEX(ctaTipo,MATCH(E3484,ctaNom,0)),"")&lt;&gt;"Cuenta de trading"),"⚠ Usa la cuenta de trading","✓"))))))))))))</f>
        <v/>
      </c>
      <c r="I3484" s="19">
        <f>IF(OR(B3484="",C3484="",D3484=""),"",IFERROR(INDEX(catTipo,MATCH(D3484,catNom,0))&amp;"",""))</f>
        <v/>
      </c>
      <c r="J3484" s="19">
        <f>IF(I3484="","",IFERROR(INDEX(catGrupo,MATCH(D3484,catNom,0))&amp;"",""))</f>
        <v/>
      </c>
      <c r="K3484" s="19">
        <f>IF(I3484="Gasto",IF(IFERROR(INDEX(catClas,MATCH(D3484,catNom,0))&amp;"","")="","Variable",IFERROR(INDEX(catClas,MATCH(D3484,catNom,0))&amp;"","")),"")</f>
        <v/>
      </c>
      <c r="L3484" s="19">
        <f>IF(I3484="","",IFERROR(INDEX(catAlim,MATCH(D3484,catNom,0))&amp;"",""))</f>
        <v/>
      </c>
      <c r="M3484" s="19">
        <f>IF(I3484="","",IFERROR(INDEX(catComida,MATCH(D3484,catNom,0))&amp;"",""))</f>
        <v/>
      </c>
      <c r="N3484" s="19">
        <f>IF(I3484="","",IFERROR(INDEX(ctaMon,MATCH(E3484,ctaNom,0))&amp;"","DOP"))</f>
        <v/>
      </c>
      <c r="O3484" s="20">
        <f>IF(I3484="","",C3484*IF(N3484="USD",TasaUSD,1))</f>
        <v/>
      </c>
      <c r="P3484" s="20">
        <f>IF(I3484="","",IF(I3484="Gasto",O3484,0))</f>
        <v/>
      </c>
      <c r="Q3484" s="20">
        <f>IF(I3484="","",IF(I3484="Ingreso",O3484,0))</f>
        <v/>
      </c>
      <c r="R3484" s="20">
        <f>IF(I3484="","",IF(I3484="Trading",O3484,0))</f>
        <v/>
      </c>
      <c r="S3484" s="19">
        <f>IF(I3484="","",IF(AND(I3484="Gasto",K3484="Variable",J3484&lt;&gt;"Trading",O3484&gt;0,O3484&lt;=Umbral),1,0))</f>
        <v/>
      </c>
      <c r="T3484" s="20">
        <f>IF(OR(I3484="",E3484=""),"",IF(OR(I3484="Gasto",I3484="Transferencia",I3484="Pago tarjeta"),-1,1)*C3484)</f>
        <v/>
      </c>
      <c r="U3484" s="20">
        <f>IF(OR(G3484="",AND(I3484&lt;&gt;"Transferencia",I3484&lt;&gt;"Pago tarjeta")),"",IF(IFERROR(INDEX(ctaMon,MATCH(G3484,ctaNom,0))&amp;"","DOP")=N3484,C3484,IF(N3484="USD",C3484*TasaUSD,C3484/TasaUSD)))</f>
        <v/>
      </c>
      <c r="V3484" s="20">
        <f>IF(I3484="","",IF(IFERROR(INDEX(ctaLiq,MATCH(E3484,ctaNom,0))="Sí",FALSE),IF(OR(I3484="Gasto",I3484="Transferencia",I3484="Pago tarjeta"),-1,1)*O3484,0)+IF(AND(U3484&lt;&gt;"",IFERROR(INDEX(ctaLiq,MATCH(G3484,ctaNom,0))="Sí",FALSE)),O3484,0))</f>
        <v/>
      </c>
      <c r="W3484" s="19">
        <f>IF(OR(F3484="",I3484=""),"",IF(COUNTIFS(F$6:F3484,F3484,I$6:I3484,"?*")=1,MAX(W$5:W3483)+1,""))</f>
        <v/>
      </c>
    </row>
    <row r="3485">
      <c r="B3485" s="15" t="n"/>
      <c r="C3485" s="16" t="n"/>
      <c r="D3485" s="17" t="n"/>
      <c r="E3485" s="17" t="n"/>
      <c r="F3485" s="17" t="n"/>
      <c r="G3485" s="17" t="n"/>
      <c r="H3485" s="18">
        <f>IF(AND(B3485="",C3485="",D3485="",E3485=""),"",IF(B3485="","⚠ Falta fecha",IF(C3485="","⚠ Falta monto",IF(D3485="","⚠ Falta categoría",IF(ISNA(MATCH(D3485,catNom,0)),"⚠ Categoría no existe",IF(E3485="","⚠ Falta cuenta",IF(ISNA(MATCH(E3485,ctaNom,0)),"⚠ Cuenta no existe",IF(AND(OR(I3485="Transferencia",I3485="Pago tarjeta"),G3485=""),"⚠ Indica la cuenta «Hacia»",IF(AND(G3485&lt;&gt;"",G3485=E3485),"⚠ «Hacia» igual a la cuenta",IF(AND(G3485&lt;&gt;"",ISNA(MATCH(G3485,ctaNom,0))),"⚠ «Hacia» no existe",IF(AND(I3485="Pago tarjeta",IFERROR(INDEX(ctaTipo,MATCH(G3485,ctaNom,0)),"")&lt;&gt;"Tarjeta de crédito"),"⚠ «Hacia» debe ser la tarjeta",IF(AND(I3485="Trading",IFERROR(INDEX(ctaTipo,MATCH(E3485,ctaNom,0)),"")&lt;&gt;"Cuenta de trading"),"⚠ Usa la cuenta de trading","✓"))))))))))))</f>
        <v/>
      </c>
      <c r="I3485" s="19">
        <f>IF(OR(B3485="",C3485="",D3485=""),"",IFERROR(INDEX(catTipo,MATCH(D3485,catNom,0))&amp;"",""))</f>
        <v/>
      </c>
      <c r="J3485" s="19">
        <f>IF(I3485="","",IFERROR(INDEX(catGrupo,MATCH(D3485,catNom,0))&amp;"",""))</f>
        <v/>
      </c>
      <c r="K3485" s="19">
        <f>IF(I3485="Gasto",IF(IFERROR(INDEX(catClas,MATCH(D3485,catNom,0))&amp;"","")="","Variable",IFERROR(INDEX(catClas,MATCH(D3485,catNom,0))&amp;"","")),"")</f>
        <v/>
      </c>
      <c r="L3485" s="19">
        <f>IF(I3485="","",IFERROR(INDEX(catAlim,MATCH(D3485,catNom,0))&amp;"",""))</f>
        <v/>
      </c>
      <c r="M3485" s="19">
        <f>IF(I3485="","",IFERROR(INDEX(catComida,MATCH(D3485,catNom,0))&amp;"",""))</f>
        <v/>
      </c>
      <c r="N3485" s="19">
        <f>IF(I3485="","",IFERROR(INDEX(ctaMon,MATCH(E3485,ctaNom,0))&amp;"","DOP"))</f>
        <v/>
      </c>
      <c r="O3485" s="20">
        <f>IF(I3485="","",C3485*IF(N3485="USD",TasaUSD,1))</f>
        <v/>
      </c>
      <c r="P3485" s="20">
        <f>IF(I3485="","",IF(I3485="Gasto",O3485,0))</f>
        <v/>
      </c>
      <c r="Q3485" s="20">
        <f>IF(I3485="","",IF(I3485="Ingreso",O3485,0))</f>
        <v/>
      </c>
      <c r="R3485" s="20">
        <f>IF(I3485="","",IF(I3485="Trading",O3485,0))</f>
        <v/>
      </c>
      <c r="S3485" s="19">
        <f>IF(I3485="","",IF(AND(I3485="Gasto",K3485="Variable",J3485&lt;&gt;"Trading",O3485&gt;0,O3485&lt;=Umbral),1,0))</f>
        <v/>
      </c>
      <c r="T3485" s="20">
        <f>IF(OR(I3485="",E3485=""),"",IF(OR(I3485="Gasto",I3485="Transferencia",I3485="Pago tarjeta"),-1,1)*C3485)</f>
        <v/>
      </c>
      <c r="U3485" s="20">
        <f>IF(OR(G3485="",AND(I3485&lt;&gt;"Transferencia",I3485&lt;&gt;"Pago tarjeta")),"",IF(IFERROR(INDEX(ctaMon,MATCH(G3485,ctaNom,0))&amp;"","DOP")=N3485,C3485,IF(N3485="USD",C3485*TasaUSD,C3485/TasaUSD)))</f>
        <v/>
      </c>
      <c r="V3485" s="20">
        <f>IF(I3485="","",IF(IFERROR(INDEX(ctaLiq,MATCH(E3485,ctaNom,0))="Sí",FALSE),IF(OR(I3485="Gasto",I3485="Transferencia",I3485="Pago tarjeta"),-1,1)*O3485,0)+IF(AND(U3485&lt;&gt;"",IFERROR(INDEX(ctaLiq,MATCH(G3485,ctaNom,0))="Sí",FALSE)),O3485,0))</f>
        <v/>
      </c>
      <c r="W3485" s="19">
        <f>IF(OR(F3485="",I3485=""),"",IF(COUNTIFS(F$6:F3485,F3485,I$6:I3485,"?*")=1,MAX(W$5:W3484)+1,""))</f>
        <v/>
      </c>
    </row>
    <row r="3486">
      <c r="B3486" s="15" t="n"/>
      <c r="C3486" s="16" t="n"/>
      <c r="D3486" s="17" t="n"/>
      <c r="E3486" s="17" t="n"/>
      <c r="F3486" s="17" t="n"/>
      <c r="G3486" s="17" t="n"/>
      <c r="H3486" s="18">
        <f>IF(AND(B3486="",C3486="",D3486="",E3486=""),"",IF(B3486="","⚠ Falta fecha",IF(C3486="","⚠ Falta monto",IF(D3486="","⚠ Falta categoría",IF(ISNA(MATCH(D3486,catNom,0)),"⚠ Categoría no existe",IF(E3486="","⚠ Falta cuenta",IF(ISNA(MATCH(E3486,ctaNom,0)),"⚠ Cuenta no existe",IF(AND(OR(I3486="Transferencia",I3486="Pago tarjeta"),G3486=""),"⚠ Indica la cuenta «Hacia»",IF(AND(G3486&lt;&gt;"",G3486=E3486),"⚠ «Hacia» igual a la cuenta",IF(AND(G3486&lt;&gt;"",ISNA(MATCH(G3486,ctaNom,0))),"⚠ «Hacia» no existe",IF(AND(I3486="Pago tarjeta",IFERROR(INDEX(ctaTipo,MATCH(G3486,ctaNom,0)),"")&lt;&gt;"Tarjeta de crédito"),"⚠ «Hacia» debe ser la tarjeta",IF(AND(I3486="Trading",IFERROR(INDEX(ctaTipo,MATCH(E3486,ctaNom,0)),"")&lt;&gt;"Cuenta de trading"),"⚠ Usa la cuenta de trading","✓"))))))))))))</f>
        <v/>
      </c>
      <c r="I3486" s="19">
        <f>IF(OR(B3486="",C3486="",D3486=""),"",IFERROR(INDEX(catTipo,MATCH(D3486,catNom,0))&amp;"",""))</f>
        <v/>
      </c>
      <c r="J3486" s="19">
        <f>IF(I3486="","",IFERROR(INDEX(catGrupo,MATCH(D3486,catNom,0))&amp;"",""))</f>
        <v/>
      </c>
      <c r="K3486" s="19">
        <f>IF(I3486="Gasto",IF(IFERROR(INDEX(catClas,MATCH(D3486,catNom,0))&amp;"","")="","Variable",IFERROR(INDEX(catClas,MATCH(D3486,catNom,0))&amp;"","")),"")</f>
        <v/>
      </c>
      <c r="L3486" s="19">
        <f>IF(I3486="","",IFERROR(INDEX(catAlim,MATCH(D3486,catNom,0))&amp;"",""))</f>
        <v/>
      </c>
      <c r="M3486" s="19">
        <f>IF(I3486="","",IFERROR(INDEX(catComida,MATCH(D3486,catNom,0))&amp;"",""))</f>
        <v/>
      </c>
      <c r="N3486" s="19">
        <f>IF(I3486="","",IFERROR(INDEX(ctaMon,MATCH(E3486,ctaNom,0))&amp;"","DOP"))</f>
        <v/>
      </c>
      <c r="O3486" s="20">
        <f>IF(I3486="","",C3486*IF(N3486="USD",TasaUSD,1))</f>
        <v/>
      </c>
      <c r="P3486" s="20">
        <f>IF(I3486="","",IF(I3486="Gasto",O3486,0))</f>
        <v/>
      </c>
      <c r="Q3486" s="20">
        <f>IF(I3486="","",IF(I3486="Ingreso",O3486,0))</f>
        <v/>
      </c>
      <c r="R3486" s="20">
        <f>IF(I3486="","",IF(I3486="Trading",O3486,0))</f>
        <v/>
      </c>
      <c r="S3486" s="19">
        <f>IF(I3486="","",IF(AND(I3486="Gasto",K3486="Variable",J3486&lt;&gt;"Trading",O3486&gt;0,O3486&lt;=Umbral),1,0))</f>
        <v/>
      </c>
      <c r="T3486" s="20">
        <f>IF(OR(I3486="",E3486=""),"",IF(OR(I3486="Gasto",I3486="Transferencia",I3486="Pago tarjeta"),-1,1)*C3486)</f>
        <v/>
      </c>
      <c r="U3486" s="20">
        <f>IF(OR(G3486="",AND(I3486&lt;&gt;"Transferencia",I3486&lt;&gt;"Pago tarjeta")),"",IF(IFERROR(INDEX(ctaMon,MATCH(G3486,ctaNom,0))&amp;"","DOP")=N3486,C3486,IF(N3486="USD",C3486*TasaUSD,C3486/TasaUSD)))</f>
        <v/>
      </c>
      <c r="V3486" s="20">
        <f>IF(I3486="","",IF(IFERROR(INDEX(ctaLiq,MATCH(E3486,ctaNom,0))="Sí",FALSE),IF(OR(I3486="Gasto",I3486="Transferencia",I3486="Pago tarjeta"),-1,1)*O3486,0)+IF(AND(U3486&lt;&gt;"",IFERROR(INDEX(ctaLiq,MATCH(G3486,ctaNom,0))="Sí",FALSE)),O3486,0))</f>
        <v/>
      </c>
      <c r="W3486" s="19">
        <f>IF(OR(F3486="",I3486=""),"",IF(COUNTIFS(F$6:F3486,F3486,I$6:I3486,"?*")=1,MAX(W$5:W3485)+1,""))</f>
        <v/>
      </c>
    </row>
    <row r="3487">
      <c r="B3487" s="15" t="n"/>
      <c r="C3487" s="16" t="n"/>
      <c r="D3487" s="17" t="n"/>
      <c r="E3487" s="17" t="n"/>
      <c r="F3487" s="17" t="n"/>
      <c r="G3487" s="17" t="n"/>
      <c r="H3487" s="18">
        <f>IF(AND(B3487="",C3487="",D3487="",E3487=""),"",IF(B3487="","⚠ Falta fecha",IF(C3487="","⚠ Falta monto",IF(D3487="","⚠ Falta categoría",IF(ISNA(MATCH(D3487,catNom,0)),"⚠ Categoría no existe",IF(E3487="","⚠ Falta cuenta",IF(ISNA(MATCH(E3487,ctaNom,0)),"⚠ Cuenta no existe",IF(AND(OR(I3487="Transferencia",I3487="Pago tarjeta"),G3487=""),"⚠ Indica la cuenta «Hacia»",IF(AND(G3487&lt;&gt;"",G3487=E3487),"⚠ «Hacia» igual a la cuenta",IF(AND(G3487&lt;&gt;"",ISNA(MATCH(G3487,ctaNom,0))),"⚠ «Hacia» no existe",IF(AND(I3487="Pago tarjeta",IFERROR(INDEX(ctaTipo,MATCH(G3487,ctaNom,0)),"")&lt;&gt;"Tarjeta de crédito"),"⚠ «Hacia» debe ser la tarjeta",IF(AND(I3487="Trading",IFERROR(INDEX(ctaTipo,MATCH(E3487,ctaNom,0)),"")&lt;&gt;"Cuenta de trading"),"⚠ Usa la cuenta de trading","✓"))))))))))))</f>
        <v/>
      </c>
      <c r="I3487" s="19">
        <f>IF(OR(B3487="",C3487="",D3487=""),"",IFERROR(INDEX(catTipo,MATCH(D3487,catNom,0))&amp;"",""))</f>
        <v/>
      </c>
      <c r="J3487" s="19">
        <f>IF(I3487="","",IFERROR(INDEX(catGrupo,MATCH(D3487,catNom,0))&amp;"",""))</f>
        <v/>
      </c>
      <c r="K3487" s="19">
        <f>IF(I3487="Gasto",IF(IFERROR(INDEX(catClas,MATCH(D3487,catNom,0))&amp;"","")="","Variable",IFERROR(INDEX(catClas,MATCH(D3487,catNom,0))&amp;"","")),"")</f>
        <v/>
      </c>
      <c r="L3487" s="19">
        <f>IF(I3487="","",IFERROR(INDEX(catAlim,MATCH(D3487,catNom,0))&amp;"",""))</f>
        <v/>
      </c>
      <c r="M3487" s="19">
        <f>IF(I3487="","",IFERROR(INDEX(catComida,MATCH(D3487,catNom,0))&amp;"",""))</f>
        <v/>
      </c>
      <c r="N3487" s="19">
        <f>IF(I3487="","",IFERROR(INDEX(ctaMon,MATCH(E3487,ctaNom,0))&amp;"","DOP"))</f>
        <v/>
      </c>
      <c r="O3487" s="20">
        <f>IF(I3487="","",C3487*IF(N3487="USD",TasaUSD,1))</f>
        <v/>
      </c>
      <c r="P3487" s="20">
        <f>IF(I3487="","",IF(I3487="Gasto",O3487,0))</f>
        <v/>
      </c>
      <c r="Q3487" s="20">
        <f>IF(I3487="","",IF(I3487="Ingreso",O3487,0))</f>
        <v/>
      </c>
      <c r="R3487" s="20">
        <f>IF(I3487="","",IF(I3487="Trading",O3487,0))</f>
        <v/>
      </c>
      <c r="S3487" s="19">
        <f>IF(I3487="","",IF(AND(I3487="Gasto",K3487="Variable",J3487&lt;&gt;"Trading",O3487&gt;0,O3487&lt;=Umbral),1,0))</f>
        <v/>
      </c>
      <c r="T3487" s="20">
        <f>IF(OR(I3487="",E3487=""),"",IF(OR(I3487="Gasto",I3487="Transferencia",I3487="Pago tarjeta"),-1,1)*C3487)</f>
        <v/>
      </c>
      <c r="U3487" s="20">
        <f>IF(OR(G3487="",AND(I3487&lt;&gt;"Transferencia",I3487&lt;&gt;"Pago tarjeta")),"",IF(IFERROR(INDEX(ctaMon,MATCH(G3487,ctaNom,0))&amp;"","DOP")=N3487,C3487,IF(N3487="USD",C3487*TasaUSD,C3487/TasaUSD)))</f>
        <v/>
      </c>
      <c r="V3487" s="20">
        <f>IF(I3487="","",IF(IFERROR(INDEX(ctaLiq,MATCH(E3487,ctaNom,0))="Sí",FALSE),IF(OR(I3487="Gasto",I3487="Transferencia",I3487="Pago tarjeta"),-1,1)*O3487,0)+IF(AND(U3487&lt;&gt;"",IFERROR(INDEX(ctaLiq,MATCH(G3487,ctaNom,0))="Sí",FALSE)),O3487,0))</f>
        <v/>
      </c>
      <c r="W3487" s="19">
        <f>IF(OR(F3487="",I3487=""),"",IF(COUNTIFS(F$6:F3487,F3487,I$6:I3487,"?*")=1,MAX(W$5:W3486)+1,""))</f>
        <v/>
      </c>
    </row>
    <row r="3488">
      <c r="B3488" s="15" t="n"/>
      <c r="C3488" s="16" t="n"/>
      <c r="D3488" s="17" t="n"/>
      <c r="E3488" s="17" t="n"/>
      <c r="F3488" s="17" t="n"/>
      <c r="G3488" s="17" t="n"/>
      <c r="H3488" s="18">
        <f>IF(AND(B3488="",C3488="",D3488="",E3488=""),"",IF(B3488="","⚠ Falta fecha",IF(C3488="","⚠ Falta monto",IF(D3488="","⚠ Falta categoría",IF(ISNA(MATCH(D3488,catNom,0)),"⚠ Categoría no existe",IF(E3488="","⚠ Falta cuenta",IF(ISNA(MATCH(E3488,ctaNom,0)),"⚠ Cuenta no existe",IF(AND(OR(I3488="Transferencia",I3488="Pago tarjeta"),G3488=""),"⚠ Indica la cuenta «Hacia»",IF(AND(G3488&lt;&gt;"",G3488=E3488),"⚠ «Hacia» igual a la cuenta",IF(AND(G3488&lt;&gt;"",ISNA(MATCH(G3488,ctaNom,0))),"⚠ «Hacia» no existe",IF(AND(I3488="Pago tarjeta",IFERROR(INDEX(ctaTipo,MATCH(G3488,ctaNom,0)),"")&lt;&gt;"Tarjeta de crédito"),"⚠ «Hacia» debe ser la tarjeta",IF(AND(I3488="Trading",IFERROR(INDEX(ctaTipo,MATCH(E3488,ctaNom,0)),"")&lt;&gt;"Cuenta de trading"),"⚠ Usa la cuenta de trading","✓"))))))))))))</f>
        <v/>
      </c>
      <c r="I3488" s="19">
        <f>IF(OR(B3488="",C3488="",D3488=""),"",IFERROR(INDEX(catTipo,MATCH(D3488,catNom,0))&amp;"",""))</f>
        <v/>
      </c>
      <c r="J3488" s="19">
        <f>IF(I3488="","",IFERROR(INDEX(catGrupo,MATCH(D3488,catNom,0))&amp;"",""))</f>
        <v/>
      </c>
      <c r="K3488" s="19">
        <f>IF(I3488="Gasto",IF(IFERROR(INDEX(catClas,MATCH(D3488,catNom,0))&amp;"","")="","Variable",IFERROR(INDEX(catClas,MATCH(D3488,catNom,0))&amp;"","")),"")</f>
        <v/>
      </c>
      <c r="L3488" s="19">
        <f>IF(I3488="","",IFERROR(INDEX(catAlim,MATCH(D3488,catNom,0))&amp;"",""))</f>
        <v/>
      </c>
      <c r="M3488" s="19">
        <f>IF(I3488="","",IFERROR(INDEX(catComida,MATCH(D3488,catNom,0))&amp;"",""))</f>
        <v/>
      </c>
      <c r="N3488" s="19">
        <f>IF(I3488="","",IFERROR(INDEX(ctaMon,MATCH(E3488,ctaNom,0))&amp;"","DOP"))</f>
        <v/>
      </c>
      <c r="O3488" s="20">
        <f>IF(I3488="","",C3488*IF(N3488="USD",TasaUSD,1))</f>
        <v/>
      </c>
      <c r="P3488" s="20">
        <f>IF(I3488="","",IF(I3488="Gasto",O3488,0))</f>
        <v/>
      </c>
      <c r="Q3488" s="20">
        <f>IF(I3488="","",IF(I3488="Ingreso",O3488,0))</f>
        <v/>
      </c>
      <c r="R3488" s="20">
        <f>IF(I3488="","",IF(I3488="Trading",O3488,0))</f>
        <v/>
      </c>
      <c r="S3488" s="19">
        <f>IF(I3488="","",IF(AND(I3488="Gasto",K3488="Variable",J3488&lt;&gt;"Trading",O3488&gt;0,O3488&lt;=Umbral),1,0))</f>
        <v/>
      </c>
      <c r="T3488" s="20">
        <f>IF(OR(I3488="",E3488=""),"",IF(OR(I3488="Gasto",I3488="Transferencia",I3488="Pago tarjeta"),-1,1)*C3488)</f>
        <v/>
      </c>
      <c r="U3488" s="20">
        <f>IF(OR(G3488="",AND(I3488&lt;&gt;"Transferencia",I3488&lt;&gt;"Pago tarjeta")),"",IF(IFERROR(INDEX(ctaMon,MATCH(G3488,ctaNom,0))&amp;"","DOP")=N3488,C3488,IF(N3488="USD",C3488*TasaUSD,C3488/TasaUSD)))</f>
        <v/>
      </c>
      <c r="V3488" s="20">
        <f>IF(I3488="","",IF(IFERROR(INDEX(ctaLiq,MATCH(E3488,ctaNom,0))="Sí",FALSE),IF(OR(I3488="Gasto",I3488="Transferencia",I3488="Pago tarjeta"),-1,1)*O3488,0)+IF(AND(U3488&lt;&gt;"",IFERROR(INDEX(ctaLiq,MATCH(G3488,ctaNom,0))="Sí",FALSE)),O3488,0))</f>
        <v/>
      </c>
      <c r="W3488" s="19">
        <f>IF(OR(F3488="",I3488=""),"",IF(COUNTIFS(F$6:F3488,F3488,I$6:I3488,"?*")=1,MAX(W$5:W3487)+1,""))</f>
        <v/>
      </c>
    </row>
    <row r="3489">
      <c r="B3489" s="15" t="n"/>
      <c r="C3489" s="16" t="n"/>
      <c r="D3489" s="17" t="n"/>
      <c r="E3489" s="17" t="n"/>
      <c r="F3489" s="17" t="n"/>
      <c r="G3489" s="17" t="n"/>
      <c r="H3489" s="18">
        <f>IF(AND(B3489="",C3489="",D3489="",E3489=""),"",IF(B3489="","⚠ Falta fecha",IF(C3489="","⚠ Falta monto",IF(D3489="","⚠ Falta categoría",IF(ISNA(MATCH(D3489,catNom,0)),"⚠ Categoría no existe",IF(E3489="","⚠ Falta cuenta",IF(ISNA(MATCH(E3489,ctaNom,0)),"⚠ Cuenta no existe",IF(AND(OR(I3489="Transferencia",I3489="Pago tarjeta"),G3489=""),"⚠ Indica la cuenta «Hacia»",IF(AND(G3489&lt;&gt;"",G3489=E3489),"⚠ «Hacia» igual a la cuenta",IF(AND(G3489&lt;&gt;"",ISNA(MATCH(G3489,ctaNom,0))),"⚠ «Hacia» no existe",IF(AND(I3489="Pago tarjeta",IFERROR(INDEX(ctaTipo,MATCH(G3489,ctaNom,0)),"")&lt;&gt;"Tarjeta de crédito"),"⚠ «Hacia» debe ser la tarjeta",IF(AND(I3489="Trading",IFERROR(INDEX(ctaTipo,MATCH(E3489,ctaNom,0)),"")&lt;&gt;"Cuenta de trading"),"⚠ Usa la cuenta de trading","✓"))))))))))))</f>
        <v/>
      </c>
      <c r="I3489" s="19">
        <f>IF(OR(B3489="",C3489="",D3489=""),"",IFERROR(INDEX(catTipo,MATCH(D3489,catNom,0))&amp;"",""))</f>
        <v/>
      </c>
      <c r="J3489" s="19">
        <f>IF(I3489="","",IFERROR(INDEX(catGrupo,MATCH(D3489,catNom,0))&amp;"",""))</f>
        <v/>
      </c>
      <c r="K3489" s="19">
        <f>IF(I3489="Gasto",IF(IFERROR(INDEX(catClas,MATCH(D3489,catNom,0))&amp;"","")="","Variable",IFERROR(INDEX(catClas,MATCH(D3489,catNom,0))&amp;"","")),"")</f>
        <v/>
      </c>
      <c r="L3489" s="19">
        <f>IF(I3489="","",IFERROR(INDEX(catAlim,MATCH(D3489,catNom,0))&amp;"",""))</f>
        <v/>
      </c>
      <c r="M3489" s="19">
        <f>IF(I3489="","",IFERROR(INDEX(catComida,MATCH(D3489,catNom,0))&amp;"",""))</f>
        <v/>
      </c>
      <c r="N3489" s="19">
        <f>IF(I3489="","",IFERROR(INDEX(ctaMon,MATCH(E3489,ctaNom,0))&amp;"","DOP"))</f>
        <v/>
      </c>
      <c r="O3489" s="20">
        <f>IF(I3489="","",C3489*IF(N3489="USD",TasaUSD,1))</f>
        <v/>
      </c>
      <c r="P3489" s="20">
        <f>IF(I3489="","",IF(I3489="Gasto",O3489,0))</f>
        <v/>
      </c>
      <c r="Q3489" s="20">
        <f>IF(I3489="","",IF(I3489="Ingreso",O3489,0))</f>
        <v/>
      </c>
      <c r="R3489" s="20">
        <f>IF(I3489="","",IF(I3489="Trading",O3489,0))</f>
        <v/>
      </c>
      <c r="S3489" s="19">
        <f>IF(I3489="","",IF(AND(I3489="Gasto",K3489="Variable",J3489&lt;&gt;"Trading",O3489&gt;0,O3489&lt;=Umbral),1,0))</f>
        <v/>
      </c>
      <c r="T3489" s="20">
        <f>IF(OR(I3489="",E3489=""),"",IF(OR(I3489="Gasto",I3489="Transferencia",I3489="Pago tarjeta"),-1,1)*C3489)</f>
        <v/>
      </c>
      <c r="U3489" s="20">
        <f>IF(OR(G3489="",AND(I3489&lt;&gt;"Transferencia",I3489&lt;&gt;"Pago tarjeta")),"",IF(IFERROR(INDEX(ctaMon,MATCH(G3489,ctaNom,0))&amp;"","DOP")=N3489,C3489,IF(N3489="USD",C3489*TasaUSD,C3489/TasaUSD)))</f>
        <v/>
      </c>
      <c r="V3489" s="20">
        <f>IF(I3489="","",IF(IFERROR(INDEX(ctaLiq,MATCH(E3489,ctaNom,0))="Sí",FALSE),IF(OR(I3489="Gasto",I3489="Transferencia",I3489="Pago tarjeta"),-1,1)*O3489,0)+IF(AND(U3489&lt;&gt;"",IFERROR(INDEX(ctaLiq,MATCH(G3489,ctaNom,0))="Sí",FALSE)),O3489,0))</f>
        <v/>
      </c>
      <c r="W3489" s="19">
        <f>IF(OR(F3489="",I3489=""),"",IF(COUNTIFS(F$6:F3489,F3489,I$6:I3489,"?*")=1,MAX(W$5:W3488)+1,""))</f>
        <v/>
      </c>
    </row>
    <row r="3490">
      <c r="B3490" s="15" t="n"/>
      <c r="C3490" s="16" t="n"/>
      <c r="D3490" s="17" t="n"/>
      <c r="E3490" s="17" t="n"/>
      <c r="F3490" s="17" t="n"/>
      <c r="G3490" s="17" t="n"/>
      <c r="H3490" s="18">
        <f>IF(AND(B3490="",C3490="",D3490="",E3490=""),"",IF(B3490="","⚠ Falta fecha",IF(C3490="","⚠ Falta monto",IF(D3490="","⚠ Falta categoría",IF(ISNA(MATCH(D3490,catNom,0)),"⚠ Categoría no existe",IF(E3490="","⚠ Falta cuenta",IF(ISNA(MATCH(E3490,ctaNom,0)),"⚠ Cuenta no existe",IF(AND(OR(I3490="Transferencia",I3490="Pago tarjeta"),G3490=""),"⚠ Indica la cuenta «Hacia»",IF(AND(G3490&lt;&gt;"",G3490=E3490),"⚠ «Hacia» igual a la cuenta",IF(AND(G3490&lt;&gt;"",ISNA(MATCH(G3490,ctaNom,0))),"⚠ «Hacia» no existe",IF(AND(I3490="Pago tarjeta",IFERROR(INDEX(ctaTipo,MATCH(G3490,ctaNom,0)),"")&lt;&gt;"Tarjeta de crédito"),"⚠ «Hacia» debe ser la tarjeta",IF(AND(I3490="Trading",IFERROR(INDEX(ctaTipo,MATCH(E3490,ctaNom,0)),"")&lt;&gt;"Cuenta de trading"),"⚠ Usa la cuenta de trading","✓"))))))))))))</f>
        <v/>
      </c>
      <c r="I3490" s="19">
        <f>IF(OR(B3490="",C3490="",D3490=""),"",IFERROR(INDEX(catTipo,MATCH(D3490,catNom,0))&amp;"",""))</f>
        <v/>
      </c>
      <c r="J3490" s="19">
        <f>IF(I3490="","",IFERROR(INDEX(catGrupo,MATCH(D3490,catNom,0))&amp;"",""))</f>
        <v/>
      </c>
      <c r="K3490" s="19">
        <f>IF(I3490="Gasto",IF(IFERROR(INDEX(catClas,MATCH(D3490,catNom,0))&amp;"","")="","Variable",IFERROR(INDEX(catClas,MATCH(D3490,catNom,0))&amp;"","")),"")</f>
        <v/>
      </c>
      <c r="L3490" s="19">
        <f>IF(I3490="","",IFERROR(INDEX(catAlim,MATCH(D3490,catNom,0))&amp;"",""))</f>
        <v/>
      </c>
      <c r="M3490" s="19">
        <f>IF(I3490="","",IFERROR(INDEX(catComida,MATCH(D3490,catNom,0))&amp;"",""))</f>
        <v/>
      </c>
      <c r="N3490" s="19">
        <f>IF(I3490="","",IFERROR(INDEX(ctaMon,MATCH(E3490,ctaNom,0))&amp;"","DOP"))</f>
        <v/>
      </c>
      <c r="O3490" s="20">
        <f>IF(I3490="","",C3490*IF(N3490="USD",TasaUSD,1))</f>
        <v/>
      </c>
      <c r="P3490" s="20">
        <f>IF(I3490="","",IF(I3490="Gasto",O3490,0))</f>
        <v/>
      </c>
      <c r="Q3490" s="20">
        <f>IF(I3490="","",IF(I3490="Ingreso",O3490,0))</f>
        <v/>
      </c>
      <c r="R3490" s="20">
        <f>IF(I3490="","",IF(I3490="Trading",O3490,0))</f>
        <v/>
      </c>
      <c r="S3490" s="19">
        <f>IF(I3490="","",IF(AND(I3490="Gasto",K3490="Variable",J3490&lt;&gt;"Trading",O3490&gt;0,O3490&lt;=Umbral),1,0))</f>
        <v/>
      </c>
      <c r="T3490" s="20">
        <f>IF(OR(I3490="",E3490=""),"",IF(OR(I3490="Gasto",I3490="Transferencia",I3490="Pago tarjeta"),-1,1)*C3490)</f>
        <v/>
      </c>
      <c r="U3490" s="20">
        <f>IF(OR(G3490="",AND(I3490&lt;&gt;"Transferencia",I3490&lt;&gt;"Pago tarjeta")),"",IF(IFERROR(INDEX(ctaMon,MATCH(G3490,ctaNom,0))&amp;"","DOP")=N3490,C3490,IF(N3490="USD",C3490*TasaUSD,C3490/TasaUSD)))</f>
        <v/>
      </c>
      <c r="V3490" s="20">
        <f>IF(I3490="","",IF(IFERROR(INDEX(ctaLiq,MATCH(E3490,ctaNom,0))="Sí",FALSE),IF(OR(I3490="Gasto",I3490="Transferencia",I3490="Pago tarjeta"),-1,1)*O3490,0)+IF(AND(U3490&lt;&gt;"",IFERROR(INDEX(ctaLiq,MATCH(G3490,ctaNom,0))="Sí",FALSE)),O3490,0))</f>
        <v/>
      </c>
      <c r="W3490" s="19">
        <f>IF(OR(F3490="",I3490=""),"",IF(COUNTIFS(F$6:F3490,F3490,I$6:I3490,"?*")=1,MAX(W$5:W3489)+1,""))</f>
        <v/>
      </c>
    </row>
    <row r="3491">
      <c r="B3491" s="15" t="n"/>
      <c r="C3491" s="16" t="n"/>
      <c r="D3491" s="17" t="n"/>
      <c r="E3491" s="17" t="n"/>
      <c r="F3491" s="17" t="n"/>
      <c r="G3491" s="17" t="n"/>
      <c r="H3491" s="18">
        <f>IF(AND(B3491="",C3491="",D3491="",E3491=""),"",IF(B3491="","⚠ Falta fecha",IF(C3491="","⚠ Falta monto",IF(D3491="","⚠ Falta categoría",IF(ISNA(MATCH(D3491,catNom,0)),"⚠ Categoría no existe",IF(E3491="","⚠ Falta cuenta",IF(ISNA(MATCH(E3491,ctaNom,0)),"⚠ Cuenta no existe",IF(AND(OR(I3491="Transferencia",I3491="Pago tarjeta"),G3491=""),"⚠ Indica la cuenta «Hacia»",IF(AND(G3491&lt;&gt;"",G3491=E3491),"⚠ «Hacia» igual a la cuenta",IF(AND(G3491&lt;&gt;"",ISNA(MATCH(G3491,ctaNom,0))),"⚠ «Hacia» no existe",IF(AND(I3491="Pago tarjeta",IFERROR(INDEX(ctaTipo,MATCH(G3491,ctaNom,0)),"")&lt;&gt;"Tarjeta de crédito"),"⚠ «Hacia» debe ser la tarjeta",IF(AND(I3491="Trading",IFERROR(INDEX(ctaTipo,MATCH(E3491,ctaNom,0)),"")&lt;&gt;"Cuenta de trading"),"⚠ Usa la cuenta de trading","✓"))))))))))))</f>
        <v/>
      </c>
      <c r="I3491" s="19">
        <f>IF(OR(B3491="",C3491="",D3491=""),"",IFERROR(INDEX(catTipo,MATCH(D3491,catNom,0))&amp;"",""))</f>
        <v/>
      </c>
      <c r="J3491" s="19">
        <f>IF(I3491="","",IFERROR(INDEX(catGrupo,MATCH(D3491,catNom,0))&amp;"",""))</f>
        <v/>
      </c>
      <c r="K3491" s="19">
        <f>IF(I3491="Gasto",IF(IFERROR(INDEX(catClas,MATCH(D3491,catNom,0))&amp;"","")="","Variable",IFERROR(INDEX(catClas,MATCH(D3491,catNom,0))&amp;"","")),"")</f>
        <v/>
      </c>
      <c r="L3491" s="19">
        <f>IF(I3491="","",IFERROR(INDEX(catAlim,MATCH(D3491,catNom,0))&amp;"",""))</f>
        <v/>
      </c>
      <c r="M3491" s="19">
        <f>IF(I3491="","",IFERROR(INDEX(catComida,MATCH(D3491,catNom,0))&amp;"",""))</f>
        <v/>
      </c>
      <c r="N3491" s="19">
        <f>IF(I3491="","",IFERROR(INDEX(ctaMon,MATCH(E3491,ctaNom,0))&amp;"","DOP"))</f>
        <v/>
      </c>
      <c r="O3491" s="20">
        <f>IF(I3491="","",C3491*IF(N3491="USD",TasaUSD,1))</f>
        <v/>
      </c>
      <c r="P3491" s="20">
        <f>IF(I3491="","",IF(I3491="Gasto",O3491,0))</f>
        <v/>
      </c>
      <c r="Q3491" s="20">
        <f>IF(I3491="","",IF(I3491="Ingreso",O3491,0))</f>
        <v/>
      </c>
      <c r="R3491" s="20">
        <f>IF(I3491="","",IF(I3491="Trading",O3491,0))</f>
        <v/>
      </c>
      <c r="S3491" s="19">
        <f>IF(I3491="","",IF(AND(I3491="Gasto",K3491="Variable",J3491&lt;&gt;"Trading",O3491&gt;0,O3491&lt;=Umbral),1,0))</f>
        <v/>
      </c>
      <c r="T3491" s="20">
        <f>IF(OR(I3491="",E3491=""),"",IF(OR(I3491="Gasto",I3491="Transferencia",I3491="Pago tarjeta"),-1,1)*C3491)</f>
        <v/>
      </c>
      <c r="U3491" s="20">
        <f>IF(OR(G3491="",AND(I3491&lt;&gt;"Transferencia",I3491&lt;&gt;"Pago tarjeta")),"",IF(IFERROR(INDEX(ctaMon,MATCH(G3491,ctaNom,0))&amp;"","DOP")=N3491,C3491,IF(N3491="USD",C3491*TasaUSD,C3491/TasaUSD)))</f>
        <v/>
      </c>
      <c r="V3491" s="20">
        <f>IF(I3491="","",IF(IFERROR(INDEX(ctaLiq,MATCH(E3491,ctaNom,0))="Sí",FALSE),IF(OR(I3491="Gasto",I3491="Transferencia",I3491="Pago tarjeta"),-1,1)*O3491,0)+IF(AND(U3491&lt;&gt;"",IFERROR(INDEX(ctaLiq,MATCH(G3491,ctaNom,0))="Sí",FALSE)),O3491,0))</f>
        <v/>
      </c>
      <c r="W3491" s="19">
        <f>IF(OR(F3491="",I3491=""),"",IF(COUNTIFS(F$6:F3491,F3491,I$6:I3491,"?*")=1,MAX(W$5:W3490)+1,""))</f>
        <v/>
      </c>
    </row>
    <row r="3492">
      <c r="B3492" s="15" t="n"/>
      <c r="C3492" s="16" t="n"/>
      <c r="D3492" s="17" t="n"/>
      <c r="E3492" s="17" t="n"/>
      <c r="F3492" s="17" t="n"/>
      <c r="G3492" s="17" t="n"/>
      <c r="H3492" s="18">
        <f>IF(AND(B3492="",C3492="",D3492="",E3492=""),"",IF(B3492="","⚠ Falta fecha",IF(C3492="","⚠ Falta monto",IF(D3492="","⚠ Falta categoría",IF(ISNA(MATCH(D3492,catNom,0)),"⚠ Categoría no existe",IF(E3492="","⚠ Falta cuenta",IF(ISNA(MATCH(E3492,ctaNom,0)),"⚠ Cuenta no existe",IF(AND(OR(I3492="Transferencia",I3492="Pago tarjeta"),G3492=""),"⚠ Indica la cuenta «Hacia»",IF(AND(G3492&lt;&gt;"",G3492=E3492),"⚠ «Hacia» igual a la cuenta",IF(AND(G3492&lt;&gt;"",ISNA(MATCH(G3492,ctaNom,0))),"⚠ «Hacia» no existe",IF(AND(I3492="Pago tarjeta",IFERROR(INDEX(ctaTipo,MATCH(G3492,ctaNom,0)),"")&lt;&gt;"Tarjeta de crédito"),"⚠ «Hacia» debe ser la tarjeta",IF(AND(I3492="Trading",IFERROR(INDEX(ctaTipo,MATCH(E3492,ctaNom,0)),"")&lt;&gt;"Cuenta de trading"),"⚠ Usa la cuenta de trading","✓"))))))))))))</f>
        <v/>
      </c>
      <c r="I3492" s="19">
        <f>IF(OR(B3492="",C3492="",D3492=""),"",IFERROR(INDEX(catTipo,MATCH(D3492,catNom,0))&amp;"",""))</f>
        <v/>
      </c>
      <c r="J3492" s="19">
        <f>IF(I3492="","",IFERROR(INDEX(catGrupo,MATCH(D3492,catNom,0))&amp;"",""))</f>
        <v/>
      </c>
      <c r="K3492" s="19">
        <f>IF(I3492="Gasto",IF(IFERROR(INDEX(catClas,MATCH(D3492,catNom,0))&amp;"","")="","Variable",IFERROR(INDEX(catClas,MATCH(D3492,catNom,0))&amp;"","")),"")</f>
        <v/>
      </c>
      <c r="L3492" s="19">
        <f>IF(I3492="","",IFERROR(INDEX(catAlim,MATCH(D3492,catNom,0))&amp;"",""))</f>
        <v/>
      </c>
      <c r="M3492" s="19">
        <f>IF(I3492="","",IFERROR(INDEX(catComida,MATCH(D3492,catNom,0))&amp;"",""))</f>
        <v/>
      </c>
      <c r="N3492" s="19">
        <f>IF(I3492="","",IFERROR(INDEX(ctaMon,MATCH(E3492,ctaNom,0))&amp;"","DOP"))</f>
        <v/>
      </c>
      <c r="O3492" s="20">
        <f>IF(I3492="","",C3492*IF(N3492="USD",TasaUSD,1))</f>
        <v/>
      </c>
      <c r="P3492" s="20">
        <f>IF(I3492="","",IF(I3492="Gasto",O3492,0))</f>
        <v/>
      </c>
      <c r="Q3492" s="20">
        <f>IF(I3492="","",IF(I3492="Ingreso",O3492,0))</f>
        <v/>
      </c>
      <c r="R3492" s="20">
        <f>IF(I3492="","",IF(I3492="Trading",O3492,0))</f>
        <v/>
      </c>
      <c r="S3492" s="19">
        <f>IF(I3492="","",IF(AND(I3492="Gasto",K3492="Variable",J3492&lt;&gt;"Trading",O3492&gt;0,O3492&lt;=Umbral),1,0))</f>
        <v/>
      </c>
      <c r="T3492" s="20">
        <f>IF(OR(I3492="",E3492=""),"",IF(OR(I3492="Gasto",I3492="Transferencia",I3492="Pago tarjeta"),-1,1)*C3492)</f>
        <v/>
      </c>
      <c r="U3492" s="20">
        <f>IF(OR(G3492="",AND(I3492&lt;&gt;"Transferencia",I3492&lt;&gt;"Pago tarjeta")),"",IF(IFERROR(INDEX(ctaMon,MATCH(G3492,ctaNom,0))&amp;"","DOP")=N3492,C3492,IF(N3492="USD",C3492*TasaUSD,C3492/TasaUSD)))</f>
        <v/>
      </c>
      <c r="V3492" s="20">
        <f>IF(I3492="","",IF(IFERROR(INDEX(ctaLiq,MATCH(E3492,ctaNom,0))="Sí",FALSE),IF(OR(I3492="Gasto",I3492="Transferencia",I3492="Pago tarjeta"),-1,1)*O3492,0)+IF(AND(U3492&lt;&gt;"",IFERROR(INDEX(ctaLiq,MATCH(G3492,ctaNom,0))="Sí",FALSE)),O3492,0))</f>
        <v/>
      </c>
      <c r="W3492" s="19">
        <f>IF(OR(F3492="",I3492=""),"",IF(COUNTIFS(F$6:F3492,F3492,I$6:I3492,"?*")=1,MAX(W$5:W3491)+1,""))</f>
        <v/>
      </c>
    </row>
    <row r="3493">
      <c r="B3493" s="15" t="n"/>
      <c r="C3493" s="16" t="n"/>
      <c r="D3493" s="17" t="n"/>
      <c r="E3493" s="17" t="n"/>
      <c r="F3493" s="17" t="n"/>
      <c r="G3493" s="17" t="n"/>
      <c r="H3493" s="18">
        <f>IF(AND(B3493="",C3493="",D3493="",E3493=""),"",IF(B3493="","⚠ Falta fecha",IF(C3493="","⚠ Falta monto",IF(D3493="","⚠ Falta categoría",IF(ISNA(MATCH(D3493,catNom,0)),"⚠ Categoría no existe",IF(E3493="","⚠ Falta cuenta",IF(ISNA(MATCH(E3493,ctaNom,0)),"⚠ Cuenta no existe",IF(AND(OR(I3493="Transferencia",I3493="Pago tarjeta"),G3493=""),"⚠ Indica la cuenta «Hacia»",IF(AND(G3493&lt;&gt;"",G3493=E3493),"⚠ «Hacia» igual a la cuenta",IF(AND(G3493&lt;&gt;"",ISNA(MATCH(G3493,ctaNom,0))),"⚠ «Hacia» no existe",IF(AND(I3493="Pago tarjeta",IFERROR(INDEX(ctaTipo,MATCH(G3493,ctaNom,0)),"")&lt;&gt;"Tarjeta de crédito"),"⚠ «Hacia» debe ser la tarjeta",IF(AND(I3493="Trading",IFERROR(INDEX(ctaTipo,MATCH(E3493,ctaNom,0)),"")&lt;&gt;"Cuenta de trading"),"⚠ Usa la cuenta de trading","✓"))))))))))))</f>
        <v/>
      </c>
      <c r="I3493" s="19">
        <f>IF(OR(B3493="",C3493="",D3493=""),"",IFERROR(INDEX(catTipo,MATCH(D3493,catNom,0))&amp;"",""))</f>
        <v/>
      </c>
      <c r="J3493" s="19">
        <f>IF(I3493="","",IFERROR(INDEX(catGrupo,MATCH(D3493,catNom,0))&amp;"",""))</f>
        <v/>
      </c>
      <c r="K3493" s="19">
        <f>IF(I3493="Gasto",IF(IFERROR(INDEX(catClas,MATCH(D3493,catNom,0))&amp;"","")="","Variable",IFERROR(INDEX(catClas,MATCH(D3493,catNom,0))&amp;"","")),"")</f>
        <v/>
      </c>
      <c r="L3493" s="19">
        <f>IF(I3493="","",IFERROR(INDEX(catAlim,MATCH(D3493,catNom,0))&amp;"",""))</f>
        <v/>
      </c>
      <c r="M3493" s="19">
        <f>IF(I3493="","",IFERROR(INDEX(catComida,MATCH(D3493,catNom,0))&amp;"",""))</f>
        <v/>
      </c>
      <c r="N3493" s="19">
        <f>IF(I3493="","",IFERROR(INDEX(ctaMon,MATCH(E3493,ctaNom,0))&amp;"","DOP"))</f>
        <v/>
      </c>
      <c r="O3493" s="20">
        <f>IF(I3493="","",C3493*IF(N3493="USD",TasaUSD,1))</f>
        <v/>
      </c>
      <c r="P3493" s="20">
        <f>IF(I3493="","",IF(I3493="Gasto",O3493,0))</f>
        <v/>
      </c>
      <c r="Q3493" s="20">
        <f>IF(I3493="","",IF(I3493="Ingreso",O3493,0))</f>
        <v/>
      </c>
      <c r="R3493" s="20">
        <f>IF(I3493="","",IF(I3493="Trading",O3493,0))</f>
        <v/>
      </c>
      <c r="S3493" s="19">
        <f>IF(I3493="","",IF(AND(I3493="Gasto",K3493="Variable",J3493&lt;&gt;"Trading",O3493&gt;0,O3493&lt;=Umbral),1,0))</f>
        <v/>
      </c>
      <c r="T3493" s="20">
        <f>IF(OR(I3493="",E3493=""),"",IF(OR(I3493="Gasto",I3493="Transferencia",I3493="Pago tarjeta"),-1,1)*C3493)</f>
        <v/>
      </c>
      <c r="U3493" s="20">
        <f>IF(OR(G3493="",AND(I3493&lt;&gt;"Transferencia",I3493&lt;&gt;"Pago tarjeta")),"",IF(IFERROR(INDEX(ctaMon,MATCH(G3493,ctaNom,0))&amp;"","DOP")=N3493,C3493,IF(N3493="USD",C3493*TasaUSD,C3493/TasaUSD)))</f>
        <v/>
      </c>
      <c r="V3493" s="20">
        <f>IF(I3493="","",IF(IFERROR(INDEX(ctaLiq,MATCH(E3493,ctaNom,0))="Sí",FALSE),IF(OR(I3493="Gasto",I3493="Transferencia",I3493="Pago tarjeta"),-1,1)*O3493,0)+IF(AND(U3493&lt;&gt;"",IFERROR(INDEX(ctaLiq,MATCH(G3493,ctaNom,0))="Sí",FALSE)),O3493,0))</f>
        <v/>
      </c>
      <c r="W3493" s="19">
        <f>IF(OR(F3493="",I3493=""),"",IF(COUNTIFS(F$6:F3493,F3493,I$6:I3493,"?*")=1,MAX(W$5:W3492)+1,""))</f>
        <v/>
      </c>
    </row>
    <row r="3494">
      <c r="B3494" s="15" t="n"/>
      <c r="C3494" s="16" t="n"/>
      <c r="D3494" s="17" t="n"/>
      <c r="E3494" s="17" t="n"/>
      <c r="F3494" s="17" t="n"/>
      <c r="G3494" s="17" t="n"/>
      <c r="H3494" s="18">
        <f>IF(AND(B3494="",C3494="",D3494="",E3494=""),"",IF(B3494="","⚠ Falta fecha",IF(C3494="","⚠ Falta monto",IF(D3494="","⚠ Falta categoría",IF(ISNA(MATCH(D3494,catNom,0)),"⚠ Categoría no existe",IF(E3494="","⚠ Falta cuenta",IF(ISNA(MATCH(E3494,ctaNom,0)),"⚠ Cuenta no existe",IF(AND(OR(I3494="Transferencia",I3494="Pago tarjeta"),G3494=""),"⚠ Indica la cuenta «Hacia»",IF(AND(G3494&lt;&gt;"",G3494=E3494),"⚠ «Hacia» igual a la cuenta",IF(AND(G3494&lt;&gt;"",ISNA(MATCH(G3494,ctaNom,0))),"⚠ «Hacia» no existe",IF(AND(I3494="Pago tarjeta",IFERROR(INDEX(ctaTipo,MATCH(G3494,ctaNom,0)),"")&lt;&gt;"Tarjeta de crédito"),"⚠ «Hacia» debe ser la tarjeta",IF(AND(I3494="Trading",IFERROR(INDEX(ctaTipo,MATCH(E3494,ctaNom,0)),"")&lt;&gt;"Cuenta de trading"),"⚠ Usa la cuenta de trading","✓"))))))))))))</f>
        <v/>
      </c>
      <c r="I3494" s="19">
        <f>IF(OR(B3494="",C3494="",D3494=""),"",IFERROR(INDEX(catTipo,MATCH(D3494,catNom,0))&amp;"",""))</f>
        <v/>
      </c>
      <c r="J3494" s="19">
        <f>IF(I3494="","",IFERROR(INDEX(catGrupo,MATCH(D3494,catNom,0))&amp;"",""))</f>
        <v/>
      </c>
      <c r="K3494" s="19">
        <f>IF(I3494="Gasto",IF(IFERROR(INDEX(catClas,MATCH(D3494,catNom,0))&amp;"","")="","Variable",IFERROR(INDEX(catClas,MATCH(D3494,catNom,0))&amp;"","")),"")</f>
        <v/>
      </c>
      <c r="L3494" s="19">
        <f>IF(I3494="","",IFERROR(INDEX(catAlim,MATCH(D3494,catNom,0))&amp;"",""))</f>
        <v/>
      </c>
      <c r="M3494" s="19">
        <f>IF(I3494="","",IFERROR(INDEX(catComida,MATCH(D3494,catNom,0))&amp;"",""))</f>
        <v/>
      </c>
      <c r="N3494" s="19">
        <f>IF(I3494="","",IFERROR(INDEX(ctaMon,MATCH(E3494,ctaNom,0))&amp;"","DOP"))</f>
        <v/>
      </c>
      <c r="O3494" s="20">
        <f>IF(I3494="","",C3494*IF(N3494="USD",TasaUSD,1))</f>
        <v/>
      </c>
      <c r="P3494" s="20">
        <f>IF(I3494="","",IF(I3494="Gasto",O3494,0))</f>
        <v/>
      </c>
      <c r="Q3494" s="20">
        <f>IF(I3494="","",IF(I3494="Ingreso",O3494,0))</f>
        <v/>
      </c>
      <c r="R3494" s="20">
        <f>IF(I3494="","",IF(I3494="Trading",O3494,0))</f>
        <v/>
      </c>
      <c r="S3494" s="19">
        <f>IF(I3494="","",IF(AND(I3494="Gasto",K3494="Variable",J3494&lt;&gt;"Trading",O3494&gt;0,O3494&lt;=Umbral),1,0))</f>
        <v/>
      </c>
      <c r="T3494" s="20">
        <f>IF(OR(I3494="",E3494=""),"",IF(OR(I3494="Gasto",I3494="Transferencia",I3494="Pago tarjeta"),-1,1)*C3494)</f>
        <v/>
      </c>
      <c r="U3494" s="20">
        <f>IF(OR(G3494="",AND(I3494&lt;&gt;"Transferencia",I3494&lt;&gt;"Pago tarjeta")),"",IF(IFERROR(INDEX(ctaMon,MATCH(G3494,ctaNom,0))&amp;"","DOP")=N3494,C3494,IF(N3494="USD",C3494*TasaUSD,C3494/TasaUSD)))</f>
        <v/>
      </c>
      <c r="V3494" s="20">
        <f>IF(I3494="","",IF(IFERROR(INDEX(ctaLiq,MATCH(E3494,ctaNom,0))="Sí",FALSE),IF(OR(I3494="Gasto",I3494="Transferencia",I3494="Pago tarjeta"),-1,1)*O3494,0)+IF(AND(U3494&lt;&gt;"",IFERROR(INDEX(ctaLiq,MATCH(G3494,ctaNom,0))="Sí",FALSE)),O3494,0))</f>
        <v/>
      </c>
      <c r="W3494" s="19">
        <f>IF(OR(F3494="",I3494=""),"",IF(COUNTIFS(F$6:F3494,F3494,I$6:I3494,"?*")=1,MAX(W$5:W3493)+1,""))</f>
        <v/>
      </c>
    </row>
    <row r="3495">
      <c r="B3495" s="15" t="n"/>
      <c r="C3495" s="16" t="n"/>
      <c r="D3495" s="17" t="n"/>
      <c r="E3495" s="17" t="n"/>
      <c r="F3495" s="17" t="n"/>
      <c r="G3495" s="17" t="n"/>
      <c r="H3495" s="18">
        <f>IF(AND(B3495="",C3495="",D3495="",E3495=""),"",IF(B3495="","⚠ Falta fecha",IF(C3495="","⚠ Falta monto",IF(D3495="","⚠ Falta categoría",IF(ISNA(MATCH(D3495,catNom,0)),"⚠ Categoría no existe",IF(E3495="","⚠ Falta cuenta",IF(ISNA(MATCH(E3495,ctaNom,0)),"⚠ Cuenta no existe",IF(AND(OR(I3495="Transferencia",I3495="Pago tarjeta"),G3495=""),"⚠ Indica la cuenta «Hacia»",IF(AND(G3495&lt;&gt;"",G3495=E3495),"⚠ «Hacia» igual a la cuenta",IF(AND(G3495&lt;&gt;"",ISNA(MATCH(G3495,ctaNom,0))),"⚠ «Hacia» no existe",IF(AND(I3495="Pago tarjeta",IFERROR(INDEX(ctaTipo,MATCH(G3495,ctaNom,0)),"")&lt;&gt;"Tarjeta de crédito"),"⚠ «Hacia» debe ser la tarjeta",IF(AND(I3495="Trading",IFERROR(INDEX(ctaTipo,MATCH(E3495,ctaNom,0)),"")&lt;&gt;"Cuenta de trading"),"⚠ Usa la cuenta de trading","✓"))))))))))))</f>
        <v/>
      </c>
      <c r="I3495" s="19">
        <f>IF(OR(B3495="",C3495="",D3495=""),"",IFERROR(INDEX(catTipo,MATCH(D3495,catNom,0))&amp;"",""))</f>
        <v/>
      </c>
      <c r="J3495" s="19">
        <f>IF(I3495="","",IFERROR(INDEX(catGrupo,MATCH(D3495,catNom,0))&amp;"",""))</f>
        <v/>
      </c>
      <c r="K3495" s="19">
        <f>IF(I3495="Gasto",IF(IFERROR(INDEX(catClas,MATCH(D3495,catNom,0))&amp;"","")="","Variable",IFERROR(INDEX(catClas,MATCH(D3495,catNom,0))&amp;"","")),"")</f>
        <v/>
      </c>
      <c r="L3495" s="19">
        <f>IF(I3495="","",IFERROR(INDEX(catAlim,MATCH(D3495,catNom,0))&amp;"",""))</f>
        <v/>
      </c>
      <c r="M3495" s="19">
        <f>IF(I3495="","",IFERROR(INDEX(catComida,MATCH(D3495,catNom,0))&amp;"",""))</f>
        <v/>
      </c>
      <c r="N3495" s="19">
        <f>IF(I3495="","",IFERROR(INDEX(ctaMon,MATCH(E3495,ctaNom,0))&amp;"","DOP"))</f>
        <v/>
      </c>
      <c r="O3495" s="20">
        <f>IF(I3495="","",C3495*IF(N3495="USD",TasaUSD,1))</f>
        <v/>
      </c>
      <c r="P3495" s="20">
        <f>IF(I3495="","",IF(I3495="Gasto",O3495,0))</f>
        <v/>
      </c>
      <c r="Q3495" s="20">
        <f>IF(I3495="","",IF(I3495="Ingreso",O3495,0))</f>
        <v/>
      </c>
      <c r="R3495" s="20">
        <f>IF(I3495="","",IF(I3495="Trading",O3495,0))</f>
        <v/>
      </c>
      <c r="S3495" s="19">
        <f>IF(I3495="","",IF(AND(I3495="Gasto",K3495="Variable",J3495&lt;&gt;"Trading",O3495&gt;0,O3495&lt;=Umbral),1,0))</f>
        <v/>
      </c>
      <c r="T3495" s="20">
        <f>IF(OR(I3495="",E3495=""),"",IF(OR(I3495="Gasto",I3495="Transferencia",I3495="Pago tarjeta"),-1,1)*C3495)</f>
        <v/>
      </c>
      <c r="U3495" s="20">
        <f>IF(OR(G3495="",AND(I3495&lt;&gt;"Transferencia",I3495&lt;&gt;"Pago tarjeta")),"",IF(IFERROR(INDEX(ctaMon,MATCH(G3495,ctaNom,0))&amp;"","DOP")=N3495,C3495,IF(N3495="USD",C3495*TasaUSD,C3495/TasaUSD)))</f>
        <v/>
      </c>
      <c r="V3495" s="20">
        <f>IF(I3495="","",IF(IFERROR(INDEX(ctaLiq,MATCH(E3495,ctaNom,0))="Sí",FALSE),IF(OR(I3495="Gasto",I3495="Transferencia",I3495="Pago tarjeta"),-1,1)*O3495,0)+IF(AND(U3495&lt;&gt;"",IFERROR(INDEX(ctaLiq,MATCH(G3495,ctaNom,0))="Sí",FALSE)),O3495,0))</f>
        <v/>
      </c>
      <c r="W3495" s="19">
        <f>IF(OR(F3495="",I3495=""),"",IF(COUNTIFS(F$6:F3495,F3495,I$6:I3495,"?*")=1,MAX(W$5:W3494)+1,""))</f>
        <v/>
      </c>
    </row>
    <row r="3496">
      <c r="B3496" s="15" t="n"/>
      <c r="C3496" s="16" t="n"/>
      <c r="D3496" s="17" t="n"/>
      <c r="E3496" s="17" t="n"/>
      <c r="F3496" s="17" t="n"/>
      <c r="G3496" s="17" t="n"/>
      <c r="H3496" s="18">
        <f>IF(AND(B3496="",C3496="",D3496="",E3496=""),"",IF(B3496="","⚠ Falta fecha",IF(C3496="","⚠ Falta monto",IF(D3496="","⚠ Falta categoría",IF(ISNA(MATCH(D3496,catNom,0)),"⚠ Categoría no existe",IF(E3496="","⚠ Falta cuenta",IF(ISNA(MATCH(E3496,ctaNom,0)),"⚠ Cuenta no existe",IF(AND(OR(I3496="Transferencia",I3496="Pago tarjeta"),G3496=""),"⚠ Indica la cuenta «Hacia»",IF(AND(G3496&lt;&gt;"",G3496=E3496),"⚠ «Hacia» igual a la cuenta",IF(AND(G3496&lt;&gt;"",ISNA(MATCH(G3496,ctaNom,0))),"⚠ «Hacia» no existe",IF(AND(I3496="Pago tarjeta",IFERROR(INDEX(ctaTipo,MATCH(G3496,ctaNom,0)),"")&lt;&gt;"Tarjeta de crédito"),"⚠ «Hacia» debe ser la tarjeta",IF(AND(I3496="Trading",IFERROR(INDEX(ctaTipo,MATCH(E3496,ctaNom,0)),"")&lt;&gt;"Cuenta de trading"),"⚠ Usa la cuenta de trading","✓"))))))))))))</f>
        <v/>
      </c>
      <c r="I3496" s="19">
        <f>IF(OR(B3496="",C3496="",D3496=""),"",IFERROR(INDEX(catTipo,MATCH(D3496,catNom,0))&amp;"",""))</f>
        <v/>
      </c>
      <c r="J3496" s="19">
        <f>IF(I3496="","",IFERROR(INDEX(catGrupo,MATCH(D3496,catNom,0))&amp;"",""))</f>
        <v/>
      </c>
      <c r="K3496" s="19">
        <f>IF(I3496="Gasto",IF(IFERROR(INDEX(catClas,MATCH(D3496,catNom,0))&amp;"","")="","Variable",IFERROR(INDEX(catClas,MATCH(D3496,catNom,0))&amp;"","")),"")</f>
        <v/>
      </c>
      <c r="L3496" s="19">
        <f>IF(I3496="","",IFERROR(INDEX(catAlim,MATCH(D3496,catNom,0))&amp;"",""))</f>
        <v/>
      </c>
      <c r="M3496" s="19">
        <f>IF(I3496="","",IFERROR(INDEX(catComida,MATCH(D3496,catNom,0))&amp;"",""))</f>
        <v/>
      </c>
      <c r="N3496" s="19">
        <f>IF(I3496="","",IFERROR(INDEX(ctaMon,MATCH(E3496,ctaNom,0))&amp;"","DOP"))</f>
        <v/>
      </c>
      <c r="O3496" s="20">
        <f>IF(I3496="","",C3496*IF(N3496="USD",TasaUSD,1))</f>
        <v/>
      </c>
      <c r="P3496" s="20">
        <f>IF(I3496="","",IF(I3496="Gasto",O3496,0))</f>
        <v/>
      </c>
      <c r="Q3496" s="20">
        <f>IF(I3496="","",IF(I3496="Ingreso",O3496,0))</f>
        <v/>
      </c>
      <c r="R3496" s="20">
        <f>IF(I3496="","",IF(I3496="Trading",O3496,0))</f>
        <v/>
      </c>
      <c r="S3496" s="19">
        <f>IF(I3496="","",IF(AND(I3496="Gasto",K3496="Variable",J3496&lt;&gt;"Trading",O3496&gt;0,O3496&lt;=Umbral),1,0))</f>
        <v/>
      </c>
      <c r="T3496" s="20">
        <f>IF(OR(I3496="",E3496=""),"",IF(OR(I3496="Gasto",I3496="Transferencia",I3496="Pago tarjeta"),-1,1)*C3496)</f>
        <v/>
      </c>
      <c r="U3496" s="20">
        <f>IF(OR(G3496="",AND(I3496&lt;&gt;"Transferencia",I3496&lt;&gt;"Pago tarjeta")),"",IF(IFERROR(INDEX(ctaMon,MATCH(G3496,ctaNom,0))&amp;"","DOP")=N3496,C3496,IF(N3496="USD",C3496*TasaUSD,C3496/TasaUSD)))</f>
        <v/>
      </c>
      <c r="V3496" s="20">
        <f>IF(I3496="","",IF(IFERROR(INDEX(ctaLiq,MATCH(E3496,ctaNom,0))="Sí",FALSE),IF(OR(I3496="Gasto",I3496="Transferencia",I3496="Pago tarjeta"),-1,1)*O3496,0)+IF(AND(U3496&lt;&gt;"",IFERROR(INDEX(ctaLiq,MATCH(G3496,ctaNom,0))="Sí",FALSE)),O3496,0))</f>
        <v/>
      </c>
      <c r="W3496" s="19">
        <f>IF(OR(F3496="",I3496=""),"",IF(COUNTIFS(F$6:F3496,F3496,I$6:I3496,"?*")=1,MAX(W$5:W3495)+1,""))</f>
        <v/>
      </c>
    </row>
    <row r="3497">
      <c r="B3497" s="15" t="n"/>
      <c r="C3497" s="16" t="n"/>
      <c r="D3497" s="17" t="n"/>
      <c r="E3497" s="17" t="n"/>
      <c r="F3497" s="17" t="n"/>
      <c r="G3497" s="17" t="n"/>
      <c r="H3497" s="18">
        <f>IF(AND(B3497="",C3497="",D3497="",E3497=""),"",IF(B3497="","⚠ Falta fecha",IF(C3497="","⚠ Falta monto",IF(D3497="","⚠ Falta categoría",IF(ISNA(MATCH(D3497,catNom,0)),"⚠ Categoría no existe",IF(E3497="","⚠ Falta cuenta",IF(ISNA(MATCH(E3497,ctaNom,0)),"⚠ Cuenta no existe",IF(AND(OR(I3497="Transferencia",I3497="Pago tarjeta"),G3497=""),"⚠ Indica la cuenta «Hacia»",IF(AND(G3497&lt;&gt;"",G3497=E3497),"⚠ «Hacia» igual a la cuenta",IF(AND(G3497&lt;&gt;"",ISNA(MATCH(G3497,ctaNom,0))),"⚠ «Hacia» no existe",IF(AND(I3497="Pago tarjeta",IFERROR(INDEX(ctaTipo,MATCH(G3497,ctaNom,0)),"")&lt;&gt;"Tarjeta de crédito"),"⚠ «Hacia» debe ser la tarjeta",IF(AND(I3497="Trading",IFERROR(INDEX(ctaTipo,MATCH(E3497,ctaNom,0)),"")&lt;&gt;"Cuenta de trading"),"⚠ Usa la cuenta de trading","✓"))))))))))))</f>
        <v/>
      </c>
      <c r="I3497" s="19">
        <f>IF(OR(B3497="",C3497="",D3497=""),"",IFERROR(INDEX(catTipo,MATCH(D3497,catNom,0))&amp;"",""))</f>
        <v/>
      </c>
      <c r="J3497" s="19">
        <f>IF(I3497="","",IFERROR(INDEX(catGrupo,MATCH(D3497,catNom,0))&amp;"",""))</f>
        <v/>
      </c>
      <c r="K3497" s="19">
        <f>IF(I3497="Gasto",IF(IFERROR(INDEX(catClas,MATCH(D3497,catNom,0))&amp;"","")="","Variable",IFERROR(INDEX(catClas,MATCH(D3497,catNom,0))&amp;"","")),"")</f>
        <v/>
      </c>
      <c r="L3497" s="19">
        <f>IF(I3497="","",IFERROR(INDEX(catAlim,MATCH(D3497,catNom,0))&amp;"",""))</f>
        <v/>
      </c>
      <c r="M3497" s="19">
        <f>IF(I3497="","",IFERROR(INDEX(catComida,MATCH(D3497,catNom,0))&amp;"",""))</f>
        <v/>
      </c>
      <c r="N3497" s="19">
        <f>IF(I3497="","",IFERROR(INDEX(ctaMon,MATCH(E3497,ctaNom,0))&amp;"","DOP"))</f>
        <v/>
      </c>
      <c r="O3497" s="20">
        <f>IF(I3497="","",C3497*IF(N3497="USD",TasaUSD,1))</f>
        <v/>
      </c>
      <c r="P3497" s="20">
        <f>IF(I3497="","",IF(I3497="Gasto",O3497,0))</f>
        <v/>
      </c>
      <c r="Q3497" s="20">
        <f>IF(I3497="","",IF(I3497="Ingreso",O3497,0))</f>
        <v/>
      </c>
      <c r="R3497" s="20">
        <f>IF(I3497="","",IF(I3497="Trading",O3497,0))</f>
        <v/>
      </c>
      <c r="S3497" s="19">
        <f>IF(I3497="","",IF(AND(I3497="Gasto",K3497="Variable",J3497&lt;&gt;"Trading",O3497&gt;0,O3497&lt;=Umbral),1,0))</f>
        <v/>
      </c>
      <c r="T3497" s="20">
        <f>IF(OR(I3497="",E3497=""),"",IF(OR(I3497="Gasto",I3497="Transferencia",I3497="Pago tarjeta"),-1,1)*C3497)</f>
        <v/>
      </c>
      <c r="U3497" s="20">
        <f>IF(OR(G3497="",AND(I3497&lt;&gt;"Transferencia",I3497&lt;&gt;"Pago tarjeta")),"",IF(IFERROR(INDEX(ctaMon,MATCH(G3497,ctaNom,0))&amp;"","DOP")=N3497,C3497,IF(N3497="USD",C3497*TasaUSD,C3497/TasaUSD)))</f>
        <v/>
      </c>
      <c r="V3497" s="20">
        <f>IF(I3497="","",IF(IFERROR(INDEX(ctaLiq,MATCH(E3497,ctaNom,0))="Sí",FALSE),IF(OR(I3497="Gasto",I3497="Transferencia",I3497="Pago tarjeta"),-1,1)*O3497,0)+IF(AND(U3497&lt;&gt;"",IFERROR(INDEX(ctaLiq,MATCH(G3497,ctaNom,0))="Sí",FALSE)),O3497,0))</f>
        <v/>
      </c>
      <c r="W3497" s="19">
        <f>IF(OR(F3497="",I3497=""),"",IF(COUNTIFS(F$6:F3497,F3497,I$6:I3497,"?*")=1,MAX(W$5:W3496)+1,""))</f>
        <v/>
      </c>
    </row>
    <row r="3498">
      <c r="B3498" s="15" t="n"/>
      <c r="C3498" s="16" t="n"/>
      <c r="D3498" s="17" t="n"/>
      <c r="E3498" s="17" t="n"/>
      <c r="F3498" s="17" t="n"/>
      <c r="G3498" s="17" t="n"/>
      <c r="H3498" s="18">
        <f>IF(AND(B3498="",C3498="",D3498="",E3498=""),"",IF(B3498="","⚠ Falta fecha",IF(C3498="","⚠ Falta monto",IF(D3498="","⚠ Falta categoría",IF(ISNA(MATCH(D3498,catNom,0)),"⚠ Categoría no existe",IF(E3498="","⚠ Falta cuenta",IF(ISNA(MATCH(E3498,ctaNom,0)),"⚠ Cuenta no existe",IF(AND(OR(I3498="Transferencia",I3498="Pago tarjeta"),G3498=""),"⚠ Indica la cuenta «Hacia»",IF(AND(G3498&lt;&gt;"",G3498=E3498),"⚠ «Hacia» igual a la cuenta",IF(AND(G3498&lt;&gt;"",ISNA(MATCH(G3498,ctaNom,0))),"⚠ «Hacia» no existe",IF(AND(I3498="Pago tarjeta",IFERROR(INDEX(ctaTipo,MATCH(G3498,ctaNom,0)),"")&lt;&gt;"Tarjeta de crédito"),"⚠ «Hacia» debe ser la tarjeta",IF(AND(I3498="Trading",IFERROR(INDEX(ctaTipo,MATCH(E3498,ctaNom,0)),"")&lt;&gt;"Cuenta de trading"),"⚠ Usa la cuenta de trading","✓"))))))))))))</f>
        <v/>
      </c>
      <c r="I3498" s="19">
        <f>IF(OR(B3498="",C3498="",D3498=""),"",IFERROR(INDEX(catTipo,MATCH(D3498,catNom,0))&amp;"",""))</f>
        <v/>
      </c>
      <c r="J3498" s="19">
        <f>IF(I3498="","",IFERROR(INDEX(catGrupo,MATCH(D3498,catNom,0))&amp;"",""))</f>
        <v/>
      </c>
      <c r="K3498" s="19">
        <f>IF(I3498="Gasto",IF(IFERROR(INDEX(catClas,MATCH(D3498,catNom,0))&amp;"","")="","Variable",IFERROR(INDEX(catClas,MATCH(D3498,catNom,0))&amp;"","")),"")</f>
        <v/>
      </c>
      <c r="L3498" s="19">
        <f>IF(I3498="","",IFERROR(INDEX(catAlim,MATCH(D3498,catNom,0))&amp;"",""))</f>
        <v/>
      </c>
      <c r="M3498" s="19">
        <f>IF(I3498="","",IFERROR(INDEX(catComida,MATCH(D3498,catNom,0))&amp;"",""))</f>
        <v/>
      </c>
      <c r="N3498" s="19">
        <f>IF(I3498="","",IFERROR(INDEX(ctaMon,MATCH(E3498,ctaNom,0))&amp;"","DOP"))</f>
        <v/>
      </c>
      <c r="O3498" s="20">
        <f>IF(I3498="","",C3498*IF(N3498="USD",TasaUSD,1))</f>
        <v/>
      </c>
      <c r="P3498" s="20">
        <f>IF(I3498="","",IF(I3498="Gasto",O3498,0))</f>
        <v/>
      </c>
      <c r="Q3498" s="20">
        <f>IF(I3498="","",IF(I3498="Ingreso",O3498,0))</f>
        <v/>
      </c>
      <c r="R3498" s="20">
        <f>IF(I3498="","",IF(I3498="Trading",O3498,0))</f>
        <v/>
      </c>
      <c r="S3498" s="19">
        <f>IF(I3498="","",IF(AND(I3498="Gasto",K3498="Variable",J3498&lt;&gt;"Trading",O3498&gt;0,O3498&lt;=Umbral),1,0))</f>
        <v/>
      </c>
      <c r="T3498" s="20">
        <f>IF(OR(I3498="",E3498=""),"",IF(OR(I3498="Gasto",I3498="Transferencia",I3498="Pago tarjeta"),-1,1)*C3498)</f>
        <v/>
      </c>
      <c r="U3498" s="20">
        <f>IF(OR(G3498="",AND(I3498&lt;&gt;"Transferencia",I3498&lt;&gt;"Pago tarjeta")),"",IF(IFERROR(INDEX(ctaMon,MATCH(G3498,ctaNom,0))&amp;"","DOP")=N3498,C3498,IF(N3498="USD",C3498*TasaUSD,C3498/TasaUSD)))</f>
        <v/>
      </c>
      <c r="V3498" s="20">
        <f>IF(I3498="","",IF(IFERROR(INDEX(ctaLiq,MATCH(E3498,ctaNom,0))="Sí",FALSE),IF(OR(I3498="Gasto",I3498="Transferencia",I3498="Pago tarjeta"),-1,1)*O3498,0)+IF(AND(U3498&lt;&gt;"",IFERROR(INDEX(ctaLiq,MATCH(G3498,ctaNom,0))="Sí",FALSE)),O3498,0))</f>
        <v/>
      </c>
      <c r="W3498" s="19">
        <f>IF(OR(F3498="",I3498=""),"",IF(COUNTIFS(F$6:F3498,F3498,I$6:I3498,"?*")=1,MAX(W$5:W3497)+1,""))</f>
        <v/>
      </c>
    </row>
    <row r="3499">
      <c r="B3499" s="15" t="n"/>
      <c r="C3499" s="16" t="n"/>
      <c r="D3499" s="17" t="n"/>
      <c r="E3499" s="17" t="n"/>
      <c r="F3499" s="17" t="n"/>
      <c r="G3499" s="17" t="n"/>
      <c r="H3499" s="18">
        <f>IF(AND(B3499="",C3499="",D3499="",E3499=""),"",IF(B3499="","⚠ Falta fecha",IF(C3499="","⚠ Falta monto",IF(D3499="","⚠ Falta categoría",IF(ISNA(MATCH(D3499,catNom,0)),"⚠ Categoría no existe",IF(E3499="","⚠ Falta cuenta",IF(ISNA(MATCH(E3499,ctaNom,0)),"⚠ Cuenta no existe",IF(AND(OR(I3499="Transferencia",I3499="Pago tarjeta"),G3499=""),"⚠ Indica la cuenta «Hacia»",IF(AND(G3499&lt;&gt;"",G3499=E3499),"⚠ «Hacia» igual a la cuenta",IF(AND(G3499&lt;&gt;"",ISNA(MATCH(G3499,ctaNom,0))),"⚠ «Hacia» no existe",IF(AND(I3499="Pago tarjeta",IFERROR(INDEX(ctaTipo,MATCH(G3499,ctaNom,0)),"")&lt;&gt;"Tarjeta de crédito"),"⚠ «Hacia» debe ser la tarjeta",IF(AND(I3499="Trading",IFERROR(INDEX(ctaTipo,MATCH(E3499,ctaNom,0)),"")&lt;&gt;"Cuenta de trading"),"⚠ Usa la cuenta de trading","✓"))))))))))))</f>
        <v/>
      </c>
      <c r="I3499" s="19">
        <f>IF(OR(B3499="",C3499="",D3499=""),"",IFERROR(INDEX(catTipo,MATCH(D3499,catNom,0))&amp;"",""))</f>
        <v/>
      </c>
      <c r="J3499" s="19">
        <f>IF(I3499="","",IFERROR(INDEX(catGrupo,MATCH(D3499,catNom,0))&amp;"",""))</f>
        <v/>
      </c>
      <c r="K3499" s="19">
        <f>IF(I3499="Gasto",IF(IFERROR(INDEX(catClas,MATCH(D3499,catNom,0))&amp;"","")="","Variable",IFERROR(INDEX(catClas,MATCH(D3499,catNom,0))&amp;"","")),"")</f>
        <v/>
      </c>
      <c r="L3499" s="19">
        <f>IF(I3499="","",IFERROR(INDEX(catAlim,MATCH(D3499,catNom,0))&amp;"",""))</f>
        <v/>
      </c>
      <c r="M3499" s="19">
        <f>IF(I3499="","",IFERROR(INDEX(catComida,MATCH(D3499,catNom,0))&amp;"",""))</f>
        <v/>
      </c>
      <c r="N3499" s="19">
        <f>IF(I3499="","",IFERROR(INDEX(ctaMon,MATCH(E3499,ctaNom,0))&amp;"","DOP"))</f>
        <v/>
      </c>
      <c r="O3499" s="20">
        <f>IF(I3499="","",C3499*IF(N3499="USD",TasaUSD,1))</f>
        <v/>
      </c>
      <c r="P3499" s="20">
        <f>IF(I3499="","",IF(I3499="Gasto",O3499,0))</f>
        <v/>
      </c>
      <c r="Q3499" s="20">
        <f>IF(I3499="","",IF(I3499="Ingreso",O3499,0))</f>
        <v/>
      </c>
      <c r="R3499" s="20">
        <f>IF(I3499="","",IF(I3499="Trading",O3499,0))</f>
        <v/>
      </c>
      <c r="S3499" s="19">
        <f>IF(I3499="","",IF(AND(I3499="Gasto",K3499="Variable",J3499&lt;&gt;"Trading",O3499&gt;0,O3499&lt;=Umbral),1,0))</f>
        <v/>
      </c>
      <c r="T3499" s="20">
        <f>IF(OR(I3499="",E3499=""),"",IF(OR(I3499="Gasto",I3499="Transferencia",I3499="Pago tarjeta"),-1,1)*C3499)</f>
        <v/>
      </c>
      <c r="U3499" s="20">
        <f>IF(OR(G3499="",AND(I3499&lt;&gt;"Transferencia",I3499&lt;&gt;"Pago tarjeta")),"",IF(IFERROR(INDEX(ctaMon,MATCH(G3499,ctaNom,0))&amp;"","DOP")=N3499,C3499,IF(N3499="USD",C3499*TasaUSD,C3499/TasaUSD)))</f>
        <v/>
      </c>
      <c r="V3499" s="20">
        <f>IF(I3499="","",IF(IFERROR(INDEX(ctaLiq,MATCH(E3499,ctaNom,0))="Sí",FALSE),IF(OR(I3499="Gasto",I3499="Transferencia",I3499="Pago tarjeta"),-1,1)*O3499,0)+IF(AND(U3499&lt;&gt;"",IFERROR(INDEX(ctaLiq,MATCH(G3499,ctaNom,0))="Sí",FALSE)),O3499,0))</f>
        <v/>
      </c>
      <c r="W3499" s="19">
        <f>IF(OR(F3499="",I3499=""),"",IF(COUNTIFS(F$6:F3499,F3499,I$6:I3499,"?*")=1,MAX(W$5:W3498)+1,""))</f>
        <v/>
      </c>
    </row>
    <row r="3500">
      <c r="B3500" s="15" t="n"/>
      <c r="C3500" s="16" t="n"/>
      <c r="D3500" s="17" t="n"/>
      <c r="E3500" s="17" t="n"/>
      <c r="F3500" s="17" t="n"/>
      <c r="G3500" s="17" t="n"/>
      <c r="H3500" s="18">
        <f>IF(AND(B3500="",C3500="",D3500="",E3500=""),"",IF(B3500="","⚠ Falta fecha",IF(C3500="","⚠ Falta monto",IF(D3500="","⚠ Falta categoría",IF(ISNA(MATCH(D3500,catNom,0)),"⚠ Categoría no existe",IF(E3500="","⚠ Falta cuenta",IF(ISNA(MATCH(E3500,ctaNom,0)),"⚠ Cuenta no existe",IF(AND(OR(I3500="Transferencia",I3500="Pago tarjeta"),G3500=""),"⚠ Indica la cuenta «Hacia»",IF(AND(G3500&lt;&gt;"",G3500=E3500),"⚠ «Hacia» igual a la cuenta",IF(AND(G3500&lt;&gt;"",ISNA(MATCH(G3500,ctaNom,0))),"⚠ «Hacia» no existe",IF(AND(I3500="Pago tarjeta",IFERROR(INDEX(ctaTipo,MATCH(G3500,ctaNom,0)),"")&lt;&gt;"Tarjeta de crédito"),"⚠ «Hacia» debe ser la tarjeta",IF(AND(I3500="Trading",IFERROR(INDEX(ctaTipo,MATCH(E3500,ctaNom,0)),"")&lt;&gt;"Cuenta de trading"),"⚠ Usa la cuenta de trading","✓"))))))))))))</f>
        <v/>
      </c>
      <c r="I3500" s="19">
        <f>IF(OR(B3500="",C3500="",D3500=""),"",IFERROR(INDEX(catTipo,MATCH(D3500,catNom,0))&amp;"",""))</f>
        <v/>
      </c>
      <c r="J3500" s="19">
        <f>IF(I3500="","",IFERROR(INDEX(catGrupo,MATCH(D3500,catNom,0))&amp;"",""))</f>
        <v/>
      </c>
      <c r="K3500" s="19">
        <f>IF(I3500="Gasto",IF(IFERROR(INDEX(catClas,MATCH(D3500,catNom,0))&amp;"","")="","Variable",IFERROR(INDEX(catClas,MATCH(D3500,catNom,0))&amp;"","")),"")</f>
        <v/>
      </c>
      <c r="L3500" s="19">
        <f>IF(I3500="","",IFERROR(INDEX(catAlim,MATCH(D3500,catNom,0))&amp;"",""))</f>
        <v/>
      </c>
      <c r="M3500" s="19">
        <f>IF(I3500="","",IFERROR(INDEX(catComida,MATCH(D3500,catNom,0))&amp;"",""))</f>
        <v/>
      </c>
      <c r="N3500" s="19">
        <f>IF(I3500="","",IFERROR(INDEX(ctaMon,MATCH(E3500,ctaNom,0))&amp;"","DOP"))</f>
        <v/>
      </c>
      <c r="O3500" s="20">
        <f>IF(I3500="","",C3500*IF(N3500="USD",TasaUSD,1))</f>
        <v/>
      </c>
      <c r="P3500" s="20">
        <f>IF(I3500="","",IF(I3500="Gasto",O3500,0))</f>
        <v/>
      </c>
      <c r="Q3500" s="20">
        <f>IF(I3500="","",IF(I3500="Ingreso",O3500,0))</f>
        <v/>
      </c>
      <c r="R3500" s="20">
        <f>IF(I3500="","",IF(I3500="Trading",O3500,0))</f>
        <v/>
      </c>
      <c r="S3500" s="19">
        <f>IF(I3500="","",IF(AND(I3500="Gasto",K3500="Variable",J3500&lt;&gt;"Trading",O3500&gt;0,O3500&lt;=Umbral),1,0))</f>
        <v/>
      </c>
      <c r="T3500" s="20">
        <f>IF(OR(I3500="",E3500=""),"",IF(OR(I3500="Gasto",I3500="Transferencia",I3500="Pago tarjeta"),-1,1)*C3500)</f>
        <v/>
      </c>
      <c r="U3500" s="20">
        <f>IF(OR(G3500="",AND(I3500&lt;&gt;"Transferencia",I3500&lt;&gt;"Pago tarjeta")),"",IF(IFERROR(INDEX(ctaMon,MATCH(G3500,ctaNom,0))&amp;"","DOP")=N3500,C3500,IF(N3500="USD",C3500*TasaUSD,C3500/TasaUSD)))</f>
        <v/>
      </c>
      <c r="V3500" s="20">
        <f>IF(I3500="","",IF(IFERROR(INDEX(ctaLiq,MATCH(E3500,ctaNom,0))="Sí",FALSE),IF(OR(I3500="Gasto",I3500="Transferencia",I3500="Pago tarjeta"),-1,1)*O3500,0)+IF(AND(U3500&lt;&gt;"",IFERROR(INDEX(ctaLiq,MATCH(G3500,ctaNom,0))="Sí",FALSE)),O3500,0))</f>
        <v/>
      </c>
      <c r="W3500" s="19">
        <f>IF(OR(F3500="",I3500=""),"",IF(COUNTIFS(F$6:F3500,F3500,I$6:I3500,"?*")=1,MAX(W$5:W3499)+1,""))</f>
        <v/>
      </c>
    </row>
    <row r="3501">
      <c r="B3501" s="15" t="n"/>
      <c r="C3501" s="16" t="n"/>
      <c r="D3501" s="17" t="n"/>
      <c r="E3501" s="17" t="n"/>
      <c r="F3501" s="17" t="n"/>
      <c r="G3501" s="17" t="n"/>
      <c r="H3501" s="18">
        <f>IF(AND(B3501="",C3501="",D3501="",E3501=""),"",IF(B3501="","⚠ Falta fecha",IF(C3501="","⚠ Falta monto",IF(D3501="","⚠ Falta categoría",IF(ISNA(MATCH(D3501,catNom,0)),"⚠ Categoría no existe",IF(E3501="","⚠ Falta cuenta",IF(ISNA(MATCH(E3501,ctaNom,0)),"⚠ Cuenta no existe",IF(AND(OR(I3501="Transferencia",I3501="Pago tarjeta"),G3501=""),"⚠ Indica la cuenta «Hacia»",IF(AND(G3501&lt;&gt;"",G3501=E3501),"⚠ «Hacia» igual a la cuenta",IF(AND(G3501&lt;&gt;"",ISNA(MATCH(G3501,ctaNom,0))),"⚠ «Hacia» no existe",IF(AND(I3501="Pago tarjeta",IFERROR(INDEX(ctaTipo,MATCH(G3501,ctaNom,0)),"")&lt;&gt;"Tarjeta de crédito"),"⚠ «Hacia» debe ser la tarjeta",IF(AND(I3501="Trading",IFERROR(INDEX(ctaTipo,MATCH(E3501,ctaNom,0)),"")&lt;&gt;"Cuenta de trading"),"⚠ Usa la cuenta de trading","✓"))))))))))))</f>
        <v/>
      </c>
      <c r="I3501" s="19">
        <f>IF(OR(B3501="",C3501="",D3501=""),"",IFERROR(INDEX(catTipo,MATCH(D3501,catNom,0))&amp;"",""))</f>
        <v/>
      </c>
      <c r="J3501" s="19">
        <f>IF(I3501="","",IFERROR(INDEX(catGrupo,MATCH(D3501,catNom,0))&amp;"",""))</f>
        <v/>
      </c>
      <c r="K3501" s="19">
        <f>IF(I3501="Gasto",IF(IFERROR(INDEX(catClas,MATCH(D3501,catNom,0))&amp;"","")="","Variable",IFERROR(INDEX(catClas,MATCH(D3501,catNom,0))&amp;"","")),"")</f>
        <v/>
      </c>
      <c r="L3501" s="19">
        <f>IF(I3501="","",IFERROR(INDEX(catAlim,MATCH(D3501,catNom,0))&amp;"",""))</f>
        <v/>
      </c>
      <c r="M3501" s="19">
        <f>IF(I3501="","",IFERROR(INDEX(catComida,MATCH(D3501,catNom,0))&amp;"",""))</f>
        <v/>
      </c>
      <c r="N3501" s="19">
        <f>IF(I3501="","",IFERROR(INDEX(ctaMon,MATCH(E3501,ctaNom,0))&amp;"","DOP"))</f>
        <v/>
      </c>
      <c r="O3501" s="20">
        <f>IF(I3501="","",C3501*IF(N3501="USD",TasaUSD,1))</f>
        <v/>
      </c>
      <c r="P3501" s="20">
        <f>IF(I3501="","",IF(I3501="Gasto",O3501,0))</f>
        <v/>
      </c>
      <c r="Q3501" s="20">
        <f>IF(I3501="","",IF(I3501="Ingreso",O3501,0))</f>
        <v/>
      </c>
      <c r="R3501" s="20">
        <f>IF(I3501="","",IF(I3501="Trading",O3501,0))</f>
        <v/>
      </c>
      <c r="S3501" s="19">
        <f>IF(I3501="","",IF(AND(I3501="Gasto",K3501="Variable",J3501&lt;&gt;"Trading",O3501&gt;0,O3501&lt;=Umbral),1,0))</f>
        <v/>
      </c>
      <c r="T3501" s="20">
        <f>IF(OR(I3501="",E3501=""),"",IF(OR(I3501="Gasto",I3501="Transferencia",I3501="Pago tarjeta"),-1,1)*C3501)</f>
        <v/>
      </c>
      <c r="U3501" s="20">
        <f>IF(OR(G3501="",AND(I3501&lt;&gt;"Transferencia",I3501&lt;&gt;"Pago tarjeta")),"",IF(IFERROR(INDEX(ctaMon,MATCH(G3501,ctaNom,0))&amp;"","DOP")=N3501,C3501,IF(N3501="USD",C3501*TasaUSD,C3501/TasaUSD)))</f>
        <v/>
      </c>
      <c r="V3501" s="20">
        <f>IF(I3501="","",IF(IFERROR(INDEX(ctaLiq,MATCH(E3501,ctaNom,0))="Sí",FALSE),IF(OR(I3501="Gasto",I3501="Transferencia",I3501="Pago tarjeta"),-1,1)*O3501,0)+IF(AND(U3501&lt;&gt;"",IFERROR(INDEX(ctaLiq,MATCH(G3501,ctaNom,0))="Sí",FALSE)),O3501,0))</f>
        <v/>
      </c>
      <c r="W3501" s="19">
        <f>IF(OR(F3501="",I3501=""),"",IF(COUNTIFS(F$6:F3501,F3501,I$6:I3501,"?*")=1,MAX(W$5:W3500)+1,""))</f>
        <v/>
      </c>
    </row>
    <row r="3502">
      <c r="B3502" s="15" t="n"/>
      <c r="C3502" s="16" t="n"/>
      <c r="D3502" s="17" t="n"/>
      <c r="E3502" s="17" t="n"/>
      <c r="F3502" s="17" t="n"/>
      <c r="G3502" s="17" t="n"/>
      <c r="H3502" s="18">
        <f>IF(AND(B3502="",C3502="",D3502="",E3502=""),"",IF(B3502="","⚠ Falta fecha",IF(C3502="","⚠ Falta monto",IF(D3502="","⚠ Falta categoría",IF(ISNA(MATCH(D3502,catNom,0)),"⚠ Categoría no existe",IF(E3502="","⚠ Falta cuenta",IF(ISNA(MATCH(E3502,ctaNom,0)),"⚠ Cuenta no existe",IF(AND(OR(I3502="Transferencia",I3502="Pago tarjeta"),G3502=""),"⚠ Indica la cuenta «Hacia»",IF(AND(G3502&lt;&gt;"",G3502=E3502),"⚠ «Hacia» igual a la cuenta",IF(AND(G3502&lt;&gt;"",ISNA(MATCH(G3502,ctaNom,0))),"⚠ «Hacia» no existe",IF(AND(I3502="Pago tarjeta",IFERROR(INDEX(ctaTipo,MATCH(G3502,ctaNom,0)),"")&lt;&gt;"Tarjeta de crédito"),"⚠ «Hacia» debe ser la tarjeta",IF(AND(I3502="Trading",IFERROR(INDEX(ctaTipo,MATCH(E3502,ctaNom,0)),"")&lt;&gt;"Cuenta de trading"),"⚠ Usa la cuenta de trading","✓"))))))))))))</f>
        <v/>
      </c>
      <c r="I3502" s="19">
        <f>IF(OR(B3502="",C3502="",D3502=""),"",IFERROR(INDEX(catTipo,MATCH(D3502,catNom,0))&amp;"",""))</f>
        <v/>
      </c>
      <c r="J3502" s="19">
        <f>IF(I3502="","",IFERROR(INDEX(catGrupo,MATCH(D3502,catNom,0))&amp;"",""))</f>
        <v/>
      </c>
      <c r="K3502" s="19">
        <f>IF(I3502="Gasto",IF(IFERROR(INDEX(catClas,MATCH(D3502,catNom,0))&amp;"","")="","Variable",IFERROR(INDEX(catClas,MATCH(D3502,catNom,0))&amp;"","")),"")</f>
        <v/>
      </c>
      <c r="L3502" s="19">
        <f>IF(I3502="","",IFERROR(INDEX(catAlim,MATCH(D3502,catNom,0))&amp;"",""))</f>
        <v/>
      </c>
      <c r="M3502" s="19">
        <f>IF(I3502="","",IFERROR(INDEX(catComida,MATCH(D3502,catNom,0))&amp;"",""))</f>
        <v/>
      </c>
      <c r="N3502" s="19">
        <f>IF(I3502="","",IFERROR(INDEX(ctaMon,MATCH(E3502,ctaNom,0))&amp;"","DOP"))</f>
        <v/>
      </c>
      <c r="O3502" s="20">
        <f>IF(I3502="","",C3502*IF(N3502="USD",TasaUSD,1))</f>
        <v/>
      </c>
      <c r="P3502" s="20">
        <f>IF(I3502="","",IF(I3502="Gasto",O3502,0))</f>
        <v/>
      </c>
      <c r="Q3502" s="20">
        <f>IF(I3502="","",IF(I3502="Ingreso",O3502,0))</f>
        <v/>
      </c>
      <c r="R3502" s="20">
        <f>IF(I3502="","",IF(I3502="Trading",O3502,0))</f>
        <v/>
      </c>
      <c r="S3502" s="19">
        <f>IF(I3502="","",IF(AND(I3502="Gasto",K3502="Variable",J3502&lt;&gt;"Trading",O3502&gt;0,O3502&lt;=Umbral),1,0))</f>
        <v/>
      </c>
      <c r="T3502" s="20">
        <f>IF(OR(I3502="",E3502=""),"",IF(OR(I3502="Gasto",I3502="Transferencia",I3502="Pago tarjeta"),-1,1)*C3502)</f>
        <v/>
      </c>
      <c r="U3502" s="20">
        <f>IF(OR(G3502="",AND(I3502&lt;&gt;"Transferencia",I3502&lt;&gt;"Pago tarjeta")),"",IF(IFERROR(INDEX(ctaMon,MATCH(G3502,ctaNom,0))&amp;"","DOP")=N3502,C3502,IF(N3502="USD",C3502*TasaUSD,C3502/TasaUSD)))</f>
        <v/>
      </c>
      <c r="V3502" s="20">
        <f>IF(I3502="","",IF(IFERROR(INDEX(ctaLiq,MATCH(E3502,ctaNom,0))="Sí",FALSE),IF(OR(I3502="Gasto",I3502="Transferencia",I3502="Pago tarjeta"),-1,1)*O3502,0)+IF(AND(U3502&lt;&gt;"",IFERROR(INDEX(ctaLiq,MATCH(G3502,ctaNom,0))="Sí",FALSE)),O3502,0))</f>
        <v/>
      </c>
      <c r="W3502" s="19">
        <f>IF(OR(F3502="",I3502=""),"",IF(COUNTIFS(F$6:F3502,F3502,I$6:I3502,"?*")=1,MAX(W$5:W3501)+1,""))</f>
        <v/>
      </c>
    </row>
    <row r="3503">
      <c r="B3503" s="15" t="n"/>
      <c r="C3503" s="16" t="n"/>
      <c r="D3503" s="17" t="n"/>
      <c r="E3503" s="17" t="n"/>
      <c r="F3503" s="17" t="n"/>
      <c r="G3503" s="17" t="n"/>
      <c r="H3503" s="18">
        <f>IF(AND(B3503="",C3503="",D3503="",E3503=""),"",IF(B3503="","⚠ Falta fecha",IF(C3503="","⚠ Falta monto",IF(D3503="","⚠ Falta categoría",IF(ISNA(MATCH(D3503,catNom,0)),"⚠ Categoría no existe",IF(E3503="","⚠ Falta cuenta",IF(ISNA(MATCH(E3503,ctaNom,0)),"⚠ Cuenta no existe",IF(AND(OR(I3503="Transferencia",I3503="Pago tarjeta"),G3503=""),"⚠ Indica la cuenta «Hacia»",IF(AND(G3503&lt;&gt;"",G3503=E3503),"⚠ «Hacia» igual a la cuenta",IF(AND(G3503&lt;&gt;"",ISNA(MATCH(G3503,ctaNom,0))),"⚠ «Hacia» no existe",IF(AND(I3503="Pago tarjeta",IFERROR(INDEX(ctaTipo,MATCH(G3503,ctaNom,0)),"")&lt;&gt;"Tarjeta de crédito"),"⚠ «Hacia» debe ser la tarjeta",IF(AND(I3503="Trading",IFERROR(INDEX(ctaTipo,MATCH(E3503,ctaNom,0)),"")&lt;&gt;"Cuenta de trading"),"⚠ Usa la cuenta de trading","✓"))))))))))))</f>
        <v/>
      </c>
      <c r="I3503" s="19">
        <f>IF(OR(B3503="",C3503="",D3503=""),"",IFERROR(INDEX(catTipo,MATCH(D3503,catNom,0))&amp;"",""))</f>
        <v/>
      </c>
      <c r="J3503" s="19">
        <f>IF(I3503="","",IFERROR(INDEX(catGrupo,MATCH(D3503,catNom,0))&amp;"",""))</f>
        <v/>
      </c>
      <c r="K3503" s="19">
        <f>IF(I3503="Gasto",IF(IFERROR(INDEX(catClas,MATCH(D3503,catNom,0))&amp;"","")="","Variable",IFERROR(INDEX(catClas,MATCH(D3503,catNom,0))&amp;"","")),"")</f>
        <v/>
      </c>
      <c r="L3503" s="19">
        <f>IF(I3503="","",IFERROR(INDEX(catAlim,MATCH(D3503,catNom,0))&amp;"",""))</f>
        <v/>
      </c>
      <c r="M3503" s="19">
        <f>IF(I3503="","",IFERROR(INDEX(catComida,MATCH(D3503,catNom,0))&amp;"",""))</f>
        <v/>
      </c>
      <c r="N3503" s="19">
        <f>IF(I3503="","",IFERROR(INDEX(ctaMon,MATCH(E3503,ctaNom,0))&amp;"","DOP"))</f>
        <v/>
      </c>
      <c r="O3503" s="20">
        <f>IF(I3503="","",C3503*IF(N3503="USD",TasaUSD,1))</f>
        <v/>
      </c>
      <c r="P3503" s="20">
        <f>IF(I3503="","",IF(I3503="Gasto",O3503,0))</f>
        <v/>
      </c>
      <c r="Q3503" s="20">
        <f>IF(I3503="","",IF(I3503="Ingreso",O3503,0))</f>
        <v/>
      </c>
      <c r="R3503" s="20">
        <f>IF(I3503="","",IF(I3503="Trading",O3503,0))</f>
        <v/>
      </c>
      <c r="S3503" s="19">
        <f>IF(I3503="","",IF(AND(I3503="Gasto",K3503="Variable",J3503&lt;&gt;"Trading",O3503&gt;0,O3503&lt;=Umbral),1,0))</f>
        <v/>
      </c>
      <c r="T3503" s="20">
        <f>IF(OR(I3503="",E3503=""),"",IF(OR(I3503="Gasto",I3503="Transferencia",I3503="Pago tarjeta"),-1,1)*C3503)</f>
        <v/>
      </c>
      <c r="U3503" s="20">
        <f>IF(OR(G3503="",AND(I3503&lt;&gt;"Transferencia",I3503&lt;&gt;"Pago tarjeta")),"",IF(IFERROR(INDEX(ctaMon,MATCH(G3503,ctaNom,0))&amp;"","DOP")=N3503,C3503,IF(N3503="USD",C3503*TasaUSD,C3503/TasaUSD)))</f>
        <v/>
      </c>
      <c r="V3503" s="20">
        <f>IF(I3503="","",IF(IFERROR(INDEX(ctaLiq,MATCH(E3503,ctaNom,0))="Sí",FALSE),IF(OR(I3503="Gasto",I3503="Transferencia",I3503="Pago tarjeta"),-1,1)*O3503,0)+IF(AND(U3503&lt;&gt;"",IFERROR(INDEX(ctaLiq,MATCH(G3503,ctaNom,0))="Sí",FALSE)),O3503,0))</f>
        <v/>
      </c>
      <c r="W3503" s="19">
        <f>IF(OR(F3503="",I3503=""),"",IF(COUNTIFS(F$6:F3503,F3503,I$6:I3503,"?*")=1,MAX(W$5:W3502)+1,""))</f>
        <v/>
      </c>
    </row>
    <row r="3504">
      <c r="B3504" s="15" t="n"/>
      <c r="C3504" s="16" t="n"/>
      <c r="D3504" s="17" t="n"/>
      <c r="E3504" s="17" t="n"/>
      <c r="F3504" s="17" t="n"/>
      <c r="G3504" s="17" t="n"/>
      <c r="H3504" s="18">
        <f>IF(AND(B3504="",C3504="",D3504="",E3504=""),"",IF(B3504="","⚠ Falta fecha",IF(C3504="","⚠ Falta monto",IF(D3504="","⚠ Falta categoría",IF(ISNA(MATCH(D3504,catNom,0)),"⚠ Categoría no existe",IF(E3504="","⚠ Falta cuenta",IF(ISNA(MATCH(E3504,ctaNom,0)),"⚠ Cuenta no existe",IF(AND(OR(I3504="Transferencia",I3504="Pago tarjeta"),G3504=""),"⚠ Indica la cuenta «Hacia»",IF(AND(G3504&lt;&gt;"",G3504=E3504),"⚠ «Hacia» igual a la cuenta",IF(AND(G3504&lt;&gt;"",ISNA(MATCH(G3504,ctaNom,0))),"⚠ «Hacia» no existe",IF(AND(I3504="Pago tarjeta",IFERROR(INDEX(ctaTipo,MATCH(G3504,ctaNom,0)),"")&lt;&gt;"Tarjeta de crédito"),"⚠ «Hacia» debe ser la tarjeta",IF(AND(I3504="Trading",IFERROR(INDEX(ctaTipo,MATCH(E3504,ctaNom,0)),"")&lt;&gt;"Cuenta de trading"),"⚠ Usa la cuenta de trading","✓"))))))))))))</f>
        <v/>
      </c>
      <c r="I3504" s="19">
        <f>IF(OR(B3504="",C3504="",D3504=""),"",IFERROR(INDEX(catTipo,MATCH(D3504,catNom,0))&amp;"",""))</f>
        <v/>
      </c>
      <c r="J3504" s="19">
        <f>IF(I3504="","",IFERROR(INDEX(catGrupo,MATCH(D3504,catNom,0))&amp;"",""))</f>
        <v/>
      </c>
      <c r="K3504" s="19">
        <f>IF(I3504="Gasto",IF(IFERROR(INDEX(catClas,MATCH(D3504,catNom,0))&amp;"","")="","Variable",IFERROR(INDEX(catClas,MATCH(D3504,catNom,0))&amp;"","")),"")</f>
        <v/>
      </c>
      <c r="L3504" s="19">
        <f>IF(I3504="","",IFERROR(INDEX(catAlim,MATCH(D3504,catNom,0))&amp;"",""))</f>
        <v/>
      </c>
      <c r="M3504" s="19">
        <f>IF(I3504="","",IFERROR(INDEX(catComida,MATCH(D3504,catNom,0))&amp;"",""))</f>
        <v/>
      </c>
      <c r="N3504" s="19">
        <f>IF(I3504="","",IFERROR(INDEX(ctaMon,MATCH(E3504,ctaNom,0))&amp;"","DOP"))</f>
        <v/>
      </c>
      <c r="O3504" s="20">
        <f>IF(I3504="","",C3504*IF(N3504="USD",TasaUSD,1))</f>
        <v/>
      </c>
      <c r="P3504" s="20">
        <f>IF(I3504="","",IF(I3504="Gasto",O3504,0))</f>
        <v/>
      </c>
      <c r="Q3504" s="20">
        <f>IF(I3504="","",IF(I3504="Ingreso",O3504,0))</f>
        <v/>
      </c>
      <c r="R3504" s="20">
        <f>IF(I3504="","",IF(I3504="Trading",O3504,0))</f>
        <v/>
      </c>
      <c r="S3504" s="19">
        <f>IF(I3504="","",IF(AND(I3504="Gasto",K3504="Variable",J3504&lt;&gt;"Trading",O3504&gt;0,O3504&lt;=Umbral),1,0))</f>
        <v/>
      </c>
      <c r="T3504" s="20">
        <f>IF(OR(I3504="",E3504=""),"",IF(OR(I3504="Gasto",I3504="Transferencia",I3504="Pago tarjeta"),-1,1)*C3504)</f>
        <v/>
      </c>
      <c r="U3504" s="20">
        <f>IF(OR(G3504="",AND(I3504&lt;&gt;"Transferencia",I3504&lt;&gt;"Pago tarjeta")),"",IF(IFERROR(INDEX(ctaMon,MATCH(G3504,ctaNom,0))&amp;"","DOP")=N3504,C3504,IF(N3504="USD",C3504*TasaUSD,C3504/TasaUSD)))</f>
        <v/>
      </c>
      <c r="V3504" s="20">
        <f>IF(I3504="","",IF(IFERROR(INDEX(ctaLiq,MATCH(E3504,ctaNom,0))="Sí",FALSE),IF(OR(I3504="Gasto",I3504="Transferencia",I3504="Pago tarjeta"),-1,1)*O3504,0)+IF(AND(U3504&lt;&gt;"",IFERROR(INDEX(ctaLiq,MATCH(G3504,ctaNom,0))="Sí",FALSE)),O3504,0))</f>
        <v/>
      </c>
      <c r="W3504" s="19">
        <f>IF(OR(F3504="",I3504=""),"",IF(COUNTIFS(F$6:F3504,F3504,I$6:I3504,"?*")=1,MAX(W$5:W3503)+1,""))</f>
        <v/>
      </c>
    </row>
    <row r="3505">
      <c r="B3505" s="15" t="n"/>
      <c r="C3505" s="16" t="n"/>
      <c r="D3505" s="17" t="n"/>
      <c r="E3505" s="17" t="n"/>
      <c r="F3505" s="17" t="n"/>
      <c r="G3505" s="17" t="n"/>
      <c r="H3505" s="18">
        <f>IF(AND(B3505="",C3505="",D3505="",E3505=""),"",IF(B3505="","⚠ Falta fecha",IF(C3505="","⚠ Falta monto",IF(D3505="","⚠ Falta categoría",IF(ISNA(MATCH(D3505,catNom,0)),"⚠ Categoría no existe",IF(E3505="","⚠ Falta cuenta",IF(ISNA(MATCH(E3505,ctaNom,0)),"⚠ Cuenta no existe",IF(AND(OR(I3505="Transferencia",I3505="Pago tarjeta"),G3505=""),"⚠ Indica la cuenta «Hacia»",IF(AND(G3505&lt;&gt;"",G3505=E3505),"⚠ «Hacia» igual a la cuenta",IF(AND(G3505&lt;&gt;"",ISNA(MATCH(G3505,ctaNom,0))),"⚠ «Hacia» no existe",IF(AND(I3505="Pago tarjeta",IFERROR(INDEX(ctaTipo,MATCH(G3505,ctaNom,0)),"")&lt;&gt;"Tarjeta de crédito"),"⚠ «Hacia» debe ser la tarjeta",IF(AND(I3505="Trading",IFERROR(INDEX(ctaTipo,MATCH(E3505,ctaNom,0)),"")&lt;&gt;"Cuenta de trading"),"⚠ Usa la cuenta de trading","✓"))))))))))))</f>
        <v/>
      </c>
      <c r="I3505" s="19">
        <f>IF(OR(B3505="",C3505="",D3505=""),"",IFERROR(INDEX(catTipo,MATCH(D3505,catNom,0))&amp;"",""))</f>
        <v/>
      </c>
      <c r="J3505" s="19">
        <f>IF(I3505="","",IFERROR(INDEX(catGrupo,MATCH(D3505,catNom,0))&amp;"",""))</f>
        <v/>
      </c>
      <c r="K3505" s="19">
        <f>IF(I3505="Gasto",IF(IFERROR(INDEX(catClas,MATCH(D3505,catNom,0))&amp;"","")="","Variable",IFERROR(INDEX(catClas,MATCH(D3505,catNom,0))&amp;"","")),"")</f>
        <v/>
      </c>
      <c r="L3505" s="19">
        <f>IF(I3505="","",IFERROR(INDEX(catAlim,MATCH(D3505,catNom,0))&amp;"",""))</f>
        <v/>
      </c>
      <c r="M3505" s="19">
        <f>IF(I3505="","",IFERROR(INDEX(catComida,MATCH(D3505,catNom,0))&amp;"",""))</f>
        <v/>
      </c>
      <c r="N3505" s="19">
        <f>IF(I3505="","",IFERROR(INDEX(ctaMon,MATCH(E3505,ctaNom,0))&amp;"","DOP"))</f>
        <v/>
      </c>
      <c r="O3505" s="20">
        <f>IF(I3505="","",C3505*IF(N3505="USD",TasaUSD,1))</f>
        <v/>
      </c>
      <c r="P3505" s="20">
        <f>IF(I3505="","",IF(I3505="Gasto",O3505,0))</f>
        <v/>
      </c>
      <c r="Q3505" s="20">
        <f>IF(I3505="","",IF(I3505="Ingreso",O3505,0))</f>
        <v/>
      </c>
      <c r="R3505" s="20">
        <f>IF(I3505="","",IF(I3505="Trading",O3505,0))</f>
        <v/>
      </c>
      <c r="S3505" s="19">
        <f>IF(I3505="","",IF(AND(I3505="Gasto",K3505="Variable",J3505&lt;&gt;"Trading",O3505&gt;0,O3505&lt;=Umbral),1,0))</f>
        <v/>
      </c>
      <c r="T3505" s="20">
        <f>IF(OR(I3505="",E3505=""),"",IF(OR(I3505="Gasto",I3505="Transferencia",I3505="Pago tarjeta"),-1,1)*C3505)</f>
        <v/>
      </c>
      <c r="U3505" s="20">
        <f>IF(OR(G3505="",AND(I3505&lt;&gt;"Transferencia",I3505&lt;&gt;"Pago tarjeta")),"",IF(IFERROR(INDEX(ctaMon,MATCH(G3505,ctaNom,0))&amp;"","DOP")=N3505,C3505,IF(N3505="USD",C3505*TasaUSD,C3505/TasaUSD)))</f>
        <v/>
      </c>
      <c r="V3505" s="20">
        <f>IF(I3505="","",IF(IFERROR(INDEX(ctaLiq,MATCH(E3505,ctaNom,0))="Sí",FALSE),IF(OR(I3505="Gasto",I3505="Transferencia",I3505="Pago tarjeta"),-1,1)*O3505,0)+IF(AND(U3505&lt;&gt;"",IFERROR(INDEX(ctaLiq,MATCH(G3505,ctaNom,0))="Sí",FALSE)),O3505,0))</f>
        <v/>
      </c>
      <c r="W3505" s="19">
        <f>IF(OR(F3505="",I3505=""),"",IF(COUNTIFS(F$6:F3505,F3505,I$6:I3505,"?*")=1,MAX(W$5:W3504)+1,""))</f>
        <v/>
      </c>
    </row>
    <row r="3506">
      <c r="B3506" s="15" t="n"/>
      <c r="C3506" s="16" t="n"/>
      <c r="D3506" s="17" t="n"/>
      <c r="E3506" s="17" t="n"/>
      <c r="F3506" s="17" t="n"/>
      <c r="G3506" s="17" t="n"/>
      <c r="H3506" s="18">
        <f>IF(AND(B3506="",C3506="",D3506="",E3506=""),"",IF(B3506="","⚠ Falta fecha",IF(C3506="","⚠ Falta monto",IF(D3506="","⚠ Falta categoría",IF(ISNA(MATCH(D3506,catNom,0)),"⚠ Categoría no existe",IF(E3506="","⚠ Falta cuenta",IF(ISNA(MATCH(E3506,ctaNom,0)),"⚠ Cuenta no existe",IF(AND(OR(I3506="Transferencia",I3506="Pago tarjeta"),G3506=""),"⚠ Indica la cuenta «Hacia»",IF(AND(G3506&lt;&gt;"",G3506=E3506),"⚠ «Hacia» igual a la cuenta",IF(AND(G3506&lt;&gt;"",ISNA(MATCH(G3506,ctaNom,0))),"⚠ «Hacia» no existe",IF(AND(I3506="Pago tarjeta",IFERROR(INDEX(ctaTipo,MATCH(G3506,ctaNom,0)),"")&lt;&gt;"Tarjeta de crédito"),"⚠ «Hacia» debe ser la tarjeta",IF(AND(I3506="Trading",IFERROR(INDEX(ctaTipo,MATCH(E3506,ctaNom,0)),"")&lt;&gt;"Cuenta de trading"),"⚠ Usa la cuenta de trading","✓"))))))))))))</f>
        <v/>
      </c>
      <c r="I3506" s="19">
        <f>IF(OR(B3506="",C3506="",D3506=""),"",IFERROR(INDEX(catTipo,MATCH(D3506,catNom,0))&amp;"",""))</f>
        <v/>
      </c>
      <c r="J3506" s="19">
        <f>IF(I3506="","",IFERROR(INDEX(catGrupo,MATCH(D3506,catNom,0))&amp;"",""))</f>
        <v/>
      </c>
      <c r="K3506" s="19">
        <f>IF(I3506="Gasto",IF(IFERROR(INDEX(catClas,MATCH(D3506,catNom,0))&amp;"","")="","Variable",IFERROR(INDEX(catClas,MATCH(D3506,catNom,0))&amp;"","")),"")</f>
        <v/>
      </c>
      <c r="L3506" s="19">
        <f>IF(I3506="","",IFERROR(INDEX(catAlim,MATCH(D3506,catNom,0))&amp;"",""))</f>
        <v/>
      </c>
      <c r="M3506" s="19">
        <f>IF(I3506="","",IFERROR(INDEX(catComida,MATCH(D3506,catNom,0))&amp;"",""))</f>
        <v/>
      </c>
      <c r="N3506" s="19">
        <f>IF(I3506="","",IFERROR(INDEX(ctaMon,MATCH(E3506,ctaNom,0))&amp;"","DOP"))</f>
        <v/>
      </c>
      <c r="O3506" s="20">
        <f>IF(I3506="","",C3506*IF(N3506="USD",TasaUSD,1))</f>
        <v/>
      </c>
      <c r="P3506" s="20">
        <f>IF(I3506="","",IF(I3506="Gasto",O3506,0))</f>
        <v/>
      </c>
      <c r="Q3506" s="20">
        <f>IF(I3506="","",IF(I3506="Ingreso",O3506,0))</f>
        <v/>
      </c>
      <c r="R3506" s="20">
        <f>IF(I3506="","",IF(I3506="Trading",O3506,0))</f>
        <v/>
      </c>
      <c r="S3506" s="19">
        <f>IF(I3506="","",IF(AND(I3506="Gasto",K3506="Variable",J3506&lt;&gt;"Trading",O3506&gt;0,O3506&lt;=Umbral),1,0))</f>
        <v/>
      </c>
      <c r="T3506" s="20">
        <f>IF(OR(I3506="",E3506=""),"",IF(OR(I3506="Gasto",I3506="Transferencia",I3506="Pago tarjeta"),-1,1)*C3506)</f>
        <v/>
      </c>
      <c r="U3506" s="20">
        <f>IF(OR(G3506="",AND(I3506&lt;&gt;"Transferencia",I3506&lt;&gt;"Pago tarjeta")),"",IF(IFERROR(INDEX(ctaMon,MATCH(G3506,ctaNom,0))&amp;"","DOP")=N3506,C3506,IF(N3506="USD",C3506*TasaUSD,C3506/TasaUSD)))</f>
        <v/>
      </c>
      <c r="V3506" s="20">
        <f>IF(I3506="","",IF(IFERROR(INDEX(ctaLiq,MATCH(E3506,ctaNom,0))="Sí",FALSE),IF(OR(I3506="Gasto",I3506="Transferencia",I3506="Pago tarjeta"),-1,1)*O3506,0)+IF(AND(U3506&lt;&gt;"",IFERROR(INDEX(ctaLiq,MATCH(G3506,ctaNom,0))="Sí",FALSE)),O3506,0))</f>
        <v/>
      </c>
      <c r="W3506" s="19">
        <f>IF(OR(F3506="",I3506=""),"",IF(COUNTIFS(F$6:F3506,F3506,I$6:I3506,"?*")=1,MAX(W$5:W3505)+1,""))</f>
        <v/>
      </c>
    </row>
    <row r="3507">
      <c r="B3507" s="15" t="n"/>
      <c r="C3507" s="16" t="n"/>
      <c r="D3507" s="17" t="n"/>
      <c r="E3507" s="17" t="n"/>
      <c r="F3507" s="17" t="n"/>
      <c r="G3507" s="17" t="n"/>
      <c r="H3507" s="18">
        <f>IF(AND(B3507="",C3507="",D3507="",E3507=""),"",IF(B3507="","⚠ Falta fecha",IF(C3507="","⚠ Falta monto",IF(D3507="","⚠ Falta categoría",IF(ISNA(MATCH(D3507,catNom,0)),"⚠ Categoría no existe",IF(E3507="","⚠ Falta cuenta",IF(ISNA(MATCH(E3507,ctaNom,0)),"⚠ Cuenta no existe",IF(AND(OR(I3507="Transferencia",I3507="Pago tarjeta"),G3507=""),"⚠ Indica la cuenta «Hacia»",IF(AND(G3507&lt;&gt;"",G3507=E3507),"⚠ «Hacia» igual a la cuenta",IF(AND(G3507&lt;&gt;"",ISNA(MATCH(G3507,ctaNom,0))),"⚠ «Hacia» no existe",IF(AND(I3507="Pago tarjeta",IFERROR(INDEX(ctaTipo,MATCH(G3507,ctaNom,0)),"")&lt;&gt;"Tarjeta de crédito"),"⚠ «Hacia» debe ser la tarjeta",IF(AND(I3507="Trading",IFERROR(INDEX(ctaTipo,MATCH(E3507,ctaNom,0)),"")&lt;&gt;"Cuenta de trading"),"⚠ Usa la cuenta de trading","✓"))))))))))))</f>
        <v/>
      </c>
      <c r="I3507" s="19">
        <f>IF(OR(B3507="",C3507="",D3507=""),"",IFERROR(INDEX(catTipo,MATCH(D3507,catNom,0))&amp;"",""))</f>
        <v/>
      </c>
      <c r="J3507" s="19">
        <f>IF(I3507="","",IFERROR(INDEX(catGrupo,MATCH(D3507,catNom,0))&amp;"",""))</f>
        <v/>
      </c>
      <c r="K3507" s="19">
        <f>IF(I3507="Gasto",IF(IFERROR(INDEX(catClas,MATCH(D3507,catNom,0))&amp;"","")="","Variable",IFERROR(INDEX(catClas,MATCH(D3507,catNom,0))&amp;"","")),"")</f>
        <v/>
      </c>
      <c r="L3507" s="19">
        <f>IF(I3507="","",IFERROR(INDEX(catAlim,MATCH(D3507,catNom,0))&amp;"",""))</f>
        <v/>
      </c>
      <c r="M3507" s="19">
        <f>IF(I3507="","",IFERROR(INDEX(catComida,MATCH(D3507,catNom,0))&amp;"",""))</f>
        <v/>
      </c>
      <c r="N3507" s="19">
        <f>IF(I3507="","",IFERROR(INDEX(ctaMon,MATCH(E3507,ctaNom,0))&amp;"","DOP"))</f>
        <v/>
      </c>
      <c r="O3507" s="20">
        <f>IF(I3507="","",C3507*IF(N3507="USD",TasaUSD,1))</f>
        <v/>
      </c>
      <c r="P3507" s="20">
        <f>IF(I3507="","",IF(I3507="Gasto",O3507,0))</f>
        <v/>
      </c>
      <c r="Q3507" s="20">
        <f>IF(I3507="","",IF(I3507="Ingreso",O3507,0))</f>
        <v/>
      </c>
      <c r="R3507" s="20">
        <f>IF(I3507="","",IF(I3507="Trading",O3507,0))</f>
        <v/>
      </c>
      <c r="S3507" s="19">
        <f>IF(I3507="","",IF(AND(I3507="Gasto",K3507="Variable",J3507&lt;&gt;"Trading",O3507&gt;0,O3507&lt;=Umbral),1,0))</f>
        <v/>
      </c>
      <c r="T3507" s="20">
        <f>IF(OR(I3507="",E3507=""),"",IF(OR(I3507="Gasto",I3507="Transferencia",I3507="Pago tarjeta"),-1,1)*C3507)</f>
        <v/>
      </c>
      <c r="U3507" s="20">
        <f>IF(OR(G3507="",AND(I3507&lt;&gt;"Transferencia",I3507&lt;&gt;"Pago tarjeta")),"",IF(IFERROR(INDEX(ctaMon,MATCH(G3507,ctaNom,0))&amp;"","DOP")=N3507,C3507,IF(N3507="USD",C3507*TasaUSD,C3507/TasaUSD)))</f>
        <v/>
      </c>
      <c r="V3507" s="20">
        <f>IF(I3507="","",IF(IFERROR(INDEX(ctaLiq,MATCH(E3507,ctaNom,0))="Sí",FALSE),IF(OR(I3507="Gasto",I3507="Transferencia",I3507="Pago tarjeta"),-1,1)*O3507,0)+IF(AND(U3507&lt;&gt;"",IFERROR(INDEX(ctaLiq,MATCH(G3507,ctaNom,0))="Sí",FALSE)),O3507,0))</f>
        <v/>
      </c>
      <c r="W3507" s="19">
        <f>IF(OR(F3507="",I3507=""),"",IF(COUNTIFS(F$6:F3507,F3507,I$6:I3507,"?*")=1,MAX(W$5:W3506)+1,""))</f>
        <v/>
      </c>
    </row>
    <row r="3508">
      <c r="B3508" s="15" t="n"/>
      <c r="C3508" s="16" t="n"/>
      <c r="D3508" s="17" t="n"/>
      <c r="E3508" s="17" t="n"/>
      <c r="F3508" s="17" t="n"/>
      <c r="G3508" s="17" t="n"/>
      <c r="H3508" s="18">
        <f>IF(AND(B3508="",C3508="",D3508="",E3508=""),"",IF(B3508="","⚠ Falta fecha",IF(C3508="","⚠ Falta monto",IF(D3508="","⚠ Falta categoría",IF(ISNA(MATCH(D3508,catNom,0)),"⚠ Categoría no existe",IF(E3508="","⚠ Falta cuenta",IF(ISNA(MATCH(E3508,ctaNom,0)),"⚠ Cuenta no existe",IF(AND(OR(I3508="Transferencia",I3508="Pago tarjeta"),G3508=""),"⚠ Indica la cuenta «Hacia»",IF(AND(G3508&lt;&gt;"",G3508=E3508),"⚠ «Hacia» igual a la cuenta",IF(AND(G3508&lt;&gt;"",ISNA(MATCH(G3508,ctaNom,0))),"⚠ «Hacia» no existe",IF(AND(I3508="Pago tarjeta",IFERROR(INDEX(ctaTipo,MATCH(G3508,ctaNom,0)),"")&lt;&gt;"Tarjeta de crédito"),"⚠ «Hacia» debe ser la tarjeta",IF(AND(I3508="Trading",IFERROR(INDEX(ctaTipo,MATCH(E3508,ctaNom,0)),"")&lt;&gt;"Cuenta de trading"),"⚠ Usa la cuenta de trading","✓"))))))))))))</f>
        <v/>
      </c>
      <c r="I3508" s="19">
        <f>IF(OR(B3508="",C3508="",D3508=""),"",IFERROR(INDEX(catTipo,MATCH(D3508,catNom,0))&amp;"",""))</f>
        <v/>
      </c>
      <c r="J3508" s="19">
        <f>IF(I3508="","",IFERROR(INDEX(catGrupo,MATCH(D3508,catNom,0))&amp;"",""))</f>
        <v/>
      </c>
      <c r="K3508" s="19">
        <f>IF(I3508="Gasto",IF(IFERROR(INDEX(catClas,MATCH(D3508,catNom,0))&amp;"","")="","Variable",IFERROR(INDEX(catClas,MATCH(D3508,catNom,0))&amp;"","")),"")</f>
        <v/>
      </c>
      <c r="L3508" s="19">
        <f>IF(I3508="","",IFERROR(INDEX(catAlim,MATCH(D3508,catNom,0))&amp;"",""))</f>
        <v/>
      </c>
      <c r="M3508" s="19">
        <f>IF(I3508="","",IFERROR(INDEX(catComida,MATCH(D3508,catNom,0))&amp;"",""))</f>
        <v/>
      </c>
      <c r="N3508" s="19">
        <f>IF(I3508="","",IFERROR(INDEX(ctaMon,MATCH(E3508,ctaNom,0))&amp;"","DOP"))</f>
        <v/>
      </c>
      <c r="O3508" s="20">
        <f>IF(I3508="","",C3508*IF(N3508="USD",TasaUSD,1))</f>
        <v/>
      </c>
      <c r="P3508" s="20">
        <f>IF(I3508="","",IF(I3508="Gasto",O3508,0))</f>
        <v/>
      </c>
      <c r="Q3508" s="20">
        <f>IF(I3508="","",IF(I3508="Ingreso",O3508,0))</f>
        <v/>
      </c>
      <c r="R3508" s="20">
        <f>IF(I3508="","",IF(I3508="Trading",O3508,0))</f>
        <v/>
      </c>
      <c r="S3508" s="19">
        <f>IF(I3508="","",IF(AND(I3508="Gasto",K3508="Variable",J3508&lt;&gt;"Trading",O3508&gt;0,O3508&lt;=Umbral),1,0))</f>
        <v/>
      </c>
      <c r="T3508" s="20">
        <f>IF(OR(I3508="",E3508=""),"",IF(OR(I3508="Gasto",I3508="Transferencia",I3508="Pago tarjeta"),-1,1)*C3508)</f>
        <v/>
      </c>
      <c r="U3508" s="20">
        <f>IF(OR(G3508="",AND(I3508&lt;&gt;"Transferencia",I3508&lt;&gt;"Pago tarjeta")),"",IF(IFERROR(INDEX(ctaMon,MATCH(G3508,ctaNom,0))&amp;"","DOP")=N3508,C3508,IF(N3508="USD",C3508*TasaUSD,C3508/TasaUSD)))</f>
        <v/>
      </c>
      <c r="V3508" s="20">
        <f>IF(I3508="","",IF(IFERROR(INDEX(ctaLiq,MATCH(E3508,ctaNom,0))="Sí",FALSE),IF(OR(I3508="Gasto",I3508="Transferencia",I3508="Pago tarjeta"),-1,1)*O3508,0)+IF(AND(U3508&lt;&gt;"",IFERROR(INDEX(ctaLiq,MATCH(G3508,ctaNom,0))="Sí",FALSE)),O3508,0))</f>
        <v/>
      </c>
      <c r="W3508" s="19">
        <f>IF(OR(F3508="",I3508=""),"",IF(COUNTIFS(F$6:F3508,F3508,I$6:I3508,"?*")=1,MAX(W$5:W3507)+1,""))</f>
        <v/>
      </c>
    </row>
    <row r="3509">
      <c r="B3509" s="15" t="n"/>
      <c r="C3509" s="16" t="n"/>
      <c r="D3509" s="17" t="n"/>
      <c r="E3509" s="17" t="n"/>
      <c r="F3509" s="17" t="n"/>
      <c r="G3509" s="17" t="n"/>
      <c r="H3509" s="18">
        <f>IF(AND(B3509="",C3509="",D3509="",E3509=""),"",IF(B3509="","⚠ Falta fecha",IF(C3509="","⚠ Falta monto",IF(D3509="","⚠ Falta categoría",IF(ISNA(MATCH(D3509,catNom,0)),"⚠ Categoría no existe",IF(E3509="","⚠ Falta cuenta",IF(ISNA(MATCH(E3509,ctaNom,0)),"⚠ Cuenta no existe",IF(AND(OR(I3509="Transferencia",I3509="Pago tarjeta"),G3509=""),"⚠ Indica la cuenta «Hacia»",IF(AND(G3509&lt;&gt;"",G3509=E3509),"⚠ «Hacia» igual a la cuenta",IF(AND(G3509&lt;&gt;"",ISNA(MATCH(G3509,ctaNom,0))),"⚠ «Hacia» no existe",IF(AND(I3509="Pago tarjeta",IFERROR(INDEX(ctaTipo,MATCH(G3509,ctaNom,0)),"")&lt;&gt;"Tarjeta de crédito"),"⚠ «Hacia» debe ser la tarjeta",IF(AND(I3509="Trading",IFERROR(INDEX(ctaTipo,MATCH(E3509,ctaNom,0)),"")&lt;&gt;"Cuenta de trading"),"⚠ Usa la cuenta de trading","✓"))))))))))))</f>
        <v/>
      </c>
      <c r="I3509" s="19">
        <f>IF(OR(B3509="",C3509="",D3509=""),"",IFERROR(INDEX(catTipo,MATCH(D3509,catNom,0))&amp;"",""))</f>
        <v/>
      </c>
      <c r="J3509" s="19">
        <f>IF(I3509="","",IFERROR(INDEX(catGrupo,MATCH(D3509,catNom,0))&amp;"",""))</f>
        <v/>
      </c>
      <c r="K3509" s="19">
        <f>IF(I3509="Gasto",IF(IFERROR(INDEX(catClas,MATCH(D3509,catNom,0))&amp;"","")="","Variable",IFERROR(INDEX(catClas,MATCH(D3509,catNom,0))&amp;"","")),"")</f>
        <v/>
      </c>
      <c r="L3509" s="19">
        <f>IF(I3509="","",IFERROR(INDEX(catAlim,MATCH(D3509,catNom,0))&amp;"",""))</f>
        <v/>
      </c>
      <c r="M3509" s="19">
        <f>IF(I3509="","",IFERROR(INDEX(catComida,MATCH(D3509,catNom,0))&amp;"",""))</f>
        <v/>
      </c>
      <c r="N3509" s="19">
        <f>IF(I3509="","",IFERROR(INDEX(ctaMon,MATCH(E3509,ctaNom,0))&amp;"","DOP"))</f>
        <v/>
      </c>
      <c r="O3509" s="20">
        <f>IF(I3509="","",C3509*IF(N3509="USD",TasaUSD,1))</f>
        <v/>
      </c>
      <c r="P3509" s="20">
        <f>IF(I3509="","",IF(I3509="Gasto",O3509,0))</f>
        <v/>
      </c>
      <c r="Q3509" s="20">
        <f>IF(I3509="","",IF(I3509="Ingreso",O3509,0))</f>
        <v/>
      </c>
      <c r="R3509" s="20">
        <f>IF(I3509="","",IF(I3509="Trading",O3509,0))</f>
        <v/>
      </c>
      <c r="S3509" s="19">
        <f>IF(I3509="","",IF(AND(I3509="Gasto",K3509="Variable",J3509&lt;&gt;"Trading",O3509&gt;0,O3509&lt;=Umbral),1,0))</f>
        <v/>
      </c>
      <c r="T3509" s="20">
        <f>IF(OR(I3509="",E3509=""),"",IF(OR(I3509="Gasto",I3509="Transferencia",I3509="Pago tarjeta"),-1,1)*C3509)</f>
        <v/>
      </c>
      <c r="U3509" s="20">
        <f>IF(OR(G3509="",AND(I3509&lt;&gt;"Transferencia",I3509&lt;&gt;"Pago tarjeta")),"",IF(IFERROR(INDEX(ctaMon,MATCH(G3509,ctaNom,0))&amp;"","DOP")=N3509,C3509,IF(N3509="USD",C3509*TasaUSD,C3509/TasaUSD)))</f>
        <v/>
      </c>
      <c r="V3509" s="20">
        <f>IF(I3509="","",IF(IFERROR(INDEX(ctaLiq,MATCH(E3509,ctaNom,0))="Sí",FALSE),IF(OR(I3509="Gasto",I3509="Transferencia",I3509="Pago tarjeta"),-1,1)*O3509,0)+IF(AND(U3509&lt;&gt;"",IFERROR(INDEX(ctaLiq,MATCH(G3509,ctaNom,0))="Sí",FALSE)),O3509,0))</f>
        <v/>
      </c>
      <c r="W3509" s="19">
        <f>IF(OR(F3509="",I3509=""),"",IF(COUNTIFS(F$6:F3509,F3509,I$6:I3509,"?*")=1,MAX(W$5:W3508)+1,""))</f>
        <v/>
      </c>
    </row>
    <row r="3510">
      <c r="B3510" s="15" t="n"/>
      <c r="C3510" s="16" t="n"/>
      <c r="D3510" s="17" t="n"/>
      <c r="E3510" s="17" t="n"/>
      <c r="F3510" s="17" t="n"/>
      <c r="G3510" s="17" t="n"/>
      <c r="H3510" s="18">
        <f>IF(AND(B3510="",C3510="",D3510="",E3510=""),"",IF(B3510="","⚠ Falta fecha",IF(C3510="","⚠ Falta monto",IF(D3510="","⚠ Falta categoría",IF(ISNA(MATCH(D3510,catNom,0)),"⚠ Categoría no existe",IF(E3510="","⚠ Falta cuenta",IF(ISNA(MATCH(E3510,ctaNom,0)),"⚠ Cuenta no existe",IF(AND(OR(I3510="Transferencia",I3510="Pago tarjeta"),G3510=""),"⚠ Indica la cuenta «Hacia»",IF(AND(G3510&lt;&gt;"",G3510=E3510),"⚠ «Hacia» igual a la cuenta",IF(AND(G3510&lt;&gt;"",ISNA(MATCH(G3510,ctaNom,0))),"⚠ «Hacia» no existe",IF(AND(I3510="Pago tarjeta",IFERROR(INDEX(ctaTipo,MATCH(G3510,ctaNom,0)),"")&lt;&gt;"Tarjeta de crédito"),"⚠ «Hacia» debe ser la tarjeta",IF(AND(I3510="Trading",IFERROR(INDEX(ctaTipo,MATCH(E3510,ctaNom,0)),"")&lt;&gt;"Cuenta de trading"),"⚠ Usa la cuenta de trading","✓"))))))))))))</f>
        <v/>
      </c>
      <c r="I3510" s="19">
        <f>IF(OR(B3510="",C3510="",D3510=""),"",IFERROR(INDEX(catTipo,MATCH(D3510,catNom,0))&amp;"",""))</f>
        <v/>
      </c>
      <c r="J3510" s="19">
        <f>IF(I3510="","",IFERROR(INDEX(catGrupo,MATCH(D3510,catNom,0))&amp;"",""))</f>
        <v/>
      </c>
      <c r="K3510" s="19">
        <f>IF(I3510="Gasto",IF(IFERROR(INDEX(catClas,MATCH(D3510,catNom,0))&amp;"","")="","Variable",IFERROR(INDEX(catClas,MATCH(D3510,catNom,0))&amp;"","")),"")</f>
        <v/>
      </c>
      <c r="L3510" s="19">
        <f>IF(I3510="","",IFERROR(INDEX(catAlim,MATCH(D3510,catNom,0))&amp;"",""))</f>
        <v/>
      </c>
      <c r="M3510" s="19">
        <f>IF(I3510="","",IFERROR(INDEX(catComida,MATCH(D3510,catNom,0))&amp;"",""))</f>
        <v/>
      </c>
      <c r="N3510" s="19">
        <f>IF(I3510="","",IFERROR(INDEX(ctaMon,MATCH(E3510,ctaNom,0))&amp;"","DOP"))</f>
        <v/>
      </c>
      <c r="O3510" s="20">
        <f>IF(I3510="","",C3510*IF(N3510="USD",TasaUSD,1))</f>
        <v/>
      </c>
      <c r="P3510" s="20">
        <f>IF(I3510="","",IF(I3510="Gasto",O3510,0))</f>
        <v/>
      </c>
      <c r="Q3510" s="20">
        <f>IF(I3510="","",IF(I3510="Ingreso",O3510,0))</f>
        <v/>
      </c>
      <c r="R3510" s="20">
        <f>IF(I3510="","",IF(I3510="Trading",O3510,0))</f>
        <v/>
      </c>
      <c r="S3510" s="19">
        <f>IF(I3510="","",IF(AND(I3510="Gasto",K3510="Variable",J3510&lt;&gt;"Trading",O3510&gt;0,O3510&lt;=Umbral),1,0))</f>
        <v/>
      </c>
      <c r="T3510" s="20">
        <f>IF(OR(I3510="",E3510=""),"",IF(OR(I3510="Gasto",I3510="Transferencia",I3510="Pago tarjeta"),-1,1)*C3510)</f>
        <v/>
      </c>
      <c r="U3510" s="20">
        <f>IF(OR(G3510="",AND(I3510&lt;&gt;"Transferencia",I3510&lt;&gt;"Pago tarjeta")),"",IF(IFERROR(INDEX(ctaMon,MATCH(G3510,ctaNom,0))&amp;"","DOP")=N3510,C3510,IF(N3510="USD",C3510*TasaUSD,C3510/TasaUSD)))</f>
        <v/>
      </c>
      <c r="V3510" s="20">
        <f>IF(I3510="","",IF(IFERROR(INDEX(ctaLiq,MATCH(E3510,ctaNom,0))="Sí",FALSE),IF(OR(I3510="Gasto",I3510="Transferencia",I3510="Pago tarjeta"),-1,1)*O3510,0)+IF(AND(U3510&lt;&gt;"",IFERROR(INDEX(ctaLiq,MATCH(G3510,ctaNom,0))="Sí",FALSE)),O3510,0))</f>
        <v/>
      </c>
      <c r="W3510" s="19">
        <f>IF(OR(F3510="",I3510=""),"",IF(COUNTIFS(F$6:F3510,F3510,I$6:I3510,"?*")=1,MAX(W$5:W3509)+1,""))</f>
        <v/>
      </c>
    </row>
    <row r="3511">
      <c r="B3511" s="15" t="n"/>
      <c r="C3511" s="16" t="n"/>
      <c r="D3511" s="17" t="n"/>
      <c r="E3511" s="17" t="n"/>
      <c r="F3511" s="17" t="n"/>
      <c r="G3511" s="17" t="n"/>
      <c r="H3511" s="18">
        <f>IF(AND(B3511="",C3511="",D3511="",E3511=""),"",IF(B3511="","⚠ Falta fecha",IF(C3511="","⚠ Falta monto",IF(D3511="","⚠ Falta categoría",IF(ISNA(MATCH(D3511,catNom,0)),"⚠ Categoría no existe",IF(E3511="","⚠ Falta cuenta",IF(ISNA(MATCH(E3511,ctaNom,0)),"⚠ Cuenta no existe",IF(AND(OR(I3511="Transferencia",I3511="Pago tarjeta"),G3511=""),"⚠ Indica la cuenta «Hacia»",IF(AND(G3511&lt;&gt;"",G3511=E3511),"⚠ «Hacia» igual a la cuenta",IF(AND(G3511&lt;&gt;"",ISNA(MATCH(G3511,ctaNom,0))),"⚠ «Hacia» no existe",IF(AND(I3511="Pago tarjeta",IFERROR(INDEX(ctaTipo,MATCH(G3511,ctaNom,0)),"")&lt;&gt;"Tarjeta de crédito"),"⚠ «Hacia» debe ser la tarjeta",IF(AND(I3511="Trading",IFERROR(INDEX(ctaTipo,MATCH(E3511,ctaNom,0)),"")&lt;&gt;"Cuenta de trading"),"⚠ Usa la cuenta de trading","✓"))))))))))))</f>
        <v/>
      </c>
      <c r="I3511" s="19">
        <f>IF(OR(B3511="",C3511="",D3511=""),"",IFERROR(INDEX(catTipo,MATCH(D3511,catNom,0))&amp;"",""))</f>
        <v/>
      </c>
      <c r="J3511" s="19">
        <f>IF(I3511="","",IFERROR(INDEX(catGrupo,MATCH(D3511,catNom,0))&amp;"",""))</f>
        <v/>
      </c>
      <c r="K3511" s="19">
        <f>IF(I3511="Gasto",IF(IFERROR(INDEX(catClas,MATCH(D3511,catNom,0))&amp;"","")="","Variable",IFERROR(INDEX(catClas,MATCH(D3511,catNom,0))&amp;"","")),"")</f>
        <v/>
      </c>
      <c r="L3511" s="19">
        <f>IF(I3511="","",IFERROR(INDEX(catAlim,MATCH(D3511,catNom,0))&amp;"",""))</f>
        <v/>
      </c>
      <c r="M3511" s="19">
        <f>IF(I3511="","",IFERROR(INDEX(catComida,MATCH(D3511,catNom,0))&amp;"",""))</f>
        <v/>
      </c>
      <c r="N3511" s="19">
        <f>IF(I3511="","",IFERROR(INDEX(ctaMon,MATCH(E3511,ctaNom,0))&amp;"","DOP"))</f>
        <v/>
      </c>
      <c r="O3511" s="20">
        <f>IF(I3511="","",C3511*IF(N3511="USD",TasaUSD,1))</f>
        <v/>
      </c>
      <c r="P3511" s="20">
        <f>IF(I3511="","",IF(I3511="Gasto",O3511,0))</f>
        <v/>
      </c>
      <c r="Q3511" s="20">
        <f>IF(I3511="","",IF(I3511="Ingreso",O3511,0))</f>
        <v/>
      </c>
      <c r="R3511" s="20">
        <f>IF(I3511="","",IF(I3511="Trading",O3511,0))</f>
        <v/>
      </c>
      <c r="S3511" s="19">
        <f>IF(I3511="","",IF(AND(I3511="Gasto",K3511="Variable",J3511&lt;&gt;"Trading",O3511&gt;0,O3511&lt;=Umbral),1,0))</f>
        <v/>
      </c>
      <c r="T3511" s="20">
        <f>IF(OR(I3511="",E3511=""),"",IF(OR(I3511="Gasto",I3511="Transferencia",I3511="Pago tarjeta"),-1,1)*C3511)</f>
        <v/>
      </c>
      <c r="U3511" s="20">
        <f>IF(OR(G3511="",AND(I3511&lt;&gt;"Transferencia",I3511&lt;&gt;"Pago tarjeta")),"",IF(IFERROR(INDEX(ctaMon,MATCH(G3511,ctaNom,0))&amp;"","DOP")=N3511,C3511,IF(N3511="USD",C3511*TasaUSD,C3511/TasaUSD)))</f>
        <v/>
      </c>
      <c r="V3511" s="20">
        <f>IF(I3511="","",IF(IFERROR(INDEX(ctaLiq,MATCH(E3511,ctaNom,0))="Sí",FALSE),IF(OR(I3511="Gasto",I3511="Transferencia",I3511="Pago tarjeta"),-1,1)*O3511,0)+IF(AND(U3511&lt;&gt;"",IFERROR(INDEX(ctaLiq,MATCH(G3511,ctaNom,0))="Sí",FALSE)),O3511,0))</f>
        <v/>
      </c>
      <c r="W3511" s="19">
        <f>IF(OR(F3511="",I3511=""),"",IF(COUNTIFS(F$6:F3511,F3511,I$6:I3511,"?*")=1,MAX(W$5:W3510)+1,""))</f>
        <v/>
      </c>
    </row>
    <row r="3512">
      <c r="B3512" s="15" t="n"/>
      <c r="C3512" s="16" t="n"/>
      <c r="D3512" s="17" t="n"/>
      <c r="E3512" s="17" t="n"/>
      <c r="F3512" s="17" t="n"/>
      <c r="G3512" s="17" t="n"/>
      <c r="H3512" s="18">
        <f>IF(AND(B3512="",C3512="",D3512="",E3512=""),"",IF(B3512="","⚠ Falta fecha",IF(C3512="","⚠ Falta monto",IF(D3512="","⚠ Falta categoría",IF(ISNA(MATCH(D3512,catNom,0)),"⚠ Categoría no existe",IF(E3512="","⚠ Falta cuenta",IF(ISNA(MATCH(E3512,ctaNom,0)),"⚠ Cuenta no existe",IF(AND(OR(I3512="Transferencia",I3512="Pago tarjeta"),G3512=""),"⚠ Indica la cuenta «Hacia»",IF(AND(G3512&lt;&gt;"",G3512=E3512),"⚠ «Hacia» igual a la cuenta",IF(AND(G3512&lt;&gt;"",ISNA(MATCH(G3512,ctaNom,0))),"⚠ «Hacia» no existe",IF(AND(I3512="Pago tarjeta",IFERROR(INDEX(ctaTipo,MATCH(G3512,ctaNom,0)),"")&lt;&gt;"Tarjeta de crédito"),"⚠ «Hacia» debe ser la tarjeta",IF(AND(I3512="Trading",IFERROR(INDEX(ctaTipo,MATCH(E3512,ctaNom,0)),"")&lt;&gt;"Cuenta de trading"),"⚠ Usa la cuenta de trading","✓"))))))))))))</f>
        <v/>
      </c>
      <c r="I3512" s="19">
        <f>IF(OR(B3512="",C3512="",D3512=""),"",IFERROR(INDEX(catTipo,MATCH(D3512,catNom,0))&amp;"",""))</f>
        <v/>
      </c>
      <c r="J3512" s="19">
        <f>IF(I3512="","",IFERROR(INDEX(catGrupo,MATCH(D3512,catNom,0))&amp;"",""))</f>
        <v/>
      </c>
      <c r="K3512" s="19">
        <f>IF(I3512="Gasto",IF(IFERROR(INDEX(catClas,MATCH(D3512,catNom,0))&amp;"","")="","Variable",IFERROR(INDEX(catClas,MATCH(D3512,catNom,0))&amp;"","")),"")</f>
        <v/>
      </c>
      <c r="L3512" s="19">
        <f>IF(I3512="","",IFERROR(INDEX(catAlim,MATCH(D3512,catNom,0))&amp;"",""))</f>
        <v/>
      </c>
      <c r="M3512" s="19">
        <f>IF(I3512="","",IFERROR(INDEX(catComida,MATCH(D3512,catNom,0))&amp;"",""))</f>
        <v/>
      </c>
      <c r="N3512" s="19">
        <f>IF(I3512="","",IFERROR(INDEX(ctaMon,MATCH(E3512,ctaNom,0))&amp;"","DOP"))</f>
        <v/>
      </c>
      <c r="O3512" s="20">
        <f>IF(I3512="","",C3512*IF(N3512="USD",TasaUSD,1))</f>
        <v/>
      </c>
      <c r="P3512" s="20">
        <f>IF(I3512="","",IF(I3512="Gasto",O3512,0))</f>
        <v/>
      </c>
      <c r="Q3512" s="20">
        <f>IF(I3512="","",IF(I3512="Ingreso",O3512,0))</f>
        <v/>
      </c>
      <c r="R3512" s="20">
        <f>IF(I3512="","",IF(I3512="Trading",O3512,0))</f>
        <v/>
      </c>
      <c r="S3512" s="19">
        <f>IF(I3512="","",IF(AND(I3512="Gasto",K3512="Variable",J3512&lt;&gt;"Trading",O3512&gt;0,O3512&lt;=Umbral),1,0))</f>
        <v/>
      </c>
      <c r="T3512" s="20">
        <f>IF(OR(I3512="",E3512=""),"",IF(OR(I3512="Gasto",I3512="Transferencia",I3512="Pago tarjeta"),-1,1)*C3512)</f>
        <v/>
      </c>
      <c r="U3512" s="20">
        <f>IF(OR(G3512="",AND(I3512&lt;&gt;"Transferencia",I3512&lt;&gt;"Pago tarjeta")),"",IF(IFERROR(INDEX(ctaMon,MATCH(G3512,ctaNom,0))&amp;"","DOP")=N3512,C3512,IF(N3512="USD",C3512*TasaUSD,C3512/TasaUSD)))</f>
        <v/>
      </c>
      <c r="V3512" s="20">
        <f>IF(I3512="","",IF(IFERROR(INDEX(ctaLiq,MATCH(E3512,ctaNom,0))="Sí",FALSE),IF(OR(I3512="Gasto",I3512="Transferencia",I3512="Pago tarjeta"),-1,1)*O3512,0)+IF(AND(U3512&lt;&gt;"",IFERROR(INDEX(ctaLiq,MATCH(G3512,ctaNom,0))="Sí",FALSE)),O3512,0))</f>
        <v/>
      </c>
      <c r="W3512" s="19">
        <f>IF(OR(F3512="",I3512=""),"",IF(COUNTIFS(F$6:F3512,F3512,I$6:I3512,"?*")=1,MAX(W$5:W3511)+1,""))</f>
        <v/>
      </c>
    </row>
    <row r="3513">
      <c r="B3513" s="15" t="n"/>
      <c r="C3513" s="16" t="n"/>
      <c r="D3513" s="17" t="n"/>
      <c r="E3513" s="17" t="n"/>
      <c r="F3513" s="17" t="n"/>
      <c r="G3513" s="17" t="n"/>
      <c r="H3513" s="18">
        <f>IF(AND(B3513="",C3513="",D3513="",E3513=""),"",IF(B3513="","⚠ Falta fecha",IF(C3513="","⚠ Falta monto",IF(D3513="","⚠ Falta categoría",IF(ISNA(MATCH(D3513,catNom,0)),"⚠ Categoría no existe",IF(E3513="","⚠ Falta cuenta",IF(ISNA(MATCH(E3513,ctaNom,0)),"⚠ Cuenta no existe",IF(AND(OR(I3513="Transferencia",I3513="Pago tarjeta"),G3513=""),"⚠ Indica la cuenta «Hacia»",IF(AND(G3513&lt;&gt;"",G3513=E3513),"⚠ «Hacia» igual a la cuenta",IF(AND(G3513&lt;&gt;"",ISNA(MATCH(G3513,ctaNom,0))),"⚠ «Hacia» no existe",IF(AND(I3513="Pago tarjeta",IFERROR(INDEX(ctaTipo,MATCH(G3513,ctaNom,0)),"")&lt;&gt;"Tarjeta de crédito"),"⚠ «Hacia» debe ser la tarjeta",IF(AND(I3513="Trading",IFERROR(INDEX(ctaTipo,MATCH(E3513,ctaNom,0)),"")&lt;&gt;"Cuenta de trading"),"⚠ Usa la cuenta de trading","✓"))))))))))))</f>
        <v/>
      </c>
      <c r="I3513" s="19">
        <f>IF(OR(B3513="",C3513="",D3513=""),"",IFERROR(INDEX(catTipo,MATCH(D3513,catNom,0))&amp;"",""))</f>
        <v/>
      </c>
      <c r="J3513" s="19">
        <f>IF(I3513="","",IFERROR(INDEX(catGrupo,MATCH(D3513,catNom,0))&amp;"",""))</f>
        <v/>
      </c>
      <c r="K3513" s="19">
        <f>IF(I3513="Gasto",IF(IFERROR(INDEX(catClas,MATCH(D3513,catNom,0))&amp;"","")="","Variable",IFERROR(INDEX(catClas,MATCH(D3513,catNom,0))&amp;"","")),"")</f>
        <v/>
      </c>
      <c r="L3513" s="19">
        <f>IF(I3513="","",IFERROR(INDEX(catAlim,MATCH(D3513,catNom,0))&amp;"",""))</f>
        <v/>
      </c>
      <c r="M3513" s="19">
        <f>IF(I3513="","",IFERROR(INDEX(catComida,MATCH(D3513,catNom,0))&amp;"",""))</f>
        <v/>
      </c>
      <c r="N3513" s="19">
        <f>IF(I3513="","",IFERROR(INDEX(ctaMon,MATCH(E3513,ctaNom,0))&amp;"","DOP"))</f>
        <v/>
      </c>
      <c r="O3513" s="20">
        <f>IF(I3513="","",C3513*IF(N3513="USD",TasaUSD,1))</f>
        <v/>
      </c>
      <c r="P3513" s="20">
        <f>IF(I3513="","",IF(I3513="Gasto",O3513,0))</f>
        <v/>
      </c>
      <c r="Q3513" s="20">
        <f>IF(I3513="","",IF(I3513="Ingreso",O3513,0))</f>
        <v/>
      </c>
      <c r="R3513" s="20">
        <f>IF(I3513="","",IF(I3513="Trading",O3513,0))</f>
        <v/>
      </c>
      <c r="S3513" s="19">
        <f>IF(I3513="","",IF(AND(I3513="Gasto",K3513="Variable",J3513&lt;&gt;"Trading",O3513&gt;0,O3513&lt;=Umbral),1,0))</f>
        <v/>
      </c>
      <c r="T3513" s="20">
        <f>IF(OR(I3513="",E3513=""),"",IF(OR(I3513="Gasto",I3513="Transferencia",I3513="Pago tarjeta"),-1,1)*C3513)</f>
        <v/>
      </c>
      <c r="U3513" s="20">
        <f>IF(OR(G3513="",AND(I3513&lt;&gt;"Transferencia",I3513&lt;&gt;"Pago tarjeta")),"",IF(IFERROR(INDEX(ctaMon,MATCH(G3513,ctaNom,0))&amp;"","DOP")=N3513,C3513,IF(N3513="USD",C3513*TasaUSD,C3513/TasaUSD)))</f>
        <v/>
      </c>
      <c r="V3513" s="20">
        <f>IF(I3513="","",IF(IFERROR(INDEX(ctaLiq,MATCH(E3513,ctaNom,0))="Sí",FALSE),IF(OR(I3513="Gasto",I3513="Transferencia",I3513="Pago tarjeta"),-1,1)*O3513,0)+IF(AND(U3513&lt;&gt;"",IFERROR(INDEX(ctaLiq,MATCH(G3513,ctaNom,0))="Sí",FALSE)),O3513,0))</f>
        <v/>
      </c>
      <c r="W3513" s="19">
        <f>IF(OR(F3513="",I3513=""),"",IF(COUNTIFS(F$6:F3513,F3513,I$6:I3513,"?*")=1,MAX(W$5:W3512)+1,""))</f>
        <v/>
      </c>
    </row>
    <row r="3514">
      <c r="B3514" s="15" t="n"/>
      <c r="C3514" s="16" t="n"/>
      <c r="D3514" s="17" t="n"/>
      <c r="E3514" s="17" t="n"/>
      <c r="F3514" s="17" t="n"/>
      <c r="G3514" s="17" t="n"/>
      <c r="H3514" s="18">
        <f>IF(AND(B3514="",C3514="",D3514="",E3514=""),"",IF(B3514="","⚠ Falta fecha",IF(C3514="","⚠ Falta monto",IF(D3514="","⚠ Falta categoría",IF(ISNA(MATCH(D3514,catNom,0)),"⚠ Categoría no existe",IF(E3514="","⚠ Falta cuenta",IF(ISNA(MATCH(E3514,ctaNom,0)),"⚠ Cuenta no existe",IF(AND(OR(I3514="Transferencia",I3514="Pago tarjeta"),G3514=""),"⚠ Indica la cuenta «Hacia»",IF(AND(G3514&lt;&gt;"",G3514=E3514),"⚠ «Hacia» igual a la cuenta",IF(AND(G3514&lt;&gt;"",ISNA(MATCH(G3514,ctaNom,0))),"⚠ «Hacia» no existe",IF(AND(I3514="Pago tarjeta",IFERROR(INDEX(ctaTipo,MATCH(G3514,ctaNom,0)),"")&lt;&gt;"Tarjeta de crédito"),"⚠ «Hacia» debe ser la tarjeta",IF(AND(I3514="Trading",IFERROR(INDEX(ctaTipo,MATCH(E3514,ctaNom,0)),"")&lt;&gt;"Cuenta de trading"),"⚠ Usa la cuenta de trading","✓"))))))))))))</f>
        <v/>
      </c>
      <c r="I3514" s="19">
        <f>IF(OR(B3514="",C3514="",D3514=""),"",IFERROR(INDEX(catTipo,MATCH(D3514,catNom,0))&amp;"",""))</f>
        <v/>
      </c>
      <c r="J3514" s="19">
        <f>IF(I3514="","",IFERROR(INDEX(catGrupo,MATCH(D3514,catNom,0))&amp;"",""))</f>
        <v/>
      </c>
      <c r="K3514" s="19">
        <f>IF(I3514="Gasto",IF(IFERROR(INDEX(catClas,MATCH(D3514,catNom,0))&amp;"","")="","Variable",IFERROR(INDEX(catClas,MATCH(D3514,catNom,0))&amp;"","")),"")</f>
        <v/>
      </c>
      <c r="L3514" s="19">
        <f>IF(I3514="","",IFERROR(INDEX(catAlim,MATCH(D3514,catNom,0))&amp;"",""))</f>
        <v/>
      </c>
      <c r="M3514" s="19">
        <f>IF(I3514="","",IFERROR(INDEX(catComida,MATCH(D3514,catNom,0))&amp;"",""))</f>
        <v/>
      </c>
      <c r="N3514" s="19">
        <f>IF(I3514="","",IFERROR(INDEX(ctaMon,MATCH(E3514,ctaNom,0))&amp;"","DOP"))</f>
        <v/>
      </c>
      <c r="O3514" s="20">
        <f>IF(I3514="","",C3514*IF(N3514="USD",TasaUSD,1))</f>
        <v/>
      </c>
      <c r="P3514" s="20">
        <f>IF(I3514="","",IF(I3514="Gasto",O3514,0))</f>
        <v/>
      </c>
      <c r="Q3514" s="20">
        <f>IF(I3514="","",IF(I3514="Ingreso",O3514,0))</f>
        <v/>
      </c>
      <c r="R3514" s="20">
        <f>IF(I3514="","",IF(I3514="Trading",O3514,0))</f>
        <v/>
      </c>
      <c r="S3514" s="19">
        <f>IF(I3514="","",IF(AND(I3514="Gasto",K3514="Variable",J3514&lt;&gt;"Trading",O3514&gt;0,O3514&lt;=Umbral),1,0))</f>
        <v/>
      </c>
      <c r="T3514" s="20">
        <f>IF(OR(I3514="",E3514=""),"",IF(OR(I3514="Gasto",I3514="Transferencia",I3514="Pago tarjeta"),-1,1)*C3514)</f>
        <v/>
      </c>
      <c r="U3514" s="20">
        <f>IF(OR(G3514="",AND(I3514&lt;&gt;"Transferencia",I3514&lt;&gt;"Pago tarjeta")),"",IF(IFERROR(INDEX(ctaMon,MATCH(G3514,ctaNom,0))&amp;"","DOP")=N3514,C3514,IF(N3514="USD",C3514*TasaUSD,C3514/TasaUSD)))</f>
        <v/>
      </c>
      <c r="V3514" s="20">
        <f>IF(I3514="","",IF(IFERROR(INDEX(ctaLiq,MATCH(E3514,ctaNom,0))="Sí",FALSE),IF(OR(I3514="Gasto",I3514="Transferencia",I3514="Pago tarjeta"),-1,1)*O3514,0)+IF(AND(U3514&lt;&gt;"",IFERROR(INDEX(ctaLiq,MATCH(G3514,ctaNom,0))="Sí",FALSE)),O3514,0))</f>
        <v/>
      </c>
      <c r="W3514" s="19">
        <f>IF(OR(F3514="",I3514=""),"",IF(COUNTIFS(F$6:F3514,F3514,I$6:I3514,"?*")=1,MAX(W$5:W3513)+1,""))</f>
        <v/>
      </c>
    </row>
    <row r="3515">
      <c r="B3515" s="15" t="n"/>
      <c r="C3515" s="16" t="n"/>
      <c r="D3515" s="17" t="n"/>
      <c r="E3515" s="17" t="n"/>
      <c r="F3515" s="17" t="n"/>
      <c r="G3515" s="17" t="n"/>
      <c r="H3515" s="18">
        <f>IF(AND(B3515="",C3515="",D3515="",E3515=""),"",IF(B3515="","⚠ Falta fecha",IF(C3515="","⚠ Falta monto",IF(D3515="","⚠ Falta categoría",IF(ISNA(MATCH(D3515,catNom,0)),"⚠ Categoría no existe",IF(E3515="","⚠ Falta cuenta",IF(ISNA(MATCH(E3515,ctaNom,0)),"⚠ Cuenta no existe",IF(AND(OR(I3515="Transferencia",I3515="Pago tarjeta"),G3515=""),"⚠ Indica la cuenta «Hacia»",IF(AND(G3515&lt;&gt;"",G3515=E3515),"⚠ «Hacia» igual a la cuenta",IF(AND(G3515&lt;&gt;"",ISNA(MATCH(G3515,ctaNom,0))),"⚠ «Hacia» no existe",IF(AND(I3515="Pago tarjeta",IFERROR(INDEX(ctaTipo,MATCH(G3515,ctaNom,0)),"")&lt;&gt;"Tarjeta de crédito"),"⚠ «Hacia» debe ser la tarjeta",IF(AND(I3515="Trading",IFERROR(INDEX(ctaTipo,MATCH(E3515,ctaNom,0)),"")&lt;&gt;"Cuenta de trading"),"⚠ Usa la cuenta de trading","✓"))))))))))))</f>
        <v/>
      </c>
      <c r="I3515" s="19">
        <f>IF(OR(B3515="",C3515="",D3515=""),"",IFERROR(INDEX(catTipo,MATCH(D3515,catNom,0))&amp;"",""))</f>
        <v/>
      </c>
      <c r="J3515" s="19">
        <f>IF(I3515="","",IFERROR(INDEX(catGrupo,MATCH(D3515,catNom,0))&amp;"",""))</f>
        <v/>
      </c>
      <c r="K3515" s="19">
        <f>IF(I3515="Gasto",IF(IFERROR(INDEX(catClas,MATCH(D3515,catNom,0))&amp;"","")="","Variable",IFERROR(INDEX(catClas,MATCH(D3515,catNom,0))&amp;"","")),"")</f>
        <v/>
      </c>
      <c r="L3515" s="19">
        <f>IF(I3515="","",IFERROR(INDEX(catAlim,MATCH(D3515,catNom,0))&amp;"",""))</f>
        <v/>
      </c>
      <c r="M3515" s="19">
        <f>IF(I3515="","",IFERROR(INDEX(catComida,MATCH(D3515,catNom,0))&amp;"",""))</f>
        <v/>
      </c>
      <c r="N3515" s="19">
        <f>IF(I3515="","",IFERROR(INDEX(ctaMon,MATCH(E3515,ctaNom,0))&amp;"","DOP"))</f>
        <v/>
      </c>
      <c r="O3515" s="20">
        <f>IF(I3515="","",C3515*IF(N3515="USD",TasaUSD,1))</f>
        <v/>
      </c>
      <c r="P3515" s="20">
        <f>IF(I3515="","",IF(I3515="Gasto",O3515,0))</f>
        <v/>
      </c>
      <c r="Q3515" s="20">
        <f>IF(I3515="","",IF(I3515="Ingreso",O3515,0))</f>
        <v/>
      </c>
      <c r="R3515" s="20">
        <f>IF(I3515="","",IF(I3515="Trading",O3515,0))</f>
        <v/>
      </c>
      <c r="S3515" s="19">
        <f>IF(I3515="","",IF(AND(I3515="Gasto",K3515="Variable",J3515&lt;&gt;"Trading",O3515&gt;0,O3515&lt;=Umbral),1,0))</f>
        <v/>
      </c>
      <c r="T3515" s="20">
        <f>IF(OR(I3515="",E3515=""),"",IF(OR(I3515="Gasto",I3515="Transferencia",I3515="Pago tarjeta"),-1,1)*C3515)</f>
        <v/>
      </c>
      <c r="U3515" s="20">
        <f>IF(OR(G3515="",AND(I3515&lt;&gt;"Transferencia",I3515&lt;&gt;"Pago tarjeta")),"",IF(IFERROR(INDEX(ctaMon,MATCH(G3515,ctaNom,0))&amp;"","DOP")=N3515,C3515,IF(N3515="USD",C3515*TasaUSD,C3515/TasaUSD)))</f>
        <v/>
      </c>
      <c r="V3515" s="20">
        <f>IF(I3515="","",IF(IFERROR(INDEX(ctaLiq,MATCH(E3515,ctaNom,0))="Sí",FALSE),IF(OR(I3515="Gasto",I3515="Transferencia",I3515="Pago tarjeta"),-1,1)*O3515,0)+IF(AND(U3515&lt;&gt;"",IFERROR(INDEX(ctaLiq,MATCH(G3515,ctaNom,0))="Sí",FALSE)),O3515,0))</f>
        <v/>
      </c>
      <c r="W3515" s="19">
        <f>IF(OR(F3515="",I3515=""),"",IF(COUNTIFS(F$6:F3515,F3515,I$6:I3515,"?*")=1,MAX(W$5:W3514)+1,""))</f>
        <v/>
      </c>
    </row>
    <row r="3516">
      <c r="B3516" s="15" t="n"/>
      <c r="C3516" s="16" t="n"/>
      <c r="D3516" s="17" t="n"/>
      <c r="E3516" s="17" t="n"/>
      <c r="F3516" s="17" t="n"/>
      <c r="G3516" s="17" t="n"/>
      <c r="H3516" s="18">
        <f>IF(AND(B3516="",C3516="",D3516="",E3516=""),"",IF(B3516="","⚠ Falta fecha",IF(C3516="","⚠ Falta monto",IF(D3516="","⚠ Falta categoría",IF(ISNA(MATCH(D3516,catNom,0)),"⚠ Categoría no existe",IF(E3516="","⚠ Falta cuenta",IF(ISNA(MATCH(E3516,ctaNom,0)),"⚠ Cuenta no existe",IF(AND(OR(I3516="Transferencia",I3516="Pago tarjeta"),G3516=""),"⚠ Indica la cuenta «Hacia»",IF(AND(G3516&lt;&gt;"",G3516=E3516),"⚠ «Hacia» igual a la cuenta",IF(AND(G3516&lt;&gt;"",ISNA(MATCH(G3516,ctaNom,0))),"⚠ «Hacia» no existe",IF(AND(I3516="Pago tarjeta",IFERROR(INDEX(ctaTipo,MATCH(G3516,ctaNom,0)),"")&lt;&gt;"Tarjeta de crédito"),"⚠ «Hacia» debe ser la tarjeta",IF(AND(I3516="Trading",IFERROR(INDEX(ctaTipo,MATCH(E3516,ctaNom,0)),"")&lt;&gt;"Cuenta de trading"),"⚠ Usa la cuenta de trading","✓"))))))))))))</f>
        <v/>
      </c>
      <c r="I3516" s="19">
        <f>IF(OR(B3516="",C3516="",D3516=""),"",IFERROR(INDEX(catTipo,MATCH(D3516,catNom,0))&amp;"",""))</f>
        <v/>
      </c>
      <c r="J3516" s="19">
        <f>IF(I3516="","",IFERROR(INDEX(catGrupo,MATCH(D3516,catNom,0))&amp;"",""))</f>
        <v/>
      </c>
      <c r="K3516" s="19">
        <f>IF(I3516="Gasto",IF(IFERROR(INDEX(catClas,MATCH(D3516,catNom,0))&amp;"","")="","Variable",IFERROR(INDEX(catClas,MATCH(D3516,catNom,0))&amp;"","")),"")</f>
        <v/>
      </c>
      <c r="L3516" s="19">
        <f>IF(I3516="","",IFERROR(INDEX(catAlim,MATCH(D3516,catNom,0))&amp;"",""))</f>
        <v/>
      </c>
      <c r="M3516" s="19">
        <f>IF(I3516="","",IFERROR(INDEX(catComida,MATCH(D3516,catNom,0))&amp;"",""))</f>
        <v/>
      </c>
      <c r="N3516" s="19">
        <f>IF(I3516="","",IFERROR(INDEX(ctaMon,MATCH(E3516,ctaNom,0))&amp;"","DOP"))</f>
        <v/>
      </c>
      <c r="O3516" s="20">
        <f>IF(I3516="","",C3516*IF(N3516="USD",TasaUSD,1))</f>
        <v/>
      </c>
      <c r="P3516" s="20">
        <f>IF(I3516="","",IF(I3516="Gasto",O3516,0))</f>
        <v/>
      </c>
      <c r="Q3516" s="20">
        <f>IF(I3516="","",IF(I3516="Ingreso",O3516,0))</f>
        <v/>
      </c>
      <c r="R3516" s="20">
        <f>IF(I3516="","",IF(I3516="Trading",O3516,0))</f>
        <v/>
      </c>
      <c r="S3516" s="19">
        <f>IF(I3516="","",IF(AND(I3516="Gasto",K3516="Variable",J3516&lt;&gt;"Trading",O3516&gt;0,O3516&lt;=Umbral),1,0))</f>
        <v/>
      </c>
      <c r="T3516" s="20">
        <f>IF(OR(I3516="",E3516=""),"",IF(OR(I3516="Gasto",I3516="Transferencia",I3516="Pago tarjeta"),-1,1)*C3516)</f>
        <v/>
      </c>
      <c r="U3516" s="20">
        <f>IF(OR(G3516="",AND(I3516&lt;&gt;"Transferencia",I3516&lt;&gt;"Pago tarjeta")),"",IF(IFERROR(INDEX(ctaMon,MATCH(G3516,ctaNom,0))&amp;"","DOP")=N3516,C3516,IF(N3516="USD",C3516*TasaUSD,C3516/TasaUSD)))</f>
        <v/>
      </c>
      <c r="V3516" s="20">
        <f>IF(I3516="","",IF(IFERROR(INDEX(ctaLiq,MATCH(E3516,ctaNom,0))="Sí",FALSE),IF(OR(I3516="Gasto",I3516="Transferencia",I3516="Pago tarjeta"),-1,1)*O3516,0)+IF(AND(U3516&lt;&gt;"",IFERROR(INDEX(ctaLiq,MATCH(G3516,ctaNom,0))="Sí",FALSE)),O3516,0))</f>
        <v/>
      </c>
      <c r="W3516" s="19">
        <f>IF(OR(F3516="",I3516=""),"",IF(COUNTIFS(F$6:F3516,F3516,I$6:I3516,"?*")=1,MAX(W$5:W3515)+1,""))</f>
        <v/>
      </c>
    </row>
    <row r="3517">
      <c r="B3517" s="15" t="n"/>
      <c r="C3517" s="16" t="n"/>
      <c r="D3517" s="17" t="n"/>
      <c r="E3517" s="17" t="n"/>
      <c r="F3517" s="17" t="n"/>
      <c r="G3517" s="17" t="n"/>
      <c r="H3517" s="18">
        <f>IF(AND(B3517="",C3517="",D3517="",E3517=""),"",IF(B3517="","⚠ Falta fecha",IF(C3517="","⚠ Falta monto",IF(D3517="","⚠ Falta categoría",IF(ISNA(MATCH(D3517,catNom,0)),"⚠ Categoría no existe",IF(E3517="","⚠ Falta cuenta",IF(ISNA(MATCH(E3517,ctaNom,0)),"⚠ Cuenta no existe",IF(AND(OR(I3517="Transferencia",I3517="Pago tarjeta"),G3517=""),"⚠ Indica la cuenta «Hacia»",IF(AND(G3517&lt;&gt;"",G3517=E3517),"⚠ «Hacia» igual a la cuenta",IF(AND(G3517&lt;&gt;"",ISNA(MATCH(G3517,ctaNom,0))),"⚠ «Hacia» no existe",IF(AND(I3517="Pago tarjeta",IFERROR(INDEX(ctaTipo,MATCH(G3517,ctaNom,0)),"")&lt;&gt;"Tarjeta de crédito"),"⚠ «Hacia» debe ser la tarjeta",IF(AND(I3517="Trading",IFERROR(INDEX(ctaTipo,MATCH(E3517,ctaNom,0)),"")&lt;&gt;"Cuenta de trading"),"⚠ Usa la cuenta de trading","✓"))))))))))))</f>
        <v/>
      </c>
      <c r="I3517" s="19">
        <f>IF(OR(B3517="",C3517="",D3517=""),"",IFERROR(INDEX(catTipo,MATCH(D3517,catNom,0))&amp;"",""))</f>
        <v/>
      </c>
      <c r="J3517" s="19">
        <f>IF(I3517="","",IFERROR(INDEX(catGrupo,MATCH(D3517,catNom,0))&amp;"",""))</f>
        <v/>
      </c>
      <c r="K3517" s="19">
        <f>IF(I3517="Gasto",IF(IFERROR(INDEX(catClas,MATCH(D3517,catNom,0))&amp;"","")="","Variable",IFERROR(INDEX(catClas,MATCH(D3517,catNom,0))&amp;"","")),"")</f>
        <v/>
      </c>
      <c r="L3517" s="19">
        <f>IF(I3517="","",IFERROR(INDEX(catAlim,MATCH(D3517,catNom,0))&amp;"",""))</f>
        <v/>
      </c>
      <c r="M3517" s="19">
        <f>IF(I3517="","",IFERROR(INDEX(catComida,MATCH(D3517,catNom,0))&amp;"",""))</f>
        <v/>
      </c>
      <c r="N3517" s="19">
        <f>IF(I3517="","",IFERROR(INDEX(ctaMon,MATCH(E3517,ctaNom,0))&amp;"","DOP"))</f>
        <v/>
      </c>
      <c r="O3517" s="20">
        <f>IF(I3517="","",C3517*IF(N3517="USD",TasaUSD,1))</f>
        <v/>
      </c>
      <c r="P3517" s="20">
        <f>IF(I3517="","",IF(I3517="Gasto",O3517,0))</f>
        <v/>
      </c>
      <c r="Q3517" s="20">
        <f>IF(I3517="","",IF(I3517="Ingreso",O3517,0))</f>
        <v/>
      </c>
      <c r="R3517" s="20">
        <f>IF(I3517="","",IF(I3517="Trading",O3517,0))</f>
        <v/>
      </c>
      <c r="S3517" s="19">
        <f>IF(I3517="","",IF(AND(I3517="Gasto",K3517="Variable",J3517&lt;&gt;"Trading",O3517&gt;0,O3517&lt;=Umbral),1,0))</f>
        <v/>
      </c>
      <c r="T3517" s="20">
        <f>IF(OR(I3517="",E3517=""),"",IF(OR(I3517="Gasto",I3517="Transferencia",I3517="Pago tarjeta"),-1,1)*C3517)</f>
        <v/>
      </c>
      <c r="U3517" s="20">
        <f>IF(OR(G3517="",AND(I3517&lt;&gt;"Transferencia",I3517&lt;&gt;"Pago tarjeta")),"",IF(IFERROR(INDEX(ctaMon,MATCH(G3517,ctaNom,0))&amp;"","DOP")=N3517,C3517,IF(N3517="USD",C3517*TasaUSD,C3517/TasaUSD)))</f>
        <v/>
      </c>
      <c r="V3517" s="20">
        <f>IF(I3517="","",IF(IFERROR(INDEX(ctaLiq,MATCH(E3517,ctaNom,0))="Sí",FALSE),IF(OR(I3517="Gasto",I3517="Transferencia",I3517="Pago tarjeta"),-1,1)*O3517,0)+IF(AND(U3517&lt;&gt;"",IFERROR(INDEX(ctaLiq,MATCH(G3517,ctaNom,0))="Sí",FALSE)),O3517,0))</f>
        <v/>
      </c>
      <c r="W3517" s="19">
        <f>IF(OR(F3517="",I3517=""),"",IF(COUNTIFS(F$6:F3517,F3517,I$6:I3517,"?*")=1,MAX(W$5:W3516)+1,""))</f>
        <v/>
      </c>
    </row>
    <row r="3518">
      <c r="B3518" s="15" t="n"/>
      <c r="C3518" s="16" t="n"/>
      <c r="D3518" s="17" t="n"/>
      <c r="E3518" s="17" t="n"/>
      <c r="F3518" s="17" t="n"/>
      <c r="G3518" s="17" t="n"/>
      <c r="H3518" s="18">
        <f>IF(AND(B3518="",C3518="",D3518="",E3518=""),"",IF(B3518="","⚠ Falta fecha",IF(C3518="","⚠ Falta monto",IF(D3518="","⚠ Falta categoría",IF(ISNA(MATCH(D3518,catNom,0)),"⚠ Categoría no existe",IF(E3518="","⚠ Falta cuenta",IF(ISNA(MATCH(E3518,ctaNom,0)),"⚠ Cuenta no existe",IF(AND(OR(I3518="Transferencia",I3518="Pago tarjeta"),G3518=""),"⚠ Indica la cuenta «Hacia»",IF(AND(G3518&lt;&gt;"",G3518=E3518),"⚠ «Hacia» igual a la cuenta",IF(AND(G3518&lt;&gt;"",ISNA(MATCH(G3518,ctaNom,0))),"⚠ «Hacia» no existe",IF(AND(I3518="Pago tarjeta",IFERROR(INDEX(ctaTipo,MATCH(G3518,ctaNom,0)),"")&lt;&gt;"Tarjeta de crédito"),"⚠ «Hacia» debe ser la tarjeta",IF(AND(I3518="Trading",IFERROR(INDEX(ctaTipo,MATCH(E3518,ctaNom,0)),"")&lt;&gt;"Cuenta de trading"),"⚠ Usa la cuenta de trading","✓"))))))))))))</f>
        <v/>
      </c>
      <c r="I3518" s="19">
        <f>IF(OR(B3518="",C3518="",D3518=""),"",IFERROR(INDEX(catTipo,MATCH(D3518,catNom,0))&amp;"",""))</f>
        <v/>
      </c>
      <c r="J3518" s="19">
        <f>IF(I3518="","",IFERROR(INDEX(catGrupo,MATCH(D3518,catNom,0))&amp;"",""))</f>
        <v/>
      </c>
      <c r="K3518" s="19">
        <f>IF(I3518="Gasto",IF(IFERROR(INDEX(catClas,MATCH(D3518,catNom,0))&amp;"","")="","Variable",IFERROR(INDEX(catClas,MATCH(D3518,catNom,0))&amp;"","")),"")</f>
        <v/>
      </c>
      <c r="L3518" s="19">
        <f>IF(I3518="","",IFERROR(INDEX(catAlim,MATCH(D3518,catNom,0))&amp;"",""))</f>
        <v/>
      </c>
      <c r="M3518" s="19">
        <f>IF(I3518="","",IFERROR(INDEX(catComida,MATCH(D3518,catNom,0))&amp;"",""))</f>
        <v/>
      </c>
      <c r="N3518" s="19">
        <f>IF(I3518="","",IFERROR(INDEX(ctaMon,MATCH(E3518,ctaNom,0))&amp;"","DOP"))</f>
        <v/>
      </c>
      <c r="O3518" s="20">
        <f>IF(I3518="","",C3518*IF(N3518="USD",TasaUSD,1))</f>
        <v/>
      </c>
      <c r="P3518" s="20">
        <f>IF(I3518="","",IF(I3518="Gasto",O3518,0))</f>
        <v/>
      </c>
      <c r="Q3518" s="20">
        <f>IF(I3518="","",IF(I3518="Ingreso",O3518,0))</f>
        <v/>
      </c>
      <c r="R3518" s="20">
        <f>IF(I3518="","",IF(I3518="Trading",O3518,0))</f>
        <v/>
      </c>
      <c r="S3518" s="19">
        <f>IF(I3518="","",IF(AND(I3518="Gasto",K3518="Variable",J3518&lt;&gt;"Trading",O3518&gt;0,O3518&lt;=Umbral),1,0))</f>
        <v/>
      </c>
      <c r="T3518" s="20">
        <f>IF(OR(I3518="",E3518=""),"",IF(OR(I3518="Gasto",I3518="Transferencia",I3518="Pago tarjeta"),-1,1)*C3518)</f>
        <v/>
      </c>
      <c r="U3518" s="20">
        <f>IF(OR(G3518="",AND(I3518&lt;&gt;"Transferencia",I3518&lt;&gt;"Pago tarjeta")),"",IF(IFERROR(INDEX(ctaMon,MATCH(G3518,ctaNom,0))&amp;"","DOP")=N3518,C3518,IF(N3518="USD",C3518*TasaUSD,C3518/TasaUSD)))</f>
        <v/>
      </c>
      <c r="V3518" s="20">
        <f>IF(I3518="","",IF(IFERROR(INDEX(ctaLiq,MATCH(E3518,ctaNom,0))="Sí",FALSE),IF(OR(I3518="Gasto",I3518="Transferencia",I3518="Pago tarjeta"),-1,1)*O3518,0)+IF(AND(U3518&lt;&gt;"",IFERROR(INDEX(ctaLiq,MATCH(G3518,ctaNom,0))="Sí",FALSE)),O3518,0))</f>
        <v/>
      </c>
      <c r="W3518" s="19">
        <f>IF(OR(F3518="",I3518=""),"",IF(COUNTIFS(F$6:F3518,F3518,I$6:I3518,"?*")=1,MAX(W$5:W3517)+1,""))</f>
        <v/>
      </c>
    </row>
    <row r="3519">
      <c r="B3519" s="15" t="n"/>
      <c r="C3519" s="16" t="n"/>
      <c r="D3519" s="17" t="n"/>
      <c r="E3519" s="17" t="n"/>
      <c r="F3519" s="17" t="n"/>
      <c r="G3519" s="17" t="n"/>
      <c r="H3519" s="18">
        <f>IF(AND(B3519="",C3519="",D3519="",E3519=""),"",IF(B3519="","⚠ Falta fecha",IF(C3519="","⚠ Falta monto",IF(D3519="","⚠ Falta categoría",IF(ISNA(MATCH(D3519,catNom,0)),"⚠ Categoría no existe",IF(E3519="","⚠ Falta cuenta",IF(ISNA(MATCH(E3519,ctaNom,0)),"⚠ Cuenta no existe",IF(AND(OR(I3519="Transferencia",I3519="Pago tarjeta"),G3519=""),"⚠ Indica la cuenta «Hacia»",IF(AND(G3519&lt;&gt;"",G3519=E3519),"⚠ «Hacia» igual a la cuenta",IF(AND(G3519&lt;&gt;"",ISNA(MATCH(G3519,ctaNom,0))),"⚠ «Hacia» no existe",IF(AND(I3519="Pago tarjeta",IFERROR(INDEX(ctaTipo,MATCH(G3519,ctaNom,0)),"")&lt;&gt;"Tarjeta de crédito"),"⚠ «Hacia» debe ser la tarjeta",IF(AND(I3519="Trading",IFERROR(INDEX(ctaTipo,MATCH(E3519,ctaNom,0)),"")&lt;&gt;"Cuenta de trading"),"⚠ Usa la cuenta de trading","✓"))))))))))))</f>
        <v/>
      </c>
      <c r="I3519" s="19">
        <f>IF(OR(B3519="",C3519="",D3519=""),"",IFERROR(INDEX(catTipo,MATCH(D3519,catNom,0))&amp;"",""))</f>
        <v/>
      </c>
      <c r="J3519" s="19">
        <f>IF(I3519="","",IFERROR(INDEX(catGrupo,MATCH(D3519,catNom,0))&amp;"",""))</f>
        <v/>
      </c>
      <c r="K3519" s="19">
        <f>IF(I3519="Gasto",IF(IFERROR(INDEX(catClas,MATCH(D3519,catNom,0))&amp;"","")="","Variable",IFERROR(INDEX(catClas,MATCH(D3519,catNom,0))&amp;"","")),"")</f>
        <v/>
      </c>
      <c r="L3519" s="19">
        <f>IF(I3519="","",IFERROR(INDEX(catAlim,MATCH(D3519,catNom,0))&amp;"",""))</f>
        <v/>
      </c>
      <c r="M3519" s="19">
        <f>IF(I3519="","",IFERROR(INDEX(catComida,MATCH(D3519,catNom,0))&amp;"",""))</f>
        <v/>
      </c>
      <c r="N3519" s="19">
        <f>IF(I3519="","",IFERROR(INDEX(ctaMon,MATCH(E3519,ctaNom,0))&amp;"","DOP"))</f>
        <v/>
      </c>
      <c r="O3519" s="20">
        <f>IF(I3519="","",C3519*IF(N3519="USD",TasaUSD,1))</f>
        <v/>
      </c>
      <c r="P3519" s="20">
        <f>IF(I3519="","",IF(I3519="Gasto",O3519,0))</f>
        <v/>
      </c>
      <c r="Q3519" s="20">
        <f>IF(I3519="","",IF(I3519="Ingreso",O3519,0))</f>
        <v/>
      </c>
      <c r="R3519" s="20">
        <f>IF(I3519="","",IF(I3519="Trading",O3519,0))</f>
        <v/>
      </c>
      <c r="S3519" s="19">
        <f>IF(I3519="","",IF(AND(I3519="Gasto",K3519="Variable",J3519&lt;&gt;"Trading",O3519&gt;0,O3519&lt;=Umbral),1,0))</f>
        <v/>
      </c>
      <c r="T3519" s="20">
        <f>IF(OR(I3519="",E3519=""),"",IF(OR(I3519="Gasto",I3519="Transferencia",I3519="Pago tarjeta"),-1,1)*C3519)</f>
        <v/>
      </c>
      <c r="U3519" s="20">
        <f>IF(OR(G3519="",AND(I3519&lt;&gt;"Transferencia",I3519&lt;&gt;"Pago tarjeta")),"",IF(IFERROR(INDEX(ctaMon,MATCH(G3519,ctaNom,0))&amp;"","DOP")=N3519,C3519,IF(N3519="USD",C3519*TasaUSD,C3519/TasaUSD)))</f>
        <v/>
      </c>
      <c r="V3519" s="20">
        <f>IF(I3519="","",IF(IFERROR(INDEX(ctaLiq,MATCH(E3519,ctaNom,0))="Sí",FALSE),IF(OR(I3519="Gasto",I3519="Transferencia",I3519="Pago tarjeta"),-1,1)*O3519,0)+IF(AND(U3519&lt;&gt;"",IFERROR(INDEX(ctaLiq,MATCH(G3519,ctaNom,0))="Sí",FALSE)),O3519,0))</f>
        <v/>
      </c>
      <c r="W3519" s="19">
        <f>IF(OR(F3519="",I3519=""),"",IF(COUNTIFS(F$6:F3519,F3519,I$6:I3519,"?*")=1,MAX(W$5:W3518)+1,""))</f>
        <v/>
      </c>
    </row>
    <row r="3520">
      <c r="B3520" s="15" t="n"/>
      <c r="C3520" s="16" t="n"/>
      <c r="D3520" s="17" t="n"/>
      <c r="E3520" s="17" t="n"/>
      <c r="F3520" s="17" t="n"/>
      <c r="G3520" s="17" t="n"/>
      <c r="H3520" s="18">
        <f>IF(AND(B3520="",C3520="",D3520="",E3520=""),"",IF(B3520="","⚠ Falta fecha",IF(C3520="","⚠ Falta monto",IF(D3520="","⚠ Falta categoría",IF(ISNA(MATCH(D3520,catNom,0)),"⚠ Categoría no existe",IF(E3520="","⚠ Falta cuenta",IF(ISNA(MATCH(E3520,ctaNom,0)),"⚠ Cuenta no existe",IF(AND(OR(I3520="Transferencia",I3520="Pago tarjeta"),G3520=""),"⚠ Indica la cuenta «Hacia»",IF(AND(G3520&lt;&gt;"",G3520=E3520),"⚠ «Hacia» igual a la cuenta",IF(AND(G3520&lt;&gt;"",ISNA(MATCH(G3520,ctaNom,0))),"⚠ «Hacia» no existe",IF(AND(I3520="Pago tarjeta",IFERROR(INDEX(ctaTipo,MATCH(G3520,ctaNom,0)),"")&lt;&gt;"Tarjeta de crédito"),"⚠ «Hacia» debe ser la tarjeta",IF(AND(I3520="Trading",IFERROR(INDEX(ctaTipo,MATCH(E3520,ctaNom,0)),"")&lt;&gt;"Cuenta de trading"),"⚠ Usa la cuenta de trading","✓"))))))))))))</f>
        <v/>
      </c>
      <c r="I3520" s="19">
        <f>IF(OR(B3520="",C3520="",D3520=""),"",IFERROR(INDEX(catTipo,MATCH(D3520,catNom,0))&amp;"",""))</f>
        <v/>
      </c>
      <c r="J3520" s="19">
        <f>IF(I3520="","",IFERROR(INDEX(catGrupo,MATCH(D3520,catNom,0))&amp;"",""))</f>
        <v/>
      </c>
      <c r="K3520" s="19">
        <f>IF(I3520="Gasto",IF(IFERROR(INDEX(catClas,MATCH(D3520,catNom,0))&amp;"","")="","Variable",IFERROR(INDEX(catClas,MATCH(D3520,catNom,0))&amp;"","")),"")</f>
        <v/>
      </c>
      <c r="L3520" s="19">
        <f>IF(I3520="","",IFERROR(INDEX(catAlim,MATCH(D3520,catNom,0))&amp;"",""))</f>
        <v/>
      </c>
      <c r="M3520" s="19">
        <f>IF(I3520="","",IFERROR(INDEX(catComida,MATCH(D3520,catNom,0))&amp;"",""))</f>
        <v/>
      </c>
      <c r="N3520" s="19">
        <f>IF(I3520="","",IFERROR(INDEX(ctaMon,MATCH(E3520,ctaNom,0))&amp;"","DOP"))</f>
        <v/>
      </c>
      <c r="O3520" s="20">
        <f>IF(I3520="","",C3520*IF(N3520="USD",TasaUSD,1))</f>
        <v/>
      </c>
      <c r="P3520" s="20">
        <f>IF(I3520="","",IF(I3520="Gasto",O3520,0))</f>
        <v/>
      </c>
      <c r="Q3520" s="20">
        <f>IF(I3520="","",IF(I3520="Ingreso",O3520,0))</f>
        <v/>
      </c>
      <c r="R3520" s="20">
        <f>IF(I3520="","",IF(I3520="Trading",O3520,0))</f>
        <v/>
      </c>
      <c r="S3520" s="19">
        <f>IF(I3520="","",IF(AND(I3520="Gasto",K3520="Variable",J3520&lt;&gt;"Trading",O3520&gt;0,O3520&lt;=Umbral),1,0))</f>
        <v/>
      </c>
      <c r="T3520" s="20">
        <f>IF(OR(I3520="",E3520=""),"",IF(OR(I3520="Gasto",I3520="Transferencia",I3520="Pago tarjeta"),-1,1)*C3520)</f>
        <v/>
      </c>
      <c r="U3520" s="20">
        <f>IF(OR(G3520="",AND(I3520&lt;&gt;"Transferencia",I3520&lt;&gt;"Pago tarjeta")),"",IF(IFERROR(INDEX(ctaMon,MATCH(G3520,ctaNom,0))&amp;"","DOP")=N3520,C3520,IF(N3520="USD",C3520*TasaUSD,C3520/TasaUSD)))</f>
        <v/>
      </c>
      <c r="V3520" s="20">
        <f>IF(I3520="","",IF(IFERROR(INDEX(ctaLiq,MATCH(E3520,ctaNom,0))="Sí",FALSE),IF(OR(I3520="Gasto",I3520="Transferencia",I3520="Pago tarjeta"),-1,1)*O3520,0)+IF(AND(U3520&lt;&gt;"",IFERROR(INDEX(ctaLiq,MATCH(G3520,ctaNom,0))="Sí",FALSE)),O3520,0))</f>
        <v/>
      </c>
      <c r="W3520" s="19">
        <f>IF(OR(F3520="",I3520=""),"",IF(COUNTIFS(F$6:F3520,F3520,I$6:I3520,"?*")=1,MAX(W$5:W3519)+1,""))</f>
        <v/>
      </c>
    </row>
    <row r="3521">
      <c r="B3521" s="15" t="n"/>
      <c r="C3521" s="16" t="n"/>
      <c r="D3521" s="17" t="n"/>
      <c r="E3521" s="17" t="n"/>
      <c r="F3521" s="17" t="n"/>
      <c r="G3521" s="17" t="n"/>
      <c r="H3521" s="18">
        <f>IF(AND(B3521="",C3521="",D3521="",E3521=""),"",IF(B3521="","⚠ Falta fecha",IF(C3521="","⚠ Falta monto",IF(D3521="","⚠ Falta categoría",IF(ISNA(MATCH(D3521,catNom,0)),"⚠ Categoría no existe",IF(E3521="","⚠ Falta cuenta",IF(ISNA(MATCH(E3521,ctaNom,0)),"⚠ Cuenta no existe",IF(AND(OR(I3521="Transferencia",I3521="Pago tarjeta"),G3521=""),"⚠ Indica la cuenta «Hacia»",IF(AND(G3521&lt;&gt;"",G3521=E3521),"⚠ «Hacia» igual a la cuenta",IF(AND(G3521&lt;&gt;"",ISNA(MATCH(G3521,ctaNom,0))),"⚠ «Hacia» no existe",IF(AND(I3521="Pago tarjeta",IFERROR(INDEX(ctaTipo,MATCH(G3521,ctaNom,0)),"")&lt;&gt;"Tarjeta de crédito"),"⚠ «Hacia» debe ser la tarjeta",IF(AND(I3521="Trading",IFERROR(INDEX(ctaTipo,MATCH(E3521,ctaNom,0)),"")&lt;&gt;"Cuenta de trading"),"⚠ Usa la cuenta de trading","✓"))))))))))))</f>
        <v/>
      </c>
      <c r="I3521" s="19">
        <f>IF(OR(B3521="",C3521="",D3521=""),"",IFERROR(INDEX(catTipo,MATCH(D3521,catNom,0))&amp;"",""))</f>
        <v/>
      </c>
      <c r="J3521" s="19">
        <f>IF(I3521="","",IFERROR(INDEX(catGrupo,MATCH(D3521,catNom,0))&amp;"",""))</f>
        <v/>
      </c>
      <c r="K3521" s="19">
        <f>IF(I3521="Gasto",IF(IFERROR(INDEX(catClas,MATCH(D3521,catNom,0))&amp;"","")="","Variable",IFERROR(INDEX(catClas,MATCH(D3521,catNom,0))&amp;"","")),"")</f>
        <v/>
      </c>
      <c r="L3521" s="19">
        <f>IF(I3521="","",IFERROR(INDEX(catAlim,MATCH(D3521,catNom,0))&amp;"",""))</f>
        <v/>
      </c>
      <c r="M3521" s="19">
        <f>IF(I3521="","",IFERROR(INDEX(catComida,MATCH(D3521,catNom,0))&amp;"",""))</f>
        <v/>
      </c>
      <c r="N3521" s="19">
        <f>IF(I3521="","",IFERROR(INDEX(ctaMon,MATCH(E3521,ctaNom,0))&amp;"","DOP"))</f>
        <v/>
      </c>
      <c r="O3521" s="20">
        <f>IF(I3521="","",C3521*IF(N3521="USD",TasaUSD,1))</f>
        <v/>
      </c>
      <c r="P3521" s="20">
        <f>IF(I3521="","",IF(I3521="Gasto",O3521,0))</f>
        <v/>
      </c>
      <c r="Q3521" s="20">
        <f>IF(I3521="","",IF(I3521="Ingreso",O3521,0))</f>
        <v/>
      </c>
      <c r="R3521" s="20">
        <f>IF(I3521="","",IF(I3521="Trading",O3521,0))</f>
        <v/>
      </c>
      <c r="S3521" s="19">
        <f>IF(I3521="","",IF(AND(I3521="Gasto",K3521="Variable",J3521&lt;&gt;"Trading",O3521&gt;0,O3521&lt;=Umbral),1,0))</f>
        <v/>
      </c>
      <c r="T3521" s="20">
        <f>IF(OR(I3521="",E3521=""),"",IF(OR(I3521="Gasto",I3521="Transferencia",I3521="Pago tarjeta"),-1,1)*C3521)</f>
        <v/>
      </c>
      <c r="U3521" s="20">
        <f>IF(OR(G3521="",AND(I3521&lt;&gt;"Transferencia",I3521&lt;&gt;"Pago tarjeta")),"",IF(IFERROR(INDEX(ctaMon,MATCH(G3521,ctaNom,0))&amp;"","DOP")=N3521,C3521,IF(N3521="USD",C3521*TasaUSD,C3521/TasaUSD)))</f>
        <v/>
      </c>
      <c r="V3521" s="20">
        <f>IF(I3521="","",IF(IFERROR(INDEX(ctaLiq,MATCH(E3521,ctaNom,0))="Sí",FALSE),IF(OR(I3521="Gasto",I3521="Transferencia",I3521="Pago tarjeta"),-1,1)*O3521,0)+IF(AND(U3521&lt;&gt;"",IFERROR(INDEX(ctaLiq,MATCH(G3521,ctaNom,0))="Sí",FALSE)),O3521,0))</f>
        <v/>
      </c>
      <c r="W3521" s="19">
        <f>IF(OR(F3521="",I3521=""),"",IF(COUNTIFS(F$6:F3521,F3521,I$6:I3521,"?*")=1,MAX(W$5:W3520)+1,""))</f>
        <v/>
      </c>
    </row>
    <row r="3522">
      <c r="B3522" s="15" t="n"/>
      <c r="C3522" s="16" t="n"/>
      <c r="D3522" s="17" t="n"/>
      <c r="E3522" s="17" t="n"/>
      <c r="F3522" s="17" t="n"/>
      <c r="G3522" s="17" t="n"/>
      <c r="H3522" s="18">
        <f>IF(AND(B3522="",C3522="",D3522="",E3522=""),"",IF(B3522="","⚠ Falta fecha",IF(C3522="","⚠ Falta monto",IF(D3522="","⚠ Falta categoría",IF(ISNA(MATCH(D3522,catNom,0)),"⚠ Categoría no existe",IF(E3522="","⚠ Falta cuenta",IF(ISNA(MATCH(E3522,ctaNom,0)),"⚠ Cuenta no existe",IF(AND(OR(I3522="Transferencia",I3522="Pago tarjeta"),G3522=""),"⚠ Indica la cuenta «Hacia»",IF(AND(G3522&lt;&gt;"",G3522=E3522),"⚠ «Hacia» igual a la cuenta",IF(AND(G3522&lt;&gt;"",ISNA(MATCH(G3522,ctaNom,0))),"⚠ «Hacia» no existe",IF(AND(I3522="Pago tarjeta",IFERROR(INDEX(ctaTipo,MATCH(G3522,ctaNom,0)),"")&lt;&gt;"Tarjeta de crédito"),"⚠ «Hacia» debe ser la tarjeta",IF(AND(I3522="Trading",IFERROR(INDEX(ctaTipo,MATCH(E3522,ctaNom,0)),"")&lt;&gt;"Cuenta de trading"),"⚠ Usa la cuenta de trading","✓"))))))))))))</f>
        <v/>
      </c>
      <c r="I3522" s="19">
        <f>IF(OR(B3522="",C3522="",D3522=""),"",IFERROR(INDEX(catTipo,MATCH(D3522,catNom,0))&amp;"",""))</f>
        <v/>
      </c>
      <c r="J3522" s="19">
        <f>IF(I3522="","",IFERROR(INDEX(catGrupo,MATCH(D3522,catNom,0))&amp;"",""))</f>
        <v/>
      </c>
      <c r="K3522" s="19">
        <f>IF(I3522="Gasto",IF(IFERROR(INDEX(catClas,MATCH(D3522,catNom,0))&amp;"","")="","Variable",IFERROR(INDEX(catClas,MATCH(D3522,catNom,0))&amp;"","")),"")</f>
        <v/>
      </c>
      <c r="L3522" s="19">
        <f>IF(I3522="","",IFERROR(INDEX(catAlim,MATCH(D3522,catNom,0))&amp;"",""))</f>
        <v/>
      </c>
      <c r="M3522" s="19">
        <f>IF(I3522="","",IFERROR(INDEX(catComida,MATCH(D3522,catNom,0))&amp;"",""))</f>
        <v/>
      </c>
      <c r="N3522" s="19">
        <f>IF(I3522="","",IFERROR(INDEX(ctaMon,MATCH(E3522,ctaNom,0))&amp;"","DOP"))</f>
        <v/>
      </c>
      <c r="O3522" s="20">
        <f>IF(I3522="","",C3522*IF(N3522="USD",TasaUSD,1))</f>
        <v/>
      </c>
      <c r="P3522" s="20">
        <f>IF(I3522="","",IF(I3522="Gasto",O3522,0))</f>
        <v/>
      </c>
      <c r="Q3522" s="20">
        <f>IF(I3522="","",IF(I3522="Ingreso",O3522,0))</f>
        <v/>
      </c>
      <c r="R3522" s="20">
        <f>IF(I3522="","",IF(I3522="Trading",O3522,0))</f>
        <v/>
      </c>
      <c r="S3522" s="19">
        <f>IF(I3522="","",IF(AND(I3522="Gasto",K3522="Variable",J3522&lt;&gt;"Trading",O3522&gt;0,O3522&lt;=Umbral),1,0))</f>
        <v/>
      </c>
      <c r="T3522" s="20">
        <f>IF(OR(I3522="",E3522=""),"",IF(OR(I3522="Gasto",I3522="Transferencia",I3522="Pago tarjeta"),-1,1)*C3522)</f>
        <v/>
      </c>
      <c r="U3522" s="20">
        <f>IF(OR(G3522="",AND(I3522&lt;&gt;"Transferencia",I3522&lt;&gt;"Pago tarjeta")),"",IF(IFERROR(INDEX(ctaMon,MATCH(G3522,ctaNom,0))&amp;"","DOP")=N3522,C3522,IF(N3522="USD",C3522*TasaUSD,C3522/TasaUSD)))</f>
        <v/>
      </c>
      <c r="V3522" s="20">
        <f>IF(I3522="","",IF(IFERROR(INDEX(ctaLiq,MATCH(E3522,ctaNom,0))="Sí",FALSE),IF(OR(I3522="Gasto",I3522="Transferencia",I3522="Pago tarjeta"),-1,1)*O3522,0)+IF(AND(U3522&lt;&gt;"",IFERROR(INDEX(ctaLiq,MATCH(G3522,ctaNom,0))="Sí",FALSE)),O3522,0))</f>
        <v/>
      </c>
      <c r="W3522" s="19">
        <f>IF(OR(F3522="",I3522=""),"",IF(COUNTIFS(F$6:F3522,F3522,I$6:I3522,"?*")=1,MAX(W$5:W3521)+1,""))</f>
        <v/>
      </c>
    </row>
    <row r="3523">
      <c r="B3523" s="15" t="n"/>
      <c r="C3523" s="16" t="n"/>
      <c r="D3523" s="17" t="n"/>
      <c r="E3523" s="17" t="n"/>
      <c r="F3523" s="17" t="n"/>
      <c r="G3523" s="17" t="n"/>
      <c r="H3523" s="18">
        <f>IF(AND(B3523="",C3523="",D3523="",E3523=""),"",IF(B3523="","⚠ Falta fecha",IF(C3523="","⚠ Falta monto",IF(D3523="","⚠ Falta categoría",IF(ISNA(MATCH(D3523,catNom,0)),"⚠ Categoría no existe",IF(E3523="","⚠ Falta cuenta",IF(ISNA(MATCH(E3523,ctaNom,0)),"⚠ Cuenta no existe",IF(AND(OR(I3523="Transferencia",I3523="Pago tarjeta"),G3523=""),"⚠ Indica la cuenta «Hacia»",IF(AND(G3523&lt;&gt;"",G3523=E3523),"⚠ «Hacia» igual a la cuenta",IF(AND(G3523&lt;&gt;"",ISNA(MATCH(G3523,ctaNom,0))),"⚠ «Hacia» no existe",IF(AND(I3523="Pago tarjeta",IFERROR(INDEX(ctaTipo,MATCH(G3523,ctaNom,0)),"")&lt;&gt;"Tarjeta de crédito"),"⚠ «Hacia» debe ser la tarjeta",IF(AND(I3523="Trading",IFERROR(INDEX(ctaTipo,MATCH(E3523,ctaNom,0)),"")&lt;&gt;"Cuenta de trading"),"⚠ Usa la cuenta de trading","✓"))))))))))))</f>
        <v/>
      </c>
      <c r="I3523" s="19">
        <f>IF(OR(B3523="",C3523="",D3523=""),"",IFERROR(INDEX(catTipo,MATCH(D3523,catNom,0))&amp;"",""))</f>
        <v/>
      </c>
      <c r="J3523" s="19">
        <f>IF(I3523="","",IFERROR(INDEX(catGrupo,MATCH(D3523,catNom,0))&amp;"",""))</f>
        <v/>
      </c>
      <c r="K3523" s="19">
        <f>IF(I3523="Gasto",IF(IFERROR(INDEX(catClas,MATCH(D3523,catNom,0))&amp;"","")="","Variable",IFERROR(INDEX(catClas,MATCH(D3523,catNom,0))&amp;"","")),"")</f>
        <v/>
      </c>
      <c r="L3523" s="19">
        <f>IF(I3523="","",IFERROR(INDEX(catAlim,MATCH(D3523,catNom,0))&amp;"",""))</f>
        <v/>
      </c>
      <c r="M3523" s="19">
        <f>IF(I3523="","",IFERROR(INDEX(catComida,MATCH(D3523,catNom,0))&amp;"",""))</f>
        <v/>
      </c>
      <c r="N3523" s="19">
        <f>IF(I3523="","",IFERROR(INDEX(ctaMon,MATCH(E3523,ctaNom,0))&amp;"","DOP"))</f>
        <v/>
      </c>
      <c r="O3523" s="20">
        <f>IF(I3523="","",C3523*IF(N3523="USD",TasaUSD,1))</f>
        <v/>
      </c>
      <c r="P3523" s="20">
        <f>IF(I3523="","",IF(I3523="Gasto",O3523,0))</f>
        <v/>
      </c>
      <c r="Q3523" s="20">
        <f>IF(I3523="","",IF(I3523="Ingreso",O3523,0))</f>
        <v/>
      </c>
      <c r="R3523" s="20">
        <f>IF(I3523="","",IF(I3523="Trading",O3523,0))</f>
        <v/>
      </c>
      <c r="S3523" s="19">
        <f>IF(I3523="","",IF(AND(I3523="Gasto",K3523="Variable",J3523&lt;&gt;"Trading",O3523&gt;0,O3523&lt;=Umbral),1,0))</f>
        <v/>
      </c>
      <c r="T3523" s="20">
        <f>IF(OR(I3523="",E3523=""),"",IF(OR(I3523="Gasto",I3523="Transferencia",I3523="Pago tarjeta"),-1,1)*C3523)</f>
        <v/>
      </c>
      <c r="U3523" s="20">
        <f>IF(OR(G3523="",AND(I3523&lt;&gt;"Transferencia",I3523&lt;&gt;"Pago tarjeta")),"",IF(IFERROR(INDEX(ctaMon,MATCH(G3523,ctaNom,0))&amp;"","DOP")=N3523,C3523,IF(N3523="USD",C3523*TasaUSD,C3523/TasaUSD)))</f>
        <v/>
      </c>
      <c r="V3523" s="20">
        <f>IF(I3523="","",IF(IFERROR(INDEX(ctaLiq,MATCH(E3523,ctaNom,0))="Sí",FALSE),IF(OR(I3523="Gasto",I3523="Transferencia",I3523="Pago tarjeta"),-1,1)*O3523,0)+IF(AND(U3523&lt;&gt;"",IFERROR(INDEX(ctaLiq,MATCH(G3523,ctaNom,0))="Sí",FALSE)),O3523,0))</f>
        <v/>
      </c>
      <c r="W3523" s="19">
        <f>IF(OR(F3523="",I3523=""),"",IF(COUNTIFS(F$6:F3523,F3523,I$6:I3523,"?*")=1,MAX(W$5:W3522)+1,""))</f>
        <v/>
      </c>
    </row>
    <row r="3524">
      <c r="B3524" s="15" t="n"/>
      <c r="C3524" s="16" t="n"/>
      <c r="D3524" s="17" t="n"/>
      <c r="E3524" s="17" t="n"/>
      <c r="F3524" s="17" t="n"/>
      <c r="G3524" s="17" t="n"/>
      <c r="H3524" s="18">
        <f>IF(AND(B3524="",C3524="",D3524="",E3524=""),"",IF(B3524="","⚠ Falta fecha",IF(C3524="","⚠ Falta monto",IF(D3524="","⚠ Falta categoría",IF(ISNA(MATCH(D3524,catNom,0)),"⚠ Categoría no existe",IF(E3524="","⚠ Falta cuenta",IF(ISNA(MATCH(E3524,ctaNom,0)),"⚠ Cuenta no existe",IF(AND(OR(I3524="Transferencia",I3524="Pago tarjeta"),G3524=""),"⚠ Indica la cuenta «Hacia»",IF(AND(G3524&lt;&gt;"",G3524=E3524),"⚠ «Hacia» igual a la cuenta",IF(AND(G3524&lt;&gt;"",ISNA(MATCH(G3524,ctaNom,0))),"⚠ «Hacia» no existe",IF(AND(I3524="Pago tarjeta",IFERROR(INDEX(ctaTipo,MATCH(G3524,ctaNom,0)),"")&lt;&gt;"Tarjeta de crédito"),"⚠ «Hacia» debe ser la tarjeta",IF(AND(I3524="Trading",IFERROR(INDEX(ctaTipo,MATCH(E3524,ctaNom,0)),"")&lt;&gt;"Cuenta de trading"),"⚠ Usa la cuenta de trading","✓"))))))))))))</f>
        <v/>
      </c>
      <c r="I3524" s="19">
        <f>IF(OR(B3524="",C3524="",D3524=""),"",IFERROR(INDEX(catTipo,MATCH(D3524,catNom,0))&amp;"",""))</f>
        <v/>
      </c>
      <c r="J3524" s="19">
        <f>IF(I3524="","",IFERROR(INDEX(catGrupo,MATCH(D3524,catNom,0))&amp;"",""))</f>
        <v/>
      </c>
      <c r="K3524" s="19">
        <f>IF(I3524="Gasto",IF(IFERROR(INDEX(catClas,MATCH(D3524,catNom,0))&amp;"","")="","Variable",IFERROR(INDEX(catClas,MATCH(D3524,catNom,0))&amp;"","")),"")</f>
        <v/>
      </c>
      <c r="L3524" s="19">
        <f>IF(I3524="","",IFERROR(INDEX(catAlim,MATCH(D3524,catNom,0))&amp;"",""))</f>
        <v/>
      </c>
      <c r="M3524" s="19">
        <f>IF(I3524="","",IFERROR(INDEX(catComida,MATCH(D3524,catNom,0))&amp;"",""))</f>
        <v/>
      </c>
      <c r="N3524" s="19">
        <f>IF(I3524="","",IFERROR(INDEX(ctaMon,MATCH(E3524,ctaNom,0))&amp;"","DOP"))</f>
        <v/>
      </c>
      <c r="O3524" s="20">
        <f>IF(I3524="","",C3524*IF(N3524="USD",TasaUSD,1))</f>
        <v/>
      </c>
      <c r="P3524" s="20">
        <f>IF(I3524="","",IF(I3524="Gasto",O3524,0))</f>
        <v/>
      </c>
      <c r="Q3524" s="20">
        <f>IF(I3524="","",IF(I3524="Ingreso",O3524,0))</f>
        <v/>
      </c>
      <c r="R3524" s="20">
        <f>IF(I3524="","",IF(I3524="Trading",O3524,0))</f>
        <v/>
      </c>
      <c r="S3524" s="19">
        <f>IF(I3524="","",IF(AND(I3524="Gasto",K3524="Variable",J3524&lt;&gt;"Trading",O3524&gt;0,O3524&lt;=Umbral),1,0))</f>
        <v/>
      </c>
      <c r="T3524" s="20">
        <f>IF(OR(I3524="",E3524=""),"",IF(OR(I3524="Gasto",I3524="Transferencia",I3524="Pago tarjeta"),-1,1)*C3524)</f>
        <v/>
      </c>
      <c r="U3524" s="20">
        <f>IF(OR(G3524="",AND(I3524&lt;&gt;"Transferencia",I3524&lt;&gt;"Pago tarjeta")),"",IF(IFERROR(INDEX(ctaMon,MATCH(G3524,ctaNom,0))&amp;"","DOP")=N3524,C3524,IF(N3524="USD",C3524*TasaUSD,C3524/TasaUSD)))</f>
        <v/>
      </c>
      <c r="V3524" s="20">
        <f>IF(I3524="","",IF(IFERROR(INDEX(ctaLiq,MATCH(E3524,ctaNom,0))="Sí",FALSE),IF(OR(I3524="Gasto",I3524="Transferencia",I3524="Pago tarjeta"),-1,1)*O3524,0)+IF(AND(U3524&lt;&gt;"",IFERROR(INDEX(ctaLiq,MATCH(G3524,ctaNom,0))="Sí",FALSE)),O3524,0))</f>
        <v/>
      </c>
      <c r="W3524" s="19">
        <f>IF(OR(F3524="",I3524=""),"",IF(COUNTIFS(F$6:F3524,F3524,I$6:I3524,"?*")=1,MAX(W$5:W3523)+1,""))</f>
        <v/>
      </c>
    </row>
    <row r="3525">
      <c r="B3525" s="15" t="n"/>
      <c r="C3525" s="16" t="n"/>
      <c r="D3525" s="17" t="n"/>
      <c r="E3525" s="17" t="n"/>
      <c r="F3525" s="17" t="n"/>
      <c r="G3525" s="17" t="n"/>
      <c r="H3525" s="18">
        <f>IF(AND(B3525="",C3525="",D3525="",E3525=""),"",IF(B3525="","⚠ Falta fecha",IF(C3525="","⚠ Falta monto",IF(D3525="","⚠ Falta categoría",IF(ISNA(MATCH(D3525,catNom,0)),"⚠ Categoría no existe",IF(E3525="","⚠ Falta cuenta",IF(ISNA(MATCH(E3525,ctaNom,0)),"⚠ Cuenta no existe",IF(AND(OR(I3525="Transferencia",I3525="Pago tarjeta"),G3525=""),"⚠ Indica la cuenta «Hacia»",IF(AND(G3525&lt;&gt;"",G3525=E3525),"⚠ «Hacia» igual a la cuenta",IF(AND(G3525&lt;&gt;"",ISNA(MATCH(G3525,ctaNom,0))),"⚠ «Hacia» no existe",IF(AND(I3525="Pago tarjeta",IFERROR(INDEX(ctaTipo,MATCH(G3525,ctaNom,0)),"")&lt;&gt;"Tarjeta de crédito"),"⚠ «Hacia» debe ser la tarjeta",IF(AND(I3525="Trading",IFERROR(INDEX(ctaTipo,MATCH(E3525,ctaNom,0)),"")&lt;&gt;"Cuenta de trading"),"⚠ Usa la cuenta de trading","✓"))))))))))))</f>
        <v/>
      </c>
      <c r="I3525" s="19">
        <f>IF(OR(B3525="",C3525="",D3525=""),"",IFERROR(INDEX(catTipo,MATCH(D3525,catNom,0))&amp;"",""))</f>
        <v/>
      </c>
      <c r="J3525" s="19">
        <f>IF(I3525="","",IFERROR(INDEX(catGrupo,MATCH(D3525,catNom,0))&amp;"",""))</f>
        <v/>
      </c>
      <c r="K3525" s="19">
        <f>IF(I3525="Gasto",IF(IFERROR(INDEX(catClas,MATCH(D3525,catNom,0))&amp;"","")="","Variable",IFERROR(INDEX(catClas,MATCH(D3525,catNom,0))&amp;"","")),"")</f>
        <v/>
      </c>
      <c r="L3525" s="19">
        <f>IF(I3525="","",IFERROR(INDEX(catAlim,MATCH(D3525,catNom,0))&amp;"",""))</f>
        <v/>
      </c>
      <c r="M3525" s="19">
        <f>IF(I3525="","",IFERROR(INDEX(catComida,MATCH(D3525,catNom,0))&amp;"",""))</f>
        <v/>
      </c>
      <c r="N3525" s="19">
        <f>IF(I3525="","",IFERROR(INDEX(ctaMon,MATCH(E3525,ctaNom,0))&amp;"","DOP"))</f>
        <v/>
      </c>
      <c r="O3525" s="20">
        <f>IF(I3525="","",C3525*IF(N3525="USD",TasaUSD,1))</f>
        <v/>
      </c>
      <c r="P3525" s="20">
        <f>IF(I3525="","",IF(I3525="Gasto",O3525,0))</f>
        <v/>
      </c>
      <c r="Q3525" s="20">
        <f>IF(I3525="","",IF(I3525="Ingreso",O3525,0))</f>
        <v/>
      </c>
      <c r="R3525" s="20">
        <f>IF(I3525="","",IF(I3525="Trading",O3525,0))</f>
        <v/>
      </c>
      <c r="S3525" s="19">
        <f>IF(I3525="","",IF(AND(I3525="Gasto",K3525="Variable",J3525&lt;&gt;"Trading",O3525&gt;0,O3525&lt;=Umbral),1,0))</f>
        <v/>
      </c>
      <c r="T3525" s="20">
        <f>IF(OR(I3525="",E3525=""),"",IF(OR(I3525="Gasto",I3525="Transferencia",I3525="Pago tarjeta"),-1,1)*C3525)</f>
        <v/>
      </c>
      <c r="U3525" s="20">
        <f>IF(OR(G3525="",AND(I3525&lt;&gt;"Transferencia",I3525&lt;&gt;"Pago tarjeta")),"",IF(IFERROR(INDEX(ctaMon,MATCH(G3525,ctaNom,0))&amp;"","DOP")=N3525,C3525,IF(N3525="USD",C3525*TasaUSD,C3525/TasaUSD)))</f>
        <v/>
      </c>
      <c r="V3525" s="20">
        <f>IF(I3525="","",IF(IFERROR(INDEX(ctaLiq,MATCH(E3525,ctaNom,0))="Sí",FALSE),IF(OR(I3525="Gasto",I3525="Transferencia",I3525="Pago tarjeta"),-1,1)*O3525,0)+IF(AND(U3525&lt;&gt;"",IFERROR(INDEX(ctaLiq,MATCH(G3525,ctaNom,0))="Sí",FALSE)),O3525,0))</f>
        <v/>
      </c>
      <c r="W3525" s="19">
        <f>IF(OR(F3525="",I3525=""),"",IF(COUNTIFS(F$6:F3525,F3525,I$6:I3525,"?*")=1,MAX(W$5:W3524)+1,""))</f>
        <v/>
      </c>
    </row>
    <row r="3526">
      <c r="B3526" s="15" t="n"/>
      <c r="C3526" s="16" t="n"/>
      <c r="D3526" s="17" t="n"/>
      <c r="E3526" s="17" t="n"/>
      <c r="F3526" s="17" t="n"/>
      <c r="G3526" s="17" t="n"/>
      <c r="H3526" s="18">
        <f>IF(AND(B3526="",C3526="",D3526="",E3526=""),"",IF(B3526="","⚠ Falta fecha",IF(C3526="","⚠ Falta monto",IF(D3526="","⚠ Falta categoría",IF(ISNA(MATCH(D3526,catNom,0)),"⚠ Categoría no existe",IF(E3526="","⚠ Falta cuenta",IF(ISNA(MATCH(E3526,ctaNom,0)),"⚠ Cuenta no existe",IF(AND(OR(I3526="Transferencia",I3526="Pago tarjeta"),G3526=""),"⚠ Indica la cuenta «Hacia»",IF(AND(G3526&lt;&gt;"",G3526=E3526),"⚠ «Hacia» igual a la cuenta",IF(AND(G3526&lt;&gt;"",ISNA(MATCH(G3526,ctaNom,0))),"⚠ «Hacia» no existe",IF(AND(I3526="Pago tarjeta",IFERROR(INDEX(ctaTipo,MATCH(G3526,ctaNom,0)),"")&lt;&gt;"Tarjeta de crédito"),"⚠ «Hacia» debe ser la tarjeta",IF(AND(I3526="Trading",IFERROR(INDEX(ctaTipo,MATCH(E3526,ctaNom,0)),"")&lt;&gt;"Cuenta de trading"),"⚠ Usa la cuenta de trading","✓"))))))))))))</f>
        <v/>
      </c>
      <c r="I3526" s="19">
        <f>IF(OR(B3526="",C3526="",D3526=""),"",IFERROR(INDEX(catTipo,MATCH(D3526,catNom,0))&amp;"",""))</f>
        <v/>
      </c>
      <c r="J3526" s="19">
        <f>IF(I3526="","",IFERROR(INDEX(catGrupo,MATCH(D3526,catNom,0))&amp;"",""))</f>
        <v/>
      </c>
      <c r="K3526" s="19">
        <f>IF(I3526="Gasto",IF(IFERROR(INDEX(catClas,MATCH(D3526,catNom,0))&amp;"","")="","Variable",IFERROR(INDEX(catClas,MATCH(D3526,catNom,0))&amp;"","")),"")</f>
        <v/>
      </c>
      <c r="L3526" s="19">
        <f>IF(I3526="","",IFERROR(INDEX(catAlim,MATCH(D3526,catNom,0))&amp;"",""))</f>
        <v/>
      </c>
      <c r="M3526" s="19">
        <f>IF(I3526="","",IFERROR(INDEX(catComida,MATCH(D3526,catNom,0))&amp;"",""))</f>
        <v/>
      </c>
      <c r="N3526" s="19">
        <f>IF(I3526="","",IFERROR(INDEX(ctaMon,MATCH(E3526,ctaNom,0))&amp;"","DOP"))</f>
        <v/>
      </c>
      <c r="O3526" s="20">
        <f>IF(I3526="","",C3526*IF(N3526="USD",TasaUSD,1))</f>
        <v/>
      </c>
      <c r="P3526" s="20">
        <f>IF(I3526="","",IF(I3526="Gasto",O3526,0))</f>
        <v/>
      </c>
      <c r="Q3526" s="20">
        <f>IF(I3526="","",IF(I3526="Ingreso",O3526,0))</f>
        <v/>
      </c>
      <c r="R3526" s="20">
        <f>IF(I3526="","",IF(I3526="Trading",O3526,0))</f>
        <v/>
      </c>
      <c r="S3526" s="19">
        <f>IF(I3526="","",IF(AND(I3526="Gasto",K3526="Variable",J3526&lt;&gt;"Trading",O3526&gt;0,O3526&lt;=Umbral),1,0))</f>
        <v/>
      </c>
      <c r="T3526" s="20">
        <f>IF(OR(I3526="",E3526=""),"",IF(OR(I3526="Gasto",I3526="Transferencia",I3526="Pago tarjeta"),-1,1)*C3526)</f>
        <v/>
      </c>
      <c r="U3526" s="20">
        <f>IF(OR(G3526="",AND(I3526&lt;&gt;"Transferencia",I3526&lt;&gt;"Pago tarjeta")),"",IF(IFERROR(INDEX(ctaMon,MATCH(G3526,ctaNom,0))&amp;"","DOP")=N3526,C3526,IF(N3526="USD",C3526*TasaUSD,C3526/TasaUSD)))</f>
        <v/>
      </c>
      <c r="V3526" s="20">
        <f>IF(I3526="","",IF(IFERROR(INDEX(ctaLiq,MATCH(E3526,ctaNom,0))="Sí",FALSE),IF(OR(I3526="Gasto",I3526="Transferencia",I3526="Pago tarjeta"),-1,1)*O3526,0)+IF(AND(U3526&lt;&gt;"",IFERROR(INDEX(ctaLiq,MATCH(G3526,ctaNom,0))="Sí",FALSE)),O3526,0))</f>
        <v/>
      </c>
      <c r="W3526" s="19">
        <f>IF(OR(F3526="",I3526=""),"",IF(COUNTIFS(F$6:F3526,F3526,I$6:I3526,"?*")=1,MAX(W$5:W3525)+1,""))</f>
        <v/>
      </c>
    </row>
    <row r="3527">
      <c r="B3527" s="15" t="n"/>
      <c r="C3527" s="16" t="n"/>
      <c r="D3527" s="17" t="n"/>
      <c r="E3527" s="17" t="n"/>
      <c r="F3527" s="17" t="n"/>
      <c r="G3527" s="17" t="n"/>
      <c r="H3527" s="18">
        <f>IF(AND(B3527="",C3527="",D3527="",E3527=""),"",IF(B3527="","⚠ Falta fecha",IF(C3527="","⚠ Falta monto",IF(D3527="","⚠ Falta categoría",IF(ISNA(MATCH(D3527,catNom,0)),"⚠ Categoría no existe",IF(E3527="","⚠ Falta cuenta",IF(ISNA(MATCH(E3527,ctaNom,0)),"⚠ Cuenta no existe",IF(AND(OR(I3527="Transferencia",I3527="Pago tarjeta"),G3527=""),"⚠ Indica la cuenta «Hacia»",IF(AND(G3527&lt;&gt;"",G3527=E3527),"⚠ «Hacia» igual a la cuenta",IF(AND(G3527&lt;&gt;"",ISNA(MATCH(G3527,ctaNom,0))),"⚠ «Hacia» no existe",IF(AND(I3527="Pago tarjeta",IFERROR(INDEX(ctaTipo,MATCH(G3527,ctaNom,0)),"")&lt;&gt;"Tarjeta de crédito"),"⚠ «Hacia» debe ser la tarjeta",IF(AND(I3527="Trading",IFERROR(INDEX(ctaTipo,MATCH(E3527,ctaNom,0)),"")&lt;&gt;"Cuenta de trading"),"⚠ Usa la cuenta de trading","✓"))))))))))))</f>
        <v/>
      </c>
      <c r="I3527" s="19">
        <f>IF(OR(B3527="",C3527="",D3527=""),"",IFERROR(INDEX(catTipo,MATCH(D3527,catNom,0))&amp;"",""))</f>
        <v/>
      </c>
      <c r="J3527" s="19">
        <f>IF(I3527="","",IFERROR(INDEX(catGrupo,MATCH(D3527,catNom,0))&amp;"",""))</f>
        <v/>
      </c>
      <c r="K3527" s="19">
        <f>IF(I3527="Gasto",IF(IFERROR(INDEX(catClas,MATCH(D3527,catNom,0))&amp;"","")="","Variable",IFERROR(INDEX(catClas,MATCH(D3527,catNom,0))&amp;"","")),"")</f>
        <v/>
      </c>
      <c r="L3527" s="19">
        <f>IF(I3527="","",IFERROR(INDEX(catAlim,MATCH(D3527,catNom,0))&amp;"",""))</f>
        <v/>
      </c>
      <c r="M3527" s="19">
        <f>IF(I3527="","",IFERROR(INDEX(catComida,MATCH(D3527,catNom,0))&amp;"",""))</f>
        <v/>
      </c>
      <c r="N3527" s="19">
        <f>IF(I3527="","",IFERROR(INDEX(ctaMon,MATCH(E3527,ctaNom,0))&amp;"","DOP"))</f>
        <v/>
      </c>
      <c r="O3527" s="20">
        <f>IF(I3527="","",C3527*IF(N3527="USD",TasaUSD,1))</f>
        <v/>
      </c>
      <c r="P3527" s="20">
        <f>IF(I3527="","",IF(I3527="Gasto",O3527,0))</f>
        <v/>
      </c>
      <c r="Q3527" s="20">
        <f>IF(I3527="","",IF(I3527="Ingreso",O3527,0))</f>
        <v/>
      </c>
      <c r="R3527" s="20">
        <f>IF(I3527="","",IF(I3527="Trading",O3527,0))</f>
        <v/>
      </c>
      <c r="S3527" s="19">
        <f>IF(I3527="","",IF(AND(I3527="Gasto",K3527="Variable",J3527&lt;&gt;"Trading",O3527&gt;0,O3527&lt;=Umbral),1,0))</f>
        <v/>
      </c>
      <c r="T3527" s="20">
        <f>IF(OR(I3527="",E3527=""),"",IF(OR(I3527="Gasto",I3527="Transferencia",I3527="Pago tarjeta"),-1,1)*C3527)</f>
        <v/>
      </c>
      <c r="U3527" s="20">
        <f>IF(OR(G3527="",AND(I3527&lt;&gt;"Transferencia",I3527&lt;&gt;"Pago tarjeta")),"",IF(IFERROR(INDEX(ctaMon,MATCH(G3527,ctaNom,0))&amp;"","DOP")=N3527,C3527,IF(N3527="USD",C3527*TasaUSD,C3527/TasaUSD)))</f>
        <v/>
      </c>
      <c r="V3527" s="20">
        <f>IF(I3527="","",IF(IFERROR(INDEX(ctaLiq,MATCH(E3527,ctaNom,0))="Sí",FALSE),IF(OR(I3527="Gasto",I3527="Transferencia",I3527="Pago tarjeta"),-1,1)*O3527,0)+IF(AND(U3527&lt;&gt;"",IFERROR(INDEX(ctaLiq,MATCH(G3527,ctaNom,0))="Sí",FALSE)),O3527,0))</f>
        <v/>
      </c>
      <c r="W3527" s="19">
        <f>IF(OR(F3527="",I3527=""),"",IF(COUNTIFS(F$6:F3527,F3527,I$6:I3527,"?*")=1,MAX(W$5:W3526)+1,""))</f>
        <v/>
      </c>
    </row>
    <row r="3528">
      <c r="B3528" s="15" t="n"/>
      <c r="C3528" s="16" t="n"/>
      <c r="D3528" s="17" t="n"/>
      <c r="E3528" s="17" t="n"/>
      <c r="F3528" s="17" t="n"/>
      <c r="G3528" s="17" t="n"/>
      <c r="H3528" s="18">
        <f>IF(AND(B3528="",C3528="",D3528="",E3528=""),"",IF(B3528="","⚠ Falta fecha",IF(C3528="","⚠ Falta monto",IF(D3528="","⚠ Falta categoría",IF(ISNA(MATCH(D3528,catNom,0)),"⚠ Categoría no existe",IF(E3528="","⚠ Falta cuenta",IF(ISNA(MATCH(E3528,ctaNom,0)),"⚠ Cuenta no existe",IF(AND(OR(I3528="Transferencia",I3528="Pago tarjeta"),G3528=""),"⚠ Indica la cuenta «Hacia»",IF(AND(G3528&lt;&gt;"",G3528=E3528),"⚠ «Hacia» igual a la cuenta",IF(AND(G3528&lt;&gt;"",ISNA(MATCH(G3528,ctaNom,0))),"⚠ «Hacia» no existe",IF(AND(I3528="Pago tarjeta",IFERROR(INDEX(ctaTipo,MATCH(G3528,ctaNom,0)),"")&lt;&gt;"Tarjeta de crédito"),"⚠ «Hacia» debe ser la tarjeta",IF(AND(I3528="Trading",IFERROR(INDEX(ctaTipo,MATCH(E3528,ctaNom,0)),"")&lt;&gt;"Cuenta de trading"),"⚠ Usa la cuenta de trading","✓"))))))))))))</f>
        <v/>
      </c>
      <c r="I3528" s="19">
        <f>IF(OR(B3528="",C3528="",D3528=""),"",IFERROR(INDEX(catTipo,MATCH(D3528,catNom,0))&amp;"",""))</f>
        <v/>
      </c>
      <c r="J3528" s="19">
        <f>IF(I3528="","",IFERROR(INDEX(catGrupo,MATCH(D3528,catNom,0))&amp;"",""))</f>
        <v/>
      </c>
      <c r="K3528" s="19">
        <f>IF(I3528="Gasto",IF(IFERROR(INDEX(catClas,MATCH(D3528,catNom,0))&amp;"","")="","Variable",IFERROR(INDEX(catClas,MATCH(D3528,catNom,0))&amp;"","")),"")</f>
        <v/>
      </c>
      <c r="L3528" s="19">
        <f>IF(I3528="","",IFERROR(INDEX(catAlim,MATCH(D3528,catNom,0))&amp;"",""))</f>
        <v/>
      </c>
      <c r="M3528" s="19">
        <f>IF(I3528="","",IFERROR(INDEX(catComida,MATCH(D3528,catNom,0))&amp;"",""))</f>
        <v/>
      </c>
      <c r="N3528" s="19">
        <f>IF(I3528="","",IFERROR(INDEX(ctaMon,MATCH(E3528,ctaNom,0))&amp;"","DOP"))</f>
        <v/>
      </c>
      <c r="O3528" s="20">
        <f>IF(I3528="","",C3528*IF(N3528="USD",TasaUSD,1))</f>
        <v/>
      </c>
      <c r="P3528" s="20">
        <f>IF(I3528="","",IF(I3528="Gasto",O3528,0))</f>
        <v/>
      </c>
      <c r="Q3528" s="20">
        <f>IF(I3528="","",IF(I3528="Ingreso",O3528,0))</f>
        <v/>
      </c>
      <c r="R3528" s="20">
        <f>IF(I3528="","",IF(I3528="Trading",O3528,0))</f>
        <v/>
      </c>
      <c r="S3528" s="19">
        <f>IF(I3528="","",IF(AND(I3528="Gasto",K3528="Variable",J3528&lt;&gt;"Trading",O3528&gt;0,O3528&lt;=Umbral),1,0))</f>
        <v/>
      </c>
      <c r="T3528" s="20">
        <f>IF(OR(I3528="",E3528=""),"",IF(OR(I3528="Gasto",I3528="Transferencia",I3528="Pago tarjeta"),-1,1)*C3528)</f>
        <v/>
      </c>
      <c r="U3528" s="20">
        <f>IF(OR(G3528="",AND(I3528&lt;&gt;"Transferencia",I3528&lt;&gt;"Pago tarjeta")),"",IF(IFERROR(INDEX(ctaMon,MATCH(G3528,ctaNom,0))&amp;"","DOP")=N3528,C3528,IF(N3528="USD",C3528*TasaUSD,C3528/TasaUSD)))</f>
        <v/>
      </c>
      <c r="V3528" s="20">
        <f>IF(I3528="","",IF(IFERROR(INDEX(ctaLiq,MATCH(E3528,ctaNom,0))="Sí",FALSE),IF(OR(I3528="Gasto",I3528="Transferencia",I3528="Pago tarjeta"),-1,1)*O3528,0)+IF(AND(U3528&lt;&gt;"",IFERROR(INDEX(ctaLiq,MATCH(G3528,ctaNom,0))="Sí",FALSE)),O3528,0))</f>
        <v/>
      </c>
      <c r="W3528" s="19">
        <f>IF(OR(F3528="",I3528=""),"",IF(COUNTIFS(F$6:F3528,F3528,I$6:I3528,"?*")=1,MAX(W$5:W3527)+1,""))</f>
        <v/>
      </c>
    </row>
    <row r="3529">
      <c r="B3529" s="15" t="n"/>
      <c r="C3529" s="16" t="n"/>
      <c r="D3529" s="17" t="n"/>
      <c r="E3529" s="17" t="n"/>
      <c r="F3529" s="17" t="n"/>
      <c r="G3529" s="17" t="n"/>
      <c r="H3529" s="18">
        <f>IF(AND(B3529="",C3529="",D3529="",E3529=""),"",IF(B3529="","⚠ Falta fecha",IF(C3529="","⚠ Falta monto",IF(D3529="","⚠ Falta categoría",IF(ISNA(MATCH(D3529,catNom,0)),"⚠ Categoría no existe",IF(E3529="","⚠ Falta cuenta",IF(ISNA(MATCH(E3529,ctaNom,0)),"⚠ Cuenta no existe",IF(AND(OR(I3529="Transferencia",I3529="Pago tarjeta"),G3529=""),"⚠ Indica la cuenta «Hacia»",IF(AND(G3529&lt;&gt;"",G3529=E3529),"⚠ «Hacia» igual a la cuenta",IF(AND(G3529&lt;&gt;"",ISNA(MATCH(G3529,ctaNom,0))),"⚠ «Hacia» no existe",IF(AND(I3529="Pago tarjeta",IFERROR(INDEX(ctaTipo,MATCH(G3529,ctaNom,0)),"")&lt;&gt;"Tarjeta de crédito"),"⚠ «Hacia» debe ser la tarjeta",IF(AND(I3529="Trading",IFERROR(INDEX(ctaTipo,MATCH(E3529,ctaNom,0)),"")&lt;&gt;"Cuenta de trading"),"⚠ Usa la cuenta de trading","✓"))))))))))))</f>
        <v/>
      </c>
      <c r="I3529" s="19">
        <f>IF(OR(B3529="",C3529="",D3529=""),"",IFERROR(INDEX(catTipo,MATCH(D3529,catNom,0))&amp;"",""))</f>
        <v/>
      </c>
      <c r="J3529" s="19">
        <f>IF(I3529="","",IFERROR(INDEX(catGrupo,MATCH(D3529,catNom,0))&amp;"",""))</f>
        <v/>
      </c>
      <c r="K3529" s="19">
        <f>IF(I3529="Gasto",IF(IFERROR(INDEX(catClas,MATCH(D3529,catNom,0))&amp;"","")="","Variable",IFERROR(INDEX(catClas,MATCH(D3529,catNom,0))&amp;"","")),"")</f>
        <v/>
      </c>
      <c r="L3529" s="19">
        <f>IF(I3529="","",IFERROR(INDEX(catAlim,MATCH(D3529,catNom,0))&amp;"",""))</f>
        <v/>
      </c>
      <c r="M3529" s="19">
        <f>IF(I3529="","",IFERROR(INDEX(catComida,MATCH(D3529,catNom,0))&amp;"",""))</f>
        <v/>
      </c>
      <c r="N3529" s="19">
        <f>IF(I3529="","",IFERROR(INDEX(ctaMon,MATCH(E3529,ctaNom,0))&amp;"","DOP"))</f>
        <v/>
      </c>
      <c r="O3529" s="20">
        <f>IF(I3529="","",C3529*IF(N3529="USD",TasaUSD,1))</f>
        <v/>
      </c>
      <c r="P3529" s="20">
        <f>IF(I3529="","",IF(I3529="Gasto",O3529,0))</f>
        <v/>
      </c>
      <c r="Q3529" s="20">
        <f>IF(I3529="","",IF(I3529="Ingreso",O3529,0))</f>
        <v/>
      </c>
      <c r="R3529" s="20">
        <f>IF(I3529="","",IF(I3529="Trading",O3529,0))</f>
        <v/>
      </c>
      <c r="S3529" s="19">
        <f>IF(I3529="","",IF(AND(I3529="Gasto",K3529="Variable",J3529&lt;&gt;"Trading",O3529&gt;0,O3529&lt;=Umbral),1,0))</f>
        <v/>
      </c>
      <c r="T3529" s="20">
        <f>IF(OR(I3529="",E3529=""),"",IF(OR(I3529="Gasto",I3529="Transferencia",I3529="Pago tarjeta"),-1,1)*C3529)</f>
        <v/>
      </c>
      <c r="U3529" s="20">
        <f>IF(OR(G3529="",AND(I3529&lt;&gt;"Transferencia",I3529&lt;&gt;"Pago tarjeta")),"",IF(IFERROR(INDEX(ctaMon,MATCH(G3529,ctaNom,0))&amp;"","DOP")=N3529,C3529,IF(N3529="USD",C3529*TasaUSD,C3529/TasaUSD)))</f>
        <v/>
      </c>
      <c r="V3529" s="20">
        <f>IF(I3529="","",IF(IFERROR(INDEX(ctaLiq,MATCH(E3529,ctaNom,0))="Sí",FALSE),IF(OR(I3529="Gasto",I3529="Transferencia",I3529="Pago tarjeta"),-1,1)*O3529,0)+IF(AND(U3529&lt;&gt;"",IFERROR(INDEX(ctaLiq,MATCH(G3529,ctaNom,0))="Sí",FALSE)),O3529,0))</f>
        <v/>
      </c>
      <c r="W3529" s="19">
        <f>IF(OR(F3529="",I3529=""),"",IF(COUNTIFS(F$6:F3529,F3529,I$6:I3529,"?*")=1,MAX(W$5:W3528)+1,""))</f>
        <v/>
      </c>
    </row>
    <row r="3530">
      <c r="B3530" s="15" t="n"/>
      <c r="C3530" s="16" t="n"/>
      <c r="D3530" s="17" t="n"/>
      <c r="E3530" s="17" t="n"/>
      <c r="F3530" s="17" t="n"/>
      <c r="G3530" s="17" t="n"/>
      <c r="H3530" s="18">
        <f>IF(AND(B3530="",C3530="",D3530="",E3530=""),"",IF(B3530="","⚠ Falta fecha",IF(C3530="","⚠ Falta monto",IF(D3530="","⚠ Falta categoría",IF(ISNA(MATCH(D3530,catNom,0)),"⚠ Categoría no existe",IF(E3530="","⚠ Falta cuenta",IF(ISNA(MATCH(E3530,ctaNom,0)),"⚠ Cuenta no existe",IF(AND(OR(I3530="Transferencia",I3530="Pago tarjeta"),G3530=""),"⚠ Indica la cuenta «Hacia»",IF(AND(G3530&lt;&gt;"",G3530=E3530),"⚠ «Hacia» igual a la cuenta",IF(AND(G3530&lt;&gt;"",ISNA(MATCH(G3530,ctaNom,0))),"⚠ «Hacia» no existe",IF(AND(I3530="Pago tarjeta",IFERROR(INDEX(ctaTipo,MATCH(G3530,ctaNom,0)),"")&lt;&gt;"Tarjeta de crédito"),"⚠ «Hacia» debe ser la tarjeta",IF(AND(I3530="Trading",IFERROR(INDEX(ctaTipo,MATCH(E3530,ctaNom,0)),"")&lt;&gt;"Cuenta de trading"),"⚠ Usa la cuenta de trading","✓"))))))))))))</f>
        <v/>
      </c>
      <c r="I3530" s="19">
        <f>IF(OR(B3530="",C3530="",D3530=""),"",IFERROR(INDEX(catTipo,MATCH(D3530,catNom,0))&amp;"",""))</f>
        <v/>
      </c>
      <c r="J3530" s="19">
        <f>IF(I3530="","",IFERROR(INDEX(catGrupo,MATCH(D3530,catNom,0))&amp;"",""))</f>
        <v/>
      </c>
      <c r="K3530" s="19">
        <f>IF(I3530="Gasto",IF(IFERROR(INDEX(catClas,MATCH(D3530,catNom,0))&amp;"","")="","Variable",IFERROR(INDEX(catClas,MATCH(D3530,catNom,0))&amp;"","")),"")</f>
        <v/>
      </c>
      <c r="L3530" s="19">
        <f>IF(I3530="","",IFERROR(INDEX(catAlim,MATCH(D3530,catNom,0))&amp;"",""))</f>
        <v/>
      </c>
      <c r="M3530" s="19">
        <f>IF(I3530="","",IFERROR(INDEX(catComida,MATCH(D3530,catNom,0))&amp;"",""))</f>
        <v/>
      </c>
      <c r="N3530" s="19">
        <f>IF(I3530="","",IFERROR(INDEX(ctaMon,MATCH(E3530,ctaNom,0))&amp;"","DOP"))</f>
        <v/>
      </c>
      <c r="O3530" s="20">
        <f>IF(I3530="","",C3530*IF(N3530="USD",TasaUSD,1))</f>
        <v/>
      </c>
      <c r="P3530" s="20">
        <f>IF(I3530="","",IF(I3530="Gasto",O3530,0))</f>
        <v/>
      </c>
      <c r="Q3530" s="20">
        <f>IF(I3530="","",IF(I3530="Ingreso",O3530,0))</f>
        <v/>
      </c>
      <c r="R3530" s="20">
        <f>IF(I3530="","",IF(I3530="Trading",O3530,0))</f>
        <v/>
      </c>
      <c r="S3530" s="19">
        <f>IF(I3530="","",IF(AND(I3530="Gasto",K3530="Variable",J3530&lt;&gt;"Trading",O3530&gt;0,O3530&lt;=Umbral),1,0))</f>
        <v/>
      </c>
      <c r="T3530" s="20">
        <f>IF(OR(I3530="",E3530=""),"",IF(OR(I3530="Gasto",I3530="Transferencia",I3530="Pago tarjeta"),-1,1)*C3530)</f>
        <v/>
      </c>
      <c r="U3530" s="20">
        <f>IF(OR(G3530="",AND(I3530&lt;&gt;"Transferencia",I3530&lt;&gt;"Pago tarjeta")),"",IF(IFERROR(INDEX(ctaMon,MATCH(G3530,ctaNom,0))&amp;"","DOP")=N3530,C3530,IF(N3530="USD",C3530*TasaUSD,C3530/TasaUSD)))</f>
        <v/>
      </c>
      <c r="V3530" s="20">
        <f>IF(I3530="","",IF(IFERROR(INDEX(ctaLiq,MATCH(E3530,ctaNom,0))="Sí",FALSE),IF(OR(I3530="Gasto",I3530="Transferencia",I3530="Pago tarjeta"),-1,1)*O3530,0)+IF(AND(U3530&lt;&gt;"",IFERROR(INDEX(ctaLiq,MATCH(G3530,ctaNom,0))="Sí",FALSE)),O3530,0))</f>
        <v/>
      </c>
      <c r="W3530" s="19">
        <f>IF(OR(F3530="",I3530=""),"",IF(COUNTIFS(F$6:F3530,F3530,I$6:I3530,"?*")=1,MAX(W$5:W3529)+1,""))</f>
        <v/>
      </c>
    </row>
    <row r="3531">
      <c r="B3531" s="15" t="n"/>
      <c r="C3531" s="16" t="n"/>
      <c r="D3531" s="17" t="n"/>
      <c r="E3531" s="17" t="n"/>
      <c r="F3531" s="17" t="n"/>
      <c r="G3531" s="17" t="n"/>
      <c r="H3531" s="18">
        <f>IF(AND(B3531="",C3531="",D3531="",E3531=""),"",IF(B3531="","⚠ Falta fecha",IF(C3531="","⚠ Falta monto",IF(D3531="","⚠ Falta categoría",IF(ISNA(MATCH(D3531,catNom,0)),"⚠ Categoría no existe",IF(E3531="","⚠ Falta cuenta",IF(ISNA(MATCH(E3531,ctaNom,0)),"⚠ Cuenta no existe",IF(AND(OR(I3531="Transferencia",I3531="Pago tarjeta"),G3531=""),"⚠ Indica la cuenta «Hacia»",IF(AND(G3531&lt;&gt;"",G3531=E3531),"⚠ «Hacia» igual a la cuenta",IF(AND(G3531&lt;&gt;"",ISNA(MATCH(G3531,ctaNom,0))),"⚠ «Hacia» no existe",IF(AND(I3531="Pago tarjeta",IFERROR(INDEX(ctaTipo,MATCH(G3531,ctaNom,0)),"")&lt;&gt;"Tarjeta de crédito"),"⚠ «Hacia» debe ser la tarjeta",IF(AND(I3531="Trading",IFERROR(INDEX(ctaTipo,MATCH(E3531,ctaNom,0)),"")&lt;&gt;"Cuenta de trading"),"⚠ Usa la cuenta de trading","✓"))))))))))))</f>
        <v/>
      </c>
      <c r="I3531" s="19">
        <f>IF(OR(B3531="",C3531="",D3531=""),"",IFERROR(INDEX(catTipo,MATCH(D3531,catNom,0))&amp;"",""))</f>
        <v/>
      </c>
      <c r="J3531" s="19">
        <f>IF(I3531="","",IFERROR(INDEX(catGrupo,MATCH(D3531,catNom,0))&amp;"",""))</f>
        <v/>
      </c>
      <c r="K3531" s="19">
        <f>IF(I3531="Gasto",IF(IFERROR(INDEX(catClas,MATCH(D3531,catNom,0))&amp;"","")="","Variable",IFERROR(INDEX(catClas,MATCH(D3531,catNom,0))&amp;"","")),"")</f>
        <v/>
      </c>
      <c r="L3531" s="19">
        <f>IF(I3531="","",IFERROR(INDEX(catAlim,MATCH(D3531,catNom,0))&amp;"",""))</f>
        <v/>
      </c>
      <c r="M3531" s="19">
        <f>IF(I3531="","",IFERROR(INDEX(catComida,MATCH(D3531,catNom,0))&amp;"",""))</f>
        <v/>
      </c>
      <c r="N3531" s="19">
        <f>IF(I3531="","",IFERROR(INDEX(ctaMon,MATCH(E3531,ctaNom,0))&amp;"","DOP"))</f>
        <v/>
      </c>
      <c r="O3531" s="20">
        <f>IF(I3531="","",C3531*IF(N3531="USD",TasaUSD,1))</f>
        <v/>
      </c>
      <c r="P3531" s="20">
        <f>IF(I3531="","",IF(I3531="Gasto",O3531,0))</f>
        <v/>
      </c>
      <c r="Q3531" s="20">
        <f>IF(I3531="","",IF(I3531="Ingreso",O3531,0))</f>
        <v/>
      </c>
      <c r="R3531" s="20">
        <f>IF(I3531="","",IF(I3531="Trading",O3531,0))</f>
        <v/>
      </c>
      <c r="S3531" s="19">
        <f>IF(I3531="","",IF(AND(I3531="Gasto",K3531="Variable",J3531&lt;&gt;"Trading",O3531&gt;0,O3531&lt;=Umbral),1,0))</f>
        <v/>
      </c>
      <c r="T3531" s="20">
        <f>IF(OR(I3531="",E3531=""),"",IF(OR(I3531="Gasto",I3531="Transferencia",I3531="Pago tarjeta"),-1,1)*C3531)</f>
        <v/>
      </c>
      <c r="U3531" s="20">
        <f>IF(OR(G3531="",AND(I3531&lt;&gt;"Transferencia",I3531&lt;&gt;"Pago tarjeta")),"",IF(IFERROR(INDEX(ctaMon,MATCH(G3531,ctaNom,0))&amp;"","DOP")=N3531,C3531,IF(N3531="USD",C3531*TasaUSD,C3531/TasaUSD)))</f>
        <v/>
      </c>
      <c r="V3531" s="20">
        <f>IF(I3531="","",IF(IFERROR(INDEX(ctaLiq,MATCH(E3531,ctaNom,0))="Sí",FALSE),IF(OR(I3531="Gasto",I3531="Transferencia",I3531="Pago tarjeta"),-1,1)*O3531,0)+IF(AND(U3531&lt;&gt;"",IFERROR(INDEX(ctaLiq,MATCH(G3531,ctaNom,0))="Sí",FALSE)),O3531,0))</f>
        <v/>
      </c>
      <c r="W3531" s="19">
        <f>IF(OR(F3531="",I3531=""),"",IF(COUNTIFS(F$6:F3531,F3531,I$6:I3531,"?*")=1,MAX(W$5:W3530)+1,""))</f>
        <v/>
      </c>
    </row>
    <row r="3532">
      <c r="B3532" s="15" t="n"/>
      <c r="C3532" s="16" t="n"/>
      <c r="D3532" s="17" t="n"/>
      <c r="E3532" s="17" t="n"/>
      <c r="F3532" s="17" t="n"/>
      <c r="G3532" s="17" t="n"/>
      <c r="H3532" s="18">
        <f>IF(AND(B3532="",C3532="",D3532="",E3532=""),"",IF(B3532="","⚠ Falta fecha",IF(C3532="","⚠ Falta monto",IF(D3532="","⚠ Falta categoría",IF(ISNA(MATCH(D3532,catNom,0)),"⚠ Categoría no existe",IF(E3532="","⚠ Falta cuenta",IF(ISNA(MATCH(E3532,ctaNom,0)),"⚠ Cuenta no existe",IF(AND(OR(I3532="Transferencia",I3532="Pago tarjeta"),G3532=""),"⚠ Indica la cuenta «Hacia»",IF(AND(G3532&lt;&gt;"",G3532=E3532),"⚠ «Hacia» igual a la cuenta",IF(AND(G3532&lt;&gt;"",ISNA(MATCH(G3532,ctaNom,0))),"⚠ «Hacia» no existe",IF(AND(I3532="Pago tarjeta",IFERROR(INDEX(ctaTipo,MATCH(G3532,ctaNom,0)),"")&lt;&gt;"Tarjeta de crédito"),"⚠ «Hacia» debe ser la tarjeta",IF(AND(I3532="Trading",IFERROR(INDEX(ctaTipo,MATCH(E3532,ctaNom,0)),"")&lt;&gt;"Cuenta de trading"),"⚠ Usa la cuenta de trading","✓"))))))))))))</f>
        <v/>
      </c>
      <c r="I3532" s="19">
        <f>IF(OR(B3532="",C3532="",D3532=""),"",IFERROR(INDEX(catTipo,MATCH(D3532,catNom,0))&amp;"",""))</f>
        <v/>
      </c>
      <c r="J3532" s="19">
        <f>IF(I3532="","",IFERROR(INDEX(catGrupo,MATCH(D3532,catNom,0))&amp;"",""))</f>
        <v/>
      </c>
      <c r="K3532" s="19">
        <f>IF(I3532="Gasto",IF(IFERROR(INDEX(catClas,MATCH(D3532,catNom,0))&amp;"","")="","Variable",IFERROR(INDEX(catClas,MATCH(D3532,catNom,0))&amp;"","")),"")</f>
        <v/>
      </c>
      <c r="L3532" s="19">
        <f>IF(I3532="","",IFERROR(INDEX(catAlim,MATCH(D3532,catNom,0))&amp;"",""))</f>
        <v/>
      </c>
      <c r="M3532" s="19">
        <f>IF(I3532="","",IFERROR(INDEX(catComida,MATCH(D3532,catNom,0))&amp;"",""))</f>
        <v/>
      </c>
      <c r="N3532" s="19">
        <f>IF(I3532="","",IFERROR(INDEX(ctaMon,MATCH(E3532,ctaNom,0))&amp;"","DOP"))</f>
        <v/>
      </c>
      <c r="O3532" s="20">
        <f>IF(I3532="","",C3532*IF(N3532="USD",TasaUSD,1))</f>
        <v/>
      </c>
      <c r="P3532" s="20">
        <f>IF(I3532="","",IF(I3532="Gasto",O3532,0))</f>
        <v/>
      </c>
      <c r="Q3532" s="20">
        <f>IF(I3532="","",IF(I3532="Ingreso",O3532,0))</f>
        <v/>
      </c>
      <c r="R3532" s="20">
        <f>IF(I3532="","",IF(I3532="Trading",O3532,0))</f>
        <v/>
      </c>
      <c r="S3532" s="19">
        <f>IF(I3532="","",IF(AND(I3532="Gasto",K3532="Variable",J3532&lt;&gt;"Trading",O3532&gt;0,O3532&lt;=Umbral),1,0))</f>
        <v/>
      </c>
      <c r="T3532" s="20">
        <f>IF(OR(I3532="",E3532=""),"",IF(OR(I3532="Gasto",I3532="Transferencia",I3532="Pago tarjeta"),-1,1)*C3532)</f>
        <v/>
      </c>
      <c r="U3532" s="20">
        <f>IF(OR(G3532="",AND(I3532&lt;&gt;"Transferencia",I3532&lt;&gt;"Pago tarjeta")),"",IF(IFERROR(INDEX(ctaMon,MATCH(G3532,ctaNom,0))&amp;"","DOP")=N3532,C3532,IF(N3532="USD",C3532*TasaUSD,C3532/TasaUSD)))</f>
        <v/>
      </c>
      <c r="V3532" s="20">
        <f>IF(I3532="","",IF(IFERROR(INDEX(ctaLiq,MATCH(E3532,ctaNom,0))="Sí",FALSE),IF(OR(I3532="Gasto",I3532="Transferencia",I3532="Pago tarjeta"),-1,1)*O3532,0)+IF(AND(U3532&lt;&gt;"",IFERROR(INDEX(ctaLiq,MATCH(G3532,ctaNom,0))="Sí",FALSE)),O3532,0))</f>
        <v/>
      </c>
      <c r="W3532" s="19">
        <f>IF(OR(F3532="",I3532=""),"",IF(COUNTIFS(F$6:F3532,F3532,I$6:I3532,"?*")=1,MAX(W$5:W3531)+1,""))</f>
        <v/>
      </c>
    </row>
    <row r="3533">
      <c r="B3533" s="15" t="n"/>
      <c r="C3533" s="16" t="n"/>
      <c r="D3533" s="17" t="n"/>
      <c r="E3533" s="17" t="n"/>
      <c r="F3533" s="17" t="n"/>
      <c r="G3533" s="17" t="n"/>
      <c r="H3533" s="18">
        <f>IF(AND(B3533="",C3533="",D3533="",E3533=""),"",IF(B3533="","⚠ Falta fecha",IF(C3533="","⚠ Falta monto",IF(D3533="","⚠ Falta categoría",IF(ISNA(MATCH(D3533,catNom,0)),"⚠ Categoría no existe",IF(E3533="","⚠ Falta cuenta",IF(ISNA(MATCH(E3533,ctaNom,0)),"⚠ Cuenta no existe",IF(AND(OR(I3533="Transferencia",I3533="Pago tarjeta"),G3533=""),"⚠ Indica la cuenta «Hacia»",IF(AND(G3533&lt;&gt;"",G3533=E3533),"⚠ «Hacia» igual a la cuenta",IF(AND(G3533&lt;&gt;"",ISNA(MATCH(G3533,ctaNom,0))),"⚠ «Hacia» no existe",IF(AND(I3533="Pago tarjeta",IFERROR(INDEX(ctaTipo,MATCH(G3533,ctaNom,0)),"")&lt;&gt;"Tarjeta de crédito"),"⚠ «Hacia» debe ser la tarjeta",IF(AND(I3533="Trading",IFERROR(INDEX(ctaTipo,MATCH(E3533,ctaNom,0)),"")&lt;&gt;"Cuenta de trading"),"⚠ Usa la cuenta de trading","✓"))))))))))))</f>
        <v/>
      </c>
      <c r="I3533" s="19">
        <f>IF(OR(B3533="",C3533="",D3533=""),"",IFERROR(INDEX(catTipo,MATCH(D3533,catNom,0))&amp;"",""))</f>
        <v/>
      </c>
      <c r="J3533" s="19">
        <f>IF(I3533="","",IFERROR(INDEX(catGrupo,MATCH(D3533,catNom,0))&amp;"",""))</f>
        <v/>
      </c>
      <c r="K3533" s="19">
        <f>IF(I3533="Gasto",IF(IFERROR(INDEX(catClas,MATCH(D3533,catNom,0))&amp;"","")="","Variable",IFERROR(INDEX(catClas,MATCH(D3533,catNom,0))&amp;"","")),"")</f>
        <v/>
      </c>
      <c r="L3533" s="19">
        <f>IF(I3533="","",IFERROR(INDEX(catAlim,MATCH(D3533,catNom,0))&amp;"",""))</f>
        <v/>
      </c>
      <c r="M3533" s="19">
        <f>IF(I3533="","",IFERROR(INDEX(catComida,MATCH(D3533,catNom,0))&amp;"",""))</f>
        <v/>
      </c>
      <c r="N3533" s="19">
        <f>IF(I3533="","",IFERROR(INDEX(ctaMon,MATCH(E3533,ctaNom,0))&amp;"","DOP"))</f>
        <v/>
      </c>
      <c r="O3533" s="20">
        <f>IF(I3533="","",C3533*IF(N3533="USD",TasaUSD,1))</f>
        <v/>
      </c>
      <c r="P3533" s="20">
        <f>IF(I3533="","",IF(I3533="Gasto",O3533,0))</f>
        <v/>
      </c>
      <c r="Q3533" s="20">
        <f>IF(I3533="","",IF(I3533="Ingreso",O3533,0))</f>
        <v/>
      </c>
      <c r="R3533" s="20">
        <f>IF(I3533="","",IF(I3533="Trading",O3533,0))</f>
        <v/>
      </c>
      <c r="S3533" s="19">
        <f>IF(I3533="","",IF(AND(I3533="Gasto",K3533="Variable",J3533&lt;&gt;"Trading",O3533&gt;0,O3533&lt;=Umbral),1,0))</f>
        <v/>
      </c>
      <c r="T3533" s="20">
        <f>IF(OR(I3533="",E3533=""),"",IF(OR(I3533="Gasto",I3533="Transferencia",I3533="Pago tarjeta"),-1,1)*C3533)</f>
        <v/>
      </c>
      <c r="U3533" s="20">
        <f>IF(OR(G3533="",AND(I3533&lt;&gt;"Transferencia",I3533&lt;&gt;"Pago tarjeta")),"",IF(IFERROR(INDEX(ctaMon,MATCH(G3533,ctaNom,0))&amp;"","DOP")=N3533,C3533,IF(N3533="USD",C3533*TasaUSD,C3533/TasaUSD)))</f>
        <v/>
      </c>
      <c r="V3533" s="20">
        <f>IF(I3533="","",IF(IFERROR(INDEX(ctaLiq,MATCH(E3533,ctaNom,0))="Sí",FALSE),IF(OR(I3533="Gasto",I3533="Transferencia",I3533="Pago tarjeta"),-1,1)*O3533,0)+IF(AND(U3533&lt;&gt;"",IFERROR(INDEX(ctaLiq,MATCH(G3533,ctaNom,0))="Sí",FALSE)),O3533,0))</f>
        <v/>
      </c>
      <c r="W3533" s="19">
        <f>IF(OR(F3533="",I3533=""),"",IF(COUNTIFS(F$6:F3533,F3533,I$6:I3533,"?*")=1,MAX(W$5:W3532)+1,""))</f>
        <v/>
      </c>
    </row>
    <row r="3534">
      <c r="B3534" s="15" t="n"/>
      <c r="C3534" s="16" t="n"/>
      <c r="D3534" s="17" t="n"/>
      <c r="E3534" s="17" t="n"/>
      <c r="F3534" s="17" t="n"/>
      <c r="G3534" s="17" t="n"/>
      <c r="H3534" s="18">
        <f>IF(AND(B3534="",C3534="",D3534="",E3534=""),"",IF(B3534="","⚠ Falta fecha",IF(C3534="","⚠ Falta monto",IF(D3534="","⚠ Falta categoría",IF(ISNA(MATCH(D3534,catNom,0)),"⚠ Categoría no existe",IF(E3534="","⚠ Falta cuenta",IF(ISNA(MATCH(E3534,ctaNom,0)),"⚠ Cuenta no existe",IF(AND(OR(I3534="Transferencia",I3534="Pago tarjeta"),G3534=""),"⚠ Indica la cuenta «Hacia»",IF(AND(G3534&lt;&gt;"",G3534=E3534),"⚠ «Hacia» igual a la cuenta",IF(AND(G3534&lt;&gt;"",ISNA(MATCH(G3534,ctaNom,0))),"⚠ «Hacia» no existe",IF(AND(I3534="Pago tarjeta",IFERROR(INDEX(ctaTipo,MATCH(G3534,ctaNom,0)),"")&lt;&gt;"Tarjeta de crédito"),"⚠ «Hacia» debe ser la tarjeta",IF(AND(I3534="Trading",IFERROR(INDEX(ctaTipo,MATCH(E3534,ctaNom,0)),"")&lt;&gt;"Cuenta de trading"),"⚠ Usa la cuenta de trading","✓"))))))))))))</f>
        <v/>
      </c>
      <c r="I3534" s="19">
        <f>IF(OR(B3534="",C3534="",D3534=""),"",IFERROR(INDEX(catTipo,MATCH(D3534,catNom,0))&amp;"",""))</f>
        <v/>
      </c>
      <c r="J3534" s="19">
        <f>IF(I3534="","",IFERROR(INDEX(catGrupo,MATCH(D3534,catNom,0))&amp;"",""))</f>
        <v/>
      </c>
      <c r="K3534" s="19">
        <f>IF(I3534="Gasto",IF(IFERROR(INDEX(catClas,MATCH(D3534,catNom,0))&amp;"","")="","Variable",IFERROR(INDEX(catClas,MATCH(D3534,catNom,0))&amp;"","")),"")</f>
        <v/>
      </c>
      <c r="L3534" s="19">
        <f>IF(I3534="","",IFERROR(INDEX(catAlim,MATCH(D3534,catNom,0))&amp;"",""))</f>
        <v/>
      </c>
      <c r="M3534" s="19">
        <f>IF(I3534="","",IFERROR(INDEX(catComida,MATCH(D3534,catNom,0))&amp;"",""))</f>
        <v/>
      </c>
      <c r="N3534" s="19">
        <f>IF(I3534="","",IFERROR(INDEX(ctaMon,MATCH(E3534,ctaNom,0))&amp;"","DOP"))</f>
        <v/>
      </c>
      <c r="O3534" s="20">
        <f>IF(I3534="","",C3534*IF(N3534="USD",TasaUSD,1))</f>
        <v/>
      </c>
      <c r="P3534" s="20">
        <f>IF(I3534="","",IF(I3534="Gasto",O3534,0))</f>
        <v/>
      </c>
      <c r="Q3534" s="20">
        <f>IF(I3534="","",IF(I3534="Ingreso",O3534,0))</f>
        <v/>
      </c>
      <c r="R3534" s="20">
        <f>IF(I3534="","",IF(I3534="Trading",O3534,0))</f>
        <v/>
      </c>
      <c r="S3534" s="19">
        <f>IF(I3534="","",IF(AND(I3534="Gasto",K3534="Variable",J3534&lt;&gt;"Trading",O3534&gt;0,O3534&lt;=Umbral),1,0))</f>
        <v/>
      </c>
      <c r="T3534" s="20">
        <f>IF(OR(I3534="",E3534=""),"",IF(OR(I3534="Gasto",I3534="Transferencia",I3534="Pago tarjeta"),-1,1)*C3534)</f>
        <v/>
      </c>
      <c r="U3534" s="20">
        <f>IF(OR(G3534="",AND(I3534&lt;&gt;"Transferencia",I3534&lt;&gt;"Pago tarjeta")),"",IF(IFERROR(INDEX(ctaMon,MATCH(G3534,ctaNom,0))&amp;"","DOP")=N3534,C3534,IF(N3534="USD",C3534*TasaUSD,C3534/TasaUSD)))</f>
        <v/>
      </c>
      <c r="V3534" s="20">
        <f>IF(I3534="","",IF(IFERROR(INDEX(ctaLiq,MATCH(E3534,ctaNom,0))="Sí",FALSE),IF(OR(I3534="Gasto",I3534="Transferencia",I3534="Pago tarjeta"),-1,1)*O3534,0)+IF(AND(U3534&lt;&gt;"",IFERROR(INDEX(ctaLiq,MATCH(G3534,ctaNom,0))="Sí",FALSE)),O3534,0))</f>
        <v/>
      </c>
      <c r="W3534" s="19">
        <f>IF(OR(F3534="",I3534=""),"",IF(COUNTIFS(F$6:F3534,F3534,I$6:I3534,"?*")=1,MAX(W$5:W3533)+1,""))</f>
        <v/>
      </c>
    </row>
    <row r="3535">
      <c r="B3535" s="15" t="n"/>
      <c r="C3535" s="16" t="n"/>
      <c r="D3535" s="17" t="n"/>
      <c r="E3535" s="17" t="n"/>
      <c r="F3535" s="17" t="n"/>
      <c r="G3535" s="17" t="n"/>
      <c r="H3535" s="18">
        <f>IF(AND(B3535="",C3535="",D3535="",E3535=""),"",IF(B3535="","⚠ Falta fecha",IF(C3535="","⚠ Falta monto",IF(D3535="","⚠ Falta categoría",IF(ISNA(MATCH(D3535,catNom,0)),"⚠ Categoría no existe",IF(E3535="","⚠ Falta cuenta",IF(ISNA(MATCH(E3535,ctaNom,0)),"⚠ Cuenta no existe",IF(AND(OR(I3535="Transferencia",I3535="Pago tarjeta"),G3535=""),"⚠ Indica la cuenta «Hacia»",IF(AND(G3535&lt;&gt;"",G3535=E3535),"⚠ «Hacia» igual a la cuenta",IF(AND(G3535&lt;&gt;"",ISNA(MATCH(G3535,ctaNom,0))),"⚠ «Hacia» no existe",IF(AND(I3535="Pago tarjeta",IFERROR(INDEX(ctaTipo,MATCH(G3535,ctaNom,0)),"")&lt;&gt;"Tarjeta de crédito"),"⚠ «Hacia» debe ser la tarjeta",IF(AND(I3535="Trading",IFERROR(INDEX(ctaTipo,MATCH(E3535,ctaNom,0)),"")&lt;&gt;"Cuenta de trading"),"⚠ Usa la cuenta de trading","✓"))))))))))))</f>
        <v/>
      </c>
      <c r="I3535" s="19">
        <f>IF(OR(B3535="",C3535="",D3535=""),"",IFERROR(INDEX(catTipo,MATCH(D3535,catNom,0))&amp;"",""))</f>
        <v/>
      </c>
      <c r="J3535" s="19">
        <f>IF(I3535="","",IFERROR(INDEX(catGrupo,MATCH(D3535,catNom,0))&amp;"",""))</f>
        <v/>
      </c>
      <c r="K3535" s="19">
        <f>IF(I3535="Gasto",IF(IFERROR(INDEX(catClas,MATCH(D3535,catNom,0))&amp;"","")="","Variable",IFERROR(INDEX(catClas,MATCH(D3535,catNom,0))&amp;"","")),"")</f>
        <v/>
      </c>
      <c r="L3535" s="19">
        <f>IF(I3535="","",IFERROR(INDEX(catAlim,MATCH(D3535,catNom,0))&amp;"",""))</f>
        <v/>
      </c>
      <c r="M3535" s="19">
        <f>IF(I3535="","",IFERROR(INDEX(catComida,MATCH(D3535,catNom,0))&amp;"",""))</f>
        <v/>
      </c>
      <c r="N3535" s="19">
        <f>IF(I3535="","",IFERROR(INDEX(ctaMon,MATCH(E3535,ctaNom,0))&amp;"","DOP"))</f>
        <v/>
      </c>
      <c r="O3535" s="20">
        <f>IF(I3535="","",C3535*IF(N3535="USD",TasaUSD,1))</f>
        <v/>
      </c>
      <c r="P3535" s="20">
        <f>IF(I3535="","",IF(I3535="Gasto",O3535,0))</f>
        <v/>
      </c>
      <c r="Q3535" s="20">
        <f>IF(I3535="","",IF(I3535="Ingreso",O3535,0))</f>
        <v/>
      </c>
      <c r="R3535" s="20">
        <f>IF(I3535="","",IF(I3535="Trading",O3535,0))</f>
        <v/>
      </c>
      <c r="S3535" s="19">
        <f>IF(I3535="","",IF(AND(I3535="Gasto",K3535="Variable",J3535&lt;&gt;"Trading",O3535&gt;0,O3535&lt;=Umbral),1,0))</f>
        <v/>
      </c>
      <c r="T3535" s="20">
        <f>IF(OR(I3535="",E3535=""),"",IF(OR(I3535="Gasto",I3535="Transferencia",I3535="Pago tarjeta"),-1,1)*C3535)</f>
        <v/>
      </c>
      <c r="U3535" s="20">
        <f>IF(OR(G3535="",AND(I3535&lt;&gt;"Transferencia",I3535&lt;&gt;"Pago tarjeta")),"",IF(IFERROR(INDEX(ctaMon,MATCH(G3535,ctaNom,0))&amp;"","DOP")=N3535,C3535,IF(N3535="USD",C3535*TasaUSD,C3535/TasaUSD)))</f>
        <v/>
      </c>
      <c r="V3535" s="20">
        <f>IF(I3535="","",IF(IFERROR(INDEX(ctaLiq,MATCH(E3535,ctaNom,0))="Sí",FALSE),IF(OR(I3535="Gasto",I3535="Transferencia",I3535="Pago tarjeta"),-1,1)*O3535,0)+IF(AND(U3535&lt;&gt;"",IFERROR(INDEX(ctaLiq,MATCH(G3535,ctaNom,0))="Sí",FALSE)),O3535,0))</f>
        <v/>
      </c>
      <c r="W3535" s="19">
        <f>IF(OR(F3535="",I3535=""),"",IF(COUNTIFS(F$6:F3535,F3535,I$6:I3535,"?*")=1,MAX(W$5:W3534)+1,""))</f>
        <v/>
      </c>
    </row>
    <row r="3536">
      <c r="B3536" s="15" t="n"/>
      <c r="C3536" s="16" t="n"/>
      <c r="D3536" s="17" t="n"/>
      <c r="E3536" s="17" t="n"/>
      <c r="F3536" s="17" t="n"/>
      <c r="G3536" s="17" t="n"/>
      <c r="H3536" s="18">
        <f>IF(AND(B3536="",C3536="",D3536="",E3536=""),"",IF(B3536="","⚠ Falta fecha",IF(C3536="","⚠ Falta monto",IF(D3536="","⚠ Falta categoría",IF(ISNA(MATCH(D3536,catNom,0)),"⚠ Categoría no existe",IF(E3536="","⚠ Falta cuenta",IF(ISNA(MATCH(E3536,ctaNom,0)),"⚠ Cuenta no existe",IF(AND(OR(I3536="Transferencia",I3536="Pago tarjeta"),G3536=""),"⚠ Indica la cuenta «Hacia»",IF(AND(G3536&lt;&gt;"",G3536=E3536),"⚠ «Hacia» igual a la cuenta",IF(AND(G3536&lt;&gt;"",ISNA(MATCH(G3536,ctaNom,0))),"⚠ «Hacia» no existe",IF(AND(I3536="Pago tarjeta",IFERROR(INDEX(ctaTipo,MATCH(G3536,ctaNom,0)),"")&lt;&gt;"Tarjeta de crédito"),"⚠ «Hacia» debe ser la tarjeta",IF(AND(I3536="Trading",IFERROR(INDEX(ctaTipo,MATCH(E3536,ctaNom,0)),"")&lt;&gt;"Cuenta de trading"),"⚠ Usa la cuenta de trading","✓"))))))))))))</f>
        <v/>
      </c>
      <c r="I3536" s="19">
        <f>IF(OR(B3536="",C3536="",D3536=""),"",IFERROR(INDEX(catTipo,MATCH(D3536,catNom,0))&amp;"",""))</f>
        <v/>
      </c>
      <c r="J3536" s="19">
        <f>IF(I3536="","",IFERROR(INDEX(catGrupo,MATCH(D3536,catNom,0))&amp;"",""))</f>
        <v/>
      </c>
      <c r="K3536" s="19">
        <f>IF(I3536="Gasto",IF(IFERROR(INDEX(catClas,MATCH(D3536,catNom,0))&amp;"","")="","Variable",IFERROR(INDEX(catClas,MATCH(D3536,catNom,0))&amp;"","")),"")</f>
        <v/>
      </c>
      <c r="L3536" s="19">
        <f>IF(I3536="","",IFERROR(INDEX(catAlim,MATCH(D3536,catNom,0))&amp;"",""))</f>
        <v/>
      </c>
      <c r="M3536" s="19">
        <f>IF(I3536="","",IFERROR(INDEX(catComida,MATCH(D3536,catNom,0))&amp;"",""))</f>
        <v/>
      </c>
      <c r="N3536" s="19">
        <f>IF(I3536="","",IFERROR(INDEX(ctaMon,MATCH(E3536,ctaNom,0))&amp;"","DOP"))</f>
        <v/>
      </c>
      <c r="O3536" s="20">
        <f>IF(I3536="","",C3536*IF(N3536="USD",TasaUSD,1))</f>
        <v/>
      </c>
      <c r="P3536" s="20">
        <f>IF(I3536="","",IF(I3536="Gasto",O3536,0))</f>
        <v/>
      </c>
      <c r="Q3536" s="20">
        <f>IF(I3536="","",IF(I3536="Ingreso",O3536,0))</f>
        <v/>
      </c>
      <c r="R3536" s="20">
        <f>IF(I3536="","",IF(I3536="Trading",O3536,0))</f>
        <v/>
      </c>
      <c r="S3536" s="19">
        <f>IF(I3536="","",IF(AND(I3536="Gasto",K3536="Variable",J3536&lt;&gt;"Trading",O3536&gt;0,O3536&lt;=Umbral),1,0))</f>
        <v/>
      </c>
      <c r="T3536" s="20">
        <f>IF(OR(I3536="",E3536=""),"",IF(OR(I3536="Gasto",I3536="Transferencia",I3536="Pago tarjeta"),-1,1)*C3536)</f>
        <v/>
      </c>
      <c r="U3536" s="20">
        <f>IF(OR(G3536="",AND(I3536&lt;&gt;"Transferencia",I3536&lt;&gt;"Pago tarjeta")),"",IF(IFERROR(INDEX(ctaMon,MATCH(G3536,ctaNom,0))&amp;"","DOP")=N3536,C3536,IF(N3536="USD",C3536*TasaUSD,C3536/TasaUSD)))</f>
        <v/>
      </c>
      <c r="V3536" s="20">
        <f>IF(I3536="","",IF(IFERROR(INDEX(ctaLiq,MATCH(E3536,ctaNom,0))="Sí",FALSE),IF(OR(I3536="Gasto",I3536="Transferencia",I3536="Pago tarjeta"),-1,1)*O3536,0)+IF(AND(U3536&lt;&gt;"",IFERROR(INDEX(ctaLiq,MATCH(G3536,ctaNom,0))="Sí",FALSE)),O3536,0))</f>
        <v/>
      </c>
      <c r="W3536" s="19">
        <f>IF(OR(F3536="",I3536=""),"",IF(COUNTIFS(F$6:F3536,F3536,I$6:I3536,"?*")=1,MAX(W$5:W3535)+1,""))</f>
        <v/>
      </c>
    </row>
    <row r="3537">
      <c r="B3537" s="15" t="n"/>
      <c r="C3537" s="16" t="n"/>
      <c r="D3537" s="17" t="n"/>
      <c r="E3537" s="17" t="n"/>
      <c r="F3537" s="17" t="n"/>
      <c r="G3537" s="17" t="n"/>
      <c r="H3537" s="18">
        <f>IF(AND(B3537="",C3537="",D3537="",E3537=""),"",IF(B3537="","⚠ Falta fecha",IF(C3537="","⚠ Falta monto",IF(D3537="","⚠ Falta categoría",IF(ISNA(MATCH(D3537,catNom,0)),"⚠ Categoría no existe",IF(E3537="","⚠ Falta cuenta",IF(ISNA(MATCH(E3537,ctaNom,0)),"⚠ Cuenta no existe",IF(AND(OR(I3537="Transferencia",I3537="Pago tarjeta"),G3537=""),"⚠ Indica la cuenta «Hacia»",IF(AND(G3537&lt;&gt;"",G3537=E3537),"⚠ «Hacia» igual a la cuenta",IF(AND(G3537&lt;&gt;"",ISNA(MATCH(G3537,ctaNom,0))),"⚠ «Hacia» no existe",IF(AND(I3537="Pago tarjeta",IFERROR(INDEX(ctaTipo,MATCH(G3537,ctaNom,0)),"")&lt;&gt;"Tarjeta de crédito"),"⚠ «Hacia» debe ser la tarjeta",IF(AND(I3537="Trading",IFERROR(INDEX(ctaTipo,MATCH(E3537,ctaNom,0)),"")&lt;&gt;"Cuenta de trading"),"⚠ Usa la cuenta de trading","✓"))))))))))))</f>
        <v/>
      </c>
      <c r="I3537" s="19">
        <f>IF(OR(B3537="",C3537="",D3537=""),"",IFERROR(INDEX(catTipo,MATCH(D3537,catNom,0))&amp;"",""))</f>
        <v/>
      </c>
      <c r="J3537" s="19">
        <f>IF(I3537="","",IFERROR(INDEX(catGrupo,MATCH(D3537,catNom,0))&amp;"",""))</f>
        <v/>
      </c>
      <c r="K3537" s="19">
        <f>IF(I3537="Gasto",IF(IFERROR(INDEX(catClas,MATCH(D3537,catNom,0))&amp;"","")="","Variable",IFERROR(INDEX(catClas,MATCH(D3537,catNom,0))&amp;"","")),"")</f>
        <v/>
      </c>
      <c r="L3537" s="19">
        <f>IF(I3537="","",IFERROR(INDEX(catAlim,MATCH(D3537,catNom,0))&amp;"",""))</f>
        <v/>
      </c>
      <c r="M3537" s="19">
        <f>IF(I3537="","",IFERROR(INDEX(catComida,MATCH(D3537,catNom,0))&amp;"",""))</f>
        <v/>
      </c>
      <c r="N3537" s="19">
        <f>IF(I3537="","",IFERROR(INDEX(ctaMon,MATCH(E3537,ctaNom,0))&amp;"","DOP"))</f>
        <v/>
      </c>
      <c r="O3537" s="20">
        <f>IF(I3537="","",C3537*IF(N3537="USD",TasaUSD,1))</f>
        <v/>
      </c>
      <c r="P3537" s="20">
        <f>IF(I3537="","",IF(I3537="Gasto",O3537,0))</f>
        <v/>
      </c>
      <c r="Q3537" s="20">
        <f>IF(I3537="","",IF(I3537="Ingreso",O3537,0))</f>
        <v/>
      </c>
      <c r="R3537" s="20">
        <f>IF(I3537="","",IF(I3537="Trading",O3537,0))</f>
        <v/>
      </c>
      <c r="S3537" s="19">
        <f>IF(I3537="","",IF(AND(I3537="Gasto",K3537="Variable",J3537&lt;&gt;"Trading",O3537&gt;0,O3537&lt;=Umbral),1,0))</f>
        <v/>
      </c>
      <c r="T3537" s="20">
        <f>IF(OR(I3537="",E3537=""),"",IF(OR(I3537="Gasto",I3537="Transferencia",I3537="Pago tarjeta"),-1,1)*C3537)</f>
        <v/>
      </c>
      <c r="U3537" s="20">
        <f>IF(OR(G3537="",AND(I3537&lt;&gt;"Transferencia",I3537&lt;&gt;"Pago tarjeta")),"",IF(IFERROR(INDEX(ctaMon,MATCH(G3537,ctaNom,0))&amp;"","DOP")=N3537,C3537,IF(N3537="USD",C3537*TasaUSD,C3537/TasaUSD)))</f>
        <v/>
      </c>
      <c r="V3537" s="20">
        <f>IF(I3537="","",IF(IFERROR(INDEX(ctaLiq,MATCH(E3537,ctaNom,0))="Sí",FALSE),IF(OR(I3537="Gasto",I3537="Transferencia",I3537="Pago tarjeta"),-1,1)*O3537,0)+IF(AND(U3537&lt;&gt;"",IFERROR(INDEX(ctaLiq,MATCH(G3537,ctaNom,0))="Sí",FALSE)),O3537,0))</f>
        <v/>
      </c>
      <c r="W3537" s="19">
        <f>IF(OR(F3537="",I3537=""),"",IF(COUNTIFS(F$6:F3537,F3537,I$6:I3537,"?*")=1,MAX(W$5:W3536)+1,""))</f>
        <v/>
      </c>
    </row>
    <row r="3538">
      <c r="B3538" s="15" t="n"/>
      <c r="C3538" s="16" t="n"/>
      <c r="D3538" s="17" t="n"/>
      <c r="E3538" s="17" t="n"/>
      <c r="F3538" s="17" t="n"/>
      <c r="G3538" s="17" t="n"/>
      <c r="H3538" s="18">
        <f>IF(AND(B3538="",C3538="",D3538="",E3538=""),"",IF(B3538="","⚠ Falta fecha",IF(C3538="","⚠ Falta monto",IF(D3538="","⚠ Falta categoría",IF(ISNA(MATCH(D3538,catNom,0)),"⚠ Categoría no existe",IF(E3538="","⚠ Falta cuenta",IF(ISNA(MATCH(E3538,ctaNom,0)),"⚠ Cuenta no existe",IF(AND(OR(I3538="Transferencia",I3538="Pago tarjeta"),G3538=""),"⚠ Indica la cuenta «Hacia»",IF(AND(G3538&lt;&gt;"",G3538=E3538),"⚠ «Hacia» igual a la cuenta",IF(AND(G3538&lt;&gt;"",ISNA(MATCH(G3538,ctaNom,0))),"⚠ «Hacia» no existe",IF(AND(I3538="Pago tarjeta",IFERROR(INDEX(ctaTipo,MATCH(G3538,ctaNom,0)),"")&lt;&gt;"Tarjeta de crédito"),"⚠ «Hacia» debe ser la tarjeta",IF(AND(I3538="Trading",IFERROR(INDEX(ctaTipo,MATCH(E3538,ctaNom,0)),"")&lt;&gt;"Cuenta de trading"),"⚠ Usa la cuenta de trading","✓"))))))))))))</f>
        <v/>
      </c>
      <c r="I3538" s="19">
        <f>IF(OR(B3538="",C3538="",D3538=""),"",IFERROR(INDEX(catTipo,MATCH(D3538,catNom,0))&amp;"",""))</f>
        <v/>
      </c>
      <c r="J3538" s="19">
        <f>IF(I3538="","",IFERROR(INDEX(catGrupo,MATCH(D3538,catNom,0))&amp;"",""))</f>
        <v/>
      </c>
      <c r="K3538" s="19">
        <f>IF(I3538="Gasto",IF(IFERROR(INDEX(catClas,MATCH(D3538,catNom,0))&amp;"","")="","Variable",IFERROR(INDEX(catClas,MATCH(D3538,catNom,0))&amp;"","")),"")</f>
        <v/>
      </c>
      <c r="L3538" s="19">
        <f>IF(I3538="","",IFERROR(INDEX(catAlim,MATCH(D3538,catNom,0))&amp;"",""))</f>
        <v/>
      </c>
      <c r="M3538" s="19">
        <f>IF(I3538="","",IFERROR(INDEX(catComida,MATCH(D3538,catNom,0))&amp;"",""))</f>
        <v/>
      </c>
      <c r="N3538" s="19">
        <f>IF(I3538="","",IFERROR(INDEX(ctaMon,MATCH(E3538,ctaNom,0))&amp;"","DOP"))</f>
        <v/>
      </c>
      <c r="O3538" s="20">
        <f>IF(I3538="","",C3538*IF(N3538="USD",TasaUSD,1))</f>
        <v/>
      </c>
      <c r="P3538" s="20">
        <f>IF(I3538="","",IF(I3538="Gasto",O3538,0))</f>
        <v/>
      </c>
      <c r="Q3538" s="20">
        <f>IF(I3538="","",IF(I3538="Ingreso",O3538,0))</f>
        <v/>
      </c>
      <c r="R3538" s="20">
        <f>IF(I3538="","",IF(I3538="Trading",O3538,0))</f>
        <v/>
      </c>
      <c r="S3538" s="19">
        <f>IF(I3538="","",IF(AND(I3538="Gasto",K3538="Variable",J3538&lt;&gt;"Trading",O3538&gt;0,O3538&lt;=Umbral),1,0))</f>
        <v/>
      </c>
      <c r="T3538" s="20">
        <f>IF(OR(I3538="",E3538=""),"",IF(OR(I3538="Gasto",I3538="Transferencia",I3538="Pago tarjeta"),-1,1)*C3538)</f>
        <v/>
      </c>
      <c r="U3538" s="20">
        <f>IF(OR(G3538="",AND(I3538&lt;&gt;"Transferencia",I3538&lt;&gt;"Pago tarjeta")),"",IF(IFERROR(INDEX(ctaMon,MATCH(G3538,ctaNom,0))&amp;"","DOP")=N3538,C3538,IF(N3538="USD",C3538*TasaUSD,C3538/TasaUSD)))</f>
        <v/>
      </c>
      <c r="V3538" s="20">
        <f>IF(I3538="","",IF(IFERROR(INDEX(ctaLiq,MATCH(E3538,ctaNom,0))="Sí",FALSE),IF(OR(I3538="Gasto",I3538="Transferencia",I3538="Pago tarjeta"),-1,1)*O3538,0)+IF(AND(U3538&lt;&gt;"",IFERROR(INDEX(ctaLiq,MATCH(G3538,ctaNom,0))="Sí",FALSE)),O3538,0))</f>
        <v/>
      </c>
      <c r="W3538" s="19">
        <f>IF(OR(F3538="",I3538=""),"",IF(COUNTIFS(F$6:F3538,F3538,I$6:I3538,"?*")=1,MAX(W$5:W3537)+1,""))</f>
        <v/>
      </c>
    </row>
    <row r="3539">
      <c r="B3539" s="15" t="n"/>
      <c r="C3539" s="16" t="n"/>
      <c r="D3539" s="17" t="n"/>
      <c r="E3539" s="17" t="n"/>
      <c r="F3539" s="17" t="n"/>
      <c r="G3539" s="17" t="n"/>
      <c r="H3539" s="18">
        <f>IF(AND(B3539="",C3539="",D3539="",E3539=""),"",IF(B3539="","⚠ Falta fecha",IF(C3539="","⚠ Falta monto",IF(D3539="","⚠ Falta categoría",IF(ISNA(MATCH(D3539,catNom,0)),"⚠ Categoría no existe",IF(E3539="","⚠ Falta cuenta",IF(ISNA(MATCH(E3539,ctaNom,0)),"⚠ Cuenta no existe",IF(AND(OR(I3539="Transferencia",I3539="Pago tarjeta"),G3539=""),"⚠ Indica la cuenta «Hacia»",IF(AND(G3539&lt;&gt;"",G3539=E3539),"⚠ «Hacia» igual a la cuenta",IF(AND(G3539&lt;&gt;"",ISNA(MATCH(G3539,ctaNom,0))),"⚠ «Hacia» no existe",IF(AND(I3539="Pago tarjeta",IFERROR(INDEX(ctaTipo,MATCH(G3539,ctaNom,0)),"")&lt;&gt;"Tarjeta de crédito"),"⚠ «Hacia» debe ser la tarjeta",IF(AND(I3539="Trading",IFERROR(INDEX(ctaTipo,MATCH(E3539,ctaNom,0)),"")&lt;&gt;"Cuenta de trading"),"⚠ Usa la cuenta de trading","✓"))))))))))))</f>
        <v/>
      </c>
      <c r="I3539" s="19">
        <f>IF(OR(B3539="",C3539="",D3539=""),"",IFERROR(INDEX(catTipo,MATCH(D3539,catNom,0))&amp;"",""))</f>
        <v/>
      </c>
      <c r="J3539" s="19">
        <f>IF(I3539="","",IFERROR(INDEX(catGrupo,MATCH(D3539,catNom,0))&amp;"",""))</f>
        <v/>
      </c>
      <c r="K3539" s="19">
        <f>IF(I3539="Gasto",IF(IFERROR(INDEX(catClas,MATCH(D3539,catNom,0))&amp;"","")="","Variable",IFERROR(INDEX(catClas,MATCH(D3539,catNom,0))&amp;"","")),"")</f>
        <v/>
      </c>
      <c r="L3539" s="19">
        <f>IF(I3539="","",IFERROR(INDEX(catAlim,MATCH(D3539,catNom,0))&amp;"",""))</f>
        <v/>
      </c>
      <c r="M3539" s="19">
        <f>IF(I3539="","",IFERROR(INDEX(catComida,MATCH(D3539,catNom,0))&amp;"",""))</f>
        <v/>
      </c>
      <c r="N3539" s="19">
        <f>IF(I3539="","",IFERROR(INDEX(ctaMon,MATCH(E3539,ctaNom,0))&amp;"","DOP"))</f>
        <v/>
      </c>
      <c r="O3539" s="20">
        <f>IF(I3539="","",C3539*IF(N3539="USD",TasaUSD,1))</f>
        <v/>
      </c>
      <c r="P3539" s="20">
        <f>IF(I3539="","",IF(I3539="Gasto",O3539,0))</f>
        <v/>
      </c>
      <c r="Q3539" s="20">
        <f>IF(I3539="","",IF(I3539="Ingreso",O3539,0))</f>
        <v/>
      </c>
      <c r="R3539" s="20">
        <f>IF(I3539="","",IF(I3539="Trading",O3539,0))</f>
        <v/>
      </c>
      <c r="S3539" s="19">
        <f>IF(I3539="","",IF(AND(I3539="Gasto",K3539="Variable",J3539&lt;&gt;"Trading",O3539&gt;0,O3539&lt;=Umbral),1,0))</f>
        <v/>
      </c>
      <c r="T3539" s="20">
        <f>IF(OR(I3539="",E3539=""),"",IF(OR(I3539="Gasto",I3539="Transferencia",I3539="Pago tarjeta"),-1,1)*C3539)</f>
        <v/>
      </c>
      <c r="U3539" s="20">
        <f>IF(OR(G3539="",AND(I3539&lt;&gt;"Transferencia",I3539&lt;&gt;"Pago tarjeta")),"",IF(IFERROR(INDEX(ctaMon,MATCH(G3539,ctaNom,0))&amp;"","DOP")=N3539,C3539,IF(N3539="USD",C3539*TasaUSD,C3539/TasaUSD)))</f>
        <v/>
      </c>
      <c r="V3539" s="20">
        <f>IF(I3539="","",IF(IFERROR(INDEX(ctaLiq,MATCH(E3539,ctaNom,0))="Sí",FALSE),IF(OR(I3539="Gasto",I3539="Transferencia",I3539="Pago tarjeta"),-1,1)*O3539,0)+IF(AND(U3539&lt;&gt;"",IFERROR(INDEX(ctaLiq,MATCH(G3539,ctaNom,0))="Sí",FALSE)),O3539,0))</f>
        <v/>
      </c>
      <c r="W3539" s="19">
        <f>IF(OR(F3539="",I3539=""),"",IF(COUNTIFS(F$6:F3539,F3539,I$6:I3539,"?*")=1,MAX(W$5:W3538)+1,""))</f>
        <v/>
      </c>
    </row>
    <row r="3540">
      <c r="B3540" s="15" t="n"/>
      <c r="C3540" s="16" t="n"/>
      <c r="D3540" s="17" t="n"/>
      <c r="E3540" s="17" t="n"/>
      <c r="F3540" s="17" t="n"/>
      <c r="G3540" s="17" t="n"/>
      <c r="H3540" s="18">
        <f>IF(AND(B3540="",C3540="",D3540="",E3540=""),"",IF(B3540="","⚠ Falta fecha",IF(C3540="","⚠ Falta monto",IF(D3540="","⚠ Falta categoría",IF(ISNA(MATCH(D3540,catNom,0)),"⚠ Categoría no existe",IF(E3540="","⚠ Falta cuenta",IF(ISNA(MATCH(E3540,ctaNom,0)),"⚠ Cuenta no existe",IF(AND(OR(I3540="Transferencia",I3540="Pago tarjeta"),G3540=""),"⚠ Indica la cuenta «Hacia»",IF(AND(G3540&lt;&gt;"",G3540=E3540),"⚠ «Hacia» igual a la cuenta",IF(AND(G3540&lt;&gt;"",ISNA(MATCH(G3540,ctaNom,0))),"⚠ «Hacia» no existe",IF(AND(I3540="Pago tarjeta",IFERROR(INDEX(ctaTipo,MATCH(G3540,ctaNom,0)),"")&lt;&gt;"Tarjeta de crédito"),"⚠ «Hacia» debe ser la tarjeta",IF(AND(I3540="Trading",IFERROR(INDEX(ctaTipo,MATCH(E3540,ctaNom,0)),"")&lt;&gt;"Cuenta de trading"),"⚠ Usa la cuenta de trading","✓"))))))))))))</f>
        <v/>
      </c>
      <c r="I3540" s="19">
        <f>IF(OR(B3540="",C3540="",D3540=""),"",IFERROR(INDEX(catTipo,MATCH(D3540,catNom,0))&amp;"",""))</f>
        <v/>
      </c>
      <c r="J3540" s="19">
        <f>IF(I3540="","",IFERROR(INDEX(catGrupo,MATCH(D3540,catNom,0))&amp;"",""))</f>
        <v/>
      </c>
      <c r="K3540" s="19">
        <f>IF(I3540="Gasto",IF(IFERROR(INDEX(catClas,MATCH(D3540,catNom,0))&amp;"","")="","Variable",IFERROR(INDEX(catClas,MATCH(D3540,catNom,0))&amp;"","")),"")</f>
        <v/>
      </c>
      <c r="L3540" s="19">
        <f>IF(I3540="","",IFERROR(INDEX(catAlim,MATCH(D3540,catNom,0))&amp;"",""))</f>
        <v/>
      </c>
      <c r="M3540" s="19">
        <f>IF(I3540="","",IFERROR(INDEX(catComida,MATCH(D3540,catNom,0))&amp;"",""))</f>
        <v/>
      </c>
      <c r="N3540" s="19">
        <f>IF(I3540="","",IFERROR(INDEX(ctaMon,MATCH(E3540,ctaNom,0))&amp;"","DOP"))</f>
        <v/>
      </c>
      <c r="O3540" s="20">
        <f>IF(I3540="","",C3540*IF(N3540="USD",TasaUSD,1))</f>
        <v/>
      </c>
      <c r="P3540" s="20">
        <f>IF(I3540="","",IF(I3540="Gasto",O3540,0))</f>
        <v/>
      </c>
      <c r="Q3540" s="20">
        <f>IF(I3540="","",IF(I3540="Ingreso",O3540,0))</f>
        <v/>
      </c>
      <c r="R3540" s="20">
        <f>IF(I3540="","",IF(I3540="Trading",O3540,0))</f>
        <v/>
      </c>
      <c r="S3540" s="19">
        <f>IF(I3540="","",IF(AND(I3540="Gasto",K3540="Variable",J3540&lt;&gt;"Trading",O3540&gt;0,O3540&lt;=Umbral),1,0))</f>
        <v/>
      </c>
      <c r="T3540" s="20">
        <f>IF(OR(I3540="",E3540=""),"",IF(OR(I3540="Gasto",I3540="Transferencia",I3540="Pago tarjeta"),-1,1)*C3540)</f>
        <v/>
      </c>
      <c r="U3540" s="20">
        <f>IF(OR(G3540="",AND(I3540&lt;&gt;"Transferencia",I3540&lt;&gt;"Pago tarjeta")),"",IF(IFERROR(INDEX(ctaMon,MATCH(G3540,ctaNom,0))&amp;"","DOP")=N3540,C3540,IF(N3540="USD",C3540*TasaUSD,C3540/TasaUSD)))</f>
        <v/>
      </c>
      <c r="V3540" s="20">
        <f>IF(I3540="","",IF(IFERROR(INDEX(ctaLiq,MATCH(E3540,ctaNom,0))="Sí",FALSE),IF(OR(I3540="Gasto",I3540="Transferencia",I3540="Pago tarjeta"),-1,1)*O3540,0)+IF(AND(U3540&lt;&gt;"",IFERROR(INDEX(ctaLiq,MATCH(G3540,ctaNom,0))="Sí",FALSE)),O3540,0))</f>
        <v/>
      </c>
      <c r="W3540" s="19">
        <f>IF(OR(F3540="",I3540=""),"",IF(COUNTIFS(F$6:F3540,F3540,I$6:I3540,"?*")=1,MAX(W$5:W3539)+1,""))</f>
        <v/>
      </c>
    </row>
    <row r="3541">
      <c r="B3541" s="15" t="n"/>
      <c r="C3541" s="16" t="n"/>
      <c r="D3541" s="17" t="n"/>
      <c r="E3541" s="17" t="n"/>
      <c r="F3541" s="17" t="n"/>
      <c r="G3541" s="17" t="n"/>
      <c r="H3541" s="18">
        <f>IF(AND(B3541="",C3541="",D3541="",E3541=""),"",IF(B3541="","⚠ Falta fecha",IF(C3541="","⚠ Falta monto",IF(D3541="","⚠ Falta categoría",IF(ISNA(MATCH(D3541,catNom,0)),"⚠ Categoría no existe",IF(E3541="","⚠ Falta cuenta",IF(ISNA(MATCH(E3541,ctaNom,0)),"⚠ Cuenta no existe",IF(AND(OR(I3541="Transferencia",I3541="Pago tarjeta"),G3541=""),"⚠ Indica la cuenta «Hacia»",IF(AND(G3541&lt;&gt;"",G3541=E3541),"⚠ «Hacia» igual a la cuenta",IF(AND(G3541&lt;&gt;"",ISNA(MATCH(G3541,ctaNom,0))),"⚠ «Hacia» no existe",IF(AND(I3541="Pago tarjeta",IFERROR(INDEX(ctaTipo,MATCH(G3541,ctaNom,0)),"")&lt;&gt;"Tarjeta de crédito"),"⚠ «Hacia» debe ser la tarjeta",IF(AND(I3541="Trading",IFERROR(INDEX(ctaTipo,MATCH(E3541,ctaNom,0)),"")&lt;&gt;"Cuenta de trading"),"⚠ Usa la cuenta de trading","✓"))))))))))))</f>
        <v/>
      </c>
      <c r="I3541" s="19">
        <f>IF(OR(B3541="",C3541="",D3541=""),"",IFERROR(INDEX(catTipo,MATCH(D3541,catNom,0))&amp;"",""))</f>
        <v/>
      </c>
      <c r="J3541" s="19">
        <f>IF(I3541="","",IFERROR(INDEX(catGrupo,MATCH(D3541,catNom,0))&amp;"",""))</f>
        <v/>
      </c>
      <c r="K3541" s="19">
        <f>IF(I3541="Gasto",IF(IFERROR(INDEX(catClas,MATCH(D3541,catNom,0))&amp;"","")="","Variable",IFERROR(INDEX(catClas,MATCH(D3541,catNom,0))&amp;"","")),"")</f>
        <v/>
      </c>
      <c r="L3541" s="19">
        <f>IF(I3541="","",IFERROR(INDEX(catAlim,MATCH(D3541,catNom,0))&amp;"",""))</f>
        <v/>
      </c>
      <c r="M3541" s="19">
        <f>IF(I3541="","",IFERROR(INDEX(catComida,MATCH(D3541,catNom,0))&amp;"",""))</f>
        <v/>
      </c>
      <c r="N3541" s="19">
        <f>IF(I3541="","",IFERROR(INDEX(ctaMon,MATCH(E3541,ctaNom,0))&amp;"","DOP"))</f>
        <v/>
      </c>
      <c r="O3541" s="20">
        <f>IF(I3541="","",C3541*IF(N3541="USD",TasaUSD,1))</f>
        <v/>
      </c>
      <c r="P3541" s="20">
        <f>IF(I3541="","",IF(I3541="Gasto",O3541,0))</f>
        <v/>
      </c>
      <c r="Q3541" s="20">
        <f>IF(I3541="","",IF(I3541="Ingreso",O3541,0))</f>
        <v/>
      </c>
      <c r="R3541" s="20">
        <f>IF(I3541="","",IF(I3541="Trading",O3541,0))</f>
        <v/>
      </c>
      <c r="S3541" s="19">
        <f>IF(I3541="","",IF(AND(I3541="Gasto",K3541="Variable",J3541&lt;&gt;"Trading",O3541&gt;0,O3541&lt;=Umbral),1,0))</f>
        <v/>
      </c>
      <c r="T3541" s="20">
        <f>IF(OR(I3541="",E3541=""),"",IF(OR(I3541="Gasto",I3541="Transferencia",I3541="Pago tarjeta"),-1,1)*C3541)</f>
        <v/>
      </c>
      <c r="U3541" s="20">
        <f>IF(OR(G3541="",AND(I3541&lt;&gt;"Transferencia",I3541&lt;&gt;"Pago tarjeta")),"",IF(IFERROR(INDEX(ctaMon,MATCH(G3541,ctaNom,0))&amp;"","DOP")=N3541,C3541,IF(N3541="USD",C3541*TasaUSD,C3541/TasaUSD)))</f>
        <v/>
      </c>
      <c r="V3541" s="20">
        <f>IF(I3541="","",IF(IFERROR(INDEX(ctaLiq,MATCH(E3541,ctaNom,0))="Sí",FALSE),IF(OR(I3541="Gasto",I3541="Transferencia",I3541="Pago tarjeta"),-1,1)*O3541,0)+IF(AND(U3541&lt;&gt;"",IFERROR(INDEX(ctaLiq,MATCH(G3541,ctaNom,0))="Sí",FALSE)),O3541,0))</f>
        <v/>
      </c>
      <c r="W3541" s="19">
        <f>IF(OR(F3541="",I3541=""),"",IF(COUNTIFS(F$6:F3541,F3541,I$6:I3541,"?*")=1,MAX(W$5:W3540)+1,""))</f>
        <v/>
      </c>
    </row>
    <row r="3542">
      <c r="B3542" s="15" t="n"/>
      <c r="C3542" s="16" t="n"/>
      <c r="D3542" s="17" t="n"/>
      <c r="E3542" s="17" t="n"/>
      <c r="F3542" s="17" t="n"/>
      <c r="G3542" s="17" t="n"/>
      <c r="H3542" s="18">
        <f>IF(AND(B3542="",C3542="",D3542="",E3542=""),"",IF(B3542="","⚠ Falta fecha",IF(C3542="","⚠ Falta monto",IF(D3542="","⚠ Falta categoría",IF(ISNA(MATCH(D3542,catNom,0)),"⚠ Categoría no existe",IF(E3542="","⚠ Falta cuenta",IF(ISNA(MATCH(E3542,ctaNom,0)),"⚠ Cuenta no existe",IF(AND(OR(I3542="Transferencia",I3542="Pago tarjeta"),G3542=""),"⚠ Indica la cuenta «Hacia»",IF(AND(G3542&lt;&gt;"",G3542=E3542),"⚠ «Hacia» igual a la cuenta",IF(AND(G3542&lt;&gt;"",ISNA(MATCH(G3542,ctaNom,0))),"⚠ «Hacia» no existe",IF(AND(I3542="Pago tarjeta",IFERROR(INDEX(ctaTipo,MATCH(G3542,ctaNom,0)),"")&lt;&gt;"Tarjeta de crédito"),"⚠ «Hacia» debe ser la tarjeta",IF(AND(I3542="Trading",IFERROR(INDEX(ctaTipo,MATCH(E3542,ctaNom,0)),"")&lt;&gt;"Cuenta de trading"),"⚠ Usa la cuenta de trading","✓"))))))))))))</f>
        <v/>
      </c>
      <c r="I3542" s="19">
        <f>IF(OR(B3542="",C3542="",D3542=""),"",IFERROR(INDEX(catTipo,MATCH(D3542,catNom,0))&amp;"",""))</f>
        <v/>
      </c>
      <c r="J3542" s="19">
        <f>IF(I3542="","",IFERROR(INDEX(catGrupo,MATCH(D3542,catNom,0))&amp;"",""))</f>
        <v/>
      </c>
      <c r="K3542" s="19">
        <f>IF(I3542="Gasto",IF(IFERROR(INDEX(catClas,MATCH(D3542,catNom,0))&amp;"","")="","Variable",IFERROR(INDEX(catClas,MATCH(D3542,catNom,0))&amp;"","")),"")</f>
        <v/>
      </c>
      <c r="L3542" s="19">
        <f>IF(I3542="","",IFERROR(INDEX(catAlim,MATCH(D3542,catNom,0))&amp;"",""))</f>
        <v/>
      </c>
      <c r="M3542" s="19">
        <f>IF(I3542="","",IFERROR(INDEX(catComida,MATCH(D3542,catNom,0))&amp;"",""))</f>
        <v/>
      </c>
      <c r="N3542" s="19">
        <f>IF(I3542="","",IFERROR(INDEX(ctaMon,MATCH(E3542,ctaNom,0))&amp;"","DOP"))</f>
        <v/>
      </c>
      <c r="O3542" s="20">
        <f>IF(I3542="","",C3542*IF(N3542="USD",TasaUSD,1))</f>
        <v/>
      </c>
      <c r="P3542" s="20">
        <f>IF(I3542="","",IF(I3542="Gasto",O3542,0))</f>
        <v/>
      </c>
      <c r="Q3542" s="20">
        <f>IF(I3542="","",IF(I3542="Ingreso",O3542,0))</f>
        <v/>
      </c>
      <c r="R3542" s="20">
        <f>IF(I3542="","",IF(I3542="Trading",O3542,0))</f>
        <v/>
      </c>
      <c r="S3542" s="19">
        <f>IF(I3542="","",IF(AND(I3542="Gasto",K3542="Variable",J3542&lt;&gt;"Trading",O3542&gt;0,O3542&lt;=Umbral),1,0))</f>
        <v/>
      </c>
      <c r="T3542" s="20">
        <f>IF(OR(I3542="",E3542=""),"",IF(OR(I3542="Gasto",I3542="Transferencia",I3542="Pago tarjeta"),-1,1)*C3542)</f>
        <v/>
      </c>
      <c r="U3542" s="20">
        <f>IF(OR(G3542="",AND(I3542&lt;&gt;"Transferencia",I3542&lt;&gt;"Pago tarjeta")),"",IF(IFERROR(INDEX(ctaMon,MATCH(G3542,ctaNom,0))&amp;"","DOP")=N3542,C3542,IF(N3542="USD",C3542*TasaUSD,C3542/TasaUSD)))</f>
        <v/>
      </c>
      <c r="V3542" s="20">
        <f>IF(I3542="","",IF(IFERROR(INDEX(ctaLiq,MATCH(E3542,ctaNom,0))="Sí",FALSE),IF(OR(I3542="Gasto",I3542="Transferencia",I3542="Pago tarjeta"),-1,1)*O3542,0)+IF(AND(U3542&lt;&gt;"",IFERROR(INDEX(ctaLiq,MATCH(G3542,ctaNom,0))="Sí",FALSE)),O3542,0))</f>
        <v/>
      </c>
      <c r="W3542" s="19">
        <f>IF(OR(F3542="",I3542=""),"",IF(COUNTIFS(F$6:F3542,F3542,I$6:I3542,"?*")=1,MAX(W$5:W3541)+1,""))</f>
        <v/>
      </c>
    </row>
    <row r="3543">
      <c r="B3543" s="15" t="n"/>
      <c r="C3543" s="16" t="n"/>
      <c r="D3543" s="17" t="n"/>
      <c r="E3543" s="17" t="n"/>
      <c r="F3543" s="17" t="n"/>
      <c r="G3543" s="17" t="n"/>
      <c r="H3543" s="18">
        <f>IF(AND(B3543="",C3543="",D3543="",E3543=""),"",IF(B3543="","⚠ Falta fecha",IF(C3543="","⚠ Falta monto",IF(D3543="","⚠ Falta categoría",IF(ISNA(MATCH(D3543,catNom,0)),"⚠ Categoría no existe",IF(E3543="","⚠ Falta cuenta",IF(ISNA(MATCH(E3543,ctaNom,0)),"⚠ Cuenta no existe",IF(AND(OR(I3543="Transferencia",I3543="Pago tarjeta"),G3543=""),"⚠ Indica la cuenta «Hacia»",IF(AND(G3543&lt;&gt;"",G3543=E3543),"⚠ «Hacia» igual a la cuenta",IF(AND(G3543&lt;&gt;"",ISNA(MATCH(G3543,ctaNom,0))),"⚠ «Hacia» no existe",IF(AND(I3543="Pago tarjeta",IFERROR(INDEX(ctaTipo,MATCH(G3543,ctaNom,0)),"")&lt;&gt;"Tarjeta de crédito"),"⚠ «Hacia» debe ser la tarjeta",IF(AND(I3543="Trading",IFERROR(INDEX(ctaTipo,MATCH(E3543,ctaNom,0)),"")&lt;&gt;"Cuenta de trading"),"⚠ Usa la cuenta de trading","✓"))))))))))))</f>
        <v/>
      </c>
      <c r="I3543" s="19">
        <f>IF(OR(B3543="",C3543="",D3543=""),"",IFERROR(INDEX(catTipo,MATCH(D3543,catNom,0))&amp;"",""))</f>
        <v/>
      </c>
      <c r="J3543" s="19">
        <f>IF(I3543="","",IFERROR(INDEX(catGrupo,MATCH(D3543,catNom,0))&amp;"",""))</f>
        <v/>
      </c>
      <c r="K3543" s="19">
        <f>IF(I3543="Gasto",IF(IFERROR(INDEX(catClas,MATCH(D3543,catNom,0))&amp;"","")="","Variable",IFERROR(INDEX(catClas,MATCH(D3543,catNom,0))&amp;"","")),"")</f>
        <v/>
      </c>
      <c r="L3543" s="19">
        <f>IF(I3543="","",IFERROR(INDEX(catAlim,MATCH(D3543,catNom,0))&amp;"",""))</f>
        <v/>
      </c>
      <c r="M3543" s="19">
        <f>IF(I3543="","",IFERROR(INDEX(catComida,MATCH(D3543,catNom,0))&amp;"",""))</f>
        <v/>
      </c>
      <c r="N3543" s="19">
        <f>IF(I3543="","",IFERROR(INDEX(ctaMon,MATCH(E3543,ctaNom,0))&amp;"","DOP"))</f>
        <v/>
      </c>
      <c r="O3543" s="20">
        <f>IF(I3543="","",C3543*IF(N3543="USD",TasaUSD,1))</f>
        <v/>
      </c>
      <c r="P3543" s="20">
        <f>IF(I3543="","",IF(I3543="Gasto",O3543,0))</f>
        <v/>
      </c>
      <c r="Q3543" s="20">
        <f>IF(I3543="","",IF(I3543="Ingreso",O3543,0))</f>
        <v/>
      </c>
      <c r="R3543" s="20">
        <f>IF(I3543="","",IF(I3543="Trading",O3543,0))</f>
        <v/>
      </c>
      <c r="S3543" s="19">
        <f>IF(I3543="","",IF(AND(I3543="Gasto",K3543="Variable",J3543&lt;&gt;"Trading",O3543&gt;0,O3543&lt;=Umbral),1,0))</f>
        <v/>
      </c>
      <c r="T3543" s="20">
        <f>IF(OR(I3543="",E3543=""),"",IF(OR(I3543="Gasto",I3543="Transferencia",I3543="Pago tarjeta"),-1,1)*C3543)</f>
        <v/>
      </c>
      <c r="U3543" s="20">
        <f>IF(OR(G3543="",AND(I3543&lt;&gt;"Transferencia",I3543&lt;&gt;"Pago tarjeta")),"",IF(IFERROR(INDEX(ctaMon,MATCH(G3543,ctaNom,0))&amp;"","DOP")=N3543,C3543,IF(N3543="USD",C3543*TasaUSD,C3543/TasaUSD)))</f>
        <v/>
      </c>
      <c r="V3543" s="20">
        <f>IF(I3543="","",IF(IFERROR(INDEX(ctaLiq,MATCH(E3543,ctaNom,0))="Sí",FALSE),IF(OR(I3543="Gasto",I3543="Transferencia",I3543="Pago tarjeta"),-1,1)*O3543,0)+IF(AND(U3543&lt;&gt;"",IFERROR(INDEX(ctaLiq,MATCH(G3543,ctaNom,0))="Sí",FALSE)),O3543,0))</f>
        <v/>
      </c>
      <c r="W3543" s="19">
        <f>IF(OR(F3543="",I3543=""),"",IF(COUNTIFS(F$6:F3543,F3543,I$6:I3543,"?*")=1,MAX(W$5:W3542)+1,""))</f>
        <v/>
      </c>
    </row>
    <row r="3544">
      <c r="B3544" s="15" t="n"/>
      <c r="C3544" s="16" t="n"/>
      <c r="D3544" s="17" t="n"/>
      <c r="E3544" s="17" t="n"/>
      <c r="F3544" s="17" t="n"/>
      <c r="G3544" s="17" t="n"/>
      <c r="H3544" s="18">
        <f>IF(AND(B3544="",C3544="",D3544="",E3544=""),"",IF(B3544="","⚠ Falta fecha",IF(C3544="","⚠ Falta monto",IF(D3544="","⚠ Falta categoría",IF(ISNA(MATCH(D3544,catNom,0)),"⚠ Categoría no existe",IF(E3544="","⚠ Falta cuenta",IF(ISNA(MATCH(E3544,ctaNom,0)),"⚠ Cuenta no existe",IF(AND(OR(I3544="Transferencia",I3544="Pago tarjeta"),G3544=""),"⚠ Indica la cuenta «Hacia»",IF(AND(G3544&lt;&gt;"",G3544=E3544),"⚠ «Hacia» igual a la cuenta",IF(AND(G3544&lt;&gt;"",ISNA(MATCH(G3544,ctaNom,0))),"⚠ «Hacia» no existe",IF(AND(I3544="Pago tarjeta",IFERROR(INDEX(ctaTipo,MATCH(G3544,ctaNom,0)),"")&lt;&gt;"Tarjeta de crédito"),"⚠ «Hacia» debe ser la tarjeta",IF(AND(I3544="Trading",IFERROR(INDEX(ctaTipo,MATCH(E3544,ctaNom,0)),"")&lt;&gt;"Cuenta de trading"),"⚠ Usa la cuenta de trading","✓"))))))))))))</f>
        <v/>
      </c>
      <c r="I3544" s="19">
        <f>IF(OR(B3544="",C3544="",D3544=""),"",IFERROR(INDEX(catTipo,MATCH(D3544,catNom,0))&amp;"",""))</f>
        <v/>
      </c>
      <c r="J3544" s="19">
        <f>IF(I3544="","",IFERROR(INDEX(catGrupo,MATCH(D3544,catNom,0))&amp;"",""))</f>
        <v/>
      </c>
      <c r="K3544" s="19">
        <f>IF(I3544="Gasto",IF(IFERROR(INDEX(catClas,MATCH(D3544,catNom,0))&amp;"","")="","Variable",IFERROR(INDEX(catClas,MATCH(D3544,catNom,0))&amp;"","")),"")</f>
        <v/>
      </c>
      <c r="L3544" s="19">
        <f>IF(I3544="","",IFERROR(INDEX(catAlim,MATCH(D3544,catNom,0))&amp;"",""))</f>
        <v/>
      </c>
      <c r="M3544" s="19">
        <f>IF(I3544="","",IFERROR(INDEX(catComida,MATCH(D3544,catNom,0))&amp;"",""))</f>
        <v/>
      </c>
      <c r="N3544" s="19">
        <f>IF(I3544="","",IFERROR(INDEX(ctaMon,MATCH(E3544,ctaNom,0))&amp;"","DOP"))</f>
        <v/>
      </c>
      <c r="O3544" s="20">
        <f>IF(I3544="","",C3544*IF(N3544="USD",TasaUSD,1))</f>
        <v/>
      </c>
      <c r="P3544" s="20">
        <f>IF(I3544="","",IF(I3544="Gasto",O3544,0))</f>
        <v/>
      </c>
      <c r="Q3544" s="20">
        <f>IF(I3544="","",IF(I3544="Ingreso",O3544,0))</f>
        <v/>
      </c>
      <c r="R3544" s="20">
        <f>IF(I3544="","",IF(I3544="Trading",O3544,0))</f>
        <v/>
      </c>
      <c r="S3544" s="19">
        <f>IF(I3544="","",IF(AND(I3544="Gasto",K3544="Variable",J3544&lt;&gt;"Trading",O3544&gt;0,O3544&lt;=Umbral),1,0))</f>
        <v/>
      </c>
      <c r="T3544" s="20">
        <f>IF(OR(I3544="",E3544=""),"",IF(OR(I3544="Gasto",I3544="Transferencia",I3544="Pago tarjeta"),-1,1)*C3544)</f>
        <v/>
      </c>
      <c r="U3544" s="20">
        <f>IF(OR(G3544="",AND(I3544&lt;&gt;"Transferencia",I3544&lt;&gt;"Pago tarjeta")),"",IF(IFERROR(INDEX(ctaMon,MATCH(G3544,ctaNom,0))&amp;"","DOP")=N3544,C3544,IF(N3544="USD",C3544*TasaUSD,C3544/TasaUSD)))</f>
        <v/>
      </c>
      <c r="V3544" s="20">
        <f>IF(I3544="","",IF(IFERROR(INDEX(ctaLiq,MATCH(E3544,ctaNom,0))="Sí",FALSE),IF(OR(I3544="Gasto",I3544="Transferencia",I3544="Pago tarjeta"),-1,1)*O3544,0)+IF(AND(U3544&lt;&gt;"",IFERROR(INDEX(ctaLiq,MATCH(G3544,ctaNom,0))="Sí",FALSE)),O3544,0))</f>
        <v/>
      </c>
      <c r="W3544" s="19">
        <f>IF(OR(F3544="",I3544=""),"",IF(COUNTIFS(F$6:F3544,F3544,I$6:I3544,"?*")=1,MAX(W$5:W3543)+1,""))</f>
        <v/>
      </c>
    </row>
    <row r="3545">
      <c r="B3545" s="15" t="n"/>
      <c r="C3545" s="16" t="n"/>
      <c r="D3545" s="17" t="n"/>
      <c r="E3545" s="17" t="n"/>
      <c r="F3545" s="17" t="n"/>
      <c r="G3545" s="17" t="n"/>
      <c r="H3545" s="18">
        <f>IF(AND(B3545="",C3545="",D3545="",E3545=""),"",IF(B3545="","⚠ Falta fecha",IF(C3545="","⚠ Falta monto",IF(D3545="","⚠ Falta categoría",IF(ISNA(MATCH(D3545,catNom,0)),"⚠ Categoría no existe",IF(E3545="","⚠ Falta cuenta",IF(ISNA(MATCH(E3545,ctaNom,0)),"⚠ Cuenta no existe",IF(AND(OR(I3545="Transferencia",I3545="Pago tarjeta"),G3545=""),"⚠ Indica la cuenta «Hacia»",IF(AND(G3545&lt;&gt;"",G3545=E3545),"⚠ «Hacia» igual a la cuenta",IF(AND(G3545&lt;&gt;"",ISNA(MATCH(G3545,ctaNom,0))),"⚠ «Hacia» no existe",IF(AND(I3545="Pago tarjeta",IFERROR(INDEX(ctaTipo,MATCH(G3545,ctaNom,0)),"")&lt;&gt;"Tarjeta de crédito"),"⚠ «Hacia» debe ser la tarjeta",IF(AND(I3545="Trading",IFERROR(INDEX(ctaTipo,MATCH(E3545,ctaNom,0)),"")&lt;&gt;"Cuenta de trading"),"⚠ Usa la cuenta de trading","✓"))))))))))))</f>
        <v/>
      </c>
      <c r="I3545" s="19">
        <f>IF(OR(B3545="",C3545="",D3545=""),"",IFERROR(INDEX(catTipo,MATCH(D3545,catNom,0))&amp;"",""))</f>
        <v/>
      </c>
      <c r="J3545" s="19">
        <f>IF(I3545="","",IFERROR(INDEX(catGrupo,MATCH(D3545,catNom,0))&amp;"",""))</f>
        <v/>
      </c>
      <c r="K3545" s="19">
        <f>IF(I3545="Gasto",IF(IFERROR(INDEX(catClas,MATCH(D3545,catNom,0))&amp;"","")="","Variable",IFERROR(INDEX(catClas,MATCH(D3545,catNom,0))&amp;"","")),"")</f>
        <v/>
      </c>
      <c r="L3545" s="19">
        <f>IF(I3545="","",IFERROR(INDEX(catAlim,MATCH(D3545,catNom,0))&amp;"",""))</f>
        <v/>
      </c>
      <c r="M3545" s="19">
        <f>IF(I3545="","",IFERROR(INDEX(catComida,MATCH(D3545,catNom,0))&amp;"",""))</f>
        <v/>
      </c>
      <c r="N3545" s="19">
        <f>IF(I3545="","",IFERROR(INDEX(ctaMon,MATCH(E3545,ctaNom,0))&amp;"","DOP"))</f>
        <v/>
      </c>
      <c r="O3545" s="20">
        <f>IF(I3545="","",C3545*IF(N3545="USD",TasaUSD,1))</f>
        <v/>
      </c>
      <c r="P3545" s="20">
        <f>IF(I3545="","",IF(I3545="Gasto",O3545,0))</f>
        <v/>
      </c>
      <c r="Q3545" s="20">
        <f>IF(I3545="","",IF(I3545="Ingreso",O3545,0))</f>
        <v/>
      </c>
      <c r="R3545" s="20">
        <f>IF(I3545="","",IF(I3545="Trading",O3545,0))</f>
        <v/>
      </c>
      <c r="S3545" s="19">
        <f>IF(I3545="","",IF(AND(I3545="Gasto",K3545="Variable",J3545&lt;&gt;"Trading",O3545&gt;0,O3545&lt;=Umbral),1,0))</f>
        <v/>
      </c>
      <c r="T3545" s="20">
        <f>IF(OR(I3545="",E3545=""),"",IF(OR(I3545="Gasto",I3545="Transferencia",I3545="Pago tarjeta"),-1,1)*C3545)</f>
        <v/>
      </c>
      <c r="U3545" s="20">
        <f>IF(OR(G3545="",AND(I3545&lt;&gt;"Transferencia",I3545&lt;&gt;"Pago tarjeta")),"",IF(IFERROR(INDEX(ctaMon,MATCH(G3545,ctaNom,0))&amp;"","DOP")=N3545,C3545,IF(N3545="USD",C3545*TasaUSD,C3545/TasaUSD)))</f>
        <v/>
      </c>
      <c r="V3545" s="20">
        <f>IF(I3545="","",IF(IFERROR(INDEX(ctaLiq,MATCH(E3545,ctaNom,0))="Sí",FALSE),IF(OR(I3545="Gasto",I3545="Transferencia",I3545="Pago tarjeta"),-1,1)*O3545,0)+IF(AND(U3545&lt;&gt;"",IFERROR(INDEX(ctaLiq,MATCH(G3545,ctaNom,0))="Sí",FALSE)),O3545,0))</f>
        <v/>
      </c>
      <c r="W3545" s="19">
        <f>IF(OR(F3545="",I3545=""),"",IF(COUNTIFS(F$6:F3545,F3545,I$6:I3545,"?*")=1,MAX(W$5:W3544)+1,""))</f>
        <v/>
      </c>
    </row>
    <row r="3546">
      <c r="B3546" s="15" t="n"/>
      <c r="C3546" s="16" t="n"/>
      <c r="D3546" s="17" t="n"/>
      <c r="E3546" s="17" t="n"/>
      <c r="F3546" s="17" t="n"/>
      <c r="G3546" s="17" t="n"/>
      <c r="H3546" s="18">
        <f>IF(AND(B3546="",C3546="",D3546="",E3546=""),"",IF(B3546="","⚠ Falta fecha",IF(C3546="","⚠ Falta monto",IF(D3546="","⚠ Falta categoría",IF(ISNA(MATCH(D3546,catNom,0)),"⚠ Categoría no existe",IF(E3546="","⚠ Falta cuenta",IF(ISNA(MATCH(E3546,ctaNom,0)),"⚠ Cuenta no existe",IF(AND(OR(I3546="Transferencia",I3546="Pago tarjeta"),G3546=""),"⚠ Indica la cuenta «Hacia»",IF(AND(G3546&lt;&gt;"",G3546=E3546),"⚠ «Hacia» igual a la cuenta",IF(AND(G3546&lt;&gt;"",ISNA(MATCH(G3546,ctaNom,0))),"⚠ «Hacia» no existe",IF(AND(I3546="Pago tarjeta",IFERROR(INDEX(ctaTipo,MATCH(G3546,ctaNom,0)),"")&lt;&gt;"Tarjeta de crédito"),"⚠ «Hacia» debe ser la tarjeta",IF(AND(I3546="Trading",IFERROR(INDEX(ctaTipo,MATCH(E3546,ctaNom,0)),"")&lt;&gt;"Cuenta de trading"),"⚠ Usa la cuenta de trading","✓"))))))))))))</f>
        <v/>
      </c>
      <c r="I3546" s="19">
        <f>IF(OR(B3546="",C3546="",D3546=""),"",IFERROR(INDEX(catTipo,MATCH(D3546,catNom,0))&amp;"",""))</f>
        <v/>
      </c>
      <c r="J3546" s="19">
        <f>IF(I3546="","",IFERROR(INDEX(catGrupo,MATCH(D3546,catNom,0))&amp;"",""))</f>
        <v/>
      </c>
      <c r="K3546" s="19">
        <f>IF(I3546="Gasto",IF(IFERROR(INDEX(catClas,MATCH(D3546,catNom,0))&amp;"","")="","Variable",IFERROR(INDEX(catClas,MATCH(D3546,catNom,0))&amp;"","")),"")</f>
        <v/>
      </c>
      <c r="L3546" s="19">
        <f>IF(I3546="","",IFERROR(INDEX(catAlim,MATCH(D3546,catNom,0))&amp;"",""))</f>
        <v/>
      </c>
      <c r="M3546" s="19">
        <f>IF(I3546="","",IFERROR(INDEX(catComida,MATCH(D3546,catNom,0))&amp;"",""))</f>
        <v/>
      </c>
      <c r="N3546" s="19">
        <f>IF(I3546="","",IFERROR(INDEX(ctaMon,MATCH(E3546,ctaNom,0))&amp;"","DOP"))</f>
        <v/>
      </c>
      <c r="O3546" s="20">
        <f>IF(I3546="","",C3546*IF(N3546="USD",TasaUSD,1))</f>
        <v/>
      </c>
      <c r="P3546" s="20">
        <f>IF(I3546="","",IF(I3546="Gasto",O3546,0))</f>
        <v/>
      </c>
      <c r="Q3546" s="20">
        <f>IF(I3546="","",IF(I3546="Ingreso",O3546,0))</f>
        <v/>
      </c>
      <c r="R3546" s="20">
        <f>IF(I3546="","",IF(I3546="Trading",O3546,0))</f>
        <v/>
      </c>
      <c r="S3546" s="19">
        <f>IF(I3546="","",IF(AND(I3546="Gasto",K3546="Variable",J3546&lt;&gt;"Trading",O3546&gt;0,O3546&lt;=Umbral),1,0))</f>
        <v/>
      </c>
      <c r="T3546" s="20">
        <f>IF(OR(I3546="",E3546=""),"",IF(OR(I3546="Gasto",I3546="Transferencia",I3546="Pago tarjeta"),-1,1)*C3546)</f>
        <v/>
      </c>
      <c r="U3546" s="20">
        <f>IF(OR(G3546="",AND(I3546&lt;&gt;"Transferencia",I3546&lt;&gt;"Pago tarjeta")),"",IF(IFERROR(INDEX(ctaMon,MATCH(G3546,ctaNom,0))&amp;"","DOP")=N3546,C3546,IF(N3546="USD",C3546*TasaUSD,C3546/TasaUSD)))</f>
        <v/>
      </c>
      <c r="V3546" s="20">
        <f>IF(I3546="","",IF(IFERROR(INDEX(ctaLiq,MATCH(E3546,ctaNom,0))="Sí",FALSE),IF(OR(I3546="Gasto",I3546="Transferencia",I3546="Pago tarjeta"),-1,1)*O3546,0)+IF(AND(U3546&lt;&gt;"",IFERROR(INDEX(ctaLiq,MATCH(G3546,ctaNom,0))="Sí",FALSE)),O3546,0))</f>
        <v/>
      </c>
      <c r="W3546" s="19">
        <f>IF(OR(F3546="",I3546=""),"",IF(COUNTIFS(F$6:F3546,F3546,I$6:I3546,"?*")=1,MAX(W$5:W3545)+1,""))</f>
        <v/>
      </c>
    </row>
    <row r="3547">
      <c r="B3547" s="15" t="n"/>
      <c r="C3547" s="16" t="n"/>
      <c r="D3547" s="17" t="n"/>
      <c r="E3547" s="17" t="n"/>
      <c r="F3547" s="17" t="n"/>
      <c r="G3547" s="17" t="n"/>
      <c r="H3547" s="18">
        <f>IF(AND(B3547="",C3547="",D3547="",E3547=""),"",IF(B3547="","⚠ Falta fecha",IF(C3547="","⚠ Falta monto",IF(D3547="","⚠ Falta categoría",IF(ISNA(MATCH(D3547,catNom,0)),"⚠ Categoría no existe",IF(E3547="","⚠ Falta cuenta",IF(ISNA(MATCH(E3547,ctaNom,0)),"⚠ Cuenta no existe",IF(AND(OR(I3547="Transferencia",I3547="Pago tarjeta"),G3547=""),"⚠ Indica la cuenta «Hacia»",IF(AND(G3547&lt;&gt;"",G3547=E3547),"⚠ «Hacia» igual a la cuenta",IF(AND(G3547&lt;&gt;"",ISNA(MATCH(G3547,ctaNom,0))),"⚠ «Hacia» no existe",IF(AND(I3547="Pago tarjeta",IFERROR(INDEX(ctaTipo,MATCH(G3547,ctaNom,0)),"")&lt;&gt;"Tarjeta de crédito"),"⚠ «Hacia» debe ser la tarjeta",IF(AND(I3547="Trading",IFERROR(INDEX(ctaTipo,MATCH(E3547,ctaNom,0)),"")&lt;&gt;"Cuenta de trading"),"⚠ Usa la cuenta de trading","✓"))))))))))))</f>
        <v/>
      </c>
      <c r="I3547" s="19">
        <f>IF(OR(B3547="",C3547="",D3547=""),"",IFERROR(INDEX(catTipo,MATCH(D3547,catNom,0))&amp;"",""))</f>
        <v/>
      </c>
      <c r="J3547" s="19">
        <f>IF(I3547="","",IFERROR(INDEX(catGrupo,MATCH(D3547,catNom,0))&amp;"",""))</f>
        <v/>
      </c>
      <c r="K3547" s="19">
        <f>IF(I3547="Gasto",IF(IFERROR(INDEX(catClas,MATCH(D3547,catNom,0))&amp;"","")="","Variable",IFERROR(INDEX(catClas,MATCH(D3547,catNom,0))&amp;"","")),"")</f>
        <v/>
      </c>
      <c r="L3547" s="19">
        <f>IF(I3547="","",IFERROR(INDEX(catAlim,MATCH(D3547,catNom,0))&amp;"",""))</f>
        <v/>
      </c>
      <c r="M3547" s="19">
        <f>IF(I3547="","",IFERROR(INDEX(catComida,MATCH(D3547,catNom,0))&amp;"",""))</f>
        <v/>
      </c>
      <c r="N3547" s="19">
        <f>IF(I3547="","",IFERROR(INDEX(ctaMon,MATCH(E3547,ctaNom,0))&amp;"","DOP"))</f>
        <v/>
      </c>
      <c r="O3547" s="20">
        <f>IF(I3547="","",C3547*IF(N3547="USD",TasaUSD,1))</f>
        <v/>
      </c>
      <c r="P3547" s="20">
        <f>IF(I3547="","",IF(I3547="Gasto",O3547,0))</f>
        <v/>
      </c>
      <c r="Q3547" s="20">
        <f>IF(I3547="","",IF(I3547="Ingreso",O3547,0))</f>
        <v/>
      </c>
      <c r="R3547" s="20">
        <f>IF(I3547="","",IF(I3547="Trading",O3547,0))</f>
        <v/>
      </c>
      <c r="S3547" s="19">
        <f>IF(I3547="","",IF(AND(I3547="Gasto",K3547="Variable",J3547&lt;&gt;"Trading",O3547&gt;0,O3547&lt;=Umbral),1,0))</f>
        <v/>
      </c>
      <c r="T3547" s="20">
        <f>IF(OR(I3547="",E3547=""),"",IF(OR(I3547="Gasto",I3547="Transferencia",I3547="Pago tarjeta"),-1,1)*C3547)</f>
        <v/>
      </c>
      <c r="U3547" s="20">
        <f>IF(OR(G3547="",AND(I3547&lt;&gt;"Transferencia",I3547&lt;&gt;"Pago tarjeta")),"",IF(IFERROR(INDEX(ctaMon,MATCH(G3547,ctaNom,0))&amp;"","DOP")=N3547,C3547,IF(N3547="USD",C3547*TasaUSD,C3547/TasaUSD)))</f>
        <v/>
      </c>
      <c r="V3547" s="20">
        <f>IF(I3547="","",IF(IFERROR(INDEX(ctaLiq,MATCH(E3547,ctaNom,0))="Sí",FALSE),IF(OR(I3547="Gasto",I3547="Transferencia",I3547="Pago tarjeta"),-1,1)*O3547,0)+IF(AND(U3547&lt;&gt;"",IFERROR(INDEX(ctaLiq,MATCH(G3547,ctaNom,0))="Sí",FALSE)),O3547,0))</f>
        <v/>
      </c>
      <c r="W3547" s="19">
        <f>IF(OR(F3547="",I3547=""),"",IF(COUNTIFS(F$6:F3547,F3547,I$6:I3547,"?*")=1,MAX(W$5:W3546)+1,""))</f>
        <v/>
      </c>
    </row>
    <row r="3548">
      <c r="B3548" s="15" t="n"/>
      <c r="C3548" s="16" t="n"/>
      <c r="D3548" s="17" t="n"/>
      <c r="E3548" s="17" t="n"/>
      <c r="F3548" s="17" t="n"/>
      <c r="G3548" s="17" t="n"/>
      <c r="H3548" s="18">
        <f>IF(AND(B3548="",C3548="",D3548="",E3548=""),"",IF(B3548="","⚠ Falta fecha",IF(C3548="","⚠ Falta monto",IF(D3548="","⚠ Falta categoría",IF(ISNA(MATCH(D3548,catNom,0)),"⚠ Categoría no existe",IF(E3548="","⚠ Falta cuenta",IF(ISNA(MATCH(E3548,ctaNom,0)),"⚠ Cuenta no existe",IF(AND(OR(I3548="Transferencia",I3548="Pago tarjeta"),G3548=""),"⚠ Indica la cuenta «Hacia»",IF(AND(G3548&lt;&gt;"",G3548=E3548),"⚠ «Hacia» igual a la cuenta",IF(AND(G3548&lt;&gt;"",ISNA(MATCH(G3548,ctaNom,0))),"⚠ «Hacia» no existe",IF(AND(I3548="Pago tarjeta",IFERROR(INDEX(ctaTipo,MATCH(G3548,ctaNom,0)),"")&lt;&gt;"Tarjeta de crédito"),"⚠ «Hacia» debe ser la tarjeta",IF(AND(I3548="Trading",IFERROR(INDEX(ctaTipo,MATCH(E3548,ctaNom,0)),"")&lt;&gt;"Cuenta de trading"),"⚠ Usa la cuenta de trading","✓"))))))))))))</f>
        <v/>
      </c>
      <c r="I3548" s="19">
        <f>IF(OR(B3548="",C3548="",D3548=""),"",IFERROR(INDEX(catTipo,MATCH(D3548,catNom,0))&amp;"",""))</f>
        <v/>
      </c>
      <c r="J3548" s="19">
        <f>IF(I3548="","",IFERROR(INDEX(catGrupo,MATCH(D3548,catNom,0))&amp;"",""))</f>
        <v/>
      </c>
      <c r="K3548" s="19">
        <f>IF(I3548="Gasto",IF(IFERROR(INDEX(catClas,MATCH(D3548,catNom,0))&amp;"","")="","Variable",IFERROR(INDEX(catClas,MATCH(D3548,catNom,0))&amp;"","")),"")</f>
        <v/>
      </c>
      <c r="L3548" s="19">
        <f>IF(I3548="","",IFERROR(INDEX(catAlim,MATCH(D3548,catNom,0))&amp;"",""))</f>
        <v/>
      </c>
      <c r="M3548" s="19">
        <f>IF(I3548="","",IFERROR(INDEX(catComida,MATCH(D3548,catNom,0))&amp;"",""))</f>
        <v/>
      </c>
      <c r="N3548" s="19">
        <f>IF(I3548="","",IFERROR(INDEX(ctaMon,MATCH(E3548,ctaNom,0))&amp;"","DOP"))</f>
        <v/>
      </c>
      <c r="O3548" s="20">
        <f>IF(I3548="","",C3548*IF(N3548="USD",TasaUSD,1))</f>
        <v/>
      </c>
      <c r="P3548" s="20">
        <f>IF(I3548="","",IF(I3548="Gasto",O3548,0))</f>
        <v/>
      </c>
      <c r="Q3548" s="20">
        <f>IF(I3548="","",IF(I3548="Ingreso",O3548,0))</f>
        <v/>
      </c>
      <c r="R3548" s="20">
        <f>IF(I3548="","",IF(I3548="Trading",O3548,0))</f>
        <v/>
      </c>
      <c r="S3548" s="19">
        <f>IF(I3548="","",IF(AND(I3548="Gasto",K3548="Variable",J3548&lt;&gt;"Trading",O3548&gt;0,O3548&lt;=Umbral),1,0))</f>
        <v/>
      </c>
      <c r="T3548" s="20">
        <f>IF(OR(I3548="",E3548=""),"",IF(OR(I3548="Gasto",I3548="Transferencia",I3548="Pago tarjeta"),-1,1)*C3548)</f>
        <v/>
      </c>
      <c r="U3548" s="20">
        <f>IF(OR(G3548="",AND(I3548&lt;&gt;"Transferencia",I3548&lt;&gt;"Pago tarjeta")),"",IF(IFERROR(INDEX(ctaMon,MATCH(G3548,ctaNom,0))&amp;"","DOP")=N3548,C3548,IF(N3548="USD",C3548*TasaUSD,C3548/TasaUSD)))</f>
        <v/>
      </c>
      <c r="V3548" s="20">
        <f>IF(I3548="","",IF(IFERROR(INDEX(ctaLiq,MATCH(E3548,ctaNom,0))="Sí",FALSE),IF(OR(I3548="Gasto",I3548="Transferencia",I3548="Pago tarjeta"),-1,1)*O3548,0)+IF(AND(U3548&lt;&gt;"",IFERROR(INDEX(ctaLiq,MATCH(G3548,ctaNom,0))="Sí",FALSE)),O3548,0))</f>
        <v/>
      </c>
      <c r="W3548" s="19">
        <f>IF(OR(F3548="",I3548=""),"",IF(COUNTIFS(F$6:F3548,F3548,I$6:I3548,"?*")=1,MAX(W$5:W3547)+1,""))</f>
        <v/>
      </c>
    </row>
    <row r="3549">
      <c r="B3549" s="15" t="n"/>
      <c r="C3549" s="16" t="n"/>
      <c r="D3549" s="17" t="n"/>
      <c r="E3549" s="17" t="n"/>
      <c r="F3549" s="17" t="n"/>
      <c r="G3549" s="17" t="n"/>
      <c r="H3549" s="18">
        <f>IF(AND(B3549="",C3549="",D3549="",E3549=""),"",IF(B3549="","⚠ Falta fecha",IF(C3549="","⚠ Falta monto",IF(D3549="","⚠ Falta categoría",IF(ISNA(MATCH(D3549,catNom,0)),"⚠ Categoría no existe",IF(E3549="","⚠ Falta cuenta",IF(ISNA(MATCH(E3549,ctaNom,0)),"⚠ Cuenta no existe",IF(AND(OR(I3549="Transferencia",I3549="Pago tarjeta"),G3549=""),"⚠ Indica la cuenta «Hacia»",IF(AND(G3549&lt;&gt;"",G3549=E3549),"⚠ «Hacia» igual a la cuenta",IF(AND(G3549&lt;&gt;"",ISNA(MATCH(G3549,ctaNom,0))),"⚠ «Hacia» no existe",IF(AND(I3549="Pago tarjeta",IFERROR(INDEX(ctaTipo,MATCH(G3549,ctaNom,0)),"")&lt;&gt;"Tarjeta de crédito"),"⚠ «Hacia» debe ser la tarjeta",IF(AND(I3549="Trading",IFERROR(INDEX(ctaTipo,MATCH(E3549,ctaNom,0)),"")&lt;&gt;"Cuenta de trading"),"⚠ Usa la cuenta de trading","✓"))))))))))))</f>
        <v/>
      </c>
      <c r="I3549" s="19">
        <f>IF(OR(B3549="",C3549="",D3549=""),"",IFERROR(INDEX(catTipo,MATCH(D3549,catNom,0))&amp;"",""))</f>
        <v/>
      </c>
      <c r="J3549" s="19">
        <f>IF(I3549="","",IFERROR(INDEX(catGrupo,MATCH(D3549,catNom,0))&amp;"",""))</f>
        <v/>
      </c>
      <c r="K3549" s="19">
        <f>IF(I3549="Gasto",IF(IFERROR(INDEX(catClas,MATCH(D3549,catNom,0))&amp;"","")="","Variable",IFERROR(INDEX(catClas,MATCH(D3549,catNom,0))&amp;"","")),"")</f>
        <v/>
      </c>
      <c r="L3549" s="19">
        <f>IF(I3549="","",IFERROR(INDEX(catAlim,MATCH(D3549,catNom,0))&amp;"",""))</f>
        <v/>
      </c>
      <c r="M3549" s="19">
        <f>IF(I3549="","",IFERROR(INDEX(catComida,MATCH(D3549,catNom,0))&amp;"",""))</f>
        <v/>
      </c>
      <c r="N3549" s="19">
        <f>IF(I3549="","",IFERROR(INDEX(ctaMon,MATCH(E3549,ctaNom,0))&amp;"","DOP"))</f>
        <v/>
      </c>
      <c r="O3549" s="20">
        <f>IF(I3549="","",C3549*IF(N3549="USD",TasaUSD,1))</f>
        <v/>
      </c>
      <c r="P3549" s="20">
        <f>IF(I3549="","",IF(I3549="Gasto",O3549,0))</f>
        <v/>
      </c>
      <c r="Q3549" s="20">
        <f>IF(I3549="","",IF(I3549="Ingreso",O3549,0))</f>
        <v/>
      </c>
      <c r="R3549" s="20">
        <f>IF(I3549="","",IF(I3549="Trading",O3549,0))</f>
        <v/>
      </c>
      <c r="S3549" s="19">
        <f>IF(I3549="","",IF(AND(I3549="Gasto",K3549="Variable",J3549&lt;&gt;"Trading",O3549&gt;0,O3549&lt;=Umbral),1,0))</f>
        <v/>
      </c>
      <c r="T3549" s="20">
        <f>IF(OR(I3549="",E3549=""),"",IF(OR(I3549="Gasto",I3549="Transferencia",I3549="Pago tarjeta"),-1,1)*C3549)</f>
        <v/>
      </c>
      <c r="U3549" s="20">
        <f>IF(OR(G3549="",AND(I3549&lt;&gt;"Transferencia",I3549&lt;&gt;"Pago tarjeta")),"",IF(IFERROR(INDEX(ctaMon,MATCH(G3549,ctaNom,0))&amp;"","DOP")=N3549,C3549,IF(N3549="USD",C3549*TasaUSD,C3549/TasaUSD)))</f>
        <v/>
      </c>
      <c r="V3549" s="20">
        <f>IF(I3549="","",IF(IFERROR(INDEX(ctaLiq,MATCH(E3549,ctaNom,0))="Sí",FALSE),IF(OR(I3549="Gasto",I3549="Transferencia",I3549="Pago tarjeta"),-1,1)*O3549,0)+IF(AND(U3549&lt;&gt;"",IFERROR(INDEX(ctaLiq,MATCH(G3549,ctaNom,0))="Sí",FALSE)),O3549,0))</f>
        <v/>
      </c>
      <c r="W3549" s="19">
        <f>IF(OR(F3549="",I3549=""),"",IF(COUNTIFS(F$6:F3549,F3549,I$6:I3549,"?*")=1,MAX(W$5:W3548)+1,""))</f>
        <v/>
      </c>
    </row>
    <row r="3550">
      <c r="B3550" s="15" t="n"/>
      <c r="C3550" s="16" t="n"/>
      <c r="D3550" s="17" t="n"/>
      <c r="E3550" s="17" t="n"/>
      <c r="F3550" s="17" t="n"/>
      <c r="G3550" s="17" t="n"/>
      <c r="H3550" s="18">
        <f>IF(AND(B3550="",C3550="",D3550="",E3550=""),"",IF(B3550="","⚠ Falta fecha",IF(C3550="","⚠ Falta monto",IF(D3550="","⚠ Falta categoría",IF(ISNA(MATCH(D3550,catNom,0)),"⚠ Categoría no existe",IF(E3550="","⚠ Falta cuenta",IF(ISNA(MATCH(E3550,ctaNom,0)),"⚠ Cuenta no existe",IF(AND(OR(I3550="Transferencia",I3550="Pago tarjeta"),G3550=""),"⚠ Indica la cuenta «Hacia»",IF(AND(G3550&lt;&gt;"",G3550=E3550),"⚠ «Hacia» igual a la cuenta",IF(AND(G3550&lt;&gt;"",ISNA(MATCH(G3550,ctaNom,0))),"⚠ «Hacia» no existe",IF(AND(I3550="Pago tarjeta",IFERROR(INDEX(ctaTipo,MATCH(G3550,ctaNom,0)),"")&lt;&gt;"Tarjeta de crédito"),"⚠ «Hacia» debe ser la tarjeta",IF(AND(I3550="Trading",IFERROR(INDEX(ctaTipo,MATCH(E3550,ctaNom,0)),"")&lt;&gt;"Cuenta de trading"),"⚠ Usa la cuenta de trading","✓"))))))))))))</f>
        <v/>
      </c>
      <c r="I3550" s="19">
        <f>IF(OR(B3550="",C3550="",D3550=""),"",IFERROR(INDEX(catTipo,MATCH(D3550,catNom,0))&amp;"",""))</f>
        <v/>
      </c>
      <c r="J3550" s="19">
        <f>IF(I3550="","",IFERROR(INDEX(catGrupo,MATCH(D3550,catNom,0))&amp;"",""))</f>
        <v/>
      </c>
      <c r="K3550" s="19">
        <f>IF(I3550="Gasto",IF(IFERROR(INDEX(catClas,MATCH(D3550,catNom,0))&amp;"","")="","Variable",IFERROR(INDEX(catClas,MATCH(D3550,catNom,0))&amp;"","")),"")</f>
        <v/>
      </c>
      <c r="L3550" s="19">
        <f>IF(I3550="","",IFERROR(INDEX(catAlim,MATCH(D3550,catNom,0))&amp;"",""))</f>
        <v/>
      </c>
      <c r="M3550" s="19">
        <f>IF(I3550="","",IFERROR(INDEX(catComida,MATCH(D3550,catNom,0))&amp;"",""))</f>
        <v/>
      </c>
      <c r="N3550" s="19">
        <f>IF(I3550="","",IFERROR(INDEX(ctaMon,MATCH(E3550,ctaNom,0))&amp;"","DOP"))</f>
        <v/>
      </c>
      <c r="O3550" s="20">
        <f>IF(I3550="","",C3550*IF(N3550="USD",TasaUSD,1))</f>
        <v/>
      </c>
      <c r="P3550" s="20">
        <f>IF(I3550="","",IF(I3550="Gasto",O3550,0))</f>
        <v/>
      </c>
      <c r="Q3550" s="20">
        <f>IF(I3550="","",IF(I3550="Ingreso",O3550,0))</f>
        <v/>
      </c>
      <c r="R3550" s="20">
        <f>IF(I3550="","",IF(I3550="Trading",O3550,0))</f>
        <v/>
      </c>
      <c r="S3550" s="19">
        <f>IF(I3550="","",IF(AND(I3550="Gasto",K3550="Variable",J3550&lt;&gt;"Trading",O3550&gt;0,O3550&lt;=Umbral),1,0))</f>
        <v/>
      </c>
      <c r="T3550" s="20">
        <f>IF(OR(I3550="",E3550=""),"",IF(OR(I3550="Gasto",I3550="Transferencia",I3550="Pago tarjeta"),-1,1)*C3550)</f>
        <v/>
      </c>
      <c r="U3550" s="20">
        <f>IF(OR(G3550="",AND(I3550&lt;&gt;"Transferencia",I3550&lt;&gt;"Pago tarjeta")),"",IF(IFERROR(INDEX(ctaMon,MATCH(G3550,ctaNom,0))&amp;"","DOP")=N3550,C3550,IF(N3550="USD",C3550*TasaUSD,C3550/TasaUSD)))</f>
        <v/>
      </c>
      <c r="V3550" s="20">
        <f>IF(I3550="","",IF(IFERROR(INDEX(ctaLiq,MATCH(E3550,ctaNom,0))="Sí",FALSE),IF(OR(I3550="Gasto",I3550="Transferencia",I3550="Pago tarjeta"),-1,1)*O3550,0)+IF(AND(U3550&lt;&gt;"",IFERROR(INDEX(ctaLiq,MATCH(G3550,ctaNom,0))="Sí",FALSE)),O3550,0))</f>
        <v/>
      </c>
      <c r="W3550" s="19">
        <f>IF(OR(F3550="",I3550=""),"",IF(COUNTIFS(F$6:F3550,F3550,I$6:I3550,"?*")=1,MAX(W$5:W3549)+1,""))</f>
        <v/>
      </c>
    </row>
    <row r="3551">
      <c r="B3551" s="15" t="n"/>
      <c r="C3551" s="16" t="n"/>
      <c r="D3551" s="17" t="n"/>
      <c r="E3551" s="17" t="n"/>
      <c r="F3551" s="17" t="n"/>
      <c r="G3551" s="17" t="n"/>
      <c r="H3551" s="18">
        <f>IF(AND(B3551="",C3551="",D3551="",E3551=""),"",IF(B3551="","⚠ Falta fecha",IF(C3551="","⚠ Falta monto",IF(D3551="","⚠ Falta categoría",IF(ISNA(MATCH(D3551,catNom,0)),"⚠ Categoría no existe",IF(E3551="","⚠ Falta cuenta",IF(ISNA(MATCH(E3551,ctaNom,0)),"⚠ Cuenta no existe",IF(AND(OR(I3551="Transferencia",I3551="Pago tarjeta"),G3551=""),"⚠ Indica la cuenta «Hacia»",IF(AND(G3551&lt;&gt;"",G3551=E3551),"⚠ «Hacia» igual a la cuenta",IF(AND(G3551&lt;&gt;"",ISNA(MATCH(G3551,ctaNom,0))),"⚠ «Hacia» no existe",IF(AND(I3551="Pago tarjeta",IFERROR(INDEX(ctaTipo,MATCH(G3551,ctaNom,0)),"")&lt;&gt;"Tarjeta de crédito"),"⚠ «Hacia» debe ser la tarjeta",IF(AND(I3551="Trading",IFERROR(INDEX(ctaTipo,MATCH(E3551,ctaNom,0)),"")&lt;&gt;"Cuenta de trading"),"⚠ Usa la cuenta de trading","✓"))))))))))))</f>
        <v/>
      </c>
      <c r="I3551" s="19">
        <f>IF(OR(B3551="",C3551="",D3551=""),"",IFERROR(INDEX(catTipo,MATCH(D3551,catNom,0))&amp;"",""))</f>
        <v/>
      </c>
      <c r="J3551" s="19">
        <f>IF(I3551="","",IFERROR(INDEX(catGrupo,MATCH(D3551,catNom,0))&amp;"",""))</f>
        <v/>
      </c>
      <c r="K3551" s="19">
        <f>IF(I3551="Gasto",IF(IFERROR(INDEX(catClas,MATCH(D3551,catNom,0))&amp;"","")="","Variable",IFERROR(INDEX(catClas,MATCH(D3551,catNom,0))&amp;"","")),"")</f>
        <v/>
      </c>
      <c r="L3551" s="19">
        <f>IF(I3551="","",IFERROR(INDEX(catAlim,MATCH(D3551,catNom,0))&amp;"",""))</f>
        <v/>
      </c>
      <c r="M3551" s="19">
        <f>IF(I3551="","",IFERROR(INDEX(catComida,MATCH(D3551,catNom,0))&amp;"",""))</f>
        <v/>
      </c>
      <c r="N3551" s="19">
        <f>IF(I3551="","",IFERROR(INDEX(ctaMon,MATCH(E3551,ctaNom,0))&amp;"","DOP"))</f>
        <v/>
      </c>
      <c r="O3551" s="20">
        <f>IF(I3551="","",C3551*IF(N3551="USD",TasaUSD,1))</f>
        <v/>
      </c>
      <c r="P3551" s="20">
        <f>IF(I3551="","",IF(I3551="Gasto",O3551,0))</f>
        <v/>
      </c>
      <c r="Q3551" s="20">
        <f>IF(I3551="","",IF(I3551="Ingreso",O3551,0))</f>
        <v/>
      </c>
      <c r="R3551" s="20">
        <f>IF(I3551="","",IF(I3551="Trading",O3551,0))</f>
        <v/>
      </c>
      <c r="S3551" s="19">
        <f>IF(I3551="","",IF(AND(I3551="Gasto",K3551="Variable",J3551&lt;&gt;"Trading",O3551&gt;0,O3551&lt;=Umbral),1,0))</f>
        <v/>
      </c>
      <c r="T3551" s="20">
        <f>IF(OR(I3551="",E3551=""),"",IF(OR(I3551="Gasto",I3551="Transferencia",I3551="Pago tarjeta"),-1,1)*C3551)</f>
        <v/>
      </c>
      <c r="U3551" s="20">
        <f>IF(OR(G3551="",AND(I3551&lt;&gt;"Transferencia",I3551&lt;&gt;"Pago tarjeta")),"",IF(IFERROR(INDEX(ctaMon,MATCH(G3551,ctaNom,0))&amp;"","DOP")=N3551,C3551,IF(N3551="USD",C3551*TasaUSD,C3551/TasaUSD)))</f>
        <v/>
      </c>
      <c r="V3551" s="20">
        <f>IF(I3551="","",IF(IFERROR(INDEX(ctaLiq,MATCH(E3551,ctaNom,0))="Sí",FALSE),IF(OR(I3551="Gasto",I3551="Transferencia",I3551="Pago tarjeta"),-1,1)*O3551,0)+IF(AND(U3551&lt;&gt;"",IFERROR(INDEX(ctaLiq,MATCH(G3551,ctaNom,0))="Sí",FALSE)),O3551,0))</f>
        <v/>
      </c>
      <c r="W3551" s="19">
        <f>IF(OR(F3551="",I3551=""),"",IF(COUNTIFS(F$6:F3551,F3551,I$6:I3551,"?*")=1,MAX(W$5:W3550)+1,""))</f>
        <v/>
      </c>
    </row>
    <row r="3552">
      <c r="B3552" s="15" t="n"/>
      <c r="C3552" s="16" t="n"/>
      <c r="D3552" s="17" t="n"/>
      <c r="E3552" s="17" t="n"/>
      <c r="F3552" s="17" t="n"/>
      <c r="G3552" s="17" t="n"/>
      <c r="H3552" s="18">
        <f>IF(AND(B3552="",C3552="",D3552="",E3552=""),"",IF(B3552="","⚠ Falta fecha",IF(C3552="","⚠ Falta monto",IF(D3552="","⚠ Falta categoría",IF(ISNA(MATCH(D3552,catNom,0)),"⚠ Categoría no existe",IF(E3552="","⚠ Falta cuenta",IF(ISNA(MATCH(E3552,ctaNom,0)),"⚠ Cuenta no existe",IF(AND(OR(I3552="Transferencia",I3552="Pago tarjeta"),G3552=""),"⚠ Indica la cuenta «Hacia»",IF(AND(G3552&lt;&gt;"",G3552=E3552),"⚠ «Hacia» igual a la cuenta",IF(AND(G3552&lt;&gt;"",ISNA(MATCH(G3552,ctaNom,0))),"⚠ «Hacia» no existe",IF(AND(I3552="Pago tarjeta",IFERROR(INDEX(ctaTipo,MATCH(G3552,ctaNom,0)),"")&lt;&gt;"Tarjeta de crédito"),"⚠ «Hacia» debe ser la tarjeta",IF(AND(I3552="Trading",IFERROR(INDEX(ctaTipo,MATCH(E3552,ctaNom,0)),"")&lt;&gt;"Cuenta de trading"),"⚠ Usa la cuenta de trading","✓"))))))))))))</f>
        <v/>
      </c>
      <c r="I3552" s="19">
        <f>IF(OR(B3552="",C3552="",D3552=""),"",IFERROR(INDEX(catTipo,MATCH(D3552,catNom,0))&amp;"",""))</f>
        <v/>
      </c>
      <c r="J3552" s="19">
        <f>IF(I3552="","",IFERROR(INDEX(catGrupo,MATCH(D3552,catNom,0))&amp;"",""))</f>
        <v/>
      </c>
      <c r="K3552" s="19">
        <f>IF(I3552="Gasto",IF(IFERROR(INDEX(catClas,MATCH(D3552,catNom,0))&amp;"","")="","Variable",IFERROR(INDEX(catClas,MATCH(D3552,catNom,0))&amp;"","")),"")</f>
        <v/>
      </c>
      <c r="L3552" s="19">
        <f>IF(I3552="","",IFERROR(INDEX(catAlim,MATCH(D3552,catNom,0))&amp;"",""))</f>
        <v/>
      </c>
      <c r="M3552" s="19">
        <f>IF(I3552="","",IFERROR(INDEX(catComida,MATCH(D3552,catNom,0))&amp;"",""))</f>
        <v/>
      </c>
      <c r="N3552" s="19">
        <f>IF(I3552="","",IFERROR(INDEX(ctaMon,MATCH(E3552,ctaNom,0))&amp;"","DOP"))</f>
        <v/>
      </c>
      <c r="O3552" s="20">
        <f>IF(I3552="","",C3552*IF(N3552="USD",TasaUSD,1))</f>
        <v/>
      </c>
      <c r="P3552" s="20">
        <f>IF(I3552="","",IF(I3552="Gasto",O3552,0))</f>
        <v/>
      </c>
      <c r="Q3552" s="20">
        <f>IF(I3552="","",IF(I3552="Ingreso",O3552,0))</f>
        <v/>
      </c>
      <c r="R3552" s="20">
        <f>IF(I3552="","",IF(I3552="Trading",O3552,0))</f>
        <v/>
      </c>
      <c r="S3552" s="19">
        <f>IF(I3552="","",IF(AND(I3552="Gasto",K3552="Variable",J3552&lt;&gt;"Trading",O3552&gt;0,O3552&lt;=Umbral),1,0))</f>
        <v/>
      </c>
      <c r="T3552" s="20">
        <f>IF(OR(I3552="",E3552=""),"",IF(OR(I3552="Gasto",I3552="Transferencia",I3552="Pago tarjeta"),-1,1)*C3552)</f>
        <v/>
      </c>
      <c r="U3552" s="20">
        <f>IF(OR(G3552="",AND(I3552&lt;&gt;"Transferencia",I3552&lt;&gt;"Pago tarjeta")),"",IF(IFERROR(INDEX(ctaMon,MATCH(G3552,ctaNom,0))&amp;"","DOP")=N3552,C3552,IF(N3552="USD",C3552*TasaUSD,C3552/TasaUSD)))</f>
        <v/>
      </c>
      <c r="V3552" s="20">
        <f>IF(I3552="","",IF(IFERROR(INDEX(ctaLiq,MATCH(E3552,ctaNom,0))="Sí",FALSE),IF(OR(I3552="Gasto",I3552="Transferencia",I3552="Pago tarjeta"),-1,1)*O3552,0)+IF(AND(U3552&lt;&gt;"",IFERROR(INDEX(ctaLiq,MATCH(G3552,ctaNom,0))="Sí",FALSE)),O3552,0))</f>
        <v/>
      </c>
      <c r="W3552" s="19">
        <f>IF(OR(F3552="",I3552=""),"",IF(COUNTIFS(F$6:F3552,F3552,I$6:I3552,"?*")=1,MAX(W$5:W3551)+1,""))</f>
        <v/>
      </c>
    </row>
    <row r="3553">
      <c r="B3553" s="15" t="n"/>
      <c r="C3553" s="16" t="n"/>
      <c r="D3553" s="17" t="n"/>
      <c r="E3553" s="17" t="n"/>
      <c r="F3553" s="17" t="n"/>
      <c r="G3553" s="17" t="n"/>
      <c r="H3553" s="18">
        <f>IF(AND(B3553="",C3553="",D3553="",E3553=""),"",IF(B3553="","⚠ Falta fecha",IF(C3553="","⚠ Falta monto",IF(D3553="","⚠ Falta categoría",IF(ISNA(MATCH(D3553,catNom,0)),"⚠ Categoría no existe",IF(E3553="","⚠ Falta cuenta",IF(ISNA(MATCH(E3553,ctaNom,0)),"⚠ Cuenta no existe",IF(AND(OR(I3553="Transferencia",I3553="Pago tarjeta"),G3553=""),"⚠ Indica la cuenta «Hacia»",IF(AND(G3553&lt;&gt;"",G3553=E3553),"⚠ «Hacia» igual a la cuenta",IF(AND(G3553&lt;&gt;"",ISNA(MATCH(G3553,ctaNom,0))),"⚠ «Hacia» no existe",IF(AND(I3553="Pago tarjeta",IFERROR(INDEX(ctaTipo,MATCH(G3553,ctaNom,0)),"")&lt;&gt;"Tarjeta de crédito"),"⚠ «Hacia» debe ser la tarjeta",IF(AND(I3553="Trading",IFERROR(INDEX(ctaTipo,MATCH(E3553,ctaNom,0)),"")&lt;&gt;"Cuenta de trading"),"⚠ Usa la cuenta de trading","✓"))))))))))))</f>
        <v/>
      </c>
      <c r="I3553" s="19">
        <f>IF(OR(B3553="",C3553="",D3553=""),"",IFERROR(INDEX(catTipo,MATCH(D3553,catNom,0))&amp;"",""))</f>
        <v/>
      </c>
      <c r="J3553" s="19">
        <f>IF(I3553="","",IFERROR(INDEX(catGrupo,MATCH(D3553,catNom,0))&amp;"",""))</f>
        <v/>
      </c>
      <c r="K3553" s="19">
        <f>IF(I3553="Gasto",IF(IFERROR(INDEX(catClas,MATCH(D3553,catNom,0))&amp;"","")="","Variable",IFERROR(INDEX(catClas,MATCH(D3553,catNom,0))&amp;"","")),"")</f>
        <v/>
      </c>
      <c r="L3553" s="19">
        <f>IF(I3553="","",IFERROR(INDEX(catAlim,MATCH(D3553,catNom,0))&amp;"",""))</f>
        <v/>
      </c>
      <c r="M3553" s="19">
        <f>IF(I3553="","",IFERROR(INDEX(catComida,MATCH(D3553,catNom,0))&amp;"",""))</f>
        <v/>
      </c>
      <c r="N3553" s="19">
        <f>IF(I3553="","",IFERROR(INDEX(ctaMon,MATCH(E3553,ctaNom,0))&amp;"","DOP"))</f>
        <v/>
      </c>
      <c r="O3553" s="20">
        <f>IF(I3553="","",C3553*IF(N3553="USD",TasaUSD,1))</f>
        <v/>
      </c>
      <c r="P3553" s="20">
        <f>IF(I3553="","",IF(I3553="Gasto",O3553,0))</f>
        <v/>
      </c>
      <c r="Q3553" s="20">
        <f>IF(I3553="","",IF(I3553="Ingreso",O3553,0))</f>
        <v/>
      </c>
      <c r="R3553" s="20">
        <f>IF(I3553="","",IF(I3553="Trading",O3553,0))</f>
        <v/>
      </c>
      <c r="S3553" s="19">
        <f>IF(I3553="","",IF(AND(I3553="Gasto",K3553="Variable",J3553&lt;&gt;"Trading",O3553&gt;0,O3553&lt;=Umbral),1,0))</f>
        <v/>
      </c>
      <c r="T3553" s="20">
        <f>IF(OR(I3553="",E3553=""),"",IF(OR(I3553="Gasto",I3553="Transferencia",I3553="Pago tarjeta"),-1,1)*C3553)</f>
        <v/>
      </c>
      <c r="U3553" s="20">
        <f>IF(OR(G3553="",AND(I3553&lt;&gt;"Transferencia",I3553&lt;&gt;"Pago tarjeta")),"",IF(IFERROR(INDEX(ctaMon,MATCH(G3553,ctaNom,0))&amp;"","DOP")=N3553,C3553,IF(N3553="USD",C3553*TasaUSD,C3553/TasaUSD)))</f>
        <v/>
      </c>
      <c r="V3553" s="20">
        <f>IF(I3553="","",IF(IFERROR(INDEX(ctaLiq,MATCH(E3553,ctaNom,0))="Sí",FALSE),IF(OR(I3553="Gasto",I3553="Transferencia",I3553="Pago tarjeta"),-1,1)*O3553,0)+IF(AND(U3553&lt;&gt;"",IFERROR(INDEX(ctaLiq,MATCH(G3553,ctaNom,0))="Sí",FALSE)),O3553,0))</f>
        <v/>
      </c>
      <c r="W3553" s="19">
        <f>IF(OR(F3553="",I3553=""),"",IF(COUNTIFS(F$6:F3553,F3553,I$6:I3553,"?*")=1,MAX(W$5:W3552)+1,""))</f>
        <v/>
      </c>
    </row>
    <row r="3554">
      <c r="B3554" s="15" t="n"/>
      <c r="C3554" s="16" t="n"/>
      <c r="D3554" s="17" t="n"/>
      <c r="E3554" s="17" t="n"/>
      <c r="F3554" s="17" t="n"/>
      <c r="G3554" s="17" t="n"/>
      <c r="H3554" s="18">
        <f>IF(AND(B3554="",C3554="",D3554="",E3554=""),"",IF(B3554="","⚠ Falta fecha",IF(C3554="","⚠ Falta monto",IF(D3554="","⚠ Falta categoría",IF(ISNA(MATCH(D3554,catNom,0)),"⚠ Categoría no existe",IF(E3554="","⚠ Falta cuenta",IF(ISNA(MATCH(E3554,ctaNom,0)),"⚠ Cuenta no existe",IF(AND(OR(I3554="Transferencia",I3554="Pago tarjeta"),G3554=""),"⚠ Indica la cuenta «Hacia»",IF(AND(G3554&lt;&gt;"",G3554=E3554),"⚠ «Hacia» igual a la cuenta",IF(AND(G3554&lt;&gt;"",ISNA(MATCH(G3554,ctaNom,0))),"⚠ «Hacia» no existe",IF(AND(I3554="Pago tarjeta",IFERROR(INDEX(ctaTipo,MATCH(G3554,ctaNom,0)),"")&lt;&gt;"Tarjeta de crédito"),"⚠ «Hacia» debe ser la tarjeta",IF(AND(I3554="Trading",IFERROR(INDEX(ctaTipo,MATCH(E3554,ctaNom,0)),"")&lt;&gt;"Cuenta de trading"),"⚠ Usa la cuenta de trading","✓"))))))))))))</f>
        <v/>
      </c>
      <c r="I3554" s="19">
        <f>IF(OR(B3554="",C3554="",D3554=""),"",IFERROR(INDEX(catTipo,MATCH(D3554,catNom,0))&amp;"",""))</f>
        <v/>
      </c>
      <c r="J3554" s="19">
        <f>IF(I3554="","",IFERROR(INDEX(catGrupo,MATCH(D3554,catNom,0))&amp;"",""))</f>
        <v/>
      </c>
      <c r="K3554" s="19">
        <f>IF(I3554="Gasto",IF(IFERROR(INDEX(catClas,MATCH(D3554,catNom,0))&amp;"","")="","Variable",IFERROR(INDEX(catClas,MATCH(D3554,catNom,0))&amp;"","")),"")</f>
        <v/>
      </c>
      <c r="L3554" s="19">
        <f>IF(I3554="","",IFERROR(INDEX(catAlim,MATCH(D3554,catNom,0))&amp;"",""))</f>
        <v/>
      </c>
      <c r="M3554" s="19">
        <f>IF(I3554="","",IFERROR(INDEX(catComida,MATCH(D3554,catNom,0))&amp;"",""))</f>
        <v/>
      </c>
      <c r="N3554" s="19">
        <f>IF(I3554="","",IFERROR(INDEX(ctaMon,MATCH(E3554,ctaNom,0))&amp;"","DOP"))</f>
        <v/>
      </c>
      <c r="O3554" s="20">
        <f>IF(I3554="","",C3554*IF(N3554="USD",TasaUSD,1))</f>
        <v/>
      </c>
      <c r="P3554" s="20">
        <f>IF(I3554="","",IF(I3554="Gasto",O3554,0))</f>
        <v/>
      </c>
      <c r="Q3554" s="20">
        <f>IF(I3554="","",IF(I3554="Ingreso",O3554,0))</f>
        <v/>
      </c>
      <c r="R3554" s="20">
        <f>IF(I3554="","",IF(I3554="Trading",O3554,0))</f>
        <v/>
      </c>
      <c r="S3554" s="19">
        <f>IF(I3554="","",IF(AND(I3554="Gasto",K3554="Variable",J3554&lt;&gt;"Trading",O3554&gt;0,O3554&lt;=Umbral),1,0))</f>
        <v/>
      </c>
      <c r="T3554" s="20">
        <f>IF(OR(I3554="",E3554=""),"",IF(OR(I3554="Gasto",I3554="Transferencia",I3554="Pago tarjeta"),-1,1)*C3554)</f>
        <v/>
      </c>
      <c r="U3554" s="20">
        <f>IF(OR(G3554="",AND(I3554&lt;&gt;"Transferencia",I3554&lt;&gt;"Pago tarjeta")),"",IF(IFERROR(INDEX(ctaMon,MATCH(G3554,ctaNom,0))&amp;"","DOP")=N3554,C3554,IF(N3554="USD",C3554*TasaUSD,C3554/TasaUSD)))</f>
        <v/>
      </c>
      <c r="V3554" s="20">
        <f>IF(I3554="","",IF(IFERROR(INDEX(ctaLiq,MATCH(E3554,ctaNom,0))="Sí",FALSE),IF(OR(I3554="Gasto",I3554="Transferencia",I3554="Pago tarjeta"),-1,1)*O3554,0)+IF(AND(U3554&lt;&gt;"",IFERROR(INDEX(ctaLiq,MATCH(G3554,ctaNom,0))="Sí",FALSE)),O3554,0))</f>
        <v/>
      </c>
      <c r="W3554" s="19">
        <f>IF(OR(F3554="",I3554=""),"",IF(COUNTIFS(F$6:F3554,F3554,I$6:I3554,"?*")=1,MAX(W$5:W3553)+1,""))</f>
        <v/>
      </c>
    </row>
    <row r="3555">
      <c r="B3555" s="15" t="n"/>
      <c r="C3555" s="16" t="n"/>
      <c r="D3555" s="17" t="n"/>
      <c r="E3555" s="17" t="n"/>
      <c r="F3555" s="17" t="n"/>
      <c r="G3555" s="17" t="n"/>
      <c r="H3555" s="18">
        <f>IF(AND(B3555="",C3555="",D3555="",E3555=""),"",IF(B3555="","⚠ Falta fecha",IF(C3555="","⚠ Falta monto",IF(D3555="","⚠ Falta categoría",IF(ISNA(MATCH(D3555,catNom,0)),"⚠ Categoría no existe",IF(E3555="","⚠ Falta cuenta",IF(ISNA(MATCH(E3555,ctaNom,0)),"⚠ Cuenta no existe",IF(AND(OR(I3555="Transferencia",I3555="Pago tarjeta"),G3555=""),"⚠ Indica la cuenta «Hacia»",IF(AND(G3555&lt;&gt;"",G3555=E3555),"⚠ «Hacia» igual a la cuenta",IF(AND(G3555&lt;&gt;"",ISNA(MATCH(G3555,ctaNom,0))),"⚠ «Hacia» no existe",IF(AND(I3555="Pago tarjeta",IFERROR(INDEX(ctaTipo,MATCH(G3555,ctaNom,0)),"")&lt;&gt;"Tarjeta de crédito"),"⚠ «Hacia» debe ser la tarjeta",IF(AND(I3555="Trading",IFERROR(INDEX(ctaTipo,MATCH(E3555,ctaNom,0)),"")&lt;&gt;"Cuenta de trading"),"⚠ Usa la cuenta de trading","✓"))))))))))))</f>
        <v/>
      </c>
      <c r="I3555" s="19">
        <f>IF(OR(B3555="",C3555="",D3555=""),"",IFERROR(INDEX(catTipo,MATCH(D3555,catNom,0))&amp;"",""))</f>
        <v/>
      </c>
      <c r="J3555" s="19">
        <f>IF(I3555="","",IFERROR(INDEX(catGrupo,MATCH(D3555,catNom,0))&amp;"",""))</f>
        <v/>
      </c>
      <c r="K3555" s="19">
        <f>IF(I3555="Gasto",IF(IFERROR(INDEX(catClas,MATCH(D3555,catNom,0))&amp;"","")="","Variable",IFERROR(INDEX(catClas,MATCH(D3555,catNom,0))&amp;"","")),"")</f>
        <v/>
      </c>
      <c r="L3555" s="19">
        <f>IF(I3555="","",IFERROR(INDEX(catAlim,MATCH(D3555,catNom,0))&amp;"",""))</f>
        <v/>
      </c>
      <c r="M3555" s="19">
        <f>IF(I3555="","",IFERROR(INDEX(catComida,MATCH(D3555,catNom,0))&amp;"",""))</f>
        <v/>
      </c>
      <c r="N3555" s="19">
        <f>IF(I3555="","",IFERROR(INDEX(ctaMon,MATCH(E3555,ctaNom,0))&amp;"","DOP"))</f>
        <v/>
      </c>
      <c r="O3555" s="20">
        <f>IF(I3555="","",C3555*IF(N3555="USD",TasaUSD,1))</f>
        <v/>
      </c>
      <c r="P3555" s="20">
        <f>IF(I3555="","",IF(I3555="Gasto",O3555,0))</f>
        <v/>
      </c>
      <c r="Q3555" s="20">
        <f>IF(I3555="","",IF(I3555="Ingreso",O3555,0))</f>
        <v/>
      </c>
      <c r="R3555" s="20">
        <f>IF(I3555="","",IF(I3555="Trading",O3555,0))</f>
        <v/>
      </c>
      <c r="S3555" s="19">
        <f>IF(I3555="","",IF(AND(I3555="Gasto",K3555="Variable",J3555&lt;&gt;"Trading",O3555&gt;0,O3555&lt;=Umbral),1,0))</f>
        <v/>
      </c>
      <c r="T3555" s="20">
        <f>IF(OR(I3555="",E3555=""),"",IF(OR(I3555="Gasto",I3555="Transferencia",I3555="Pago tarjeta"),-1,1)*C3555)</f>
        <v/>
      </c>
      <c r="U3555" s="20">
        <f>IF(OR(G3555="",AND(I3555&lt;&gt;"Transferencia",I3555&lt;&gt;"Pago tarjeta")),"",IF(IFERROR(INDEX(ctaMon,MATCH(G3555,ctaNom,0))&amp;"","DOP")=N3555,C3555,IF(N3555="USD",C3555*TasaUSD,C3555/TasaUSD)))</f>
        <v/>
      </c>
      <c r="V3555" s="20">
        <f>IF(I3555="","",IF(IFERROR(INDEX(ctaLiq,MATCH(E3555,ctaNom,0))="Sí",FALSE),IF(OR(I3555="Gasto",I3555="Transferencia",I3555="Pago tarjeta"),-1,1)*O3555,0)+IF(AND(U3555&lt;&gt;"",IFERROR(INDEX(ctaLiq,MATCH(G3555,ctaNom,0))="Sí",FALSE)),O3555,0))</f>
        <v/>
      </c>
      <c r="W3555" s="19">
        <f>IF(OR(F3555="",I3555=""),"",IF(COUNTIFS(F$6:F3555,F3555,I$6:I3555,"?*")=1,MAX(W$5:W3554)+1,""))</f>
        <v/>
      </c>
    </row>
    <row r="3556">
      <c r="B3556" s="15" t="n"/>
      <c r="C3556" s="16" t="n"/>
      <c r="D3556" s="17" t="n"/>
      <c r="E3556" s="17" t="n"/>
      <c r="F3556" s="17" t="n"/>
      <c r="G3556" s="17" t="n"/>
      <c r="H3556" s="18">
        <f>IF(AND(B3556="",C3556="",D3556="",E3556=""),"",IF(B3556="","⚠ Falta fecha",IF(C3556="","⚠ Falta monto",IF(D3556="","⚠ Falta categoría",IF(ISNA(MATCH(D3556,catNom,0)),"⚠ Categoría no existe",IF(E3556="","⚠ Falta cuenta",IF(ISNA(MATCH(E3556,ctaNom,0)),"⚠ Cuenta no existe",IF(AND(OR(I3556="Transferencia",I3556="Pago tarjeta"),G3556=""),"⚠ Indica la cuenta «Hacia»",IF(AND(G3556&lt;&gt;"",G3556=E3556),"⚠ «Hacia» igual a la cuenta",IF(AND(G3556&lt;&gt;"",ISNA(MATCH(G3556,ctaNom,0))),"⚠ «Hacia» no existe",IF(AND(I3556="Pago tarjeta",IFERROR(INDEX(ctaTipo,MATCH(G3556,ctaNom,0)),"")&lt;&gt;"Tarjeta de crédito"),"⚠ «Hacia» debe ser la tarjeta",IF(AND(I3556="Trading",IFERROR(INDEX(ctaTipo,MATCH(E3556,ctaNom,0)),"")&lt;&gt;"Cuenta de trading"),"⚠ Usa la cuenta de trading","✓"))))))))))))</f>
        <v/>
      </c>
      <c r="I3556" s="19">
        <f>IF(OR(B3556="",C3556="",D3556=""),"",IFERROR(INDEX(catTipo,MATCH(D3556,catNom,0))&amp;"",""))</f>
        <v/>
      </c>
      <c r="J3556" s="19">
        <f>IF(I3556="","",IFERROR(INDEX(catGrupo,MATCH(D3556,catNom,0))&amp;"",""))</f>
        <v/>
      </c>
      <c r="K3556" s="19">
        <f>IF(I3556="Gasto",IF(IFERROR(INDEX(catClas,MATCH(D3556,catNom,0))&amp;"","")="","Variable",IFERROR(INDEX(catClas,MATCH(D3556,catNom,0))&amp;"","")),"")</f>
        <v/>
      </c>
      <c r="L3556" s="19">
        <f>IF(I3556="","",IFERROR(INDEX(catAlim,MATCH(D3556,catNom,0))&amp;"",""))</f>
        <v/>
      </c>
      <c r="M3556" s="19">
        <f>IF(I3556="","",IFERROR(INDEX(catComida,MATCH(D3556,catNom,0))&amp;"",""))</f>
        <v/>
      </c>
      <c r="N3556" s="19">
        <f>IF(I3556="","",IFERROR(INDEX(ctaMon,MATCH(E3556,ctaNom,0))&amp;"","DOP"))</f>
        <v/>
      </c>
      <c r="O3556" s="20">
        <f>IF(I3556="","",C3556*IF(N3556="USD",TasaUSD,1))</f>
        <v/>
      </c>
      <c r="P3556" s="20">
        <f>IF(I3556="","",IF(I3556="Gasto",O3556,0))</f>
        <v/>
      </c>
      <c r="Q3556" s="20">
        <f>IF(I3556="","",IF(I3556="Ingreso",O3556,0))</f>
        <v/>
      </c>
      <c r="R3556" s="20">
        <f>IF(I3556="","",IF(I3556="Trading",O3556,0))</f>
        <v/>
      </c>
      <c r="S3556" s="19">
        <f>IF(I3556="","",IF(AND(I3556="Gasto",K3556="Variable",J3556&lt;&gt;"Trading",O3556&gt;0,O3556&lt;=Umbral),1,0))</f>
        <v/>
      </c>
      <c r="T3556" s="20">
        <f>IF(OR(I3556="",E3556=""),"",IF(OR(I3556="Gasto",I3556="Transferencia",I3556="Pago tarjeta"),-1,1)*C3556)</f>
        <v/>
      </c>
      <c r="U3556" s="20">
        <f>IF(OR(G3556="",AND(I3556&lt;&gt;"Transferencia",I3556&lt;&gt;"Pago tarjeta")),"",IF(IFERROR(INDEX(ctaMon,MATCH(G3556,ctaNom,0))&amp;"","DOP")=N3556,C3556,IF(N3556="USD",C3556*TasaUSD,C3556/TasaUSD)))</f>
        <v/>
      </c>
      <c r="V3556" s="20">
        <f>IF(I3556="","",IF(IFERROR(INDEX(ctaLiq,MATCH(E3556,ctaNom,0))="Sí",FALSE),IF(OR(I3556="Gasto",I3556="Transferencia",I3556="Pago tarjeta"),-1,1)*O3556,0)+IF(AND(U3556&lt;&gt;"",IFERROR(INDEX(ctaLiq,MATCH(G3556,ctaNom,0))="Sí",FALSE)),O3556,0))</f>
        <v/>
      </c>
      <c r="W3556" s="19">
        <f>IF(OR(F3556="",I3556=""),"",IF(COUNTIFS(F$6:F3556,F3556,I$6:I3556,"?*")=1,MAX(W$5:W3555)+1,""))</f>
        <v/>
      </c>
    </row>
    <row r="3557">
      <c r="B3557" s="15" t="n"/>
      <c r="C3557" s="16" t="n"/>
      <c r="D3557" s="17" t="n"/>
      <c r="E3557" s="17" t="n"/>
      <c r="F3557" s="17" t="n"/>
      <c r="G3557" s="17" t="n"/>
      <c r="H3557" s="18">
        <f>IF(AND(B3557="",C3557="",D3557="",E3557=""),"",IF(B3557="","⚠ Falta fecha",IF(C3557="","⚠ Falta monto",IF(D3557="","⚠ Falta categoría",IF(ISNA(MATCH(D3557,catNom,0)),"⚠ Categoría no existe",IF(E3557="","⚠ Falta cuenta",IF(ISNA(MATCH(E3557,ctaNom,0)),"⚠ Cuenta no existe",IF(AND(OR(I3557="Transferencia",I3557="Pago tarjeta"),G3557=""),"⚠ Indica la cuenta «Hacia»",IF(AND(G3557&lt;&gt;"",G3557=E3557),"⚠ «Hacia» igual a la cuenta",IF(AND(G3557&lt;&gt;"",ISNA(MATCH(G3557,ctaNom,0))),"⚠ «Hacia» no existe",IF(AND(I3557="Pago tarjeta",IFERROR(INDEX(ctaTipo,MATCH(G3557,ctaNom,0)),"")&lt;&gt;"Tarjeta de crédito"),"⚠ «Hacia» debe ser la tarjeta",IF(AND(I3557="Trading",IFERROR(INDEX(ctaTipo,MATCH(E3557,ctaNom,0)),"")&lt;&gt;"Cuenta de trading"),"⚠ Usa la cuenta de trading","✓"))))))))))))</f>
        <v/>
      </c>
      <c r="I3557" s="19">
        <f>IF(OR(B3557="",C3557="",D3557=""),"",IFERROR(INDEX(catTipo,MATCH(D3557,catNom,0))&amp;"",""))</f>
        <v/>
      </c>
      <c r="J3557" s="19">
        <f>IF(I3557="","",IFERROR(INDEX(catGrupo,MATCH(D3557,catNom,0))&amp;"",""))</f>
        <v/>
      </c>
      <c r="K3557" s="19">
        <f>IF(I3557="Gasto",IF(IFERROR(INDEX(catClas,MATCH(D3557,catNom,0))&amp;"","")="","Variable",IFERROR(INDEX(catClas,MATCH(D3557,catNom,0))&amp;"","")),"")</f>
        <v/>
      </c>
      <c r="L3557" s="19">
        <f>IF(I3557="","",IFERROR(INDEX(catAlim,MATCH(D3557,catNom,0))&amp;"",""))</f>
        <v/>
      </c>
      <c r="M3557" s="19">
        <f>IF(I3557="","",IFERROR(INDEX(catComida,MATCH(D3557,catNom,0))&amp;"",""))</f>
        <v/>
      </c>
      <c r="N3557" s="19">
        <f>IF(I3557="","",IFERROR(INDEX(ctaMon,MATCH(E3557,ctaNom,0))&amp;"","DOP"))</f>
        <v/>
      </c>
      <c r="O3557" s="20">
        <f>IF(I3557="","",C3557*IF(N3557="USD",TasaUSD,1))</f>
        <v/>
      </c>
      <c r="P3557" s="20">
        <f>IF(I3557="","",IF(I3557="Gasto",O3557,0))</f>
        <v/>
      </c>
      <c r="Q3557" s="20">
        <f>IF(I3557="","",IF(I3557="Ingreso",O3557,0))</f>
        <v/>
      </c>
      <c r="R3557" s="20">
        <f>IF(I3557="","",IF(I3557="Trading",O3557,0))</f>
        <v/>
      </c>
      <c r="S3557" s="19">
        <f>IF(I3557="","",IF(AND(I3557="Gasto",K3557="Variable",J3557&lt;&gt;"Trading",O3557&gt;0,O3557&lt;=Umbral),1,0))</f>
        <v/>
      </c>
      <c r="T3557" s="20">
        <f>IF(OR(I3557="",E3557=""),"",IF(OR(I3557="Gasto",I3557="Transferencia",I3557="Pago tarjeta"),-1,1)*C3557)</f>
        <v/>
      </c>
      <c r="U3557" s="20">
        <f>IF(OR(G3557="",AND(I3557&lt;&gt;"Transferencia",I3557&lt;&gt;"Pago tarjeta")),"",IF(IFERROR(INDEX(ctaMon,MATCH(G3557,ctaNom,0))&amp;"","DOP")=N3557,C3557,IF(N3557="USD",C3557*TasaUSD,C3557/TasaUSD)))</f>
        <v/>
      </c>
      <c r="V3557" s="20">
        <f>IF(I3557="","",IF(IFERROR(INDEX(ctaLiq,MATCH(E3557,ctaNom,0))="Sí",FALSE),IF(OR(I3557="Gasto",I3557="Transferencia",I3557="Pago tarjeta"),-1,1)*O3557,0)+IF(AND(U3557&lt;&gt;"",IFERROR(INDEX(ctaLiq,MATCH(G3557,ctaNom,0))="Sí",FALSE)),O3557,0))</f>
        <v/>
      </c>
      <c r="W3557" s="19">
        <f>IF(OR(F3557="",I3557=""),"",IF(COUNTIFS(F$6:F3557,F3557,I$6:I3557,"?*")=1,MAX(W$5:W3556)+1,""))</f>
        <v/>
      </c>
    </row>
    <row r="3558">
      <c r="B3558" s="15" t="n"/>
      <c r="C3558" s="16" t="n"/>
      <c r="D3558" s="17" t="n"/>
      <c r="E3558" s="17" t="n"/>
      <c r="F3558" s="17" t="n"/>
      <c r="G3558" s="17" t="n"/>
      <c r="H3558" s="18">
        <f>IF(AND(B3558="",C3558="",D3558="",E3558=""),"",IF(B3558="","⚠ Falta fecha",IF(C3558="","⚠ Falta monto",IF(D3558="","⚠ Falta categoría",IF(ISNA(MATCH(D3558,catNom,0)),"⚠ Categoría no existe",IF(E3558="","⚠ Falta cuenta",IF(ISNA(MATCH(E3558,ctaNom,0)),"⚠ Cuenta no existe",IF(AND(OR(I3558="Transferencia",I3558="Pago tarjeta"),G3558=""),"⚠ Indica la cuenta «Hacia»",IF(AND(G3558&lt;&gt;"",G3558=E3558),"⚠ «Hacia» igual a la cuenta",IF(AND(G3558&lt;&gt;"",ISNA(MATCH(G3558,ctaNom,0))),"⚠ «Hacia» no existe",IF(AND(I3558="Pago tarjeta",IFERROR(INDEX(ctaTipo,MATCH(G3558,ctaNom,0)),"")&lt;&gt;"Tarjeta de crédito"),"⚠ «Hacia» debe ser la tarjeta",IF(AND(I3558="Trading",IFERROR(INDEX(ctaTipo,MATCH(E3558,ctaNom,0)),"")&lt;&gt;"Cuenta de trading"),"⚠ Usa la cuenta de trading","✓"))))))))))))</f>
        <v/>
      </c>
      <c r="I3558" s="19">
        <f>IF(OR(B3558="",C3558="",D3558=""),"",IFERROR(INDEX(catTipo,MATCH(D3558,catNom,0))&amp;"",""))</f>
        <v/>
      </c>
      <c r="J3558" s="19">
        <f>IF(I3558="","",IFERROR(INDEX(catGrupo,MATCH(D3558,catNom,0))&amp;"",""))</f>
        <v/>
      </c>
      <c r="K3558" s="19">
        <f>IF(I3558="Gasto",IF(IFERROR(INDEX(catClas,MATCH(D3558,catNom,0))&amp;"","")="","Variable",IFERROR(INDEX(catClas,MATCH(D3558,catNom,0))&amp;"","")),"")</f>
        <v/>
      </c>
      <c r="L3558" s="19">
        <f>IF(I3558="","",IFERROR(INDEX(catAlim,MATCH(D3558,catNom,0))&amp;"",""))</f>
        <v/>
      </c>
      <c r="M3558" s="19">
        <f>IF(I3558="","",IFERROR(INDEX(catComida,MATCH(D3558,catNom,0))&amp;"",""))</f>
        <v/>
      </c>
      <c r="N3558" s="19">
        <f>IF(I3558="","",IFERROR(INDEX(ctaMon,MATCH(E3558,ctaNom,0))&amp;"","DOP"))</f>
        <v/>
      </c>
      <c r="O3558" s="20">
        <f>IF(I3558="","",C3558*IF(N3558="USD",TasaUSD,1))</f>
        <v/>
      </c>
      <c r="P3558" s="20">
        <f>IF(I3558="","",IF(I3558="Gasto",O3558,0))</f>
        <v/>
      </c>
      <c r="Q3558" s="20">
        <f>IF(I3558="","",IF(I3558="Ingreso",O3558,0))</f>
        <v/>
      </c>
      <c r="R3558" s="20">
        <f>IF(I3558="","",IF(I3558="Trading",O3558,0))</f>
        <v/>
      </c>
      <c r="S3558" s="19">
        <f>IF(I3558="","",IF(AND(I3558="Gasto",K3558="Variable",J3558&lt;&gt;"Trading",O3558&gt;0,O3558&lt;=Umbral),1,0))</f>
        <v/>
      </c>
      <c r="T3558" s="20">
        <f>IF(OR(I3558="",E3558=""),"",IF(OR(I3558="Gasto",I3558="Transferencia",I3558="Pago tarjeta"),-1,1)*C3558)</f>
        <v/>
      </c>
      <c r="U3558" s="20">
        <f>IF(OR(G3558="",AND(I3558&lt;&gt;"Transferencia",I3558&lt;&gt;"Pago tarjeta")),"",IF(IFERROR(INDEX(ctaMon,MATCH(G3558,ctaNom,0))&amp;"","DOP")=N3558,C3558,IF(N3558="USD",C3558*TasaUSD,C3558/TasaUSD)))</f>
        <v/>
      </c>
      <c r="V3558" s="20">
        <f>IF(I3558="","",IF(IFERROR(INDEX(ctaLiq,MATCH(E3558,ctaNom,0))="Sí",FALSE),IF(OR(I3558="Gasto",I3558="Transferencia",I3558="Pago tarjeta"),-1,1)*O3558,0)+IF(AND(U3558&lt;&gt;"",IFERROR(INDEX(ctaLiq,MATCH(G3558,ctaNom,0))="Sí",FALSE)),O3558,0))</f>
        <v/>
      </c>
      <c r="W3558" s="19">
        <f>IF(OR(F3558="",I3558=""),"",IF(COUNTIFS(F$6:F3558,F3558,I$6:I3558,"?*")=1,MAX(W$5:W3557)+1,""))</f>
        <v/>
      </c>
    </row>
    <row r="3559">
      <c r="B3559" s="15" t="n"/>
      <c r="C3559" s="16" t="n"/>
      <c r="D3559" s="17" t="n"/>
      <c r="E3559" s="17" t="n"/>
      <c r="F3559" s="17" t="n"/>
      <c r="G3559" s="17" t="n"/>
      <c r="H3559" s="18">
        <f>IF(AND(B3559="",C3559="",D3559="",E3559=""),"",IF(B3559="","⚠ Falta fecha",IF(C3559="","⚠ Falta monto",IF(D3559="","⚠ Falta categoría",IF(ISNA(MATCH(D3559,catNom,0)),"⚠ Categoría no existe",IF(E3559="","⚠ Falta cuenta",IF(ISNA(MATCH(E3559,ctaNom,0)),"⚠ Cuenta no existe",IF(AND(OR(I3559="Transferencia",I3559="Pago tarjeta"),G3559=""),"⚠ Indica la cuenta «Hacia»",IF(AND(G3559&lt;&gt;"",G3559=E3559),"⚠ «Hacia» igual a la cuenta",IF(AND(G3559&lt;&gt;"",ISNA(MATCH(G3559,ctaNom,0))),"⚠ «Hacia» no existe",IF(AND(I3559="Pago tarjeta",IFERROR(INDEX(ctaTipo,MATCH(G3559,ctaNom,0)),"")&lt;&gt;"Tarjeta de crédito"),"⚠ «Hacia» debe ser la tarjeta",IF(AND(I3559="Trading",IFERROR(INDEX(ctaTipo,MATCH(E3559,ctaNom,0)),"")&lt;&gt;"Cuenta de trading"),"⚠ Usa la cuenta de trading","✓"))))))))))))</f>
        <v/>
      </c>
      <c r="I3559" s="19">
        <f>IF(OR(B3559="",C3559="",D3559=""),"",IFERROR(INDEX(catTipo,MATCH(D3559,catNom,0))&amp;"",""))</f>
        <v/>
      </c>
      <c r="J3559" s="19">
        <f>IF(I3559="","",IFERROR(INDEX(catGrupo,MATCH(D3559,catNom,0))&amp;"",""))</f>
        <v/>
      </c>
      <c r="K3559" s="19">
        <f>IF(I3559="Gasto",IF(IFERROR(INDEX(catClas,MATCH(D3559,catNom,0))&amp;"","")="","Variable",IFERROR(INDEX(catClas,MATCH(D3559,catNom,0))&amp;"","")),"")</f>
        <v/>
      </c>
      <c r="L3559" s="19">
        <f>IF(I3559="","",IFERROR(INDEX(catAlim,MATCH(D3559,catNom,0))&amp;"",""))</f>
        <v/>
      </c>
      <c r="M3559" s="19">
        <f>IF(I3559="","",IFERROR(INDEX(catComida,MATCH(D3559,catNom,0))&amp;"",""))</f>
        <v/>
      </c>
      <c r="N3559" s="19">
        <f>IF(I3559="","",IFERROR(INDEX(ctaMon,MATCH(E3559,ctaNom,0))&amp;"","DOP"))</f>
        <v/>
      </c>
      <c r="O3559" s="20">
        <f>IF(I3559="","",C3559*IF(N3559="USD",TasaUSD,1))</f>
        <v/>
      </c>
      <c r="P3559" s="20">
        <f>IF(I3559="","",IF(I3559="Gasto",O3559,0))</f>
        <v/>
      </c>
      <c r="Q3559" s="20">
        <f>IF(I3559="","",IF(I3559="Ingreso",O3559,0))</f>
        <v/>
      </c>
      <c r="R3559" s="20">
        <f>IF(I3559="","",IF(I3559="Trading",O3559,0))</f>
        <v/>
      </c>
      <c r="S3559" s="19">
        <f>IF(I3559="","",IF(AND(I3559="Gasto",K3559="Variable",J3559&lt;&gt;"Trading",O3559&gt;0,O3559&lt;=Umbral),1,0))</f>
        <v/>
      </c>
      <c r="T3559" s="20">
        <f>IF(OR(I3559="",E3559=""),"",IF(OR(I3559="Gasto",I3559="Transferencia",I3559="Pago tarjeta"),-1,1)*C3559)</f>
        <v/>
      </c>
      <c r="U3559" s="20">
        <f>IF(OR(G3559="",AND(I3559&lt;&gt;"Transferencia",I3559&lt;&gt;"Pago tarjeta")),"",IF(IFERROR(INDEX(ctaMon,MATCH(G3559,ctaNom,0))&amp;"","DOP")=N3559,C3559,IF(N3559="USD",C3559*TasaUSD,C3559/TasaUSD)))</f>
        <v/>
      </c>
      <c r="V3559" s="20">
        <f>IF(I3559="","",IF(IFERROR(INDEX(ctaLiq,MATCH(E3559,ctaNom,0))="Sí",FALSE),IF(OR(I3559="Gasto",I3559="Transferencia",I3559="Pago tarjeta"),-1,1)*O3559,0)+IF(AND(U3559&lt;&gt;"",IFERROR(INDEX(ctaLiq,MATCH(G3559,ctaNom,0))="Sí",FALSE)),O3559,0))</f>
        <v/>
      </c>
      <c r="W3559" s="19">
        <f>IF(OR(F3559="",I3559=""),"",IF(COUNTIFS(F$6:F3559,F3559,I$6:I3559,"?*")=1,MAX(W$5:W3558)+1,""))</f>
        <v/>
      </c>
    </row>
    <row r="3560">
      <c r="B3560" s="15" t="n"/>
      <c r="C3560" s="16" t="n"/>
      <c r="D3560" s="17" t="n"/>
      <c r="E3560" s="17" t="n"/>
      <c r="F3560" s="17" t="n"/>
      <c r="G3560" s="17" t="n"/>
      <c r="H3560" s="18">
        <f>IF(AND(B3560="",C3560="",D3560="",E3560=""),"",IF(B3560="","⚠ Falta fecha",IF(C3560="","⚠ Falta monto",IF(D3560="","⚠ Falta categoría",IF(ISNA(MATCH(D3560,catNom,0)),"⚠ Categoría no existe",IF(E3560="","⚠ Falta cuenta",IF(ISNA(MATCH(E3560,ctaNom,0)),"⚠ Cuenta no existe",IF(AND(OR(I3560="Transferencia",I3560="Pago tarjeta"),G3560=""),"⚠ Indica la cuenta «Hacia»",IF(AND(G3560&lt;&gt;"",G3560=E3560),"⚠ «Hacia» igual a la cuenta",IF(AND(G3560&lt;&gt;"",ISNA(MATCH(G3560,ctaNom,0))),"⚠ «Hacia» no existe",IF(AND(I3560="Pago tarjeta",IFERROR(INDEX(ctaTipo,MATCH(G3560,ctaNom,0)),"")&lt;&gt;"Tarjeta de crédito"),"⚠ «Hacia» debe ser la tarjeta",IF(AND(I3560="Trading",IFERROR(INDEX(ctaTipo,MATCH(E3560,ctaNom,0)),"")&lt;&gt;"Cuenta de trading"),"⚠ Usa la cuenta de trading","✓"))))))))))))</f>
        <v/>
      </c>
      <c r="I3560" s="19">
        <f>IF(OR(B3560="",C3560="",D3560=""),"",IFERROR(INDEX(catTipo,MATCH(D3560,catNom,0))&amp;"",""))</f>
        <v/>
      </c>
      <c r="J3560" s="19">
        <f>IF(I3560="","",IFERROR(INDEX(catGrupo,MATCH(D3560,catNom,0))&amp;"",""))</f>
        <v/>
      </c>
      <c r="K3560" s="19">
        <f>IF(I3560="Gasto",IF(IFERROR(INDEX(catClas,MATCH(D3560,catNom,0))&amp;"","")="","Variable",IFERROR(INDEX(catClas,MATCH(D3560,catNom,0))&amp;"","")),"")</f>
        <v/>
      </c>
      <c r="L3560" s="19">
        <f>IF(I3560="","",IFERROR(INDEX(catAlim,MATCH(D3560,catNom,0))&amp;"",""))</f>
        <v/>
      </c>
      <c r="M3560" s="19">
        <f>IF(I3560="","",IFERROR(INDEX(catComida,MATCH(D3560,catNom,0))&amp;"",""))</f>
        <v/>
      </c>
      <c r="N3560" s="19">
        <f>IF(I3560="","",IFERROR(INDEX(ctaMon,MATCH(E3560,ctaNom,0))&amp;"","DOP"))</f>
        <v/>
      </c>
      <c r="O3560" s="20">
        <f>IF(I3560="","",C3560*IF(N3560="USD",TasaUSD,1))</f>
        <v/>
      </c>
      <c r="P3560" s="20">
        <f>IF(I3560="","",IF(I3560="Gasto",O3560,0))</f>
        <v/>
      </c>
      <c r="Q3560" s="20">
        <f>IF(I3560="","",IF(I3560="Ingreso",O3560,0))</f>
        <v/>
      </c>
      <c r="R3560" s="20">
        <f>IF(I3560="","",IF(I3560="Trading",O3560,0))</f>
        <v/>
      </c>
      <c r="S3560" s="19">
        <f>IF(I3560="","",IF(AND(I3560="Gasto",K3560="Variable",J3560&lt;&gt;"Trading",O3560&gt;0,O3560&lt;=Umbral),1,0))</f>
        <v/>
      </c>
      <c r="T3560" s="20">
        <f>IF(OR(I3560="",E3560=""),"",IF(OR(I3560="Gasto",I3560="Transferencia",I3560="Pago tarjeta"),-1,1)*C3560)</f>
        <v/>
      </c>
      <c r="U3560" s="20">
        <f>IF(OR(G3560="",AND(I3560&lt;&gt;"Transferencia",I3560&lt;&gt;"Pago tarjeta")),"",IF(IFERROR(INDEX(ctaMon,MATCH(G3560,ctaNom,0))&amp;"","DOP")=N3560,C3560,IF(N3560="USD",C3560*TasaUSD,C3560/TasaUSD)))</f>
        <v/>
      </c>
      <c r="V3560" s="20">
        <f>IF(I3560="","",IF(IFERROR(INDEX(ctaLiq,MATCH(E3560,ctaNom,0))="Sí",FALSE),IF(OR(I3560="Gasto",I3560="Transferencia",I3560="Pago tarjeta"),-1,1)*O3560,0)+IF(AND(U3560&lt;&gt;"",IFERROR(INDEX(ctaLiq,MATCH(G3560,ctaNom,0))="Sí",FALSE)),O3560,0))</f>
        <v/>
      </c>
      <c r="W3560" s="19">
        <f>IF(OR(F3560="",I3560=""),"",IF(COUNTIFS(F$6:F3560,F3560,I$6:I3560,"?*")=1,MAX(W$5:W3559)+1,""))</f>
        <v/>
      </c>
    </row>
    <row r="3561">
      <c r="B3561" s="15" t="n"/>
      <c r="C3561" s="16" t="n"/>
      <c r="D3561" s="17" t="n"/>
      <c r="E3561" s="17" t="n"/>
      <c r="F3561" s="17" t="n"/>
      <c r="G3561" s="17" t="n"/>
      <c r="H3561" s="18">
        <f>IF(AND(B3561="",C3561="",D3561="",E3561=""),"",IF(B3561="","⚠ Falta fecha",IF(C3561="","⚠ Falta monto",IF(D3561="","⚠ Falta categoría",IF(ISNA(MATCH(D3561,catNom,0)),"⚠ Categoría no existe",IF(E3561="","⚠ Falta cuenta",IF(ISNA(MATCH(E3561,ctaNom,0)),"⚠ Cuenta no existe",IF(AND(OR(I3561="Transferencia",I3561="Pago tarjeta"),G3561=""),"⚠ Indica la cuenta «Hacia»",IF(AND(G3561&lt;&gt;"",G3561=E3561),"⚠ «Hacia» igual a la cuenta",IF(AND(G3561&lt;&gt;"",ISNA(MATCH(G3561,ctaNom,0))),"⚠ «Hacia» no existe",IF(AND(I3561="Pago tarjeta",IFERROR(INDEX(ctaTipo,MATCH(G3561,ctaNom,0)),"")&lt;&gt;"Tarjeta de crédito"),"⚠ «Hacia» debe ser la tarjeta",IF(AND(I3561="Trading",IFERROR(INDEX(ctaTipo,MATCH(E3561,ctaNom,0)),"")&lt;&gt;"Cuenta de trading"),"⚠ Usa la cuenta de trading","✓"))))))))))))</f>
        <v/>
      </c>
      <c r="I3561" s="19">
        <f>IF(OR(B3561="",C3561="",D3561=""),"",IFERROR(INDEX(catTipo,MATCH(D3561,catNom,0))&amp;"",""))</f>
        <v/>
      </c>
      <c r="J3561" s="19">
        <f>IF(I3561="","",IFERROR(INDEX(catGrupo,MATCH(D3561,catNom,0))&amp;"",""))</f>
        <v/>
      </c>
      <c r="K3561" s="19">
        <f>IF(I3561="Gasto",IF(IFERROR(INDEX(catClas,MATCH(D3561,catNom,0))&amp;"","")="","Variable",IFERROR(INDEX(catClas,MATCH(D3561,catNom,0))&amp;"","")),"")</f>
        <v/>
      </c>
      <c r="L3561" s="19">
        <f>IF(I3561="","",IFERROR(INDEX(catAlim,MATCH(D3561,catNom,0))&amp;"",""))</f>
        <v/>
      </c>
      <c r="M3561" s="19">
        <f>IF(I3561="","",IFERROR(INDEX(catComida,MATCH(D3561,catNom,0))&amp;"",""))</f>
        <v/>
      </c>
      <c r="N3561" s="19">
        <f>IF(I3561="","",IFERROR(INDEX(ctaMon,MATCH(E3561,ctaNom,0))&amp;"","DOP"))</f>
        <v/>
      </c>
      <c r="O3561" s="20">
        <f>IF(I3561="","",C3561*IF(N3561="USD",TasaUSD,1))</f>
        <v/>
      </c>
      <c r="P3561" s="20">
        <f>IF(I3561="","",IF(I3561="Gasto",O3561,0))</f>
        <v/>
      </c>
      <c r="Q3561" s="20">
        <f>IF(I3561="","",IF(I3561="Ingreso",O3561,0))</f>
        <v/>
      </c>
      <c r="R3561" s="20">
        <f>IF(I3561="","",IF(I3561="Trading",O3561,0))</f>
        <v/>
      </c>
      <c r="S3561" s="19">
        <f>IF(I3561="","",IF(AND(I3561="Gasto",K3561="Variable",J3561&lt;&gt;"Trading",O3561&gt;0,O3561&lt;=Umbral),1,0))</f>
        <v/>
      </c>
      <c r="T3561" s="20">
        <f>IF(OR(I3561="",E3561=""),"",IF(OR(I3561="Gasto",I3561="Transferencia",I3561="Pago tarjeta"),-1,1)*C3561)</f>
        <v/>
      </c>
      <c r="U3561" s="20">
        <f>IF(OR(G3561="",AND(I3561&lt;&gt;"Transferencia",I3561&lt;&gt;"Pago tarjeta")),"",IF(IFERROR(INDEX(ctaMon,MATCH(G3561,ctaNom,0))&amp;"","DOP")=N3561,C3561,IF(N3561="USD",C3561*TasaUSD,C3561/TasaUSD)))</f>
        <v/>
      </c>
      <c r="V3561" s="20">
        <f>IF(I3561="","",IF(IFERROR(INDEX(ctaLiq,MATCH(E3561,ctaNom,0))="Sí",FALSE),IF(OR(I3561="Gasto",I3561="Transferencia",I3561="Pago tarjeta"),-1,1)*O3561,0)+IF(AND(U3561&lt;&gt;"",IFERROR(INDEX(ctaLiq,MATCH(G3561,ctaNom,0))="Sí",FALSE)),O3561,0))</f>
        <v/>
      </c>
      <c r="W3561" s="19">
        <f>IF(OR(F3561="",I3561=""),"",IF(COUNTIFS(F$6:F3561,F3561,I$6:I3561,"?*")=1,MAX(W$5:W3560)+1,""))</f>
        <v/>
      </c>
    </row>
    <row r="3562">
      <c r="B3562" s="15" t="n"/>
      <c r="C3562" s="16" t="n"/>
      <c r="D3562" s="17" t="n"/>
      <c r="E3562" s="17" t="n"/>
      <c r="F3562" s="17" t="n"/>
      <c r="G3562" s="17" t="n"/>
      <c r="H3562" s="18">
        <f>IF(AND(B3562="",C3562="",D3562="",E3562=""),"",IF(B3562="","⚠ Falta fecha",IF(C3562="","⚠ Falta monto",IF(D3562="","⚠ Falta categoría",IF(ISNA(MATCH(D3562,catNom,0)),"⚠ Categoría no existe",IF(E3562="","⚠ Falta cuenta",IF(ISNA(MATCH(E3562,ctaNom,0)),"⚠ Cuenta no existe",IF(AND(OR(I3562="Transferencia",I3562="Pago tarjeta"),G3562=""),"⚠ Indica la cuenta «Hacia»",IF(AND(G3562&lt;&gt;"",G3562=E3562),"⚠ «Hacia» igual a la cuenta",IF(AND(G3562&lt;&gt;"",ISNA(MATCH(G3562,ctaNom,0))),"⚠ «Hacia» no existe",IF(AND(I3562="Pago tarjeta",IFERROR(INDEX(ctaTipo,MATCH(G3562,ctaNom,0)),"")&lt;&gt;"Tarjeta de crédito"),"⚠ «Hacia» debe ser la tarjeta",IF(AND(I3562="Trading",IFERROR(INDEX(ctaTipo,MATCH(E3562,ctaNom,0)),"")&lt;&gt;"Cuenta de trading"),"⚠ Usa la cuenta de trading","✓"))))))))))))</f>
        <v/>
      </c>
      <c r="I3562" s="19">
        <f>IF(OR(B3562="",C3562="",D3562=""),"",IFERROR(INDEX(catTipo,MATCH(D3562,catNom,0))&amp;"",""))</f>
        <v/>
      </c>
      <c r="J3562" s="19">
        <f>IF(I3562="","",IFERROR(INDEX(catGrupo,MATCH(D3562,catNom,0))&amp;"",""))</f>
        <v/>
      </c>
      <c r="K3562" s="19">
        <f>IF(I3562="Gasto",IF(IFERROR(INDEX(catClas,MATCH(D3562,catNom,0))&amp;"","")="","Variable",IFERROR(INDEX(catClas,MATCH(D3562,catNom,0))&amp;"","")),"")</f>
        <v/>
      </c>
      <c r="L3562" s="19">
        <f>IF(I3562="","",IFERROR(INDEX(catAlim,MATCH(D3562,catNom,0))&amp;"",""))</f>
        <v/>
      </c>
      <c r="M3562" s="19">
        <f>IF(I3562="","",IFERROR(INDEX(catComida,MATCH(D3562,catNom,0))&amp;"",""))</f>
        <v/>
      </c>
      <c r="N3562" s="19">
        <f>IF(I3562="","",IFERROR(INDEX(ctaMon,MATCH(E3562,ctaNom,0))&amp;"","DOP"))</f>
        <v/>
      </c>
      <c r="O3562" s="20">
        <f>IF(I3562="","",C3562*IF(N3562="USD",TasaUSD,1))</f>
        <v/>
      </c>
      <c r="P3562" s="20">
        <f>IF(I3562="","",IF(I3562="Gasto",O3562,0))</f>
        <v/>
      </c>
      <c r="Q3562" s="20">
        <f>IF(I3562="","",IF(I3562="Ingreso",O3562,0))</f>
        <v/>
      </c>
      <c r="R3562" s="20">
        <f>IF(I3562="","",IF(I3562="Trading",O3562,0))</f>
        <v/>
      </c>
      <c r="S3562" s="19">
        <f>IF(I3562="","",IF(AND(I3562="Gasto",K3562="Variable",J3562&lt;&gt;"Trading",O3562&gt;0,O3562&lt;=Umbral),1,0))</f>
        <v/>
      </c>
      <c r="T3562" s="20">
        <f>IF(OR(I3562="",E3562=""),"",IF(OR(I3562="Gasto",I3562="Transferencia",I3562="Pago tarjeta"),-1,1)*C3562)</f>
        <v/>
      </c>
      <c r="U3562" s="20">
        <f>IF(OR(G3562="",AND(I3562&lt;&gt;"Transferencia",I3562&lt;&gt;"Pago tarjeta")),"",IF(IFERROR(INDEX(ctaMon,MATCH(G3562,ctaNom,0))&amp;"","DOP")=N3562,C3562,IF(N3562="USD",C3562*TasaUSD,C3562/TasaUSD)))</f>
        <v/>
      </c>
      <c r="V3562" s="20">
        <f>IF(I3562="","",IF(IFERROR(INDEX(ctaLiq,MATCH(E3562,ctaNom,0))="Sí",FALSE),IF(OR(I3562="Gasto",I3562="Transferencia",I3562="Pago tarjeta"),-1,1)*O3562,0)+IF(AND(U3562&lt;&gt;"",IFERROR(INDEX(ctaLiq,MATCH(G3562,ctaNom,0))="Sí",FALSE)),O3562,0))</f>
        <v/>
      </c>
      <c r="W3562" s="19">
        <f>IF(OR(F3562="",I3562=""),"",IF(COUNTIFS(F$6:F3562,F3562,I$6:I3562,"?*")=1,MAX(W$5:W3561)+1,""))</f>
        <v/>
      </c>
    </row>
    <row r="3563">
      <c r="B3563" s="15" t="n"/>
      <c r="C3563" s="16" t="n"/>
      <c r="D3563" s="17" t="n"/>
      <c r="E3563" s="17" t="n"/>
      <c r="F3563" s="17" t="n"/>
      <c r="G3563" s="17" t="n"/>
      <c r="H3563" s="18">
        <f>IF(AND(B3563="",C3563="",D3563="",E3563=""),"",IF(B3563="","⚠ Falta fecha",IF(C3563="","⚠ Falta monto",IF(D3563="","⚠ Falta categoría",IF(ISNA(MATCH(D3563,catNom,0)),"⚠ Categoría no existe",IF(E3563="","⚠ Falta cuenta",IF(ISNA(MATCH(E3563,ctaNom,0)),"⚠ Cuenta no existe",IF(AND(OR(I3563="Transferencia",I3563="Pago tarjeta"),G3563=""),"⚠ Indica la cuenta «Hacia»",IF(AND(G3563&lt;&gt;"",G3563=E3563),"⚠ «Hacia» igual a la cuenta",IF(AND(G3563&lt;&gt;"",ISNA(MATCH(G3563,ctaNom,0))),"⚠ «Hacia» no existe",IF(AND(I3563="Pago tarjeta",IFERROR(INDEX(ctaTipo,MATCH(G3563,ctaNom,0)),"")&lt;&gt;"Tarjeta de crédito"),"⚠ «Hacia» debe ser la tarjeta",IF(AND(I3563="Trading",IFERROR(INDEX(ctaTipo,MATCH(E3563,ctaNom,0)),"")&lt;&gt;"Cuenta de trading"),"⚠ Usa la cuenta de trading","✓"))))))))))))</f>
        <v/>
      </c>
      <c r="I3563" s="19">
        <f>IF(OR(B3563="",C3563="",D3563=""),"",IFERROR(INDEX(catTipo,MATCH(D3563,catNom,0))&amp;"",""))</f>
        <v/>
      </c>
      <c r="J3563" s="19">
        <f>IF(I3563="","",IFERROR(INDEX(catGrupo,MATCH(D3563,catNom,0))&amp;"",""))</f>
        <v/>
      </c>
      <c r="K3563" s="19">
        <f>IF(I3563="Gasto",IF(IFERROR(INDEX(catClas,MATCH(D3563,catNom,0))&amp;"","")="","Variable",IFERROR(INDEX(catClas,MATCH(D3563,catNom,0))&amp;"","")),"")</f>
        <v/>
      </c>
      <c r="L3563" s="19">
        <f>IF(I3563="","",IFERROR(INDEX(catAlim,MATCH(D3563,catNom,0))&amp;"",""))</f>
        <v/>
      </c>
      <c r="M3563" s="19">
        <f>IF(I3563="","",IFERROR(INDEX(catComida,MATCH(D3563,catNom,0))&amp;"",""))</f>
        <v/>
      </c>
      <c r="N3563" s="19">
        <f>IF(I3563="","",IFERROR(INDEX(ctaMon,MATCH(E3563,ctaNom,0))&amp;"","DOP"))</f>
        <v/>
      </c>
      <c r="O3563" s="20">
        <f>IF(I3563="","",C3563*IF(N3563="USD",TasaUSD,1))</f>
        <v/>
      </c>
      <c r="P3563" s="20">
        <f>IF(I3563="","",IF(I3563="Gasto",O3563,0))</f>
        <v/>
      </c>
      <c r="Q3563" s="20">
        <f>IF(I3563="","",IF(I3563="Ingreso",O3563,0))</f>
        <v/>
      </c>
      <c r="R3563" s="20">
        <f>IF(I3563="","",IF(I3563="Trading",O3563,0))</f>
        <v/>
      </c>
      <c r="S3563" s="19">
        <f>IF(I3563="","",IF(AND(I3563="Gasto",K3563="Variable",J3563&lt;&gt;"Trading",O3563&gt;0,O3563&lt;=Umbral),1,0))</f>
        <v/>
      </c>
      <c r="T3563" s="20">
        <f>IF(OR(I3563="",E3563=""),"",IF(OR(I3563="Gasto",I3563="Transferencia",I3563="Pago tarjeta"),-1,1)*C3563)</f>
        <v/>
      </c>
      <c r="U3563" s="20">
        <f>IF(OR(G3563="",AND(I3563&lt;&gt;"Transferencia",I3563&lt;&gt;"Pago tarjeta")),"",IF(IFERROR(INDEX(ctaMon,MATCH(G3563,ctaNom,0))&amp;"","DOP")=N3563,C3563,IF(N3563="USD",C3563*TasaUSD,C3563/TasaUSD)))</f>
        <v/>
      </c>
      <c r="V3563" s="20">
        <f>IF(I3563="","",IF(IFERROR(INDEX(ctaLiq,MATCH(E3563,ctaNom,0))="Sí",FALSE),IF(OR(I3563="Gasto",I3563="Transferencia",I3563="Pago tarjeta"),-1,1)*O3563,0)+IF(AND(U3563&lt;&gt;"",IFERROR(INDEX(ctaLiq,MATCH(G3563,ctaNom,0))="Sí",FALSE)),O3563,0))</f>
        <v/>
      </c>
      <c r="W3563" s="19">
        <f>IF(OR(F3563="",I3563=""),"",IF(COUNTIFS(F$6:F3563,F3563,I$6:I3563,"?*")=1,MAX(W$5:W3562)+1,""))</f>
        <v/>
      </c>
    </row>
    <row r="3564">
      <c r="B3564" s="15" t="n"/>
      <c r="C3564" s="16" t="n"/>
      <c r="D3564" s="17" t="n"/>
      <c r="E3564" s="17" t="n"/>
      <c r="F3564" s="17" t="n"/>
      <c r="G3564" s="17" t="n"/>
      <c r="H3564" s="18">
        <f>IF(AND(B3564="",C3564="",D3564="",E3564=""),"",IF(B3564="","⚠ Falta fecha",IF(C3564="","⚠ Falta monto",IF(D3564="","⚠ Falta categoría",IF(ISNA(MATCH(D3564,catNom,0)),"⚠ Categoría no existe",IF(E3564="","⚠ Falta cuenta",IF(ISNA(MATCH(E3564,ctaNom,0)),"⚠ Cuenta no existe",IF(AND(OR(I3564="Transferencia",I3564="Pago tarjeta"),G3564=""),"⚠ Indica la cuenta «Hacia»",IF(AND(G3564&lt;&gt;"",G3564=E3564),"⚠ «Hacia» igual a la cuenta",IF(AND(G3564&lt;&gt;"",ISNA(MATCH(G3564,ctaNom,0))),"⚠ «Hacia» no existe",IF(AND(I3564="Pago tarjeta",IFERROR(INDEX(ctaTipo,MATCH(G3564,ctaNom,0)),"")&lt;&gt;"Tarjeta de crédito"),"⚠ «Hacia» debe ser la tarjeta",IF(AND(I3564="Trading",IFERROR(INDEX(ctaTipo,MATCH(E3564,ctaNom,0)),"")&lt;&gt;"Cuenta de trading"),"⚠ Usa la cuenta de trading","✓"))))))))))))</f>
        <v/>
      </c>
      <c r="I3564" s="19">
        <f>IF(OR(B3564="",C3564="",D3564=""),"",IFERROR(INDEX(catTipo,MATCH(D3564,catNom,0))&amp;"",""))</f>
        <v/>
      </c>
      <c r="J3564" s="19">
        <f>IF(I3564="","",IFERROR(INDEX(catGrupo,MATCH(D3564,catNom,0))&amp;"",""))</f>
        <v/>
      </c>
      <c r="K3564" s="19">
        <f>IF(I3564="Gasto",IF(IFERROR(INDEX(catClas,MATCH(D3564,catNom,0))&amp;"","")="","Variable",IFERROR(INDEX(catClas,MATCH(D3564,catNom,0))&amp;"","")),"")</f>
        <v/>
      </c>
      <c r="L3564" s="19">
        <f>IF(I3564="","",IFERROR(INDEX(catAlim,MATCH(D3564,catNom,0))&amp;"",""))</f>
        <v/>
      </c>
      <c r="M3564" s="19">
        <f>IF(I3564="","",IFERROR(INDEX(catComida,MATCH(D3564,catNom,0))&amp;"",""))</f>
        <v/>
      </c>
      <c r="N3564" s="19">
        <f>IF(I3564="","",IFERROR(INDEX(ctaMon,MATCH(E3564,ctaNom,0))&amp;"","DOP"))</f>
        <v/>
      </c>
      <c r="O3564" s="20">
        <f>IF(I3564="","",C3564*IF(N3564="USD",TasaUSD,1))</f>
        <v/>
      </c>
      <c r="P3564" s="20">
        <f>IF(I3564="","",IF(I3564="Gasto",O3564,0))</f>
        <v/>
      </c>
      <c r="Q3564" s="20">
        <f>IF(I3564="","",IF(I3564="Ingreso",O3564,0))</f>
        <v/>
      </c>
      <c r="R3564" s="20">
        <f>IF(I3564="","",IF(I3564="Trading",O3564,0))</f>
        <v/>
      </c>
      <c r="S3564" s="19">
        <f>IF(I3564="","",IF(AND(I3564="Gasto",K3564="Variable",J3564&lt;&gt;"Trading",O3564&gt;0,O3564&lt;=Umbral),1,0))</f>
        <v/>
      </c>
      <c r="T3564" s="20">
        <f>IF(OR(I3564="",E3564=""),"",IF(OR(I3564="Gasto",I3564="Transferencia",I3564="Pago tarjeta"),-1,1)*C3564)</f>
        <v/>
      </c>
      <c r="U3564" s="20">
        <f>IF(OR(G3564="",AND(I3564&lt;&gt;"Transferencia",I3564&lt;&gt;"Pago tarjeta")),"",IF(IFERROR(INDEX(ctaMon,MATCH(G3564,ctaNom,0))&amp;"","DOP")=N3564,C3564,IF(N3564="USD",C3564*TasaUSD,C3564/TasaUSD)))</f>
        <v/>
      </c>
      <c r="V3564" s="20">
        <f>IF(I3564="","",IF(IFERROR(INDEX(ctaLiq,MATCH(E3564,ctaNom,0))="Sí",FALSE),IF(OR(I3564="Gasto",I3564="Transferencia",I3564="Pago tarjeta"),-1,1)*O3564,0)+IF(AND(U3564&lt;&gt;"",IFERROR(INDEX(ctaLiq,MATCH(G3564,ctaNom,0))="Sí",FALSE)),O3564,0))</f>
        <v/>
      </c>
      <c r="W3564" s="19">
        <f>IF(OR(F3564="",I3564=""),"",IF(COUNTIFS(F$6:F3564,F3564,I$6:I3564,"?*")=1,MAX(W$5:W3563)+1,""))</f>
        <v/>
      </c>
    </row>
    <row r="3565">
      <c r="B3565" s="15" t="n"/>
      <c r="C3565" s="16" t="n"/>
      <c r="D3565" s="17" t="n"/>
      <c r="E3565" s="17" t="n"/>
      <c r="F3565" s="17" t="n"/>
      <c r="G3565" s="17" t="n"/>
      <c r="H3565" s="18">
        <f>IF(AND(B3565="",C3565="",D3565="",E3565=""),"",IF(B3565="","⚠ Falta fecha",IF(C3565="","⚠ Falta monto",IF(D3565="","⚠ Falta categoría",IF(ISNA(MATCH(D3565,catNom,0)),"⚠ Categoría no existe",IF(E3565="","⚠ Falta cuenta",IF(ISNA(MATCH(E3565,ctaNom,0)),"⚠ Cuenta no existe",IF(AND(OR(I3565="Transferencia",I3565="Pago tarjeta"),G3565=""),"⚠ Indica la cuenta «Hacia»",IF(AND(G3565&lt;&gt;"",G3565=E3565),"⚠ «Hacia» igual a la cuenta",IF(AND(G3565&lt;&gt;"",ISNA(MATCH(G3565,ctaNom,0))),"⚠ «Hacia» no existe",IF(AND(I3565="Pago tarjeta",IFERROR(INDEX(ctaTipo,MATCH(G3565,ctaNom,0)),"")&lt;&gt;"Tarjeta de crédito"),"⚠ «Hacia» debe ser la tarjeta",IF(AND(I3565="Trading",IFERROR(INDEX(ctaTipo,MATCH(E3565,ctaNom,0)),"")&lt;&gt;"Cuenta de trading"),"⚠ Usa la cuenta de trading","✓"))))))))))))</f>
        <v/>
      </c>
      <c r="I3565" s="19">
        <f>IF(OR(B3565="",C3565="",D3565=""),"",IFERROR(INDEX(catTipo,MATCH(D3565,catNom,0))&amp;"",""))</f>
        <v/>
      </c>
      <c r="J3565" s="19">
        <f>IF(I3565="","",IFERROR(INDEX(catGrupo,MATCH(D3565,catNom,0))&amp;"",""))</f>
        <v/>
      </c>
      <c r="K3565" s="19">
        <f>IF(I3565="Gasto",IF(IFERROR(INDEX(catClas,MATCH(D3565,catNom,0))&amp;"","")="","Variable",IFERROR(INDEX(catClas,MATCH(D3565,catNom,0))&amp;"","")),"")</f>
        <v/>
      </c>
      <c r="L3565" s="19">
        <f>IF(I3565="","",IFERROR(INDEX(catAlim,MATCH(D3565,catNom,0))&amp;"",""))</f>
        <v/>
      </c>
      <c r="M3565" s="19">
        <f>IF(I3565="","",IFERROR(INDEX(catComida,MATCH(D3565,catNom,0))&amp;"",""))</f>
        <v/>
      </c>
      <c r="N3565" s="19">
        <f>IF(I3565="","",IFERROR(INDEX(ctaMon,MATCH(E3565,ctaNom,0))&amp;"","DOP"))</f>
        <v/>
      </c>
      <c r="O3565" s="20">
        <f>IF(I3565="","",C3565*IF(N3565="USD",TasaUSD,1))</f>
        <v/>
      </c>
      <c r="P3565" s="20">
        <f>IF(I3565="","",IF(I3565="Gasto",O3565,0))</f>
        <v/>
      </c>
      <c r="Q3565" s="20">
        <f>IF(I3565="","",IF(I3565="Ingreso",O3565,0))</f>
        <v/>
      </c>
      <c r="R3565" s="20">
        <f>IF(I3565="","",IF(I3565="Trading",O3565,0))</f>
        <v/>
      </c>
      <c r="S3565" s="19">
        <f>IF(I3565="","",IF(AND(I3565="Gasto",K3565="Variable",J3565&lt;&gt;"Trading",O3565&gt;0,O3565&lt;=Umbral),1,0))</f>
        <v/>
      </c>
      <c r="T3565" s="20">
        <f>IF(OR(I3565="",E3565=""),"",IF(OR(I3565="Gasto",I3565="Transferencia",I3565="Pago tarjeta"),-1,1)*C3565)</f>
        <v/>
      </c>
      <c r="U3565" s="20">
        <f>IF(OR(G3565="",AND(I3565&lt;&gt;"Transferencia",I3565&lt;&gt;"Pago tarjeta")),"",IF(IFERROR(INDEX(ctaMon,MATCH(G3565,ctaNom,0))&amp;"","DOP")=N3565,C3565,IF(N3565="USD",C3565*TasaUSD,C3565/TasaUSD)))</f>
        <v/>
      </c>
      <c r="V3565" s="20">
        <f>IF(I3565="","",IF(IFERROR(INDEX(ctaLiq,MATCH(E3565,ctaNom,0))="Sí",FALSE),IF(OR(I3565="Gasto",I3565="Transferencia",I3565="Pago tarjeta"),-1,1)*O3565,0)+IF(AND(U3565&lt;&gt;"",IFERROR(INDEX(ctaLiq,MATCH(G3565,ctaNom,0))="Sí",FALSE)),O3565,0))</f>
        <v/>
      </c>
      <c r="W3565" s="19">
        <f>IF(OR(F3565="",I3565=""),"",IF(COUNTIFS(F$6:F3565,F3565,I$6:I3565,"?*")=1,MAX(W$5:W3564)+1,""))</f>
        <v/>
      </c>
    </row>
    <row r="3566">
      <c r="B3566" s="15" t="n"/>
      <c r="C3566" s="16" t="n"/>
      <c r="D3566" s="17" t="n"/>
      <c r="E3566" s="17" t="n"/>
      <c r="F3566" s="17" t="n"/>
      <c r="G3566" s="17" t="n"/>
      <c r="H3566" s="18">
        <f>IF(AND(B3566="",C3566="",D3566="",E3566=""),"",IF(B3566="","⚠ Falta fecha",IF(C3566="","⚠ Falta monto",IF(D3566="","⚠ Falta categoría",IF(ISNA(MATCH(D3566,catNom,0)),"⚠ Categoría no existe",IF(E3566="","⚠ Falta cuenta",IF(ISNA(MATCH(E3566,ctaNom,0)),"⚠ Cuenta no existe",IF(AND(OR(I3566="Transferencia",I3566="Pago tarjeta"),G3566=""),"⚠ Indica la cuenta «Hacia»",IF(AND(G3566&lt;&gt;"",G3566=E3566),"⚠ «Hacia» igual a la cuenta",IF(AND(G3566&lt;&gt;"",ISNA(MATCH(G3566,ctaNom,0))),"⚠ «Hacia» no existe",IF(AND(I3566="Pago tarjeta",IFERROR(INDEX(ctaTipo,MATCH(G3566,ctaNom,0)),"")&lt;&gt;"Tarjeta de crédito"),"⚠ «Hacia» debe ser la tarjeta",IF(AND(I3566="Trading",IFERROR(INDEX(ctaTipo,MATCH(E3566,ctaNom,0)),"")&lt;&gt;"Cuenta de trading"),"⚠ Usa la cuenta de trading","✓"))))))))))))</f>
        <v/>
      </c>
      <c r="I3566" s="19">
        <f>IF(OR(B3566="",C3566="",D3566=""),"",IFERROR(INDEX(catTipo,MATCH(D3566,catNom,0))&amp;"",""))</f>
        <v/>
      </c>
      <c r="J3566" s="19">
        <f>IF(I3566="","",IFERROR(INDEX(catGrupo,MATCH(D3566,catNom,0))&amp;"",""))</f>
        <v/>
      </c>
      <c r="K3566" s="19">
        <f>IF(I3566="Gasto",IF(IFERROR(INDEX(catClas,MATCH(D3566,catNom,0))&amp;"","")="","Variable",IFERROR(INDEX(catClas,MATCH(D3566,catNom,0))&amp;"","")),"")</f>
        <v/>
      </c>
      <c r="L3566" s="19">
        <f>IF(I3566="","",IFERROR(INDEX(catAlim,MATCH(D3566,catNom,0))&amp;"",""))</f>
        <v/>
      </c>
      <c r="M3566" s="19">
        <f>IF(I3566="","",IFERROR(INDEX(catComida,MATCH(D3566,catNom,0))&amp;"",""))</f>
        <v/>
      </c>
      <c r="N3566" s="19">
        <f>IF(I3566="","",IFERROR(INDEX(ctaMon,MATCH(E3566,ctaNom,0))&amp;"","DOP"))</f>
        <v/>
      </c>
      <c r="O3566" s="20">
        <f>IF(I3566="","",C3566*IF(N3566="USD",TasaUSD,1))</f>
        <v/>
      </c>
      <c r="P3566" s="20">
        <f>IF(I3566="","",IF(I3566="Gasto",O3566,0))</f>
        <v/>
      </c>
      <c r="Q3566" s="20">
        <f>IF(I3566="","",IF(I3566="Ingreso",O3566,0))</f>
        <v/>
      </c>
      <c r="R3566" s="20">
        <f>IF(I3566="","",IF(I3566="Trading",O3566,0))</f>
        <v/>
      </c>
      <c r="S3566" s="19">
        <f>IF(I3566="","",IF(AND(I3566="Gasto",K3566="Variable",J3566&lt;&gt;"Trading",O3566&gt;0,O3566&lt;=Umbral),1,0))</f>
        <v/>
      </c>
      <c r="T3566" s="20">
        <f>IF(OR(I3566="",E3566=""),"",IF(OR(I3566="Gasto",I3566="Transferencia",I3566="Pago tarjeta"),-1,1)*C3566)</f>
        <v/>
      </c>
      <c r="U3566" s="20">
        <f>IF(OR(G3566="",AND(I3566&lt;&gt;"Transferencia",I3566&lt;&gt;"Pago tarjeta")),"",IF(IFERROR(INDEX(ctaMon,MATCH(G3566,ctaNom,0))&amp;"","DOP")=N3566,C3566,IF(N3566="USD",C3566*TasaUSD,C3566/TasaUSD)))</f>
        <v/>
      </c>
      <c r="V3566" s="20">
        <f>IF(I3566="","",IF(IFERROR(INDEX(ctaLiq,MATCH(E3566,ctaNom,0))="Sí",FALSE),IF(OR(I3566="Gasto",I3566="Transferencia",I3566="Pago tarjeta"),-1,1)*O3566,0)+IF(AND(U3566&lt;&gt;"",IFERROR(INDEX(ctaLiq,MATCH(G3566,ctaNom,0))="Sí",FALSE)),O3566,0))</f>
        <v/>
      </c>
      <c r="W3566" s="19">
        <f>IF(OR(F3566="",I3566=""),"",IF(COUNTIFS(F$6:F3566,F3566,I$6:I3566,"?*")=1,MAX(W$5:W3565)+1,""))</f>
        <v/>
      </c>
    </row>
    <row r="3567">
      <c r="B3567" s="15" t="n"/>
      <c r="C3567" s="16" t="n"/>
      <c r="D3567" s="17" t="n"/>
      <c r="E3567" s="17" t="n"/>
      <c r="F3567" s="17" t="n"/>
      <c r="G3567" s="17" t="n"/>
      <c r="H3567" s="18">
        <f>IF(AND(B3567="",C3567="",D3567="",E3567=""),"",IF(B3567="","⚠ Falta fecha",IF(C3567="","⚠ Falta monto",IF(D3567="","⚠ Falta categoría",IF(ISNA(MATCH(D3567,catNom,0)),"⚠ Categoría no existe",IF(E3567="","⚠ Falta cuenta",IF(ISNA(MATCH(E3567,ctaNom,0)),"⚠ Cuenta no existe",IF(AND(OR(I3567="Transferencia",I3567="Pago tarjeta"),G3567=""),"⚠ Indica la cuenta «Hacia»",IF(AND(G3567&lt;&gt;"",G3567=E3567),"⚠ «Hacia» igual a la cuenta",IF(AND(G3567&lt;&gt;"",ISNA(MATCH(G3567,ctaNom,0))),"⚠ «Hacia» no existe",IF(AND(I3567="Pago tarjeta",IFERROR(INDEX(ctaTipo,MATCH(G3567,ctaNom,0)),"")&lt;&gt;"Tarjeta de crédito"),"⚠ «Hacia» debe ser la tarjeta",IF(AND(I3567="Trading",IFERROR(INDEX(ctaTipo,MATCH(E3567,ctaNom,0)),"")&lt;&gt;"Cuenta de trading"),"⚠ Usa la cuenta de trading","✓"))))))))))))</f>
        <v/>
      </c>
      <c r="I3567" s="19">
        <f>IF(OR(B3567="",C3567="",D3567=""),"",IFERROR(INDEX(catTipo,MATCH(D3567,catNom,0))&amp;"",""))</f>
        <v/>
      </c>
      <c r="J3567" s="19">
        <f>IF(I3567="","",IFERROR(INDEX(catGrupo,MATCH(D3567,catNom,0))&amp;"",""))</f>
        <v/>
      </c>
      <c r="K3567" s="19">
        <f>IF(I3567="Gasto",IF(IFERROR(INDEX(catClas,MATCH(D3567,catNom,0))&amp;"","")="","Variable",IFERROR(INDEX(catClas,MATCH(D3567,catNom,0))&amp;"","")),"")</f>
        <v/>
      </c>
      <c r="L3567" s="19">
        <f>IF(I3567="","",IFERROR(INDEX(catAlim,MATCH(D3567,catNom,0))&amp;"",""))</f>
        <v/>
      </c>
      <c r="M3567" s="19">
        <f>IF(I3567="","",IFERROR(INDEX(catComida,MATCH(D3567,catNom,0))&amp;"",""))</f>
        <v/>
      </c>
      <c r="N3567" s="19">
        <f>IF(I3567="","",IFERROR(INDEX(ctaMon,MATCH(E3567,ctaNom,0))&amp;"","DOP"))</f>
        <v/>
      </c>
      <c r="O3567" s="20">
        <f>IF(I3567="","",C3567*IF(N3567="USD",TasaUSD,1))</f>
        <v/>
      </c>
      <c r="P3567" s="20">
        <f>IF(I3567="","",IF(I3567="Gasto",O3567,0))</f>
        <v/>
      </c>
      <c r="Q3567" s="20">
        <f>IF(I3567="","",IF(I3567="Ingreso",O3567,0))</f>
        <v/>
      </c>
      <c r="R3567" s="20">
        <f>IF(I3567="","",IF(I3567="Trading",O3567,0))</f>
        <v/>
      </c>
      <c r="S3567" s="19">
        <f>IF(I3567="","",IF(AND(I3567="Gasto",K3567="Variable",J3567&lt;&gt;"Trading",O3567&gt;0,O3567&lt;=Umbral),1,0))</f>
        <v/>
      </c>
      <c r="T3567" s="20">
        <f>IF(OR(I3567="",E3567=""),"",IF(OR(I3567="Gasto",I3567="Transferencia",I3567="Pago tarjeta"),-1,1)*C3567)</f>
        <v/>
      </c>
      <c r="U3567" s="20">
        <f>IF(OR(G3567="",AND(I3567&lt;&gt;"Transferencia",I3567&lt;&gt;"Pago tarjeta")),"",IF(IFERROR(INDEX(ctaMon,MATCH(G3567,ctaNom,0))&amp;"","DOP")=N3567,C3567,IF(N3567="USD",C3567*TasaUSD,C3567/TasaUSD)))</f>
        <v/>
      </c>
      <c r="V3567" s="20">
        <f>IF(I3567="","",IF(IFERROR(INDEX(ctaLiq,MATCH(E3567,ctaNom,0))="Sí",FALSE),IF(OR(I3567="Gasto",I3567="Transferencia",I3567="Pago tarjeta"),-1,1)*O3567,0)+IF(AND(U3567&lt;&gt;"",IFERROR(INDEX(ctaLiq,MATCH(G3567,ctaNom,0))="Sí",FALSE)),O3567,0))</f>
        <v/>
      </c>
      <c r="W3567" s="19">
        <f>IF(OR(F3567="",I3567=""),"",IF(COUNTIFS(F$6:F3567,F3567,I$6:I3567,"?*")=1,MAX(W$5:W3566)+1,""))</f>
        <v/>
      </c>
    </row>
    <row r="3568">
      <c r="B3568" s="15" t="n"/>
      <c r="C3568" s="16" t="n"/>
      <c r="D3568" s="17" t="n"/>
      <c r="E3568" s="17" t="n"/>
      <c r="F3568" s="17" t="n"/>
      <c r="G3568" s="17" t="n"/>
      <c r="H3568" s="18">
        <f>IF(AND(B3568="",C3568="",D3568="",E3568=""),"",IF(B3568="","⚠ Falta fecha",IF(C3568="","⚠ Falta monto",IF(D3568="","⚠ Falta categoría",IF(ISNA(MATCH(D3568,catNom,0)),"⚠ Categoría no existe",IF(E3568="","⚠ Falta cuenta",IF(ISNA(MATCH(E3568,ctaNom,0)),"⚠ Cuenta no existe",IF(AND(OR(I3568="Transferencia",I3568="Pago tarjeta"),G3568=""),"⚠ Indica la cuenta «Hacia»",IF(AND(G3568&lt;&gt;"",G3568=E3568),"⚠ «Hacia» igual a la cuenta",IF(AND(G3568&lt;&gt;"",ISNA(MATCH(G3568,ctaNom,0))),"⚠ «Hacia» no existe",IF(AND(I3568="Pago tarjeta",IFERROR(INDEX(ctaTipo,MATCH(G3568,ctaNom,0)),"")&lt;&gt;"Tarjeta de crédito"),"⚠ «Hacia» debe ser la tarjeta",IF(AND(I3568="Trading",IFERROR(INDEX(ctaTipo,MATCH(E3568,ctaNom,0)),"")&lt;&gt;"Cuenta de trading"),"⚠ Usa la cuenta de trading","✓"))))))))))))</f>
        <v/>
      </c>
      <c r="I3568" s="19">
        <f>IF(OR(B3568="",C3568="",D3568=""),"",IFERROR(INDEX(catTipo,MATCH(D3568,catNom,0))&amp;"",""))</f>
        <v/>
      </c>
      <c r="J3568" s="19">
        <f>IF(I3568="","",IFERROR(INDEX(catGrupo,MATCH(D3568,catNom,0))&amp;"",""))</f>
        <v/>
      </c>
      <c r="K3568" s="19">
        <f>IF(I3568="Gasto",IF(IFERROR(INDEX(catClas,MATCH(D3568,catNom,0))&amp;"","")="","Variable",IFERROR(INDEX(catClas,MATCH(D3568,catNom,0))&amp;"","")),"")</f>
        <v/>
      </c>
      <c r="L3568" s="19">
        <f>IF(I3568="","",IFERROR(INDEX(catAlim,MATCH(D3568,catNom,0))&amp;"",""))</f>
        <v/>
      </c>
      <c r="M3568" s="19">
        <f>IF(I3568="","",IFERROR(INDEX(catComida,MATCH(D3568,catNom,0))&amp;"",""))</f>
        <v/>
      </c>
      <c r="N3568" s="19">
        <f>IF(I3568="","",IFERROR(INDEX(ctaMon,MATCH(E3568,ctaNom,0))&amp;"","DOP"))</f>
        <v/>
      </c>
      <c r="O3568" s="20">
        <f>IF(I3568="","",C3568*IF(N3568="USD",TasaUSD,1))</f>
        <v/>
      </c>
      <c r="P3568" s="20">
        <f>IF(I3568="","",IF(I3568="Gasto",O3568,0))</f>
        <v/>
      </c>
      <c r="Q3568" s="20">
        <f>IF(I3568="","",IF(I3568="Ingreso",O3568,0))</f>
        <v/>
      </c>
      <c r="R3568" s="20">
        <f>IF(I3568="","",IF(I3568="Trading",O3568,0))</f>
        <v/>
      </c>
      <c r="S3568" s="19">
        <f>IF(I3568="","",IF(AND(I3568="Gasto",K3568="Variable",J3568&lt;&gt;"Trading",O3568&gt;0,O3568&lt;=Umbral),1,0))</f>
        <v/>
      </c>
      <c r="T3568" s="20">
        <f>IF(OR(I3568="",E3568=""),"",IF(OR(I3568="Gasto",I3568="Transferencia",I3568="Pago tarjeta"),-1,1)*C3568)</f>
        <v/>
      </c>
      <c r="U3568" s="20">
        <f>IF(OR(G3568="",AND(I3568&lt;&gt;"Transferencia",I3568&lt;&gt;"Pago tarjeta")),"",IF(IFERROR(INDEX(ctaMon,MATCH(G3568,ctaNom,0))&amp;"","DOP")=N3568,C3568,IF(N3568="USD",C3568*TasaUSD,C3568/TasaUSD)))</f>
        <v/>
      </c>
      <c r="V3568" s="20">
        <f>IF(I3568="","",IF(IFERROR(INDEX(ctaLiq,MATCH(E3568,ctaNom,0))="Sí",FALSE),IF(OR(I3568="Gasto",I3568="Transferencia",I3568="Pago tarjeta"),-1,1)*O3568,0)+IF(AND(U3568&lt;&gt;"",IFERROR(INDEX(ctaLiq,MATCH(G3568,ctaNom,0))="Sí",FALSE)),O3568,0))</f>
        <v/>
      </c>
      <c r="W3568" s="19">
        <f>IF(OR(F3568="",I3568=""),"",IF(COUNTIFS(F$6:F3568,F3568,I$6:I3568,"?*")=1,MAX(W$5:W3567)+1,""))</f>
        <v/>
      </c>
    </row>
    <row r="3569">
      <c r="B3569" s="15" t="n"/>
      <c r="C3569" s="16" t="n"/>
      <c r="D3569" s="17" t="n"/>
      <c r="E3569" s="17" t="n"/>
      <c r="F3569" s="17" t="n"/>
      <c r="G3569" s="17" t="n"/>
      <c r="H3569" s="18">
        <f>IF(AND(B3569="",C3569="",D3569="",E3569=""),"",IF(B3569="","⚠ Falta fecha",IF(C3569="","⚠ Falta monto",IF(D3569="","⚠ Falta categoría",IF(ISNA(MATCH(D3569,catNom,0)),"⚠ Categoría no existe",IF(E3569="","⚠ Falta cuenta",IF(ISNA(MATCH(E3569,ctaNom,0)),"⚠ Cuenta no existe",IF(AND(OR(I3569="Transferencia",I3569="Pago tarjeta"),G3569=""),"⚠ Indica la cuenta «Hacia»",IF(AND(G3569&lt;&gt;"",G3569=E3569),"⚠ «Hacia» igual a la cuenta",IF(AND(G3569&lt;&gt;"",ISNA(MATCH(G3569,ctaNom,0))),"⚠ «Hacia» no existe",IF(AND(I3569="Pago tarjeta",IFERROR(INDEX(ctaTipo,MATCH(G3569,ctaNom,0)),"")&lt;&gt;"Tarjeta de crédito"),"⚠ «Hacia» debe ser la tarjeta",IF(AND(I3569="Trading",IFERROR(INDEX(ctaTipo,MATCH(E3569,ctaNom,0)),"")&lt;&gt;"Cuenta de trading"),"⚠ Usa la cuenta de trading","✓"))))))))))))</f>
        <v/>
      </c>
      <c r="I3569" s="19">
        <f>IF(OR(B3569="",C3569="",D3569=""),"",IFERROR(INDEX(catTipo,MATCH(D3569,catNom,0))&amp;"",""))</f>
        <v/>
      </c>
      <c r="J3569" s="19">
        <f>IF(I3569="","",IFERROR(INDEX(catGrupo,MATCH(D3569,catNom,0))&amp;"",""))</f>
        <v/>
      </c>
      <c r="K3569" s="19">
        <f>IF(I3569="Gasto",IF(IFERROR(INDEX(catClas,MATCH(D3569,catNom,0))&amp;"","")="","Variable",IFERROR(INDEX(catClas,MATCH(D3569,catNom,0))&amp;"","")),"")</f>
        <v/>
      </c>
      <c r="L3569" s="19">
        <f>IF(I3569="","",IFERROR(INDEX(catAlim,MATCH(D3569,catNom,0))&amp;"",""))</f>
        <v/>
      </c>
      <c r="M3569" s="19">
        <f>IF(I3569="","",IFERROR(INDEX(catComida,MATCH(D3569,catNom,0))&amp;"",""))</f>
        <v/>
      </c>
      <c r="N3569" s="19">
        <f>IF(I3569="","",IFERROR(INDEX(ctaMon,MATCH(E3569,ctaNom,0))&amp;"","DOP"))</f>
        <v/>
      </c>
      <c r="O3569" s="20">
        <f>IF(I3569="","",C3569*IF(N3569="USD",TasaUSD,1))</f>
        <v/>
      </c>
      <c r="P3569" s="20">
        <f>IF(I3569="","",IF(I3569="Gasto",O3569,0))</f>
        <v/>
      </c>
      <c r="Q3569" s="20">
        <f>IF(I3569="","",IF(I3569="Ingreso",O3569,0))</f>
        <v/>
      </c>
      <c r="R3569" s="20">
        <f>IF(I3569="","",IF(I3569="Trading",O3569,0))</f>
        <v/>
      </c>
      <c r="S3569" s="19">
        <f>IF(I3569="","",IF(AND(I3569="Gasto",K3569="Variable",J3569&lt;&gt;"Trading",O3569&gt;0,O3569&lt;=Umbral),1,0))</f>
        <v/>
      </c>
      <c r="T3569" s="20">
        <f>IF(OR(I3569="",E3569=""),"",IF(OR(I3569="Gasto",I3569="Transferencia",I3569="Pago tarjeta"),-1,1)*C3569)</f>
        <v/>
      </c>
      <c r="U3569" s="20">
        <f>IF(OR(G3569="",AND(I3569&lt;&gt;"Transferencia",I3569&lt;&gt;"Pago tarjeta")),"",IF(IFERROR(INDEX(ctaMon,MATCH(G3569,ctaNom,0))&amp;"","DOP")=N3569,C3569,IF(N3569="USD",C3569*TasaUSD,C3569/TasaUSD)))</f>
        <v/>
      </c>
      <c r="V3569" s="20">
        <f>IF(I3569="","",IF(IFERROR(INDEX(ctaLiq,MATCH(E3569,ctaNom,0))="Sí",FALSE),IF(OR(I3569="Gasto",I3569="Transferencia",I3569="Pago tarjeta"),-1,1)*O3569,0)+IF(AND(U3569&lt;&gt;"",IFERROR(INDEX(ctaLiq,MATCH(G3569,ctaNom,0))="Sí",FALSE)),O3569,0))</f>
        <v/>
      </c>
      <c r="W3569" s="19">
        <f>IF(OR(F3569="",I3569=""),"",IF(COUNTIFS(F$6:F3569,F3569,I$6:I3569,"?*")=1,MAX(W$5:W3568)+1,""))</f>
        <v/>
      </c>
    </row>
    <row r="3570">
      <c r="B3570" s="15" t="n"/>
      <c r="C3570" s="16" t="n"/>
      <c r="D3570" s="17" t="n"/>
      <c r="E3570" s="17" t="n"/>
      <c r="F3570" s="17" t="n"/>
      <c r="G3570" s="17" t="n"/>
      <c r="H3570" s="18">
        <f>IF(AND(B3570="",C3570="",D3570="",E3570=""),"",IF(B3570="","⚠ Falta fecha",IF(C3570="","⚠ Falta monto",IF(D3570="","⚠ Falta categoría",IF(ISNA(MATCH(D3570,catNom,0)),"⚠ Categoría no existe",IF(E3570="","⚠ Falta cuenta",IF(ISNA(MATCH(E3570,ctaNom,0)),"⚠ Cuenta no existe",IF(AND(OR(I3570="Transferencia",I3570="Pago tarjeta"),G3570=""),"⚠ Indica la cuenta «Hacia»",IF(AND(G3570&lt;&gt;"",G3570=E3570),"⚠ «Hacia» igual a la cuenta",IF(AND(G3570&lt;&gt;"",ISNA(MATCH(G3570,ctaNom,0))),"⚠ «Hacia» no existe",IF(AND(I3570="Pago tarjeta",IFERROR(INDEX(ctaTipo,MATCH(G3570,ctaNom,0)),"")&lt;&gt;"Tarjeta de crédito"),"⚠ «Hacia» debe ser la tarjeta",IF(AND(I3570="Trading",IFERROR(INDEX(ctaTipo,MATCH(E3570,ctaNom,0)),"")&lt;&gt;"Cuenta de trading"),"⚠ Usa la cuenta de trading","✓"))))))))))))</f>
        <v/>
      </c>
      <c r="I3570" s="19">
        <f>IF(OR(B3570="",C3570="",D3570=""),"",IFERROR(INDEX(catTipo,MATCH(D3570,catNom,0))&amp;"",""))</f>
        <v/>
      </c>
      <c r="J3570" s="19">
        <f>IF(I3570="","",IFERROR(INDEX(catGrupo,MATCH(D3570,catNom,0))&amp;"",""))</f>
        <v/>
      </c>
      <c r="K3570" s="19">
        <f>IF(I3570="Gasto",IF(IFERROR(INDEX(catClas,MATCH(D3570,catNom,0))&amp;"","")="","Variable",IFERROR(INDEX(catClas,MATCH(D3570,catNom,0))&amp;"","")),"")</f>
        <v/>
      </c>
      <c r="L3570" s="19">
        <f>IF(I3570="","",IFERROR(INDEX(catAlim,MATCH(D3570,catNom,0))&amp;"",""))</f>
        <v/>
      </c>
      <c r="M3570" s="19">
        <f>IF(I3570="","",IFERROR(INDEX(catComida,MATCH(D3570,catNom,0))&amp;"",""))</f>
        <v/>
      </c>
      <c r="N3570" s="19">
        <f>IF(I3570="","",IFERROR(INDEX(ctaMon,MATCH(E3570,ctaNom,0))&amp;"","DOP"))</f>
        <v/>
      </c>
      <c r="O3570" s="20">
        <f>IF(I3570="","",C3570*IF(N3570="USD",TasaUSD,1))</f>
        <v/>
      </c>
      <c r="P3570" s="20">
        <f>IF(I3570="","",IF(I3570="Gasto",O3570,0))</f>
        <v/>
      </c>
      <c r="Q3570" s="20">
        <f>IF(I3570="","",IF(I3570="Ingreso",O3570,0))</f>
        <v/>
      </c>
      <c r="R3570" s="20">
        <f>IF(I3570="","",IF(I3570="Trading",O3570,0))</f>
        <v/>
      </c>
      <c r="S3570" s="19">
        <f>IF(I3570="","",IF(AND(I3570="Gasto",K3570="Variable",J3570&lt;&gt;"Trading",O3570&gt;0,O3570&lt;=Umbral),1,0))</f>
        <v/>
      </c>
      <c r="T3570" s="20">
        <f>IF(OR(I3570="",E3570=""),"",IF(OR(I3570="Gasto",I3570="Transferencia",I3570="Pago tarjeta"),-1,1)*C3570)</f>
        <v/>
      </c>
      <c r="U3570" s="20">
        <f>IF(OR(G3570="",AND(I3570&lt;&gt;"Transferencia",I3570&lt;&gt;"Pago tarjeta")),"",IF(IFERROR(INDEX(ctaMon,MATCH(G3570,ctaNom,0))&amp;"","DOP")=N3570,C3570,IF(N3570="USD",C3570*TasaUSD,C3570/TasaUSD)))</f>
        <v/>
      </c>
      <c r="V3570" s="20">
        <f>IF(I3570="","",IF(IFERROR(INDEX(ctaLiq,MATCH(E3570,ctaNom,0))="Sí",FALSE),IF(OR(I3570="Gasto",I3570="Transferencia",I3570="Pago tarjeta"),-1,1)*O3570,0)+IF(AND(U3570&lt;&gt;"",IFERROR(INDEX(ctaLiq,MATCH(G3570,ctaNom,0))="Sí",FALSE)),O3570,0))</f>
        <v/>
      </c>
      <c r="W3570" s="19">
        <f>IF(OR(F3570="",I3570=""),"",IF(COUNTIFS(F$6:F3570,F3570,I$6:I3570,"?*")=1,MAX(W$5:W3569)+1,""))</f>
        <v/>
      </c>
    </row>
    <row r="3571">
      <c r="B3571" s="15" t="n"/>
      <c r="C3571" s="16" t="n"/>
      <c r="D3571" s="17" t="n"/>
      <c r="E3571" s="17" t="n"/>
      <c r="F3571" s="17" t="n"/>
      <c r="G3571" s="17" t="n"/>
      <c r="H3571" s="18">
        <f>IF(AND(B3571="",C3571="",D3571="",E3571=""),"",IF(B3571="","⚠ Falta fecha",IF(C3571="","⚠ Falta monto",IF(D3571="","⚠ Falta categoría",IF(ISNA(MATCH(D3571,catNom,0)),"⚠ Categoría no existe",IF(E3571="","⚠ Falta cuenta",IF(ISNA(MATCH(E3571,ctaNom,0)),"⚠ Cuenta no existe",IF(AND(OR(I3571="Transferencia",I3571="Pago tarjeta"),G3571=""),"⚠ Indica la cuenta «Hacia»",IF(AND(G3571&lt;&gt;"",G3571=E3571),"⚠ «Hacia» igual a la cuenta",IF(AND(G3571&lt;&gt;"",ISNA(MATCH(G3571,ctaNom,0))),"⚠ «Hacia» no existe",IF(AND(I3571="Pago tarjeta",IFERROR(INDEX(ctaTipo,MATCH(G3571,ctaNom,0)),"")&lt;&gt;"Tarjeta de crédito"),"⚠ «Hacia» debe ser la tarjeta",IF(AND(I3571="Trading",IFERROR(INDEX(ctaTipo,MATCH(E3571,ctaNom,0)),"")&lt;&gt;"Cuenta de trading"),"⚠ Usa la cuenta de trading","✓"))))))))))))</f>
        <v/>
      </c>
      <c r="I3571" s="19">
        <f>IF(OR(B3571="",C3571="",D3571=""),"",IFERROR(INDEX(catTipo,MATCH(D3571,catNom,0))&amp;"",""))</f>
        <v/>
      </c>
      <c r="J3571" s="19">
        <f>IF(I3571="","",IFERROR(INDEX(catGrupo,MATCH(D3571,catNom,0))&amp;"",""))</f>
        <v/>
      </c>
      <c r="K3571" s="19">
        <f>IF(I3571="Gasto",IF(IFERROR(INDEX(catClas,MATCH(D3571,catNom,0))&amp;"","")="","Variable",IFERROR(INDEX(catClas,MATCH(D3571,catNom,0))&amp;"","")),"")</f>
        <v/>
      </c>
      <c r="L3571" s="19">
        <f>IF(I3571="","",IFERROR(INDEX(catAlim,MATCH(D3571,catNom,0))&amp;"",""))</f>
        <v/>
      </c>
      <c r="M3571" s="19">
        <f>IF(I3571="","",IFERROR(INDEX(catComida,MATCH(D3571,catNom,0))&amp;"",""))</f>
        <v/>
      </c>
      <c r="N3571" s="19">
        <f>IF(I3571="","",IFERROR(INDEX(ctaMon,MATCH(E3571,ctaNom,0))&amp;"","DOP"))</f>
        <v/>
      </c>
      <c r="O3571" s="20">
        <f>IF(I3571="","",C3571*IF(N3571="USD",TasaUSD,1))</f>
        <v/>
      </c>
      <c r="P3571" s="20">
        <f>IF(I3571="","",IF(I3571="Gasto",O3571,0))</f>
        <v/>
      </c>
      <c r="Q3571" s="20">
        <f>IF(I3571="","",IF(I3571="Ingreso",O3571,0))</f>
        <v/>
      </c>
      <c r="R3571" s="20">
        <f>IF(I3571="","",IF(I3571="Trading",O3571,0))</f>
        <v/>
      </c>
      <c r="S3571" s="19">
        <f>IF(I3571="","",IF(AND(I3571="Gasto",K3571="Variable",J3571&lt;&gt;"Trading",O3571&gt;0,O3571&lt;=Umbral),1,0))</f>
        <v/>
      </c>
      <c r="T3571" s="20">
        <f>IF(OR(I3571="",E3571=""),"",IF(OR(I3571="Gasto",I3571="Transferencia",I3571="Pago tarjeta"),-1,1)*C3571)</f>
        <v/>
      </c>
      <c r="U3571" s="20">
        <f>IF(OR(G3571="",AND(I3571&lt;&gt;"Transferencia",I3571&lt;&gt;"Pago tarjeta")),"",IF(IFERROR(INDEX(ctaMon,MATCH(G3571,ctaNom,0))&amp;"","DOP")=N3571,C3571,IF(N3571="USD",C3571*TasaUSD,C3571/TasaUSD)))</f>
        <v/>
      </c>
      <c r="V3571" s="20">
        <f>IF(I3571="","",IF(IFERROR(INDEX(ctaLiq,MATCH(E3571,ctaNom,0))="Sí",FALSE),IF(OR(I3571="Gasto",I3571="Transferencia",I3571="Pago tarjeta"),-1,1)*O3571,0)+IF(AND(U3571&lt;&gt;"",IFERROR(INDEX(ctaLiq,MATCH(G3571,ctaNom,0))="Sí",FALSE)),O3571,0))</f>
        <v/>
      </c>
      <c r="W3571" s="19">
        <f>IF(OR(F3571="",I3571=""),"",IF(COUNTIFS(F$6:F3571,F3571,I$6:I3571,"?*")=1,MAX(W$5:W3570)+1,""))</f>
        <v/>
      </c>
    </row>
    <row r="3572">
      <c r="B3572" s="15" t="n"/>
      <c r="C3572" s="16" t="n"/>
      <c r="D3572" s="17" t="n"/>
      <c r="E3572" s="17" t="n"/>
      <c r="F3572" s="17" t="n"/>
      <c r="G3572" s="17" t="n"/>
      <c r="H3572" s="18">
        <f>IF(AND(B3572="",C3572="",D3572="",E3572=""),"",IF(B3572="","⚠ Falta fecha",IF(C3572="","⚠ Falta monto",IF(D3572="","⚠ Falta categoría",IF(ISNA(MATCH(D3572,catNom,0)),"⚠ Categoría no existe",IF(E3572="","⚠ Falta cuenta",IF(ISNA(MATCH(E3572,ctaNom,0)),"⚠ Cuenta no existe",IF(AND(OR(I3572="Transferencia",I3572="Pago tarjeta"),G3572=""),"⚠ Indica la cuenta «Hacia»",IF(AND(G3572&lt;&gt;"",G3572=E3572),"⚠ «Hacia» igual a la cuenta",IF(AND(G3572&lt;&gt;"",ISNA(MATCH(G3572,ctaNom,0))),"⚠ «Hacia» no existe",IF(AND(I3572="Pago tarjeta",IFERROR(INDEX(ctaTipo,MATCH(G3572,ctaNom,0)),"")&lt;&gt;"Tarjeta de crédito"),"⚠ «Hacia» debe ser la tarjeta",IF(AND(I3572="Trading",IFERROR(INDEX(ctaTipo,MATCH(E3572,ctaNom,0)),"")&lt;&gt;"Cuenta de trading"),"⚠ Usa la cuenta de trading","✓"))))))))))))</f>
        <v/>
      </c>
      <c r="I3572" s="19">
        <f>IF(OR(B3572="",C3572="",D3572=""),"",IFERROR(INDEX(catTipo,MATCH(D3572,catNom,0))&amp;"",""))</f>
        <v/>
      </c>
      <c r="J3572" s="19">
        <f>IF(I3572="","",IFERROR(INDEX(catGrupo,MATCH(D3572,catNom,0))&amp;"",""))</f>
        <v/>
      </c>
      <c r="K3572" s="19">
        <f>IF(I3572="Gasto",IF(IFERROR(INDEX(catClas,MATCH(D3572,catNom,0))&amp;"","")="","Variable",IFERROR(INDEX(catClas,MATCH(D3572,catNom,0))&amp;"","")),"")</f>
        <v/>
      </c>
      <c r="L3572" s="19">
        <f>IF(I3572="","",IFERROR(INDEX(catAlim,MATCH(D3572,catNom,0))&amp;"",""))</f>
        <v/>
      </c>
      <c r="M3572" s="19">
        <f>IF(I3572="","",IFERROR(INDEX(catComida,MATCH(D3572,catNom,0))&amp;"",""))</f>
        <v/>
      </c>
      <c r="N3572" s="19">
        <f>IF(I3572="","",IFERROR(INDEX(ctaMon,MATCH(E3572,ctaNom,0))&amp;"","DOP"))</f>
        <v/>
      </c>
      <c r="O3572" s="20">
        <f>IF(I3572="","",C3572*IF(N3572="USD",TasaUSD,1))</f>
        <v/>
      </c>
      <c r="P3572" s="20">
        <f>IF(I3572="","",IF(I3572="Gasto",O3572,0))</f>
        <v/>
      </c>
      <c r="Q3572" s="20">
        <f>IF(I3572="","",IF(I3572="Ingreso",O3572,0))</f>
        <v/>
      </c>
      <c r="R3572" s="20">
        <f>IF(I3572="","",IF(I3572="Trading",O3572,0))</f>
        <v/>
      </c>
      <c r="S3572" s="19">
        <f>IF(I3572="","",IF(AND(I3572="Gasto",K3572="Variable",J3572&lt;&gt;"Trading",O3572&gt;0,O3572&lt;=Umbral),1,0))</f>
        <v/>
      </c>
      <c r="T3572" s="20">
        <f>IF(OR(I3572="",E3572=""),"",IF(OR(I3572="Gasto",I3572="Transferencia",I3572="Pago tarjeta"),-1,1)*C3572)</f>
        <v/>
      </c>
      <c r="U3572" s="20">
        <f>IF(OR(G3572="",AND(I3572&lt;&gt;"Transferencia",I3572&lt;&gt;"Pago tarjeta")),"",IF(IFERROR(INDEX(ctaMon,MATCH(G3572,ctaNom,0))&amp;"","DOP")=N3572,C3572,IF(N3572="USD",C3572*TasaUSD,C3572/TasaUSD)))</f>
        <v/>
      </c>
      <c r="V3572" s="20">
        <f>IF(I3572="","",IF(IFERROR(INDEX(ctaLiq,MATCH(E3572,ctaNom,0))="Sí",FALSE),IF(OR(I3572="Gasto",I3572="Transferencia",I3572="Pago tarjeta"),-1,1)*O3572,0)+IF(AND(U3572&lt;&gt;"",IFERROR(INDEX(ctaLiq,MATCH(G3572,ctaNom,0))="Sí",FALSE)),O3572,0))</f>
        <v/>
      </c>
      <c r="W3572" s="19">
        <f>IF(OR(F3572="",I3572=""),"",IF(COUNTIFS(F$6:F3572,F3572,I$6:I3572,"?*")=1,MAX(W$5:W3571)+1,""))</f>
        <v/>
      </c>
    </row>
    <row r="3573">
      <c r="B3573" s="15" t="n"/>
      <c r="C3573" s="16" t="n"/>
      <c r="D3573" s="17" t="n"/>
      <c r="E3573" s="17" t="n"/>
      <c r="F3573" s="17" t="n"/>
      <c r="G3573" s="17" t="n"/>
      <c r="H3573" s="18">
        <f>IF(AND(B3573="",C3573="",D3573="",E3573=""),"",IF(B3573="","⚠ Falta fecha",IF(C3573="","⚠ Falta monto",IF(D3573="","⚠ Falta categoría",IF(ISNA(MATCH(D3573,catNom,0)),"⚠ Categoría no existe",IF(E3573="","⚠ Falta cuenta",IF(ISNA(MATCH(E3573,ctaNom,0)),"⚠ Cuenta no existe",IF(AND(OR(I3573="Transferencia",I3573="Pago tarjeta"),G3573=""),"⚠ Indica la cuenta «Hacia»",IF(AND(G3573&lt;&gt;"",G3573=E3573),"⚠ «Hacia» igual a la cuenta",IF(AND(G3573&lt;&gt;"",ISNA(MATCH(G3573,ctaNom,0))),"⚠ «Hacia» no existe",IF(AND(I3573="Pago tarjeta",IFERROR(INDEX(ctaTipo,MATCH(G3573,ctaNom,0)),"")&lt;&gt;"Tarjeta de crédito"),"⚠ «Hacia» debe ser la tarjeta",IF(AND(I3573="Trading",IFERROR(INDEX(ctaTipo,MATCH(E3573,ctaNom,0)),"")&lt;&gt;"Cuenta de trading"),"⚠ Usa la cuenta de trading","✓"))))))))))))</f>
        <v/>
      </c>
      <c r="I3573" s="19">
        <f>IF(OR(B3573="",C3573="",D3573=""),"",IFERROR(INDEX(catTipo,MATCH(D3573,catNom,0))&amp;"",""))</f>
        <v/>
      </c>
      <c r="J3573" s="19">
        <f>IF(I3573="","",IFERROR(INDEX(catGrupo,MATCH(D3573,catNom,0))&amp;"",""))</f>
        <v/>
      </c>
      <c r="K3573" s="19">
        <f>IF(I3573="Gasto",IF(IFERROR(INDEX(catClas,MATCH(D3573,catNom,0))&amp;"","")="","Variable",IFERROR(INDEX(catClas,MATCH(D3573,catNom,0))&amp;"","")),"")</f>
        <v/>
      </c>
      <c r="L3573" s="19">
        <f>IF(I3573="","",IFERROR(INDEX(catAlim,MATCH(D3573,catNom,0))&amp;"",""))</f>
        <v/>
      </c>
      <c r="M3573" s="19">
        <f>IF(I3573="","",IFERROR(INDEX(catComida,MATCH(D3573,catNom,0))&amp;"",""))</f>
        <v/>
      </c>
      <c r="N3573" s="19">
        <f>IF(I3573="","",IFERROR(INDEX(ctaMon,MATCH(E3573,ctaNom,0))&amp;"","DOP"))</f>
        <v/>
      </c>
      <c r="O3573" s="20">
        <f>IF(I3573="","",C3573*IF(N3573="USD",TasaUSD,1))</f>
        <v/>
      </c>
      <c r="P3573" s="20">
        <f>IF(I3573="","",IF(I3573="Gasto",O3573,0))</f>
        <v/>
      </c>
      <c r="Q3573" s="20">
        <f>IF(I3573="","",IF(I3573="Ingreso",O3573,0))</f>
        <v/>
      </c>
      <c r="R3573" s="20">
        <f>IF(I3573="","",IF(I3573="Trading",O3573,0))</f>
        <v/>
      </c>
      <c r="S3573" s="19">
        <f>IF(I3573="","",IF(AND(I3573="Gasto",K3573="Variable",J3573&lt;&gt;"Trading",O3573&gt;0,O3573&lt;=Umbral),1,0))</f>
        <v/>
      </c>
      <c r="T3573" s="20">
        <f>IF(OR(I3573="",E3573=""),"",IF(OR(I3573="Gasto",I3573="Transferencia",I3573="Pago tarjeta"),-1,1)*C3573)</f>
        <v/>
      </c>
      <c r="U3573" s="20">
        <f>IF(OR(G3573="",AND(I3573&lt;&gt;"Transferencia",I3573&lt;&gt;"Pago tarjeta")),"",IF(IFERROR(INDEX(ctaMon,MATCH(G3573,ctaNom,0))&amp;"","DOP")=N3573,C3573,IF(N3573="USD",C3573*TasaUSD,C3573/TasaUSD)))</f>
        <v/>
      </c>
      <c r="V3573" s="20">
        <f>IF(I3573="","",IF(IFERROR(INDEX(ctaLiq,MATCH(E3573,ctaNom,0))="Sí",FALSE),IF(OR(I3573="Gasto",I3573="Transferencia",I3573="Pago tarjeta"),-1,1)*O3573,0)+IF(AND(U3573&lt;&gt;"",IFERROR(INDEX(ctaLiq,MATCH(G3573,ctaNom,0))="Sí",FALSE)),O3573,0))</f>
        <v/>
      </c>
      <c r="W3573" s="19">
        <f>IF(OR(F3573="",I3573=""),"",IF(COUNTIFS(F$6:F3573,F3573,I$6:I3573,"?*")=1,MAX(W$5:W3572)+1,""))</f>
        <v/>
      </c>
    </row>
    <row r="3574">
      <c r="B3574" s="15" t="n"/>
      <c r="C3574" s="16" t="n"/>
      <c r="D3574" s="17" t="n"/>
      <c r="E3574" s="17" t="n"/>
      <c r="F3574" s="17" t="n"/>
      <c r="G3574" s="17" t="n"/>
      <c r="H3574" s="18">
        <f>IF(AND(B3574="",C3574="",D3574="",E3574=""),"",IF(B3574="","⚠ Falta fecha",IF(C3574="","⚠ Falta monto",IF(D3574="","⚠ Falta categoría",IF(ISNA(MATCH(D3574,catNom,0)),"⚠ Categoría no existe",IF(E3574="","⚠ Falta cuenta",IF(ISNA(MATCH(E3574,ctaNom,0)),"⚠ Cuenta no existe",IF(AND(OR(I3574="Transferencia",I3574="Pago tarjeta"),G3574=""),"⚠ Indica la cuenta «Hacia»",IF(AND(G3574&lt;&gt;"",G3574=E3574),"⚠ «Hacia» igual a la cuenta",IF(AND(G3574&lt;&gt;"",ISNA(MATCH(G3574,ctaNom,0))),"⚠ «Hacia» no existe",IF(AND(I3574="Pago tarjeta",IFERROR(INDEX(ctaTipo,MATCH(G3574,ctaNom,0)),"")&lt;&gt;"Tarjeta de crédito"),"⚠ «Hacia» debe ser la tarjeta",IF(AND(I3574="Trading",IFERROR(INDEX(ctaTipo,MATCH(E3574,ctaNom,0)),"")&lt;&gt;"Cuenta de trading"),"⚠ Usa la cuenta de trading","✓"))))))))))))</f>
        <v/>
      </c>
      <c r="I3574" s="19">
        <f>IF(OR(B3574="",C3574="",D3574=""),"",IFERROR(INDEX(catTipo,MATCH(D3574,catNom,0))&amp;"",""))</f>
        <v/>
      </c>
      <c r="J3574" s="19">
        <f>IF(I3574="","",IFERROR(INDEX(catGrupo,MATCH(D3574,catNom,0))&amp;"",""))</f>
        <v/>
      </c>
      <c r="K3574" s="19">
        <f>IF(I3574="Gasto",IF(IFERROR(INDEX(catClas,MATCH(D3574,catNom,0))&amp;"","")="","Variable",IFERROR(INDEX(catClas,MATCH(D3574,catNom,0))&amp;"","")),"")</f>
        <v/>
      </c>
      <c r="L3574" s="19">
        <f>IF(I3574="","",IFERROR(INDEX(catAlim,MATCH(D3574,catNom,0))&amp;"",""))</f>
        <v/>
      </c>
      <c r="M3574" s="19">
        <f>IF(I3574="","",IFERROR(INDEX(catComida,MATCH(D3574,catNom,0))&amp;"",""))</f>
        <v/>
      </c>
      <c r="N3574" s="19">
        <f>IF(I3574="","",IFERROR(INDEX(ctaMon,MATCH(E3574,ctaNom,0))&amp;"","DOP"))</f>
        <v/>
      </c>
      <c r="O3574" s="20">
        <f>IF(I3574="","",C3574*IF(N3574="USD",TasaUSD,1))</f>
        <v/>
      </c>
      <c r="P3574" s="20">
        <f>IF(I3574="","",IF(I3574="Gasto",O3574,0))</f>
        <v/>
      </c>
      <c r="Q3574" s="20">
        <f>IF(I3574="","",IF(I3574="Ingreso",O3574,0))</f>
        <v/>
      </c>
      <c r="R3574" s="20">
        <f>IF(I3574="","",IF(I3574="Trading",O3574,0))</f>
        <v/>
      </c>
      <c r="S3574" s="19">
        <f>IF(I3574="","",IF(AND(I3574="Gasto",K3574="Variable",J3574&lt;&gt;"Trading",O3574&gt;0,O3574&lt;=Umbral),1,0))</f>
        <v/>
      </c>
      <c r="T3574" s="20">
        <f>IF(OR(I3574="",E3574=""),"",IF(OR(I3574="Gasto",I3574="Transferencia",I3574="Pago tarjeta"),-1,1)*C3574)</f>
        <v/>
      </c>
      <c r="U3574" s="20">
        <f>IF(OR(G3574="",AND(I3574&lt;&gt;"Transferencia",I3574&lt;&gt;"Pago tarjeta")),"",IF(IFERROR(INDEX(ctaMon,MATCH(G3574,ctaNom,0))&amp;"","DOP")=N3574,C3574,IF(N3574="USD",C3574*TasaUSD,C3574/TasaUSD)))</f>
        <v/>
      </c>
      <c r="V3574" s="20">
        <f>IF(I3574="","",IF(IFERROR(INDEX(ctaLiq,MATCH(E3574,ctaNom,0))="Sí",FALSE),IF(OR(I3574="Gasto",I3574="Transferencia",I3574="Pago tarjeta"),-1,1)*O3574,0)+IF(AND(U3574&lt;&gt;"",IFERROR(INDEX(ctaLiq,MATCH(G3574,ctaNom,0))="Sí",FALSE)),O3574,0))</f>
        <v/>
      </c>
      <c r="W3574" s="19">
        <f>IF(OR(F3574="",I3574=""),"",IF(COUNTIFS(F$6:F3574,F3574,I$6:I3574,"?*")=1,MAX(W$5:W3573)+1,""))</f>
        <v/>
      </c>
    </row>
    <row r="3575">
      <c r="B3575" s="15" t="n"/>
      <c r="C3575" s="16" t="n"/>
      <c r="D3575" s="17" t="n"/>
      <c r="E3575" s="17" t="n"/>
      <c r="F3575" s="17" t="n"/>
      <c r="G3575" s="17" t="n"/>
      <c r="H3575" s="18">
        <f>IF(AND(B3575="",C3575="",D3575="",E3575=""),"",IF(B3575="","⚠ Falta fecha",IF(C3575="","⚠ Falta monto",IF(D3575="","⚠ Falta categoría",IF(ISNA(MATCH(D3575,catNom,0)),"⚠ Categoría no existe",IF(E3575="","⚠ Falta cuenta",IF(ISNA(MATCH(E3575,ctaNom,0)),"⚠ Cuenta no existe",IF(AND(OR(I3575="Transferencia",I3575="Pago tarjeta"),G3575=""),"⚠ Indica la cuenta «Hacia»",IF(AND(G3575&lt;&gt;"",G3575=E3575),"⚠ «Hacia» igual a la cuenta",IF(AND(G3575&lt;&gt;"",ISNA(MATCH(G3575,ctaNom,0))),"⚠ «Hacia» no existe",IF(AND(I3575="Pago tarjeta",IFERROR(INDEX(ctaTipo,MATCH(G3575,ctaNom,0)),"")&lt;&gt;"Tarjeta de crédito"),"⚠ «Hacia» debe ser la tarjeta",IF(AND(I3575="Trading",IFERROR(INDEX(ctaTipo,MATCH(E3575,ctaNom,0)),"")&lt;&gt;"Cuenta de trading"),"⚠ Usa la cuenta de trading","✓"))))))))))))</f>
        <v/>
      </c>
      <c r="I3575" s="19">
        <f>IF(OR(B3575="",C3575="",D3575=""),"",IFERROR(INDEX(catTipo,MATCH(D3575,catNom,0))&amp;"",""))</f>
        <v/>
      </c>
      <c r="J3575" s="19">
        <f>IF(I3575="","",IFERROR(INDEX(catGrupo,MATCH(D3575,catNom,0))&amp;"",""))</f>
        <v/>
      </c>
      <c r="K3575" s="19">
        <f>IF(I3575="Gasto",IF(IFERROR(INDEX(catClas,MATCH(D3575,catNom,0))&amp;"","")="","Variable",IFERROR(INDEX(catClas,MATCH(D3575,catNom,0))&amp;"","")),"")</f>
        <v/>
      </c>
      <c r="L3575" s="19">
        <f>IF(I3575="","",IFERROR(INDEX(catAlim,MATCH(D3575,catNom,0))&amp;"",""))</f>
        <v/>
      </c>
      <c r="M3575" s="19">
        <f>IF(I3575="","",IFERROR(INDEX(catComida,MATCH(D3575,catNom,0))&amp;"",""))</f>
        <v/>
      </c>
      <c r="N3575" s="19">
        <f>IF(I3575="","",IFERROR(INDEX(ctaMon,MATCH(E3575,ctaNom,0))&amp;"","DOP"))</f>
        <v/>
      </c>
      <c r="O3575" s="20">
        <f>IF(I3575="","",C3575*IF(N3575="USD",TasaUSD,1))</f>
        <v/>
      </c>
      <c r="P3575" s="20">
        <f>IF(I3575="","",IF(I3575="Gasto",O3575,0))</f>
        <v/>
      </c>
      <c r="Q3575" s="20">
        <f>IF(I3575="","",IF(I3575="Ingreso",O3575,0))</f>
        <v/>
      </c>
      <c r="R3575" s="20">
        <f>IF(I3575="","",IF(I3575="Trading",O3575,0))</f>
        <v/>
      </c>
      <c r="S3575" s="19">
        <f>IF(I3575="","",IF(AND(I3575="Gasto",K3575="Variable",J3575&lt;&gt;"Trading",O3575&gt;0,O3575&lt;=Umbral),1,0))</f>
        <v/>
      </c>
      <c r="T3575" s="20">
        <f>IF(OR(I3575="",E3575=""),"",IF(OR(I3575="Gasto",I3575="Transferencia",I3575="Pago tarjeta"),-1,1)*C3575)</f>
        <v/>
      </c>
      <c r="U3575" s="20">
        <f>IF(OR(G3575="",AND(I3575&lt;&gt;"Transferencia",I3575&lt;&gt;"Pago tarjeta")),"",IF(IFERROR(INDEX(ctaMon,MATCH(G3575,ctaNom,0))&amp;"","DOP")=N3575,C3575,IF(N3575="USD",C3575*TasaUSD,C3575/TasaUSD)))</f>
        <v/>
      </c>
      <c r="V3575" s="20">
        <f>IF(I3575="","",IF(IFERROR(INDEX(ctaLiq,MATCH(E3575,ctaNom,0))="Sí",FALSE),IF(OR(I3575="Gasto",I3575="Transferencia",I3575="Pago tarjeta"),-1,1)*O3575,0)+IF(AND(U3575&lt;&gt;"",IFERROR(INDEX(ctaLiq,MATCH(G3575,ctaNom,0))="Sí",FALSE)),O3575,0))</f>
        <v/>
      </c>
      <c r="W3575" s="19">
        <f>IF(OR(F3575="",I3575=""),"",IF(COUNTIFS(F$6:F3575,F3575,I$6:I3575,"?*")=1,MAX(W$5:W3574)+1,""))</f>
        <v/>
      </c>
    </row>
    <row r="3576">
      <c r="B3576" s="15" t="n"/>
      <c r="C3576" s="16" t="n"/>
      <c r="D3576" s="17" t="n"/>
      <c r="E3576" s="17" t="n"/>
      <c r="F3576" s="17" t="n"/>
      <c r="G3576" s="17" t="n"/>
      <c r="H3576" s="18">
        <f>IF(AND(B3576="",C3576="",D3576="",E3576=""),"",IF(B3576="","⚠ Falta fecha",IF(C3576="","⚠ Falta monto",IF(D3576="","⚠ Falta categoría",IF(ISNA(MATCH(D3576,catNom,0)),"⚠ Categoría no existe",IF(E3576="","⚠ Falta cuenta",IF(ISNA(MATCH(E3576,ctaNom,0)),"⚠ Cuenta no existe",IF(AND(OR(I3576="Transferencia",I3576="Pago tarjeta"),G3576=""),"⚠ Indica la cuenta «Hacia»",IF(AND(G3576&lt;&gt;"",G3576=E3576),"⚠ «Hacia» igual a la cuenta",IF(AND(G3576&lt;&gt;"",ISNA(MATCH(G3576,ctaNom,0))),"⚠ «Hacia» no existe",IF(AND(I3576="Pago tarjeta",IFERROR(INDEX(ctaTipo,MATCH(G3576,ctaNom,0)),"")&lt;&gt;"Tarjeta de crédito"),"⚠ «Hacia» debe ser la tarjeta",IF(AND(I3576="Trading",IFERROR(INDEX(ctaTipo,MATCH(E3576,ctaNom,0)),"")&lt;&gt;"Cuenta de trading"),"⚠ Usa la cuenta de trading","✓"))))))))))))</f>
        <v/>
      </c>
      <c r="I3576" s="19">
        <f>IF(OR(B3576="",C3576="",D3576=""),"",IFERROR(INDEX(catTipo,MATCH(D3576,catNom,0))&amp;"",""))</f>
        <v/>
      </c>
      <c r="J3576" s="19">
        <f>IF(I3576="","",IFERROR(INDEX(catGrupo,MATCH(D3576,catNom,0))&amp;"",""))</f>
        <v/>
      </c>
      <c r="K3576" s="19">
        <f>IF(I3576="Gasto",IF(IFERROR(INDEX(catClas,MATCH(D3576,catNom,0))&amp;"","")="","Variable",IFERROR(INDEX(catClas,MATCH(D3576,catNom,0))&amp;"","")),"")</f>
        <v/>
      </c>
      <c r="L3576" s="19">
        <f>IF(I3576="","",IFERROR(INDEX(catAlim,MATCH(D3576,catNom,0))&amp;"",""))</f>
        <v/>
      </c>
      <c r="M3576" s="19">
        <f>IF(I3576="","",IFERROR(INDEX(catComida,MATCH(D3576,catNom,0))&amp;"",""))</f>
        <v/>
      </c>
      <c r="N3576" s="19">
        <f>IF(I3576="","",IFERROR(INDEX(ctaMon,MATCH(E3576,ctaNom,0))&amp;"","DOP"))</f>
        <v/>
      </c>
      <c r="O3576" s="20">
        <f>IF(I3576="","",C3576*IF(N3576="USD",TasaUSD,1))</f>
        <v/>
      </c>
      <c r="P3576" s="20">
        <f>IF(I3576="","",IF(I3576="Gasto",O3576,0))</f>
        <v/>
      </c>
      <c r="Q3576" s="20">
        <f>IF(I3576="","",IF(I3576="Ingreso",O3576,0))</f>
        <v/>
      </c>
      <c r="R3576" s="20">
        <f>IF(I3576="","",IF(I3576="Trading",O3576,0))</f>
        <v/>
      </c>
      <c r="S3576" s="19">
        <f>IF(I3576="","",IF(AND(I3576="Gasto",K3576="Variable",J3576&lt;&gt;"Trading",O3576&gt;0,O3576&lt;=Umbral),1,0))</f>
        <v/>
      </c>
      <c r="T3576" s="20">
        <f>IF(OR(I3576="",E3576=""),"",IF(OR(I3576="Gasto",I3576="Transferencia",I3576="Pago tarjeta"),-1,1)*C3576)</f>
        <v/>
      </c>
      <c r="U3576" s="20">
        <f>IF(OR(G3576="",AND(I3576&lt;&gt;"Transferencia",I3576&lt;&gt;"Pago tarjeta")),"",IF(IFERROR(INDEX(ctaMon,MATCH(G3576,ctaNom,0))&amp;"","DOP")=N3576,C3576,IF(N3576="USD",C3576*TasaUSD,C3576/TasaUSD)))</f>
        <v/>
      </c>
      <c r="V3576" s="20">
        <f>IF(I3576="","",IF(IFERROR(INDEX(ctaLiq,MATCH(E3576,ctaNom,0))="Sí",FALSE),IF(OR(I3576="Gasto",I3576="Transferencia",I3576="Pago tarjeta"),-1,1)*O3576,0)+IF(AND(U3576&lt;&gt;"",IFERROR(INDEX(ctaLiq,MATCH(G3576,ctaNom,0))="Sí",FALSE)),O3576,0))</f>
        <v/>
      </c>
      <c r="W3576" s="19">
        <f>IF(OR(F3576="",I3576=""),"",IF(COUNTIFS(F$6:F3576,F3576,I$6:I3576,"?*")=1,MAX(W$5:W3575)+1,""))</f>
        <v/>
      </c>
    </row>
    <row r="3577">
      <c r="B3577" s="15" t="n"/>
      <c r="C3577" s="16" t="n"/>
      <c r="D3577" s="17" t="n"/>
      <c r="E3577" s="17" t="n"/>
      <c r="F3577" s="17" t="n"/>
      <c r="G3577" s="17" t="n"/>
      <c r="H3577" s="18">
        <f>IF(AND(B3577="",C3577="",D3577="",E3577=""),"",IF(B3577="","⚠ Falta fecha",IF(C3577="","⚠ Falta monto",IF(D3577="","⚠ Falta categoría",IF(ISNA(MATCH(D3577,catNom,0)),"⚠ Categoría no existe",IF(E3577="","⚠ Falta cuenta",IF(ISNA(MATCH(E3577,ctaNom,0)),"⚠ Cuenta no existe",IF(AND(OR(I3577="Transferencia",I3577="Pago tarjeta"),G3577=""),"⚠ Indica la cuenta «Hacia»",IF(AND(G3577&lt;&gt;"",G3577=E3577),"⚠ «Hacia» igual a la cuenta",IF(AND(G3577&lt;&gt;"",ISNA(MATCH(G3577,ctaNom,0))),"⚠ «Hacia» no existe",IF(AND(I3577="Pago tarjeta",IFERROR(INDEX(ctaTipo,MATCH(G3577,ctaNom,0)),"")&lt;&gt;"Tarjeta de crédito"),"⚠ «Hacia» debe ser la tarjeta",IF(AND(I3577="Trading",IFERROR(INDEX(ctaTipo,MATCH(E3577,ctaNom,0)),"")&lt;&gt;"Cuenta de trading"),"⚠ Usa la cuenta de trading","✓"))))))))))))</f>
        <v/>
      </c>
      <c r="I3577" s="19">
        <f>IF(OR(B3577="",C3577="",D3577=""),"",IFERROR(INDEX(catTipo,MATCH(D3577,catNom,0))&amp;"",""))</f>
        <v/>
      </c>
      <c r="J3577" s="19">
        <f>IF(I3577="","",IFERROR(INDEX(catGrupo,MATCH(D3577,catNom,0))&amp;"",""))</f>
        <v/>
      </c>
      <c r="K3577" s="19">
        <f>IF(I3577="Gasto",IF(IFERROR(INDEX(catClas,MATCH(D3577,catNom,0))&amp;"","")="","Variable",IFERROR(INDEX(catClas,MATCH(D3577,catNom,0))&amp;"","")),"")</f>
        <v/>
      </c>
      <c r="L3577" s="19">
        <f>IF(I3577="","",IFERROR(INDEX(catAlim,MATCH(D3577,catNom,0))&amp;"",""))</f>
        <v/>
      </c>
      <c r="M3577" s="19">
        <f>IF(I3577="","",IFERROR(INDEX(catComida,MATCH(D3577,catNom,0))&amp;"",""))</f>
        <v/>
      </c>
      <c r="N3577" s="19">
        <f>IF(I3577="","",IFERROR(INDEX(ctaMon,MATCH(E3577,ctaNom,0))&amp;"","DOP"))</f>
        <v/>
      </c>
      <c r="O3577" s="20">
        <f>IF(I3577="","",C3577*IF(N3577="USD",TasaUSD,1))</f>
        <v/>
      </c>
      <c r="P3577" s="20">
        <f>IF(I3577="","",IF(I3577="Gasto",O3577,0))</f>
        <v/>
      </c>
      <c r="Q3577" s="20">
        <f>IF(I3577="","",IF(I3577="Ingreso",O3577,0))</f>
        <v/>
      </c>
      <c r="R3577" s="20">
        <f>IF(I3577="","",IF(I3577="Trading",O3577,0))</f>
        <v/>
      </c>
      <c r="S3577" s="19">
        <f>IF(I3577="","",IF(AND(I3577="Gasto",K3577="Variable",J3577&lt;&gt;"Trading",O3577&gt;0,O3577&lt;=Umbral),1,0))</f>
        <v/>
      </c>
      <c r="T3577" s="20">
        <f>IF(OR(I3577="",E3577=""),"",IF(OR(I3577="Gasto",I3577="Transferencia",I3577="Pago tarjeta"),-1,1)*C3577)</f>
        <v/>
      </c>
      <c r="U3577" s="20">
        <f>IF(OR(G3577="",AND(I3577&lt;&gt;"Transferencia",I3577&lt;&gt;"Pago tarjeta")),"",IF(IFERROR(INDEX(ctaMon,MATCH(G3577,ctaNom,0))&amp;"","DOP")=N3577,C3577,IF(N3577="USD",C3577*TasaUSD,C3577/TasaUSD)))</f>
        <v/>
      </c>
      <c r="V3577" s="20">
        <f>IF(I3577="","",IF(IFERROR(INDEX(ctaLiq,MATCH(E3577,ctaNom,0))="Sí",FALSE),IF(OR(I3577="Gasto",I3577="Transferencia",I3577="Pago tarjeta"),-1,1)*O3577,0)+IF(AND(U3577&lt;&gt;"",IFERROR(INDEX(ctaLiq,MATCH(G3577,ctaNom,0))="Sí",FALSE)),O3577,0))</f>
        <v/>
      </c>
      <c r="W3577" s="19">
        <f>IF(OR(F3577="",I3577=""),"",IF(COUNTIFS(F$6:F3577,F3577,I$6:I3577,"?*")=1,MAX(W$5:W3576)+1,""))</f>
        <v/>
      </c>
    </row>
    <row r="3578">
      <c r="B3578" s="15" t="n"/>
      <c r="C3578" s="16" t="n"/>
      <c r="D3578" s="17" t="n"/>
      <c r="E3578" s="17" t="n"/>
      <c r="F3578" s="17" t="n"/>
      <c r="G3578" s="17" t="n"/>
      <c r="H3578" s="18">
        <f>IF(AND(B3578="",C3578="",D3578="",E3578=""),"",IF(B3578="","⚠ Falta fecha",IF(C3578="","⚠ Falta monto",IF(D3578="","⚠ Falta categoría",IF(ISNA(MATCH(D3578,catNom,0)),"⚠ Categoría no existe",IF(E3578="","⚠ Falta cuenta",IF(ISNA(MATCH(E3578,ctaNom,0)),"⚠ Cuenta no existe",IF(AND(OR(I3578="Transferencia",I3578="Pago tarjeta"),G3578=""),"⚠ Indica la cuenta «Hacia»",IF(AND(G3578&lt;&gt;"",G3578=E3578),"⚠ «Hacia» igual a la cuenta",IF(AND(G3578&lt;&gt;"",ISNA(MATCH(G3578,ctaNom,0))),"⚠ «Hacia» no existe",IF(AND(I3578="Pago tarjeta",IFERROR(INDEX(ctaTipo,MATCH(G3578,ctaNom,0)),"")&lt;&gt;"Tarjeta de crédito"),"⚠ «Hacia» debe ser la tarjeta",IF(AND(I3578="Trading",IFERROR(INDEX(ctaTipo,MATCH(E3578,ctaNom,0)),"")&lt;&gt;"Cuenta de trading"),"⚠ Usa la cuenta de trading","✓"))))))))))))</f>
        <v/>
      </c>
      <c r="I3578" s="19">
        <f>IF(OR(B3578="",C3578="",D3578=""),"",IFERROR(INDEX(catTipo,MATCH(D3578,catNom,0))&amp;"",""))</f>
        <v/>
      </c>
      <c r="J3578" s="19">
        <f>IF(I3578="","",IFERROR(INDEX(catGrupo,MATCH(D3578,catNom,0))&amp;"",""))</f>
        <v/>
      </c>
      <c r="K3578" s="19">
        <f>IF(I3578="Gasto",IF(IFERROR(INDEX(catClas,MATCH(D3578,catNom,0))&amp;"","")="","Variable",IFERROR(INDEX(catClas,MATCH(D3578,catNom,0))&amp;"","")),"")</f>
        <v/>
      </c>
      <c r="L3578" s="19">
        <f>IF(I3578="","",IFERROR(INDEX(catAlim,MATCH(D3578,catNom,0))&amp;"",""))</f>
        <v/>
      </c>
      <c r="M3578" s="19">
        <f>IF(I3578="","",IFERROR(INDEX(catComida,MATCH(D3578,catNom,0))&amp;"",""))</f>
        <v/>
      </c>
      <c r="N3578" s="19">
        <f>IF(I3578="","",IFERROR(INDEX(ctaMon,MATCH(E3578,ctaNom,0))&amp;"","DOP"))</f>
        <v/>
      </c>
      <c r="O3578" s="20">
        <f>IF(I3578="","",C3578*IF(N3578="USD",TasaUSD,1))</f>
        <v/>
      </c>
      <c r="P3578" s="20">
        <f>IF(I3578="","",IF(I3578="Gasto",O3578,0))</f>
        <v/>
      </c>
      <c r="Q3578" s="20">
        <f>IF(I3578="","",IF(I3578="Ingreso",O3578,0))</f>
        <v/>
      </c>
      <c r="R3578" s="20">
        <f>IF(I3578="","",IF(I3578="Trading",O3578,0))</f>
        <v/>
      </c>
      <c r="S3578" s="19">
        <f>IF(I3578="","",IF(AND(I3578="Gasto",K3578="Variable",J3578&lt;&gt;"Trading",O3578&gt;0,O3578&lt;=Umbral),1,0))</f>
        <v/>
      </c>
      <c r="T3578" s="20">
        <f>IF(OR(I3578="",E3578=""),"",IF(OR(I3578="Gasto",I3578="Transferencia",I3578="Pago tarjeta"),-1,1)*C3578)</f>
        <v/>
      </c>
      <c r="U3578" s="20">
        <f>IF(OR(G3578="",AND(I3578&lt;&gt;"Transferencia",I3578&lt;&gt;"Pago tarjeta")),"",IF(IFERROR(INDEX(ctaMon,MATCH(G3578,ctaNom,0))&amp;"","DOP")=N3578,C3578,IF(N3578="USD",C3578*TasaUSD,C3578/TasaUSD)))</f>
        <v/>
      </c>
      <c r="V3578" s="20">
        <f>IF(I3578="","",IF(IFERROR(INDEX(ctaLiq,MATCH(E3578,ctaNom,0))="Sí",FALSE),IF(OR(I3578="Gasto",I3578="Transferencia",I3578="Pago tarjeta"),-1,1)*O3578,0)+IF(AND(U3578&lt;&gt;"",IFERROR(INDEX(ctaLiq,MATCH(G3578,ctaNom,0))="Sí",FALSE)),O3578,0))</f>
        <v/>
      </c>
      <c r="W3578" s="19">
        <f>IF(OR(F3578="",I3578=""),"",IF(COUNTIFS(F$6:F3578,F3578,I$6:I3578,"?*")=1,MAX(W$5:W3577)+1,""))</f>
        <v/>
      </c>
    </row>
    <row r="3579">
      <c r="B3579" s="15" t="n"/>
      <c r="C3579" s="16" t="n"/>
      <c r="D3579" s="17" t="n"/>
      <c r="E3579" s="17" t="n"/>
      <c r="F3579" s="17" t="n"/>
      <c r="G3579" s="17" t="n"/>
      <c r="H3579" s="18">
        <f>IF(AND(B3579="",C3579="",D3579="",E3579=""),"",IF(B3579="","⚠ Falta fecha",IF(C3579="","⚠ Falta monto",IF(D3579="","⚠ Falta categoría",IF(ISNA(MATCH(D3579,catNom,0)),"⚠ Categoría no existe",IF(E3579="","⚠ Falta cuenta",IF(ISNA(MATCH(E3579,ctaNom,0)),"⚠ Cuenta no existe",IF(AND(OR(I3579="Transferencia",I3579="Pago tarjeta"),G3579=""),"⚠ Indica la cuenta «Hacia»",IF(AND(G3579&lt;&gt;"",G3579=E3579),"⚠ «Hacia» igual a la cuenta",IF(AND(G3579&lt;&gt;"",ISNA(MATCH(G3579,ctaNom,0))),"⚠ «Hacia» no existe",IF(AND(I3579="Pago tarjeta",IFERROR(INDEX(ctaTipo,MATCH(G3579,ctaNom,0)),"")&lt;&gt;"Tarjeta de crédito"),"⚠ «Hacia» debe ser la tarjeta",IF(AND(I3579="Trading",IFERROR(INDEX(ctaTipo,MATCH(E3579,ctaNom,0)),"")&lt;&gt;"Cuenta de trading"),"⚠ Usa la cuenta de trading","✓"))))))))))))</f>
        <v/>
      </c>
      <c r="I3579" s="19">
        <f>IF(OR(B3579="",C3579="",D3579=""),"",IFERROR(INDEX(catTipo,MATCH(D3579,catNom,0))&amp;"",""))</f>
        <v/>
      </c>
      <c r="J3579" s="19">
        <f>IF(I3579="","",IFERROR(INDEX(catGrupo,MATCH(D3579,catNom,0))&amp;"",""))</f>
        <v/>
      </c>
      <c r="K3579" s="19">
        <f>IF(I3579="Gasto",IF(IFERROR(INDEX(catClas,MATCH(D3579,catNom,0))&amp;"","")="","Variable",IFERROR(INDEX(catClas,MATCH(D3579,catNom,0))&amp;"","")),"")</f>
        <v/>
      </c>
      <c r="L3579" s="19">
        <f>IF(I3579="","",IFERROR(INDEX(catAlim,MATCH(D3579,catNom,0))&amp;"",""))</f>
        <v/>
      </c>
      <c r="M3579" s="19">
        <f>IF(I3579="","",IFERROR(INDEX(catComida,MATCH(D3579,catNom,0))&amp;"",""))</f>
        <v/>
      </c>
      <c r="N3579" s="19">
        <f>IF(I3579="","",IFERROR(INDEX(ctaMon,MATCH(E3579,ctaNom,0))&amp;"","DOP"))</f>
        <v/>
      </c>
      <c r="O3579" s="20">
        <f>IF(I3579="","",C3579*IF(N3579="USD",TasaUSD,1))</f>
        <v/>
      </c>
      <c r="P3579" s="20">
        <f>IF(I3579="","",IF(I3579="Gasto",O3579,0))</f>
        <v/>
      </c>
      <c r="Q3579" s="20">
        <f>IF(I3579="","",IF(I3579="Ingreso",O3579,0))</f>
        <v/>
      </c>
      <c r="R3579" s="20">
        <f>IF(I3579="","",IF(I3579="Trading",O3579,0))</f>
        <v/>
      </c>
      <c r="S3579" s="19">
        <f>IF(I3579="","",IF(AND(I3579="Gasto",K3579="Variable",J3579&lt;&gt;"Trading",O3579&gt;0,O3579&lt;=Umbral),1,0))</f>
        <v/>
      </c>
      <c r="T3579" s="20">
        <f>IF(OR(I3579="",E3579=""),"",IF(OR(I3579="Gasto",I3579="Transferencia",I3579="Pago tarjeta"),-1,1)*C3579)</f>
        <v/>
      </c>
      <c r="U3579" s="20">
        <f>IF(OR(G3579="",AND(I3579&lt;&gt;"Transferencia",I3579&lt;&gt;"Pago tarjeta")),"",IF(IFERROR(INDEX(ctaMon,MATCH(G3579,ctaNom,0))&amp;"","DOP")=N3579,C3579,IF(N3579="USD",C3579*TasaUSD,C3579/TasaUSD)))</f>
        <v/>
      </c>
      <c r="V3579" s="20">
        <f>IF(I3579="","",IF(IFERROR(INDEX(ctaLiq,MATCH(E3579,ctaNom,0))="Sí",FALSE),IF(OR(I3579="Gasto",I3579="Transferencia",I3579="Pago tarjeta"),-1,1)*O3579,0)+IF(AND(U3579&lt;&gt;"",IFERROR(INDEX(ctaLiq,MATCH(G3579,ctaNom,0))="Sí",FALSE)),O3579,0))</f>
        <v/>
      </c>
      <c r="W3579" s="19">
        <f>IF(OR(F3579="",I3579=""),"",IF(COUNTIFS(F$6:F3579,F3579,I$6:I3579,"?*")=1,MAX(W$5:W3578)+1,""))</f>
        <v/>
      </c>
    </row>
    <row r="3580">
      <c r="B3580" s="15" t="n"/>
      <c r="C3580" s="16" t="n"/>
      <c r="D3580" s="17" t="n"/>
      <c r="E3580" s="17" t="n"/>
      <c r="F3580" s="17" t="n"/>
      <c r="G3580" s="17" t="n"/>
      <c r="H3580" s="18">
        <f>IF(AND(B3580="",C3580="",D3580="",E3580=""),"",IF(B3580="","⚠ Falta fecha",IF(C3580="","⚠ Falta monto",IF(D3580="","⚠ Falta categoría",IF(ISNA(MATCH(D3580,catNom,0)),"⚠ Categoría no existe",IF(E3580="","⚠ Falta cuenta",IF(ISNA(MATCH(E3580,ctaNom,0)),"⚠ Cuenta no existe",IF(AND(OR(I3580="Transferencia",I3580="Pago tarjeta"),G3580=""),"⚠ Indica la cuenta «Hacia»",IF(AND(G3580&lt;&gt;"",G3580=E3580),"⚠ «Hacia» igual a la cuenta",IF(AND(G3580&lt;&gt;"",ISNA(MATCH(G3580,ctaNom,0))),"⚠ «Hacia» no existe",IF(AND(I3580="Pago tarjeta",IFERROR(INDEX(ctaTipo,MATCH(G3580,ctaNom,0)),"")&lt;&gt;"Tarjeta de crédito"),"⚠ «Hacia» debe ser la tarjeta",IF(AND(I3580="Trading",IFERROR(INDEX(ctaTipo,MATCH(E3580,ctaNom,0)),"")&lt;&gt;"Cuenta de trading"),"⚠ Usa la cuenta de trading","✓"))))))))))))</f>
        <v/>
      </c>
      <c r="I3580" s="19">
        <f>IF(OR(B3580="",C3580="",D3580=""),"",IFERROR(INDEX(catTipo,MATCH(D3580,catNom,0))&amp;"",""))</f>
        <v/>
      </c>
      <c r="J3580" s="19">
        <f>IF(I3580="","",IFERROR(INDEX(catGrupo,MATCH(D3580,catNom,0))&amp;"",""))</f>
        <v/>
      </c>
      <c r="K3580" s="19">
        <f>IF(I3580="Gasto",IF(IFERROR(INDEX(catClas,MATCH(D3580,catNom,0))&amp;"","")="","Variable",IFERROR(INDEX(catClas,MATCH(D3580,catNom,0))&amp;"","")),"")</f>
        <v/>
      </c>
      <c r="L3580" s="19">
        <f>IF(I3580="","",IFERROR(INDEX(catAlim,MATCH(D3580,catNom,0))&amp;"",""))</f>
        <v/>
      </c>
      <c r="M3580" s="19">
        <f>IF(I3580="","",IFERROR(INDEX(catComida,MATCH(D3580,catNom,0))&amp;"",""))</f>
        <v/>
      </c>
      <c r="N3580" s="19">
        <f>IF(I3580="","",IFERROR(INDEX(ctaMon,MATCH(E3580,ctaNom,0))&amp;"","DOP"))</f>
        <v/>
      </c>
      <c r="O3580" s="20">
        <f>IF(I3580="","",C3580*IF(N3580="USD",TasaUSD,1))</f>
        <v/>
      </c>
      <c r="P3580" s="20">
        <f>IF(I3580="","",IF(I3580="Gasto",O3580,0))</f>
        <v/>
      </c>
      <c r="Q3580" s="20">
        <f>IF(I3580="","",IF(I3580="Ingreso",O3580,0))</f>
        <v/>
      </c>
      <c r="R3580" s="20">
        <f>IF(I3580="","",IF(I3580="Trading",O3580,0))</f>
        <v/>
      </c>
      <c r="S3580" s="19">
        <f>IF(I3580="","",IF(AND(I3580="Gasto",K3580="Variable",J3580&lt;&gt;"Trading",O3580&gt;0,O3580&lt;=Umbral),1,0))</f>
        <v/>
      </c>
      <c r="T3580" s="20">
        <f>IF(OR(I3580="",E3580=""),"",IF(OR(I3580="Gasto",I3580="Transferencia",I3580="Pago tarjeta"),-1,1)*C3580)</f>
        <v/>
      </c>
      <c r="U3580" s="20">
        <f>IF(OR(G3580="",AND(I3580&lt;&gt;"Transferencia",I3580&lt;&gt;"Pago tarjeta")),"",IF(IFERROR(INDEX(ctaMon,MATCH(G3580,ctaNom,0))&amp;"","DOP")=N3580,C3580,IF(N3580="USD",C3580*TasaUSD,C3580/TasaUSD)))</f>
        <v/>
      </c>
      <c r="V3580" s="20">
        <f>IF(I3580="","",IF(IFERROR(INDEX(ctaLiq,MATCH(E3580,ctaNom,0))="Sí",FALSE),IF(OR(I3580="Gasto",I3580="Transferencia",I3580="Pago tarjeta"),-1,1)*O3580,0)+IF(AND(U3580&lt;&gt;"",IFERROR(INDEX(ctaLiq,MATCH(G3580,ctaNom,0))="Sí",FALSE)),O3580,0))</f>
        <v/>
      </c>
      <c r="W3580" s="19">
        <f>IF(OR(F3580="",I3580=""),"",IF(COUNTIFS(F$6:F3580,F3580,I$6:I3580,"?*")=1,MAX(W$5:W3579)+1,""))</f>
        <v/>
      </c>
    </row>
    <row r="3581">
      <c r="B3581" s="15" t="n"/>
      <c r="C3581" s="16" t="n"/>
      <c r="D3581" s="17" t="n"/>
      <c r="E3581" s="17" t="n"/>
      <c r="F3581" s="17" t="n"/>
      <c r="G3581" s="17" t="n"/>
      <c r="H3581" s="18">
        <f>IF(AND(B3581="",C3581="",D3581="",E3581=""),"",IF(B3581="","⚠ Falta fecha",IF(C3581="","⚠ Falta monto",IF(D3581="","⚠ Falta categoría",IF(ISNA(MATCH(D3581,catNom,0)),"⚠ Categoría no existe",IF(E3581="","⚠ Falta cuenta",IF(ISNA(MATCH(E3581,ctaNom,0)),"⚠ Cuenta no existe",IF(AND(OR(I3581="Transferencia",I3581="Pago tarjeta"),G3581=""),"⚠ Indica la cuenta «Hacia»",IF(AND(G3581&lt;&gt;"",G3581=E3581),"⚠ «Hacia» igual a la cuenta",IF(AND(G3581&lt;&gt;"",ISNA(MATCH(G3581,ctaNom,0))),"⚠ «Hacia» no existe",IF(AND(I3581="Pago tarjeta",IFERROR(INDEX(ctaTipo,MATCH(G3581,ctaNom,0)),"")&lt;&gt;"Tarjeta de crédito"),"⚠ «Hacia» debe ser la tarjeta",IF(AND(I3581="Trading",IFERROR(INDEX(ctaTipo,MATCH(E3581,ctaNom,0)),"")&lt;&gt;"Cuenta de trading"),"⚠ Usa la cuenta de trading","✓"))))))))))))</f>
        <v/>
      </c>
      <c r="I3581" s="19">
        <f>IF(OR(B3581="",C3581="",D3581=""),"",IFERROR(INDEX(catTipo,MATCH(D3581,catNom,0))&amp;"",""))</f>
        <v/>
      </c>
      <c r="J3581" s="19">
        <f>IF(I3581="","",IFERROR(INDEX(catGrupo,MATCH(D3581,catNom,0))&amp;"",""))</f>
        <v/>
      </c>
      <c r="K3581" s="19">
        <f>IF(I3581="Gasto",IF(IFERROR(INDEX(catClas,MATCH(D3581,catNom,0))&amp;"","")="","Variable",IFERROR(INDEX(catClas,MATCH(D3581,catNom,0))&amp;"","")),"")</f>
        <v/>
      </c>
      <c r="L3581" s="19">
        <f>IF(I3581="","",IFERROR(INDEX(catAlim,MATCH(D3581,catNom,0))&amp;"",""))</f>
        <v/>
      </c>
      <c r="M3581" s="19">
        <f>IF(I3581="","",IFERROR(INDEX(catComida,MATCH(D3581,catNom,0))&amp;"",""))</f>
        <v/>
      </c>
      <c r="N3581" s="19">
        <f>IF(I3581="","",IFERROR(INDEX(ctaMon,MATCH(E3581,ctaNom,0))&amp;"","DOP"))</f>
        <v/>
      </c>
      <c r="O3581" s="20">
        <f>IF(I3581="","",C3581*IF(N3581="USD",TasaUSD,1))</f>
        <v/>
      </c>
      <c r="P3581" s="20">
        <f>IF(I3581="","",IF(I3581="Gasto",O3581,0))</f>
        <v/>
      </c>
      <c r="Q3581" s="20">
        <f>IF(I3581="","",IF(I3581="Ingreso",O3581,0))</f>
        <v/>
      </c>
      <c r="R3581" s="20">
        <f>IF(I3581="","",IF(I3581="Trading",O3581,0))</f>
        <v/>
      </c>
      <c r="S3581" s="19">
        <f>IF(I3581="","",IF(AND(I3581="Gasto",K3581="Variable",J3581&lt;&gt;"Trading",O3581&gt;0,O3581&lt;=Umbral),1,0))</f>
        <v/>
      </c>
      <c r="T3581" s="20">
        <f>IF(OR(I3581="",E3581=""),"",IF(OR(I3581="Gasto",I3581="Transferencia",I3581="Pago tarjeta"),-1,1)*C3581)</f>
        <v/>
      </c>
      <c r="U3581" s="20">
        <f>IF(OR(G3581="",AND(I3581&lt;&gt;"Transferencia",I3581&lt;&gt;"Pago tarjeta")),"",IF(IFERROR(INDEX(ctaMon,MATCH(G3581,ctaNom,0))&amp;"","DOP")=N3581,C3581,IF(N3581="USD",C3581*TasaUSD,C3581/TasaUSD)))</f>
        <v/>
      </c>
      <c r="V3581" s="20">
        <f>IF(I3581="","",IF(IFERROR(INDEX(ctaLiq,MATCH(E3581,ctaNom,0))="Sí",FALSE),IF(OR(I3581="Gasto",I3581="Transferencia",I3581="Pago tarjeta"),-1,1)*O3581,0)+IF(AND(U3581&lt;&gt;"",IFERROR(INDEX(ctaLiq,MATCH(G3581,ctaNom,0))="Sí",FALSE)),O3581,0))</f>
        <v/>
      </c>
      <c r="W3581" s="19">
        <f>IF(OR(F3581="",I3581=""),"",IF(COUNTIFS(F$6:F3581,F3581,I$6:I3581,"?*")=1,MAX(W$5:W3580)+1,""))</f>
        <v/>
      </c>
    </row>
    <row r="3582">
      <c r="B3582" s="15" t="n"/>
      <c r="C3582" s="16" t="n"/>
      <c r="D3582" s="17" t="n"/>
      <c r="E3582" s="17" t="n"/>
      <c r="F3582" s="17" t="n"/>
      <c r="G3582" s="17" t="n"/>
      <c r="H3582" s="18">
        <f>IF(AND(B3582="",C3582="",D3582="",E3582=""),"",IF(B3582="","⚠ Falta fecha",IF(C3582="","⚠ Falta monto",IF(D3582="","⚠ Falta categoría",IF(ISNA(MATCH(D3582,catNom,0)),"⚠ Categoría no existe",IF(E3582="","⚠ Falta cuenta",IF(ISNA(MATCH(E3582,ctaNom,0)),"⚠ Cuenta no existe",IF(AND(OR(I3582="Transferencia",I3582="Pago tarjeta"),G3582=""),"⚠ Indica la cuenta «Hacia»",IF(AND(G3582&lt;&gt;"",G3582=E3582),"⚠ «Hacia» igual a la cuenta",IF(AND(G3582&lt;&gt;"",ISNA(MATCH(G3582,ctaNom,0))),"⚠ «Hacia» no existe",IF(AND(I3582="Pago tarjeta",IFERROR(INDEX(ctaTipo,MATCH(G3582,ctaNom,0)),"")&lt;&gt;"Tarjeta de crédito"),"⚠ «Hacia» debe ser la tarjeta",IF(AND(I3582="Trading",IFERROR(INDEX(ctaTipo,MATCH(E3582,ctaNom,0)),"")&lt;&gt;"Cuenta de trading"),"⚠ Usa la cuenta de trading","✓"))))))))))))</f>
        <v/>
      </c>
      <c r="I3582" s="19">
        <f>IF(OR(B3582="",C3582="",D3582=""),"",IFERROR(INDEX(catTipo,MATCH(D3582,catNom,0))&amp;"",""))</f>
        <v/>
      </c>
      <c r="J3582" s="19">
        <f>IF(I3582="","",IFERROR(INDEX(catGrupo,MATCH(D3582,catNom,0))&amp;"",""))</f>
        <v/>
      </c>
      <c r="K3582" s="19">
        <f>IF(I3582="Gasto",IF(IFERROR(INDEX(catClas,MATCH(D3582,catNom,0))&amp;"","")="","Variable",IFERROR(INDEX(catClas,MATCH(D3582,catNom,0))&amp;"","")),"")</f>
        <v/>
      </c>
      <c r="L3582" s="19">
        <f>IF(I3582="","",IFERROR(INDEX(catAlim,MATCH(D3582,catNom,0))&amp;"",""))</f>
        <v/>
      </c>
      <c r="M3582" s="19">
        <f>IF(I3582="","",IFERROR(INDEX(catComida,MATCH(D3582,catNom,0))&amp;"",""))</f>
        <v/>
      </c>
      <c r="N3582" s="19">
        <f>IF(I3582="","",IFERROR(INDEX(ctaMon,MATCH(E3582,ctaNom,0))&amp;"","DOP"))</f>
        <v/>
      </c>
      <c r="O3582" s="20">
        <f>IF(I3582="","",C3582*IF(N3582="USD",TasaUSD,1))</f>
        <v/>
      </c>
      <c r="P3582" s="20">
        <f>IF(I3582="","",IF(I3582="Gasto",O3582,0))</f>
        <v/>
      </c>
      <c r="Q3582" s="20">
        <f>IF(I3582="","",IF(I3582="Ingreso",O3582,0))</f>
        <v/>
      </c>
      <c r="R3582" s="20">
        <f>IF(I3582="","",IF(I3582="Trading",O3582,0))</f>
        <v/>
      </c>
      <c r="S3582" s="19">
        <f>IF(I3582="","",IF(AND(I3582="Gasto",K3582="Variable",J3582&lt;&gt;"Trading",O3582&gt;0,O3582&lt;=Umbral),1,0))</f>
        <v/>
      </c>
      <c r="T3582" s="20">
        <f>IF(OR(I3582="",E3582=""),"",IF(OR(I3582="Gasto",I3582="Transferencia",I3582="Pago tarjeta"),-1,1)*C3582)</f>
        <v/>
      </c>
      <c r="U3582" s="20">
        <f>IF(OR(G3582="",AND(I3582&lt;&gt;"Transferencia",I3582&lt;&gt;"Pago tarjeta")),"",IF(IFERROR(INDEX(ctaMon,MATCH(G3582,ctaNom,0))&amp;"","DOP")=N3582,C3582,IF(N3582="USD",C3582*TasaUSD,C3582/TasaUSD)))</f>
        <v/>
      </c>
      <c r="V3582" s="20">
        <f>IF(I3582="","",IF(IFERROR(INDEX(ctaLiq,MATCH(E3582,ctaNom,0))="Sí",FALSE),IF(OR(I3582="Gasto",I3582="Transferencia",I3582="Pago tarjeta"),-1,1)*O3582,0)+IF(AND(U3582&lt;&gt;"",IFERROR(INDEX(ctaLiq,MATCH(G3582,ctaNom,0))="Sí",FALSE)),O3582,0))</f>
        <v/>
      </c>
      <c r="W3582" s="19">
        <f>IF(OR(F3582="",I3582=""),"",IF(COUNTIFS(F$6:F3582,F3582,I$6:I3582,"?*")=1,MAX(W$5:W3581)+1,""))</f>
        <v/>
      </c>
    </row>
    <row r="3583">
      <c r="B3583" s="15" t="n"/>
      <c r="C3583" s="16" t="n"/>
      <c r="D3583" s="17" t="n"/>
      <c r="E3583" s="17" t="n"/>
      <c r="F3583" s="17" t="n"/>
      <c r="G3583" s="17" t="n"/>
      <c r="H3583" s="18">
        <f>IF(AND(B3583="",C3583="",D3583="",E3583=""),"",IF(B3583="","⚠ Falta fecha",IF(C3583="","⚠ Falta monto",IF(D3583="","⚠ Falta categoría",IF(ISNA(MATCH(D3583,catNom,0)),"⚠ Categoría no existe",IF(E3583="","⚠ Falta cuenta",IF(ISNA(MATCH(E3583,ctaNom,0)),"⚠ Cuenta no existe",IF(AND(OR(I3583="Transferencia",I3583="Pago tarjeta"),G3583=""),"⚠ Indica la cuenta «Hacia»",IF(AND(G3583&lt;&gt;"",G3583=E3583),"⚠ «Hacia» igual a la cuenta",IF(AND(G3583&lt;&gt;"",ISNA(MATCH(G3583,ctaNom,0))),"⚠ «Hacia» no existe",IF(AND(I3583="Pago tarjeta",IFERROR(INDEX(ctaTipo,MATCH(G3583,ctaNom,0)),"")&lt;&gt;"Tarjeta de crédito"),"⚠ «Hacia» debe ser la tarjeta",IF(AND(I3583="Trading",IFERROR(INDEX(ctaTipo,MATCH(E3583,ctaNom,0)),"")&lt;&gt;"Cuenta de trading"),"⚠ Usa la cuenta de trading","✓"))))))))))))</f>
        <v/>
      </c>
      <c r="I3583" s="19">
        <f>IF(OR(B3583="",C3583="",D3583=""),"",IFERROR(INDEX(catTipo,MATCH(D3583,catNom,0))&amp;"",""))</f>
        <v/>
      </c>
      <c r="J3583" s="19">
        <f>IF(I3583="","",IFERROR(INDEX(catGrupo,MATCH(D3583,catNom,0))&amp;"",""))</f>
        <v/>
      </c>
      <c r="K3583" s="19">
        <f>IF(I3583="Gasto",IF(IFERROR(INDEX(catClas,MATCH(D3583,catNom,0))&amp;"","")="","Variable",IFERROR(INDEX(catClas,MATCH(D3583,catNom,0))&amp;"","")),"")</f>
        <v/>
      </c>
      <c r="L3583" s="19">
        <f>IF(I3583="","",IFERROR(INDEX(catAlim,MATCH(D3583,catNom,0))&amp;"",""))</f>
        <v/>
      </c>
      <c r="M3583" s="19">
        <f>IF(I3583="","",IFERROR(INDEX(catComida,MATCH(D3583,catNom,0))&amp;"",""))</f>
        <v/>
      </c>
      <c r="N3583" s="19">
        <f>IF(I3583="","",IFERROR(INDEX(ctaMon,MATCH(E3583,ctaNom,0))&amp;"","DOP"))</f>
        <v/>
      </c>
      <c r="O3583" s="20">
        <f>IF(I3583="","",C3583*IF(N3583="USD",TasaUSD,1))</f>
        <v/>
      </c>
      <c r="P3583" s="20">
        <f>IF(I3583="","",IF(I3583="Gasto",O3583,0))</f>
        <v/>
      </c>
      <c r="Q3583" s="20">
        <f>IF(I3583="","",IF(I3583="Ingreso",O3583,0))</f>
        <v/>
      </c>
      <c r="R3583" s="20">
        <f>IF(I3583="","",IF(I3583="Trading",O3583,0))</f>
        <v/>
      </c>
      <c r="S3583" s="19">
        <f>IF(I3583="","",IF(AND(I3583="Gasto",K3583="Variable",J3583&lt;&gt;"Trading",O3583&gt;0,O3583&lt;=Umbral),1,0))</f>
        <v/>
      </c>
      <c r="T3583" s="20">
        <f>IF(OR(I3583="",E3583=""),"",IF(OR(I3583="Gasto",I3583="Transferencia",I3583="Pago tarjeta"),-1,1)*C3583)</f>
        <v/>
      </c>
      <c r="U3583" s="20">
        <f>IF(OR(G3583="",AND(I3583&lt;&gt;"Transferencia",I3583&lt;&gt;"Pago tarjeta")),"",IF(IFERROR(INDEX(ctaMon,MATCH(G3583,ctaNom,0))&amp;"","DOP")=N3583,C3583,IF(N3583="USD",C3583*TasaUSD,C3583/TasaUSD)))</f>
        <v/>
      </c>
      <c r="V3583" s="20">
        <f>IF(I3583="","",IF(IFERROR(INDEX(ctaLiq,MATCH(E3583,ctaNom,0))="Sí",FALSE),IF(OR(I3583="Gasto",I3583="Transferencia",I3583="Pago tarjeta"),-1,1)*O3583,0)+IF(AND(U3583&lt;&gt;"",IFERROR(INDEX(ctaLiq,MATCH(G3583,ctaNom,0))="Sí",FALSE)),O3583,0))</f>
        <v/>
      </c>
      <c r="W3583" s="19">
        <f>IF(OR(F3583="",I3583=""),"",IF(COUNTIFS(F$6:F3583,F3583,I$6:I3583,"?*")=1,MAX(W$5:W3582)+1,""))</f>
        <v/>
      </c>
    </row>
    <row r="3584">
      <c r="B3584" s="15" t="n"/>
      <c r="C3584" s="16" t="n"/>
      <c r="D3584" s="17" t="n"/>
      <c r="E3584" s="17" t="n"/>
      <c r="F3584" s="17" t="n"/>
      <c r="G3584" s="17" t="n"/>
      <c r="H3584" s="18">
        <f>IF(AND(B3584="",C3584="",D3584="",E3584=""),"",IF(B3584="","⚠ Falta fecha",IF(C3584="","⚠ Falta monto",IF(D3584="","⚠ Falta categoría",IF(ISNA(MATCH(D3584,catNom,0)),"⚠ Categoría no existe",IF(E3584="","⚠ Falta cuenta",IF(ISNA(MATCH(E3584,ctaNom,0)),"⚠ Cuenta no existe",IF(AND(OR(I3584="Transferencia",I3584="Pago tarjeta"),G3584=""),"⚠ Indica la cuenta «Hacia»",IF(AND(G3584&lt;&gt;"",G3584=E3584),"⚠ «Hacia» igual a la cuenta",IF(AND(G3584&lt;&gt;"",ISNA(MATCH(G3584,ctaNom,0))),"⚠ «Hacia» no existe",IF(AND(I3584="Pago tarjeta",IFERROR(INDEX(ctaTipo,MATCH(G3584,ctaNom,0)),"")&lt;&gt;"Tarjeta de crédito"),"⚠ «Hacia» debe ser la tarjeta",IF(AND(I3584="Trading",IFERROR(INDEX(ctaTipo,MATCH(E3584,ctaNom,0)),"")&lt;&gt;"Cuenta de trading"),"⚠ Usa la cuenta de trading","✓"))))))))))))</f>
        <v/>
      </c>
      <c r="I3584" s="19">
        <f>IF(OR(B3584="",C3584="",D3584=""),"",IFERROR(INDEX(catTipo,MATCH(D3584,catNom,0))&amp;"",""))</f>
        <v/>
      </c>
      <c r="J3584" s="19">
        <f>IF(I3584="","",IFERROR(INDEX(catGrupo,MATCH(D3584,catNom,0))&amp;"",""))</f>
        <v/>
      </c>
      <c r="K3584" s="19">
        <f>IF(I3584="Gasto",IF(IFERROR(INDEX(catClas,MATCH(D3584,catNom,0))&amp;"","")="","Variable",IFERROR(INDEX(catClas,MATCH(D3584,catNom,0))&amp;"","")),"")</f>
        <v/>
      </c>
      <c r="L3584" s="19">
        <f>IF(I3584="","",IFERROR(INDEX(catAlim,MATCH(D3584,catNom,0))&amp;"",""))</f>
        <v/>
      </c>
      <c r="M3584" s="19">
        <f>IF(I3584="","",IFERROR(INDEX(catComida,MATCH(D3584,catNom,0))&amp;"",""))</f>
        <v/>
      </c>
      <c r="N3584" s="19">
        <f>IF(I3584="","",IFERROR(INDEX(ctaMon,MATCH(E3584,ctaNom,0))&amp;"","DOP"))</f>
        <v/>
      </c>
      <c r="O3584" s="20">
        <f>IF(I3584="","",C3584*IF(N3584="USD",TasaUSD,1))</f>
        <v/>
      </c>
      <c r="P3584" s="20">
        <f>IF(I3584="","",IF(I3584="Gasto",O3584,0))</f>
        <v/>
      </c>
      <c r="Q3584" s="20">
        <f>IF(I3584="","",IF(I3584="Ingreso",O3584,0))</f>
        <v/>
      </c>
      <c r="R3584" s="20">
        <f>IF(I3584="","",IF(I3584="Trading",O3584,0))</f>
        <v/>
      </c>
      <c r="S3584" s="19">
        <f>IF(I3584="","",IF(AND(I3584="Gasto",K3584="Variable",J3584&lt;&gt;"Trading",O3584&gt;0,O3584&lt;=Umbral),1,0))</f>
        <v/>
      </c>
      <c r="T3584" s="20">
        <f>IF(OR(I3584="",E3584=""),"",IF(OR(I3584="Gasto",I3584="Transferencia",I3584="Pago tarjeta"),-1,1)*C3584)</f>
        <v/>
      </c>
      <c r="U3584" s="20">
        <f>IF(OR(G3584="",AND(I3584&lt;&gt;"Transferencia",I3584&lt;&gt;"Pago tarjeta")),"",IF(IFERROR(INDEX(ctaMon,MATCH(G3584,ctaNom,0))&amp;"","DOP")=N3584,C3584,IF(N3584="USD",C3584*TasaUSD,C3584/TasaUSD)))</f>
        <v/>
      </c>
      <c r="V3584" s="20">
        <f>IF(I3584="","",IF(IFERROR(INDEX(ctaLiq,MATCH(E3584,ctaNom,0))="Sí",FALSE),IF(OR(I3584="Gasto",I3584="Transferencia",I3584="Pago tarjeta"),-1,1)*O3584,0)+IF(AND(U3584&lt;&gt;"",IFERROR(INDEX(ctaLiq,MATCH(G3584,ctaNom,0))="Sí",FALSE)),O3584,0))</f>
        <v/>
      </c>
      <c r="W3584" s="19">
        <f>IF(OR(F3584="",I3584=""),"",IF(COUNTIFS(F$6:F3584,F3584,I$6:I3584,"?*")=1,MAX(W$5:W3583)+1,""))</f>
        <v/>
      </c>
    </row>
    <row r="3585">
      <c r="B3585" s="15" t="n"/>
      <c r="C3585" s="16" t="n"/>
      <c r="D3585" s="17" t="n"/>
      <c r="E3585" s="17" t="n"/>
      <c r="F3585" s="17" t="n"/>
      <c r="G3585" s="17" t="n"/>
      <c r="H3585" s="18">
        <f>IF(AND(B3585="",C3585="",D3585="",E3585=""),"",IF(B3585="","⚠ Falta fecha",IF(C3585="","⚠ Falta monto",IF(D3585="","⚠ Falta categoría",IF(ISNA(MATCH(D3585,catNom,0)),"⚠ Categoría no existe",IF(E3585="","⚠ Falta cuenta",IF(ISNA(MATCH(E3585,ctaNom,0)),"⚠ Cuenta no existe",IF(AND(OR(I3585="Transferencia",I3585="Pago tarjeta"),G3585=""),"⚠ Indica la cuenta «Hacia»",IF(AND(G3585&lt;&gt;"",G3585=E3585),"⚠ «Hacia» igual a la cuenta",IF(AND(G3585&lt;&gt;"",ISNA(MATCH(G3585,ctaNom,0))),"⚠ «Hacia» no existe",IF(AND(I3585="Pago tarjeta",IFERROR(INDEX(ctaTipo,MATCH(G3585,ctaNom,0)),"")&lt;&gt;"Tarjeta de crédito"),"⚠ «Hacia» debe ser la tarjeta",IF(AND(I3585="Trading",IFERROR(INDEX(ctaTipo,MATCH(E3585,ctaNom,0)),"")&lt;&gt;"Cuenta de trading"),"⚠ Usa la cuenta de trading","✓"))))))))))))</f>
        <v/>
      </c>
      <c r="I3585" s="19">
        <f>IF(OR(B3585="",C3585="",D3585=""),"",IFERROR(INDEX(catTipo,MATCH(D3585,catNom,0))&amp;"",""))</f>
        <v/>
      </c>
      <c r="J3585" s="19">
        <f>IF(I3585="","",IFERROR(INDEX(catGrupo,MATCH(D3585,catNom,0))&amp;"",""))</f>
        <v/>
      </c>
      <c r="K3585" s="19">
        <f>IF(I3585="Gasto",IF(IFERROR(INDEX(catClas,MATCH(D3585,catNom,0))&amp;"","")="","Variable",IFERROR(INDEX(catClas,MATCH(D3585,catNom,0))&amp;"","")),"")</f>
        <v/>
      </c>
      <c r="L3585" s="19">
        <f>IF(I3585="","",IFERROR(INDEX(catAlim,MATCH(D3585,catNom,0))&amp;"",""))</f>
        <v/>
      </c>
      <c r="M3585" s="19">
        <f>IF(I3585="","",IFERROR(INDEX(catComida,MATCH(D3585,catNom,0))&amp;"",""))</f>
        <v/>
      </c>
      <c r="N3585" s="19">
        <f>IF(I3585="","",IFERROR(INDEX(ctaMon,MATCH(E3585,ctaNom,0))&amp;"","DOP"))</f>
        <v/>
      </c>
      <c r="O3585" s="20">
        <f>IF(I3585="","",C3585*IF(N3585="USD",TasaUSD,1))</f>
        <v/>
      </c>
      <c r="P3585" s="20">
        <f>IF(I3585="","",IF(I3585="Gasto",O3585,0))</f>
        <v/>
      </c>
      <c r="Q3585" s="20">
        <f>IF(I3585="","",IF(I3585="Ingreso",O3585,0))</f>
        <v/>
      </c>
      <c r="R3585" s="20">
        <f>IF(I3585="","",IF(I3585="Trading",O3585,0))</f>
        <v/>
      </c>
      <c r="S3585" s="19">
        <f>IF(I3585="","",IF(AND(I3585="Gasto",K3585="Variable",J3585&lt;&gt;"Trading",O3585&gt;0,O3585&lt;=Umbral),1,0))</f>
        <v/>
      </c>
      <c r="T3585" s="20">
        <f>IF(OR(I3585="",E3585=""),"",IF(OR(I3585="Gasto",I3585="Transferencia",I3585="Pago tarjeta"),-1,1)*C3585)</f>
        <v/>
      </c>
      <c r="U3585" s="20">
        <f>IF(OR(G3585="",AND(I3585&lt;&gt;"Transferencia",I3585&lt;&gt;"Pago tarjeta")),"",IF(IFERROR(INDEX(ctaMon,MATCH(G3585,ctaNom,0))&amp;"","DOP")=N3585,C3585,IF(N3585="USD",C3585*TasaUSD,C3585/TasaUSD)))</f>
        <v/>
      </c>
      <c r="V3585" s="20">
        <f>IF(I3585="","",IF(IFERROR(INDEX(ctaLiq,MATCH(E3585,ctaNom,0))="Sí",FALSE),IF(OR(I3585="Gasto",I3585="Transferencia",I3585="Pago tarjeta"),-1,1)*O3585,0)+IF(AND(U3585&lt;&gt;"",IFERROR(INDEX(ctaLiq,MATCH(G3585,ctaNom,0))="Sí",FALSE)),O3585,0))</f>
        <v/>
      </c>
      <c r="W3585" s="19">
        <f>IF(OR(F3585="",I3585=""),"",IF(COUNTIFS(F$6:F3585,F3585,I$6:I3585,"?*")=1,MAX(W$5:W3584)+1,""))</f>
        <v/>
      </c>
    </row>
    <row r="3586">
      <c r="B3586" s="15" t="n"/>
      <c r="C3586" s="16" t="n"/>
      <c r="D3586" s="17" t="n"/>
      <c r="E3586" s="17" t="n"/>
      <c r="F3586" s="17" t="n"/>
      <c r="G3586" s="17" t="n"/>
      <c r="H3586" s="18">
        <f>IF(AND(B3586="",C3586="",D3586="",E3586=""),"",IF(B3586="","⚠ Falta fecha",IF(C3586="","⚠ Falta monto",IF(D3586="","⚠ Falta categoría",IF(ISNA(MATCH(D3586,catNom,0)),"⚠ Categoría no existe",IF(E3586="","⚠ Falta cuenta",IF(ISNA(MATCH(E3586,ctaNom,0)),"⚠ Cuenta no existe",IF(AND(OR(I3586="Transferencia",I3586="Pago tarjeta"),G3586=""),"⚠ Indica la cuenta «Hacia»",IF(AND(G3586&lt;&gt;"",G3586=E3586),"⚠ «Hacia» igual a la cuenta",IF(AND(G3586&lt;&gt;"",ISNA(MATCH(G3586,ctaNom,0))),"⚠ «Hacia» no existe",IF(AND(I3586="Pago tarjeta",IFERROR(INDEX(ctaTipo,MATCH(G3586,ctaNom,0)),"")&lt;&gt;"Tarjeta de crédito"),"⚠ «Hacia» debe ser la tarjeta",IF(AND(I3586="Trading",IFERROR(INDEX(ctaTipo,MATCH(E3586,ctaNom,0)),"")&lt;&gt;"Cuenta de trading"),"⚠ Usa la cuenta de trading","✓"))))))))))))</f>
        <v/>
      </c>
      <c r="I3586" s="19">
        <f>IF(OR(B3586="",C3586="",D3586=""),"",IFERROR(INDEX(catTipo,MATCH(D3586,catNom,0))&amp;"",""))</f>
        <v/>
      </c>
      <c r="J3586" s="19">
        <f>IF(I3586="","",IFERROR(INDEX(catGrupo,MATCH(D3586,catNom,0))&amp;"",""))</f>
        <v/>
      </c>
      <c r="K3586" s="19">
        <f>IF(I3586="Gasto",IF(IFERROR(INDEX(catClas,MATCH(D3586,catNom,0))&amp;"","")="","Variable",IFERROR(INDEX(catClas,MATCH(D3586,catNom,0))&amp;"","")),"")</f>
        <v/>
      </c>
      <c r="L3586" s="19">
        <f>IF(I3586="","",IFERROR(INDEX(catAlim,MATCH(D3586,catNom,0))&amp;"",""))</f>
        <v/>
      </c>
      <c r="M3586" s="19">
        <f>IF(I3586="","",IFERROR(INDEX(catComida,MATCH(D3586,catNom,0))&amp;"",""))</f>
        <v/>
      </c>
      <c r="N3586" s="19">
        <f>IF(I3586="","",IFERROR(INDEX(ctaMon,MATCH(E3586,ctaNom,0))&amp;"","DOP"))</f>
        <v/>
      </c>
      <c r="O3586" s="20">
        <f>IF(I3586="","",C3586*IF(N3586="USD",TasaUSD,1))</f>
        <v/>
      </c>
      <c r="P3586" s="20">
        <f>IF(I3586="","",IF(I3586="Gasto",O3586,0))</f>
        <v/>
      </c>
      <c r="Q3586" s="20">
        <f>IF(I3586="","",IF(I3586="Ingreso",O3586,0))</f>
        <v/>
      </c>
      <c r="R3586" s="20">
        <f>IF(I3586="","",IF(I3586="Trading",O3586,0))</f>
        <v/>
      </c>
      <c r="S3586" s="19">
        <f>IF(I3586="","",IF(AND(I3586="Gasto",K3586="Variable",J3586&lt;&gt;"Trading",O3586&gt;0,O3586&lt;=Umbral),1,0))</f>
        <v/>
      </c>
      <c r="T3586" s="20">
        <f>IF(OR(I3586="",E3586=""),"",IF(OR(I3586="Gasto",I3586="Transferencia",I3586="Pago tarjeta"),-1,1)*C3586)</f>
        <v/>
      </c>
      <c r="U3586" s="20">
        <f>IF(OR(G3586="",AND(I3586&lt;&gt;"Transferencia",I3586&lt;&gt;"Pago tarjeta")),"",IF(IFERROR(INDEX(ctaMon,MATCH(G3586,ctaNom,0))&amp;"","DOP")=N3586,C3586,IF(N3586="USD",C3586*TasaUSD,C3586/TasaUSD)))</f>
        <v/>
      </c>
      <c r="V3586" s="20">
        <f>IF(I3586="","",IF(IFERROR(INDEX(ctaLiq,MATCH(E3586,ctaNom,0))="Sí",FALSE),IF(OR(I3586="Gasto",I3586="Transferencia",I3586="Pago tarjeta"),-1,1)*O3586,0)+IF(AND(U3586&lt;&gt;"",IFERROR(INDEX(ctaLiq,MATCH(G3586,ctaNom,0))="Sí",FALSE)),O3586,0))</f>
        <v/>
      </c>
      <c r="W3586" s="19">
        <f>IF(OR(F3586="",I3586=""),"",IF(COUNTIFS(F$6:F3586,F3586,I$6:I3586,"?*")=1,MAX(W$5:W3585)+1,""))</f>
        <v/>
      </c>
    </row>
    <row r="3587">
      <c r="B3587" s="15" t="n"/>
      <c r="C3587" s="16" t="n"/>
      <c r="D3587" s="17" t="n"/>
      <c r="E3587" s="17" t="n"/>
      <c r="F3587" s="17" t="n"/>
      <c r="G3587" s="17" t="n"/>
      <c r="H3587" s="18">
        <f>IF(AND(B3587="",C3587="",D3587="",E3587=""),"",IF(B3587="","⚠ Falta fecha",IF(C3587="","⚠ Falta monto",IF(D3587="","⚠ Falta categoría",IF(ISNA(MATCH(D3587,catNom,0)),"⚠ Categoría no existe",IF(E3587="","⚠ Falta cuenta",IF(ISNA(MATCH(E3587,ctaNom,0)),"⚠ Cuenta no existe",IF(AND(OR(I3587="Transferencia",I3587="Pago tarjeta"),G3587=""),"⚠ Indica la cuenta «Hacia»",IF(AND(G3587&lt;&gt;"",G3587=E3587),"⚠ «Hacia» igual a la cuenta",IF(AND(G3587&lt;&gt;"",ISNA(MATCH(G3587,ctaNom,0))),"⚠ «Hacia» no existe",IF(AND(I3587="Pago tarjeta",IFERROR(INDEX(ctaTipo,MATCH(G3587,ctaNom,0)),"")&lt;&gt;"Tarjeta de crédito"),"⚠ «Hacia» debe ser la tarjeta",IF(AND(I3587="Trading",IFERROR(INDEX(ctaTipo,MATCH(E3587,ctaNom,0)),"")&lt;&gt;"Cuenta de trading"),"⚠ Usa la cuenta de trading","✓"))))))))))))</f>
        <v/>
      </c>
      <c r="I3587" s="19">
        <f>IF(OR(B3587="",C3587="",D3587=""),"",IFERROR(INDEX(catTipo,MATCH(D3587,catNom,0))&amp;"",""))</f>
        <v/>
      </c>
      <c r="J3587" s="19">
        <f>IF(I3587="","",IFERROR(INDEX(catGrupo,MATCH(D3587,catNom,0))&amp;"",""))</f>
        <v/>
      </c>
      <c r="K3587" s="19">
        <f>IF(I3587="Gasto",IF(IFERROR(INDEX(catClas,MATCH(D3587,catNom,0))&amp;"","")="","Variable",IFERROR(INDEX(catClas,MATCH(D3587,catNom,0))&amp;"","")),"")</f>
        <v/>
      </c>
      <c r="L3587" s="19">
        <f>IF(I3587="","",IFERROR(INDEX(catAlim,MATCH(D3587,catNom,0))&amp;"",""))</f>
        <v/>
      </c>
      <c r="M3587" s="19">
        <f>IF(I3587="","",IFERROR(INDEX(catComida,MATCH(D3587,catNom,0))&amp;"",""))</f>
        <v/>
      </c>
      <c r="N3587" s="19">
        <f>IF(I3587="","",IFERROR(INDEX(ctaMon,MATCH(E3587,ctaNom,0))&amp;"","DOP"))</f>
        <v/>
      </c>
      <c r="O3587" s="20">
        <f>IF(I3587="","",C3587*IF(N3587="USD",TasaUSD,1))</f>
        <v/>
      </c>
      <c r="P3587" s="20">
        <f>IF(I3587="","",IF(I3587="Gasto",O3587,0))</f>
        <v/>
      </c>
      <c r="Q3587" s="20">
        <f>IF(I3587="","",IF(I3587="Ingreso",O3587,0))</f>
        <v/>
      </c>
      <c r="R3587" s="20">
        <f>IF(I3587="","",IF(I3587="Trading",O3587,0))</f>
        <v/>
      </c>
      <c r="S3587" s="19">
        <f>IF(I3587="","",IF(AND(I3587="Gasto",K3587="Variable",J3587&lt;&gt;"Trading",O3587&gt;0,O3587&lt;=Umbral),1,0))</f>
        <v/>
      </c>
      <c r="T3587" s="20">
        <f>IF(OR(I3587="",E3587=""),"",IF(OR(I3587="Gasto",I3587="Transferencia",I3587="Pago tarjeta"),-1,1)*C3587)</f>
        <v/>
      </c>
      <c r="U3587" s="20">
        <f>IF(OR(G3587="",AND(I3587&lt;&gt;"Transferencia",I3587&lt;&gt;"Pago tarjeta")),"",IF(IFERROR(INDEX(ctaMon,MATCH(G3587,ctaNom,0))&amp;"","DOP")=N3587,C3587,IF(N3587="USD",C3587*TasaUSD,C3587/TasaUSD)))</f>
        <v/>
      </c>
      <c r="V3587" s="20">
        <f>IF(I3587="","",IF(IFERROR(INDEX(ctaLiq,MATCH(E3587,ctaNom,0))="Sí",FALSE),IF(OR(I3587="Gasto",I3587="Transferencia",I3587="Pago tarjeta"),-1,1)*O3587,0)+IF(AND(U3587&lt;&gt;"",IFERROR(INDEX(ctaLiq,MATCH(G3587,ctaNom,0))="Sí",FALSE)),O3587,0))</f>
        <v/>
      </c>
      <c r="W3587" s="19">
        <f>IF(OR(F3587="",I3587=""),"",IF(COUNTIFS(F$6:F3587,F3587,I$6:I3587,"?*")=1,MAX(W$5:W3586)+1,""))</f>
        <v/>
      </c>
    </row>
    <row r="3588">
      <c r="B3588" s="15" t="n"/>
      <c r="C3588" s="16" t="n"/>
      <c r="D3588" s="17" t="n"/>
      <c r="E3588" s="17" t="n"/>
      <c r="F3588" s="17" t="n"/>
      <c r="G3588" s="17" t="n"/>
      <c r="H3588" s="18">
        <f>IF(AND(B3588="",C3588="",D3588="",E3588=""),"",IF(B3588="","⚠ Falta fecha",IF(C3588="","⚠ Falta monto",IF(D3588="","⚠ Falta categoría",IF(ISNA(MATCH(D3588,catNom,0)),"⚠ Categoría no existe",IF(E3588="","⚠ Falta cuenta",IF(ISNA(MATCH(E3588,ctaNom,0)),"⚠ Cuenta no existe",IF(AND(OR(I3588="Transferencia",I3588="Pago tarjeta"),G3588=""),"⚠ Indica la cuenta «Hacia»",IF(AND(G3588&lt;&gt;"",G3588=E3588),"⚠ «Hacia» igual a la cuenta",IF(AND(G3588&lt;&gt;"",ISNA(MATCH(G3588,ctaNom,0))),"⚠ «Hacia» no existe",IF(AND(I3588="Pago tarjeta",IFERROR(INDEX(ctaTipo,MATCH(G3588,ctaNom,0)),"")&lt;&gt;"Tarjeta de crédito"),"⚠ «Hacia» debe ser la tarjeta",IF(AND(I3588="Trading",IFERROR(INDEX(ctaTipo,MATCH(E3588,ctaNom,0)),"")&lt;&gt;"Cuenta de trading"),"⚠ Usa la cuenta de trading","✓"))))))))))))</f>
        <v/>
      </c>
      <c r="I3588" s="19">
        <f>IF(OR(B3588="",C3588="",D3588=""),"",IFERROR(INDEX(catTipo,MATCH(D3588,catNom,0))&amp;"",""))</f>
        <v/>
      </c>
      <c r="J3588" s="19">
        <f>IF(I3588="","",IFERROR(INDEX(catGrupo,MATCH(D3588,catNom,0))&amp;"",""))</f>
        <v/>
      </c>
      <c r="K3588" s="19">
        <f>IF(I3588="Gasto",IF(IFERROR(INDEX(catClas,MATCH(D3588,catNom,0))&amp;"","")="","Variable",IFERROR(INDEX(catClas,MATCH(D3588,catNom,0))&amp;"","")),"")</f>
        <v/>
      </c>
      <c r="L3588" s="19">
        <f>IF(I3588="","",IFERROR(INDEX(catAlim,MATCH(D3588,catNom,0))&amp;"",""))</f>
        <v/>
      </c>
      <c r="M3588" s="19">
        <f>IF(I3588="","",IFERROR(INDEX(catComida,MATCH(D3588,catNom,0))&amp;"",""))</f>
        <v/>
      </c>
      <c r="N3588" s="19">
        <f>IF(I3588="","",IFERROR(INDEX(ctaMon,MATCH(E3588,ctaNom,0))&amp;"","DOP"))</f>
        <v/>
      </c>
      <c r="O3588" s="20">
        <f>IF(I3588="","",C3588*IF(N3588="USD",TasaUSD,1))</f>
        <v/>
      </c>
      <c r="P3588" s="20">
        <f>IF(I3588="","",IF(I3588="Gasto",O3588,0))</f>
        <v/>
      </c>
      <c r="Q3588" s="20">
        <f>IF(I3588="","",IF(I3588="Ingreso",O3588,0))</f>
        <v/>
      </c>
      <c r="R3588" s="20">
        <f>IF(I3588="","",IF(I3588="Trading",O3588,0))</f>
        <v/>
      </c>
      <c r="S3588" s="19">
        <f>IF(I3588="","",IF(AND(I3588="Gasto",K3588="Variable",J3588&lt;&gt;"Trading",O3588&gt;0,O3588&lt;=Umbral),1,0))</f>
        <v/>
      </c>
      <c r="T3588" s="20">
        <f>IF(OR(I3588="",E3588=""),"",IF(OR(I3588="Gasto",I3588="Transferencia",I3588="Pago tarjeta"),-1,1)*C3588)</f>
        <v/>
      </c>
      <c r="U3588" s="20">
        <f>IF(OR(G3588="",AND(I3588&lt;&gt;"Transferencia",I3588&lt;&gt;"Pago tarjeta")),"",IF(IFERROR(INDEX(ctaMon,MATCH(G3588,ctaNom,0))&amp;"","DOP")=N3588,C3588,IF(N3588="USD",C3588*TasaUSD,C3588/TasaUSD)))</f>
        <v/>
      </c>
      <c r="V3588" s="20">
        <f>IF(I3588="","",IF(IFERROR(INDEX(ctaLiq,MATCH(E3588,ctaNom,0))="Sí",FALSE),IF(OR(I3588="Gasto",I3588="Transferencia",I3588="Pago tarjeta"),-1,1)*O3588,0)+IF(AND(U3588&lt;&gt;"",IFERROR(INDEX(ctaLiq,MATCH(G3588,ctaNom,0))="Sí",FALSE)),O3588,0))</f>
        <v/>
      </c>
      <c r="W3588" s="19">
        <f>IF(OR(F3588="",I3588=""),"",IF(COUNTIFS(F$6:F3588,F3588,I$6:I3588,"?*")=1,MAX(W$5:W3587)+1,""))</f>
        <v/>
      </c>
    </row>
    <row r="3589">
      <c r="B3589" s="15" t="n"/>
      <c r="C3589" s="16" t="n"/>
      <c r="D3589" s="17" t="n"/>
      <c r="E3589" s="17" t="n"/>
      <c r="F3589" s="17" t="n"/>
      <c r="G3589" s="17" t="n"/>
      <c r="H3589" s="18">
        <f>IF(AND(B3589="",C3589="",D3589="",E3589=""),"",IF(B3589="","⚠ Falta fecha",IF(C3589="","⚠ Falta monto",IF(D3589="","⚠ Falta categoría",IF(ISNA(MATCH(D3589,catNom,0)),"⚠ Categoría no existe",IF(E3589="","⚠ Falta cuenta",IF(ISNA(MATCH(E3589,ctaNom,0)),"⚠ Cuenta no existe",IF(AND(OR(I3589="Transferencia",I3589="Pago tarjeta"),G3589=""),"⚠ Indica la cuenta «Hacia»",IF(AND(G3589&lt;&gt;"",G3589=E3589),"⚠ «Hacia» igual a la cuenta",IF(AND(G3589&lt;&gt;"",ISNA(MATCH(G3589,ctaNom,0))),"⚠ «Hacia» no existe",IF(AND(I3589="Pago tarjeta",IFERROR(INDEX(ctaTipo,MATCH(G3589,ctaNom,0)),"")&lt;&gt;"Tarjeta de crédito"),"⚠ «Hacia» debe ser la tarjeta",IF(AND(I3589="Trading",IFERROR(INDEX(ctaTipo,MATCH(E3589,ctaNom,0)),"")&lt;&gt;"Cuenta de trading"),"⚠ Usa la cuenta de trading","✓"))))))))))))</f>
        <v/>
      </c>
      <c r="I3589" s="19">
        <f>IF(OR(B3589="",C3589="",D3589=""),"",IFERROR(INDEX(catTipo,MATCH(D3589,catNom,0))&amp;"",""))</f>
        <v/>
      </c>
      <c r="J3589" s="19">
        <f>IF(I3589="","",IFERROR(INDEX(catGrupo,MATCH(D3589,catNom,0))&amp;"",""))</f>
        <v/>
      </c>
      <c r="K3589" s="19">
        <f>IF(I3589="Gasto",IF(IFERROR(INDEX(catClas,MATCH(D3589,catNom,0))&amp;"","")="","Variable",IFERROR(INDEX(catClas,MATCH(D3589,catNom,0))&amp;"","")),"")</f>
        <v/>
      </c>
      <c r="L3589" s="19">
        <f>IF(I3589="","",IFERROR(INDEX(catAlim,MATCH(D3589,catNom,0))&amp;"",""))</f>
        <v/>
      </c>
      <c r="M3589" s="19">
        <f>IF(I3589="","",IFERROR(INDEX(catComida,MATCH(D3589,catNom,0))&amp;"",""))</f>
        <v/>
      </c>
      <c r="N3589" s="19">
        <f>IF(I3589="","",IFERROR(INDEX(ctaMon,MATCH(E3589,ctaNom,0))&amp;"","DOP"))</f>
        <v/>
      </c>
      <c r="O3589" s="20">
        <f>IF(I3589="","",C3589*IF(N3589="USD",TasaUSD,1))</f>
        <v/>
      </c>
      <c r="P3589" s="20">
        <f>IF(I3589="","",IF(I3589="Gasto",O3589,0))</f>
        <v/>
      </c>
      <c r="Q3589" s="20">
        <f>IF(I3589="","",IF(I3589="Ingreso",O3589,0))</f>
        <v/>
      </c>
      <c r="R3589" s="20">
        <f>IF(I3589="","",IF(I3589="Trading",O3589,0))</f>
        <v/>
      </c>
      <c r="S3589" s="19">
        <f>IF(I3589="","",IF(AND(I3589="Gasto",K3589="Variable",J3589&lt;&gt;"Trading",O3589&gt;0,O3589&lt;=Umbral),1,0))</f>
        <v/>
      </c>
      <c r="T3589" s="20">
        <f>IF(OR(I3589="",E3589=""),"",IF(OR(I3589="Gasto",I3589="Transferencia",I3589="Pago tarjeta"),-1,1)*C3589)</f>
        <v/>
      </c>
      <c r="U3589" s="20">
        <f>IF(OR(G3589="",AND(I3589&lt;&gt;"Transferencia",I3589&lt;&gt;"Pago tarjeta")),"",IF(IFERROR(INDEX(ctaMon,MATCH(G3589,ctaNom,0))&amp;"","DOP")=N3589,C3589,IF(N3589="USD",C3589*TasaUSD,C3589/TasaUSD)))</f>
        <v/>
      </c>
      <c r="V3589" s="20">
        <f>IF(I3589="","",IF(IFERROR(INDEX(ctaLiq,MATCH(E3589,ctaNom,0))="Sí",FALSE),IF(OR(I3589="Gasto",I3589="Transferencia",I3589="Pago tarjeta"),-1,1)*O3589,0)+IF(AND(U3589&lt;&gt;"",IFERROR(INDEX(ctaLiq,MATCH(G3589,ctaNom,0))="Sí",FALSE)),O3589,0))</f>
        <v/>
      </c>
      <c r="W3589" s="19">
        <f>IF(OR(F3589="",I3589=""),"",IF(COUNTIFS(F$6:F3589,F3589,I$6:I3589,"?*")=1,MAX(W$5:W3588)+1,""))</f>
        <v/>
      </c>
    </row>
    <row r="3590">
      <c r="B3590" s="15" t="n"/>
      <c r="C3590" s="16" t="n"/>
      <c r="D3590" s="17" t="n"/>
      <c r="E3590" s="17" t="n"/>
      <c r="F3590" s="17" t="n"/>
      <c r="G3590" s="17" t="n"/>
      <c r="H3590" s="18">
        <f>IF(AND(B3590="",C3590="",D3590="",E3590=""),"",IF(B3590="","⚠ Falta fecha",IF(C3590="","⚠ Falta monto",IF(D3590="","⚠ Falta categoría",IF(ISNA(MATCH(D3590,catNom,0)),"⚠ Categoría no existe",IF(E3590="","⚠ Falta cuenta",IF(ISNA(MATCH(E3590,ctaNom,0)),"⚠ Cuenta no existe",IF(AND(OR(I3590="Transferencia",I3590="Pago tarjeta"),G3590=""),"⚠ Indica la cuenta «Hacia»",IF(AND(G3590&lt;&gt;"",G3590=E3590),"⚠ «Hacia» igual a la cuenta",IF(AND(G3590&lt;&gt;"",ISNA(MATCH(G3590,ctaNom,0))),"⚠ «Hacia» no existe",IF(AND(I3590="Pago tarjeta",IFERROR(INDEX(ctaTipo,MATCH(G3590,ctaNom,0)),"")&lt;&gt;"Tarjeta de crédito"),"⚠ «Hacia» debe ser la tarjeta",IF(AND(I3590="Trading",IFERROR(INDEX(ctaTipo,MATCH(E3590,ctaNom,0)),"")&lt;&gt;"Cuenta de trading"),"⚠ Usa la cuenta de trading","✓"))))))))))))</f>
        <v/>
      </c>
      <c r="I3590" s="19">
        <f>IF(OR(B3590="",C3590="",D3590=""),"",IFERROR(INDEX(catTipo,MATCH(D3590,catNom,0))&amp;"",""))</f>
        <v/>
      </c>
      <c r="J3590" s="19">
        <f>IF(I3590="","",IFERROR(INDEX(catGrupo,MATCH(D3590,catNom,0))&amp;"",""))</f>
        <v/>
      </c>
      <c r="K3590" s="19">
        <f>IF(I3590="Gasto",IF(IFERROR(INDEX(catClas,MATCH(D3590,catNom,0))&amp;"","")="","Variable",IFERROR(INDEX(catClas,MATCH(D3590,catNom,0))&amp;"","")),"")</f>
        <v/>
      </c>
      <c r="L3590" s="19">
        <f>IF(I3590="","",IFERROR(INDEX(catAlim,MATCH(D3590,catNom,0))&amp;"",""))</f>
        <v/>
      </c>
      <c r="M3590" s="19">
        <f>IF(I3590="","",IFERROR(INDEX(catComida,MATCH(D3590,catNom,0))&amp;"",""))</f>
        <v/>
      </c>
      <c r="N3590" s="19">
        <f>IF(I3590="","",IFERROR(INDEX(ctaMon,MATCH(E3590,ctaNom,0))&amp;"","DOP"))</f>
        <v/>
      </c>
      <c r="O3590" s="20">
        <f>IF(I3590="","",C3590*IF(N3590="USD",TasaUSD,1))</f>
        <v/>
      </c>
      <c r="P3590" s="20">
        <f>IF(I3590="","",IF(I3590="Gasto",O3590,0))</f>
        <v/>
      </c>
      <c r="Q3590" s="20">
        <f>IF(I3590="","",IF(I3590="Ingreso",O3590,0))</f>
        <v/>
      </c>
      <c r="R3590" s="20">
        <f>IF(I3590="","",IF(I3590="Trading",O3590,0))</f>
        <v/>
      </c>
      <c r="S3590" s="19">
        <f>IF(I3590="","",IF(AND(I3590="Gasto",K3590="Variable",J3590&lt;&gt;"Trading",O3590&gt;0,O3590&lt;=Umbral),1,0))</f>
        <v/>
      </c>
      <c r="T3590" s="20">
        <f>IF(OR(I3590="",E3590=""),"",IF(OR(I3590="Gasto",I3590="Transferencia",I3590="Pago tarjeta"),-1,1)*C3590)</f>
        <v/>
      </c>
      <c r="U3590" s="20">
        <f>IF(OR(G3590="",AND(I3590&lt;&gt;"Transferencia",I3590&lt;&gt;"Pago tarjeta")),"",IF(IFERROR(INDEX(ctaMon,MATCH(G3590,ctaNom,0))&amp;"","DOP")=N3590,C3590,IF(N3590="USD",C3590*TasaUSD,C3590/TasaUSD)))</f>
        <v/>
      </c>
      <c r="V3590" s="20">
        <f>IF(I3590="","",IF(IFERROR(INDEX(ctaLiq,MATCH(E3590,ctaNom,0))="Sí",FALSE),IF(OR(I3590="Gasto",I3590="Transferencia",I3590="Pago tarjeta"),-1,1)*O3590,0)+IF(AND(U3590&lt;&gt;"",IFERROR(INDEX(ctaLiq,MATCH(G3590,ctaNom,0))="Sí",FALSE)),O3590,0))</f>
        <v/>
      </c>
      <c r="W3590" s="19">
        <f>IF(OR(F3590="",I3590=""),"",IF(COUNTIFS(F$6:F3590,F3590,I$6:I3590,"?*")=1,MAX(W$5:W3589)+1,""))</f>
        <v/>
      </c>
    </row>
    <row r="3591">
      <c r="B3591" s="15" t="n"/>
      <c r="C3591" s="16" t="n"/>
      <c r="D3591" s="17" t="n"/>
      <c r="E3591" s="17" t="n"/>
      <c r="F3591" s="17" t="n"/>
      <c r="G3591" s="17" t="n"/>
      <c r="H3591" s="18">
        <f>IF(AND(B3591="",C3591="",D3591="",E3591=""),"",IF(B3591="","⚠ Falta fecha",IF(C3591="","⚠ Falta monto",IF(D3591="","⚠ Falta categoría",IF(ISNA(MATCH(D3591,catNom,0)),"⚠ Categoría no existe",IF(E3591="","⚠ Falta cuenta",IF(ISNA(MATCH(E3591,ctaNom,0)),"⚠ Cuenta no existe",IF(AND(OR(I3591="Transferencia",I3591="Pago tarjeta"),G3591=""),"⚠ Indica la cuenta «Hacia»",IF(AND(G3591&lt;&gt;"",G3591=E3591),"⚠ «Hacia» igual a la cuenta",IF(AND(G3591&lt;&gt;"",ISNA(MATCH(G3591,ctaNom,0))),"⚠ «Hacia» no existe",IF(AND(I3591="Pago tarjeta",IFERROR(INDEX(ctaTipo,MATCH(G3591,ctaNom,0)),"")&lt;&gt;"Tarjeta de crédito"),"⚠ «Hacia» debe ser la tarjeta",IF(AND(I3591="Trading",IFERROR(INDEX(ctaTipo,MATCH(E3591,ctaNom,0)),"")&lt;&gt;"Cuenta de trading"),"⚠ Usa la cuenta de trading","✓"))))))))))))</f>
        <v/>
      </c>
      <c r="I3591" s="19">
        <f>IF(OR(B3591="",C3591="",D3591=""),"",IFERROR(INDEX(catTipo,MATCH(D3591,catNom,0))&amp;"",""))</f>
        <v/>
      </c>
      <c r="J3591" s="19">
        <f>IF(I3591="","",IFERROR(INDEX(catGrupo,MATCH(D3591,catNom,0))&amp;"",""))</f>
        <v/>
      </c>
      <c r="K3591" s="19">
        <f>IF(I3591="Gasto",IF(IFERROR(INDEX(catClas,MATCH(D3591,catNom,0))&amp;"","")="","Variable",IFERROR(INDEX(catClas,MATCH(D3591,catNom,0))&amp;"","")),"")</f>
        <v/>
      </c>
      <c r="L3591" s="19">
        <f>IF(I3591="","",IFERROR(INDEX(catAlim,MATCH(D3591,catNom,0))&amp;"",""))</f>
        <v/>
      </c>
      <c r="M3591" s="19">
        <f>IF(I3591="","",IFERROR(INDEX(catComida,MATCH(D3591,catNom,0))&amp;"",""))</f>
        <v/>
      </c>
      <c r="N3591" s="19">
        <f>IF(I3591="","",IFERROR(INDEX(ctaMon,MATCH(E3591,ctaNom,0))&amp;"","DOP"))</f>
        <v/>
      </c>
      <c r="O3591" s="20">
        <f>IF(I3591="","",C3591*IF(N3591="USD",TasaUSD,1))</f>
        <v/>
      </c>
      <c r="P3591" s="20">
        <f>IF(I3591="","",IF(I3591="Gasto",O3591,0))</f>
        <v/>
      </c>
      <c r="Q3591" s="20">
        <f>IF(I3591="","",IF(I3591="Ingreso",O3591,0))</f>
        <v/>
      </c>
      <c r="R3591" s="20">
        <f>IF(I3591="","",IF(I3591="Trading",O3591,0))</f>
        <v/>
      </c>
      <c r="S3591" s="19">
        <f>IF(I3591="","",IF(AND(I3591="Gasto",K3591="Variable",J3591&lt;&gt;"Trading",O3591&gt;0,O3591&lt;=Umbral),1,0))</f>
        <v/>
      </c>
      <c r="T3591" s="20">
        <f>IF(OR(I3591="",E3591=""),"",IF(OR(I3591="Gasto",I3591="Transferencia",I3591="Pago tarjeta"),-1,1)*C3591)</f>
        <v/>
      </c>
      <c r="U3591" s="20">
        <f>IF(OR(G3591="",AND(I3591&lt;&gt;"Transferencia",I3591&lt;&gt;"Pago tarjeta")),"",IF(IFERROR(INDEX(ctaMon,MATCH(G3591,ctaNom,0))&amp;"","DOP")=N3591,C3591,IF(N3591="USD",C3591*TasaUSD,C3591/TasaUSD)))</f>
        <v/>
      </c>
      <c r="V3591" s="20">
        <f>IF(I3591="","",IF(IFERROR(INDEX(ctaLiq,MATCH(E3591,ctaNom,0))="Sí",FALSE),IF(OR(I3591="Gasto",I3591="Transferencia",I3591="Pago tarjeta"),-1,1)*O3591,0)+IF(AND(U3591&lt;&gt;"",IFERROR(INDEX(ctaLiq,MATCH(G3591,ctaNom,0))="Sí",FALSE)),O3591,0))</f>
        <v/>
      </c>
      <c r="W3591" s="19">
        <f>IF(OR(F3591="",I3591=""),"",IF(COUNTIFS(F$6:F3591,F3591,I$6:I3591,"?*")=1,MAX(W$5:W3590)+1,""))</f>
        <v/>
      </c>
    </row>
    <row r="3592">
      <c r="B3592" s="15" t="n"/>
      <c r="C3592" s="16" t="n"/>
      <c r="D3592" s="17" t="n"/>
      <c r="E3592" s="17" t="n"/>
      <c r="F3592" s="17" t="n"/>
      <c r="G3592" s="17" t="n"/>
      <c r="H3592" s="18">
        <f>IF(AND(B3592="",C3592="",D3592="",E3592=""),"",IF(B3592="","⚠ Falta fecha",IF(C3592="","⚠ Falta monto",IF(D3592="","⚠ Falta categoría",IF(ISNA(MATCH(D3592,catNom,0)),"⚠ Categoría no existe",IF(E3592="","⚠ Falta cuenta",IF(ISNA(MATCH(E3592,ctaNom,0)),"⚠ Cuenta no existe",IF(AND(OR(I3592="Transferencia",I3592="Pago tarjeta"),G3592=""),"⚠ Indica la cuenta «Hacia»",IF(AND(G3592&lt;&gt;"",G3592=E3592),"⚠ «Hacia» igual a la cuenta",IF(AND(G3592&lt;&gt;"",ISNA(MATCH(G3592,ctaNom,0))),"⚠ «Hacia» no existe",IF(AND(I3592="Pago tarjeta",IFERROR(INDEX(ctaTipo,MATCH(G3592,ctaNom,0)),"")&lt;&gt;"Tarjeta de crédito"),"⚠ «Hacia» debe ser la tarjeta",IF(AND(I3592="Trading",IFERROR(INDEX(ctaTipo,MATCH(E3592,ctaNom,0)),"")&lt;&gt;"Cuenta de trading"),"⚠ Usa la cuenta de trading","✓"))))))))))))</f>
        <v/>
      </c>
      <c r="I3592" s="19">
        <f>IF(OR(B3592="",C3592="",D3592=""),"",IFERROR(INDEX(catTipo,MATCH(D3592,catNom,0))&amp;"",""))</f>
        <v/>
      </c>
      <c r="J3592" s="19">
        <f>IF(I3592="","",IFERROR(INDEX(catGrupo,MATCH(D3592,catNom,0))&amp;"",""))</f>
        <v/>
      </c>
      <c r="K3592" s="19">
        <f>IF(I3592="Gasto",IF(IFERROR(INDEX(catClas,MATCH(D3592,catNom,0))&amp;"","")="","Variable",IFERROR(INDEX(catClas,MATCH(D3592,catNom,0))&amp;"","")),"")</f>
        <v/>
      </c>
      <c r="L3592" s="19">
        <f>IF(I3592="","",IFERROR(INDEX(catAlim,MATCH(D3592,catNom,0))&amp;"",""))</f>
        <v/>
      </c>
      <c r="M3592" s="19">
        <f>IF(I3592="","",IFERROR(INDEX(catComida,MATCH(D3592,catNom,0))&amp;"",""))</f>
        <v/>
      </c>
      <c r="N3592" s="19">
        <f>IF(I3592="","",IFERROR(INDEX(ctaMon,MATCH(E3592,ctaNom,0))&amp;"","DOP"))</f>
        <v/>
      </c>
      <c r="O3592" s="20">
        <f>IF(I3592="","",C3592*IF(N3592="USD",TasaUSD,1))</f>
        <v/>
      </c>
      <c r="P3592" s="20">
        <f>IF(I3592="","",IF(I3592="Gasto",O3592,0))</f>
        <v/>
      </c>
      <c r="Q3592" s="20">
        <f>IF(I3592="","",IF(I3592="Ingreso",O3592,0))</f>
        <v/>
      </c>
      <c r="R3592" s="20">
        <f>IF(I3592="","",IF(I3592="Trading",O3592,0))</f>
        <v/>
      </c>
      <c r="S3592" s="19">
        <f>IF(I3592="","",IF(AND(I3592="Gasto",K3592="Variable",J3592&lt;&gt;"Trading",O3592&gt;0,O3592&lt;=Umbral),1,0))</f>
        <v/>
      </c>
      <c r="T3592" s="20">
        <f>IF(OR(I3592="",E3592=""),"",IF(OR(I3592="Gasto",I3592="Transferencia",I3592="Pago tarjeta"),-1,1)*C3592)</f>
        <v/>
      </c>
      <c r="U3592" s="20">
        <f>IF(OR(G3592="",AND(I3592&lt;&gt;"Transferencia",I3592&lt;&gt;"Pago tarjeta")),"",IF(IFERROR(INDEX(ctaMon,MATCH(G3592,ctaNom,0))&amp;"","DOP")=N3592,C3592,IF(N3592="USD",C3592*TasaUSD,C3592/TasaUSD)))</f>
        <v/>
      </c>
      <c r="V3592" s="20">
        <f>IF(I3592="","",IF(IFERROR(INDEX(ctaLiq,MATCH(E3592,ctaNom,0))="Sí",FALSE),IF(OR(I3592="Gasto",I3592="Transferencia",I3592="Pago tarjeta"),-1,1)*O3592,0)+IF(AND(U3592&lt;&gt;"",IFERROR(INDEX(ctaLiq,MATCH(G3592,ctaNom,0))="Sí",FALSE)),O3592,0))</f>
        <v/>
      </c>
      <c r="W3592" s="19">
        <f>IF(OR(F3592="",I3592=""),"",IF(COUNTIFS(F$6:F3592,F3592,I$6:I3592,"?*")=1,MAX(W$5:W3591)+1,""))</f>
        <v/>
      </c>
    </row>
    <row r="3593">
      <c r="B3593" s="15" t="n"/>
      <c r="C3593" s="16" t="n"/>
      <c r="D3593" s="17" t="n"/>
      <c r="E3593" s="17" t="n"/>
      <c r="F3593" s="17" t="n"/>
      <c r="G3593" s="17" t="n"/>
      <c r="H3593" s="18">
        <f>IF(AND(B3593="",C3593="",D3593="",E3593=""),"",IF(B3593="","⚠ Falta fecha",IF(C3593="","⚠ Falta monto",IF(D3593="","⚠ Falta categoría",IF(ISNA(MATCH(D3593,catNom,0)),"⚠ Categoría no existe",IF(E3593="","⚠ Falta cuenta",IF(ISNA(MATCH(E3593,ctaNom,0)),"⚠ Cuenta no existe",IF(AND(OR(I3593="Transferencia",I3593="Pago tarjeta"),G3593=""),"⚠ Indica la cuenta «Hacia»",IF(AND(G3593&lt;&gt;"",G3593=E3593),"⚠ «Hacia» igual a la cuenta",IF(AND(G3593&lt;&gt;"",ISNA(MATCH(G3593,ctaNom,0))),"⚠ «Hacia» no existe",IF(AND(I3593="Pago tarjeta",IFERROR(INDEX(ctaTipo,MATCH(G3593,ctaNom,0)),"")&lt;&gt;"Tarjeta de crédito"),"⚠ «Hacia» debe ser la tarjeta",IF(AND(I3593="Trading",IFERROR(INDEX(ctaTipo,MATCH(E3593,ctaNom,0)),"")&lt;&gt;"Cuenta de trading"),"⚠ Usa la cuenta de trading","✓"))))))))))))</f>
        <v/>
      </c>
      <c r="I3593" s="19">
        <f>IF(OR(B3593="",C3593="",D3593=""),"",IFERROR(INDEX(catTipo,MATCH(D3593,catNom,0))&amp;"",""))</f>
        <v/>
      </c>
      <c r="J3593" s="19">
        <f>IF(I3593="","",IFERROR(INDEX(catGrupo,MATCH(D3593,catNom,0))&amp;"",""))</f>
        <v/>
      </c>
      <c r="K3593" s="19">
        <f>IF(I3593="Gasto",IF(IFERROR(INDEX(catClas,MATCH(D3593,catNom,0))&amp;"","")="","Variable",IFERROR(INDEX(catClas,MATCH(D3593,catNom,0))&amp;"","")),"")</f>
        <v/>
      </c>
      <c r="L3593" s="19">
        <f>IF(I3593="","",IFERROR(INDEX(catAlim,MATCH(D3593,catNom,0))&amp;"",""))</f>
        <v/>
      </c>
      <c r="M3593" s="19">
        <f>IF(I3593="","",IFERROR(INDEX(catComida,MATCH(D3593,catNom,0))&amp;"",""))</f>
        <v/>
      </c>
      <c r="N3593" s="19">
        <f>IF(I3593="","",IFERROR(INDEX(ctaMon,MATCH(E3593,ctaNom,0))&amp;"","DOP"))</f>
        <v/>
      </c>
      <c r="O3593" s="20">
        <f>IF(I3593="","",C3593*IF(N3593="USD",TasaUSD,1))</f>
        <v/>
      </c>
      <c r="P3593" s="20">
        <f>IF(I3593="","",IF(I3593="Gasto",O3593,0))</f>
        <v/>
      </c>
      <c r="Q3593" s="20">
        <f>IF(I3593="","",IF(I3593="Ingreso",O3593,0))</f>
        <v/>
      </c>
      <c r="R3593" s="20">
        <f>IF(I3593="","",IF(I3593="Trading",O3593,0))</f>
        <v/>
      </c>
      <c r="S3593" s="19">
        <f>IF(I3593="","",IF(AND(I3593="Gasto",K3593="Variable",J3593&lt;&gt;"Trading",O3593&gt;0,O3593&lt;=Umbral),1,0))</f>
        <v/>
      </c>
      <c r="T3593" s="20">
        <f>IF(OR(I3593="",E3593=""),"",IF(OR(I3593="Gasto",I3593="Transferencia",I3593="Pago tarjeta"),-1,1)*C3593)</f>
        <v/>
      </c>
      <c r="U3593" s="20">
        <f>IF(OR(G3593="",AND(I3593&lt;&gt;"Transferencia",I3593&lt;&gt;"Pago tarjeta")),"",IF(IFERROR(INDEX(ctaMon,MATCH(G3593,ctaNom,0))&amp;"","DOP")=N3593,C3593,IF(N3593="USD",C3593*TasaUSD,C3593/TasaUSD)))</f>
        <v/>
      </c>
      <c r="V3593" s="20">
        <f>IF(I3593="","",IF(IFERROR(INDEX(ctaLiq,MATCH(E3593,ctaNom,0))="Sí",FALSE),IF(OR(I3593="Gasto",I3593="Transferencia",I3593="Pago tarjeta"),-1,1)*O3593,0)+IF(AND(U3593&lt;&gt;"",IFERROR(INDEX(ctaLiq,MATCH(G3593,ctaNom,0))="Sí",FALSE)),O3593,0))</f>
        <v/>
      </c>
      <c r="W3593" s="19">
        <f>IF(OR(F3593="",I3593=""),"",IF(COUNTIFS(F$6:F3593,F3593,I$6:I3593,"?*")=1,MAX(W$5:W3592)+1,""))</f>
        <v/>
      </c>
    </row>
    <row r="3594">
      <c r="B3594" s="15" t="n"/>
      <c r="C3594" s="16" t="n"/>
      <c r="D3594" s="17" t="n"/>
      <c r="E3594" s="17" t="n"/>
      <c r="F3594" s="17" t="n"/>
      <c r="G3594" s="17" t="n"/>
      <c r="H3594" s="18">
        <f>IF(AND(B3594="",C3594="",D3594="",E3594=""),"",IF(B3594="","⚠ Falta fecha",IF(C3594="","⚠ Falta monto",IF(D3594="","⚠ Falta categoría",IF(ISNA(MATCH(D3594,catNom,0)),"⚠ Categoría no existe",IF(E3594="","⚠ Falta cuenta",IF(ISNA(MATCH(E3594,ctaNom,0)),"⚠ Cuenta no existe",IF(AND(OR(I3594="Transferencia",I3594="Pago tarjeta"),G3594=""),"⚠ Indica la cuenta «Hacia»",IF(AND(G3594&lt;&gt;"",G3594=E3594),"⚠ «Hacia» igual a la cuenta",IF(AND(G3594&lt;&gt;"",ISNA(MATCH(G3594,ctaNom,0))),"⚠ «Hacia» no existe",IF(AND(I3594="Pago tarjeta",IFERROR(INDEX(ctaTipo,MATCH(G3594,ctaNom,0)),"")&lt;&gt;"Tarjeta de crédito"),"⚠ «Hacia» debe ser la tarjeta",IF(AND(I3594="Trading",IFERROR(INDEX(ctaTipo,MATCH(E3594,ctaNom,0)),"")&lt;&gt;"Cuenta de trading"),"⚠ Usa la cuenta de trading","✓"))))))))))))</f>
        <v/>
      </c>
      <c r="I3594" s="19">
        <f>IF(OR(B3594="",C3594="",D3594=""),"",IFERROR(INDEX(catTipo,MATCH(D3594,catNom,0))&amp;"",""))</f>
        <v/>
      </c>
      <c r="J3594" s="19">
        <f>IF(I3594="","",IFERROR(INDEX(catGrupo,MATCH(D3594,catNom,0))&amp;"",""))</f>
        <v/>
      </c>
      <c r="K3594" s="19">
        <f>IF(I3594="Gasto",IF(IFERROR(INDEX(catClas,MATCH(D3594,catNom,0))&amp;"","")="","Variable",IFERROR(INDEX(catClas,MATCH(D3594,catNom,0))&amp;"","")),"")</f>
        <v/>
      </c>
      <c r="L3594" s="19">
        <f>IF(I3594="","",IFERROR(INDEX(catAlim,MATCH(D3594,catNom,0))&amp;"",""))</f>
        <v/>
      </c>
      <c r="M3594" s="19">
        <f>IF(I3594="","",IFERROR(INDEX(catComida,MATCH(D3594,catNom,0))&amp;"",""))</f>
        <v/>
      </c>
      <c r="N3594" s="19">
        <f>IF(I3594="","",IFERROR(INDEX(ctaMon,MATCH(E3594,ctaNom,0))&amp;"","DOP"))</f>
        <v/>
      </c>
      <c r="O3594" s="20">
        <f>IF(I3594="","",C3594*IF(N3594="USD",TasaUSD,1))</f>
        <v/>
      </c>
      <c r="P3594" s="20">
        <f>IF(I3594="","",IF(I3594="Gasto",O3594,0))</f>
        <v/>
      </c>
      <c r="Q3594" s="20">
        <f>IF(I3594="","",IF(I3594="Ingreso",O3594,0))</f>
        <v/>
      </c>
      <c r="R3594" s="20">
        <f>IF(I3594="","",IF(I3594="Trading",O3594,0))</f>
        <v/>
      </c>
      <c r="S3594" s="19">
        <f>IF(I3594="","",IF(AND(I3594="Gasto",K3594="Variable",J3594&lt;&gt;"Trading",O3594&gt;0,O3594&lt;=Umbral),1,0))</f>
        <v/>
      </c>
      <c r="T3594" s="20">
        <f>IF(OR(I3594="",E3594=""),"",IF(OR(I3594="Gasto",I3594="Transferencia",I3594="Pago tarjeta"),-1,1)*C3594)</f>
        <v/>
      </c>
      <c r="U3594" s="20">
        <f>IF(OR(G3594="",AND(I3594&lt;&gt;"Transferencia",I3594&lt;&gt;"Pago tarjeta")),"",IF(IFERROR(INDEX(ctaMon,MATCH(G3594,ctaNom,0))&amp;"","DOP")=N3594,C3594,IF(N3594="USD",C3594*TasaUSD,C3594/TasaUSD)))</f>
        <v/>
      </c>
      <c r="V3594" s="20">
        <f>IF(I3594="","",IF(IFERROR(INDEX(ctaLiq,MATCH(E3594,ctaNom,0))="Sí",FALSE),IF(OR(I3594="Gasto",I3594="Transferencia",I3594="Pago tarjeta"),-1,1)*O3594,0)+IF(AND(U3594&lt;&gt;"",IFERROR(INDEX(ctaLiq,MATCH(G3594,ctaNom,0))="Sí",FALSE)),O3594,0))</f>
        <v/>
      </c>
      <c r="W3594" s="19">
        <f>IF(OR(F3594="",I3594=""),"",IF(COUNTIFS(F$6:F3594,F3594,I$6:I3594,"?*")=1,MAX(W$5:W3593)+1,""))</f>
        <v/>
      </c>
    </row>
    <row r="3595">
      <c r="B3595" s="15" t="n"/>
      <c r="C3595" s="16" t="n"/>
      <c r="D3595" s="17" t="n"/>
      <c r="E3595" s="17" t="n"/>
      <c r="F3595" s="17" t="n"/>
      <c r="G3595" s="17" t="n"/>
      <c r="H3595" s="18">
        <f>IF(AND(B3595="",C3595="",D3595="",E3595=""),"",IF(B3595="","⚠ Falta fecha",IF(C3595="","⚠ Falta monto",IF(D3595="","⚠ Falta categoría",IF(ISNA(MATCH(D3595,catNom,0)),"⚠ Categoría no existe",IF(E3595="","⚠ Falta cuenta",IF(ISNA(MATCH(E3595,ctaNom,0)),"⚠ Cuenta no existe",IF(AND(OR(I3595="Transferencia",I3595="Pago tarjeta"),G3595=""),"⚠ Indica la cuenta «Hacia»",IF(AND(G3595&lt;&gt;"",G3595=E3595),"⚠ «Hacia» igual a la cuenta",IF(AND(G3595&lt;&gt;"",ISNA(MATCH(G3595,ctaNom,0))),"⚠ «Hacia» no existe",IF(AND(I3595="Pago tarjeta",IFERROR(INDEX(ctaTipo,MATCH(G3595,ctaNom,0)),"")&lt;&gt;"Tarjeta de crédito"),"⚠ «Hacia» debe ser la tarjeta",IF(AND(I3595="Trading",IFERROR(INDEX(ctaTipo,MATCH(E3595,ctaNom,0)),"")&lt;&gt;"Cuenta de trading"),"⚠ Usa la cuenta de trading","✓"))))))))))))</f>
        <v/>
      </c>
      <c r="I3595" s="19">
        <f>IF(OR(B3595="",C3595="",D3595=""),"",IFERROR(INDEX(catTipo,MATCH(D3595,catNom,0))&amp;"",""))</f>
        <v/>
      </c>
      <c r="J3595" s="19">
        <f>IF(I3595="","",IFERROR(INDEX(catGrupo,MATCH(D3595,catNom,0))&amp;"",""))</f>
        <v/>
      </c>
      <c r="K3595" s="19">
        <f>IF(I3595="Gasto",IF(IFERROR(INDEX(catClas,MATCH(D3595,catNom,0))&amp;"","")="","Variable",IFERROR(INDEX(catClas,MATCH(D3595,catNom,0))&amp;"","")),"")</f>
        <v/>
      </c>
      <c r="L3595" s="19">
        <f>IF(I3595="","",IFERROR(INDEX(catAlim,MATCH(D3595,catNom,0))&amp;"",""))</f>
        <v/>
      </c>
      <c r="M3595" s="19">
        <f>IF(I3595="","",IFERROR(INDEX(catComida,MATCH(D3595,catNom,0))&amp;"",""))</f>
        <v/>
      </c>
      <c r="N3595" s="19">
        <f>IF(I3595="","",IFERROR(INDEX(ctaMon,MATCH(E3595,ctaNom,0))&amp;"","DOP"))</f>
        <v/>
      </c>
      <c r="O3595" s="20">
        <f>IF(I3595="","",C3595*IF(N3595="USD",TasaUSD,1))</f>
        <v/>
      </c>
      <c r="P3595" s="20">
        <f>IF(I3595="","",IF(I3595="Gasto",O3595,0))</f>
        <v/>
      </c>
      <c r="Q3595" s="20">
        <f>IF(I3595="","",IF(I3595="Ingreso",O3595,0))</f>
        <v/>
      </c>
      <c r="R3595" s="20">
        <f>IF(I3595="","",IF(I3595="Trading",O3595,0))</f>
        <v/>
      </c>
      <c r="S3595" s="19">
        <f>IF(I3595="","",IF(AND(I3595="Gasto",K3595="Variable",J3595&lt;&gt;"Trading",O3595&gt;0,O3595&lt;=Umbral),1,0))</f>
        <v/>
      </c>
      <c r="T3595" s="20">
        <f>IF(OR(I3595="",E3595=""),"",IF(OR(I3595="Gasto",I3595="Transferencia",I3595="Pago tarjeta"),-1,1)*C3595)</f>
        <v/>
      </c>
      <c r="U3595" s="20">
        <f>IF(OR(G3595="",AND(I3595&lt;&gt;"Transferencia",I3595&lt;&gt;"Pago tarjeta")),"",IF(IFERROR(INDEX(ctaMon,MATCH(G3595,ctaNom,0))&amp;"","DOP")=N3595,C3595,IF(N3595="USD",C3595*TasaUSD,C3595/TasaUSD)))</f>
        <v/>
      </c>
      <c r="V3595" s="20">
        <f>IF(I3595="","",IF(IFERROR(INDEX(ctaLiq,MATCH(E3595,ctaNom,0))="Sí",FALSE),IF(OR(I3595="Gasto",I3595="Transferencia",I3595="Pago tarjeta"),-1,1)*O3595,0)+IF(AND(U3595&lt;&gt;"",IFERROR(INDEX(ctaLiq,MATCH(G3595,ctaNom,0))="Sí",FALSE)),O3595,0))</f>
        <v/>
      </c>
      <c r="W3595" s="19">
        <f>IF(OR(F3595="",I3595=""),"",IF(COUNTIFS(F$6:F3595,F3595,I$6:I3595,"?*")=1,MAX(W$5:W3594)+1,""))</f>
        <v/>
      </c>
    </row>
    <row r="3596">
      <c r="B3596" s="15" t="n"/>
      <c r="C3596" s="16" t="n"/>
      <c r="D3596" s="17" t="n"/>
      <c r="E3596" s="17" t="n"/>
      <c r="F3596" s="17" t="n"/>
      <c r="G3596" s="17" t="n"/>
      <c r="H3596" s="18">
        <f>IF(AND(B3596="",C3596="",D3596="",E3596=""),"",IF(B3596="","⚠ Falta fecha",IF(C3596="","⚠ Falta monto",IF(D3596="","⚠ Falta categoría",IF(ISNA(MATCH(D3596,catNom,0)),"⚠ Categoría no existe",IF(E3596="","⚠ Falta cuenta",IF(ISNA(MATCH(E3596,ctaNom,0)),"⚠ Cuenta no existe",IF(AND(OR(I3596="Transferencia",I3596="Pago tarjeta"),G3596=""),"⚠ Indica la cuenta «Hacia»",IF(AND(G3596&lt;&gt;"",G3596=E3596),"⚠ «Hacia» igual a la cuenta",IF(AND(G3596&lt;&gt;"",ISNA(MATCH(G3596,ctaNom,0))),"⚠ «Hacia» no existe",IF(AND(I3596="Pago tarjeta",IFERROR(INDEX(ctaTipo,MATCH(G3596,ctaNom,0)),"")&lt;&gt;"Tarjeta de crédito"),"⚠ «Hacia» debe ser la tarjeta",IF(AND(I3596="Trading",IFERROR(INDEX(ctaTipo,MATCH(E3596,ctaNom,0)),"")&lt;&gt;"Cuenta de trading"),"⚠ Usa la cuenta de trading","✓"))))))))))))</f>
        <v/>
      </c>
      <c r="I3596" s="19">
        <f>IF(OR(B3596="",C3596="",D3596=""),"",IFERROR(INDEX(catTipo,MATCH(D3596,catNom,0))&amp;"",""))</f>
        <v/>
      </c>
      <c r="J3596" s="19">
        <f>IF(I3596="","",IFERROR(INDEX(catGrupo,MATCH(D3596,catNom,0))&amp;"",""))</f>
        <v/>
      </c>
      <c r="K3596" s="19">
        <f>IF(I3596="Gasto",IF(IFERROR(INDEX(catClas,MATCH(D3596,catNom,0))&amp;"","")="","Variable",IFERROR(INDEX(catClas,MATCH(D3596,catNom,0))&amp;"","")),"")</f>
        <v/>
      </c>
      <c r="L3596" s="19">
        <f>IF(I3596="","",IFERROR(INDEX(catAlim,MATCH(D3596,catNom,0))&amp;"",""))</f>
        <v/>
      </c>
      <c r="M3596" s="19">
        <f>IF(I3596="","",IFERROR(INDEX(catComida,MATCH(D3596,catNom,0))&amp;"",""))</f>
        <v/>
      </c>
      <c r="N3596" s="19">
        <f>IF(I3596="","",IFERROR(INDEX(ctaMon,MATCH(E3596,ctaNom,0))&amp;"","DOP"))</f>
        <v/>
      </c>
      <c r="O3596" s="20">
        <f>IF(I3596="","",C3596*IF(N3596="USD",TasaUSD,1))</f>
        <v/>
      </c>
      <c r="P3596" s="20">
        <f>IF(I3596="","",IF(I3596="Gasto",O3596,0))</f>
        <v/>
      </c>
      <c r="Q3596" s="20">
        <f>IF(I3596="","",IF(I3596="Ingreso",O3596,0))</f>
        <v/>
      </c>
      <c r="R3596" s="20">
        <f>IF(I3596="","",IF(I3596="Trading",O3596,0))</f>
        <v/>
      </c>
      <c r="S3596" s="19">
        <f>IF(I3596="","",IF(AND(I3596="Gasto",K3596="Variable",J3596&lt;&gt;"Trading",O3596&gt;0,O3596&lt;=Umbral),1,0))</f>
        <v/>
      </c>
      <c r="T3596" s="20">
        <f>IF(OR(I3596="",E3596=""),"",IF(OR(I3596="Gasto",I3596="Transferencia",I3596="Pago tarjeta"),-1,1)*C3596)</f>
        <v/>
      </c>
      <c r="U3596" s="20">
        <f>IF(OR(G3596="",AND(I3596&lt;&gt;"Transferencia",I3596&lt;&gt;"Pago tarjeta")),"",IF(IFERROR(INDEX(ctaMon,MATCH(G3596,ctaNom,0))&amp;"","DOP")=N3596,C3596,IF(N3596="USD",C3596*TasaUSD,C3596/TasaUSD)))</f>
        <v/>
      </c>
      <c r="V3596" s="20">
        <f>IF(I3596="","",IF(IFERROR(INDEX(ctaLiq,MATCH(E3596,ctaNom,0))="Sí",FALSE),IF(OR(I3596="Gasto",I3596="Transferencia",I3596="Pago tarjeta"),-1,1)*O3596,0)+IF(AND(U3596&lt;&gt;"",IFERROR(INDEX(ctaLiq,MATCH(G3596,ctaNom,0))="Sí",FALSE)),O3596,0))</f>
        <v/>
      </c>
      <c r="W3596" s="19">
        <f>IF(OR(F3596="",I3596=""),"",IF(COUNTIFS(F$6:F3596,F3596,I$6:I3596,"?*")=1,MAX(W$5:W3595)+1,""))</f>
        <v/>
      </c>
    </row>
    <row r="3597">
      <c r="B3597" s="15" t="n"/>
      <c r="C3597" s="16" t="n"/>
      <c r="D3597" s="17" t="n"/>
      <c r="E3597" s="17" t="n"/>
      <c r="F3597" s="17" t="n"/>
      <c r="G3597" s="17" t="n"/>
      <c r="H3597" s="18">
        <f>IF(AND(B3597="",C3597="",D3597="",E3597=""),"",IF(B3597="","⚠ Falta fecha",IF(C3597="","⚠ Falta monto",IF(D3597="","⚠ Falta categoría",IF(ISNA(MATCH(D3597,catNom,0)),"⚠ Categoría no existe",IF(E3597="","⚠ Falta cuenta",IF(ISNA(MATCH(E3597,ctaNom,0)),"⚠ Cuenta no existe",IF(AND(OR(I3597="Transferencia",I3597="Pago tarjeta"),G3597=""),"⚠ Indica la cuenta «Hacia»",IF(AND(G3597&lt;&gt;"",G3597=E3597),"⚠ «Hacia» igual a la cuenta",IF(AND(G3597&lt;&gt;"",ISNA(MATCH(G3597,ctaNom,0))),"⚠ «Hacia» no existe",IF(AND(I3597="Pago tarjeta",IFERROR(INDEX(ctaTipo,MATCH(G3597,ctaNom,0)),"")&lt;&gt;"Tarjeta de crédito"),"⚠ «Hacia» debe ser la tarjeta",IF(AND(I3597="Trading",IFERROR(INDEX(ctaTipo,MATCH(E3597,ctaNom,0)),"")&lt;&gt;"Cuenta de trading"),"⚠ Usa la cuenta de trading","✓"))))))))))))</f>
        <v/>
      </c>
      <c r="I3597" s="19">
        <f>IF(OR(B3597="",C3597="",D3597=""),"",IFERROR(INDEX(catTipo,MATCH(D3597,catNom,0))&amp;"",""))</f>
        <v/>
      </c>
      <c r="J3597" s="19">
        <f>IF(I3597="","",IFERROR(INDEX(catGrupo,MATCH(D3597,catNom,0))&amp;"",""))</f>
        <v/>
      </c>
      <c r="K3597" s="19">
        <f>IF(I3597="Gasto",IF(IFERROR(INDEX(catClas,MATCH(D3597,catNom,0))&amp;"","")="","Variable",IFERROR(INDEX(catClas,MATCH(D3597,catNom,0))&amp;"","")),"")</f>
        <v/>
      </c>
      <c r="L3597" s="19">
        <f>IF(I3597="","",IFERROR(INDEX(catAlim,MATCH(D3597,catNom,0))&amp;"",""))</f>
        <v/>
      </c>
      <c r="M3597" s="19">
        <f>IF(I3597="","",IFERROR(INDEX(catComida,MATCH(D3597,catNom,0))&amp;"",""))</f>
        <v/>
      </c>
      <c r="N3597" s="19">
        <f>IF(I3597="","",IFERROR(INDEX(ctaMon,MATCH(E3597,ctaNom,0))&amp;"","DOP"))</f>
        <v/>
      </c>
      <c r="O3597" s="20">
        <f>IF(I3597="","",C3597*IF(N3597="USD",TasaUSD,1))</f>
        <v/>
      </c>
      <c r="P3597" s="20">
        <f>IF(I3597="","",IF(I3597="Gasto",O3597,0))</f>
        <v/>
      </c>
      <c r="Q3597" s="20">
        <f>IF(I3597="","",IF(I3597="Ingreso",O3597,0))</f>
        <v/>
      </c>
      <c r="R3597" s="20">
        <f>IF(I3597="","",IF(I3597="Trading",O3597,0))</f>
        <v/>
      </c>
      <c r="S3597" s="19">
        <f>IF(I3597="","",IF(AND(I3597="Gasto",K3597="Variable",J3597&lt;&gt;"Trading",O3597&gt;0,O3597&lt;=Umbral),1,0))</f>
        <v/>
      </c>
      <c r="T3597" s="20">
        <f>IF(OR(I3597="",E3597=""),"",IF(OR(I3597="Gasto",I3597="Transferencia",I3597="Pago tarjeta"),-1,1)*C3597)</f>
        <v/>
      </c>
      <c r="U3597" s="20">
        <f>IF(OR(G3597="",AND(I3597&lt;&gt;"Transferencia",I3597&lt;&gt;"Pago tarjeta")),"",IF(IFERROR(INDEX(ctaMon,MATCH(G3597,ctaNom,0))&amp;"","DOP")=N3597,C3597,IF(N3597="USD",C3597*TasaUSD,C3597/TasaUSD)))</f>
        <v/>
      </c>
      <c r="V3597" s="20">
        <f>IF(I3597="","",IF(IFERROR(INDEX(ctaLiq,MATCH(E3597,ctaNom,0))="Sí",FALSE),IF(OR(I3597="Gasto",I3597="Transferencia",I3597="Pago tarjeta"),-1,1)*O3597,0)+IF(AND(U3597&lt;&gt;"",IFERROR(INDEX(ctaLiq,MATCH(G3597,ctaNom,0))="Sí",FALSE)),O3597,0))</f>
        <v/>
      </c>
      <c r="W3597" s="19">
        <f>IF(OR(F3597="",I3597=""),"",IF(COUNTIFS(F$6:F3597,F3597,I$6:I3597,"?*")=1,MAX(W$5:W3596)+1,""))</f>
        <v/>
      </c>
    </row>
    <row r="3598">
      <c r="B3598" s="15" t="n"/>
      <c r="C3598" s="16" t="n"/>
      <c r="D3598" s="17" t="n"/>
      <c r="E3598" s="17" t="n"/>
      <c r="F3598" s="17" t="n"/>
      <c r="G3598" s="17" t="n"/>
      <c r="H3598" s="18">
        <f>IF(AND(B3598="",C3598="",D3598="",E3598=""),"",IF(B3598="","⚠ Falta fecha",IF(C3598="","⚠ Falta monto",IF(D3598="","⚠ Falta categoría",IF(ISNA(MATCH(D3598,catNom,0)),"⚠ Categoría no existe",IF(E3598="","⚠ Falta cuenta",IF(ISNA(MATCH(E3598,ctaNom,0)),"⚠ Cuenta no existe",IF(AND(OR(I3598="Transferencia",I3598="Pago tarjeta"),G3598=""),"⚠ Indica la cuenta «Hacia»",IF(AND(G3598&lt;&gt;"",G3598=E3598),"⚠ «Hacia» igual a la cuenta",IF(AND(G3598&lt;&gt;"",ISNA(MATCH(G3598,ctaNom,0))),"⚠ «Hacia» no existe",IF(AND(I3598="Pago tarjeta",IFERROR(INDEX(ctaTipo,MATCH(G3598,ctaNom,0)),"")&lt;&gt;"Tarjeta de crédito"),"⚠ «Hacia» debe ser la tarjeta",IF(AND(I3598="Trading",IFERROR(INDEX(ctaTipo,MATCH(E3598,ctaNom,0)),"")&lt;&gt;"Cuenta de trading"),"⚠ Usa la cuenta de trading","✓"))))))))))))</f>
        <v/>
      </c>
      <c r="I3598" s="19">
        <f>IF(OR(B3598="",C3598="",D3598=""),"",IFERROR(INDEX(catTipo,MATCH(D3598,catNom,0))&amp;"",""))</f>
        <v/>
      </c>
      <c r="J3598" s="19">
        <f>IF(I3598="","",IFERROR(INDEX(catGrupo,MATCH(D3598,catNom,0))&amp;"",""))</f>
        <v/>
      </c>
      <c r="K3598" s="19">
        <f>IF(I3598="Gasto",IF(IFERROR(INDEX(catClas,MATCH(D3598,catNom,0))&amp;"","")="","Variable",IFERROR(INDEX(catClas,MATCH(D3598,catNom,0))&amp;"","")),"")</f>
        <v/>
      </c>
      <c r="L3598" s="19">
        <f>IF(I3598="","",IFERROR(INDEX(catAlim,MATCH(D3598,catNom,0))&amp;"",""))</f>
        <v/>
      </c>
      <c r="M3598" s="19">
        <f>IF(I3598="","",IFERROR(INDEX(catComida,MATCH(D3598,catNom,0))&amp;"",""))</f>
        <v/>
      </c>
      <c r="N3598" s="19">
        <f>IF(I3598="","",IFERROR(INDEX(ctaMon,MATCH(E3598,ctaNom,0))&amp;"","DOP"))</f>
        <v/>
      </c>
      <c r="O3598" s="20">
        <f>IF(I3598="","",C3598*IF(N3598="USD",TasaUSD,1))</f>
        <v/>
      </c>
      <c r="P3598" s="20">
        <f>IF(I3598="","",IF(I3598="Gasto",O3598,0))</f>
        <v/>
      </c>
      <c r="Q3598" s="20">
        <f>IF(I3598="","",IF(I3598="Ingreso",O3598,0))</f>
        <v/>
      </c>
      <c r="R3598" s="20">
        <f>IF(I3598="","",IF(I3598="Trading",O3598,0))</f>
        <v/>
      </c>
      <c r="S3598" s="19">
        <f>IF(I3598="","",IF(AND(I3598="Gasto",K3598="Variable",J3598&lt;&gt;"Trading",O3598&gt;0,O3598&lt;=Umbral),1,0))</f>
        <v/>
      </c>
      <c r="T3598" s="20">
        <f>IF(OR(I3598="",E3598=""),"",IF(OR(I3598="Gasto",I3598="Transferencia",I3598="Pago tarjeta"),-1,1)*C3598)</f>
        <v/>
      </c>
      <c r="U3598" s="20">
        <f>IF(OR(G3598="",AND(I3598&lt;&gt;"Transferencia",I3598&lt;&gt;"Pago tarjeta")),"",IF(IFERROR(INDEX(ctaMon,MATCH(G3598,ctaNom,0))&amp;"","DOP")=N3598,C3598,IF(N3598="USD",C3598*TasaUSD,C3598/TasaUSD)))</f>
        <v/>
      </c>
      <c r="V3598" s="20">
        <f>IF(I3598="","",IF(IFERROR(INDEX(ctaLiq,MATCH(E3598,ctaNom,0))="Sí",FALSE),IF(OR(I3598="Gasto",I3598="Transferencia",I3598="Pago tarjeta"),-1,1)*O3598,0)+IF(AND(U3598&lt;&gt;"",IFERROR(INDEX(ctaLiq,MATCH(G3598,ctaNom,0))="Sí",FALSE)),O3598,0))</f>
        <v/>
      </c>
      <c r="W3598" s="19">
        <f>IF(OR(F3598="",I3598=""),"",IF(COUNTIFS(F$6:F3598,F3598,I$6:I3598,"?*")=1,MAX(W$5:W3597)+1,""))</f>
        <v/>
      </c>
    </row>
    <row r="3599">
      <c r="B3599" s="15" t="n"/>
      <c r="C3599" s="16" t="n"/>
      <c r="D3599" s="17" t="n"/>
      <c r="E3599" s="17" t="n"/>
      <c r="F3599" s="17" t="n"/>
      <c r="G3599" s="17" t="n"/>
      <c r="H3599" s="18">
        <f>IF(AND(B3599="",C3599="",D3599="",E3599=""),"",IF(B3599="","⚠ Falta fecha",IF(C3599="","⚠ Falta monto",IF(D3599="","⚠ Falta categoría",IF(ISNA(MATCH(D3599,catNom,0)),"⚠ Categoría no existe",IF(E3599="","⚠ Falta cuenta",IF(ISNA(MATCH(E3599,ctaNom,0)),"⚠ Cuenta no existe",IF(AND(OR(I3599="Transferencia",I3599="Pago tarjeta"),G3599=""),"⚠ Indica la cuenta «Hacia»",IF(AND(G3599&lt;&gt;"",G3599=E3599),"⚠ «Hacia» igual a la cuenta",IF(AND(G3599&lt;&gt;"",ISNA(MATCH(G3599,ctaNom,0))),"⚠ «Hacia» no existe",IF(AND(I3599="Pago tarjeta",IFERROR(INDEX(ctaTipo,MATCH(G3599,ctaNom,0)),"")&lt;&gt;"Tarjeta de crédito"),"⚠ «Hacia» debe ser la tarjeta",IF(AND(I3599="Trading",IFERROR(INDEX(ctaTipo,MATCH(E3599,ctaNom,0)),"")&lt;&gt;"Cuenta de trading"),"⚠ Usa la cuenta de trading","✓"))))))))))))</f>
        <v/>
      </c>
      <c r="I3599" s="19">
        <f>IF(OR(B3599="",C3599="",D3599=""),"",IFERROR(INDEX(catTipo,MATCH(D3599,catNom,0))&amp;"",""))</f>
        <v/>
      </c>
      <c r="J3599" s="19">
        <f>IF(I3599="","",IFERROR(INDEX(catGrupo,MATCH(D3599,catNom,0))&amp;"",""))</f>
        <v/>
      </c>
      <c r="K3599" s="19">
        <f>IF(I3599="Gasto",IF(IFERROR(INDEX(catClas,MATCH(D3599,catNom,0))&amp;"","")="","Variable",IFERROR(INDEX(catClas,MATCH(D3599,catNom,0))&amp;"","")),"")</f>
        <v/>
      </c>
      <c r="L3599" s="19">
        <f>IF(I3599="","",IFERROR(INDEX(catAlim,MATCH(D3599,catNom,0))&amp;"",""))</f>
        <v/>
      </c>
      <c r="M3599" s="19">
        <f>IF(I3599="","",IFERROR(INDEX(catComida,MATCH(D3599,catNom,0))&amp;"",""))</f>
        <v/>
      </c>
      <c r="N3599" s="19">
        <f>IF(I3599="","",IFERROR(INDEX(ctaMon,MATCH(E3599,ctaNom,0))&amp;"","DOP"))</f>
        <v/>
      </c>
      <c r="O3599" s="20">
        <f>IF(I3599="","",C3599*IF(N3599="USD",TasaUSD,1))</f>
        <v/>
      </c>
      <c r="P3599" s="20">
        <f>IF(I3599="","",IF(I3599="Gasto",O3599,0))</f>
        <v/>
      </c>
      <c r="Q3599" s="20">
        <f>IF(I3599="","",IF(I3599="Ingreso",O3599,0))</f>
        <v/>
      </c>
      <c r="R3599" s="20">
        <f>IF(I3599="","",IF(I3599="Trading",O3599,0))</f>
        <v/>
      </c>
      <c r="S3599" s="19">
        <f>IF(I3599="","",IF(AND(I3599="Gasto",K3599="Variable",J3599&lt;&gt;"Trading",O3599&gt;0,O3599&lt;=Umbral),1,0))</f>
        <v/>
      </c>
      <c r="T3599" s="20">
        <f>IF(OR(I3599="",E3599=""),"",IF(OR(I3599="Gasto",I3599="Transferencia",I3599="Pago tarjeta"),-1,1)*C3599)</f>
        <v/>
      </c>
      <c r="U3599" s="20">
        <f>IF(OR(G3599="",AND(I3599&lt;&gt;"Transferencia",I3599&lt;&gt;"Pago tarjeta")),"",IF(IFERROR(INDEX(ctaMon,MATCH(G3599,ctaNom,0))&amp;"","DOP")=N3599,C3599,IF(N3599="USD",C3599*TasaUSD,C3599/TasaUSD)))</f>
        <v/>
      </c>
      <c r="V3599" s="20">
        <f>IF(I3599="","",IF(IFERROR(INDEX(ctaLiq,MATCH(E3599,ctaNom,0))="Sí",FALSE),IF(OR(I3599="Gasto",I3599="Transferencia",I3599="Pago tarjeta"),-1,1)*O3599,0)+IF(AND(U3599&lt;&gt;"",IFERROR(INDEX(ctaLiq,MATCH(G3599,ctaNom,0))="Sí",FALSE)),O3599,0))</f>
        <v/>
      </c>
      <c r="W3599" s="19">
        <f>IF(OR(F3599="",I3599=""),"",IF(COUNTIFS(F$6:F3599,F3599,I$6:I3599,"?*")=1,MAX(W$5:W3598)+1,""))</f>
        <v/>
      </c>
    </row>
    <row r="3600">
      <c r="B3600" s="15" t="n"/>
      <c r="C3600" s="16" t="n"/>
      <c r="D3600" s="17" t="n"/>
      <c r="E3600" s="17" t="n"/>
      <c r="F3600" s="17" t="n"/>
      <c r="G3600" s="17" t="n"/>
      <c r="H3600" s="18">
        <f>IF(AND(B3600="",C3600="",D3600="",E3600=""),"",IF(B3600="","⚠ Falta fecha",IF(C3600="","⚠ Falta monto",IF(D3600="","⚠ Falta categoría",IF(ISNA(MATCH(D3600,catNom,0)),"⚠ Categoría no existe",IF(E3600="","⚠ Falta cuenta",IF(ISNA(MATCH(E3600,ctaNom,0)),"⚠ Cuenta no existe",IF(AND(OR(I3600="Transferencia",I3600="Pago tarjeta"),G3600=""),"⚠ Indica la cuenta «Hacia»",IF(AND(G3600&lt;&gt;"",G3600=E3600),"⚠ «Hacia» igual a la cuenta",IF(AND(G3600&lt;&gt;"",ISNA(MATCH(G3600,ctaNom,0))),"⚠ «Hacia» no existe",IF(AND(I3600="Pago tarjeta",IFERROR(INDEX(ctaTipo,MATCH(G3600,ctaNom,0)),"")&lt;&gt;"Tarjeta de crédito"),"⚠ «Hacia» debe ser la tarjeta",IF(AND(I3600="Trading",IFERROR(INDEX(ctaTipo,MATCH(E3600,ctaNom,0)),"")&lt;&gt;"Cuenta de trading"),"⚠ Usa la cuenta de trading","✓"))))))))))))</f>
        <v/>
      </c>
      <c r="I3600" s="19">
        <f>IF(OR(B3600="",C3600="",D3600=""),"",IFERROR(INDEX(catTipo,MATCH(D3600,catNom,0))&amp;"",""))</f>
        <v/>
      </c>
      <c r="J3600" s="19">
        <f>IF(I3600="","",IFERROR(INDEX(catGrupo,MATCH(D3600,catNom,0))&amp;"",""))</f>
        <v/>
      </c>
      <c r="K3600" s="19">
        <f>IF(I3600="Gasto",IF(IFERROR(INDEX(catClas,MATCH(D3600,catNom,0))&amp;"","")="","Variable",IFERROR(INDEX(catClas,MATCH(D3600,catNom,0))&amp;"","")),"")</f>
        <v/>
      </c>
      <c r="L3600" s="19">
        <f>IF(I3600="","",IFERROR(INDEX(catAlim,MATCH(D3600,catNom,0))&amp;"",""))</f>
        <v/>
      </c>
      <c r="M3600" s="19">
        <f>IF(I3600="","",IFERROR(INDEX(catComida,MATCH(D3600,catNom,0))&amp;"",""))</f>
        <v/>
      </c>
      <c r="N3600" s="19">
        <f>IF(I3600="","",IFERROR(INDEX(ctaMon,MATCH(E3600,ctaNom,0))&amp;"","DOP"))</f>
        <v/>
      </c>
      <c r="O3600" s="20">
        <f>IF(I3600="","",C3600*IF(N3600="USD",TasaUSD,1))</f>
        <v/>
      </c>
      <c r="P3600" s="20">
        <f>IF(I3600="","",IF(I3600="Gasto",O3600,0))</f>
        <v/>
      </c>
      <c r="Q3600" s="20">
        <f>IF(I3600="","",IF(I3600="Ingreso",O3600,0))</f>
        <v/>
      </c>
      <c r="R3600" s="20">
        <f>IF(I3600="","",IF(I3600="Trading",O3600,0))</f>
        <v/>
      </c>
      <c r="S3600" s="19">
        <f>IF(I3600="","",IF(AND(I3600="Gasto",K3600="Variable",J3600&lt;&gt;"Trading",O3600&gt;0,O3600&lt;=Umbral),1,0))</f>
        <v/>
      </c>
      <c r="T3600" s="20">
        <f>IF(OR(I3600="",E3600=""),"",IF(OR(I3600="Gasto",I3600="Transferencia",I3600="Pago tarjeta"),-1,1)*C3600)</f>
        <v/>
      </c>
      <c r="U3600" s="20">
        <f>IF(OR(G3600="",AND(I3600&lt;&gt;"Transferencia",I3600&lt;&gt;"Pago tarjeta")),"",IF(IFERROR(INDEX(ctaMon,MATCH(G3600,ctaNom,0))&amp;"","DOP")=N3600,C3600,IF(N3600="USD",C3600*TasaUSD,C3600/TasaUSD)))</f>
        <v/>
      </c>
      <c r="V3600" s="20">
        <f>IF(I3600="","",IF(IFERROR(INDEX(ctaLiq,MATCH(E3600,ctaNom,0))="Sí",FALSE),IF(OR(I3600="Gasto",I3600="Transferencia",I3600="Pago tarjeta"),-1,1)*O3600,0)+IF(AND(U3600&lt;&gt;"",IFERROR(INDEX(ctaLiq,MATCH(G3600,ctaNom,0))="Sí",FALSE)),O3600,0))</f>
        <v/>
      </c>
      <c r="W3600" s="19">
        <f>IF(OR(F3600="",I3600=""),"",IF(COUNTIFS(F$6:F3600,F3600,I$6:I3600,"?*")=1,MAX(W$5:W3599)+1,""))</f>
        <v/>
      </c>
    </row>
    <row r="3601">
      <c r="B3601" s="15" t="n"/>
      <c r="C3601" s="16" t="n"/>
      <c r="D3601" s="17" t="n"/>
      <c r="E3601" s="17" t="n"/>
      <c r="F3601" s="17" t="n"/>
      <c r="G3601" s="17" t="n"/>
      <c r="H3601" s="18">
        <f>IF(AND(B3601="",C3601="",D3601="",E3601=""),"",IF(B3601="","⚠ Falta fecha",IF(C3601="","⚠ Falta monto",IF(D3601="","⚠ Falta categoría",IF(ISNA(MATCH(D3601,catNom,0)),"⚠ Categoría no existe",IF(E3601="","⚠ Falta cuenta",IF(ISNA(MATCH(E3601,ctaNom,0)),"⚠ Cuenta no existe",IF(AND(OR(I3601="Transferencia",I3601="Pago tarjeta"),G3601=""),"⚠ Indica la cuenta «Hacia»",IF(AND(G3601&lt;&gt;"",G3601=E3601),"⚠ «Hacia» igual a la cuenta",IF(AND(G3601&lt;&gt;"",ISNA(MATCH(G3601,ctaNom,0))),"⚠ «Hacia» no existe",IF(AND(I3601="Pago tarjeta",IFERROR(INDEX(ctaTipo,MATCH(G3601,ctaNom,0)),"")&lt;&gt;"Tarjeta de crédito"),"⚠ «Hacia» debe ser la tarjeta",IF(AND(I3601="Trading",IFERROR(INDEX(ctaTipo,MATCH(E3601,ctaNom,0)),"")&lt;&gt;"Cuenta de trading"),"⚠ Usa la cuenta de trading","✓"))))))))))))</f>
        <v/>
      </c>
      <c r="I3601" s="19">
        <f>IF(OR(B3601="",C3601="",D3601=""),"",IFERROR(INDEX(catTipo,MATCH(D3601,catNom,0))&amp;"",""))</f>
        <v/>
      </c>
      <c r="J3601" s="19">
        <f>IF(I3601="","",IFERROR(INDEX(catGrupo,MATCH(D3601,catNom,0))&amp;"",""))</f>
        <v/>
      </c>
      <c r="K3601" s="19">
        <f>IF(I3601="Gasto",IF(IFERROR(INDEX(catClas,MATCH(D3601,catNom,0))&amp;"","")="","Variable",IFERROR(INDEX(catClas,MATCH(D3601,catNom,0))&amp;"","")),"")</f>
        <v/>
      </c>
      <c r="L3601" s="19">
        <f>IF(I3601="","",IFERROR(INDEX(catAlim,MATCH(D3601,catNom,0))&amp;"",""))</f>
        <v/>
      </c>
      <c r="M3601" s="19">
        <f>IF(I3601="","",IFERROR(INDEX(catComida,MATCH(D3601,catNom,0))&amp;"",""))</f>
        <v/>
      </c>
      <c r="N3601" s="19">
        <f>IF(I3601="","",IFERROR(INDEX(ctaMon,MATCH(E3601,ctaNom,0))&amp;"","DOP"))</f>
        <v/>
      </c>
      <c r="O3601" s="20">
        <f>IF(I3601="","",C3601*IF(N3601="USD",TasaUSD,1))</f>
        <v/>
      </c>
      <c r="P3601" s="20">
        <f>IF(I3601="","",IF(I3601="Gasto",O3601,0))</f>
        <v/>
      </c>
      <c r="Q3601" s="20">
        <f>IF(I3601="","",IF(I3601="Ingreso",O3601,0))</f>
        <v/>
      </c>
      <c r="R3601" s="20">
        <f>IF(I3601="","",IF(I3601="Trading",O3601,0))</f>
        <v/>
      </c>
      <c r="S3601" s="19">
        <f>IF(I3601="","",IF(AND(I3601="Gasto",K3601="Variable",J3601&lt;&gt;"Trading",O3601&gt;0,O3601&lt;=Umbral),1,0))</f>
        <v/>
      </c>
      <c r="T3601" s="20">
        <f>IF(OR(I3601="",E3601=""),"",IF(OR(I3601="Gasto",I3601="Transferencia",I3601="Pago tarjeta"),-1,1)*C3601)</f>
        <v/>
      </c>
      <c r="U3601" s="20">
        <f>IF(OR(G3601="",AND(I3601&lt;&gt;"Transferencia",I3601&lt;&gt;"Pago tarjeta")),"",IF(IFERROR(INDEX(ctaMon,MATCH(G3601,ctaNom,0))&amp;"","DOP")=N3601,C3601,IF(N3601="USD",C3601*TasaUSD,C3601/TasaUSD)))</f>
        <v/>
      </c>
      <c r="V3601" s="20">
        <f>IF(I3601="","",IF(IFERROR(INDEX(ctaLiq,MATCH(E3601,ctaNom,0))="Sí",FALSE),IF(OR(I3601="Gasto",I3601="Transferencia",I3601="Pago tarjeta"),-1,1)*O3601,0)+IF(AND(U3601&lt;&gt;"",IFERROR(INDEX(ctaLiq,MATCH(G3601,ctaNom,0))="Sí",FALSE)),O3601,0))</f>
        <v/>
      </c>
      <c r="W3601" s="19">
        <f>IF(OR(F3601="",I3601=""),"",IF(COUNTIFS(F$6:F3601,F3601,I$6:I3601,"?*")=1,MAX(W$5:W3600)+1,""))</f>
        <v/>
      </c>
    </row>
    <row r="3602">
      <c r="B3602" s="15" t="n"/>
      <c r="C3602" s="16" t="n"/>
      <c r="D3602" s="17" t="n"/>
      <c r="E3602" s="17" t="n"/>
      <c r="F3602" s="17" t="n"/>
      <c r="G3602" s="17" t="n"/>
      <c r="H3602" s="18">
        <f>IF(AND(B3602="",C3602="",D3602="",E3602=""),"",IF(B3602="","⚠ Falta fecha",IF(C3602="","⚠ Falta monto",IF(D3602="","⚠ Falta categoría",IF(ISNA(MATCH(D3602,catNom,0)),"⚠ Categoría no existe",IF(E3602="","⚠ Falta cuenta",IF(ISNA(MATCH(E3602,ctaNom,0)),"⚠ Cuenta no existe",IF(AND(OR(I3602="Transferencia",I3602="Pago tarjeta"),G3602=""),"⚠ Indica la cuenta «Hacia»",IF(AND(G3602&lt;&gt;"",G3602=E3602),"⚠ «Hacia» igual a la cuenta",IF(AND(G3602&lt;&gt;"",ISNA(MATCH(G3602,ctaNom,0))),"⚠ «Hacia» no existe",IF(AND(I3602="Pago tarjeta",IFERROR(INDEX(ctaTipo,MATCH(G3602,ctaNom,0)),"")&lt;&gt;"Tarjeta de crédito"),"⚠ «Hacia» debe ser la tarjeta",IF(AND(I3602="Trading",IFERROR(INDEX(ctaTipo,MATCH(E3602,ctaNom,0)),"")&lt;&gt;"Cuenta de trading"),"⚠ Usa la cuenta de trading","✓"))))))))))))</f>
        <v/>
      </c>
      <c r="I3602" s="19">
        <f>IF(OR(B3602="",C3602="",D3602=""),"",IFERROR(INDEX(catTipo,MATCH(D3602,catNom,0))&amp;"",""))</f>
        <v/>
      </c>
      <c r="J3602" s="19">
        <f>IF(I3602="","",IFERROR(INDEX(catGrupo,MATCH(D3602,catNom,0))&amp;"",""))</f>
        <v/>
      </c>
      <c r="K3602" s="19">
        <f>IF(I3602="Gasto",IF(IFERROR(INDEX(catClas,MATCH(D3602,catNom,0))&amp;"","")="","Variable",IFERROR(INDEX(catClas,MATCH(D3602,catNom,0))&amp;"","")),"")</f>
        <v/>
      </c>
      <c r="L3602" s="19">
        <f>IF(I3602="","",IFERROR(INDEX(catAlim,MATCH(D3602,catNom,0))&amp;"",""))</f>
        <v/>
      </c>
      <c r="M3602" s="19">
        <f>IF(I3602="","",IFERROR(INDEX(catComida,MATCH(D3602,catNom,0))&amp;"",""))</f>
        <v/>
      </c>
      <c r="N3602" s="19">
        <f>IF(I3602="","",IFERROR(INDEX(ctaMon,MATCH(E3602,ctaNom,0))&amp;"","DOP"))</f>
        <v/>
      </c>
      <c r="O3602" s="20">
        <f>IF(I3602="","",C3602*IF(N3602="USD",TasaUSD,1))</f>
        <v/>
      </c>
      <c r="P3602" s="20">
        <f>IF(I3602="","",IF(I3602="Gasto",O3602,0))</f>
        <v/>
      </c>
      <c r="Q3602" s="20">
        <f>IF(I3602="","",IF(I3602="Ingreso",O3602,0))</f>
        <v/>
      </c>
      <c r="R3602" s="20">
        <f>IF(I3602="","",IF(I3602="Trading",O3602,0))</f>
        <v/>
      </c>
      <c r="S3602" s="19">
        <f>IF(I3602="","",IF(AND(I3602="Gasto",K3602="Variable",J3602&lt;&gt;"Trading",O3602&gt;0,O3602&lt;=Umbral),1,0))</f>
        <v/>
      </c>
      <c r="T3602" s="20">
        <f>IF(OR(I3602="",E3602=""),"",IF(OR(I3602="Gasto",I3602="Transferencia",I3602="Pago tarjeta"),-1,1)*C3602)</f>
        <v/>
      </c>
      <c r="U3602" s="20">
        <f>IF(OR(G3602="",AND(I3602&lt;&gt;"Transferencia",I3602&lt;&gt;"Pago tarjeta")),"",IF(IFERROR(INDEX(ctaMon,MATCH(G3602,ctaNom,0))&amp;"","DOP")=N3602,C3602,IF(N3602="USD",C3602*TasaUSD,C3602/TasaUSD)))</f>
        <v/>
      </c>
      <c r="V3602" s="20">
        <f>IF(I3602="","",IF(IFERROR(INDEX(ctaLiq,MATCH(E3602,ctaNom,0))="Sí",FALSE),IF(OR(I3602="Gasto",I3602="Transferencia",I3602="Pago tarjeta"),-1,1)*O3602,0)+IF(AND(U3602&lt;&gt;"",IFERROR(INDEX(ctaLiq,MATCH(G3602,ctaNom,0))="Sí",FALSE)),O3602,0))</f>
        <v/>
      </c>
      <c r="W3602" s="19">
        <f>IF(OR(F3602="",I3602=""),"",IF(COUNTIFS(F$6:F3602,F3602,I$6:I3602,"?*")=1,MAX(W$5:W3601)+1,""))</f>
        <v/>
      </c>
    </row>
    <row r="3603">
      <c r="B3603" s="15" t="n"/>
      <c r="C3603" s="16" t="n"/>
      <c r="D3603" s="17" t="n"/>
      <c r="E3603" s="17" t="n"/>
      <c r="F3603" s="17" t="n"/>
      <c r="G3603" s="17" t="n"/>
      <c r="H3603" s="18">
        <f>IF(AND(B3603="",C3603="",D3603="",E3603=""),"",IF(B3603="","⚠ Falta fecha",IF(C3603="","⚠ Falta monto",IF(D3603="","⚠ Falta categoría",IF(ISNA(MATCH(D3603,catNom,0)),"⚠ Categoría no existe",IF(E3603="","⚠ Falta cuenta",IF(ISNA(MATCH(E3603,ctaNom,0)),"⚠ Cuenta no existe",IF(AND(OR(I3603="Transferencia",I3603="Pago tarjeta"),G3603=""),"⚠ Indica la cuenta «Hacia»",IF(AND(G3603&lt;&gt;"",G3603=E3603),"⚠ «Hacia» igual a la cuenta",IF(AND(G3603&lt;&gt;"",ISNA(MATCH(G3603,ctaNom,0))),"⚠ «Hacia» no existe",IF(AND(I3603="Pago tarjeta",IFERROR(INDEX(ctaTipo,MATCH(G3603,ctaNom,0)),"")&lt;&gt;"Tarjeta de crédito"),"⚠ «Hacia» debe ser la tarjeta",IF(AND(I3603="Trading",IFERROR(INDEX(ctaTipo,MATCH(E3603,ctaNom,0)),"")&lt;&gt;"Cuenta de trading"),"⚠ Usa la cuenta de trading","✓"))))))))))))</f>
        <v/>
      </c>
      <c r="I3603" s="19">
        <f>IF(OR(B3603="",C3603="",D3603=""),"",IFERROR(INDEX(catTipo,MATCH(D3603,catNom,0))&amp;"",""))</f>
        <v/>
      </c>
      <c r="J3603" s="19">
        <f>IF(I3603="","",IFERROR(INDEX(catGrupo,MATCH(D3603,catNom,0))&amp;"",""))</f>
        <v/>
      </c>
      <c r="K3603" s="19">
        <f>IF(I3603="Gasto",IF(IFERROR(INDEX(catClas,MATCH(D3603,catNom,0))&amp;"","")="","Variable",IFERROR(INDEX(catClas,MATCH(D3603,catNom,0))&amp;"","")),"")</f>
        <v/>
      </c>
      <c r="L3603" s="19">
        <f>IF(I3603="","",IFERROR(INDEX(catAlim,MATCH(D3603,catNom,0))&amp;"",""))</f>
        <v/>
      </c>
      <c r="M3603" s="19">
        <f>IF(I3603="","",IFERROR(INDEX(catComida,MATCH(D3603,catNom,0))&amp;"",""))</f>
        <v/>
      </c>
      <c r="N3603" s="19">
        <f>IF(I3603="","",IFERROR(INDEX(ctaMon,MATCH(E3603,ctaNom,0))&amp;"","DOP"))</f>
        <v/>
      </c>
      <c r="O3603" s="20">
        <f>IF(I3603="","",C3603*IF(N3603="USD",TasaUSD,1))</f>
        <v/>
      </c>
      <c r="P3603" s="20">
        <f>IF(I3603="","",IF(I3603="Gasto",O3603,0))</f>
        <v/>
      </c>
      <c r="Q3603" s="20">
        <f>IF(I3603="","",IF(I3603="Ingreso",O3603,0))</f>
        <v/>
      </c>
      <c r="R3603" s="20">
        <f>IF(I3603="","",IF(I3603="Trading",O3603,0))</f>
        <v/>
      </c>
      <c r="S3603" s="19">
        <f>IF(I3603="","",IF(AND(I3603="Gasto",K3603="Variable",J3603&lt;&gt;"Trading",O3603&gt;0,O3603&lt;=Umbral),1,0))</f>
        <v/>
      </c>
      <c r="T3603" s="20">
        <f>IF(OR(I3603="",E3603=""),"",IF(OR(I3603="Gasto",I3603="Transferencia",I3603="Pago tarjeta"),-1,1)*C3603)</f>
        <v/>
      </c>
      <c r="U3603" s="20">
        <f>IF(OR(G3603="",AND(I3603&lt;&gt;"Transferencia",I3603&lt;&gt;"Pago tarjeta")),"",IF(IFERROR(INDEX(ctaMon,MATCH(G3603,ctaNom,0))&amp;"","DOP")=N3603,C3603,IF(N3603="USD",C3603*TasaUSD,C3603/TasaUSD)))</f>
        <v/>
      </c>
      <c r="V3603" s="20">
        <f>IF(I3603="","",IF(IFERROR(INDEX(ctaLiq,MATCH(E3603,ctaNom,0))="Sí",FALSE),IF(OR(I3603="Gasto",I3603="Transferencia",I3603="Pago tarjeta"),-1,1)*O3603,0)+IF(AND(U3603&lt;&gt;"",IFERROR(INDEX(ctaLiq,MATCH(G3603,ctaNom,0))="Sí",FALSE)),O3603,0))</f>
        <v/>
      </c>
      <c r="W3603" s="19">
        <f>IF(OR(F3603="",I3603=""),"",IF(COUNTIFS(F$6:F3603,F3603,I$6:I3603,"?*")=1,MAX(W$5:W3602)+1,""))</f>
        <v/>
      </c>
    </row>
    <row r="3604">
      <c r="B3604" s="15" t="n"/>
      <c r="C3604" s="16" t="n"/>
      <c r="D3604" s="17" t="n"/>
      <c r="E3604" s="17" t="n"/>
      <c r="F3604" s="17" t="n"/>
      <c r="G3604" s="17" t="n"/>
      <c r="H3604" s="18">
        <f>IF(AND(B3604="",C3604="",D3604="",E3604=""),"",IF(B3604="","⚠ Falta fecha",IF(C3604="","⚠ Falta monto",IF(D3604="","⚠ Falta categoría",IF(ISNA(MATCH(D3604,catNom,0)),"⚠ Categoría no existe",IF(E3604="","⚠ Falta cuenta",IF(ISNA(MATCH(E3604,ctaNom,0)),"⚠ Cuenta no existe",IF(AND(OR(I3604="Transferencia",I3604="Pago tarjeta"),G3604=""),"⚠ Indica la cuenta «Hacia»",IF(AND(G3604&lt;&gt;"",G3604=E3604),"⚠ «Hacia» igual a la cuenta",IF(AND(G3604&lt;&gt;"",ISNA(MATCH(G3604,ctaNom,0))),"⚠ «Hacia» no existe",IF(AND(I3604="Pago tarjeta",IFERROR(INDEX(ctaTipo,MATCH(G3604,ctaNom,0)),"")&lt;&gt;"Tarjeta de crédito"),"⚠ «Hacia» debe ser la tarjeta",IF(AND(I3604="Trading",IFERROR(INDEX(ctaTipo,MATCH(E3604,ctaNom,0)),"")&lt;&gt;"Cuenta de trading"),"⚠ Usa la cuenta de trading","✓"))))))))))))</f>
        <v/>
      </c>
      <c r="I3604" s="19">
        <f>IF(OR(B3604="",C3604="",D3604=""),"",IFERROR(INDEX(catTipo,MATCH(D3604,catNom,0))&amp;"",""))</f>
        <v/>
      </c>
      <c r="J3604" s="19">
        <f>IF(I3604="","",IFERROR(INDEX(catGrupo,MATCH(D3604,catNom,0))&amp;"",""))</f>
        <v/>
      </c>
      <c r="K3604" s="19">
        <f>IF(I3604="Gasto",IF(IFERROR(INDEX(catClas,MATCH(D3604,catNom,0))&amp;"","")="","Variable",IFERROR(INDEX(catClas,MATCH(D3604,catNom,0))&amp;"","")),"")</f>
        <v/>
      </c>
      <c r="L3604" s="19">
        <f>IF(I3604="","",IFERROR(INDEX(catAlim,MATCH(D3604,catNom,0))&amp;"",""))</f>
        <v/>
      </c>
      <c r="M3604" s="19">
        <f>IF(I3604="","",IFERROR(INDEX(catComida,MATCH(D3604,catNom,0))&amp;"",""))</f>
        <v/>
      </c>
      <c r="N3604" s="19">
        <f>IF(I3604="","",IFERROR(INDEX(ctaMon,MATCH(E3604,ctaNom,0))&amp;"","DOP"))</f>
        <v/>
      </c>
      <c r="O3604" s="20">
        <f>IF(I3604="","",C3604*IF(N3604="USD",TasaUSD,1))</f>
        <v/>
      </c>
      <c r="P3604" s="20">
        <f>IF(I3604="","",IF(I3604="Gasto",O3604,0))</f>
        <v/>
      </c>
      <c r="Q3604" s="20">
        <f>IF(I3604="","",IF(I3604="Ingreso",O3604,0))</f>
        <v/>
      </c>
      <c r="R3604" s="20">
        <f>IF(I3604="","",IF(I3604="Trading",O3604,0))</f>
        <v/>
      </c>
      <c r="S3604" s="19">
        <f>IF(I3604="","",IF(AND(I3604="Gasto",K3604="Variable",J3604&lt;&gt;"Trading",O3604&gt;0,O3604&lt;=Umbral),1,0))</f>
        <v/>
      </c>
      <c r="T3604" s="20">
        <f>IF(OR(I3604="",E3604=""),"",IF(OR(I3604="Gasto",I3604="Transferencia",I3604="Pago tarjeta"),-1,1)*C3604)</f>
        <v/>
      </c>
      <c r="U3604" s="20">
        <f>IF(OR(G3604="",AND(I3604&lt;&gt;"Transferencia",I3604&lt;&gt;"Pago tarjeta")),"",IF(IFERROR(INDEX(ctaMon,MATCH(G3604,ctaNom,0))&amp;"","DOP")=N3604,C3604,IF(N3604="USD",C3604*TasaUSD,C3604/TasaUSD)))</f>
        <v/>
      </c>
      <c r="V3604" s="20">
        <f>IF(I3604="","",IF(IFERROR(INDEX(ctaLiq,MATCH(E3604,ctaNom,0))="Sí",FALSE),IF(OR(I3604="Gasto",I3604="Transferencia",I3604="Pago tarjeta"),-1,1)*O3604,0)+IF(AND(U3604&lt;&gt;"",IFERROR(INDEX(ctaLiq,MATCH(G3604,ctaNom,0))="Sí",FALSE)),O3604,0))</f>
        <v/>
      </c>
      <c r="W3604" s="19">
        <f>IF(OR(F3604="",I3604=""),"",IF(COUNTIFS(F$6:F3604,F3604,I$6:I3604,"?*")=1,MAX(W$5:W3603)+1,""))</f>
        <v/>
      </c>
    </row>
    <row r="3605">
      <c r="B3605" s="15" t="n"/>
      <c r="C3605" s="16" t="n"/>
      <c r="D3605" s="17" t="n"/>
      <c r="E3605" s="17" t="n"/>
      <c r="F3605" s="17" t="n"/>
      <c r="G3605" s="17" t="n"/>
      <c r="H3605" s="18">
        <f>IF(AND(B3605="",C3605="",D3605="",E3605=""),"",IF(B3605="","⚠ Falta fecha",IF(C3605="","⚠ Falta monto",IF(D3605="","⚠ Falta categoría",IF(ISNA(MATCH(D3605,catNom,0)),"⚠ Categoría no existe",IF(E3605="","⚠ Falta cuenta",IF(ISNA(MATCH(E3605,ctaNom,0)),"⚠ Cuenta no existe",IF(AND(OR(I3605="Transferencia",I3605="Pago tarjeta"),G3605=""),"⚠ Indica la cuenta «Hacia»",IF(AND(G3605&lt;&gt;"",G3605=E3605),"⚠ «Hacia» igual a la cuenta",IF(AND(G3605&lt;&gt;"",ISNA(MATCH(G3605,ctaNom,0))),"⚠ «Hacia» no existe",IF(AND(I3605="Pago tarjeta",IFERROR(INDEX(ctaTipo,MATCH(G3605,ctaNom,0)),"")&lt;&gt;"Tarjeta de crédito"),"⚠ «Hacia» debe ser la tarjeta",IF(AND(I3605="Trading",IFERROR(INDEX(ctaTipo,MATCH(E3605,ctaNom,0)),"")&lt;&gt;"Cuenta de trading"),"⚠ Usa la cuenta de trading","✓"))))))))))))</f>
        <v/>
      </c>
      <c r="I3605" s="19">
        <f>IF(OR(B3605="",C3605="",D3605=""),"",IFERROR(INDEX(catTipo,MATCH(D3605,catNom,0))&amp;"",""))</f>
        <v/>
      </c>
      <c r="J3605" s="19">
        <f>IF(I3605="","",IFERROR(INDEX(catGrupo,MATCH(D3605,catNom,0))&amp;"",""))</f>
        <v/>
      </c>
      <c r="K3605" s="19">
        <f>IF(I3605="Gasto",IF(IFERROR(INDEX(catClas,MATCH(D3605,catNom,0))&amp;"","")="","Variable",IFERROR(INDEX(catClas,MATCH(D3605,catNom,0))&amp;"","")),"")</f>
        <v/>
      </c>
      <c r="L3605" s="19">
        <f>IF(I3605="","",IFERROR(INDEX(catAlim,MATCH(D3605,catNom,0))&amp;"",""))</f>
        <v/>
      </c>
      <c r="M3605" s="19">
        <f>IF(I3605="","",IFERROR(INDEX(catComida,MATCH(D3605,catNom,0))&amp;"",""))</f>
        <v/>
      </c>
      <c r="N3605" s="19">
        <f>IF(I3605="","",IFERROR(INDEX(ctaMon,MATCH(E3605,ctaNom,0))&amp;"","DOP"))</f>
        <v/>
      </c>
      <c r="O3605" s="20">
        <f>IF(I3605="","",C3605*IF(N3605="USD",TasaUSD,1))</f>
        <v/>
      </c>
      <c r="P3605" s="20">
        <f>IF(I3605="","",IF(I3605="Gasto",O3605,0))</f>
        <v/>
      </c>
      <c r="Q3605" s="20">
        <f>IF(I3605="","",IF(I3605="Ingreso",O3605,0))</f>
        <v/>
      </c>
      <c r="R3605" s="20">
        <f>IF(I3605="","",IF(I3605="Trading",O3605,0))</f>
        <v/>
      </c>
      <c r="S3605" s="19">
        <f>IF(I3605="","",IF(AND(I3605="Gasto",K3605="Variable",J3605&lt;&gt;"Trading",O3605&gt;0,O3605&lt;=Umbral),1,0))</f>
        <v/>
      </c>
      <c r="T3605" s="20">
        <f>IF(OR(I3605="",E3605=""),"",IF(OR(I3605="Gasto",I3605="Transferencia",I3605="Pago tarjeta"),-1,1)*C3605)</f>
        <v/>
      </c>
      <c r="U3605" s="20">
        <f>IF(OR(G3605="",AND(I3605&lt;&gt;"Transferencia",I3605&lt;&gt;"Pago tarjeta")),"",IF(IFERROR(INDEX(ctaMon,MATCH(G3605,ctaNom,0))&amp;"","DOP")=N3605,C3605,IF(N3605="USD",C3605*TasaUSD,C3605/TasaUSD)))</f>
        <v/>
      </c>
      <c r="V3605" s="20">
        <f>IF(I3605="","",IF(IFERROR(INDEX(ctaLiq,MATCH(E3605,ctaNom,0))="Sí",FALSE),IF(OR(I3605="Gasto",I3605="Transferencia",I3605="Pago tarjeta"),-1,1)*O3605,0)+IF(AND(U3605&lt;&gt;"",IFERROR(INDEX(ctaLiq,MATCH(G3605,ctaNom,0))="Sí",FALSE)),O3605,0))</f>
        <v/>
      </c>
      <c r="W3605" s="19">
        <f>IF(OR(F3605="",I3605=""),"",IF(COUNTIFS(F$6:F3605,F3605,I$6:I3605,"?*")=1,MAX(W$5:W3604)+1,""))</f>
        <v/>
      </c>
    </row>
    <row r="3606">
      <c r="B3606" s="15" t="n"/>
      <c r="C3606" s="16" t="n"/>
      <c r="D3606" s="17" t="n"/>
      <c r="E3606" s="17" t="n"/>
      <c r="F3606" s="17" t="n"/>
      <c r="G3606" s="17" t="n"/>
      <c r="H3606" s="18">
        <f>IF(AND(B3606="",C3606="",D3606="",E3606=""),"",IF(B3606="","⚠ Falta fecha",IF(C3606="","⚠ Falta monto",IF(D3606="","⚠ Falta categoría",IF(ISNA(MATCH(D3606,catNom,0)),"⚠ Categoría no existe",IF(E3606="","⚠ Falta cuenta",IF(ISNA(MATCH(E3606,ctaNom,0)),"⚠ Cuenta no existe",IF(AND(OR(I3606="Transferencia",I3606="Pago tarjeta"),G3606=""),"⚠ Indica la cuenta «Hacia»",IF(AND(G3606&lt;&gt;"",G3606=E3606),"⚠ «Hacia» igual a la cuenta",IF(AND(G3606&lt;&gt;"",ISNA(MATCH(G3606,ctaNom,0))),"⚠ «Hacia» no existe",IF(AND(I3606="Pago tarjeta",IFERROR(INDEX(ctaTipo,MATCH(G3606,ctaNom,0)),"")&lt;&gt;"Tarjeta de crédito"),"⚠ «Hacia» debe ser la tarjeta",IF(AND(I3606="Trading",IFERROR(INDEX(ctaTipo,MATCH(E3606,ctaNom,0)),"")&lt;&gt;"Cuenta de trading"),"⚠ Usa la cuenta de trading","✓"))))))))))))</f>
        <v/>
      </c>
      <c r="I3606" s="19">
        <f>IF(OR(B3606="",C3606="",D3606=""),"",IFERROR(INDEX(catTipo,MATCH(D3606,catNom,0))&amp;"",""))</f>
        <v/>
      </c>
      <c r="J3606" s="19">
        <f>IF(I3606="","",IFERROR(INDEX(catGrupo,MATCH(D3606,catNom,0))&amp;"",""))</f>
        <v/>
      </c>
      <c r="K3606" s="19">
        <f>IF(I3606="Gasto",IF(IFERROR(INDEX(catClas,MATCH(D3606,catNom,0))&amp;"","")="","Variable",IFERROR(INDEX(catClas,MATCH(D3606,catNom,0))&amp;"","")),"")</f>
        <v/>
      </c>
      <c r="L3606" s="19">
        <f>IF(I3606="","",IFERROR(INDEX(catAlim,MATCH(D3606,catNom,0))&amp;"",""))</f>
        <v/>
      </c>
      <c r="M3606" s="19">
        <f>IF(I3606="","",IFERROR(INDEX(catComida,MATCH(D3606,catNom,0))&amp;"",""))</f>
        <v/>
      </c>
      <c r="N3606" s="19">
        <f>IF(I3606="","",IFERROR(INDEX(ctaMon,MATCH(E3606,ctaNom,0))&amp;"","DOP"))</f>
        <v/>
      </c>
      <c r="O3606" s="20">
        <f>IF(I3606="","",C3606*IF(N3606="USD",TasaUSD,1))</f>
        <v/>
      </c>
      <c r="P3606" s="20">
        <f>IF(I3606="","",IF(I3606="Gasto",O3606,0))</f>
        <v/>
      </c>
      <c r="Q3606" s="20">
        <f>IF(I3606="","",IF(I3606="Ingreso",O3606,0))</f>
        <v/>
      </c>
      <c r="R3606" s="20">
        <f>IF(I3606="","",IF(I3606="Trading",O3606,0))</f>
        <v/>
      </c>
      <c r="S3606" s="19">
        <f>IF(I3606="","",IF(AND(I3606="Gasto",K3606="Variable",J3606&lt;&gt;"Trading",O3606&gt;0,O3606&lt;=Umbral),1,0))</f>
        <v/>
      </c>
      <c r="T3606" s="20">
        <f>IF(OR(I3606="",E3606=""),"",IF(OR(I3606="Gasto",I3606="Transferencia",I3606="Pago tarjeta"),-1,1)*C3606)</f>
        <v/>
      </c>
      <c r="U3606" s="20">
        <f>IF(OR(G3606="",AND(I3606&lt;&gt;"Transferencia",I3606&lt;&gt;"Pago tarjeta")),"",IF(IFERROR(INDEX(ctaMon,MATCH(G3606,ctaNom,0))&amp;"","DOP")=N3606,C3606,IF(N3606="USD",C3606*TasaUSD,C3606/TasaUSD)))</f>
        <v/>
      </c>
      <c r="V3606" s="20">
        <f>IF(I3606="","",IF(IFERROR(INDEX(ctaLiq,MATCH(E3606,ctaNom,0))="Sí",FALSE),IF(OR(I3606="Gasto",I3606="Transferencia",I3606="Pago tarjeta"),-1,1)*O3606,0)+IF(AND(U3606&lt;&gt;"",IFERROR(INDEX(ctaLiq,MATCH(G3606,ctaNom,0))="Sí",FALSE)),O3606,0))</f>
        <v/>
      </c>
      <c r="W3606" s="19">
        <f>IF(OR(F3606="",I3606=""),"",IF(COUNTIFS(F$6:F3606,F3606,I$6:I3606,"?*")=1,MAX(W$5:W3605)+1,""))</f>
        <v/>
      </c>
    </row>
    <row r="3607">
      <c r="B3607" s="15" t="n"/>
      <c r="C3607" s="16" t="n"/>
      <c r="D3607" s="17" t="n"/>
      <c r="E3607" s="17" t="n"/>
      <c r="F3607" s="17" t="n"/>
      <c r="G3607" s="17" t="n"/>
      <c r="H3607" s="18">
        <f>IF(AND(B3607="",C3607="",D3607="",E3607=""),"",IF(B3607="","⚠ Falta fecha",IF(C3607="","⚠ Falta monto",IF(D3607="","⚠ Falta categoría",IF(ISNA(MATCH(D3607,catNom,0)),"⚠ Categoría no existe",IF(E3607="","⚠ Falta cuenta",IF(ISNA(MATCH(E3607,ctaNom,0)),"⚠ Cuenta no existe",IF(AND(OR(I3607="Transferencia",I3607="Pago tarjeta"),G3607=""),"⚠ Indica la cuenta «Hacia»",IF(AND(G3607&lt;&gt;"",G3607=E3607),"⚠ «Hacia» igual a la cuenta",IF(AND(G3607&lt;&gt;"",ISNA(MATCH(G3607,ctaNom,0))),"⚠ «Hacia» no existe",IF(AND(I3607="Pago tarjeta",IFERROR(INDEX(ctaTipo,MATCH(G3607,ctaNom,0)),"")&lt;&gt;"Tarjeta de crédito"),"⚠ «Hacia» debe ser la tarjeta",IF(AND(I3607="Trading",IFERROR(INDEX(ctaTipo,MATCH(E3607,ctaNom,0)),"")&lt;&gt;"Cuenta de trading"),"⚠ Usa la cuenta de trading","✓"))))))))))))</f>
        <v/>
      </c>
      <c r="I3607" s="19">
        <f>IF(OR(B3607="",C3607="",D3607=""),"",IFERROR(INDEX(catTipo,MATCH(D3607,catNom,0))&amp;"",""))</f>
        <v/>
      </c>
      <c r="J3607" s="19">
        <f>IF(I3607="","",IFERROR(INDEX(catGrupo,MATCH(D3607,catNom,0))&amp;"",""))</f>
        <v/>
      </c>
      <c r="K3607" s="19">
        <f>IF(I3607="Gasto",IF(IFERROR(INDEX(catClas,MATCH(D3607,catNom,0))&amp;"","")="","Variable",IFERROR(INDEX(catClas,MATCH(D3607,catNom,0))&amp;"","")),"")</f>
        <v/>
      </c>
      <c r="L3607" s="19">
        <f>IF(I3607="","",IFERROR(INDEX(catAlim,MATCH(D3607,catNom,0))&amp;"",""))</f>
        <v/>
      </c>
      <c r="M3607" s="19">
        <f>IF(I3607="","",IFERROR(INDEX(catComida,MATCH(D3607,catNom,0))&amp;"",""))</f>
        <v/>
      </c>
      <c r="N3607" s="19">
        <f>IF(I3607="","",IFERROR(INDEX(ctaMon,MATCH(E3607,ctaNom,0))&amp;"","DOP"))</f>
        <v/>
      </c>
      <c r="O3607" s="20">
        <f>IF(I3607="","",C3607*IF(N3607="USD",TasaUSD,1))</f>
        <v/>
      </c>
      <c r="P3607" s="20">
        <f>IF(I3607="","",IF(I3607="Gasto",O3607,0))</f>
        <v/>
      </c>
      <c r="Q3607" s="20">
        <f>IF(I3607="","",IF(I3607="Ingreso",O3607,0))</f>
        <v/>
      </c>
      <c r="R3607" s="20">
        <f>IF(I3607="","",IF(I3607="Trading",O3607,0))</f>
        <v/>
      </c>
      <c r="S3607" s="19">
        <f>IF(I3607="","",IF(AND(I3607="Gasto",K3607="Variable",J3607&lt;&gt;"Trading",O3607&gt;0,O3607&lt;=Umbral),1,0))</f>
        <v/>
      </c>
      <c r="T3607" s="20">
        <f>IF(OR(I3607="",E3607=""),"",IF(OR(I3607="Gasto",I3607="Transferencia",I3607="Pago tarjeta"),-1,1)*C3607)</f>
        <v/>
      </c>
      <c r="U3607" s="20">
        <f>IF(OR(G3607="",AND(I3607&lt;&gt;"Transferencia",I3607&lt;&gt;"Pago tarjeta")),"",IF(IFERROR(INDEX(ctaMon,MATCH(G3607,ctaNom,0))&amp;"","DOP")=N3607,C3607,IF(N3607="USD",C3607*TasaUSD,C3607/TasaUSD)))</f>
        <v/>
      </c>
      <c r="V3607" s="20">
        <f>IF(I3607="","",IF(IFERROR(INDEX(ctaLiq,MATCH(E3607,ctaNom,0))="Sí",FALSE),IF(OR(I3607="Gasto",I3607="Transferencia",I3607="Pago tarjeta"),-1,1)*O3607,0)+IF(AND(U3607&lt;&gt;"",IFERROR(INDEX(ctaLiq,MATCH(G3607,ctaNom,0))="Sí",FALSE)),O3607,0))</f>
        <v/>
      </c>
      <c r="W3607" s="19">
        <f>IF(OR(F3607="",I3607=""),"",IF(COUNTIFS(F$6:F3607,F3607,I$6:I3607,"?*")=1,MAX(W$5:W3606)+1,""))</f>
        <v/>
      </c>
    </row>
    <row r="3608">
      <c r="B3608" s="15" t="n"/>
      <c r="C3608" s="16" t="n"/>
      <c r="D3608" s="17" t="n"/>
      <c r="E3608" s="17" t="n"/>
      <c r="F3608" s="17" t="n"/>
      <c r="G3608" s="17" t="n"/>
      <c r="H3608" s="18">
        <f>IF(AND(B3608="",C3608="",D3608="",E3608=""),"",IF(B3608="","⚠ Falta fecha",IF(C3608="","⚠ Falta monto",IF(D3608="","⚠ Falta categoría",IF(ISNA(MATCH(D3608,catNom,0)),"⚠ Categoría no existe",IF(E3608="","⚠ Falta cuenta",IF(ISNA(MATCH(E3608,ctaNom,0)),"⚠ Cuenta no existe",IF(AND(OR(I3608="Transferencia",I3608="Pago tarjeta"),G3608=""),"⚠ Indica la cuenta «Hacia»",IF(AND(G3608&lt;&gt;"",G3608=E3608),"⚠ «Hacia» igual a la cuenta",IF(AND(G3608&lt;&gt;"",ISNA(MATCH(G3608,ctaNom,0))),"⚠ «Hacia» no existe",IF(AND(I3608="Pago tarjeta",IFERROR(INDEX(ctaTipo,MATCH(G3608,ctaNom,0)),"")&lt;&gt;"Tarjeta de crédito"),"⚠ «Hacia» debe ser la tarjeta",IF(AND(I3608="Trading",IFERROR(INDEX(ctaTipo,MATCH(E3608,ctaNom,0)),"")&lt;&gt;"Cuenta de trading"),"⚠ Usa la cuenta de trading","✓"))))))))))))</f>
        <v/>
      </c>
      <c r="I3608" s="19">
        <f>IF(OR(B3608="",C3608="",D3608=""),"",IFERROR(INDEX(catTipo,MATCH(D3608,catNom,0))&amp;"",""))</f>
        <v/>
      </c>
      <c r="J3608" s="19">
        <f>IF(I3608="","",IFERROR(INDEX(catGrupo,MATCH(D3608,catNom,0))&amp;"",""))</f>
        <v/>
      </c>
      <c r="K3608" s="19">
        <f>IF(I3608="Gasto",IF(IFERROR(INDEX(catClas,MATCH(D3608,catNom,0))&amp;"","")="","Variable",IFERROR(INDEX(catClas,MATCH(D3608,catNom,0))&amp;"","")),"")</f>
        <v/>
      </c>
      <c r="L3608" s="19">
        <f>IF(I3608="","",IFERROR(INDEX(catAlim,MATCH(D3608,catNom,0))&amp;"",""))</f>
        <v/>
      </c>
      <c r="M3608" s="19">
        <f>IF(I3608="","",IFERROR(INDEX(catComida,MATCH(D3608,catNom,0))&amp;"",""))</f>
        <v/>
      </c>
      <c r="N3608" s="19">
        <f>IF(I3608="","",IFERROR(INDEX(ctaMon,MATCH(E3608,ctaNom,0))&amp;"","DOP"))</f>
        <v/>
      </c>
      <c r="O3608" s="20">
        <f>IF(I3608="","",C3608*IF(N3608="USD",TasaUSD,1))</f>
        <v/>
      </c>
      <c r="P3608" s="20">
        <f>IF(I3608="","",IF(I3608="Gasto",O3608,0))</f>
        <v/>
      </c>
      <c r="Q3608" s="20">
        <f>IF(I3608="","",IF(I3608="Ingreso",O3608,0))</f>
        <v/>
      </c>
      <c r="R3608" s="20">
        <f>IF(I3608="","",IF(I3608="Trading",O3608,0))</f>
        <v/>
      </c>
      <c r="S3608" s="19">
        <f>IF(I3608="","",IF(AND(I3608="Gasto",K3608="Variable",J3608&lt;&gt;"Trading",O3608&gt;0,O3608&lt;=Umbral),1,0))</f>
        <v/>
      </c>
      <c r="T3608" s="20">
        <f>IF(OR(I3608="",E3608=""),"",IF(OR(I3608="Gasto",I3608="Transferencia",I3608="Pago tarjeta"),-1,1)*C3608)</f>
        <v/>
      </c>
      <c r="U3608" s="20">
        <f>IF(OR(G3608="",AND(I3608&lt;&gt;"Transferencia",I3608&lt;&gt;"Pago tarjeta")),"",IF(IFERROR(INDEX(ctaMon,MATCH(G3608,ctaNom,0))&amp;"","DOP")=N3608,C3608,IF(N3608="USD",C3608*TasaUSD,C3608/TasaUSD)))</f>
        <v/>
      </c>
      <c r="V3608" s="20">
        <f>IF(I3608="","",IF(IFERROR(INDEX(ctaLiq,MATCH(E3608,ctaNom,0))="Sí",FALSE),IF(OR(I3608="Gasto",I3608="Transferencia",I3608="Pago tarjeta"),-1,1)*O3608,0)+IF(AND(U3608&lt;&gt;"",IFERROR(INDEX(ctaLiq,MATCH(G3608,ctaNom,0))="Sí",FALSE)),O3608,0))</f>
        <v/>
      </c>
      <c r="W3608" s="19">
        <f>IF(OR(F3608="",I3608=""),"",IF(COUNTIFS(F$6:F3608,F3608,I$6:I3608,"?*")=1,MAX(W$5:W3607)+1,""))</f>
        <v/>
      </c>
    </row>
    <row r="3609">
      <c r="B3609" s="15" t="n"/>
      <c r="C3609" s="16" t="n"/>
      <c r="D3609" s="17" t="n"/>
      <c r="E3609" s="17" t="n"/>
      <c r="F3609" s="17" t="n"/>
      <c r="G3609" s="17" t="n"/>
      <c r="H3609" s="18">
        <f>IF(AND(B3609="",C3609="",D3609="",E3609=""),"",IF(B3609="","⚠ Falta fecha",IF(C3609="","⚠ Falta monto",IF(D3609="","⚠ Falta categoría",IF(ISNA(MATCH(D3609,catNom,0)),"⚠ Categoría no existe",IF(E3609="","⚠ Falta cuenta",IF(ISNA(MATCH(E3609,ctaNom,0)),"⚠ Cuenta no existe",IF(AND(OR(I3609="Transferencia",I3609="Pago tarjeta"),G3609=""),"⚠ Indica la cuenta «Hacia»",IF(AND(G3609&lt;&gt;"",G3609=E3609),"⚠ «Hacia» igual a la cuenta",IF(AND(G3609&lt;&gt;"",ISNA(MATCH(G3609,ctaNom,0))),"⚠ «Hacia» no existe",IF(AND(I3609="Pago tarjeta",IFERROR(INDEX(ctaTipo,MATCH(G3609,ctaNom,0)),"")&lt;&gt;"Tarjeta de crédito"),"⚠ «Hacia» debe ser la tarjeta",IF(AND(I3609="Trading",IFERROR(INDEX(ctaTipo,MATCH(E3609,ctaNom,0)),"")&lt;&gt;"Cuenta de trading"),"⚠ Usa la cuenta de trading","✓"))))))))))))</f>
        <v/>
      </c>
      <c r="I3609" s="19">
        <f>IF(OR(B3609="",C3609="",D3609=""),"",IFERROR(INDEX(catTipo,MATCH(D3609,catNom,0))&amp;"",""))</f>
        <v/>
      </c>
      <c r="J3609" s="19">
        <f>IF(I3609="","",IFERROR(INDEX(catGrupo,MATCH(D3609,catNom,0))&amp;"",""))</f>
        <v/>
      </c>
      <c r="K3609" s="19">
        <f>IF(I3609="Gasto",IF(IFERROR(INDEX(catClas,MATCH(D3609,catNom,0))&amp;"","")="","Variable",IFERROR(INDEX(catClas,MATCH(D3609,catNom,0))&amp;"","")),"")</f>
        <v/>
      </c>
      <c r="L3609" s="19">
        <f>IF(I3609="","",IFERROR(INDEX(catAlim,MATCH(D3609,catNom,0))&amp;"",""))</f>
        <v/>
      </c>
      <c r="M3609" s="19">
        <f>IF(I3609="","",IFERROR(INDEX(catComida,MATCH(D3609,catNom,0))&amp;"",""))</f>
        <v/>
      </c>
      <c r="N3609" s="19">
        <f>IF(I3609="","",IFERROR(INDEX(ctaMon,MATCH(E3609,ctaNom,0))&amp;"","DOP"))</f>
        <v/>
      </c>
      <c r="O3609" s="20">
        <f>IF(I3609="","",C3609*IF(N3609="USD",TasaUSD,1))</f>
        <v/>
      </c>
      <c r="P3609" s="20">
        <f>IF(I3609="","",IF(I3609="Gasto",O3609,0))</f>
        <v/>
      </c>
      <c r="Q3609" s="20">
        <f>IF(I3609="","",IF(I3609="Ingreso",O3609,0))</f>
        <v/>
      </c>
      <c r="R3609" s="20">
        <f>IF(I3609="","",IF(I3609="Trading",O3609,0))</f>
        <v/>
      </c>
      <c r="S3609" s="19">
        <f>IF(I3609="","",IF(AND(I3609="Gasto",K3609="Variable",J3609&lt;&gt;"Trading",O3609&gt;0,O3609&lt;=Umbral),1,0))</f>
        <v/>
      </c>
      <c r="T3609" s="20">
        <f>IF(OR(I3609="",E3609=""),"",IF(OR(I3609="Gasto",I3609="Transferencia",I3609="Pago tarjeta"),-1,1)*C3609)</f>
        <v/>
      </c>
      <c r="U3609" s="20">
        <f>IF(OR(G3609="",AND(I3609&lt;&gt;"Transferencia",I3609&lt;&gt;"Pago tarjeta")),"",IF(IFERROR(INDEX(ctaMon,MATCH(G3609,ctaNom,0))&amp;"","DOP")=N3609,C3609,IF(N3609="USD",C3609*TasaUSD,C3609/TasaUSD)))</f>
        <v/>
      </c>
      <c r="V3609" s="20">
        <f>IF(I3609="","",IF(IFERROR(INDEX(ctaLiq,MATCH(E3609,ctaNom,0))="Sí",FALSE),IF(OR(I3609="Gasto",I3609="Transferencia",I3609="Pago tarjeta"),-1,1)*O3609,0)+IF(AND(U3609&lt;&gt;"",IFERROR(INDEX(ctaLiq,MATCH(G3609,ctaNom,0))="Sí",FALSE)),O3609,0))</f>
        <v/>
      </c>
      <c r="W3609" s="19">
        <f>IF(OR(F3609="",I3609=""),"",IF(COUNTIFS(F$6:F3609,F3609,I$6:I3609,"?*")=1,MAX(W$5:W3608)+1,""))</f>
        <v/>
      </c>
    </row>
    <row r="3610">
      <c r="B3610" s="15" t="n"/>
      <c r="C3610" s="16" t="n"/>
      <c r="D3610" s="17" t="n"/>
      <c r="E3610" s="17" t="n"/>
      <c r="F3610" s="17" t="n"/>
      <c r="G3610" s="17" t="n"/>
      <c r="H3610" s="18">
        <f>IF(AND(B3610="",C3610="",D3610="",E3610=""),"",IF(B3610="","⚠ Falta fecha",IF(C3610="","⚠ Falta monto",IF(D3610="","⚠ Falta categoría",IF(ISNA(MATCH(D3610,catNom,0)),"⚠ Categoría no existe",IF(E3610="","⚠ Falta cuenta",IF(ISNA(MATCH(E3610,ctaNom,0)),"⚠ Cuenta no existe",IF(AND(OR(I3610="Transferencia",I3610="Pago tarjeta"),G3610=""),"⚠ Indica la cuenta «Hacia»",IF(AND(G3610&lt;&gt;"",G3610=E3610),"⚠ «Hacia» igual a la cuenta",IF(AND(G3610&lt;&gt;"",ISNA(MATCH(G3610,ctaNom,0))),"⚠ «Hacia» no existe",IF(AND(I3610="Pago tarjeta",IFERROR(INDEX(ctaTipo,MATCH(G3610,ctaNom,0)),"")&lt;&gt;"Tarjeta de crédito"),"⚠ «Hacia» debe ser la tarjeta",IF(AND(I3610="Trading",IFERROR(INDEX(ctaTipo,MATCH(E3610,ctaNom,0)),"")&lt;&gt;"Cuenta de trading"),"⚠ Usa la cuenta de trading","✓"))))))))))))</f>
        <v/>
      </c>
      <c r="I3610" s="19">
        <f>IF(OR(B3610="",C3610="",D3610=""),"",IFERROR(INDEX(catTipo,MATCH(D3610,catNom,0))&amp;"",""))</f>
        <v/>
      </c>
      <c r="J3610" s="19">
        <f>IF(I3610="","",IFERROR(INDEX(catGrupo,MATCH(D3610,catNom,0))&amp;"",""))</f>
        <v/>
      </c>
      <c r="K3610" s="19">
        <f>IF(I3610="Gasto",IF(IFERROR(INDEX(catClas,MATCH(D3610,catNom,0))&amp;"","")="","Variable",IFERROR(INDEX(catClas,MATCH(D3610,catNom,0))&amp;"","")),"")</f>
        <v/>
      </c>
      <c r="L3610" s="19">
        <f>IF(I3610="","",IFERROR(INDEX(catAlim,MATCH(D3610,catNom,0))&amp;"",""))</f>
        <v/>
      </c>
      <c r="M3610" s="19">
        <f>IF(I3610="","",IFERROR(INDEX(catComida,MATCH(D3610,catNom,0))&amp;"",""))</f>
        <v/>
      </c>
      <c r="N3610" s="19">
        <f>IF(I3610="","",IFERROR(INDEX(ctaMon,MATCH(E3610,ctaNom,0))&amp;"","DOP"))</f>
        <v/>
      </c>
      <c r="O3610" s="20">
        <f>IF(I3610="","",C3610*IF(N3610="USD",TasaUSD,1))</f>
        <v/>
      </c>
      <c r="P3610" s="20">
        <f>IF(I3610="","",IF(I3610="Gasto",O3610,0))</f>
        <v/>
      </c>
      <c r="Q3610" s="20">
        <f>IF(I3610="","",IF(I3610="Ingreso",O3610,0))</f>
        <v/>
      </c>
      <c r="R3610" s="20">
        <f>IF(I3610="","",IF(I3610="Trading",O3610,0))</f>
        <v/>
      </c>
      <c r="S3610" s="19">
        <f>IF(I3610="","",IF(AND(I3610="Gasto",K3610="Variable",J3610&lt;&gt;"Trading",O3610&gt;0,O3610&lt;=Umbral),1,0))</f>
        <v/>
      </c>
      <c r="T3610" s="20">
        <f>IF(OR(I3610="",E3610=""),"",IF(OR(I3610="Gasto",I3610="Transferencia",I3610="Pago tarjeta"),-1,1)*C3610)</f>
        <v/>
      </c>
      <c r="U3610" s="20">
        <f>IF(OR(G3610="",AND(I3610&lt;&gt;"Transferencia",I3610&lt;&gt;"Pago tarjeta")),"",IF(IFERROR(INDEX(ctaMon,MATCH(G3610,ctaNom,0))&amp;"","DOP")=N3610,C3610,IF(N3610="USD",C3610*TasaUSD,C3610/TasaUSD)))</f>
        <v/>
      </c>
      <c r="V3610" s="20">
        <f>IF(I3610="","",IF(IFERROR(INDEX(ctaLiq,MATCH(E3610,ctaNom,0))="Sí",FALSE),IF(OR(I3610="Gasto",I3610="Transferencia",I3610="Pago tarjeta"),-1,1)*O3610,0)+IF(AND(U3610&lt;&gt;"",IFERROR(INDEX(ctaLiq,MATCH(G3610,ctaNom,0))="Sí",FALSE)),O3610,0))</f>
        <v/>
      </c>
      <c r="W3610" s="19">
        <f>IF(OR(F3610="",I3610=""),"",IF(COUNTIFS(F$6:F3610,F3610,I$6:I3610,"?*")=1,MAX(W$5:W3609)+1,""))</f>
        <v/>
      </c>
    </row>
    <row r="3611">
      <c r="B3611" s="15" t="n"/>
      <c r="C3611" s="16" t="n"/>
      <c r="D3611" s="17" t="n"/>
      <c r="E3611" s="17" t="n"/>
      <c r="F3611" s="17" t="n"/>
      <c r="G3611" s="17" t="n"/>
      <c r="H3611" s="18">
        <f>IF(AND(B3611="",C3611="",D3611="",E3611=""),"",IF(B3611="","⚠ Falta fecha",IF(C3611="","⚠ Falta monto",IF(D3611="","⚠ Falta categoría",IF(ISNA(MATCH(D3611,catNom,0)),"⚠ Categoría no existe",IF(E3611="","⚠ Falta cuenta",IF(ISNA(MATCH(E3611,ctaNom,0)),"⚠ Cuenta no existe",IF(AND(OR(I3611="Transferencia",I3611="Pago tarjeta"),G3611=""),"⚠ Indica la cuenta «Hacia»",IF(AND(G3611&lt;&gt;"",G3611=E3611),"⚠ «Hacia» igual a la cuenta",IF(AND(G3611&lt;&gt;"",ISNA(MATCH(G3611,ctaNom,0))),"⚠ «Hacia» no existe",IF(AND(I3611="Pago tarjeta",IFERROR(INDEX(ctaTipo,MATCH(G3611,ctaNom,0)),"")&lt;&gt;"Tarjeta de crédito"),"⚠ «Hacia» debe ser la tarjeta",IF(AND(I3611="Trading",IFERROR(INDEX(ctaTipo,MATCH(E3611,ctaNom,0)),"")&lt;&gt;"Cuenta de trading"),"⚠ Usa la cuenta de trading","✓"))))))))))))</f>
        <v/>
      </c>
      <c r="I3611" s="19">
        <f>IF(OR(B3611="",C3611="",D3611=""),"",IFERROR(INDEX(catTipo,MATCH(D3611,catNom,0))&amp;"",""))</f>
        <v/>
      </c>
      <c r="J3611" s="19">
        <f>IF(I3611="","",IFERROR(INDEX(catGrupo,MATCH(D3611,catNom,0))&amp;"",""))</f>
        <v/>
      </c>
      <c r="K3611" s="19">
        <f>IF(I3611="Gasto",IF(IFERROR(INDEX(catClas,MATCH(D3611,catNom,0))&amp;"","")="","Variable",IFERROR(INDEX(catClas,MATCH(D3611,catNom,0))&amp;"","")),"")</f>
        <v/>
      </c>
      <c r="L3611" s="19">
        <f>IF(I3611="","",IFERROR(INDEX(catAlim,MATCH(D3611,catNom,0))&amp;"",""))</f>
        <v/>
      </c>
      <c r="M3611" s="19">
        <f>IF(I3611="","",IFERROR(INDEX(catComida,MATCH(D3611,catNom,0))&amp;"",""))</f>
        <v/>
      </c>
      <c r="N3611" s="19">
        <f>IF(I3611="","",IFERROR(INDEX(ctaMon,MATCH(E3611,ctaNom,0))&amp;"","DOP"))</f>
        <v/>
      </c>
      <c r="O3611" s="20">
        <f>IF(I3611="","",C3611*IF(N3611="USD",TasaUSD,1))</f>
        <v/>
      </c>
      <c r="P3611" s="20">
        <f>IF(I3611="","",IF(I3611="Gasto",O3611,0))</f>
        <v/>
      </c>
      <c r="Q3611" s="20">
        <f>IF(I3611="","",IF(I3611="Ingreso",O3611,0))</f>
        <v/>
      </c>
      <c r="R3611" s="20">
        <f>IF(I3611="","",IF(I3611="Trading",O3611,0))</f>
        <v/>
      </c>
      <c r="S3611" s="19">
        <f>IF(I3611="","",IF(AND(I3611="Gasto",K3611="Variable",J3611&lt;&gt;"Trading",O3611&gt;0,O3611&lt;=Umbral),1,0))</f>
        <v/>
      </c>
      <c r="T3611" s="20">
        <f>IF(OR(I3611="",E3611=""),"",IF(OR(I3611="Gasto",I3611="Transferencia",I3611="Pago tarjeta"),-1,1)*C3611)</f>
        <v/>
      </c>
      <c r="U3611" s="20">
        <f>IF(OR(G3611="",AND(I3611&lt;&gt;"Transferencia",I3611&lt;&gt;"Pago tarjeta")),"",IF(IFERROR(INDEX(ctaMon,MATCH(G3611,ctaNom,0))&amp;"","DOP")=N3611,C3611,IF(N3611="USD",C3611*TasaUSD,C3611/TasaUSD)))</f>
        <v/>
      </c>
      <c r="V3611" s="20">
        <f>IF(I3611="","",IF(IFERROR(INDEX(ctaLiq,MATCH(E3611,ctaNom,0))="Sí",FALSE),IF(OR(I3611="Gasto",I3611="Transferencia",I3611="Pago tarjeta"),-1,1)*O3611,0)+IF(AND(U3611&lt;&gt;"",IFERROR(INDEX(ctaLiq,MATCH(G3611,ctaNom,0))="Sí",FALSE)),O3611,0))</f>
        <v/>
      </c>
      <c r="W3611" s="19">
        <f>IF(OR(F3611="",I3611=""),"",IF(COUNTIFS(F$6:F3611,F3611,I$6:I3611,"?*")=1,MAX(W$5:W3610)+1,""))</f>
        <v/>
      </c>
    </row>
    <row r="3612">
      <c r="B3612" s="15" t="n"/>
      <c r="C3612" s="16" t="n"/>
      <c r="D3612" s="17" t="n"/>
      <c r="E3612" s="17" t="n"/>
      <c r="F3612" s="17" t="n"/>
      <c r="G3612" s="17" t="n"/>
      <c r="H3612" s="18">
        <f>IF(AND(B3612="",C3612="",D3612="",E3612=""),"",IF(B3612="","⚠ Falta fecha",IF(C3612="","⚠ Falta monto",IF(D3612="","⚠ Falta categoría",IF(ISNA(MATCH(D3612,catNom,0)),"⚠ Categoría no existe",IF(E3612="","⚠ Falta cuenta",IF(ISNA(MATCH(E3612,ctaNom,0)),"⚠ Cuenta no existe",IF(AND(OR(I3612="Transferencia",I3612="Pago tarjeta"),G3612=""),"⚠ Indica la cuenta «Hacia»",IF(AND(G3612&lt;&gt;"",G3612=E3612),"⚠ «Hacia» igual a la cuenta",IF(AND(G3612&lt;&gt;"",ISNA(MATCH(G3612,ctaNom,0))),"⚠ «Hacia» no existe",IF(AND(I3612="Pago tarjeta",IFERROR(INDEX(ctaTipo,MATCH(G3612,ctaNom,0)),"")&lt;&gt;"Tarjeta de crédito"),"⚠ «Hacia» debe ser la tarjeta",IF(AND(I3612="Trading",IFERROR(INDEX(ctaTipo,MATCH(E3612,ctaNom,0)),"")&lt;&gt;"Cuenta de trading"),"⚠ Usa la cuenta de trading","✓"))))))))))))</f>
        <v/>
      </c>
      <c r="I3612" s="19">
        <f>IF(OR(B3612="",C3612="",D3612=""),"",IFERROR(INDEX(catTipo,MATCH(D3612,catNom,0))&amp;"",""))</f>
        <v/>
      </c>
      <c r="J3612" s="19">
        <f>IF(I3612="","",IFERROR(INDEX(catGrupo,MATCH(D3612,catNom,0))&amp;"",""))</f>
        <v/>
      </c>
      <c r="K3612" s="19">
        <f>IF(I3612="Gasto",IF(IFERROR(INDEX(catClas,MATCH(D3612,catNom,0))&amp;"","")="","Variable",IFERROR(INDEX(catClas,MATCH(D3612,catNom,0))&amp;"","")),"")</f>
        <v/>
      </c>
      <c r="L3612" s="19">
        <f>IF(I3612="","",IFERROR(INDEX(catAlim,MATCH(D3612,catNom,0))&amp;"",""))</f>
        <v/>
      </c>
      <c r="M3612" s="19">
        <f>IF(I3612="","",IFERROR(INDEX(catComida,MATCH(D3612,catNom,0))&amp;"",""))</f>
        <v/>
      </c>
      <c r="N3612" s="19">
        <f>IF(I3612="","",IFERROR(INDEX(ctaMon,MATCH(E3612,ctaNom,0))&amp;"","DOP"))</f>
        <v/>
      </c>
      <c r="O3612" s="20">
        <f>IF(I3612="","",C3612*IF(N3612="USD",TasaUSD,1))</f>
        <v/>
      </c>
      <c r="P3612" s="20">
        <f>IF(I3612="","",IF(I3612="Gasto",O3612,0))</f>
        <v/>
      </c>
      <c r="Q3612" s="20">
        <f>IF(I3612="","",IF(I3612="Ingreso",O3612,0))</f>
        <v/>
      </c>
      <c r="R3612" s="20">
        <f>IF(I3612="","",IF(I3612="Trading",O3612,0))</f>
        <v/>
      </c>
      <c r="S3612" s="19">
        <f>IF(I3612="","",IF(AND(I3612="Gasto",K3612="Variable",J3612&lt;&gt;"Trading",O3612&gt;0,O3612&lt;=Umbral),1,0))</f>
        <v/>
      </c>
      <c r="T3612" s="20">
        <f>IF(OR(I3612="",E3612=""),"",IF(OR(I3612="Gasto",I3612="Transferencia",I3612="Pago tarjeta"),-1,1)*C3612)</f>
        <v/>
      </c>
      <c r="U3612" s="20">
        <f>IF(OR(G3612="",AND(I3612&lt;&gt;"Transferencia",I3612&lt;&gt;"Pago tarjeta")),"",IF(IFERROR(INDEX(ctaMon,MATCH(G3612,ctaNom,0))&amp;"","DOP")=N3612,C3612,IF(N3612="USD",C3612*TasaUSD,C3612/TasaUSD)))</f>
        <v/>
      </c>
      <c r="V3612" s="20">
        <f>IF(I3612="","",IF(IFERROR(INDEX(ctaLiq,MATCH(E3612,ctaNom,0))="Sí",FALSE),IF(OR(I3612="Gasto",I3612="Transferencia",I3612="Pago tarjeta"),-1,1)*O3612,0)+IF(AND(U3612&lt;&gt;"",IFERROR(INDEX(ctaLiq,MATCH(G3612,ctaNom,0))="Sí",FALSE)),O3612,0))</f>
        <v/>
      </c>
      <c r="W3612" s="19">
        <f>IF(OR(F3612="",I3612=""),"",IF(COUNTIFS(F$6:F3612,F3612,I$6:I3612,"?*")=1,MAX(W$5:W3611)+1,""))</f>
        <v/>
      </c>
    </row>
    <row r="3613">
      <c r="B3613" s="15" t="n"/>
      <c r="C3613" s="16" t="n"/>
      <c r="D3613" s="17" t="n"/>
      <c r="E3613" s="17" t="n"/>
      <c r="F3613" s="17" t="n"/>
      <c r="G3613" s="17" t="n"/>
      <c r="H3613" s="18">
        <f>IF(AND(B3613="",C3613="",D3613="",E3613=""),"",IF(B3613="","⚠ Falta fecha",IF(C3613="","⚠ Falta monto",IF(D3613="","⚠ Falta categoría",IF(ISNA(MATCH(D3613,catNom,0)),"⚠ Categoría no existe",IF(E3613="","⚠ Falta cuenta",IF(ISNA(MATCH(E3613,ctaNom,0)),"⚠ Cuenta no existe",IF(AND(OR(I3613="Transferencia",I3613="Pago tarjeta"),G3613=""),"⚠ Indica la cuenta «Hacia»",IF(AND(G3613&lt;&gt;"",G3613=E3613),"⚠ «Hacia» igual a la cuenta",IF(AND(G3613&lt;&gt;"",ISNA(MATCH(G3613,ctaNom,0))),"⚠ «Hacia» no existe",IF(AND(I3613="Pago tarjeta",IFERROR(INDEX(ctaTipo,MATCH(G3613,ctaNom,0)),"")&lt;&gt;"Tarjeta de crédito"),"⚠ «Hacia» debe ser la tarjeta",IF(AND(I3613="Trading",IFERROR(INDEX(ctaTipo,MATCH(E3613,ctaNom,0)),"")&lt;&gt;"Cuenta de trading"),"⚠ Usa la cuenta de trading","✓"))))))))))))</f>
        <v/>
      </c>
      <c r="I3613" s="19">
        <f>IF(OR(B3613="",C3613="",D3613=""),"",IFERROR(INDEX(catTipo,MATCH(D3613,catNom,0))&amp;"",""))</f>
        <v/>
      </c>
      <c r="J3613" s="19">
        <f>IF(I3613="","",IFERROR(INDEX(catGrupo,MATCH(D3613,catNom,0))&amp;"",""))</f>
        <v/>
      </c>
      <c r="K3613" s="19">
        <f>IF(I3613="Gasto",IF(IFERROR(INDEX(catClas,MATCH(D3613,catNom,0))&amp;"","")="","Variable",IFERROR(INDEX(catClas,MATCH(D3613,catNom,0))&amp;"","")),"")</f>
        <v/>
      </c>
      <c r="L3613" s="19">
        <f>IF(I3613="","",IFERROR(INDEX(catAlim,MATCH(D3613,catNom,0))&amp;"",""))</f>
        <v/>
      </c>
      <c r="M3613" s="19">
        <f>IF(I3613="","",IFERROR(INDEX(catComida,MATCH(D3613,catNom,0))&amp;"",""))</f>
        <v/>
      </c>
      <c r="N3613" s="19">
        <f>IF(I3613="","",IFERROR(INDEX(ctaMon,MATCH(E3613,ctaNom,0))&amp;"","DOP"))</f>
        <v/>
      </c>
      <c r="O3613" s="20">
        <f>IF(I3613="","",C3613*IF(N3613="USD",TasaUSD,1))</f>
        <v/>
      </c>
      <c r="P3613" s="20">
        <f>IF(I3613="","",IF(I3613="Gasto",O3613,0))</f>
        <v/>
      </c>
      <c r="Q3613" s="20">
        <f>IF(I3613="","",IF(I3613="Ingreso",O3613,0))</f>
        <v/>
      </c>
      <c r="R3613" s="20">
        <f>IF(I3613="","",IF(I3613="Trading",O3613,0))</f>
        <v/>
      </c>
      <c r="S3613" s="19">
        <f>IF(I3613="","",IF(AND(I3613="Gasto",K3613="Variable",J3613&lt;&gt;"Trading",O3613&gt;0,O3613&lt;=Umbral),1,0))</f>
        <v/>
      </c>
      <c r="T3613" s="20">
        <f>IF(OR(I3613="",E3613=""),"",IF(OR(I3613="Gasto",I3613="Transferencia",I3613="Pago tarjeta"),-1,1)*C3613)</f>
        <v/>
      </c>
      <c r="U3613" s="20">
        <f>IF(OR(G3613="",AND(I3613&lt;&gt;"Transferencia",I3613&lt;&gt;"Pago tarjeta")),"",IF(IFERROR(INDEX(ctaMon,MATCH(G3613,ctaNom,0))&amp;"","DOP")=N3613,C3613,IF(N3613="USD",C3613*TasaUSD,C3613/TasaUSD)))</f>
        <v/>
      </c>
      <c r="V3613" s="20">
        <f>IF(I3613="","",IF(IFERROR(INDEX(ctaLiq,MATCH(E3613,ctaNom,0))="Sí",FALSE),IF(OR(I3613="Gasto",I3613="Transferencia",I3613="Pago tarjeta"),-1,1)*O3613,0)+IF(AND(U3613&lt;&gt;"",IFERROR(INDEX(ctaLiq,MATCH(G3613,ctaNom,0))="Sí",FALSE)),O3613,0))</f>
        <v/>
      </c>
      <c r="W3613" s="19">
        <f>IF(OR(F3613="",I3613=""),"",IF(COUNTIFS(F$6:F3613,F3613,I$6:I3613,"?*")=1,MAX(W$5:W3612)+1,""))</f>
        <v/>
      </c>
    </row>
    <row r="3614">
      <c r="B3614" s="15" t="n"/>
      <c r="C3614" s="16" t="n"/>
      <c r="D3614" s="17" t="n"/>
      <c r="E3614" s="17" t="n"/>
      <c r="F3614" s="17" t="n"/>
      <c r="G3614" s="17" t="n"/>
      <c r="H3614" s="18">
        <f>IF(AND(B3614="",C3614="",D3614="",E3614=""),"",IF(B3614="","⚠ Falta fecha",IF(C3614="","⚠ Falta monto",IF(D3614="","⚠ Falta categoría",IF(ISNA(MATCH(D3614,catNom,0)),"⚠ Categoría no existe",IF(E3614="","⚠ Falta cuenta",IF(ISNA(MATCH(E3614,ctaNom,0)),"⚠ Cuenta no existe",IF(AND(OR(I3614="Transferencia",I3614="Pago tarjeta"),G3614=""),"⚠ Indica la cuenta «Hacia»",IF(AND(G3614&lt;&gt;"",G3614=E3614),"⚠ «Hacia» igual a la cuenta",IF(AND(G3614&lt;&gt;"",ISNA(MATCH(G3614,ctaNom,0))),"⚠ «Hacia» no existe",IF(AND(I3614="Pago tarjeta",IFERROR(INDEX(ctaTipo,MATCH(G3614,ctaNom,0)),"")&lt;&gt;"Tarjeta de crédito"),"⚠ «Hacia» debe ser la tarjeta",IF(AND(I3614="Trading",IFERROR(INDEX(ctaTipo,MATCH(E3614,ctaNom,0)),"")&lt;&gt;"Cuenta de trading"),"⚠ Usa la cuenta de trading","✓"))))))))))))</f>
        <v/>
      </c>
      <c r="I3614" s="19">
        <f>IF(OR(B3614="",C3614="",D3614=""),"",IFERROR(INDEX(catTipo,MATCH(D3614,catNom,0))&amp;"",""))</f>
        <v/>
      </c>
      <c r="J3614" s="19">
        <f>IF(I3614="","",IFERROR(INDEX(catGrupo,MATCH(D3614,catNom,0))&amp;"",""))</f>
        <v/>
      </c>
      <c r="K3614" s="19">
        <f>IF(I3614="Gasto",IF(IFERROR(INDEX(catClas,MATCH(D3614,catNom,0))&amp;"","")="","Variable",IFERROR(INDEX(catClas,MATCH(D3614,catNom,0))&amp;"","")),"")</f>
        <v/>
      </c>
      <c r="L3614" s="19">
        <f>IF(I3614="","",IFERROR(INDEX(catAlim,MATCH(D3614,catNom,0))&amp;"",""))</f>
        <v/>
      </c>
      <c r="M3614" s="19">
        <f>IF(I3614="","",IFERROR(INDEX(catComida,MATCH(D3614,catNom,0))&amp;"",""))</f>
        <v/>
      </c>
      <c r="N3614" s="19">
        <f>IF(I3614="","",IFERROR(INDEX(ctaMon,MATCH(E3614,ctaNom,0))&amp;"","DOP"))</f>
        <v/>
      </c>
      <c r="O3614" s="20">
        <f>IF(I3614="","",C3614*IF(N3614="USD",TasaUSD,1))</f>
        <v/>
      </c>
      <c r="P3614" s="20">
        <f>IF(I3614="","",IF(I3614="Gasto",O3614,0))</f>
        <v/>
      </c>
      <c r="Q3614" s="20">
        <f>IF(I3614="","",IF(I3614="Ingreso",O3614,0))</f>
        <v/>
      </c>
      <c r="R3614" s="20">
        <f>IF(I3614="","",IF(I3614="Trading",O3614,0))</f>
        <v/>
      </c>
      <c r="S3614" s="19">
        <f>IF(I3614="","",IF(AND(I3614="Gasto",K3614="Variable",J3614&lt;&gt;"Trading",O3614&gt;0,O3614&lt;=Umbral),1,0))</f>
        <v/>
      </c>
      <c r="T3614" s="20">
        <f>IF(OR(I3614="",E3614=""),"",IF(OR(I3614="Gasto",I3614="Transferencia",I3614="Pago tarjeta"),-1,1)*C3614)</f>
        <v/>
      </c>
      <c r="U3614" s="20">
        <f>IF(OR(G3614="",AND(I3614&lt;&gt;"Transferencia",I3614&lt;&gt;"Pago tarjeta")),"",IF(IFERROR(INDEX(ctaMon,MATCH(G3614,ctaNom,0))&amp;"","DOP")=N3614,C3614,IF(N3614="USD",C3614*TasaUSD,C3614/TasaUSD)))</f>
        <v/>
      </c>
      <c r="V3614" s="20">
        <f>IF(I3614="","",IF(IFERROR(INDEX(ctaLiq,MATCH(E3614,ctaNom,0))="Sí",FALSE),IF(OR(I3614="Gasto",I3614="Transferencia",I3614="Pago tarjeta"),-1,1)*O3614,0)+IF(AND(U3614&lt;&gt;"",IFERROR(INDEX(ctaLiq,MATCH(G3614,ctaNom,0))="Sí",FALSE)),O3614,0))</f>
        <v/>
      </c>
      <c r="W3614" s="19">
        <f>IF(OR(F3614="",I3614=""),"",IF(COUNTIFS(F$6:F3614,F3614,I$6:I3614,"?*")=1,MAX(W$5:W3613)+1,""))</f>
        <v/>
      </c>
    </row>
    <row r="3615">
      <c r="B3615" s="15" t="n"/>
      <c r="C3615" s="16" t="n"/>
      <c r="D3615" s="17" t="n"/>
      <c r="E3615" s="17" t="n"/>
      <c r="F3615" s="17" t="n"/>
      <c r="G3615" s="17" t="n"/>
      <c r="H3615" s="18">
        <f>IF(AND(B3615="",C3615="",D3615="",E3615=""),"",IF(B3615="","⚠ Falta fecha",IF(C3615="","⚠ Falta monto",IF(D3615="","⚠ Falta categoría",IF(ISNA(MATCH(D3615,catNom,0)),"⚠ Categoría no existe",IF(E3615="","⚠ Falta cuenta",IF(ISNA(MATCH(E3615,ctaNom,0)),"⚠ Cuenta no existe",IF(AND(OR(I3615="Transferencia",I3615="Pago tarjeta"),G3615=""),"⚠ Indica la cuenta «Hacia»",IF(AND(G3615&lt;&gt;"",G3615=E3615),"⚠ «Hacia» igual a la cuenta",IF(AND(G3615&lt;&gt;"",ISNA(MATCH(G3615,ctaNom,0))),"⚠ «Hacia» no existe",IF(AND(I3615="Pago tarjeta",IFERROR(INDEX(ctaTipo,MATCH(G3615,ctaNom,0)),"")&lt;&gt;"Tarjeta de crédito"),"⚠ «Hacia» debe ser la tarjeta",IF(AND(I3615="Trading",IFERROR(INDEX(ctaTipo,MATCH(E3615,ctaNom,0)),"")&lt;&gt;"Cuenta de trading"),"⚠ Usa la cuenta de trading","✓"))))))))))))</f>
        <v/>
      </c>
      <c r="I3615" s="19">
        <f>IF(OR(B3615="",C3615="",D3615=""),"",IFERROR(INDEX(catTipo,MATCH(D3615,catNom,0))&amp;"",""))</f>
        <v/>
      </c>
      <c r="J3615" s="19">
        <f>IF(I3615="","",IFERROR(INDEX(catGrupo,MATCH(D3615,catNom,0))&amp;"",""))</f>
        <v/>
      </c>
      <c r="K3615" s="19">
        <f>IF(I3615="Gasto",IF(IFERROR(INDEX(catClas,MATCH(D3615,catNom,0))&amp;"","")="","Variable",IFERROR(INDEX(catClas,MATCH(D3615,catNom,0))&amp;"","")),"")</f>
        <v/>
      </c>
      <c r="L3615" s="19">
        <f>IF(I3615="","",IFERROR(INDEX(catAlim,MATCH(D3615,catNom,0))&amp;"",""))</f>
        <v/>
      </c>
      <c r="M3615" s="19">
        <f>IF(I3615="","",IFERROR(INDEX(catComida,MATCH(D3615,catNom,0))&amp;"",""))</f>
        <v/>
      </c>
      <c r="N3615" s="19">
        <f>IF(I3615="","",IFERROR(INDEX(ctaMon,MATCH(E3615,ctaNom,0))&amp;"","DOP"))</f>
        <v/>
      </c>
      <c r="O3615" s="20">
        <f>IF(I3615="","",C3615*IF(N3615="USD",TasaUSD,1))</f>
        <v/>
      </c>
      <c r="P3615" s="20">
        <f>IF(I3615="","",IF(I3615="Gasto",O3615,0))</f>
        <v/>
      </c>
      <c r="Q3615" s="20">
        <f>IF(I3615="","",IF(I3615="Ingreso",O3615,0))</f>
        <v/>
      </c>
      <c r="R3615" s="20">
        <f>IF(I3615="","",IF(I3615="Trading",O3615,0))</f>
        <v/>
      </c>
      <c r="S3615" s="19">
        <f>IF(I3615="","",IF(AND(I3615="Gasto",K3615="Variable",J3615&lt;&gt;"Trading",O3615&gt;0,O3615&lt;=Umbral),1,0))</f>
        <v/>
      </c>
      <c r="T3615" s="20">
        <f>IF(OR(I3615="",E3615=""),"",IF(OR(I3615="Gasto",I3615="Transferencia",I3615="Pago tarjeta"),-1,1)*C3615)</f>
        <v/>
      </c>
      <c r="U3615" s="20">
        <f>IF(OR(G3615="",AND(I3615&lt;&gt;"Transferencia",I3615&lt;&gt;"Pago tarjeta")),"",IF(IFERROR(INDEX(ctaMon,MATCH(G3615,ctaNom,0))&amp;"","DOP")=N3615,C3615,IF(N3615="USD",C3615*TasaUSD,C3615/TasaUSD)))</f>
        <v/>
      </c>
      <c r="V3615" s="20">
        <f>IF(I3615="","",IF(IFERROR(INDEX(ctaLiq,MATCH(E3615,ctaNom,0))="Sí",FALSE),IF(OR(I3615="Gasto",I3615="Transferencia",I3615="Pago tarjeta"),-1,1)*O3615,0)+IF(AND(U3615&lt;&gt;"",IFERROR(INDEX(ctaLiq,MATCH(G3615,ctaNom,0))="Sí",FALSE)),O3615,0))</f>
        <v/>
      </c>
      <c r="W3615" s="19">
        <f>IF(OR(F3615="",I3615=""),"",IF(COUNTIFS(F$6:F3615,F3615,I$6:I3615,"?*")=1,MAX(W$5:W3614)+1,""))</f>
        <v/>
      </c>
    </row>
    <row r="3616">
      <c r="B3616" s="15" t="n"/>
      <c r="C3616" s="16" t="n"/>
      <c r="D3616" s="17" t="n"/>
      <c r="E3616" s="17" t="n"/>
      <c r="F3616" s="17" t="n"/>
      <c r="G3616" s="17" t="n"/>
      <c r="H3616" s="18">
        <f>IF(AND(B3616="",C3616="",D3616="",E3616=""),"",IF(B3616="","⚠ Falta fecha",IF(C3616="","⚠ Falta monto",IF(D3616="","⚠ Falta categoría",IF(ISNA(MATCH(D3616,catNom,0)),"⚠ Categoría no existe",IF(E3616="","⚠ Falta cuenta",IF(ISNA(MATCH(E3616,ctaNom,0)),"⚠ Cuenta no existe",IF(AND(OR(I3616="Transferencia",I3616="Pago tarjeta"),G3616=""),"⚠ Indica la cuenta «Hacia»",IF(AND(G3616&lt;&gt;"",G3616=E3616),"⚠ «Hacia» igual a la cuenta",IF(AND(G3616&lt;&gt;"",ISNA(MATCH(G3616,ctaNom,0))),"⚠ «Hacia» no existe",IF(AND(I3616="Pago tarjeta",IFERROR(INDEX(ctaTipo,MATCH(G3616,ctaNom,0)),"")&lt;&gt;"Tarjeta de crédito"),"⚠ «Hacia» debe ser la tarjeta",IF(AND(I3616="Trading",IFERROR(INDEX(ctaTipo,MATCH(E3616,ctaNom,0)),"")&lt;&gt;"Cuenta de trading"),"⚠ Usa la cuenta de trading","✓"))))))))))))</f>
        <v/>
      </c>
      <c r="I3616" s="19">
        <f>IF(OR(B3616="",C3616="",D3616=""),"",IFERROR(INDEX(catTipo,MATCH(D3616,catNom,0))&amp;"",""))</f>
        <v/>
      </c>
      <c r="J3616" s="19">
        <f>IF(I3616="","",IFERROR(INDEX(catGrupo,MATCH(D3616,catNom,0))&amp;"",""))</f>
        <v/>
      </c>
      <c r="K3616" s="19">
        <f>IF(I3616="Gasto",IF(IFERROR(INDEX(catClas,MATCH(D3616,catNom,0))&amp;"","")="","Variable",IFERROR(INDEX(catClas,MATCH(D3616,catNom,0))&amp;"","")),"")</f>
        <v/>
      </c>
      <c r="L3616" s="19">
        <f>IF(I3616="","",IFERROR(INDEX(catAlim,MATCH(D3616,catNom,0))&amp;"",""))</f>
        <v/>
      </c>
      <c r="M3616" s="19">
        <f>IF(I3616="","",IFERROR(INDEX(catComida,MATCH(D3616,catNom,0))&amp;"",""))</f>
        <v/>
      </c>
      <c r="N3616" s="19">
        <f>IF(I3616="","",IFERROR(INDEX(ctaMon,MATCH(E3616,ctaNom,0))&amp;"","DOP"))</f>
        <v/>
      </c>
      <c r="O3616" s="20">
        <f>IF(I3616="","",C3616*IF(N3616="USD",TasaUSD,1))</f>
        <v/>
      </c>
      <c r="P3616" s="20">
        <f>IF(I3616="","",IF(I3616="Gasto",O3616,0))</f>
        <v/>
      </c>
      <c r="Q3616" s="20">
        <f>IF(I3616="","",IF(I3616="Ingreso",O3616,0))</f>
        <v/>
      </c>
      <c r="R3616" s="20">
        <f>IF(I3616="","",IF(I3616="Trading",O3616,0))</f>
        <v/>
      </c>
      <c r="S3616" s="19">
        <f>IF(I3616="","",IF(AND(I3616="Gasto",K3616="Variable",J3616&lt;&gt;"Trading",O3616&gt;0,O3616&lt;=Umbral),1,0))</f>
        <v/>
      </c>
      <c r="T3616" s="20">
        <f>IF(OR(I3616="",E3616=""),"",IF(OR(I3616="Gasto",I3616="Transferencia",I3616="Pago tarjeta"),-1,1)*C3616)</f>
        <v/>
      </c>
      <c r="U3616" s="20">
        <f>IF(OR(G3616="",AND(I3616&lt;&gt;"Transferencia",I3616&lt;&gt;"Pago tarjeta")),"",IF(IFERROR(INDEX(ctaMon,MATCH(G3616,ctaNom,0))&amp;"","DOP")=N3616,C3616,IF(N3616="USD",C3616*TasaUSD,C3616/TasaUSD)))</f>
        <v/>
      </c>
      <c r="V3616" s="20">
        <f>IF(I3616="","",IF(IFERROR(INDEX(ctaLiq,MATCH(E3616,ctaNom,0))="Sí",FALSE),IF(OR(I3616="Gasto",I3616="Transferencia",I3616="Pago tarjeta"),-1,1)*O3616,0)+IF(AND(U3616&lt;&gt;"",IFERROR(INDEX(ctaLiq,MATCH(G3616,ctaNom,0))="Sí",FALSE)),O3616,0))</f>
        <v/>
      </c>
      <c r="W3616" s="19">
        <f>IF(OR(F3616="",I3616=""),"",IF(COUNTIFS(F$6:F3616,F3616,I$6:I3616,"?*")=1,MAX(W$5:W3615)+1,""))</f>
        <v/>
      </c>
    </row>
    <row r="3617">
      <c r="B3617" s="15" t="n"/>
      <c r="C3617" s="16" t="n"/>
      <c r="D3617" s="17" t="n"/>
      <c r="E3617" s="17" t="n"/>
      <c r="F3617" s="17" t="n"/>
      <c r="G3617" s="17" t="n"/>
      <c r="H3617" s="18">
        <f>IF(AND(B3617="",C3617="",D3617="",E3617=""),"",IF(B3617="","⚠ Falta fecha",IF(C3617="","⚠ Falta monto",IF(D3617="","⚠ Falta categoría",IF(ISNA(MATCH(D3617,catNom,0)),"⚠ Categoría no existe",IF(E3617="","⚠ Falta cuenta",IF(ISNA(MATCH(E3617,ctaNom,0)),"⚠ Cuenta no existe",IF(AND(OR(I3617="Transferencia",I3617="Pago tarjeta"),G3617=""),"⚠ Indica la cuenta «Hacia»",IF(AND(G3617&lt;&gt;"",G3617=E3617),"⚠ «Hacia» igual a la cuenta",IF(AND(G3617&lt;&gt;"",ISNA(MATCH(G3617,ctaNom,0))),"⚠ «Hacia» no existe",IF(AND(I3617="Pago tarjeta",IFERROR(INDEX(ctaTipo,MATCH(G3617,ctaNom,0)),"")&lt;&gt;"Tarjeta de crédito"),"⚠ «Hacia» debe ser la tarjeta",IF(AND(I3617="Trading",IFERROR(INDEX(ctaTipo,MATCH(E3617,ctaNom,0)),"")&lt;&gt;"Cuenta de trading"),"⚠ Usa la cuenta de trading","✓"))))))))))))</f>
        <v/>
      </c>
      <c r="I3617" s="19">
        <f>IF(OR(B3617="",C3617="",D3617=""),"",IFERROR(INDEX(catTipo,MATCH(D3617,catNom,0))&amp;"",""))</f>
        <v/>
      </c>
      <c r="J3617" s="19">
        <f>IF(I3617="","",IFERROR(INDEX(catGrupo,MATCH(D3617,catNom,0))&amp;"",""))</f>
        <v/>
      </c>
      <c r="K3617" s="19">
        <f>IF(I3617="Gasto",IF(IFERROR(INDEX(catClas,MATCH(D3617,catNom,0))&amp;"","")="","Variable",IFERROR(INDEX(catClas,MATCH(D3617,catNom,0))&amp;"","")),"")</f>
        <v/>
      </c>
      <c r="L3617" s="19">
        <f>IF(I3617="","",IFERROR(INDEX(catAlim,MATCH(D3617,catNom,0))&amp;"",""))</f>
        <v/>
      </c>
      <c r="M3617" s="19">
        <f>IF(I3617="","",IFERROR(INDEX(catComida,MATCH(D3617,catNom,0))&amp;"",""))</f>
        <v/>
      </c>
      <c r="N3617" s="19">
        <f>IF(I3617="","",IFERROR(INDEX(ctaMon,MATCH(E3617,ctaNom,0))&amp;"","DOP"))</f>
        <v/>
      </c>
      <c r="O3617" s="20">
        <f>IF(I3617="","",C3617*IF(N3617="USD",TasaUSD,1))</f>
        <v/>
      </c>
      <c r="P3617" s="20">
        <f>IF(I3617="","",IF(I3617="Gasto",O3617,0))</f>
        <v/>
      </c>
      <c r="Q3617" s="20">
        <f>IF(I3617="","",IF(I3617="Ingreso",O3617,0))</f>
        <v/>
      </c>
      <c r="R3617" s="20">
        <f>IF(I3617="","",IF(I3617="Trading",O3617,0))</f>
        <v/>
      </c>
      <c r="S3617" s="19">
        <f>IF(I3617="","",IF(AND(I3617="Gasto",K3617="Variable",J3617&lt;&gt;"Trading",O3617&gt;0,O3617&lt;=Umbral),1,0))</f>
        <v/>
      </c>
      <c r="T3617" s="20">
        <f>IF(OR(I3617="",E3617=""),"",IF(OR(I3617="Gasto",I3617="Transferencia",I3617="Pago tarjeta"),-1,1)*C3617)</f>
        <v/>
      </c>
      <c r="U3617" s="20">
        <f>IF(OR(G3617="",AND(I3617&lt;&gt;"Transferencia",I3617&lt;&gt;"Pago tarjeta")),"",IF(IFERROR(INDEX(ctaMon,MATCH(G3617,ctaNom,0))&amp;"","DOP")=N3617,C3617,IF(N3617="USD",C3617*TasaUSD,C3617/TasaUSD)))</f>
        <v/>
      </c>
      <c r="V3617" s="20">
        <f>IF(I3617="","",IF(IFERROR(INDEX(ctaLiq,MATCH(E3617,ctaNom,0))="Sí",FALSE),IF(OR(I3617="Gasto",I3617="Transferencia",I3617="Pago tarjeta"),-1,1)*O3617,0)+IF(AND(U3617&lt;&gt;"",IFERROR(INDEX(ctaLiq,MATCH(G3617,ctaNom,0))="Sí",FALSE)),O3617,0))</f>
        <v/>
      </c>
      <c r="W3617" s="19">
        <f>IF(OR(F3617="",I3617=""),"",IF(COUNTIFS(F$6:F3617,F3617,I$6:I3617,"?*")=1,MAX(W$5:W3616)+1,""))</f>
        <v/>
      </c>
    </row>
    <row r="3618">
      <c r="B3618" s="15" t="n"/>
      <c r="C3618" s="16" t="n"/>
      <c r="D3618" s="17" t="n"/>
      <c r="E3618" s="17" t="n"/>
      <c r="F3618" s="17" t="n"/>
      <c r="G3618" s="17" t="n"/>
      <c r="H3618" s="18">
        <f>IF(AND(B3618="",C3618="",D3618="",E3618=""),"",IF(B3618="","⚠ Falta fecha",IF(C3618="","⚠ Falta monto",IF(D3618="","⚠ Falta categoría",IF(ISNA(MATCH(D3618,catNom,0)),"⚠ Categoría no existe",IF(E3618="","⚠ Falta cuenta",IF(ISNA(MATCH(E3618,ctaNom,0)),"⚠ Cuenta no existe",IF(AND(OR(I3618="Transferencia",I3618="Pago tarjeta"),G3618=""),"⚠ Indica la cuenta «Hacia»",IF(AND(G3618&lt;&gt;"",G3618=E3618),"⚠ «Hacia» igual a la cuenta",IF(AND(G3618&lt;&gt;"",ISNA(MATCH(G3618,ctaNom,0))),"⚠ «Hacia» no existe",IF(AND(I3618="Pago tarjeta",IFERROR(INDEX(ctaTipo,MATCH(G3618,ctaNom,0)),"")&lt;&gt;"Tarjeta de crédito"),"⚠ «Hacia» debe ser la tarjeta",IF(AND(I3618="Trading",IFERROR(INDEX(ctaTipo,MATCH(E3618,ctaNom,0)),"")&lt;&gt;"Cuenta de trading"),"⚠ Usa la cuenta de trading","✓"))))))))))))</f>
        <v/>
      </c>
      <c r="I3618" s="19">
        <f>IF(OR(B3618="",C3618="",D3618=""),"",IFERROR(INDEX(catTipo,MATCH(D3618,catNom,0))&amp;"",""))</f>
        <v/>
      </c>
      <c r="J3618" s="19">
        <f>IF(I3618="","",IFERROR(INDEX(catGrupo,MATCH(D3618,catNom,0))&amp;"",""))</f>
        <v/>
      </c>
      <c r="K3618" s="19">
        <f>IF(I3618="Gasto",IF(IFERROR(INDEX(catClas,MATCH(D3618,catNom,0))&amp;"","")="","Variable",IFERROR(INDEX(catClas,MATCH(D3618,catNom,0))&amp;"","")),"")</f>
        <v/>
      </c>
      <c r="L3618" s="19">
        <f>IF(I3618="","",IFERROR(INDEX(catAlim,MATCH(D3618,catNom,0))&amp;"",""))</f>
        <v/>
      </c>
      <c r="M3618" s="19">
        <f>IF(I3618="","",IFERROR(INDEX(catComida,MATCH(D3618,catNom,0))&amp;"",""))</f>
        <v/>
      </c>
      <c r="N3618" s="19">
        <f>IF(I3618="","",IFERROR(INDEX(ctaMon,MATCH(E3618,ctaNom,0))&amp;"","DOP"))</f>
        <v/>
      </c>
      <c r="O3618" s="20">
        <f>IF(I3618="","",C3618*IF(N3618="USD",TasaUSD,1))</f>
        <v/>
      </c>
      <c r="P3618" s="20">
        <f>IF(I3618="","",IF(I3618="Gasto",O3618,0))</f>
        <v/>
      </c>
      <c r="Q3618" s="20">
        <f>IF(I3618="","",IF(I3618="Ingreso",O3618,0))</f>
        <v/>
      </c>
      <c r="R3618" s="20">
        <f>IF(I3618="","",IF(I3618="Trading",O3618,0))</f>
        <v/>
      </c>
      <c r="S3618" s="19">
        <f>IF(I3618="","",IF(AND(I3618="Gasto",K3618="Variable",J3618&lt;&gt;"Trading",O3618&gt;0,O3618&lt;=Umbral),1,0))</f>
        <v/>
      </c>
      <c r="T3618" s="20">
        <f>IF(OR(I3618="",E3618=""),"",IF(OR(I3618="Gasto",I3618="Transferencia",I3618="Pago tarjeta"),-1,1)*C3618)</f>
        <v/>
      </c>
      <c r="U3618" s="20">
        <f>IF(OR(G3618="",AND(I3618&lt;&gt;"Transferencia",I3618&lt;&gt;"Pago tarjeta")),"",IF(IFERROR(INDEX(ctaMon,MATCH(G3618,ctaNom,0))&amp;"","DOP")=N3618,C3618,IF(N3618="USD",C3618*TasaUSD,C3618/TasaUSD)))</f>
        <v/>
      </c>
      <c r="V3618" s="20">
        <f>IF(I3618="","",IF(IFERROR(INDEX(ctaLiq,MATCH(E3618,ctaNom,0))="Sí",FALSE),IF(OR(I3618="Gasto",I3618="Transferencia",I3618="Pago tarjeta"),-1,1)*O3618,0)+IF(AND(U3618&lt;&gt;"",IFERROR(INDEX(ctaLiq,MATCH(G3618,ctaNom,0))="Sí",FALSE)),O3618,0))</f>
        <v/>
      </c>
      <c r="W3618" s="19">
        <f>IF(OR(F3618="",I3618=""),"",IF(COUNTIFS(F$6:F3618,F3618,I$6:I3618,"?*")=1,MAX(W$5:W3617)+1,""))</f>
        <v/>
      </c>
    </row>
    <row r="3619">
      <c r="B3619" s="15" t="n"/>
      <c r="C3619" s="16" t="n"/>
      <c r="D3619" s="17" t="n"/>
      <c r="E3619" s="17" t="n"/>
      <c r="F3619" s="17" t="n"/>
      <c r="G3619" s="17" t="n"/>
      <c r="H3619" s="18">
        <f>IF(AND(B3619="",C3619="",D3619="",E3619=""),"",IF(B3619="","⚠ Falta fecha",IF(C3619="","⚠ Falta monto",IF(D3619="","⚠ Falta categoría",IF(ISNA(MATCH(D3619,catNom,0)),"⚠ Categoría no existe",IF(E3619="","⚠ Falta cuenta",IF(ISNA(MATCH(E3619,ctaNom,0)),"⚠ Cuenta no existe",IF(AND(OR(I3619="Transferencia",I3619="Pago tarjeta"),G3619=""),"⚠ Indica la cuenta «Hacia»",IF(AND(G3619&lt;&gt;"",G3619=E3619),"⚠ «Hacia» igual a la cuenta",IF(AND(G3619&lt;&gt;"",ISNA(MATCH(G3619,ctaNom,0))),"⚠ «Hacia» no existe",IF(AND(I3619="Pago tarjeta",IFERROR(INDEX(ctaTipo,MATCH(G3619,ctaNom,0)),"")&lt;&gt;"Tarjeta de crédito"),"⚠ «Hacia» debe ser la tarjeta",IF(AND(I3619="Trading",IFERROR(INDEX(ctaTipo,MATCH(E3619,ctaNom,0)),"")&lt;&gt;"Cuenta de trading"),"⚠ Usa la cuenta de trading","✓"))))))))))))</f>
        <v/>
      </c>
      <c r="I3619" s="19">
        <f>IF(OR(B3619="",C3619="",D3619=""),"",IFERROR(INDEX(catTipo,MATCH(D3619,catNom,0))&amp;"",""))</f>
        <v/>
      </c>
      <c r="J3619" s="19">
        <f>IF(I3619="","",IFERROR(INDEX(catGrupo,MATCH(D3619,catNom,0))&amp;"",""))</f>
        <v/>
      </c>
      <c r="K3619" s="19">
        <f>IF(I3619="Gasto",IF(IFERROR(INDEX(catClas,MATCH(D3619,catNom,0))&amp;"","")="","Variable",IFERROR(INDEX(catClas,MATCH(D3619,catNom,0))&amp;"","")),"")</f>
        <v/>
      </c>
      <c r="L3619" s="19">
        <f>IF(I3619="","",IFERROR(INDEX(catAlim,MATCH(D3619,catNom,0))&amp;"",""))</f>
        <v/>
      </c>
      <c r="M3619" s="19">
        <f>IF(I3619="","",IFERROR(INDEX(catComida,MATCH(D3619,catNom,0))&amp;"",""))</f>
        <v/>
      </c>
      <c r="N3619" s="19">
        <f>IF(I3619="","",IFERROR(INDEX(ctaMon,MATCH(E3619,ctaNom,0))&amp;"","DOP"))</f>
        <v/>
      </c>
      <c r="O3619" s="20">
        <f>IF(I3619="","",C3619*IF(N3619="USD",TasaUSD,1))</f>
        <v/>
      </c>
      <c r="P3619" s="20">
        <f>IF(I3619="","",IF(I3619="Gasto",O3619,0))</f>
        <v/>
      </c>
      <c r="Q3619" s="20">
        <f>IF(I3619="","",IF(I3619="Ingreso",O3619,0))</f>
        <v/>
      </c>
      <c r="R3619" s="20">
        <f>IF(I3619="","",IF(I3619="Trading",O3619,0))</f>
        <v/>
      </c>
      <c r="S3619" s="19">
        <f>IF(I3619="","",IF(AND(I3619="Gasto",K3619="Variable",J3619&lt;&gt;"Trading",O3619&gt;0,O3619&lt;=Umbral),1,0))</f>
        <v/>
      </c>
      <c r="T3619" s="20">
        <f>IF(OR(I3619="",E3619=""),"",IF(OR(I3619="Gasto",I3619="Transferencia",I3619="Pago tarjeta"),-1,1)*C3619)</f>
        <v/>
      </c>
      <c r="U3619" s="20">
        <f>IF(OR(G3619="",AND(I3619&lt;&gt;"Transferencia",I3619&lt;&gt;"Pago tarjeta")),"",IF(IFERROR(INDEX(ctaMon,MATCH(G3619,ctaNom,0))&amp;"","DOP")=N3619,C3619,IF(N3619="USD",C3619*TasaUSD,C3619/TasaUSD)))</f>
        <v/>
      </c>
      <c r="V3619" s="20">
        <f>IF(I3619="","",IF(IFERROR(INDEX(ctaLiq,MATCH(E3619,ctaNom,0))="Sí",FALSE),IF(OR(I3619="Gasto",I3619="Transferencia",I3619="Pago tarjeta"),-1,1)*O3619,0)+IF(AND(U3619&lt;&gt;"",IFERROR(INDEX(ctaLiq,MATCH(G3619,ctaNom,0))="Sí",FALSE)),O3619,0))</f>
        <v/>
      </c>
      <c r="W3619" s="19">
        <f>IF(OR(F3619="",I3619=""),"",IF(COUNTIFS(F$6:F3619,F3619,I$6:I3619,"?*")=1,MAX(W$5:W3618)+1,""))</f>
        <v/>
      </c>
    </row>
    <row r="3620">
      <c r="B3620" s="15" t="n"/>
      <c r="C3620" s="16" t="n"/>
      <c r="D3620" s="17" t="n"/>
      <c r="E3620" s="17" t="n"/>
      <c r="F3620" s="17" t="n"/>
      <c r="G3620" s="17" t="n"/>
      <c r="H3620" s="18">
        <f>IF(AND(B3620="",C3620="",D3620="",E3620=""),"",IF(B3620="","⚠ Falta fecha",IF(C3620="","⚠ Falta monto",IF(D3620="","⚠ Falta categoría",IF(ISNA(MATCH(D3620,catNom,0)),"⚠ Categoría no existe",IF(E3620="","⚠ Falta cuenta",IF(ISNA(MATCH(E3620,ctaNom,0)),"⚠ Cuenta no existe",IF(AND(OR(I3620="Transferencia",I3620="Pago tarjeta"),G3620=""),"⚠ Indica la cuenta «Hacia»",IF(AND(G3620&lt;&gt;"",G3620=E3620),"⚠ «Hacia» igual a la cuenta",IF(AND(G3620&lt;&gt;"",ISNA(MATCH(G3620,ctaNom,0))),"⚠ «Hacia» no existe",IF(AND(I3620="Pago tarjeta",IFERROR(INDEX(ctaTipo,MATCH(G3620,ctaNom,0)),"")&lt;&gt;"Tarjeta de crédito"),"⚠ «Hacia» debe ser la tarjeta",IF(AND(I3620="Trading",IFERROR(INDEX(ctaTipo,MATCH(E3620,ctaNom,0)),"")&lt;&gt;"Cuenta de trading"),"⚠ Usa la cuenta de trading","✓"))))))))))))</f>
        <v/>
      </c>
      <c r="I3620" s="19">
        <f>IF(OR(B3620="",C3620="",D3620=""),"",IFERROR(INDEX(catTipo,MATCH(D3620,catNom,0))&amp;"",""))</f>
        <v/>
      </c>
      <c r="J3620" s="19">
        <f>IF(I3620="","",IFERROR(INDEX(catGrupo,MATCH(D3620,catNom,0))&amp;"",""))</f>
        <v/>
      </c>
      <c r="K3620" s="19">
        <f>IF(I3620="Gasto",IF(IFERROR(INDEX(catClas,MATCH(D3620,catNom,0))&amp;"","")="","Variable",IFERROR(INDEX(catClas,MATCH(D3620,catNom,0))&amp;"","")),"")</f>
        <v/>
      </c>
      <c r="L3620" s="19">
        <f>IF(I3620="","",IFERROR(INDEX(catAlim,MATCH(D3620,catNom,0))&amp;"",""))</f>
        <v/>
      </c>
      <c r="M3620" s="19">
        <f>IF(I3620="","",IFERROR(INDEX(catComida,MATCH(D3620,catNom,0))&amp;"",""))</f>
        <v/>
      </c>
      <c r="N3620" s="19">
        <f>IF(I3620="","",IFERROR(INDEX(ctaMon,MATCH(E3620,ctaNom,0))&amp;"","DOP"))</f>
        <v/>
      </c>
      <c r="O3620" s="20">
        <f>IF(I3620="","",C3620*IF(N3620="USD",TasaUSD,1))</f>
        <v/>
      </c>
      <c r="P3620" s="20">
        <f>IF(I3620="","",IF(I3620="Gasto",O3620,0))</f>
        <v/>
      </c>
      <c r="Q3620" s="20">
        <f>IF(I3620="","",IF(I3620="Ingreso",O3620,0))</f>
        <v/>
      </c>
      <c r="R3620" s="20">
        <f>IF(I3620="","",IF(I3620="Trading",O3620,0))</f>
        <v/>
      </c>
      <c r="S3620" s="19">
        <f>IF(I3620="","",IF(AND(I3620="Gasto",K3620="Variable",J3620&lt;&gt;"Trading",O3620&gt;0,O3620&lt;=Umbral),1,0))</f>
        <v/>
      </c>
      <c r="T3620" s="20">
        <f>IF(OR(I3620="",E3620=""),"",IF(OR(I3620="Gasto",I3620="Transferencia",I3620="Pago tarjeta"),-1,1)*C3620)</f>
        <v/>
      </c>
      <c r="U3620" s="20">
        <f>IF(OR(G3620="",AND(I3620&lt;&gt;"Transferencia",I3620&lt;&gt;"Pago tarjeta")),"",IF(IFERROR(INDEX(ctaMon,MATCH(G3620,ctaNom,0))&amp;"","DOP")=N3620,C3620,IF(N3620="USD",C3620*TasaUSD,C3620/TasaUSD)))</f>
        <v/>
      </c>
      <c r="V3620" s="20">
        <f>IF(I3620="","",IF(IFERROR(INDEX(ctaLiq,MATCH(E3620,ctaNom,0))="Sí",FALSE),IF(OR(I3620="Gasto",I3620="Transferencia",I3620="Pago tarjeta"),-1,1)*O3620,0)+IF(AND(U3620&lt;&gt;"",IFERROR(INDEX(ctaLiq,MATCH(G3620,ctaNom,0))="Sí",FALSE)),O3620,0))</f>
        <v/>
      </c>
      <c r="W3620" s="19">
        <f>IF(OR(F3620="",I3620=""),"",IF(COUNTIFS(F$6:F3620,F3620,I$6:I3620,"?*")=1,MAX(W$5:W3619)+1,""))</f>
        <v/>
      </c>
    </row>
    <row r="3621">
      <c r="B3621" s="15" t="n"/>
      <c r="C3621" s="16" t="n"/>
      <c r="D3621" s="17" t="n"/>
      <c r="E3621" s="17" t="n"/>
      <c r="F3621" s="17" t="n"/>
      <c r="G3621" s="17" t="n"/>
      <c r="H3621" s="18">
        <f>IF(AND(B3621="",C3621="",D3621="",E3621=""),"",IF(B3621="","⚠ Falta fecha",IF(C3621="","⚠ Falta monto",IF(D3621="","⚠ Falta categoría",IF(ISNA(MATCH(D3621,catNom,0)),"⚠ Categoría no existe",IF(E3621="","⚠ Falta cuenta",IF(ISNA(MATCH(E3621,ctaNom,0)),"⚠ Cuenta no existe",IF(AND(OR(I3621="Transferencia",I3621="Pago tarjeta"),G3621=""),"⚠ Indica la cuenta «Hacia»",IF(AND(G3621&lt;&gt;"",G3621=E3621),"⚠ «Hacia» igual a la cuenta",IF(AND(G3621&lt;&gt;"",ISNA(MATCH(G3621,ctaNom,0))),"⚠ «Hacia» no existe",IF(AND(I3621="Pago tarjeta",IFERROR(INDEX(ctaTipo,MATCH(G3621,ctaNom,0)),"")&lt;&gt;"Tarjeta de crédito"),"⚠ «Hacia» debe ser la tarjeta",IF(AND(I3621="Trading",IFERROR(INDEX(ctaTipo,MATCH(E3621,ctaNom,0)),"")&lt;&gt;"Cuenta de trading"),"⚠ Usa la cuenta de trading","✓"))))))))))))</f>
        <v/>
      </c>
      <c r="I3621" s="19">
        <f>IF(OR(B3621="",C3621="",D3621=""),"",IFERROR(INDEX(catTipo,MATCH(D3621,catNom,0))&amp;"",""))</f>
        <v/>
      </c>
      <c r="J3621" s="19">
        <f>IF(I3621="","",IFERROR(INDEX(catGrupo,MATCH(D3621,catNom,0))&amp;"",""))</f>
        <v/>
      </c>
      <c r="K3621" s="19">
        <f>IF(I3621="Gasto",IF(IFERROR(INDEX(catClas,MATCH(D3621,catNom,0))&amp;"","")="","Variable",IFERROR(INDEX(catClas,MATCH(D3621,catNom,0))&amp;"","")),"")</f>
        <v/>
      </c>
      <c r="L3621" s="19">
        <f>IF(I3621="","",IFERROR(INDEX(catAlim,MATCH(D3621,catNom,0))&amp;"",""))</f>
        <v/>
      </c>
      <c r="M3621" s="19">
        <f>IF(I3621="","",IFERROR(INDEX(catComida,MATCH(D3621,catNom,0))&amp;"",""))</f>
        <v/>
      </c>
      <c r="N3621" s="19">
        <f>IF(I3621="","",IFERROR(INDEX(ctaMon,MATCH(E3621,ctaNom,0))&amp;"","DOP"))</f>
        <v/>
      </c>
      <c r="O3621" s="20">
        <f>IF(I3621="","",C3621*IF(N3621="USD",TasaUSD,1))</f>
        <v/>
      </c>
      <c r="P3621" s="20">
        <f>IF(I3621="","",IF(I3621="Gasto",O3621,0))</f>
        <v/>
      </c>
      <c r="Q3621" s="20">
        <f>IF(I3621="","",IF(I3621="Ingreso",O3621,0))</f>
        <v/>
      </c>
      <c r="R3621" s="20">
        <f>IF(I3621="","",IF(I3621="Trading",O3621,0))</f>
        <v/>
      </c>
      <c r="S3621" s="19">
        <f>IF(I3621="","",IF(AND(I3621="Gasto",K3621="Variable",J3621&lt;&gt;"Trading",O3621&gt;0,O3621&lt;=Umbral),1,0))</f>
        <v/>
      </c>
      <c r="T3621" s="20">
        <f>IF(OR(I3621="",E3621=""),"",IF(OR(I3621="Gasto",I3621="Transferencia",I3621="Pago tarjeta"),-1,1)*C3621)</f>
        <v/>
      </c>
      <c r="U3621" s="20">
        <f>IF(OR(G3621="",AND(I3621&lt;&gt;"Transferencia",I3621&lt;&gt;"Pago tarjeta")),"",IF(IFERROR(INDEX(ctaMon,MATCH(G3621,ctaNom,0))&amp;"","DOP")=N3621,C3621,IF(N3621="USD",C3621*TasaUSD,C3621/TasaUSD)))</f>
        <v/>
      </c>
      <c r="V3621" s="20">
        <f>IF(I3621="","",IF(IFERROR(INDEX(ctaLiq,MATCH(E3621,ctaNom,0))="Sí",FALSE),IF(OR(I3621="Gasto",I3621="Transferencia",I3621="Pago tarjeta"),-1,1)*O3621,0)+IF(AND(U3621&lt;&gt;"",IFERROR(INDEX(ctaLiq,MATCH(G3621,ctaNom,0))="Sí",FALSE)),O3621,0))</f>
        <v/>
      </c>
      <c r="W3621" s="19">
        <f>IF(OR(F3621="",I3621=""),"",IF(COUNTIFS(F$6:F3621,F3621,I$6:I3621,"?*")=1,MAX(W$5:W3620)+1,""))</f>
        <v/>
      </c>
    </row>
    <row r="3622">
      <c r="B3622" s="15" t="n"/>
      <c r="C3622" s="16" t="n"/>
      <c r="D3622" s="17" t="n"/>
      <c r="E3622" s="17" t="n"/>
      <c r="F3622" s="17" t="n"/>
      <c r="G3622" s="17" t="n"/>
      <c r="H3622" s="18">
        <f>IF(AND(B3622="",C3622="",D3622="",E3622=""),"",IF(B3622="","⚠ Falta fecha",IF(C3622="","⚠ Falta monto",IF(D3622="","⚠ Falta categoría",IF(ISNA(MATCH(D3622,catNom,0)),"⚠ Categoría no existe",IF(E3622="","⚠ Falta cuenta",IF(ISNA(MATCH(E3622,ctaNom,0)),"⚠ Cuenta no existe",IF(AND(OR(I3622="Transferencia",I3622="Pago tarjeta"),G3622=""),"⚠ Indica la cuenta «Hacia»",IF(AND(G3622&lt;&gt;"",G3622=E3622),"⚠ «Hacia» igual a la cuenta",IF(AND(G3622&lt;&gt;"",ISNA(MATCH(G3622,ctaNom,0))),"⚠ «Hacia» no existe",IF(AND(I3622="Pago tarjeta",IFERROR(INDEX(ctaTipo,MATCH(G3622,ctaNom,0)),"")&lt;&gt;"Tarjeta de crédito"),"⚠ «Hacia» debe ser la tarjeta",IF(AND(I3622="Trading",IFERROR(INDEX(ctaTipo,MATCH(E3622,ctaNom,0)),"")&lt;&gt;"Cuenta de trading"),"⚠ Usa la cuenta de trading","✓"))))))))))))</f>
        <v/>
      </c>
      <c r="I3622" s="19">
        <f>IF(OR(B3622="",C3622="",D3622=""),"",IFERROR(INDEX(catTipo,MATCH(D3622,catNom,0))&amp;"",""))</f>
        <v/>
      </c>
      <c r="J3622" s="19">
        <f>IF(I3622="","",IFERROR(INDEX(catGrupo,MATCH(D3622,catNom,0))&amp;"",""))</f>
        <v/>
      </c>
      <c r="K3622" s="19">
        <f>IF(I3622="Gasto",IF(IFERROR(INDEX(catClas,MATCH(D3622,catNom,0))&amp;"","")="","Variable",IFERROR(INDEX(catClas,MATCH(D3622,catNom,0))&amp;"","")),"")</f>
        <v/>
      </c>
      <c r="L3622" s="19">
        <f>IF(I3622="","",IFERROR(INDEX(catAlim,MATCH(D3622,catNom,0))&amp;"",""))</f>
        <v/>
      </c>
      <c r="M3622" s="19">
        <f>IF(I3622="","",IFERROR(INDEX(catComida,MATCH(D3622,catNom,0))&amp;"",""))</f>
        <v/>
      </c>
      <c r="N3622" s="19">
        <f>IF(I3622="","",IFERROR(INDEX(ctaMon,MATCH(E3622,ctaNom,0))&amp;"","DOP"))</f>
        <v/>
      </c>
      <c r="O3622" s="20">
        <f>IF(I3622="","",C3622*IF(N3622="USD",TasaUSD,1))</f>
        <v/>
      </c>
      <c r="P3622" s="20">
        <f>IF(I3622="","",IF(I3622="Gasto",O3622,0))</f>
        <v/>
      </c>
      <c r="Q3622" s="20">
        <f>IF(I3622="","",IF(I3622="Ingreso",O3622,0))</f>
        <v/>
      </c>
      <c r="R3622" s="20">
        <f>IF(I3622="","",IF(I3622="Trading",O3622,0))</f>
        <v/>
      </c>
      <c r="S3622" s="19">
        <f>IF(I3622="","",IF(AND(I3622="Gasto",K3622="Variable",J3622&lt;&gt;"Trading",O3622&gt;0,O3622&lt;=Umbral),1,0))</f>
        <v/>
      </c>
      <c r="T3622" s="20">
        <f>IF(OR(I3622="",E3622=""),"",IF(OR(I3622="Gasto",I3622="Transferencia",I3622="Pago tarjeta"),-1,1)*C3622)</f>
        <v/>
      </c>
      <c r="U3622" s="20">
        <f>IF(OR(G3622="",AND(I3622&lt;&gt;"Transferencia",I3622&lt;&gt;"Pago tarjeta")),"",IF(IFERROR(INDEX(ctaMon,MATCH(G3622,ctaNom,0))&amp;"","DOP")=N3622,C3622,IF(N3622="USD",C3622*TasaUSD,C3622/TasaUSD)))</f>
        <v/>
      </c>
      <c r="V3622" s="20">
        <f>IF(I3622="","",IF(IFERROR(INDEX(ctaLiq,MATCH(E3622,ctaNom,0))="Sí",FALSE),IF(OR(I3622="Gasto",I3622="Transferencia",I3622="Pago tarjeta"),-1,1)*O3622,0)+IF(AND(U3622&lt;&gt;"",IFERROR(INDEX(ctaLiq,MATCH(G3622,ctaNom,0))="Sí",FALSE)),O3622,0))</f>
        <v/>
      </c>
      <c r="W3622" s="19">
        <f>IF(OR(F3622="",I3622=""),"",IF(COUNTIFS(F$6:F3622,F3622,I$6:I3622,"?*")=1,MAX(W$5:W3621)+1,""))</f>
        <v/>
      </c>
    </row>
    <row r="3623">
      <c r="B3623" s="15" t="n"/>
      <c r="C3623" s="16" t="n"/>
      <c r="D3623" s="17" t="n"/>
      <c r="E3623" s="17" t="n"/>
      <c r="F3623" s="17" t="n"/>
      <c r="G3623" s="17" t="n"/>
      <c r="H3623" s="18">
        <f>IF(AND(B3623="",C3623="",D3623="",E3623=""),"",IF(B3623="","⚠ Falta fecha",IF(C3623="","⚠ Falta monto",IF(D3623="","⚠ Falta categoría",IF(ISNA(MATCH(D3623,catNom,0)),"⚠ Categoría no existe",IF(E3623="","⚠ Falta cuenta",IF(ISNA(MATCH(E3623,ctaNom,0)),"⚠ Cuenta no existe",IF(AND(OR(I3623="Transferencia",I3623="Pago tarjeta"),G3623=""),"⚠ Indica la cuenta «Hacia»",IF(AND(G3623&lt;&gt;"",G3623=E3623),"⚠ «Hacia» igual a la cuenta",IF(AND(G3623&lt;&gt;"",ISNA(MATCH(G3623,ctaNom,0))),"⚠ «Hacia» no existe",IF(AND(I3623="Pago tarjeta",IFERROR(INDEX(ctaTipo,MATCH(G3623,ctaNom,0)),"")&lt;&gt;"Tarjeta de crédito"),"⚠ «Hacia» debe ser la tarjeta",IF(AND(I3623="Trading",IFERROR(INDEX(ctaTipo,MATCH(E3623,ctaNom,0)),"")&lt;&gt;"Cuenta de trading"),"⚠ Usa la cuenta de trading","✓"))))))))))))</f>
        <v/>
      </c>
      <c r="I3623" s="19">
        <f>IF(OR(B3623="",C3623="",D3623=""),"",IFERROR(INDEX(catTipo,MATCH(D3623,catNom,0))&amp;"",""))</f>
        <v/>
      </c>
      <c r="J3623" s="19">
        <f>IF(I3623="","",IFERROR(INDEX(catGrupo,MATCH(D3623,catNom,0))&amp;"",""))</f>
        <v/>
      </c>
      <c r="K3623" s="19">
        <f>IF(I3623="Gasto",IF(IFERROR(INDEX(catClas,MATCH(D3623,catNom,0))&amp;"","")="","Variable",IFERROR(INDEX(catClas,MATCH(D3623,catNom,0))&amp;"","")),"")</f>
        <v/>
      </c>
      <c r="L3623" s="19">
        <f>IF(I3623="","",IFERROR(INDEX(catAlim,MATCH(D3623,catNom,0))&amp;"",""))</f>
        <v/>
      </c>
      <c r="M3623" s="19">
        <f>IF(I3623="","",IFERROR(INDEX(catComida,MATCH(D3623,catNom,0))&amp;"",""))</f>
        <v/>
      </c>
      <c r="N3623" s="19">
        <f>IF(I3623="","",IFERROR(INDEX(ctaMon,MATCH(E3623,ctaNom,0))&amp;"","DOP"))</f>
        <v/>
      </c>
      <c r="O3623" s="20">
        <f>IF(I3623="","",C3623*IF(N3623="USD",TasaUSD,1))</f>
        <v/>
      </c>
      <c r="P3623" s="20">
        <f>IF(I3623="","",IF(I3623="Gasto",O3623,0))</f>
        <v/>
      </c>
      <c r="Q3623" s="20">
        <f>IF(I3623="","",IF(I3623="Ingreso",O3623,0))</f>
        <v/>
      </c>
      <c r="R3623" s="20">
        <f>IF(I3623="","",IF(I3623="Trading",O3623,0))</f>
        <v/>
      </c>
      <c r="S3623" s="19">
        <f>IF(I3623="","",IF(AND(I3623="Gasto",K3623="Variable",J3623&lt;&gt;"Trading",O3623&gt;0,O3623&lt;=Umbral),1,0))</f>
        <v/>
      </c>
      <c r="T3623" s="20">
        <f>IF(OR(I3623="",E3623=""),"",IF(OR(I3623="Gasto",I3623="Transferencia",I3623="Pago tarjeta"),-1,1)*C3623)</f>
        <v/>
      </c>
      <c r="U3623" s="20">
        <f>IF(OR(G3623="",AND(I3623&lt;&gt;"Transferencia",I3623&lt;&gt;"Pago tarjeta")),"",IF(IFERROR(INDEX(ctaMon,MATCH(G3623,ctaNom,0))&amp;"","DOP")=N3623,C3623,IF(N3623="USD",C3623*TasaUSD,C3623/TasaUSD)))</f>
        <v/>
      </c>
      <c r="V3623" s="20">
        <f>IF(I3623="","",IF(IFERROR(INDEX(ctaLiq,MATCH(E3623,ctaNom,0))="Sí",FALSE),IF(OR(I3623="Gasto",I3623="Transferencia",I3623="Pago tarjeta"),-1,1)*O3623,0)+IF(AND(U3623&lt;&gt;"",IFERROR(INDEX(ctaLiq,MATCH(G3623,ctaNom,0))="Sí",FALSE)),O3623,0))</f>
        <v/>
      </c>
      <c r="W3623" s="19">
        <f>IF(OR(F3623="",I3623=""),"",IF(COUNTIFS(F$6:F3623,F3623,I$6:I3623,"?*")=1,MAX(W$5:W3622)+1,""))</f>
        <v/>
      </c>
    </row>
    <row r="3624">
      <c r="B3624" s="15" t="n"/>
      <c r="C3624" s="16" t="n"/>
      <c r="D3624" s="17" t="n"/>
      <c r="E3624" s="17" t="n"/>
      <c r="F3624" s="17" t="n"/>
      <c r="G3624" s="17" t="n"/>
      <c r="H3624" s="18">
        <f>IF(AND(B3624="",C3624="",D3624="",E3624=""),"",IF(B3624="","⚠ Falta fecha",IF(C3624="","⚠ Falta monto",IF(D3624="","⚠ Falta categoría",IF(ISNA(MATCH(D3624,catNom,0)),"⚠ Categoría no existe",IF(E3624="","⚠ Falta cuenta",IF(ISNA(MATCH(E3624,ctaNom,0)),"⚠ Cuenta no existe",IF(AND(OR(I3624="Transferencia",I3624="Pago tarjeta"),G3624=""),"⚠ Indica la cuenta «Hacia»",IF(AND(G3624&lt;&gt;"",G3624=E3624),"⚠ «Hacia» igual a la cuenta",IF(AND(G3624&lt;&gt;"",ISNA(MATCH(G3624,ctaNom,0))),"⚠ «Hacia» no existe",IF(AND(I3624="Pago tarjeta",IFERROR(INDEX(ctaTipo,MATCH(G3624,ctaNom,0)),"")&lt;&gt;"Tarjeta de crédito"),"⚠ «Hacia» debe ser la tarjeta",IF(AND(I3624="Trading",IFERROR(INDEX(ctaTipo,MATCH(E3624,ctaNom,0)),"")&lt;&gt;"Cuenta de trading"),"⚠ Usa la cuenta de trading","✓"))))))))))))</f>
        <v/>
      </c>
      <c r="I3624" s="19">
        <f>IF(OR(B3624="",C3624="",D3624=""),"",IFERROR(INDEX(catTipo,MATCH(D3624,catNom,0))&amp;"",""))</f>
        <v/>
      </c>
      <c r="J3624" s="19">
        <f>IF(I3624="","",IFERROR(INDEX(catGrupo,MATCH(D3624,catNom,0))&amp;"",""))</f>
        <v/>
      </c>
      <c r="K3624" s="19">
        <f>IF(I3624="Gasto",IF(IFERROR(INDEX(catClas,MATCH(D3624,catNom,0))&amp;"","")="","Variable",IFERROR(INDEX(catClas,MATCH(D3624,catNom,0))&amp;"","")),"")</f>
        <v/>
      </c>
      <c r="L3624" s="19">
        <f>IF(I3624="","",IFERROR(INDEX(catAlim,MATCH(D3624,catNom,0))&amp;"",""))</f>
        <v/>
      </c>
      <c r="M3624" s="19">
        <f>IF(I3624="","",IFERROR(INDEX(catComida,MATCH(D3624,catNom,0))&amp;"",""))</f>
        <v/>
      </c>
      <c r="N3624" s="19">
        <f>IF(I3624="","",IFERROR(INDEX(ctaMon,MATCH(E3624,ctaNom,0))&amp;"","DOP"))</f>
        <v/>
      </c>
      <c r="O3624" s="20">
        <f>IF(I3624="","",C3624*IF(N3624="USD",TasaUSD,1))</f>
        <v/>
      </c>
      <c r="P3624" s="20">
        <f>IF(I3624="","",IF(I3624="Gasto",O3624,0))</f>
        <v/>
      </c>
      <c r="Q3624" s="20">
        <f>IF(I3624="","",IF(I3624="Ingreso",O3624,0))</f>
        <v/>
      </c>
      <c r="R3624" s="20">
        <f>IF(I3624="","",IF(I3624="Trading",O3624,0))</f>
        <v/>
      </c>
      <c r="S3624" s="19">
        <f>IF(I3624="","",IF(AND(I3624="Gasto",K3624="Variable",J3624&lt;&gt;"Trading",O3624&gt;0,O3624&lt;=Umbral),1,0))</f>
        <v/>
      </c>
      <c r="T3624" s="20">
        <f>IF(OR(I3624="",E3624=""),"",IF(OR(I3624="Gasto",I3624="Transferencia",I3624="Pago tarjeta"),-1,1)*C3624)</f>
        <v/>
      </c>
      <c r="U3624" s="20">
        <f>IF(OR(G3624="",AND(I3624&lt;&gt;"Transferencia",I3624&lt;&gt;"Pago tarjeta")),"",IF(IFERROR(INDEX(ctaMon,MATCH(G3624,ctaNom,0))&amp;"","DOP")=N3624,C3624,IF(N3624="USD",C3624*TasaUSD,C3624/TasaUSD)))</f>
        <v/>
      </c>
      <c r="V3624" s="20">
        <f>IF(I3624="","",IF(IFERROR(INDEX(ctaLiq,MATCH(E3624,ctaNom,0))="Sí",FALSE),IF(OR(I3624="Gasto",I3624="Transferencia",I3624="Pago tarjeta"),-1,1)*O3624,0)+IF(AND(U3624&lt;&gt;"",IFERROR(INDEX(ctaLiq,MATCH(G3624,ctaNom,0))="Sí",FALSE)),O3624,0))</f>
        <v/>
      </c>
      <c r="W3624" s="19">
        <f>IF(OR(F3624="",I3624=""),"",IF(COUNTIFS(F$6:F3624,F3624,I$6:I3624,"?*")=1,MAX(W$5:W3623)+1,""))</f>
        <v/>
      </c>
    </row>
    <row r="3625">
      <c r="B3625" s="15" t="n"/>
      <c r="C3625" s="16" t="n"/>
      <c r="D3625" s="17" t="n"/>
      <c r="E3625" s="17" t="n"/>
      <c r="F3625" s="17" t="n"/>
      <c r="G3625" s="17" t="n"/>
      <c r="H3625" s="18">
        <f>IF(AND(B3625="",C3625="",D3625="",E3625=""),"",IF(B3625="","⚠ Falta fecha",IF(C3625="","⚠ Falta monto",IF(D3625="","⚠ Falta categoría",IF(ISNA(MATCH(D3625,catNom,0)),"⚠ Categoría no existe",IF(E3625="","⚠ Falta cuenta",IF(ISNA(MATCH(E3625,ctaNom,0)),"⚠ Cuenta no existe",IF(AND(OR(I3625="Transferencia",I3625="Pago tarjeta"),G3625=""),"⚠ Indica la cuenta «Hacia»",IF(AND(G3625&lt;&gt;"",G3625=E3625),"⚠ «Hacia» igual a la cuenta",IF(AND(G3625&lt;&gt;"",ISNA(MATCH(G3625,ctaNom,0))),"⚠ «Hacia» no existe",IF(AND(I3625="Pago tarjeta",IFERROR(INDEX(ctaTipo,MATCH(G3625,ctaNom,0)),"")&lt;&gt;"Tarjeta de crédito"),"⚠ «Hacia» debe ser la tarjeta",IF(AND(I3625="Trading",IFERROR(INDEX(ctaTipo,MATCH(E3625,ctaNom,0)),"")&lt;&gt;"Cuenta de trading"),"⚠ Usa la cuenta de trading","✓"))))))))))))</f>
        <v/>
      </c>
      <c r="I3625" s="19">
        <f>IF(OR(B3625="",C3625="",D3625=""),"",IFERROR(INDEX(catTipo,MATCH(D3625,catNom,0))&amp;"",""))</f>
        <v/>
      </c>
      <c r="J3625" s="19">
        <f>IF(I3625="","",IFERROR(INDEX(catGrupo,MATCH(D3625,catNom,0))&amp;"",""))</f>
        <v/>
      </c>
      <c r="K3625" s="19">
        <f>IF(I3625="Gasto",IF(IFERROR(INDEX(catClas,MATCH(D3625,catNom,0))&amp;"","")="","Variable",IFERROR(INDEX(catClas,MATCH(D3625,catNom,0))&amp;"","")),"")</f>
        <v/>
      </c>
      <c r="L3625" s="19">
        <f>IF(I3625="","",IFERROR(INDEX(catAlim,MATCH(D3625,catNom,0))&amp;"",""))</f>
        <v/>
      </c>
      <c r="M3625" s="19">
        <f>IF(I3625="","",IFERROR(INDEX(catComida,MATCH(D3625,catNom,0))&amp;"",""))</f>
        <v/>
      </c>
      <c r="N3625" s="19">
        <f>IF(I3625="","",IFERROR(INDEX(ctaMon,MATCH(E3625,ctaNom,0))&amp;"","DOP"))</f>
        <v/>
      </c>
      <c r="O3625" s="20">
        <f>IF(I3625="","",C3625*IF(N3625="USD",TasaUSD,1))</f>
        <v/>
      </c>
      <c r="P3625" s="20">
        <f>IF(I3625="","",IF(I3625="Gasto",O3625,0))</f>
        <v/>
      </c>
      <c r="Q3625" s="20">
        <f>IF(I3625="","",IF(I3625="Ingreso",O3625,0))</f>
        <v/>
      </c>
      <c r="R3625" s="20">
        <f>IF(I3625="","",IF(I3625="Trading",O3625,0))</f>
        <v/>
      </c>
      <c r="S3625" s="19">
        <f>IF(I3625="","",IF(AND(I3625="Gasto",K3625="Variable",J3625&lt;&gt;"Trading",O3625&gt;0,O3625&lt;=Umbral),1,0))</f>
        <v/>
      </c>
      <c r="T3625" s="20">
        <f>IF(OR(I3625="",E3625=""),"",IF(OR(I3625="Gasto",I3625="Transferencia",I3625="Pago tarjeta"),-1,1)*C3625)</f>
        <v/>
      </c>
      <c r="U3625" s="20">
        <f>IF(OR(G3625="",AND(I3625&lt;&gt;"Transferencia",I3625&lt;&gt;"Pago tarjeta")),"",IF(IFERROR(INDEX(ctaMon,MATCH(G3625,ctaNom,0))&amp;"","DOP")=N3625,C3625,IF(N3625="USD",C3625*TasaUSD,C3625/TasaUSD)))</f>
        <v/>
      </c>
      <c r="V3625" s="20">
        <f>IF(I3625="","",IF(IFERROR(INDEX(ctaLiq,MATCH(E3625,ctaNom,0))="Sí",FALSE),IF(OR(I3625="Gasto",I3625="Transferencia",I3625="Pago tarjeta"),-1,1)*O3625,0)+IF(AND(U3625&lt;&gt;"",IFERROR(INDEX(ctaLiq,MATCH(G3625,ctaNom,0))="Sí",FALSE)),O3625,0))</f>
        <v/>
      </c>
      <c r="W3625" s="19">
        <f>IF(OR(F3625="",I3625=""),"",IF(COUNTIFS(F$6:F3625,F3625,I$6:I3625,"?*")=1,MAX(W$5:W3624)+1,""))</f>
        <v/>
      </c>
    </row>
    <row r="3626">
      <c r="B3626" s="15" t="n"/>
      <c r="C3626" s="16" t="n"/>
      <c r="D3626" s="17" t="n"/>
      <c r="E3626" s="17" t="n"/>
      <c r="F3626" s="17" t="n"/>
      <c r="G3626" s="17" t="n"/>
      <c r="H3626" s="18">
        <f>IF(AND(B3626="",C3626="",D3626="",E3626=""),"",IF(B3626="","⚠ Falta fecha",IF(C3626="","⚠ Falta monto",IF(D3626="","⚠ Falta categoría",IF(ISNA(MATCH(D3626,catNom,0)),"⚠ Categoría no existe",IF(E3626="","⚠ Falta cuenta",IF(ISNA(MATCH(E3626,ctaNom,0)),"⚠ Cuenta no existe",IF(AND(OR(I3626="Transferencia",I3626="Pago tarjeta"),G3626=""),"⚠ Indica la cuenta «Hacia»",IF(AND(G3626&lt;&gt;"",G3626=E3626),"⚠ «Hacia» igual a la cuenta",IF(AND(G3626&lt;&gt;"",ISNA(MATCH(G3626,ctaNom,0))),"⚠ «Hacia» no existe",IF(AND(I3626="Pago tarjeta",IFERROR(INDEX(ctaTipo,MATCH(G3626,ctaNom,0)),"")&lt;&gt;"Tarjeta de crédito"),"⚠ «Hacia» debe ser la tarjeta",IF(AND(I3626="Trading",IFERROR(INDEX(ctaTipo,MATCH(E3626,ctaNom,0)),"")&lt;&gt;"Cuenta de trading"),"⚠ Usa la cuenta de trading","✓"))))))))))))</f>
        <v/>
      </c>
      <c r="I3626" s="19">
        <f>IF(OR(B3626="",C3626="",D3626=""),"",IFERROR(INDEX(catTipo,MATCH(D3626,catNom,0))&amp;"",""))</f>
        <v/>
      </c>
      <c r="J3626" s="19">
        <f>IF(I3626="","",IFERROR(INDEX(catGrupo,MATCH(D3626,catNom,0))&amp;"",""))</f>
        <v/>
      </c>
      <c r="K3626" s="19">
        <f>IF(I3626="Gasto",IF(IFERROR(INDEX(catClas,MATCH(D3626,catNom,0))&amp;"","")="","Variable",IFERROR(INDEX(catClas,MATCH(D3626,catNom,0))&amp;"","")),"")</f>
        <v/>
      </c>
      <c r="L3626" s="19">
        <f>IF(I3626="","",IFERROR(INDEX(catAlim,MATCH(D3626,catNom,0))&amp;"",""))</f>
        <v/>
      </c>
      <c r="M3626" s="19">
        <f>IF(I3626="","",IFERROR(INDEX(catComida,MATCH(D3626,catNom,0))&amp;"",""))</f>
        <v/>
      </c>
      <c r="N3626" s="19">
        <f>IF(I3626="","",IFERROR(INDEX(ctaMon,MATCH(E3626,ctaNom,0))&amp;"","DOP"))</f>
        <v/>
      </c>
      <c r="O3626" s="20">
        <f>IF(I3626="","",C3626*IF(N3626="USD",TasaUSD,1))</f>
        <v/>
      </c>
      <c r="P3626" s="20">
        <f>IF(I3626="","",IF(I3626="Gasto",O3626,0))</f>
        <v/>
      </c>
      <c r="Q3626" s="20">
        <f>IF(I3626="","",IF(I3626="Ingreso",O3626,0))</f>
        <v/>
      </c>
      <c r="R3626" s="20">
        <f>IF(I3626="","",IF(I3626="Trading",O3626,0))</f>
        <v/>
      </c>
      <c r="S3626" s="19">
        <f>IF(I3626="","",IF(AND(I3626="Gasto",K3626="Variable",J3626&lt;&gt;"Trading",O3626&gt;0,O3626&lt;=Umbral),1,0))</f>
        <v/>
      </c>
      <c r="T3626" s="20">
        <f>IF(OR(I3626="",E3626=""),"",IF(OR(I3626="Gasto",I3626="Transferencia",I3626="Pago tarjeta"),-1,1)*C3626)</f>
        <v/>
      </c>
      <c r="U3626" s="20">
        <f>IF(OR(G3626="",AND(I3626&lt;&gt;"Transferencia",I3626&lt;&gt;"Pago tarjeta")),"",IF(IFERROR(INDEX(ctaMon,MATCH(G3626,ctaNom,0))&amp;"","DOP")=N3626,C3626,IF(N3626="USD",C3626*TasaUSD,C3626/TasaUSD)))</f>
        <v/>
      </c>
      <c r="V3626" s="20">
        <f>IF(I3626="","",IF(IFERROR(INDEX(ctaLiq,MATCH(E3626,ctaNom,0))="Sí",FALSE),IF(OR(I3626="Gasto",I3626="Transferencia",I3626="Pago tarjeta"),-1,1)*O3626,0)+IF(AND(U3626&lt;&gt;"",IFERROR(INDEX(ctaLiq,MATCH(G3626,ctaNom,0))="Sí",FALSE)),O3626,0))</f>
        <v/>
      </c>
      <c r="W3626" s="19">
        <f>IF(OR(F3626="",I3626=""),"",IF(COUNTIFS(F$6:F3626,F3626,I$6:I3626,"?*")=1,MAX(W$5:W3625)+1,""))</f>
        <v/>
      </c>
    </row>
    <row r="3627">
      <c r="B3627" s="15" t="n"/>
      <c r="C3627" s="16" t="n"/>
      <c r="D3627" s="17" t="n"/>
      <c r="E3627" s="17" t="n"/>
      <c r="F3627" s="17" t="n"/>
      <c r="G3627" s="17" t="n"/>
      <c r="H3627" s="18">
        <f>IF(AND(B3627="",C3627="",D3627="",E3627=""),"",IF(B3627="","⚠ Falta fecha",IF(C3627="","⚠ Falta monto",IF(D3627="","⚠ Falta categoría",IF(ISNA(MATCH(D3627,catNom,0)),"⚠ Categoría no existe",IF(E3627="","⚠ Falta cuenta",IF(ISNA(MATCH(E3627,ctaNom,0)),"⚠ Cuenta no existe",IF(AND(OR(I3627="Transferencia",I3627="Pago tarjeta"),G3627=""),"⚠ Indica la cuenta «Hacia»",IF(AND(G3627&lt;&gt;"",G3627=E3627),"⚠ «Hacia» igual a la cuenta",IF(AND(G3627&lt;&gt;"",ISNA(MATCH(G3627,ctaNom,0))),"⚠ «Hacia» no existe",IF(AND(I3627="Pago tarjeta",IFERROR(INDEX(ctaTipo,MATCH(G3627,ctaNom,0)),"")&lt;&gt;"Tarjeta de crédito"),"⚠ «Hacia» debe ser la tarjeta",IF(AND(I3627="Trading",IFERROR(INDEX(ctaTipo,MATCH(E3627,ctaNom,0)),"")&lt;&gt;"Cuenta de trading"),"⚠ Usa la cuenta de trading","✓"))))))))))))</f>
        <v/>
      </c>
      <c r="I3627" s="19">
        <f>IF(OR(B3627="",C3627="",D3627=""),"",IFERROR(INDEX(catTipo,MATCH(D3627,catNom,0))&amp;"",""))</f>
        <v/>
      </c>
      <c r="J3627" s="19">
        <f>IF(I3627="","",IFERROR(INDEX(catGrupo,MATCH(D3627,catNom,0))&amp;"",""))</f>
        <v/>
      </c>
      <c r="K3627" s="19">
        <f>IF(I3627="Gasto",IF(IFERROR(INDEX(catClas,MATCH(D3627,catNom,0))&amp;"","")="","Variable",IFERROR(INDEX(catClas,MATCH(D3627,catNom,0))&amp;"","")),"")</f>
        <v/>
      </c>
      <c r="L3627" s="19">
        <f>IF(I3627="","",IFERROR(INDEX(catAlim,MATCH(D3627,catNom,0))&amp;"",""))</f>
        <v/>
      </c>
      <c r="M3627" s="19">
        <f>IF(I3627="","",IFERROR(INDEX(catComida,MATCH(D3627,catNom,0))&amp;"",""))</f>
        <v/>
      </c>
      <c r="N3627" s="19">
        <f>IF(I3627="","",IFERROR(INDEX(ctaMon,MATCH(E3627,ctaNom,0))&amp;"","DOP"))</f>
        <v/>
      </c>
      <c r="O3627" s="20">
        <f>IF(I3627="","",C3627*IF(N3627="USD",TasaUSD,1))</f>
        <v/>
      </c>
      <c r="P3627" s="20">
        <f>IF(I3627="","",IF(I3627="Gasto",O3627,0))</f>
        <v/>
      </c>
      <c r="Q3627" s="20">
        <f>IF(I3627="","",IF(I3627="Ingreso",O3627,0))</f>
        <v/>
      </c>
      <c r="R3627" s="20">
        <f>IF(I3627="","",IF(I3627="Trading",O3627,0))</f>
        <v/>
      </c>
      <c r="S3627" s="19">
        <f>IF(I3627="","",IF(AND(I3627="Gasto",K3627="Variable",J3627&lt;&gt;"Trading",O3627&gt;0,O3627&lt;=Umbral),1,0))</f>
        <v/>
      </c>
      <c r="T3627" s="20">
        <f>IF(OR(I3627="",E3627=""),"",IF(OR(I3627="Gasto",I3627="Transferencia",I3627="Pago tarjeta"),-1,1)*C3627)</f>
        <v/>
      </c>
      <c r="U3627" s="20">
        <f>IF(OR(G3627="",AND(I3627&lt;&gt;"Transferencia",I3627&lt;&gt;"Pago tarjeta")),"",IF(IFERROR(INDEX(ctaMon,MATCH(G3627,ctaNom,0))&amp;"","DOP")=N3627,C3627,IF(N3627="USD",C3627*TasaUSD,C3627/TasaUSD)))</f>
        <v/>
      </c>
      <c r="V3627" s="20">
        <f>IF(I3627="","",IF(IFERROR(INDEX(ctaLiq,MATCH(E3627,ctaNom,0))="Sí",FALSE),IF(OR(I3627="Gasto",I3627="Transferencia",I3627="Pago tarjeta"),-1,1)*O3627,0)+IF(AND(U3627&lt;&gt;"",IFERROR(INDEX(ctaLiq,MATCH(G3627,ctaNom,0))="Sí",FALSE)),O3627,0))</f>
        <v/>
      </c>
      <c r="W3627" s="19">
        <f>IF(OR(F3627="",I3627=""),"",IF(COUNTIFS(F$6:F3627,F3627,I$6:I3627,"?*")=1,MAX(W$5:W3626)+1,""))</f>
        <v/>
      </c>
    </row>
    <row r="3628">
      <c r="B3628" s="15" t="n"/>
      <c r="C3628" s="16" t="n"/>
      <c r="D3628" s="17" t="n"/>
      <c r="E3628" s="17" t="n"/>
      <c r="F3628" s="17" t="n"/>
      <c r="G3628" s="17" t="n"/>
      <c r="H3628" s="18">
        <f>IF(AND(B3628="",C3628="",D3628="",E3628=""),"",IF(B3628="","⚠ Falta fecha",IF(C3628="","⚠ Falta monto",IF(D3628="","⚠ Falta categoría",IF(ISNA(MATCH(D3628,catNom,0)),"⚠ Categoría no existe",IF(E3628="","⚠ Falta cuenta",IF(ISNA(MATCH(E3628,ctaNom,0)),"⚠ Cuenta no existe",IF(AND(OR(I3628="Transferencia",I3628="Pago tarjeta"),G3628=""),"⚠ Indica la cuenta «Hacia»",IF(AND(G3628&lt;&gt;"",G3628=E3628),"⚠ «Hacia» igual a la cuenta",IF(AND(G3628&lt;&gt;"",ISNA(MATCH(G3628,ctaNom,0))),"⚠ «Hacia» no existe",IF(AND(I3628="Pago tarjeta",IFERROR(INDEX(ctaTipo,MATCH(G3628,ctaNom,0)),"")&lt;&gt;"Tarjeta de crédito"),"⚠ «Hacia» debe ser la tarjeta",IF(AND(I3628="Trading",IFERROR(INDEX(ctaTipo,MATCH(E3628,ctaNom,0)),"")&lt;&gt;"Cuenta de trading"),"⚠ Usa la cuenta de trading","✓"))))))))))))</f>
        <v/>
      </c>
      <c r="I3628" s="19">
        <f>IF(OR(B3628="",C3628="",D3628=""),"",IFERROR(INDEX(catTipo,MATCH(D3628,catNom,0))&amp;"",""))</f>
        <v/>
      </c>
      <c r="J3628" s="19">
        <f>IF(I3628="","",IFERROR(INDEX(catGrupo,MATCH(D3628,catNom,0))&amp;"",""))</f>
        <v/>
      </c>
      <c r="K3628" s="19">
        <f>IF(I3628="Gasto",IF(IFERROR(INDEX(catClas,MATCH(D3628,catNom,0))&amp;"","")="","Variable",IFERROR(INDEX(catClas,MATCH(D3628,catNom,0))&amp;"","")),"")</f>
        <v/>
      </c>
      <c r="L3628" s="19">
        <f>IF(I3628="","",IFERROR(INDEX(catAlim,MATCH(D3628,catNom,0))&amp;"",""))</f>
        <v/>
      </c>
      <c r="M3628" s="19">
        <f>IF(I3628="","",IFERROR(INDEX(catComida,MATCH(D3628,catNom,0))&amp;"",""))</f>
        <v/>
      </c>
      <c r="N3628" s="19">
        <f>IF(I3628="","",IFERROR(INDEX(ctaMon,MATCH(E3628,ctaNom,0))&amp;"","DOP"))</f>
        <v/>
      </c>
      <c r="O3628" s="20">
        <f>IF(I3628="","",C3628*IF(N3628="USD",TasaUSD,1))</f>
        <v/>
      </c>
      <c r="P3628" s="20">
        <f>IF(I3628="","",IF(I3628="Gasto",O3628,0))</f>
        <v/>
      </c>
      <c r="Q3628" s="20">
        <f>IF(I3628="","",IF(I3628="Ingreso",O3628,0))</f>
        <v/>
      </c>
      <c r="R3628" s="20">
        <f>IF(I3628="","",IF(I3628="Trading",O3628,0))</f>
        <v/>
      </c>
      <c r="S3628" s="19">
        <f>IF(I3628="","",IF(AND(I3628="Gasto",K3628="Variable",J3628&lt;&gt;"Trading",O3628&gt;0,O3628&lt;=Umbral),1,0))</f>
        <v/>
      </c>
      <c r="T3628" s="20">
        <f>IF(OR(I3628="",E3628=""),"",IF(OR(I3628="Gasto",I3628="Transferencia",I3628="Pago tarjeta"),-1,1)*C3628)</f>
        <v/>
      </c>
      <c r="U3628" s="20">
        <f>IF(OR(G3628="",AND(I3628&lt;&gt;"Transferencia",I3628&lt;&gt;"Pago tarjeta")),"",IF(IFERROR(INDEX(ctaMon,MATCH(G3628,ctaNom,0))&amp;"","DOP")=N3628,C3628,IF(N3628="USD",C3628*TasaUSD,C3628/TasaUSD)))</f>
        <v/>
      </c>
      <c r="V3628" s="20">
        <f>IF(I3628="","",IF(IFERROR(INDEX(ctaLiq,MATCH(E3628,ctaNom,0))="Sí",FALSE),IF(OR(I3628="Gasto",I3628="Transferencia",I3628="Pago tarjeta"),-1,1)*O3628,0)+IF(AND(U3628&lt;&gt;"",IFERROR(INDEX(ctaLiq,MATCH(G3628,ctaNom,0))="Sí",FALSE)),O3628,0))</f>
        <v/>
      </c>
      <c r="W3628" s="19">
        <f>IF(OR(F3628="",I3628=""),"",IF(COUNTIFS(F$6:F3628,F3628,I$6:I3628,"?*")=1,MAX(W$5:W3627)+1,""))</f>
        <v/>
      </c>
    </row>
    <row r="3629">
      <c r="B3629" s="15" t="n"/>
      <c r="C3629" s="16" t="n"/>
      <c r="D3629" s="17" t="n"/>
      <c r="E3629" s="17" t="n"/>
      <c r="F3629" s="17" t="n"/>
      <c r="G3629" s="17" t="n"/>
      <c r="H3629" s="18">
        <f>IF(AND(B3629="",C3629="",D3629="",E3629=""),"",IF(B3629="","⚠ Falta fecha",IF(C3629="","⚠ Falta monto",IF(D3629="","⚠ Falta categoría",IF(ISNA(MATCH(D3629,catNom,0)),"⚠ Categoría no existe",IF(E3629="","⚠ Falta cuenta",IF(ISNA(MATCH(E3629,ctaNom,0)),"⚠ Cuenta no existe",IF(AND(OR(I3629="Transferencia",I3629="Pago tarjeta"),G3629=""),"⚠ Indica la cuenta «Hacia»",IF(AND(G3629&lt;&gt;"",G3629=E3629),"⚠ «Hacia» igual a la cuenta",IF(AND(G3629&lt;&gt;"",ISNA(MATCH(G3629,ctaNom,0))),"⚠ «Hacia» no existe",IF(AND(I3629="Pago tarjeta",IFERROR(INDEX(ctaTipo,MATCH(G3629,ctaNom,0)),"")&lt;&gt;"Tarjeta de crédito"),"⚠ «Hacia» debe ser la tarjeta",IF(AND(I3629="Trading",IFERROR(INDEX(ctaTipo,MATCH(E3629,ctaNom,0)),"")&lt;&gt;"Cuenta de trading"),"⚠ Usa la cuenta de trading","✓"))))))))))))</f>
        <v/>
      </c>
      <c r="I3629" s="19">
        <f>IF(OR(B3629="",C3629="",D3629=""),"",IFERROR(INDEX(catTipo,MATCH(D3629,catNom,0))&amp;"",""))</f>
        <v/>
      </c>
      <c r="J3629" s="19">
        <f>IF(I3629="","",IFERROR(INDEX(catGrupo,MATCH(D3629,catNom,0))&amp;"",""))</f>
        <v/>
      </c>
      <c r="K3629" s="19">
        <f>IF(I3629="Gasto",IF(IFERROR(INDEX(catClas,MATCH(D3629,catNom,0))&amp;"","")="","Variable",IFERROR(INDEX(catClas,MATCH(D3629,catNom,0))&amp;"","")),"")</f>
        <v/>
      </c>
      <c r="L3629" s="19">
        <f>IF(I3629="","",IFERROR(INDEX(catAlim,MATCH(D3629,catNom,0))&amp;"",""))</f>
        <v/>
      </c>
      <c r="M3629" s="19">
        <f>IF(I3629="","",IFERROR(INDEX(catComida,MATCH(D3629,catNom,0))&amp;"",""))</f>
        <v/>
      </c>
      <c r="N3629" s="19">
        <f>IF(I3629="","",IFERROR(INDEX(ctaMon,MATCH(E3629,ctaNom,0))&amp;"","DOP"))</f>
        <v/>
      </c>
      <c r="O3629" s="20">
        <f>IF(I3629="","",C3629*IF(N3629="USD",TasaUSD,1))</f>
        <v/>
      </c>
      <c r="P3629" s="20">
        <f>IF(I3629="","",IF(I3629="Gasto",O3629,0))</f>
        <v/>
      </c>
      <c r="Q3629" s="20">
        <f>IF(I3629="","",IF(I3629="Ingreso",O3629,0))</f>
        <v/>
      </c>
      <c r="R3629" s="20">
        <f>IF(I3629="","",IF(I3629="Trading",O3629,0))</f>
        <v/>
      </c>
      <c r="S3629" s="19">
        <f>IF(I3629="","",IF(AND(I3629="Gasto",K3629="Variable",J3629&lt;&gt;"Trading",O3629&gt;0,O3629&lt;=Umbral),1,0))</f>
        <v/>
      </c>
      <c r="T3629" s="20">
        <f>IF(OR(I3629="",E3629=""),"",IF(OR(I3629="Gasto",I3629="Transferencia",I3629="Pago tarjeta"),-1,1)*C3629)</f>
        <v/>
      </c>
      <c r="U3629" s="20">
        <f>IF(OR(G3629="",AND(I3629&lt;&gt;"Transferencia",I3629&lt;&gt;"Pago tarjeta")),"",IF(IFERROR(INDEX(ctaMon,MATCH(G3629,ctaNom,0))&amp;"","DOP")=N3629,C3629,IF(N3629="USD",C3629*TasaUSD,C3629/TasaUSD)))</f>
        <v/>
      </c>
      <c r="V3629" s="20">
        <f>IF(I3629="","",IF(IFERROR(INDEX(ctaLiq,MATCH(E3629,ctaNom,0))="Sí",FALSE),IF(OR(I3629="Gasto",I3629="Transferencia",I3629="Pago tarjeta"),-1,1)*O3629,0)+IF(AND(U3629&lt;&gt;"",IFERROR(INDEX(ctaLiq,MATCH(G3629,ctaNom,0))="Sí",FALSE)),O3629,0))</f>
        <v/>
      </c>
      <c r="W3629" s="19">
        <f>IF(OR(F3629="",I3629=""),"",IF(COUNTIFS(F$6:F3629,F3629,I$6:I3629,"?*")=1,MAX(W$5:W3628)+1,""))</f>
        <v/>
      </c>
    </row>
    <row r="3630">
      <c r="B3630" s="15" t="n"/>
      <c r="C3630" s="16" t="n"/>
      <c r="D3630" s="17" t="n"/>
      <c r="E3630" s="17" t="n"/>
      <c r="F3630" s="17" t="n"/>
      <c r="G3630" s="17" t="n"/>
      <c r="H3630" s="18">
        <f>IF(AND(B3630="",C3630="",D3630="",E3630=""),"",IF(B3630="","⚠ Falta fecha",IF(C3630="","⚠ Falta monto",IF(D3630="","⚠ Falta categoría",IF(ISNA(MATCH(D3630,catNom,0)),"⚠ Categoría no existe",IF(E3630="","⚠ Falta cuenta",IF(ISNA(MATCH(E3630,ctaNom,0)),"⚠ Cuenta no existe",IF(AND(OR(I3630="Transferencia",I3630="Pago tarjeta"),G3630=""),"⚠ Indica la cuenta «Hacia»",IF(AND(G3630&lt;&gt;"",G3630=E3630),"⚠ «Hacia» igual a la cuenta",IF(AND(G3630&lt;&gt;"",ISNA(MATCH(G3630,ctaNom,0))),"⚠ «Hacia» no existe",IF(AND(I3630="Pago tarjeta",IFERROR(INDEX(ctaTipo,MATCH(G3630,ctaNom,0)),"")&lt;&gt;"Tarjeta de crédito"),"⚠ «Hacia» debe ser la tarjeta",IF(AND(I3630="Trading",IFERROR(INDEX(ctaTipo,MATCH(E3630,ctaNom,0)),"")&lt;&gt;"Cuenta de trading"),"⚠ Usa la cuenta de trading","✓"))))))))))))</f>
        <v/>
      </c>
      <c r="I3630" s="19">
        <f>IF(OR(B3630="",C3630="",D3630=""),"",IFERROR(INDEX(catTipo,MATCH(D3630,catNom,0))&amp;"",""))</f>
        <v/>
      </c>
      <c r="J3630" s="19">
        <f>IF(I3630="","",IFERROR(INDEX(catGrupo,MATCH(D3630,catNom,0))&amp;"",""))</f>
        <v/>
      </c>
      <c r="K3630" s="19">
        <f>IF(I3630="Gasto",IF(IFERROR(INDEX(catClas,MATCH(D3630,catNom,0))&amp;"","")="","Variable",IFERROR(INDEX(catClas,MATCH(D3630,catNom,0))&amp;"","")),"")</f>
        <v/>
      </c>
      <c r="L3630" s="19">
        <f>IF(I3630="","",IFERROR(INDEX(catAlim,MATCH(D3630,catNom,0))&amp;"",""))</f>
        <v/>
      </c>
      <c r="M3630" s="19">
        <f>IF(I3630="","",IFERROR(INDEX(catComida,MATCH(D3630,catNom,0))&amp;"",""))</f>
        <v/>
      </c>
      <c r="N3630" s="19">
        <f>IF(I3630="","",IFERROR(INDEX(ctaMon,MATCH(E3630,ctaNom,0))&amp;"","DOP"))</f>
        <v/>
      </c>
      <c r="O3630" s="20">
        <f>IF(I3630="","",C3630*IF(N3630="USD",TasaUSD,1))</f>
        <v/>
      </c>
      <c r="P3630" s="20">
        <f>IF(I3630="","",IF(I3630="Gasto",O3630,0))</f>
        <v/>
      </c>
      <c r="Q3630" s="20">
        <f>IF(I3630="","",IF(I3630="Ingreso",O3630,0))</f>
        <v/>
      </c>
      <c r="R3630" s="20">
        <f>IF(I3630="","",IF(I3630="Trading",O3630,0))</f>
        <v/>
      </c>
      <c r="S3630" s="19">
        <f>IF(I3630="","",IF(AND(I3630="Gasto",K3630="Variable",J3630&lt;&gt;"Trading",O3630&gt;0,O3630&lt;=Umbral),1,0))</f>
        <v/>
      </c>
      <c r="T3630" s="20">
        <f>IF(OR(I3630="",E3630=""),"",IF(OR(I3630="Gasto",I3630="Transferencia",I3630="Pago tarjeta"),-1,1)*C3630)</f>
        <v/>
      </c>
      <c r="U3630" s="20">
        <f>IF(OR(G3630="",AND(I3630&lt;&gt;"Transferencia",I3630&lt;&gt;"Pago tarjeta")),"",IF(IFERROR(INDEX(ctaMon,MATCH(G3630,ctaNom,0))&amp;"","DOP")=N3630,C3630,IF(N3630="USD",C3630*TasaUSD,C3630/TasaUSD)))</f>
        <v/>
      </c>
      <c r="V3630" s="20">
        <f>IF(I3630="","",IF(IFERROR(INDEX(ctaLiq,MATCH(E3630,ctaNom,0))="Sí",FALSE),IF(OR(I3630="Gasto",I3630="Transferencia",I3630="Pago tarjeta"),-1,1)*O3630,0)+IF(AND(U3630&lt;&gt;"",IFERROR(INDEX(ctaLiq,MATCH(G3630,ctaNom,0))="Sí",FALSE)),O3630,0))</f>
        <v/>
      </c>
      <c r="W3630" s="19">
        <f>IF(OR(F3630="",I3630=""),"",IF(COUNTIFS(F$6:F3630,F3630,I$6:I3630,"?*")=1,MAX(W$5:W3629)+1,""))</f>
        <v/>
      </c>
    </row>
    <row r="3631">
      <c r="B3631" s="15" t="n"/>
      <c r="C3631" s="16" t="n"/>
      <c r="D3631" s="17" t="n"/>
      <c r="E3631" s="17" t="n"/>
      <c r="F3631" s="17" t="n"/>
      <c r="G3631" s="17" t="n"/>
      <c r="H3631" s="18">
        <f>IF(AND(B3631="",C3631="",D3631="",E3631=""),"",IF(B3631="","⚠ Falta fecha",IF(C3631="","⚠ Falta monto",IF(D3631="","⚠ Falta categoría",IF(ISNA(MATCH(D3631,catNom,0)),"⚠ Categoría no existe",IF(E3631="","⚠ Falta cuenta",IF(ISNA(MATCH(E3631,ctaNom,0)),"⚠ Cuenta no existe",IF(AND(OR(I3631="Transferencia",I3631="Pago tarjeta"),G3631=""),"⚠ Indica la cuenta «Hacia»",IF(AND(G3631&lt;&gt;"",G3631=E3631),"⚠ «Hacia» igual a la cuenta",IF(AND(G3631&lt;&gt;"",ISNA(MATCH(G3631,ctaNom,0))),"⚠ «Hacia» no existe",IF(AND(I3631="Pago tarjeta",IFERROR(INDEX(ctaTipo,MATCH(G3631,ctaNom,0)),"")&lt;&gt;"Tarjeta de crédito"),"⚠ «Hacia» debe ser la tarjeta",IF(AND(I3631="Trading",IFERROR(INDEX(ctaTipo,MATCH(E3631,ctaNom,0)),"")&lt;&gt;"Cuenta de trading"),"⚠ Usa la cuenta de trading","✓"))))))))))))</f>
        <v/>
      </c>
      <c r="I3631" s="19">
        <f>IF(OR(B3631="",C3631="",D3631=""),"",IFERROR(INDEX(catTipo,MATCH(D3631,catNom,0))&amp;"",""))</f>
        <v/>
      </c>
      <c r="J3631" s="19">
        <f>IF(I3631="","",IFERROR(INDEX(catGrupo,MATCH(D3631,catNom,0))&amp;"",""))</f>
        <v/>
      </c>
      <c r="K3631" s="19">
        <f>IF(I3631="Gasto",IF(IFERROR(INDEX(catClas,MATCH(D3631,catNom,0))&amp;"","")="","Variable",IFERROR(INDEX(catClas,MATCH(D3631,catNom,0))&amp;"","")),"")</f>
        <v/>
      </c>
      <c r="L3631" s="19">
        <f>IF(I3631="","",IFERROR(INDEX(catAlim,MATCH(D3631,catNom,0))&amp;"",""))</f>
        <v/>
      </c>
      <c r="M3631" s="19">
        <f>IF(I3631="","",IFERROR(INDEX(catComida,MATCH(D3631,catNom,0))&amp;"",""))</f>
        <v/>
      </c>
      <c r="N3631" s="19">
        <f>IF(I3631="","",IFERROR(INDEX(ctaMon,MATCH(E3631,ctaNom,0))&amp;"","DOP"))</f>
        <v/>
      </c>
      <c r="O3631" s="20">
        <f>IF(I3631="","",C3631*IF(N3631="USD",TasaUSD,1))</f>
        <v/>
      </c>
      <c r="P3631" s="20">
        <f>IF(I3631="","",IF(I3631="Gasto",O3631,0))</f>
        <v/>
      </c>
      <c r="Q3631" s="20">
        <f>IF(I3631="","",IF(I3631="Ingreso",O3631,0))</f>
        <v/>
      </c>
      <c r="R3631" s="20">
        <f>IF(I3631="","",IF(I3631="Trading",O3631,0))</f>
        <v/>
      </c>
      <c r="S3631" s="19">
        <f>IF(I3631="","",IF(AND(I3631="Gasto",K3631="Variable",J3631&lt;&gt;"Trading",O3631&gt;0,O3631&lt;=Umbral),1,0))</f>
        <v/>
      </c>
      <c r="T3631" s="20">
        <f>IF(OR(I3631="",E3631=""),"",IF(OR(I3631="Gasto",I3631="Transferencia",I3631="Pago tarjeta"),-1,1)*C3631)</f>
        <v/>
      </c>
      <c r="U3631" s="20">
        <f>IF(OR(G3631="",AND(I3631&lt;&gt;"Transferencia",I3631&lt;&gt;"Pago tarjeta")),"",IF(IFERROR(INDEX(ctaMon,MATCH(G3631,ctaNom,0))&amp;"","DOP")=N3631,C3631,IF(N3631="USD",C3631*TasaUSD,C3631/TasaUSD)))</f>
        <v/>
      </c>
      <c r="V3631" s="20">
        <f>IF(I3631="","",IF(IFERROR(INDEX(ctaLiq,MATCH(E3631,ctaNom,0))="Sí",FALSE),IF(OR(I3631="Gasto",I3631="Transferencia",I3631="Pago tarjeta"),-1,1)*O3631,0)+IF(AND(U3631&lt;&gt;"",IFERROR(INDEX(ctaLiq,MATCH(G3631,ctaNom,0))="Sí",FALSE)),O3631,0))</f>
        <v/>
      </c>
      <c r="W3631" s="19">
        <f>IF(OR(F3631="",I3631=""),"",IF(COUNTIFS(F$6:F3631,F3631,I$6:I3631,"?*")=1,MAX(W$5:W3630)+1,""))</f>
        <v/>
      </c>
    </row>
    <row r="3632">
      <c r="B3632" s="15" t="n"/>
      <c r="C3632" s="16" t="n"/>
      <c r="D3632" s="17" t="n"/>
      <c r="E3632" s="17" t="n"/>
      <c r="F3632" s="17" t="n"/>
      <c r="G3632" s="17" t="n"/>
      <c r="H3632" s="18">
        <f>IF(AND(B3632="",C3632="",D3632="",E3632=""),"",IF(B3632="","⚠ Falta fecha",IF(C3632="","⚠ Falta monto",IF(D3632="","⚠ Falta categoría",IF(ISNA(MATCH(D3632,catNom,0)),"⚠ Categoría no existe",IF(E3632="","⚠ Falta cuenta",IF(ISNA(MATCH(E3632,ctaNom,0)),"⚠ Cuenta no existe",IF(AND(OR(I3632="Transferencia",I3632="Pago tarjeta"),G3632=""),"⚠ Indica la cuenta «Hacia»",IF(AND(G3632&lt;&gt;"",G3632=E3632),"⚠ «Hacia» igual a la cuenta",IF(AND(G3632&lt;&gt;"",ISNA(MATCH(G3632,ctaNom,0))),"⚠ «Hacia» no existe",IF(AND(I3632="Pago tarjeta",IFERROR(INDEX(ctaTipo,MATCH(G3632,ctaNom,0)),"")&lt;&gt;"Tarjeta de crédito"),"⚠ «Hacia» debe ser la tarjeta",IF(AND(I3632="Trading",IFERROR(INDEX(ctaTipo,MATCH(E3632,ctaNom,0)),"")&lt;&gt;"Cuenta de trading"),"⚠ Usa la cuenta de trading","✓"))))))))))))</f>
        <v/>
      </c>
      <c r="I3632" s="19">
        <f>IF(OR(B3632="",C3632="",D3632=""),"",IFERROR(INDEX(catTipo,MATCH(D3632,catNom,0))&amp;"",""))</f>
        <v/>
      </c>
      <c r="J3632" s="19">
        <f>IF(I3632="","",IFERROR(INDEX(catGrupo,MATCH(D3632,catNom,0))&amp;"",""))</f>
        <v/>
      </c>
      <c r="K3632" s="19">
        <f>IF(I3632="Gasto",IF(IFERROR(INDEX(catClas,MATCH(D3632,catNom,0))&amp;"","")="","Variable",IFERROR(INDEX(catClas,MATCH(D3632,catNom,0))&amp;"","")),"")</f>
        <v/>
      </c>
      <c r="L3632" s="19">
        <f>IF(I3632="","",IFERROR(INDEX(catAlim,MATCH(D3632,catNom,0))&amp;"",""))</f>
        <v/>
      </c>
      <c r="M3632" s="19">
        <f>IF(I3632="","",IFERROR(INDEX(catComida,MATCH(D3632,catNom,0))&amp;"",""))</f>
        <v/>
      </c>
      <c r="N3632" s="19">
        <f>IF(I3632="","",IFERROR(INDEX(ctaMon,MATCH(E3632,ctaNom,0))&amp;"","DOP"))</f>
        <v/>
      </c>
      <c r="O3632" s="20">
        <f>IF(I3632="","",C3632*IF(N3632="USD",TasaUSD,1))</f>
        <v/>
      </c>
      <c r="P3632" s="20">
        <f>IF(I3632="","",IF(I3632="Gasto",O3632,0))</f>
        <v/>
      </c>
      <c r="Q3632" s="20">
        <f>IF(I3632="","",IF(I3632="Ingreso",O3632,0))</f>
        <v/>
      </c>
      <c r="R3632" s="20">
        <f>IF(I3632="","",IF(I3632="Trading",O3632,0))</f>
        <v/>
      </c>
      <c r="S3632" s="19">
        <f>IF(I3632="","",IF(AND(I3632="Gasto",K3632="Variable",J3632&lt;&gt;"Trading",O3632&gt;0,O3632&lt;=Umbral),1,0))</f>
        <v/>
      </c>
      <c r="T3632" s="20">
        <f>IF(OR(I3632="",E3632=""),"",IF(OR(I3632="Gasto",I3632="Transferencia",I3632="Pago tarjeta"),-1,1)*C3632)</f>
        <v/>
      </c>
      <c r="U3632" s="20">
        <f>IF(OR(G3632="",AND(I3632&lt;&gt;"Transferencia",I3632&lt;&gt;"Pago tarjeta")),"",IF(IFERROR(INDEX(ctaMon,MATCH(G3632,ctaNom,0))&amp;"","DOP")=N3632,C3632,IF(N3632="USD",C3632*TasaUSD,C3632/TasaUSD)))</f>
        <v/>
      </c>
      <c r="V3632" s="20">
        <f>IF(I3632="","",IF(IFERROR(INDEX(ctaLiq,MATCH(E3632,ctaNom,0))="Sí",FALSE),IF(OR(I3632="Gasto",I3632="Transferencia",I3632="Pago tarjeta"),-1,1)*O3632,0)+IF(AND(U3632&lt;&gt;"",IFERROR(INDEX(ctaLiq,MATCH(G3632,ctaNom,0))="Sí",FALSE)),O3632,0))</f>
        <v/>
      </c>
      <c r="W3632" s="19">
        <f>IF(OR(F3632="",I3632=""),"",IF(COUNTIFS(F$6:F3632,F3632,I$6:I3632,"?*")=1,MAX(W$5:W3631)+1,""))</f>
        <v/>
      </c>
    </row>
    <row r="3633">
      <c r="B3633" s="15" t="n"/>
      <c r="C3633" s="16" t="n"/>
      <c r="D3633" s="17" t="n"/>
      <c r="E3633" s="17" t="n"/>
      <c r="F3633" s="17" t="n"/>
      <c r="G3633" s="17" t="n"/>
      <c r="H3633" s="18">
        <f>IF(AND(B3633="",C3633="",D3633="",E3633=""),"",IF(B3633="","⚠ Falta fecha",IF(C3633="","⚠ Falta monto",IF(D3633="","⚠ Falta categoría",IF(ISNA(MATCH(D3633,catNom,0)),"⚠ Categoría no existe",IF(E3633="","⚠ Falta cuenta",IF(ISNA(MATCH(E3633,ctaNom,0)),"⚠ Cuenta no existe",IF(AND(OR(I3633="Transferencia",I3633="Pago tarjeta"),G3633=""),"⚠ Indica la cuenta «Hacia»",IF(AND(G3633&lt;&gt;"",G3633=E3633),"⚠ «Hacia» igual a la cuenta",IF(AND(G3633&lt;&gt;"",ISNA(MATCH(G3633,ctaNom,0))),"⚠ «Hacia» no existe",IF(AND(I3633="Pago tarjeta",IFERROR(INDEX(ctaTipo,MATCH(G3633,ctaNom,0)),"")&lt;&gt;"Tarjeta de crédito"),"⚠ «Hacia» debe ser la tarjeta",IF(AND(I3633="Trading",IFERROR(INDEX(ctaTipo,MATCH(E3633,ctaNom,0)),"")&lt;&gt;"Cuenta de trading"),"⚠ Usa la cuenta de trading","✓"))))))))))))</f>
        <v/>
      </c>
      <c r="I3633" s="19">
        <f>IF(OR(B3633="",C3633="",D3633=""),"",IFERROR(INDEX(catTipo,MATCH(D3633,catNom,0))&amp;"",""))</f>
        <v/>
      </c>
      <c r="J3633" s="19">
        <f>IF(I3633="","",IFERROR(INDEX(catGrupo,MATCH(D3633,catNom,0))&amp;"",""))</f>
        <v/>
      </c>
      <c r="K3633" s="19">
        <f>IF(I3633="Gasto",IF(IFERROR(INDEX(catClas,MATCH(D3633,catNom,0))&amp;"","")="","Variable",IFERROR(INDEX(catClas,MATCH(D3633,catNom,0))&amp;"","")),"")</f>
        <v/>
      </c>
      <c r="L3633" s="19">
        <f>IF(I3633="","",IFERROR(INDEX(catAlim,MATCH(D3633,catNom,0))&amp;"",""))</f>
        <v/>
      </c>
      <c r="M3633" s="19">
        <f>IF(I3633="","",IFERROR(INDEX(catComida,MATCH(D3633,catNom,0))&amp;"",""))</f>
        <v/>
      </c>
      <c r="N3633" s="19">
        <f>IF(I3633="","",IFERROR(INDEX(ctaMon,MATCH(E3633,ctaNom,0))&amp;"","DOP"))</f>
        <v/>
      </c>
      <c r="O3633" s="20">
        <f>IF(I3633="","",C3633*IF(N3633="USD",TasaUSD,1))</f>
        <v/>
      </c>
      <c r="P3633" s="20">
        <f>IF(I3633="","",IF(I3633="Gasto",O3633,0))</f>
        <v/>
      </c>
      <c r="Q3633" s="20">
        <f>IF(I3633="","",IF(I3633="Ingreso",O3633,0))</f>
        <v/>
      </c>
      <c r="R3633" s="20">
        <f>IF(I3633="","",IF(I3633="Trading",O3633,0))</f>
        <v/>
      </c>
      <c r="S3633" s="19">
        <f>IF(I3633="","",IF(AND(I3633="Gasto",K3633="Variable",J3633&lt;&gt;"Trading",O3633&gt;0,O3633&lt;=Umbral),1,0))</f>
        <v/>
      </c>
      <c r="T3633" s="20">
        <f>IF(OR(I3633="",E3633=""),"",IF(OR(I3633="Gasto",I3633="Transferencia",I3633="Pago tarjeta"),-1,1)*C3633)</f>
        <v/>
      </c>
      <c r="U3633" s="20">
        <f>IF(OR(G3633="",AND(I3633&lt;&gt;"Transferencia",I3633&lt;&gt;"Pago tarjeta")),"",IF(IFERROR(INDEX(ctaMon,MATCH(G3633,ctaNom,0))&amp;"","DOP")=N3633,C3633,IF(N3633="USD",C3633*TasaUSD,C3633/TasaUSD)))</f>
        <v/>
      </c>
      <c r="V3633" s="20">
        <f>IF(I3633="","",IF(IFERROR(INDEX(ctaLiq,MATCH(E3633,ctaNom,0))="Sí",FALSE),IF(OR(I3633="Gasto",I3633="Transferencia",I3633="Pago tarjeta"),-1,1)*O3633,0)+IF(AND(U3633&lt;&gt;"",IFERROR(INDEX(ctaLiq,MATCH(G3633,ctaNom,0))="Sí",FALSE)),O3633,0))</f>
        <v/>
      </c>
      <c r="W3633" s="19">
        <f>IF(OR(F3633="",I3633=""),"",IF(COUNTIFS(F$6:F3633,F3633,I$6:I3633,"?*")=1,MAX(W$5:W3632)+1,""))</f>
        <v/>
      </c>
    </row>
    <row r="3634">
      <c r="B3634" s="15" t="n"/>
      <c r="C3634" s="16" t="n"/>
      <c r="D3634" s="17" t="n"/>
      <c r="E3634" s="17" t="n"/>
      <c r="F3634" s="17" t="n"/>
      <c r="G3634" s="17" t="n"/>
      <c r="H3634" s="18">
        <f>IF(AND(B3634="",C3634="",D3634="",E3634=""),"",IF(B3634="","⚠ Falta fecha",IF(C3634="","⚠ Falta monto",IF(D3634="","⚠ Falta categoría",IF(ISNA(MATCH(D3634,catNom,0)),"⚠ Categoría no existe",IF(E3634="","⚠ Falta cuenta",IF(ISNA(MATCH(E3634,ctaNom,0)),"⚠ Cuenta no existe",IF(AND(OR(I3634="Transferencia",I3634="Pago tarjeta"),G3634=""),"⚠ Indica la cuenta «Hacia»",IF(AND(G3634&lt;&gt;"",G3634=E3634),"⚠ «Hacia» igual a la cuenta",IF(AND(G3634&lt;&gt;"",ISNA(MATCH(G3634,ctaNom,0))),"⚠ «Hacia» no existe",IF(AND(I3634="Pago tarjeta",IFERROR(INDEX(ctaTipo,MATCH(G3634,ctaNom,0)),"")&lt;&gt;"Tarjeta de crédito"),"⚠ «Hacia» debe ser la tarjeta",IF(AND(I3634="Trading",IFERROR(INDEX(ctaTipo,MATCH(E3634,ctaNom,0)),"")&lt;&gt;"Cuenta de trading"),"⚠ Usa la cuenta de trading","✓"))))))))))))</f>
        <v/>
      </c>
      <c r="I3634" s="19">
        <f>IF(OR(B3634="",C3634="",D3634=""),"",IFERROR(INDEX(catTipo,MATCH(D3634,catNom,0))&amp;"",""))</f>
        <v/>
      </c>
      <c r="J3634" s="19">
        <f>IF(I3634="","",IFERROR(INDEX(catGrupo,MATCH(D3634,catNom,0))&amp;"",""))</f>
        <v/>
      </c>
      <c r="K3634" s="19">
        <f>IF(I3634="Gasto",IF(IFERROR(INDEX(catClas,MATCH(D3634,catNom,0))&amp;"","")="","Variable",IFERROR(INDEX(catClas,MATCH(D3634,catNom,0))&amp;"","")),"")</f>
        <v/>
      </c>
      <c r="L3634" s="19">
        <f>IF(I3634="","",IFERROR(INDEX(catAlim,MATCH(D3634,catNom,0))&amp;"",""))</f>
        <v/>
      </c>
      <c r="M3634" s="19">
        <f>IF(I3634="","",IFERROR(INDEX(catComida,MATCH(D3634,catNom,0))&amp;"",""))</f>
        <v/>
      </c>
      <c r="N3634" s="19">
        <f>IF(I3634="","",IFERROR(INDEX(ctaMon,MATCH(E3634,ctaNom,0))&amp;"","DOP"))</f>
        <v/>
      </c>
      <c r="O3634" s="20">
        <f>IF(I3634="","",C3634*IF(N3634="USD",TasaUSD,1))</f>
        <v/>
      </c>
      <c r="P3634" s="20">
        <f>IF(I3634="","",IF(I3634="Gasto",O3634,0))</f>
        <v/>
      </c>
      <c r="Q3634" s="20">
        <f>IF(I3634="","",IF(I3634="Ingreso",O3634,0))</f>
        <v/>
      </c>
      <c r="R3634" s="20">
        <f>IF(I3634="","",IF(I3634="Trading",O3634,0))</f>
        <v/>
      </c>
      <c r="S3634" s="19">
        <f>IF(I3634="","",IF(AND(I3634="Gasto",K3634="Variable",J3634&lt;&gt;"Trading",O3634&gt;0,O3634&lt;=Umbral),1,0))</f>
        <v/>
      </c>
      <c r="T3634" s="20">
        <f>IF(OR(I3634="",E3634=""),"",IF(OR(I3634="Gasto",I3634="Transferencia",I3634="Pago tarjeta"),-1,1)*C3634)</f>
        <v/>
      </c>
      <c r="U3634" s="20">
        <f>IF(OR(G3634="",AND(I3634&lt;&gt;"Transferencia",I3634&lt;&gt;"Pago tarjeta")),"",IF(IFERROR(INDEX(ctaMon,MATCH(G3634,ctaNom,0))&amp;"","DOP")=N3634,C3634,IF(N3634="USD",C3634*TasaUSD,C3634/TasaUSD)))</f>
        <v/>
      </c>
      <c r="V3634" s="20">
        <f>IF(I3634="","",IF(IFERROR(INDEX(ctaLiq,MATCH(E3634,ctaNom,0))="Sí",FALSE),IF(OR(I3634="Gasto",I3634="Transferencia",I3634="Pago tarjeta"),-1,1)*O3634,0)+IF(AND(U3634&lt;&gt;"",IFERROR(INDEX(ctaLiq,MATCH(G3634,ctaNom,0))="Sí",FALSE)),O3634,0))</f>
        <v/>
      </c>
      <c r="W3634" s="19">
        <f>IF(OR(F3634="",I3634=""),"",IF(COUNTIFS(F$6:F3634,F3634,I$6:I3634,"?*")=1,MAX(W$5:W3633)+1,""))</f>
        <v/>
      </c>
    </row>
    <row r="3635">
      <c r="B3635" s="15" t="n"/>
      <c r="C3635" s="16" t="n"/>
      <c r="D3635" s="17" t="n"/>
      <c r="E3635" s="17" t="n"/>
      <c r="F3635" s="17" t="n"/>
      <c r="G3635" s="17" t="n"/>
      <c r="H3635" s="18">
        <f>IF(AND(B3635="",C3635="",D3635="",E3635=""),"",IF(B3635="","⚠ Falta fecha",IF(C3635="","⚠ Falta monto",IF(D3635="","⚠ Falta categoría",IF(ISNA(MATCH(D3635,catNom,0)),"⚠ Categoría no existe",IF(E3635="","⚠ Falta cuenta",IF(ISNA(MATCH(E3635,ctaNom,0)),"⚠ Cuenta no existe",IF(AND(OR(I3635="Transferencia",I3635="Pago tarjeta"),G3635=""),"⚠ Indica la cuenta «Hacia»",IF(AND(G3635&lt;&gt;"",G3635=E3635),"⚠ «Hacia» igual a la cuenta",IF(AND(G3635&lt;&gt;"",ISNA(MATCH(G3635,ctaNom,0))),"⚠ «Hacia» no existe",IF(AND(I3635="Pago tarjeta",IFERROR(INDEX(ctaTipo,MATCH(G3635,ctaNom,0)),"")&lt;&gt;"Tarjeta de crédito"),"⚠ «Hacia» debe ser la tarjeta",IF(AND(I3635="Trading",IFERROR(INDEX(ctaTipo,MATCH(E3635,ctaNom,0)),"")&lt;&gt;"Cuenta de trading"),"⚠ Usa la cuenta de trading","✓"))))))))))))</f>
        <v/>
      </c>
      <c r="I3635" s="19">
        <f>IF(OR(B3635="",C3635="",D3635=""),"",IFERROR(INDEX(catTipo,MATCH(D3635,catNom,0))&amp;"",""))</f>
        <v/>
      </c>
      <c r="J3635" s="19">
        <f>IF(I3635="","",IFERROR(INDEX(catGrupo,MATCH(D3635,catNom,0))&amp;"",""))</f>
        <v/>
      </c>
      <c r="K3635" s="19">
        <f>IF(I3635="Gasto",IF(IFERROR(INDEX(catClas,MATCH(D3635,catNom,0))&amp;"","")="","Variable",IFERROR(INDEX(catClas,MATCH(D3635,catNom,0))&amp;"","")),"")</f>
        <v/>
      </c>
      <c r="L3635" s="19">
        <f>IF(I3635="","",IFERROR(INDEX(catAlim,MATCH(D3635,catNom,0))&amp;"",""))</f>
        <v/>
      </c>
      <c r="M3635" s="19">
        <f>IF(I3635="","",IFERROR(INDEX(catComida,MATCH(D3635,catNom,0))&amp;"",""))</f>
        <v/>
      </c>
      <c r="N3635" s="19">
        <f>IF(I3635="","",IFERROR(INDEX(ctaMon,MATCH(E3635,ctaNom,0))&amp;"","DOP"))</f>
        <v/>
      </c>
      <c r="O3635" s="20">
        <f>IF(I3635="","",C3635*IF(N3635="USD",TasaUSD,1))</f>
        <v/>
      </c>
      <c r="P3635" s="20">
        <f>IF(I3635="","",IF(I3635="Gasto",O3635,0))</f>
        <v/>
      </c>
      <c r="Q3635" s="20">
        <f>IF(I3635="","",IF(I3635="Ingreso",O3635,0))</f>
        <v/>
      </c>
      <c r="R3635" s="20">
        <f>IF(I3635="","",IF(I3635="Trading",O3635,0))</f>
        <v/>
      </c>
      <c r="S3635" s="19">
        <f>IF(I3635="","",IF(AND(I3635="Gasto",K3635="Variable",J3635&lt;&gt;"Trading",O3635&gt;0,O3635&lt;=Umbral),1,0))</f>
        <v/>
      </c>
      <c r="T3635" s="20">
        <f>IF(OR(I3635="",E3635=""),"",IF(OR(I3635="Gasto",I3635="Transferencia",I3635="Pago tarjeta"),-1,1)*C3635)</f>
        <v/>
      </c>
      <c r="U3635" s="20">
        <f>IF(OR(G3635="",AND(I3635&lt;&gt;"Transferencia",I3635&lt;&gt;"Pago tarjeta")),"",IF(IFERROR(INDEX(ctaMon,MATCH(G3635,ctaNom,0))&amp;"","DOP")=N3635,C3635,IF(N3635="USD",C3635*TasaUSD,C3635/TasaUSD)))</f>
        <v/>
      </c>
      <c r="V3635" s="20">
        <f>IF(I3635="","",IF(IFERROR(INDEX(ctaLiq,MATCH(E3635,ctaNom,0))="Sí",FALSE),IF(OR(I3635="Gasto",I3635="Transferencia",I3635="Pago tarjeta"),-1,1)*O3635,0)+IF(AND(U3635&lt;&gt;"",IFERROR(INDEX(ctaLiq,MATCH(G3635,ctaNom,0))="Sí",FALSE)),O3635,0))</f>
        <v/>
      </c>
      <c r="W3635" s="19">
        <f>IF(OR(F3635="",I3635=""),"",IF(COUNTIFS(F$6:F3635,F3635,I$6:I3635,"?*")=1,MAX(W$5:W3634)+1,""))</f>
        <v/>
      </c>
    </row>
    <row r="3636">
      <c r="B3636" s="15" t="n"/>
      <c r="C3636" s="16" t="n"/>
      <c r="D3636" s="17" t="n"/>
      <c r="E3636" s="17" t="n"/>
      <c r="F3636" s="17" t="n"/>
      <c r="G3636" s="17" t="n"/>
      <c r="H3636" s="18">
        <f>IF(AND(B3636="",C3636="",D3636="",E3636=""),"",IF(B3636="","⚠ Falta fecha",IF(C3636="","⚠ Falta monto",IF(D3636="","⚠ Falta categoría",IF(ISNA(MATCH(D3636,catNom,0)),"⚠ Categoría no existe",IF(E3636="","⚠ Falta cuenta",IF(ISNA(MATCH(E3636,ctaNom,0)),"⚠ Cuenta no existe",IF(AND(OR(I3636="Transferencia",I3636="Pago tarjeta"),G3636=""),"⚠ Indica la cuenta «Hacia»",IF(AND(G3636&lt;&gt;"",G3636=E3636),"⚠ «Hacia» igual a la cuenta",IF(AND(G3636&lt;&gt;"",ISNA(MATCH(G3636,ctaNom,0))),"⚠ «Hacia» no existe",IF(AND(I3636="Pago tarjeta",IFERROR(INDEX(ctaTipo,MATCH(G3636,ctaNom,0)),"")&lt;&gt;"Tarjeta de crédito"),"⚠ «Hacia» debe ser la tarjeta",IF(AND(I3636="Trading",IFERROR(INDEX(ctaTipo,MATCH(E3636,ctaNom,0)),"")&lt;&gt;"Cuenta de trading"),"⚠ Usa la cuenta de trading","✓"))))))))))))</f>
        <v/>
      </c>
      <c r="I3636" s="19">
        <f>IF(OR(B3636="",C3636="",D3636=""),"",IFERROR(INDEX(catTipo,MATCH(D3636,catNom,0))&amp;"",""))</f>
        <v/>
      </c>
      <c r="J3636" s="19">
        <f>IF(I3636="","",IFERROR(INDEX(catGrupo,MATCH(D3636,catNom,0))&amp;"",""))</f>
        <v/>
      </c>
      <c r="K3636" s="19">
        <f>IF(I3636="Gasto",IF(IFERROR(INDEX(catClas,MATCH(D3636,catNom,0))&amp;"","")="","Variable",IFERROR(INDEX(catClas,MATCH(D3636,catNom,0))&amp;"","")),"")</f>
        <v/>
      </c>
      <c r="L3636" s="19">
        <f>IF(I3636="","",IFERROR(INDEX(catAlim,MATCH(D3636,catNom,0))&amp;"",""))</f>
        <v/>
      </c>
      <c r="M3636" s="19">
        <f>IF(I3636="","",IFERROR(INDEX(catComida,MATCH(D3636,catNom,0))&amp;"",""))</f>
        <v/>
      </c>
      <c r="N3636" s="19">
        <f>IF(I3636="","",IFERROR(INDEX(ctaMon,MATCH(E3636,ctaNom,0))&amp;"","DOP"))</f>
        <v/>
      </c>
      <c r="O3636" s="20">
        <f>IF(I3636="","",C3636*IF(N3636="USD",TasaUSD,1))</f>
        <v/>
      </c>
      <c r="P3636" s="20">
        <f>IF(I3636="","",IF(I3636="Gasto",O3636,0))</f>
        <v/>
      </c>
      <c r="Q3636" s="20">
        <f>IF(I3636="","",IF(I3636="Ingreso",O3636,0))</f>
        <v/>
      </c>
      <c r="R3636" s="20">
        <f>IF(I3636="","",IF(I3636="Trading",O3636,0))</f>
        <v/>
      </c>
      <c r="S3636" s="19">
        <f>IF(I3636="","",IF(AND(I3636="Gasto",K3636="Variable",J3636&lt;&gt;"Trading",O3636&gt;0,O3636&lt;=Umbral),1,0))</f>
        <v/>
      </c>
      <c r="T3636" s="20">
        <f>IF(OR(I3636="",E3636=""),"",IF(OR(I3636="Gasto",I3636="Transferencia",I3636="Pago tarjeta"),-1,1)*C3636)</f>
        <v/>
      </c>
      <c r="U3636" s="20">
        <f>IF(OR(G3636="",AND(I3636&lt;&gt;"Transferencia",I3636&lt;&gt;"Pago tarjeta")),"",IF(IFERROR(INDEX(ctaMon,MATCH(G3636,ctaNom,0))&amp;"","DOP")=N3636,C3636,IF(N3636="USD",C3636*TasaUSD,C3636/TasaUSD)))</f>
        <v/>
      </c>
      <c r="V3636" s="20">
        <f>IF(I3636="","",IF(IFERROR(INDEX(ctaLiq,MATCH(E3636,ctaNom,0))="Sí",FALSE),IF(OR(I3636="Gasto",I3636="Transferencia",I3636="Pago tarjeta"),-1,1)*O3636,0)+IF(AND(U3636&lt;&gt;"",IFERROR(INDEX(ctaLiq,MATCH(G3636,ctaNom,0))="Sí",FALSE)),O3636,0))</f>
        <v/>
      </c>
      <c r="W3636" s="19">
        <f>IF(OR(F3636="",I3636=""),"",IF(COUNTIFS(F$6:F3636,F3636,I$6:I3636,"?*")=1,MAX(W$5:W3635)+1,""))</f>
        <v/>
      </c>
    </row>
    <row r="3637">
      <c r="B3637" s="15" t="n"/>
      <c r="C3637" s="16" t="n"/>
      <c r="D3637" s="17" t="n"/>
      <c r="E3637" s="17" t="n"/>
      <c r="F3637" s="17" t="n"/>
      <c r="G3637" s="17" t="n"/>
      <c r="H3637" s="18">
        <f>IF(AND(B3637="",C3637="",D3637="",E3637=""),"",IF(B3637="","⚠ Falta fecha",IF(C3637="","⚠ Falta monto",IF(D3637="","⚠ Falta categoría",IF(ISNA(MATCH(D3637,catNom,0)),"⚠ Categoría no existe",IF(E3637="","⚠ Falta cuenta",IF(ISNA(MATCH(E3637,ctaNom,0)),"⚠ Cuenta no existe",IF(AND(OR(I3637="Transferencia",I3637="Pago tarjeta"),G3637=""),"⚠ Indica la cuenta «Hacia»",IF(AND(G3637&lt;&gt;"",G3637=E3637),"⚠ «Hacia» igual a la cuenta",IF(AND(G3637&lt;&gt;"",ISNA(MATCH(G3637,ctaNom,0))),"⚠ «Hacia» no existe",IF(AND(I3637="Pago tarjeta",IFERROR(INDEX(ctaTipo,MATCH(G3637,ctaNom,0)),"")&lt;&gt;"Tarjeta de crédito"),"⚠ «Hacia» debe ser la tarjeta",IF(AND(I3637="Trading",IFERROR(INDEX(ctaTipo,MATCH(E3637,ctaNom,0)),"")&lt;&gt;"Cuenta de trading"),"⚠ Usa la cuenta de trading","✓"))))))))))))</f>
        <v/>
      </c>
      <c r="I3637" s="19">
        <f>IF(OR(B3637="",C3637="",D3637=""),"",IFERROR(INDEX(catTipo,MATCH(D3637,catNom,0))&amp;"",""))</f>
        <v/>
      </c>
      <c r="J3637" s="19">
        <f>IF(I3637="","",IFERROR(INDEX(catGrupo,MATCH(D3637,catNom,0))&amp;"",""))</f>
        <v/>
      </c>
      <c r="K3637" s="19">
        <f>IF(I3637="Gasto",IF(IFERROR(INDEX(catClas,MATCH(D3637,catNom,0))&amp;"","")="","Variable",IFERROR(INDEX(catClas,MATCH(D3637,catNom,0))&amp;"","")),"")</f>
        <v/>
      </c>
      <c r="L3637" s="19">
        <f>IF(I3637="","",IFERROR(INDEX(catAlim,MATCH(D3637,catNom,0))&amp;"",""))</f>
        <v/>
      </c>
      <c r="M3637" s="19">
        <f>IF(I3637="","",IFERROR(INDEX(catComida,MATCH(D3637,catNom,0))&amp;"",""))</f>
        <v/>
      </c>
      <c r="N3637" s="19">
        <f>IF(I3637="","",IFERROR(INDEX(ctaMon,MATCH(E3637,ctaNom,0))&amp;"","DOP"))</f>
        <v/>
      </c>
      <c r="O3637" s="20">
        <f>IF(I3637="","",C3637*IF(N3637="USD",TasaUSD,1))</f>
        <v/>
      </c>
      <c r="P3637" s="20">
        <f>IF(I3637="","",IF(I3637="Gasto",O3637,0))</f>
        <v/>
      </c>
      <c r="Q3637" s="20">
        <f>IF(I3637="","",IF(I3637="Ingreso",O3637,0))</f>
        <v/>
      </c>
      <c r="R3637" s="20">
        <f>IF(I3637="","",IF(I3637="Trading",O3637,0))</f>
        <v/>
      </c>
      <c r="S3637" s="19">
        <f>IF(I3637="","",IF(AND(I3637="Gasto",K3637="Variable",J3637&lt;&gt;"Trading",O3637&gt;0,O3637&lt;=Umbral),1,0))</f>
        <v/>
      </c>
      <c r="T3637" s="20">
        <f>IF(OR(I3637="",E3637=""),"",IF(OR(I3637="Gasto",I3637="Transferencia",I3637="Pago tarjeta"),-1,1)*C3637)</f>
        <v/>
      </c>
      <c r="U3637" s="20">
        <f>IF(OR(G3637="",AND(I3637&lt;&gt;"Transferencia",I3637&lt;&gt;"Pago tarjeta")),"",IF(IFERROR(INDEX(ctaMon,MATCH(G3637,ctaNom,0))&amp;"","DOP")=N3637,C3637,IF(N3637="USD",C3637*TasaUSD,C3637/TasaUSD)))</f>
        <v/>
      </c>
      <c r="V3637" s="20">
        <f>IF(I3637="","",IF(IFERROR(INDEX(ctaLiq,MATCH(E3637,ctaNom,0))="Sí",FALSE),IF(OR(I3637="Gasto",I3637="Transferencia",I3637="Pago tarjeta"),-1,1)*O3637,0)+IF(AND(U3637&lt;&gt;"",IFERROR(INDEX(ctaLiq,MATCH(G3637,ctaNom,0))="Sí",FALSE)),O3637,0))</f>
        <v/>
      </c>
      <c r="W3637" s="19">
        <f>IF(OR(F3637="",I3637=""),"",IF(COUNTIFS(F$6:F3637,F3637,I$6:I3637,"?*")=1,MAX(W$5:W3636)+1,""))</f>
        <v/>
      </c>
    </row>
    <row r="3638">
      <c r="B3638" s="15" t="n"/>
      <c r="C3638" s="16" t="n"/>
      <c r="D3638" s="17" t="n"/>
      <c r="E3638" s="17" t="n"/>
      <c r="F3638" s="17" t="n"/>
      <c r="G3638" s="17" t="n"/>
      <c r="H3638" s="18">
        <f>IF(AND(B3638="",C3638="",D3638="",E3638=""),"",IF(B3638="","⚠ Falta fecha",IF(C3638="","⚠ Falta monto",IF(D3638="","⚠ Falta categoría",IF(ISNA(MATCH(D3638,catNom,0)),"⚠ Categoría no existe",IF(E3638="","⚠ Falta cuenta",IF(ISNA(MATCH(E3638,ctaNom,0)),"⚠ Cuenta no existe",IF(AND(OR(I3638="Transferencia",I3638="Pago tarjeta"),G3638=""),"⚠ Indica la cuenta «Hacia»",IF(AND(G3638&lt;&gt;"",G3638=E3638),"⚠ «Hacia» igual a la cuenta",IF(AND(G3638&lt;&gt;"",ISNA(MATCH(G3638,ctaNom,0))),"⚠ «Hacia» no existe",IF(AND(I3638="Pago tarjeta",IFERROR(INDEX(ctaTipo,MATCH(G3638,ctaNom,0)),"")&lt;&gt;"Tarjeta de crédito"),"⚠ «Hacia» debe ser la tarjeta",IF(AND(I3638="Trading",IFERROR(INDEX(ctaTipo,MATCH(E3638,ctaNom,0)),"")&lt;&gt;"Cuenta de trading"),"⚠ Usa la cuenta de trading","✓"))))))))))))</f>
        <v/>
      </c>
      <c r="I3638" s="19">
        <f>IF(OR(B3638="",C3638="",D3638=""),"",IFERROR(INDEX(catTipo,MATCH(D3638,catNom,0))&amp;"",""))</f>
        <v/>
      </c>
      <c r="J3638" s="19">
        <f>IF(I3638="","",IFERROR(INDEX(catGrupo,MATCH(D3638,catNom,0))&amp;"",""))</f>
        <v/>
      </c>
      <c r="K3638" s="19">
        <f>IF(I3638="Gasto",IF(IFERROR(INDEX(catClas,MATCH(D3638,catNom,0))&amp;"","")="","Variable",IFERROR(INDEX(catClas,MATCH(D3638,catNom,0))&amp;"","")),"")</f>
        <v/>
      </c>
      <c r="L3638" s="19">
        <f>IF(I3638="","",IFERROR(INDEX(catAlim,MATCH(D3638,catNom,0))&amp;"",""))</f>
        <v/>
      </c>
      <c r="M3638" s="19">
        <f>IF(I3638="","",IFERROR(INDEX(catComida,MATCH(D3638,catNom,0))&amp;"",""))</f>
        <v/>
      </c>
      <c r="N3638" s="19">
        <f>IF(I3638="","",IFERROR(INDEX(ctaMon,MATCH(E3638,ctaNom,0))&amp;"","DOP"))</f>
        <v/>
      </c>
      <c r="O3638" s="20">
        <f>IF(I3638="","",C3638*IF(N3638="USD",TasaUSD,1))</f>
        <v/>
      </c>
      <c r="P3638" s="20">
        <f>IF(I3638="","",IF(I3638="Gasto",O3638,0))</f>
        <v/>
      </c>
      <c r="Q3638" s="20">
        <f>IF(I3638="","",IF(I3638="Ingreso",O3638,0))</f>
        <v/>
      </c>
      <c r="R3638" s="20">
        <f>IF(I3638="","",IF(I3638="Trading",O3638,0))</f>
        <v/>
      </c>
      <c r="S3638" s="19">
        <f>IF(I3638="","",IF(AND(I3638="Gasto",K3638="Variable",J3638&lt;&gt;"Trading",O3638&gt;0,O3638&lt;=Umbral),1,0))</f>
        <v/>
      </c>
      <c r="T3638" s="20">
        <f>IF(OR(I3638="",E3638=""),"",IF(OR(I3638="Gasto",I3638="Transferencia",I3638="Pago tarjeta"),-1,1)*C3638)</f>
        <v/>
      </c>
      <c r="U3638" s="20">
        <f>IF(OR(G3638="",AND(I3638&lt;&gt;"Transferencia",I3638&lt;&gt;"Pago tarjeta")),"",IF(IFERROR(INDEX(ctaMon,MATCH(G3638,ctaNom,0))&amp;"","DOP")=N3638,C3638,IF(N3638="USD",C3638*TasaUSD,C3638/TasaUSD)))</f>
        <v/>
      </c>
      <c r="V3638" s="20">
        <f>IF(I3638="","",IF(IFERROR(INDEX(ctaLiq,MATCH(E3638,ctaNom,0))="Sí",FALSE),IF(OR(I3638="Gasto",I3638="Transferencia",I3638="Pago tarjeta"),-1,1)*O3638,0)+IF(AND(U3638&lt;&gt;"",IFERROR(INDEX(ctaLiq,MATCH(G3638,ctaNom,0))="Sí",FALSE)),O3638,0))</f>
        <v/>
      </c>
      <c r="W3638" s="19">
        <f>IF(OR(F3638="",I3638=""),"",IF(COUNTIFS(F$6:F3638,F3638,I$6:I3638,"?*")=1,MAX(W$5:W3637)+1,""))</f>
        <v/>
      </c>
    </row>
    <row r="3639">
      <c r="B3639" s="15" t="n"/>
      <c r="C3639" s="16" t="n"/>
      <c r="D3639" s="17" t="n"/>
      <c r="E3639" s="17" t="n"/>
      <c r="F3639" s="17" t="n"/>
      <c r="G3639" s="17" t="n"/>
      <c r="H3639" s="18">
        <f>IF(AND(B3639="",C3639="",D3639="",E3639=""),"",IF(B3639="","⚠ Falta fecha",IF(C3639="","⚠ Falta monto",IF(D3639="","⚠ Falta categoría",IF(ISNA(MATCH(D3639,catNom,0)),"⚠ Categoría no existe",IF(E3639="","⚠ Falta cuenta",IF(ISNA(MATCH(E3639,ctaNom,0)),"⚠ Cuenta no existe",IF(AND(OR(I3639="Transferencia",I3639="Pago tarjeta"),G3639=""),"⚠ Indica la cuenta «Hacia»",IF(AND(G3639&lt;&gt;"",G3639=E3639),"⚠ «Hacia» igual a la cuenta",IF(AND(G3639&lt;&gt;"",ISNA(MATCH(G3639,ctaNom,0))),"⚠ «Hacia» no existe",IF(AND(I3639="Pago tarjeta",IFERROR(INDEX(ctaTipo,MATCH(G3639,ctaNom,0)),"")&lt;&gt;"Tarjeta de crédito"),"⚠ «Hacia» debe ser la tarjeta",IF(AND(I3639="Trading",IFERROR(INDEX(ctaTipo,MATCH(E3639,ctaNom,0)),"")&lt;&gt;"Cuenta de trading"),"⚠ Usa la cuenta de trading","✓"))))))))))))</f>
        <v/>
      </c>
      <c r="I3639" s="19">
        <f>IF(OR(B3639="",C3639="",D3639=""),"",IFERROR(INDEX(catTipo,MATCH(D3639,catNom,0))&amp;"",""))</f>
        <v/>
      </c>
      <c r="J3639" s="19">
        <f>IF(I3639="","",IFERROR(INDEX(catGrupo,MATCH(D3639,catNom,0))&amp;"",""))</f>
        <v/>
      </c>
      <c r="K3639" s="19">
        <f>IF(I3639="Gasto",IF(IFERROR(INDEX(catClas,MATCH(D3639,catNom,0))&amp;"","")="","Variable",IFERROR(INDEX(catClas,MATCH(D3639,catNom,0))&amp;"","")),"")</f>
        <v/>
      </c>
      <c r="L3639" s="19">
        <f>IF(I3639="","",IFERROR(INDEX(catAlim,MATCH(D3639,catNom,0))&amp;"",""))</f>
        <v/>
      </c>
      <c r="M3639" s="19">
        <f>IF(I3639="","",IFERROR(INDEX(catComida,MATCH(D3639,catNom,0))&amp;"",""))</f>
        <v/>
      </c>
      <c r="N3639" s="19">
        <f>IF(I3639="","",IFERROR(INDEX(ctaMon,MATCH(E3639,ctaNom,0))&amp;"","DOP"))</f>
        <v/>
      </c>
      <c r="O3639" s="20">
        <f>IF(I3639="","",C3639*IF(N3639="USD",TasaUSD,1))</f>
        <v/>
      </c>
      <c r="P3639" s="20">
        <f>IF(I3639="","",IF(I3639="Gasto",O3639,0))</f>
        <v/>
      </c>
      <c r="Q3639" s="20">
        <f>IF(I3639="","",IF(I3639="Ingreso",O3639,0))</f>
        <v/>
      </c>
      <c r="R3639" s="20">
        <f>IF(I3639="","",IF(I3639="Trading",O3639,0))</f>
        <v/>
      </c>
      <c r="S3639" s="19">
        <f>IF(I3639="","",IF(AND(I3639="Gasto",K3639="Variable",J3639&lt;&gt;"Trading",O3639&gt;0,O3639&lt;=Umbral),1,0))</f>
        <v/>
      </c>
      <c r="T3639" s="20">
        <f>IF(OR(I3639="",E3639=""),"",IF(OR(I3639="Gasto",I3639="Transferencia",I3639="Pago tarjeta"),-1,1)*C3639)</f>
        <v/>
      </c>
      <c r="U3639" s="20">
        <f>IF(OR(G3639="",AND(I3639&lt;&gt;"Transferencia",I3639&lt;&gt;"Pago tarjeta")),"",IF(IFERROR(INDEX(ctaMon,MATCH(G3639,ctaNom,0))&amp;"","DOP")=N3639,C3639,IF(N3639="USD",C3639*TasaUSD,C3639/TasaUSD)))</f>
        <v/>
      </c>
      <c r="V3639" s="20">
        <f>IF(I3639="","",IF(IFERROR(INDEX(ctaLiq,MATCH(E3639,ctaNom,0))="Sí",FALSE),IF(OR(I3639="Gasto",I3639="Transferencia",I3639="Pago tarjeta"),-1,1)*O3639,0)+IF(AND(U3639&lt;&gt;"",IFERROR(INDEX(ctaLiq,MATCH(G3639,ctaNom,0))="Sí",FALSE)),O3639,0))</f>
        <v/>
      </c>
      <c r="W3639" s="19">
        <f>IF(OR(F3639="",I3639=""),"",IF(COUNTIFS(F$6:F3639,F3639,I$6:I3639,"?*")=1,MAX(W$5:W3638)+1,""))</f>
        <v/>
      </c>
    </row>
    <row r="3640">
      <c r="B3640" s="15" t="n"/>
      <c r="C3640" s="16" t="n"/>
      <c r="D3640" s="17" t="n"/>
      <c r="E3640" s="17" t="n"/>
      <c r="F3640" s="17" t="n"/>
      <c r="G3640" s="17" t="n"/>
      <c r="H3640" s="18">
        <f>IF(AND(B3640="",C3640="",D3640="",E3640=""),"",IF(B3640="","⚠ Falta fecha",IF(C3640="","⚠ Falta monto",IF(D3640="","⚠ Falta categoría",IF(ISNA(MATCH(D3640,catNom,0)),"⚠ Categoría no existe",IF(E3640="","⚠ Falta cuenta",IF(ISNA(MATCH(E3640,ctaNom,0)),"⚠ Cuenta no existe",IF(AND(OR(I3640="Transferencia",I3640="Pago tarjeta"),G3640=""),"⚠ Indica la cuenta «Hacia»",IF(AND(G3640&lt;&gt;"",G3640=E3640),"⚠ «Hacia» igual a la cuenta",IF(AND(G3640&lt;&gt;"",ISNA(MATCH(G3640,ctaNom,0))),"⚠ «Hacia» no existe",IF(AND(I3640="Pago tarjeta",IFERROR(INDEX(ctaTipo,MATCH(G3640,ctaNom,0)),"")&lt;&gt;"Tarjeta de crédito"),"⚠ «Hacia» debe ser la tarjeta",IF(AND(I3640="Trading",IFERROR(INDEX(ctaTipo,MATCH(E3640,ctaNom,0)),"")&lt;&gt;"Cuenta de trading"),"⚠ Usa la cuenta de trading","✓"))))))))))))</f>
        <v/>
      </c>
      <c r="I3640" s="19">
        <f>IF(OR(B3640="",C3640="",D3640=""),"",IFERROR(INDEX(catTipo,MATCH(D3640,catNom,0))&amp;"",""))</f>
        <v/>
      </c>
      <c r="J3640" s="19">
        <f>IF(I3640="","",IFERROR(INDEX(catGrupo,MATCH(D3640,catNom,0))&amp;"",""))</f>
        <v/>
      </c>
      <c r="K3640" s="19">
        <f>IF(I3640="Gasto",IF(IFERROR(INDEX(catClas,MATCH(D3640,catNom,0))&amp;"","")="","Variable",IFERROR(INDEX(catClas,MATCH(D3640,catNom,0))&amp;"","")),"")</f>
        <v/>
      </c>
      <c r="L3640" s="19">
        <f>IF(I3640="","",IFERROR(INDEX(catAlim,MATCH(D3640,catNom,0))&amp;"",""))</f>
        <v/>
      </c>
      <c r="M3640" s="19">
        <f>IF(I3640="","",IFERROR(INDEX(catComida,MATCH(D3640,catNom,0))&amp;"",""))</f>
        <v/>
      </c>
      <c r="N3640" s="19">
        <f>IF(I3640="","",IFERROR(INDEX(ctaMon,MATCH(E3640,ctaNom,0))&amp;"","DOP"))</f>
        <v/>
      </c>
      <c r="O3640" s="20">
        <f>IF(I3640="","",C3640*IF(N3640="USD",TasaUSD,1))</f>
        <v/>
      </c>
      <c r="P3640" s="20">
        <f>IF(I3640="","",IF(I3640="Gasto",O3640,0))</f>
        <v/>
      </c>
      <c r="Q3640" s="20">
        <f>IF(I3640="","",IF(I3640="Ingreso",O3640,0))</f>
        <v/>
      </c>
      <c r="R3640" s="20">
        <f>IF(I3640="","",IF(I3640="Trading",O3640,0))</f>
        <v/>
      </c>
      <c r="S3640" s="19">
        <f>IF(I3640="","",IF(AND(I3640="Gasto",K3640="Variable",J3640&lt;&gt;"Trading",O3640&gt;0,O3640&lt;=Umbral),1,0))</f>
        <v/>
      </c>
      <c r="T3640" s="20">
        <f>IF(OR(I3640="",E3640=""),"",IF(OR(I3640="Gasto",I3640="Transferencia",I3640="Pago tarjeta"),-1,1)*C3640)</f>
        <v/>
      </c>
      <c r="U3640" s="20">
        <f>IF(OR(G3640="",AND(I3640&lt;&gt;"Transferencia",I3640&lt;&gt;"Pago tarjeta")),"",IF(IFERROR(INDEX(ctaMon,MATCH(G3640,ctaNom,0))&amp;"","DOP")=N3640,C3640,IF(N3640="USD",C3640*TasaUSD,C3640/TasaUSD)))</f>
        <v/>
      </c>
      <c r="V3640" s="20">
        <f>IF(I3640="","",IF(IFERROR(INDEX(ctaLiq,MATCH(E3640,ctaNom,0))="Sí",FALSE),IF(OR(I3640="Gasto",I3640="Transferencia",I3640="Pago tarjeta"),-1,1)*O3640,0)+IF(AND(U3640&lt;&gt;"",IFERROR(INDEX(ctaLiq,MATCH(G3640,ctaNom,0))="Sí",FALSE)),O3640,0))</f>
        <v/>
      </c>
      <c r="W3640" s="19">
        <f>IF(OR(F3640="",I3640=""),"",IF(COUNTIFS(F$6:F3640,F3640,I$6:I3640,"?*")=1,MAX(W$5:W3639)+1,""))</f>
        <v/>
      </c>
    </row>
    <row r="3641">
      <c r="B3641" s="15" t="n"/>
      <c r="C3641" s="16" t="n"/>
      <c r="D3641" s="17" t="n"/>
      <c r="E3641" s="17" t="n"/>
      <c r="F3641" s="17" t="n"/>
      <c r="G3641" s="17" t="n"/>
      <c r="H3641" s="18">
        <f>IF(AND(B3641="",C3641="",D3641="",E3641=""),"",IF(B3641="","⚠ Falta fecha",IF(C3641="","⚠ Falta monto",IF(D3641="","⚠ Falta categoría",IF(ISNA(MATCH(D3641,catNom,0)),"⚠ Categoría no existe",IF(E3641="","⚠ Falta cuenta",IF(ISNA(MATCH(E3641,ctaNom,0)),"⚠ Cuenta no existe",IF(AND(OR(I3641="Transferencia",I3641="Pago tarjeta"),G3641=""),"⚠ Indica la cuenta «Hacia»",IF(AND(G3641&lt;&gt;"",G3641=E3641),"⚠ «Hacia» igual a la cuenta",IF(AND(G3641&lt;&gt;"",ISNA(MATCH(G3641,ctaNom,0))),"⚠ «Hacia» no existe",IF(AND(I3641="Pago tarjeta",IFERROR(INDEX(ctaTipo,MATCH(G3641,ctaNom,0)),"")&lt;&gt;"Tarjeta de crédito"),"⚠ «Hacia» debe ser la tarjeta",IF(AND(I3641="Trading",IFERROR(INDEX(ctaTipo,MATCH(E3641,ctaNom,0)),"")&lt;&gt;"Cuenta de trading"),"⚠ Usa la cuenta de trading","✓"))))))))))))</f>
        <v/>
      </c>
      <c r="I3641" s="19">
        <f>IF(OR(B3641="",C3641="",D3641=""),"",IFERROR(INDEX(catTipo,MATCH(D3641,catNom,0))&amp;"",""))</f>
        <v/>
      </c>
      <c r="J3641" s="19">
        <f>IF(I3641="","",IFERROR(INDEX(catGrupo,MATCH(D3641,catNom,0))&amp;"",""))</f>
        <v/>
      </c>
      <c r="K3641" s="19">
        <f>IF(I3641="Gasto",IF(IFERROR(INDEX(catClas,MATCH(D3641,catNom,0))&amp;"","")="","Variable",IFERROR(INDEX(catClas,MATCH(D3641,catNom,0))&amp;"","")),"")</f>
        <v/>
      </c>
      <c r="L3641" s="19">
        <f>IF(I3641="","",IFERROR(INDEX(catAlim,MATCH(D3641,catNom,0))&amp;"",""))</f>
        <v/>
      </c>
      <c r="M3641" s="19">
        <f>IF(I3641="","",IFERROR(INDEX(catComida,MATCH(D3641,catNom,0))&amp;"",""))</f>
        <v/>
      </c>
      <c r="N3641" s="19">
        <f>IF(I3641="","",IFERROR(INDEX(ctaMon,MATCH(E3641,ctaNom,0))&amp;"","DOP"))</f>
        <v/>
      </c>
      <c r="O3641" s="20">
        <f>IF(I3641="","",C3641*IF(N3641="USD",TasaUSD,1))</f>
        <v/>
      </c>
      <c r="P3641" s="20">
        <f>IF(I3641="","",IF(I3641="Gasto",O3641,0))</f>
        <v/>
      </c>
      <c r="Q3641" s="20">
        <f>IF(I3641="","",IF(I3641="Ingreso",O3641,0))</f>
        <v/>
      </c>
      <c r="R3641" s="20">
        <f>IF(I3641="","",IF(I3641="Trading",O3641,0))</f>
        <v/>
      </c>
      <c r="S3641" s="19">
        <f>IF(I3641="","",IF(AND(I3641="Gasto",K3641="Variable",J3641&lt;&gt;"Trading",O3641&gt;0,O3641&lt;=Umbral),1,0))</f>
        <v/>
      </c>
      <c r="T3641" s="20">
        <f>IF(OR(I3641="",E3641=""),"",IF(OR(I3641="Gasto",I3641="Transferencia",I3641="Pago tarjeta"),-1,1)*C3641)</f>
        <v/>
      </c>
      <c r="U3641" s="20">
        <f>IF(OR(G3641="",AND(I3641&lt;&gt;"Transferencia",I3641&lt;&gt;"Pago tarjeta")),"",IF(IFERROR(INDEX(ctaMon,MATCH(G3641,ctaNom,0))&amp;"","DOP")=N3641,C3641,IF(N3641="USD",C3641*TasaUSD,C3641/TasaUSD)))</f>
        <v/>
      </c>
      <c r="V3641" s="20">
        <f>IF(I3641="","",IF(IFERROR(INDEX(ctaLiq,MATCH(E3641,ctaNom,0))="Sí",FALSE),IF(OR(I3641="Gasto",I3641="Transferencia",I3641="Pago tarjeta"),-1,1)*O3641,0)+IF(AND(U3641&lt;&gt;"",IFERROR(INDEX(ctaLiq,MATCH(G3641,ctaNom,0))="Sí",FALSE)),O3641,0))</f>
        <v/>
      </c>
      <c r="W3641" s="19">
        <f>IF(OR(F3641="",I3641=""),"",IF(COUNTIFS(F$6:F3641,F3641,I$6:I3641,"?*")=1,MAX(W$5:W3640)+1,""))</f>
        <v/>
      </c>
    </row>
    <row r="3642">
      <c r="B3642" s="15" t="n"/>
      <c r="C3642" s="16" t="n"/>
      <c r="D3642" s="17" t="n"/>
      <c r="E3642" s="17" t="n"/>
      <c r="F3642" s="17" t="n"/>
      <c r="G3642" s="17" t="n"/>
      <c r="H3642" s="18">
        <f>IF(AND(B3642="",C3642="",D3642="",E3642=""),"",IF(B3642="","⚠ Falta fecha",IF(C3642="","⚠ Falta monto",IF(D3642="","⚠ Falta categoría",IF(ISNA(MATCH(D3642,catNom,0)),"⚠ Categoría no existe",IF(E3642="","⚠ Falta cuenta",IF(ISNA(MATCH(E3642,ctaNom,0)),"⚠ Cuenta no existe",IF(AND(OR(I3642="Transferencia",I3642="Pago tarjeta"),G3642=""),"⚠ Indica la cuenta «Hacia»",IF(AND(G3642&lt;&gt;"",G3642=E3642),"⚠ «Hacia» igual a la cuenta",IF(AND(G3642&lt;&gt;"",ISNA(MATCH(G3642,ctaNom,0))),"⚠ «Hacia» no existe",IF(AND(I3642="Pago tarjeta",IFERROR(INDEX(ctaTipo,MATCH(G3642,ctaNom,0)),"")&lt;&gt;"Tarjeta de crédito"),"⚠ «Hacia» debe ser la tarjeta",IF(AND(I3642="Trading",IFERROR(INDEX(ctaTipo,MATCH(E3642,ctaNom,0)),"")&lt;&gt;"Cuenta de trading"),"⚠ Usa la cuenta de trading","✓"))))))))))))</f>
        <v/>
      </c>
      <c r="I3642" s="19">
        <f>IF(OR(B3642="",C3642="",D3642=""),"",IFERROR(INDEX(catTipo,MATCH(D3642,catNom,0))&amp;"",""))</f>
        <v/>
      </c>
      <c r="J3642" s="19">
        <f>IF(I3642="","",IFERROR(INDEX(catGrupo,MATCH(D3642,catNom,0))&amp;"",""))</f>
        <v/>
      </c>
      <c r="K3642" s="19">
        <f>IF(I3642="Gasto",IF(IFERROR(INDEX(catClas,MATCH(D3642,catNom,0))&amp;"","")="","Variable",IFERROR(INDEX(catClas,MATCH(D3642,catNom,0))&amp;"","")),"")</f>
        <v/>
      </c>
      <c r="L3642" s="19">
        <f>IF(I3642="","",IFERROR(INDEX(catAlim,MATCH(D3642,catNom,0))&amp;"",""))</f>
        <v/>
      </c>
      <c r="M3642" s="19">
        <f>IF(I3642="","",IFERROR(INDEX(catComida,MATCH(D3642,catNom,0))&amp;"",""))</f>
        <v/>
      </c>
      <c r="N3642" s="19">
        <f>IF(I3642="","",IFERROR(INDEX(ctaMon,MATCH(E3642,ctaNom,0))&amp;"","DOP"))</f>
        <v/>
      </c>
      <c r="O3642" s="20">
        <f>IF(I3642="","",C3642*IF(N3642="USD",TasaUSD,1))</f>
        <v/>
      </c>
      <c r="P3642" s="20">
        <f>IF(I3642="","",IF(I3642="Gasto",O3642,0))</f>
        <v/>
      </c>
      <c r="Q3642" s="20">
        <f>IF(I3642="","",IF(I3642="Ingreso",O3642,0))</f>
        <v/>
      </c>
      <c r="R3642" s="20">
        <f>IF(I3642="","",IF(I3642="Trading",O3642,0))</f>
        <v/>
      </c>
      <c r="S3642" s="19">
        <f>IF(I3642="","",IF(AND(I3642="Gasto",K3642="Variable",J3642&lt;&gt;"Trading",O3642&gt;0,O3642&lt;=Umbral),1,0))</f>
        <v/>
      </c>
      <c r="T3642" s="20">
        <f>IF(OR(I3642="",E3642=""),"",IF(OR(I3642="Gasto",I3642="Transferencia",I3642="Pago tarjeta"),-1,1)*C3642)</f>
        <v/>
      </c>
      <c r="U3642" s="20">
        <f>IF(OR(G3642="",AND(I3642&lt;&gt;"Transferencia",I3642&lt;&gt;"Pago tarjeta")),"",IF(IFERROR(INDEX(ctaMon,MATCH(G3642,ctaNom,0))&amp;"","DOP")=N3642,C3642,IF(N3642="USD",C3642*TasaUSD,C3642/TasaUSD)))</f>
        <v/>
      </c>
      <c r="V3642" s="20">
        <f>IF(I3642="","",IF(IFERROR(INDEX(ctaLiq,MATCH(E3642,ctaNom,0))="Sí",FALSE),IF(OR(I3642="Gasto",I3642="Transferencia",I3642="Pago tarjeta"),-1,1)*O3642,0)+IF(AND(U3642&lt;&gt;"",IFERROR(INDEX(ctaLiq,MATCH(G3642,ctaNom,0))="Sí",FALSE)),O3642,0))</f>
        <v/>
      </c>
      <c r="W3642" s="19">
        <f>IF(OR(F3642="",I3642=""),"",IF(COUNTIFS(F$6:F3642,F3642,I$6:I3642,"?*")=1,MAX(W$5:W3641)+1,""))</f>
        <v/>
      </c>
    </row>
    <row r="3643">
      <c r="B3643" s="15" t="n"/>
      <c r="C3643" s="16" t="n"/>
      <c r="D3643" s="17" t="n"/>
      <c r="E3643" s="17" t="n"/>
      <c r="F3643" s="17" t="n"/>
      <c r="G3643" s="17" t="n"/>
      <c r="H3643" s="18">
        <f>IF(AND(B3643="",C3643="",D3643="",E3643=""),"",IF(B3643="","⚠ Falta fecha",IF(C3643="","⚠ Falta monto",IF(D3643="","⚠ Falta categoría",IF(ISNA(MATCH(D3643,catNom,0)),"⚠ Categoría no existe",IF(E3643="","⚠ Falta cuenta",IF(ISNA(MATCH(E3643,ctaNom,0)),"⚠ Cuenta no existe",IF(AND(OR(I3643="Transferencia",I3643="Pago tarjeta"),G3643=""),"⚠ Indica la cuenta «Hacia»",IF(AND(G3643&lt;&gt;"",G3643=E3643),"⚠ «Hacia» igual a la cuenta",IF(AND(G3643&lt;&gt;"",ISNA(MATCH(G3643,ctaNom,0))),"⚠ «Hacia» no existe",IF(AND(I3643="Pago tarjeta",IFERROR(INDEX(ctaTipo,MATCH(G3643,ctaNom,0)),"")&lt;&gt;"Tarjeta de crédito"),"⚠ «Hacia» debe ser la tarjeta",IF(AND(I3643="Trading",IFERROR(INDEX(ctaTipo,MATCH(E3643,ctaNom,0)),"")&lt;&gt;"Cuenta de trading"),"⚠ Usa la cuenta de trading","✓"))))))))))))</f>
        <v/>
      </c>
      <c r="I3643" s="19">
        <f>IF(OR(B3643="",C3643="",D3643=""),"",IFERROR(INDEX(catTipo,MATCH(D3643,catNom,0))&amp;"",""))</f>
        <v/>
      </c>
      <c r="J3643" s="19">
        <f>IF(I3643="","",IFERROR(INDEX(catGrupo,MATCH(D3643,catNom,0))&amp;"",""))</f>
        <v/>
      </c>
      <c r="K3643" s="19">
        <f>IF(I3643="Gasto",IF(IFERROR(INDEX(catClas,MATCH(D3643,catNom,0))&amp;"","")="","Variable",IFERROR(INDEX(catClas,MATCH(D3643,catNom,0))&amp;"","")),"")</f>
        <v/>
      </c>
      <c r="L3643" s="19">
        <f>IF(I3643="","",IFERROR(INDEX(catAlim,MATCH(D3643,catNom,0))&amp;"",""))</f>
        <v/>
      </c>
      <c r="M3643" s="19">
        <f>IF(I3643="","",IFERROR(INDEX(catComida,MATCH(D3643,catNom,0))&amp;"",""))</f>
        <v/>
      </c>
      <c r="N3643" s="19">
        <f>IF(I3643="","",IFERROR(INDEX(ctaMon,MATCH(E3643,ctaNom,0))&amp;"","DOP"))</f>
        <v/>
      </c>
      <c r="O3643" s="20">
        <f>IF(I3643="","",C3643*IF(N3643="USD",TasaUSD,1))</f>
        <v/>
      </c>
      <c r="P3643" s="20">
        <f>IF(I3643="","",IF(I3643="Gasto",O3643,0))</f>
        <v/>
      </c>
      <c r="Q3643" s="20">
        <f>IF(I3643="","",IF(I3643="Ingreso",O3643,0))</f>
        <v/>
      </c>
      <c r="R3643" s="20">
        <f>IF(I3643="","",IF(I3643="Trading",O3643,0))</f>
        <v/>
      </c>
      <c r="S3643" s="19">
        <f>IF(I3643="","",IF(AND(I3643="Gasto",K3643="Variable",J3643&lt;&gt;"Trading",O3643&gt;0,O3643&lt;=Umbral),1,0))</f>
        <v/>
      </c>
      <c r="T3643" s="20">
        <f>IF(OR(I3643="",E3643=""),"",IF(OR(I3643="Gasto",I3643="Transferencia",I3643="Pago tarjeta"),-1,1)*C3643)</f>
        <v/>
      </c>
      <c r="U3643" s="20">
        <f>IF(OR(G3643="",AND(I3643&lt;&gt;"Transferencia",I3643&lt;&gt;"Pago tarjeta")),"",IF(IFERROR(INDEX(ctaMon,MATCH(G3643,ctaNom,0))&amp;"","DOP")=N3643,C3643,IF(N3643="USD",C3643*TasaUSD,C3643/TasaUSD)))</f>
        <v/>
      </c>
      <c r="V3643" s="20">
        <f>IF(I3643="","",IF(IFERROR(INDEX(ctaLiq,MATCH(E3643,ctaNom,0))="Sí",FALSE),IF(OR(I3643="Gasto",I3643="Transferencia",I3643="Pago tarjeta"),-1,1)*O3643,0)+IF(AND(U3643&lt;&gt;"",IFERROR(INDEX(ctaLiq,MATCH(G3643,ctaNom,0))="Sí",FALSE)),O3643,0))</f>
        <v/>
      </c>
      <c r="W3643" s="19">
        <f>IF(OR(F3643="",I3643=""),"",IF(COUNTIFS(F$6:F3643,F3643,I$6:I3643,"?*")=1,MAX(W$5:W3642)+1,""))</f>
        <v/>
      </c>
    </row>
    <row r="3644">
      <c r="B3644" s="15" t="n"/>
      <c r="C3644" s="16" t="n"/>
      <c r="D3644" s="17" t="n"/>
      <c r="E3644" s="17" t="n"/>
      <c r="F3644" s="17" t="n"/>
      <c r="G3644" s="17" t="n"/>
      <c r="H3644" s="18">
        <f>IF(AND(B3644="",C3644="",D3644="",E3644=""),"",IF(B3644="","⚠ Falta fecha",IF(C3644="","⚠ Falta monto",IF(D3644="","⚠ Falta categoría",IF(ISNA(MATCH(D3644,catNom,0)),"⚠ Categoría no existe",IF(E3644="","⚠ Falta cuenta",IF(ISNA(MATCH(E3644,ctaNom,0)),"⚠ Cuenta no existe",IF(AND(OR(I3644="Transferencia",I3644="Pago tarjeta"),G3644=""),"⚠ Indica la cuenta «Hacia»",IF(AND(G3644&lt;&gt;"",G3644=E3644),"⚠ «Hacia» igual a la cuenta",IF(AND(G3644&lt;&gt;"",ISNA(MATCH(G3644,ctaNom,0))),"⚠ «Hacia» no existe",IF(AND(I3644="Pago tarjeta",IFERROR(INDEX(ctaTipo,MATCH(G3644,ctaNom,0)),"")&lt;&gt;"Tarjeta de crédito"),"⚠ «Hacia» debe ser la tarjeta",IF(AND(I3644="Trading",IFERROR(INDEX(ctaTipo,MATCH(E3644,ctaNom,0)),"")&lt;&gt;"Cuenta de trading"),"⚠ Usa la cuenta de trading","✓"))))))))))))</f>
        <v/>
      </c>
      <c r="I3644" s="19">
        <f>IF(OR(B3644="",C3644="",D3644=""),"",IFERROR(INDEX(catTipo,MATCH(D3644,catNom,0))&amp;"",""))</f>
        <v/>
      </c>
      <c r="J3644" s="19">
        <f>IF(I3644="","",IFERROR(INDEX(catGrupo,MATCH(D3644,catNom,0))&amp;"",""))</f>
        <v/>
      </c>
      <c r="K3644" s="19">
        <f>IF(I3644="Gasto",IF(IFERROR(INDEX(catClas,MATCH(D3644,catNom,0))&amp;"","")="","Variable",IFERROR(INDEX(catClas,MATCH(D3644,catNom,0))&amp;"","")),"")</f>
        <v/>
      </c>
      <c r="L3644" s="19">
        <f>IF(I3644="","",IFERROR(INDEX(catAlim,MATCH(D3644,catNom,0))&amp;"",""))</f>
        <v/>
      </c>
      <c r="M3644" s="19">
        <f>IF(I3644="","",IFERROR(INDEX(catComida,MATCH(D3644,catNom,0))&amp;"",""))</f>
        <v/>
      </c>
      <c r="N3644" s="19">
        <f>IF(I3644="","",IFERROR(INDEX(ctaMon,MATCH(E3644,ctaNom,0))&amp;"","DOP"))</f>
        <v/>
      </c>
      <c r="O3644" s="20">
        <f>IF(I3644="","",C3644*IF(N3644="USD",TasaUSD,1))</f>
        <v/>
      </c>
      <c r="P3644" s="20">
        <f>IF(I3644="","",IF(I3644="Gasto",O3644,0))</f>
        <v/>
      </c>
      <c r="Q3644" s="20">
        <f>IF(I3644="","",IF(I3644="Ingreso",O3644,0))</f>
        <v/>
      </c>
      <c r="R3644" s="20">
        <f>IF(I3644="","",IF(I3644="Trading",O3644,0))</f>
        <v/>
      </c>
      <c r="S3644" s="19">
        <f>IF(I3644="","",IF(AND(I3644="Gasto",K3644="Variable",J3644&lt;&gt;"Trading",O3644&gt;0,O3644&lt;=Umbral),1,0))</f>
        <v/>
      </c>
      <c r="T3644" s="20">
        <f>IF(OR(I3644="",E3644=""),"",IF(OR(I3644="Gasto",I3644="Transferencia",I3644="Pago tarjeta"),-1,1)*C3644)</f>
        <v/>
      </c>
      <c r="U3644" s="20">
        <f>IF(OR(G3644="",AND(I3644&lt;&gt;"Transferencia",I3644&lt;&gt;"Pago tarjeta")),"",IF(IFERROR(INDEX(ctaMon,MATCH(G3644,ctaNom,0))&amp;"","DOP")=N3644,C3644,IF(N3644="USD",C3644*TasaUSD,C3644/TasaUSD)))</f>
        <v/>
      </c>
      <c r="V3644" s="20">
        <f>IF(I3644="","",IF(IFERROR(INDEX(ctaLiq,MATCH(E3644,ctaNom,0))="Sí",FALSE),IF(OR(I3644="Gasto",I3644="Transferencia",I3644="Pago tarjeta"),-1,1)*O3644,0)+IF(AND(U3644&lt;&gt;"",IFERROR(INDEX(ctaLiq,MATCH(G3644,ctaNom,0))="Sí",FALSE)),O3644,0))</f>
        <v/>
      </c>
      <c r="W3644" s="19">
        <f>IF(OR(F3644="",I3644=""),"",IF(COUNTIFS(F$6:F3644,F3644,I$6:I3644,"?*")=1,MAX(W$5:W3643)+1,""))</f>
        <v/>
      </c>
    </row>
    <row r="3645">
      <c r="B3645" s="15" t="n"/>
      <c r="C3645" s="16" t="n"/>
      <c r="D3645" s="17" t="n"/>
      <c r="E3645" s="17" t="n"/>
      <c r="F3645" s="17" t="n"/>
      <c r="G3645" s="17" t="n"/>
      <c r="H3645" s="18">
        <f>IF(AND(B3645="",C3645="",D3645="",E3645=""),"",IF(B3645="","⚠ Falta fecha",IF(C3645="","⚠ Falta monto",IF(D3645="","⚠ Falta categoría",IF(ISNA(MATCH(D3645,catNom,0)),"⚠ Categoría no existe",IF(E3645="","⚠ Falta cuenta",IF(ISNA(MATCH(E3645,ctaNom,0)),"⚠ Cuenta no existe",IF(AND(OR(I3645="Transferencia",I3645="Pago tarjeta"),G3645=""),"⚠ Indica la cuenta «Hacia»",IF(AND(G3645&lt;&gt;"",G3645=E3645),"⚠ «Hacia» igual a la cuenta",IF(AND(G3645&lt;&gt;"",ISNA(MATCH(G3645,ctaNom,0))),"⚠ «Hacia» no existe",IF(AND(I3645="Pago tarjeta",IFERROR(INDEX(ctaTipo,MATCH(G3645,ctaNom,0)),"")&lt;&gt;"Tarjeta de crédito"),"⚠ «Hacia» debe ser la tarjeta",IF(AND(I3645="Trading",IFERROR(INDEX(ctaTipo,MATCH(E3645,ctaNom,0)),"")&lt;&gt;"Cuenta de trading"),"⚠ Usa la cuenta de trading","✓"))))))))))))</f>
        <v/>
      </c>
      <c r="I3645" s="19">
        <f>IF(OR(B3645="",C3645="",D3645=""),"",IFERROR(INDEX(catTipo,MATCH(D3645,catNom,0))&amp;"",""))</f>
        <v/>
      </c>
      <c r="J3645" s="19">
        <f>IF(I3645="","",IFERROR(INDEX(catGrupo,MATCH(D3645,catNom,0))&amp;"",""))</f>
        <v/>
      </c>
      <c r="K3645" s="19">
        <f>IF(I3645="Gasto",IF(IFERROR(INDEX(catClas,MATCH(D3645,catNom,0))&amp;"","")="","Variable",IFERROR(INDEX(catClas,MATCH(D3645,catNom,0))&amp;"","")),"")</f>
        <v/>
      </c>
      <c r="L3645" s="19">
        <f>IF(I3645="","",IFERROR(INDEX(catAlim,MATCH(D3645,catNom,0))&amp;"",""))</f>
        <v/>
      </c>
      <c r="M3645" s="19">
        <f>IF(I3645="","",IFERROR(INDEX(catComida,MATCH(D3645,catNom,0))&amp;"",""))</f>
        <v/>
      </c>
      <c r="N3645" s="19">
        <f>IF(I3645="","",IFERROR(INDEX(ctaMon,MATCH(E3645,ctaNom,0))&amp;"","DOP"))</f>
        <v/>
      </c>
      <c r="O3645" s="20">
        <f>IF(I3645="","",C3645*IF(N3645="USD",TasaUSD,1))</f>
        <v/>
      </c>
      <c r="P3645" s="20">
        <f>IF(I3645="","",IF(I3645="Gasto",O3645,0))</f>
        <v/>
      </c>
      <c r="Q3645" s="20">
        <f>IF(I3645="","",IF(I3645="Ingreso",O3645,0))</f>
        <v/>
      </c>
      <c r="R3645" s="20">
        <f>IF(I3645="","",IF(I3645="Trading",O3645,0))</f>
        <v/>
      </c>
      <c r="S3645" s="19">
        <f>IF(I3645="","",IF(AND(I3645="Gasto",K3645="Variable",J3645&lt;&gt;"Trading",O3645&gt;0,O3645&lt;=Umbral),1,0))</f>
        <v/>
      </c>
      <c r="T3645" s="20">
        <f>IF(OR(I3645="",E3645=""),"",IF(OR(I3645="Gasto",I3645="Transferencia",I3645="Pago tarjeta"),-1,1)*C3645)</f>
        <v/>
      </c>
      <c r="U3645" s="20">
        <f>IF(OR(G3645="",AND(I3645&lt;&gt;"Transferencia",I3645&lt;&gt;"Pago tarjeta")),"",IF(IFERROR(INDEX(ctaMon,MATCH(G3645,ctaNom,0))&amp;"","DOP")=N3645,C3645,IF(N3645="USD",C3645*TasaUSD,C3645/TasaUSD)))</f>
        <v/>
      </c>
      <c r="V3645" s="20">
        <f>IF(I3645="","",IF(IFERROR(INDEX(ctaLiq,MATCH(E3645,ctaNom,0))="Sí",FALSE),IF(OR(I3645="Gasto",I3645="Transferencia",I3645="Pago tarjeta"),-1,1)*O3645,0)+IF(AND(U3645&lt;&gt;"",IFERROR(INDEX(ctaLiq,MATCH(G3645,ctaNom,0))="Sí",FALSE)),O3645,0))</f>
        <v/>
      </c>
      <c r="W3645" s="19">
        <f>IF(OR(F3645="",I3645=""),"",IF(COUNTIFS(F$6:F3645,F3645,I$6:I3645,"?*")=1,MAX(W$5:W3644)+1,""))</f>
        <v/>
      </c>
    </row>
    <row r="3646">
      <c r="B3646" s="15" t="n"/>
      <c r="C3646" s="16" t="n"/>
      <c r="D3646" s="17" t="n"/>
      <c r="E3646" s="17" t="n"/>
      <c r="F3646" s="17" t="n"/>
      <c r="G3646" s="17" t="n"/>
      <c r="H3646" s="18">
        <f>IF(AND(B3646="",C3646="",D3646="",E3646=""),"",IF(B3646="","⚠ Falta fecha",IF(C3646="","⚠ Falta monto",IF(D3646="","⚠ Falta categoría",IF(ISNA(MATCH(D3646,catNom,0)),"⚠ Categoría no existe",IF(E3646="","⚠ Falta cuenta",IF(ISNA(MATCH(E3646,ctaNom,0)),"⚠ Cuenta no existe",IF(AND(OR(I3646="Transferencia",I3646="Pago tarjeta"),G3646=""),"⚠ Indica la cuenta «Hacia»",IF(AND(G3646&lt;&gt;"",G3646=E3646),"⚠ «Hacia» igual a la cuenta",IF(AND(G3646&lt;&gt;"",ISNA(MATCH(G3646,ctaNom,0))),"⚠ «Hacia» no existe",IF(AND(I3646="Pago tarjeta",IFERROR(INDEX(ctaTipo,MATCH(G3646,ctaNom,0)),"")&lt;&gt;"Tarjeta de crédito"),"⚠ «Hacia» debe ser la tarjeta",IF(AND(I3646="Trading",IFERROR(INDEX(ctaTipo,MATCH(E3646,ctaNom,0)),"")&lt;&gt;"Cuenta de trading"),"⚠ Usa la cuenta de trading","✓"))))))))))))</f>
        <v/>
      </c>
      <c r="I3646" s="19">
        <f>IF(OR(B3646="",C3646="",D3646=""),"",IFERROR(INDEX(catTipo,MATCH(D3646,catNom,0))&amp;"",""))</f>
        <v/>
      </c>
      <c r="J3646" s="19">
        <f>IF(I3646="","",IFERROR(INDEX(catGrupo,MATCH(D3646,catNom,0))&amp;"",""))</f>
        <v/>
      </c>
      <c r="K3646" s="19">
        <f>IF(I3646="Gasto",IF(IFERROR(INDEX(catClas,MATCH(D3646,catNom,0))&amp;"","")="","Variable",IFERROR(INDEX(catClas,MATCH(D3646,catNom,0))&amp;"","")),"")</f>
        <v/>
      </c>
      <c r="L3646" s="19">
        <f>IF(I3646="","",IFERROR(INDEX(catAlim,MATCH(D3646,catNom,0))&amp;"",""))</f>
        <v/>
      </c>
      <c r="M3646" s="19">
        <f>IF(I3646="","",IFERROR(INDEX(catComida,MATCH(D3646,catNom,0))&amp;"",""))</f>
        <v/>
      </c>
      <c r="N3646" s="19">
        <f>IF(I3646="","",IFERROR(INDEX(ctaMon,MATCH(E3646,ctaNom,0))&amp;"","DOP"))</f>
        <v/>
      </c>
      <c r="O3646" s="20">
        <f>IF(I3646="","",C3646*IF(N3646="USD",TasaUSD,1))</f>
        <v/>
      </c>
      <c r="P3646" s="20">
        <f>IF(I3646="","",IF(I3646="Gasto",O3646,0))</f>
        <v/>
      </c>
      <c r="Q3646" s="20">
        <f>IF(I3646="","",IF(I3646="Ingreso",O3646,0))</f>
        <v/>
      </c>
      <c r="R3646" s="20">
        <f>IF(I3646="","",IF(I3646="Trading",O3646,0))</f>
        <v/>
      </c>
      <c r="S3646" s="19">
        <f>IF(I3646="","",IF(AND(I3646="Gasto",K3646="Variable",J3646&lt;&gt;"Trading",O3646&gt;0,O3646&lt;=Umbral),1,0))</f>
        <v/>
      </c>
      <c r="T3646" s="20">
        <f>IF(OR(I3646="",E3646=""),"",IF(OR(I3646="Gasto",I3646="Transferencia",I3646="Pago tarjeta"),-1,1)*C3646)</f>
        <v/>
      </c>
      <c r="U3646" s="20">
        <f>IF(OR(G3646="",AND(I3646&lt;&gt;"Transferencia",I3646&lt;&gt;"Pago tarjeta")),"",IF(IFERROR(INDEX(ctaMon,MATCH(G3646,ctaNom,0))&amp;"","DOP")=N3646,C3646,IF(N3646="USD",C3646*TasaUSD,C3646/TasaUSD)))</f>
        <v/>
      </c>
      <c r="V3646" s="20">
        <f>IF(I3646="","",IF(IFERROR(INDEX(ctaLiq,MATCH(E3646,ctaNom,0))="Sí",FALSE),IF(OR(I3646="Gasto",I3646="Transferencia",I3646="Pago tarjeta"),-1,1)*O3646,0)+IF(AND(U3646&lt;&gt;"",IFERROR(INDEX(ctaLiq,MATCH(G3646,ctaNom,0))="Sí",FALSE)),O3646,0))</f>
        <v/>
      </c>
      <c r="W3646" s="19">
        <f>IF(OR(F3646="",I3646=""),"",IF(COUNTIFS(F$6:F3646,F3646,I$6:I3646,"?*")=1,MAX(W$5:W3645)+1,""))</f>
        <v/>
      </c>
    </row>
    <row r="3647">
      <c r="B3647" s="15" t="n"/>
      <c r="C3647" s="16" t="n"/>
      <c r="D3647" s="17" t="n"/>
      <c r="E3647" s="17" t="n"/>
      <c r="F3647" s="17" t="n"/>
      <c r="G3647" s="17" t="n"/>
      <c r="H3647" s="18">
        <f>IF(AND(B3647="",C3647="",D3647="",E3647=""),"",IF(B3647="","⚠ Falta fecha",IF(C3647="","⚠ Falta monto",IF(D3647="","⚠ Falta categoría",IF(ISNA(MATCH(D3647,catNom,0)),"⚠ Categoría no existe",IF(E3647="","⚠ Falta cuenta",IF(ISNA(MATCH(E3647,ctaNom,0)),"⚠ Cuenta no existe",IF(AND(OR(I3647="Transferencia",I3647="Pago tarjeta"),G3647=""),"⚠ Indica la cuenta «Hacia»",IF(AND(G3647&lt;&gt;"",G3647=E3647),"⚠ «Hacia» igual a la cuenta",IF(AND(G3647&lt;&gt;"",ISNA(MATCH(G3647,ctaNom,0))),"⚠ «Hacia» no existe",IF(AND(I3647="Pago tarjeta",IFERROR(INDEX(ctaTipo,MATCH(G3647,ctaNom,0)),"")&lt;&gt;"Tarjeta de crédito"),"⚠ «Hacia» debe ser la tarjeta",IF(AND(I3647="Trading",IFERROR(INDEX(ctaTipo,MATCH(E3647,ctaNom,0)),"")&lt;&gt;"Cuenta de trading"),"⚠ Usa la cuenta de trading","✓"))))))))))))</f>
        <v/>
      </c>
      <c r="I3647" s="19">
        <f>IF(OR(B3647="",C3647="",D3647=""),"",IFERROR(INDEX(catTipo,MATCH(D3647,catNom,0))&amp;"",""))</f>
        <v/>
      </c>
      <c r="J3647" s="19">
        <f>IF(I3647="","",IFERROR(INDEX(catGrupo,MATCH(D3647,catNom,0))&amp;"",""))</f>
        <v/>
      </c>
      <c r="K3647" s="19">
        <f>IF(I3647="Gasto",IF(IFERROR(INDEX(catClas,MATCH(D3647,catNom,0))&amp;"","")="","Variable",IFERROR(INDEX(catClas,MATCH(D3647,catNom,0))&amp;"","")),"")</f>
        <v/>
      </c>
      <c r="L3647" s="19">
        <f>IF(I3647="","",IFERROR(INDEX(catAlim,MATCH(D3647,catNom,0))&amp;"",""))</f>
        <v/>
      </c>
      <c r="M3647" s="19">
        <f>IF(I3647="","",IFERROR(INDEX(catComida,MATCH(D3647,catNom,0))&amp;"",""))</f>
        <v/>
      </c>
      <c r="N3647" s="19">
        <f>IF(I3647="","",IFERROR(INDEX(ctaMon,MATCH(E3647,ctaNom,0))&amp;"","DOP"))</f>
        <v/>
      </c>
      <c r="O3647" s="20">
        <f>IF(I3647="","",C3647*IF(N3647="USD",TasaUSD,1))</f>
        <v/>
      </c>
      <c r="P3647" s="20">
        <f>IF(I3647="","",IF(I3647="Gasto",O3647,0))</f>
        <v/>
      </c>
      <c r="Q3647" s="20">
        <f>IF(I3647="","",IF(I3647="Ingreso",O3647,0))</f>
        <v/>
      </c>
      <c r="R3647" s="20">
        <f>IF(I3647="","",IF(I3647="Trading",O3647,0))</f>
        <v/>
      </c>
      <c r="S3647" s="19">
        <f>IF(I3647="","",IF(AND(I3647="Gasto",K3647="Variable",J3647&lt;&gt;"Trading",O3647&gt;0,O3647&lt;=Umbral),1,0))</f>
        <v/>
      </c>
      <c r="T3647" s="20">
        <f>IF(OR(I3647="",E3647=""),"",IF(OR(I3647="Gasto",I3647="Transferencia",I3647="Pago tarjeta"),-1,1)*C3647)</f>
        <v/>
      </c>
      <c r="U3647" s="20">
        <f>IF(OR(G3647="",AND(I3647&lt;&gt;"Transferencia",I3647&lt;&gt;"Pago tarjeta")),"",IF(IFERROR(INDEX(ctaMon,MATCH(G3647,ctaNom,0))&amp;"","DOP")=N3647,C3647,IF(N3647="USD",C3647*TasaUSD,C3647/TasaUSD)))</f>
        <v/>
      </c>
      <c r="V3647" s="20">
        <f>IF(I3647="","",IF(IFERROR(INDEX(ctaLiq,MATCH(E3647,ctaNom,0))="Sí",FALSE),IF(OR(I3647="Gasto",I3647="Transferencia",I3647="Pago tarjeta"),-1,1)*O3647,0)+IF(AND(U3647&lt;&gt;"",IFERROR(INDEX(ctaLiq,MATCH(G3647,ctaNom,0))="Sí",FALSE)),O3647,0))</f>
        <v/>
      </c>
      <c r="W3647" s="19">
        <f>IF(OR(F3647="",I3647=""),"",IF(COUNTIFS(F$6:F3647,F3647,I$6:I3647,"?*")=1,MAX(W$5:W3646)+1,""))</f>
        <v/>
      </c>
    </row>
    <row r="3648">
      <c r="B3648" s="15" t="n"/>
      <c r="C3648" s="16" t="n"/>
      <c r="D3648" s="17" t="n"/>
      <c r="E3648" s="17" t="n"/>
      <c r="F3648" s="17" t="n"/>
      <c r="G3648" s="17" t="n"/>
      <c r="H3648" s="18">
        <f>IF(AND(B3648="",C3648="",D3648="",E3648=""),"",IF(B3648="","⚠ Falta fecha",IF(C3648="","⚠ Falta monto",IF(D3648="","⚠ Falta categoría",IF(ISNA(MATCH(D3648,catNom,0)),"⚠ Categoría no existe",IF(E3648="","⚠ Falta cuenta",IF(ISNA(MATCH(E3648,ctaNom,0)),"⚠ Cuenta no existe",IF(AND(OR(I3648="Transferencia",I3648="Pago tarjeta"),G3648=""),"⚠ Indica la cuenta «Hacia»",IF(AND(G3648&lt;&gt;"",G3648=E3648),"⚠ «Hacia» igual a la cuenta",IF(AND(G3648&lt;&gt;"",ISNA(MATCH(G3648,ctaNom,0))),"⚠ «Hacia» no existe",IF(AND(I3648="Pago tarjeta",IFERROR(INDEX(ctaTipo,MATCH(G3648,ctaNom,0)),"")&lt;&gt;"Tarjeta de crédito"),"⚠ «Hacia» debe ser la tarjeta",IF(AND(I3648="Trading",IFERROR(INDEX(ctaTipo,MATCH(E3648,ctaNom,0)),"")&lt;&gt;"Cuenta de trading"),"⚠ Usa la cuenta de trading","✓"))))))))))))</f>
        <v/>
      </c>
      <c r="I3648" s="19">
        <f>IF(OR(B3648="",C3648="",D3648=""),"",IFERROR(INDEX(catTipo,MATCH(D3648,catNom,0))&amp;"",""))</f>
        <v/>
      </c>
      <c r="J3648" s="19">
        <f>IF(I3648="","",IFERROR(INDEX(catGrupo,MATCH(D3648,catNom,0))&amp;"",""))</f>
        <v/>
      </c>
      <c r="K3648" s="19">
        <f>IF(I3648="Gasto",IF(IFERROR(INDEX(catClas,MATCH(D3648,catNom,0))&amp;"","")="","Variable",IFERROR(INDEX(catClas,MATCH(D3648,catNom,0))&amp;"","")),"")</f>
        <v/>
      </c>
      <c r="L3648" s="19">
        <f>IF(I3648="","",IFERROR(INDEX(catAlim,MATCH(D3648,catNom,0))&amp;"",""))</f>
        <v/>
      </c>
      <c r="M3648" s="19">
        <f>IF(I3648="","",IFERROR(INDEX(catComida,MATCH(D3648,catNom,0))&amp;"",""))</f>
        <v/>
      </c>
      <c r="N3648" s="19">
        <f>IF(I3648="","",IFERROR(INDEX(ctaMon,MATCH(E3648,ctaNom,0))&amp;"","DOP"))</f>
        <v/>
      </c>
      <c r="O3648" s="20">
        <f>IF(I3648="","",C3648*IF(N3648="USD",TasaUSD,1))</f>
        <v/>
      </c>
      <c r="P3648" s="20">
        <f>IF(I3648="","",IF(I3648="Gasto",O3648,0))</f>
        <v/>
      </c>
      <c r="Q3648" s="20">
        <f>IF(I3648="","",IF(I3648="Ingreso",O3648,0))</f>
        <v/>
      </c>
      <c r="R3648" s="20">
        <f>IF(I3648="","",IF(I3648="Trading",O3648,0))</f>
        <v/>
      </c>
      <c r="S3648" s="19">
        <f>IF(I3648="","",IF(AND(I3648="Gasto",K3648="Variable",J3648&lt;&gt;"Trading",O3648&gt;0,O3648&lt;=Umbral),1,0))</f>
        <v/>
      </c>
      <c r="T3648" s="20">
        <f>IF(OR(I3648="",E3648=""),"",IF(OR(I3648="Gasto",I3648="Transferencia",I3648="Pago tarjeta"),-1,1)*C3648)</f>
        <v/>
      </c>
      <c r="U3648" s="20">
        <f>IF(OR(G3648="",AND(I3648&lt;&gt;"Transferencia",I3648&lt;&gt;"Pago tarjeta")),"",IF(IFERROR(INDEX(ctaMon,MATCH(G3648,ctaNom,0))&amp;"","DOP")=N3648,C3648,IF(N3648="USD",C3648*TasaUSD,C3648/TasaUSD)))</f>
        <v/>
      </c>
      <c r="V3648" s="20">
        <f>IF(I3648="","",IF(IFERROR(INDEX(ctaLiq,MATCH(E3648,ctaNom,0))="Sí",FALSE),IF(OR(I3648="Gasto",I3648="Transferencia",I3648="Pago tarjeta"),-1,1)*O3648,0)+IF(AND(U3648&lt;&gt;"",IFERROR(INDEX(ctaLiq,MATCH(G3648,ctaNom,0))="Sí",FALSE)),O3648,0))</f>
        <v/>
      </c>
      <c r="W3648" s="19">
        <f>IF(OR(F3648="",I3648=""),"",IF(COUNTIFS(F$6:F3648,F3648,I$6:I3648,"?*")=1,MAX(W$5:W3647)+1,""))</f>
        <v/>
      </c>
    </row>
    <row r="3649">
      <c r="B3649" s="15" t="n"/>
      <c r="C3649" s="16" t="n"/>
      <c r="D3649" s="17" t="n"/>
      <c r="E3649" s="17" t="n"/>
      <c r="F3649" s="17" t="n"/>
      <c r="G3649" s="17" t="n"/>
      <c r="H3649" s="18">
        <f>IF(AND(B3649="",C3649="",D3649="",E3649=""),"",IF(B3649="","⚠ Falta fecha",IF(C3649="","⚠ Falta monto",IF(D3649="","⚠ Falta categoría",IF(ISNA(MATCH(D3649,catNom,0)),"⚠ Categoría no existe",IF(E3649="","⚠ Falta cuenta",IF(ISNA(MATCH(E3649,ctaNom,0)),"⚠ Cuenta no existe",IF(AND(OR(I3649="Transferencia",I3649="Pago tarjeta"),G3649=""),"⚠ Indica la cuenta «Hacia»",IF(AND(G3649&lt;&gt;"",G3649=E3649),"⚠ «Hacia» igual a la cuenta",IF(AND(G3649&lt;&gt;"",ISNA(MATCH(G3649,ctaNom,0))),"⚠ «Hacia» no existe",IF(AND(I3649="Pago tarjeta",IFERROR(INDEX(ctaTipo,MATCH(G3649,ctaNom,0)),"")&lt;&gt;"Tarjeta de crédito"),"⚠ «Hacia» debe ser la tarjeta",IF(AND(I3649="Trading",IFERROR(INDEX(ctaTipo,MATCH(E3649,ctaNom,0)),"")&lt;&gt;"Cuenta de trading"),"⚠ Usa la cuenta de trading","✓"))))))))))))</f>
        <v/>
      </c>
      <c r="I3649" s="19">
        <f>IF(OR(B3649="",C3649="",D3649=""),"",IFERROR(INDEX(catTipo,MATCH(D3649,catNom,0))&amp;"",""))</f>
        <v/>
      </c>
      <c r="J3649" s="19">
        <f>IF(I3649="","",IFERROR(INDEX(catGrupo,MATCH(D3649,catNom,0))&amp;"",""))</f>
        <v/>
      </c>
      <c r="K3649" s="19">
        <f>IF(I3649="Gasto",IF(IFERROR(INDEX(catClas,MATCH(D3649,catNom,0))&amp;"","")="","Variable",IFERROR(INDEX(catClas,MATCH(D3649,catNom,0))&amp;"","")),"")</f>
        <v/>
      </c>
      <c r="L3649" s="19">
        <f>IF(I3649="","",IFERROR(INDEX(catAlim,MATCH(D3649,catNom,0))&amp;"",""))</f>
        <v/>
      </c>
      <c r="M3649" s="19">
        <f>IF(I3649="","",IFERROR(INDEX(catComida,MATCH(D3649,catNom,0))&amp;"",""))</f>
        <v/>
      </c>
      <c r="N3649" s="19">
        <f>IF(I3649="","",IFERROR(INDEX(ctaMon,MATCH(E3649,ctaNom,0))&amp;"","DOP"))</f>
        <v/>
      </c>
      <c r="O3649" s="20">
        <f>IF(I3649="","",C3649*IF(N3649="USD",TasaUSD,1))</f>
        <v/>
      </c>
      <c r="P3649" s="20">
        <f>IF(I3649="","",IF(I3649="Gasto",O3649,0))</f>
        <v/>
      </c>
      <c r="Q3649" s="20">
        <f>IF(I3649="","",IF(I3649="Ingreso",O3649,0))</f>
        <v/>
      </c>
      <c r="R3649" s="20">
        <f>IF(I3649="","",IF(I3649="Trading",O3649,0))</f>
        <v/>
      </c>
      <c r="S3649" s="19">
        <f>IF(I3649="","",IF(AND(I3649="Gasto",K3649="Variable",J3649&lt;&gt;"Trading",O3649&gt;0,O3649&lt;=Umbral),1,0))</f>
        <v/>
      </c>
      <c r="T3649" s="20">
        <f>IF(OR(I3649="",E3649=""),"",IF(OR(I3649="Gasto",I3649="Transferencia",I3649="Pago tarjeta"),-1,1)*C3649)</f>
        <v/>
      </c>
      <c r="U3649" s="20">
        <f>IF(OR(G3649="",AND(I3649&lt;&gt;"Transferencia",I3649&lt;&gt;"Pago tarjeta")),"",IF(IFERROR(INDEX(ctaMon,MATCH(G3649,ctaNom,0))&amp;"","DOP")=N3649,C3649,IF(N3649="USD",C3649*TasaUSD,C3649/TasaUSD)))</f>
        <v/>
      </c>
      <c r="V3649" s="20">
        <f>IF(I3649="","",IF(IFERROR(INDEX(ctaLiq,MATCH(E3649,ctaNom,0))="Sí",FALSE),IF(OR(I3649="Gasto",I3649="Transferencia",I3649="Pago tarjeta"),-1,1)*O3649,0)+IF(AND(U3649&lt;&gt;"",IFERROR(INDEX(ctaLiq,MATCH(G3649,ctaNom,0))="Sí",FALSE)),O3649,0))</f>
        <v/>
      </c>
      <c r="W3649" s="19">
        <f>IF(OR(F3649="",I3649=""),"",IF(COUNTIFS(F$6:F3649,F3649,I$6:I3649,"?*")=1,MAX(W$5:W3648)+1,""))</f>
        <v/>
      </c>
    </row>
    <row r="3650">
      <c r="B3650" s="15" t="n"/>
      <c r="C3650" s="16" t="n"/>
      <c r="D3650" s="17" t="n"/>
      <c r="E3650" s="17" t="n"/>
      <c r="F3650" s="17" t="n"/>
      <c r="G3650" s="17" t="n"/>
      <c r="H3650" s="18">
        <f>IF(AND(B3650="",C3650="",D3650="",E3650=""),"",IF(B3650="","⚠ Falta fecha",IF(C3650="","⚠ Falta monto",IF(D3650="","⚠ Falta categoría",IF(ISNA(MATCH(D3650,catNom,0)),"⚠ Categoría no existe",IF(E3650="","⚠ Falta cuenta",IF(ISNA(MATCH(E3650,ctaNom,0)),"⚠ Cuenta no existe",IF(AND(OR(I3650="Transferencia",I3650="Pago tarjeta"),G3650=""),"⚠ Indica la cuenta «Hacia»",IF(AND(G3650&lt;&gt;"",G3650=E3650),"⚠ «Hacia» igual a la cuenta",IF(AND(G3650&lt;&gt;"",ISNA(MATCH(G3650,ctaNom,0))),"⚠ «Hacia» no existe",IF(AND(I3650="Pago tarjeta",IFERROR(INDEX(ctaTipo,MATCH(G3650,ctaNom,0)),"")&lt;&gt;"Tarjeta de crédito"),"⚠ «Hacia» debe ser la tarjeta",IF(AND(I3650="Trading",IFERROR(INDEX(ctaTipo,MATCH(E3650,ctaNom,0)),"")&lt;&gt;"Cuenta de trading"),"⚠ Usa la cuenta de trading","✓"))))))))))))</f>
        <v/>
      </c>
      <c r="I3650" s="19">
        <f>IF(OR(B3650="",C3650="",D3650=""),"",IFERROR(INDEX(catTipo,MATCH(D3650,catNom,0))&amp;"",""))</f>
        <v/>
      </c>
      <c r="J3650" s="19">
        <f>IF(I3650="","",IFERROR(INDEX(catGrupo,MATCH(D3650,catNom,0))&amp;"",""))</f>
        <v/>
      </c>
      <c r="K3650" s="19">
        <f>IF(I3650="Gasto",IF(IFERROR(INDEX(catClas,MATCH(D3650,catNom,0))&amp;"","")="","Variable",IFERROR(INDEX(catClas,MATCH(D3650,catNom,0))&amp;"","")),"")</f>
        <v/>
      </c>
      <c r="L3650" s="19">
        <f>IF(I3650="","",IFERROR(INDEX(catAlim,MATCH(D3650,catNom,0))&amp;"",""))</f>
        <v/>
      </c>
      <c r="M3650" s="19">
        <f>IF(I3650="","",IFERROR(INDEX(catComida,MATCH(D3650,catNom,0))&amp;"",""))</f>
        <v/>
      </c>
      <c r="N3650" s="19">
        <f>IF(I3650="","",IFERROR(INDEX(ctaMon,MATCH(E3650,ctaNom,0))&amp;"","DOP"))</f>
        <v/>
      </c>
      <c r="O3650" s="20">
        <f>IF(I3650="","",C3650*IF(N3650="USD",TasaUSD,1))</f>
        <v/>
      </c>
      <c r="P3650" s="20">
        <f>IF(I3650="","",IF(I3650="Gasto",O3650,0))</f>
        <v/>
      </c>
      <c r="Q3650" s="20">
        <f>IF(I3650="","",IF(I3650="Ingreso",O3650,0))</f>
        <v/>
      </c>
      <c r="R3650" s="20">
        <f>IF(I3650="","",IF(I3650="Trading",O3650,0))</f>
        <v/>
      </c>
      <c r="S3650" s="19">
        <f>IF(I3650="","",IF(AND(I3650="Gasto",K3650="Variable",J3650&lt;&gt;"Trading",O3650&gt;0,O3650&lt;=Umbral),1,0))</f>
        <v/>
      </c>
      <c r="T3650" s="20">
        <f>IF(OR(I3650="",E3650=""),"",IF(OR(I3650="Gasto",I3650="Transferencia",I3650="Pago tarjeta"),-1,1)*C3650)</f>
        <v/>
      </c>
      <c r="U3650" s="20">
        <f>IF(OR(G3650="",AND(I3650&lt;&gt;"Transferencia",I3650&lt;&gt;"Pago tarjeta")),"",IF(IFERROR(INDEX(ctaMon,MATCH(G3650,ctaNom,0))&amp;"","DOP")=N3650,C3650,IF(N3650="USD",C3650*TasaUSD,C3650/TasaUSD)))</f>
        <v/>
      </c>
      <c r="V3650" s="20">
        <f>IF(I3650="","",IF(IFERROR(INDEX(ctaLiq,MATCH(E3650,ctaNom,0))="Sí",FALSE),IF(OR(I3650="Gasto",I3650="Transferencia",I3650="Pago tarjeta"),-1,1)*O3650,0)+IF(AND(U3650&lt;&gt;"",IFERROR(INDEX(ctaLiq,MATCH(G3650,ctaNom,0))="Sí",FALSE)),O3650,0))</f>
        <v/>
      </c>
      <c r="W3650" s="19">
        <f>IF(OR(F3650="",I3650=""),"",IF(COUNTIFS(F$6:F3650,F3650,I$6:I3650,"?*")=1,MAX(W$5:W3649)+1,""))</f>
        <v/>
      </c>
    </row>
    <row r="3651">
      <c r="B3651" s="15" t="n"/>
      <c r="C3651" s="16" t="n"/>
      <c r="D3651" s="17" t="n"/>
      <c r="E3651" s="17" t="n"/>
      <c r="F3651" s="17" t="n"/>
      <c r="G3651" s="17" t="n"/>
      <c r="H3651" s="18">
        <f>IF(AND(B3651="",C3651="",D3651="",E3651=""),"",IF(B3651="","⚠ Falta fecha",IF(C3651="","⚠ Falta monto",IF(D3651="","⚠ Falta categoría",IF(ISNA(MATCH(D3651,catNom,0)),"⚠ Categoría no existe",IF(E3651="","⚠ Falta cuenta",IF(ISNA(MATCH(E3651,ctaNom,0)),"⚠ Cuenta no existe",IF(AND(OR(I3651="Transferencia",I3651="Pago tarjeta"),G3651=""),"⚠ Indica la cuenta «Hacia»",IF(AND(G3651&lt;&gt;"",G3651=E3651),"⚠ «Hacia» igual a la cuenta",IF(AND(G3651&lt;&gt;"",ISNA(MATCH(G3651,ctaNom,0))),"⚠ «Hacia» no existe",IF(AND(I3651="Pago tarjeta",IFERROR(INDEX(ctaTipo,MATCH(G3651,ctaNom,0)),"")&lt;&gt;"Tarjeta de crédito"),"⚠ «Hacia» debe ser la tarjeta",IF(AND(I3651="Trading",IFERROR(INDEX(ctaTipo,MATCH(E3651,ctaNom,0)),"")&lt;&gt;"Cuenta de trading"),"⚠ Usa la cuenta de trading","✓"))))))))))))</f>
        <v/>
      </c>
      <c r="I3651" s="19">
        <f>IF(OR(B3651="",C3651="",D3651=""),"",IFERROR(INDEX(catTipo,MATCH(D3651,catNom,0))&amp;"",""))</f>
        <v/>
      </c>
      <c r="J3651" s="19">
        <f>IF(I3651="","",IFERROR(INDEX(catGrupo,MATCH(D3651,catNom,0))&amp;"",""))</f>
        <v/>
      </c>
      <c r="K3651" s="19">
        <f>IF(I3651="Gasto",IF(IFERROR(INDEX(catClas,MATCH(D3651,catNom,0))&amp;"","")="","Variable",IFERROR(INDEX(catClas,MATCH(D3651,catNom,0))&amp;"","")),"")</f>
        <v/>
      </c>
      <c r="L3651" s="19">
        <f>IF(I3651="","",IFERROR(INDEX(catAlim,MATCH(D3651,catNom,0))&amp;"",""))</f>
        <v/>
      </c>
      <c r="M3651" s="19">
        <f>IF(I3651="","",IFERROR(INDEX(catComida,MATCH(D3651,catNom,0))&amp;"",""))</f>
        <v/>
      </c>
      <c r="N3651" s="19">
        <f>IF(I3651="","",IFERROR(INDEX(ctaMon,MATCH(E3651,ctaNom,0))&amp;"","DOP"))</f>
        <v/>
      </c>
      <c r="O3651" s="20">
        <f>IF(I3651="","",C3651*IF(N3651="USD",TasaUSD,1))</f>
        <v/>
      </c>
      <c r="P3651" s="20">
        <f>IF(I3651="","",IF(I3651="Gasto",O3651,0))</f>
        <v/>
      </c>
      <c r="Q3651" s="20">
        <f>IF(I3651="","",IF(I3651="Ingreso",O3651,0))</f>
        <v/>
      </c>
      <c r="R3651" s="20">
        <f>IF(I3651="","",IF(I3651="Trading",O3651,0))</f>
        <v/>
      </c>
      <c r="S3651" s="19">
        <f>IF(I3651="","",IF(AND(I3651="Gasto",K3651="Variable",J3651&lt;&gt;"Trading",O3651&gt;0,O3651&lt;=Umbral),1,0))</f>
        <v/>
      </c>
      <c r="T3651" s="20">
        <f>IF(OR(I3651="",E3651=""),"",IF(OR(I3651="Gasto",I3651="Transferencia",I3651="Pago tarjeta"),-1,1)*C3651)</f>
        <v/>
      </c>
      <c r="U3651" s="20">
        <f>IF(OR(G3651="",AND(I3651&lt;&gt;"Transferencia",I3651&lt;&gt;"Pago tarjeta")),"",IF(IFERROR(INDEX(ctaMon,MATCH(G3651,ctaNom,0))&amp;"","DOP")=N3651,C3651,IF(N3651="USD",C3651*TasaUSD,C3651/TasaUSD)))</f>
        <v/>
      </c>
      <c r="V3651" s="20">
        <f>IF(I3651="","",IF(IFERROR(INDEX(ctaLiq,MATCH(E3651,ctaNom,0))="Sí",FALSE),IF(OR(I3651="Gasto",I3651="Transferencia",I3651="Pago tarjeta"),-1,1)*O3651,0)+IF(AND(U3651&lt;&gt;"",IFERROR(INDEX(ctaLiq,MATCH(G3651,ctaNom,0))="Sí",FALSE)),O3651,0))</f>
        <v/>
      </c>
      <c r="W3651" s="19">
        <f>IF(OR(F3651="",I3651=""),"",IF(COUNTIFS(F$6:F3651,F3651,I$6:I3651,"?*")=1,MAX(W$5:W3650)+1,""))</f>
        <v/>
      </c>
    </row>
    <row r="3652">
      <c r="B3652" s="15" t="n"/>
      <c r="C3652" s="16" t="n"/>
      <c r="D3652" s="17" t="n"/>
      <c r="E3652" s="17" t="n"/>
      <c r="F3652" s="17" t="n"/>
      <c r="G3652" s="17" t="n"/>
      <c r="H3652" s="18">
        <f>IF(AND(B3652="",C3652="",D3652="",E3652=""),"",IF(B3652="","⚠ Falta fecha",IF(C3652="","⚠ Falta monto",IF(D3652="","⚠ Falta categoría",IF(ISNA(MATCH(D3652,catNom,0)),"⚠ Categoría no existe",IF(E3652="","⚠ Falta cuenta",IF(ISNA(MATCH(E3652,ctaNom,0)),"⚠ Cuenta no existe",IF(AND(OR(I3652="Transferencia",I3652="Pago tarjeta"),G3652=""),"⚠ Indica la cuenta «Hacia»",IF(AND(G3652&lt;&gt;"",G3652=E3652),"⚠ «Hacia» igual a la cuenta",IF(AND(G3652&lt;&gt;"",ISNA(MATCH(G3652,ctaNom,0))),"⚠ «Hacia» no existe",IF(AND(I3652="Pago tarjeta",IFERROR(INDEX(ctaTipo,MATCH(G3652,ctaNom,0)),"")&lt;&gt;"Tarjeta de crédito"),"⚠ «Hacia» debe ser la tarjeta",IF(AND(I3652="Trading",IFERROR(INDEX(ctaTipo,MATCH(E3652,ctaNom,0)),"")&lt;&gt;"Cuenta de trading"),"⚠ Usa la cuenta de trading","✓"))))))))))))</f>
        <v/>
      </c>
      <c r="I3652" s="19">
        <f>IF(OR(B3652="",C3652="",D3652=""),"",IFERROR(INDEX(catTipo,MATCH(D3652,catNom,0))&amp;"",""))</f>
        <v/>
      </c>
      <c r="J3652" s="19">
        <f>IF(I3652="","",IFERROR(INDEX(catGrupo,MATCH(D3652,catNom,0))&amp;"",""))</f>
        <v/>
      </c>
      <c r="K3652" s="19">
        <f>IF(I3652="Gasto",IF(IFERROR(INDEX(catClas,MATCH(D3652,catNom,0))&amp;"","")="","Variable",IFERROR(INDEX(catClas,MATCH(D3652,catNom,0))&amp;"","")),"")</f>
        <v/>
      </c>
      <c r="L3652" s="19">
        <f>IF(I3652="","",IFERROR(INDEX(catAlim,MATCH(D3652,catNom,0))&amp;"",""))</f>
        <v/>
      </c>
      <c r="M3652" s="19">
        <f>IF(I3652="","",IFERROR(INDEX(catComida,MATCH(D3652,catNom,0))&amp;"",""))</f>
        <v/>
      </c>
      <c r="N3652" s="19">
        <f>IF(I3652="","",IFERROR(INDEX(ctaMon,MATCH(E3652,ctaNom,0))&amp;"","DOP"))</f>
        <v/>
      </c>
      <c r="O3652" s="20">
        <f>IF(I3652="","",C3652*IF(N3652="USD",TasaUSD,1))</f>
        <v/>
      </c>
      <c r="P3652" s="20">
        <f>IF(I3652="","",IF(I3652="Gasto",O3652,0))</f>
        <v/>
      </c>
      <c r="Q3652" s="20">
        <f>IF(I3652="","",IF(I3652="Ingreso",O3652,0))</f>
        <v/>
      </c>
      <c r="R3652" s="20">
        <f>IF(I3652="","",IF(I3652="Trading",O3652,0))</f>
        <v/>
      </c>
      <c r="S3652" s="19">
        <f>IF(I3652="","",IF(AND(I3652="Gasto",K3652="Variable",J3652&lt;&gt;"Trading",O3652&gt;0,O3652&lt;=Umbral),1,0))</f>
        <v/>
      </c>
      <c r="T3652" s="20">
        <f>IF(OR(I3652="",E3652=""),"",IF(OR(I3652="Gasto",I3652="Transferencia",I3652="Pago tarjeta"),-1,1)*C3652)</f>
        <v/>
      </c>
      <c r="U3652" s="20">
        <f>IF(OR(G3652="",AND(I3652&lt;&gt;"Transferencia",I3652&lt;&gt;"Pago tarjeta")),"",IF(IFERROR(INDEX(ctaMon,MATCH(G3652,ctaNom,0))&amp;"","DOP")=N3652,C3652,IF(N3652="USD",C3652*TasaUSD,C3652/TasaUSD)))</f>
        <v/>
      </c>
      <c r="V3652" s="20">
        <f>IF(I3652="","",IF(IFERROR(INDEX(ctaLiq,MATCH(E3652,ctaNom,0))="Sí",FALSE),IF(OR(I3652="Gasto",I3652="Transferencia",I3652="Pago tarjeta"),-1,1)*O3652,0)+IF(AND(U3652&lt;&gt;"",IFERROR(INDEX(ctaLiq,MATCH(G3652,ctaNom,0))="Sí",FALSE)),O3652,0))</f>
        <v/>
      </c>
      <c r="W3652" s="19">
        <f>IF(OR(F3652="",I3652=""),"",IF(COUNTIFS(F$6:F3652,F3652,I$6:I3652,"?*")=1,MAX(W$5:W3651)+1,""))</f>
        <v/>
      </c>
    </row>
    <row r="3653">
      <c r="B3653" s="15" t="n"/>
      <c r="C3653" s="16" t="n"/>
      <c r="D3653" s="17" t="n"/>
      <c r="E3653" s="17" t="n"/>
      <c r="F3653" s="17" t="n"/>
      <c r="G3653" s="17" t="n"/>
      <c r="H3653" s="18">
        <f>IF(AND(B3653="",C3653="",D3653="",E3653=""),"",IF(B3653="","⚠ Falta fecha",IF(C3653="","⚠ Falta monto",IF(D3653="","⚠ Falta categoría",IF(ISNA(MATCH(D3653,catNom,0)),"⚠ Categoría no existe",IF(E3653="","⚠ Falta cuenta",IF(ISNA(MATCH(E3653,ctaNom,0)),"⚠ Cuenta no existe",IF(AND(OR(I3653="Transferencia",I3653="Pago tarjeta"),G3653=""),"⚠ Indica la cuenta «Hacia»",IF(AND(G3653&lt;&gt;"",G3653=E3653),"⚠ «Hacia» igual a la cuenta",IF(AND(G3653&lt;&gt;"",ISNA(MATCH(G3653,ctaNom,0))),"⚠ «Hacia» no existe",IF(AND(I3653="Pago tarjeta",IFERROR(INDEX(ctaTipo,MATCH(G3653,ctaNom,0)),"")&lt;&gt;"Tarjeta de crédito"),"⚠ «Hacia» debe ser la tarjeta",IF(AND(I3653="Trading",IFERROR(INDEX(ctaTipo,MATCH(E3653,ctaNom,0)),"")&lt;&gt;"Cuenta de trading"),"⚠ Usa la cuenta de trading","✓"))))))))))))</f>
        <v/>
      </c>
      <c r="I3653" s="19">
        <f>IF(OR(B3653="",C3653="",D3653=""),"",IFERROR(INDEX(catTipo,MATCH(D3653,catNom,0))&amp;"",""))</f>
        <v/>
      </c>
      <c r="J3653" s="19">
        <f>IF(I3653="","",IFERROR(INDEX(catGrupo,MATCH(D3653,catNom,0))&amp;"",""))</f>
        <v/>
      </c>
      <c r="K3653" s="19">
        <f>IF(I3653="Gasto",IF(IFERROR(INDEX(catClas,MATCH(D3653,catNom,0))&amp;"","")="","Variable",IFERROR(INDEX(catClas,MATCH(D3653,catNom,0))&amp;"","")),"")</f>
        <v/>
      </c>
      <c r="L3653" s="19">
        <f>IF(I3653="","",IFERROR(INDEX(catAlim,MATCH(D3653,catNom,0))&amp;"",""))</f>
        <v/>
      </c>
      <c r="M3653" s="19">
        <f>IF(I3653="","",IFERROR(INDEX(catComida,MATCH(D3653,catNom,0))&amp;"",""))</f>
        <v/>
      </c>
      <c r="N3653" s="19">
        <f>IF(I3653="","",IFERROR(INDEX(ctaMon,MATCH(E3653,ctaNom,0))&amp;"","DOP"))</f>
        <v/>
      </c>
      <c r="O3653" s="20">
        <f>IF(I3653="","",C3653*IF(N3653="USD",TasaUSD,1))</f>
        <v/>
      </c>
      <c r="P3653" s="20">
        <f>IF(I3653="","",IF(I3653="Gasto",O3653,0))</f>
        <v/>
      </c>
      <c r="Q3653" s="20">
        <f>IF(I3653="","",IF(I3653="Ingreso",O3653,0))</f>
        <v/>
      </c>
      <c r="R3653" s="20">
        <f>IF(I3653="","",IF(I3653="Trading",O3653,0))</f>
        <v/>
      </c>
      <c r="S3653" s="19">
        <f>IF(I3653="","",IF(AND(I3653="Gasto",K3653="Variable",J3653&lt;&gt;"Trading",O3653&gt;0,O3653&lt;=Umbral),1,0))</f>
        <v/>
      </c>
      <c r="T3653" s="20">
        <f>IF(OR(I3653="",E3653=""),"",IF(OR(I3653="Gasto",I3653="Transferencia",I3653="Pago tarjeta"),-1,1)*C3653)</f>
        <v/>
      </c>
      <c r="U3653" s="20">
        <f>IF(OR(G3653="",AND(I3653&lt;&gt;"Transferencia",I3653&lt;&gt;"Pago tarjeta")),"",IF(IFERROR(INDEX(ctaMon,MATCH(G3653,ctaNom,0))&amp;"","DOP")=N3653,C3653,IF(N3653="USD",C3653*TasaUSD,C3653/TasaUSD)))</f>
        <v/>
      </c>
      <c r="V3653" s="20">
        <f>IF(I3653="","",IF(IFERROR(INDEX(ctaLiq,MATCH(E3653,ctaNom,0))="Sí",FALSE),IF(OR(I3653="Gasto",I3653="Transferencia",I3653="Pago tarjeta"),-1,1)*O3653,0)+IF(AND(U3653&lt;&gt;"",IFERROR(INDEX(ctaLiq,MATCH(G3653,ctaNom,0))="Sí",FALSE)),O3653,0))</f>
        <v/>
      </c>
      <c r="W3653" s="19">
        <f>IF(OR(F3653="",I3653=""),"",IF(COUNTIFS(F$6:F3653,F3653,I$6:I3653,"?*")=1,MAX(W$5:W3652)+1,""))</f>
        <v/>
      </c>
    </row>
    <row r="3654">
      <c r="B3654" s="15" t="n"/>
      <c r="C3654" s="16" t="n"/>
      <c r="D3654" s="17" t="n"/>
      <c r="E3654" s="17" t="n"/>
      <c r="F3654" s="17" t="n"/>
      <c r="G3654" s="17" t="n"/>
      <c r="H3654" s="18">
        <f>IF(AND(B3654="",C3654="",D3654="",E3654=""),"",IF(B3654="","⚠ Falta fecha",IF(C3654="","⚠ Falta monto",IF(D3654="","⚠ Falta categoría",IF(ISNA(MATCH(D3654,catNom,0)),"⚠ Categoría no existe",IF(E3654="","⚠ Falta cuenta",IF(ISNA(MATCH(E3654,ctaNom,0)),"⚠ Cuenta no existe",IF(AND(OR(I3654="Transferencia",I3654="Pago tarjeta"),G3654=""),"⚠ Indica la cuenta «Hacia»",IF(AND(G3654&lt;&gt;"",G3654=E3654),"⚠ «Hacia» igual a la cuenta",IF(AND(G3654&lt;&gt;"",ISNA(MATCH(G3654,ctaNom,0))),"⚠ «Hacia» no existe",IF(AND(I3654="Pago tarjeta",IFERROR(INDEX(ctaTipo,MATCH(G3654,ctaNom,0)),"")&lt;&gt;"Tarjeta de crédito"),"⚠ «Hacia» debe ser la tarjeta",IF(AND(I3654="Trading",IFERROR(INDEX(ctaTipo,MATCH(E3654,ctaNom,0)),"")&lt;&gt;"Cuenta de trading"),"⚠ Usa la cuenta de trading","✓"))))))))))))</f>
        <v/>
      </c>
      <c r="I3654" s="19">
        <f>IF(OR(B3654="",C3654="",D3654=""),"",IFERROR(INDEX(catTipo,MATCH(D3654,catNom,0))&amp;"",""))</f>
        <v/>
      </c>
      <c r="J3654" s="19">
        <f>IF(I3654="","",IFERROR(INDEX(catGrupo,MATCH(D3654,catNom,0))&amp;"",""))</f>
        <v/>
      </c>
      <c r="K3654" s="19">
        <f>IF(I3654="Gasto",IF(IFERROR(INDEX(catClas,MATCH(D3654,catNom,0))&amp;"","")="","Variable",IFERROR(INDEX(catClas,MATCH(D3654,catNom,0))&amp;"","")),"")</f>
        <v/>
      </c>
      <c r="L3654" s="19">
        <f>IF(I3654="","",IFERROR(INDEX(catAlim,MATCH(D3654,catNom,0))&amp;"",""))</f>
        <v/>
      </c>
      <c r="M3654" s="19">
        <f>IF(I3654="","",IFERROR(INDEX(catComida,MATCH(D3654,catNom,0))&amp;"",""))</f>
        <v/>
      </c>
      <c r="N3654" s="19">
        <f>IF(I3654="","",IFERROR(INDEX(ctaMon,MATCH(E3654,ctaNom,0))&amp;"","DOP"))</f>
        <v/>
      </c>
      <c r="O3654" s="20">
        <f>IF(I3654="","",C3654*IF(N3654="USD",TasaUSD,1))</f>
        <v/>
      </c>
      <c r="P3654" s="20">
        <f>IF(I3654="","",IF(I3654="Gasto",O3654,0))</f>
        <v/>
      </c>
      <c r="Q3654" s="20">
        <f>IF(I3654="","",IF(I3654="Ingreso",O3654,0))</f>
        <v/>
      </c>
      <c r="R3654" s="20">
        <f>IF(I3654="","",IF(I3654="Trading",O3654,0))</f>
        <v/>
      </c>
      <c r="S3654" s="19">
        <f>IF(I3654="","",IF(AND(I3654="Gasto",K3654="Variable",J3654&lt;&gt;"Trading",O3654&gt;0,O3654&lt;=Umbral),1,0))</f>
        <v/>
      </c>
      <c r="T3654" s="20">
        <f>IF(OR(I3654="",E3654=""),"",IF(OR(I3654="Gasto",I3654="Transferencia",I3654="Pago tarjeta"),-1,1)*C3654)</f>
        <v/>
      </c>
      <c r="U3654" s="20">
        <f>IF(OR(G3654="",AND(I3654&lt;&gt;"Transferencia",I3654&lt;&gt;"Pago tarjeta")),"",IF(IFERROR(INDEX(ctaMon,MATCH(G3654,ctaNom,0))&amp;"","DOP")=N3654,C3654,IF(N3654="USD",C3654*TasaUSD,C3654/TasaUSD)))</f>
        <v/>
      </c>
      <c r="V3654" s="20">
        <f>IF(I3654="","",IF(IFERROR(INDEX(ctaLiq,MATCH(E3654,ctaNom,0))="Sí",FALSE),IF(OR(I3654="Gasto",I3654="Transferencia",I3654="Pago tarjeta"),-1,1)*O3654,0)+IF(AND(U3654&lt;&gt;"",IFERROR(INDEX(ctaLiq,MATCH(G3654,ctaNom,0))="Sí",FALSE)),O3654,0))</f>
        <v/>
      </c>
      <c r="W3654" s="19">
        <f>IF(OR(F3654="",I3654=""),"",IF(COUNTIFS(F$6:F3654,F3654,I$6:I3654,"?*")=1,MAX(W$5:W3653)+1,""))</f>
        <v/>
      </c>
    </row>
    <row r="3655">
      <c r="B3655" s="15" t="n"/>
      <c r="C3655" s="16" t="n"/>
      <c r="D3655" s="17" t="n"/>
      <c r="E3655" s="17" t="n"/>
      <c r="F3655" s="17" t="n"/>
      <c r="G3655" s="17" t="n"/>
      <c r="H3655" s="18">
        <f>IF(AND(B3655="",C3655="",D3655="",E3655=""),"",IF(B3655="","⚠ Falta fecha",IF(C3655="","⚠ Falta monto",IF(D3655="","⚠ Falta categoría",IF(ISNA(MATCH(D3655,catNom,0)),"⚠ Categoría no existe",IF(E3655="","⚠ Falta cuenta",IF(ISNA(MATCH(E3655,ctaNom,0)),"⚠ Cuenta no existe",IF(AND(OR(I3655="Transferencia",I3655="Pago tarjeta"),G3655=""),"⚠ Indica la cuenta «Hacia»",IF(AND(G3655&lt;&gt;"",G3655=E3655),"⚠ «Hacia» igual a la cuenta",IF(AND(G3655&lt;&gt;"",ISNA(MATCH(G3655,ctaNom,0))),"⚠ «Hacia» no existe",IF(AND(I3655="Pago tarjeta",IFERROR(INDEX(ctaTipo,MATCH(G3655,ctaNom,0)),"")&lt;&gt;"Tarjeta de crédito"),"⚠ «Hacia» debe ser la tarjeta",IF(AND(I3655="Trading",IFERROR(INDEX(ctaTipo,MATCH(E3655,ctaNom,0)),"")&lt;&gt;"Cuenta de trading"),"⚠ Usa la cuenta de trading","✓"))))))))))))</f>
        <v/>
      </c>
      <c r="I3655" s="19">
        <f>IF(OR(B3655="",C3655="",D3655=""),"",IFERROR(INDEX(catTipo,MATCH(D3655,catNom,0))&amp;"",""))</f>
        <v/>
      </c>
      <c r="J3655" s="19">
        <f>IF(I3655="","",IFERROR(INDEX(catGrupo,MATCH(D3655,catNom,0))&amp;"",""))</f>
        <v/>
      </c>
      <c r="K3655" s="19">
        <f>IF(I3655="Gasto",IF(IFERROR(INDEX(catClas,MATCH(D3655,catNom,0))&amp;"","")="","Variable",IFERROR(INDEX(catClas,MATCH(D3655,catNom,0))&amp;"","")),"")</f>
        <v/>
      </c>
      <c r="L3655" s="19">
        <f>IF(I3655="","",IFERROR(INDEX(catAlim,MATCH(D3655,catNom,0))&amp;"",""))</f>
        <v/>
      </c>
      <c r="M3655" s="19">
        <f>IF(I3655="","",IFERROR(INDEX(catComida,MATCH(D3655,catNom,0))&amp;"",""))</f>
        <v/>
      </c>
      <c r="N3655" s="19">
        <f>IF(I3655="","",IFERROR(INDEX(ctaMon,MATCH(E3655,ctaNom,0))&amp;"","DOP"))</f>
        <v/>
      </c>
      <c r="O3655" s="20">
        <f>IF(I3655="","",C3655*IF(N3655="USD",TasaUSD,1))</f>
        <v/>
      </c>
      <c r="P3655" s="20">
        <f>IF(I3655="","",IF(I3655="Gasto",O3655,0))</f>
        <v/>
      </c>
      <c r="Q3655" s="20">
        <f>IF(I3655="","",IF(I3655="Ingreso",O3655,0))</f>
        <v/>
      </c>
      <c r="R3655" s="20">
        <f>IF(I3655="","",IF(I3655="Trading",O3655,0))</f>
        <v/>
      </c>
      <c r="S3655" s="19">
        <f>IF(I3655="","",IF(AND(I3655="Gasto",K3655="Variable",J3655&lt;&gt;"Trading",O3655&gt;0,O3655&lt;=Umbral),1,0))</f>
        <v/>
      </c>
      <c r="T3655" s="20">
        <f>IF(OR(I3655="",E3655=""),"",IF(OR(I3655="Gasto",I3655="Transferencia",I3655="Pago tarjeta"),-1,1)*C3655)</f>
        <v/>
      </c>
      <c r="U3655" s="20">
        <f>IF(OR(G3655="",AND(I3655&lt;&gt;"Transferencia",I3655&lt;&gt;"Pago tarjeta")),"",IF(IFERROR(INDEX(ctaMon,MATCH(G3655,ctaNom,0))&amp;"","DOP")=N3655,C3655,IF(N3655="USD",C3655*TasaUSD,C3655/TasaUSD)))</f>
        <v/>
      </c>
      <c r="V3655" s="20">
        <f>IF(I3655="","",IF(IFERROR(INDEX(ctaLiq,MATCH(E3655,ctaNom,0))="Sí",FALSE),IF(OR(I3655="Gasto",I3655="Transferencia",I3655="Pago tarjeta"),-1,1)*O3655,0)+IF(AND(U3655&lt;&gt;"",IFERROR(INDEX(ctaLiq,MATCH(G3655,ctaNom,0))="Sí",FALSE)),O3655,0))</f>
        <v/>
      </c>
      <c r="W3655" s="19">
        <f>IF(OR(F3655="",I3655=""),"",IF(COUNTIFS(F$6:F3655,F3655,I$6:I3655,"?*")=1,MAX(W$5:W3654)+1,""))</f>
        <v/>
      </c>
    </row>
    <row r="3656">
      <c r="B3656" s="15" t="n"/>
      <c r="C3656" s="16" t="n"/>
      <c r="D3656" s="17" t="n"/>
      <c r="E3656" s="17" t="n"/>
      <c r="F3656" s="17" t="n"/>
      <c r="G3656" s="17" t="n"/>
      <c r="H3656" s="18">
        <f>IF(AND(B3656="",C3656="",D3656="",E3656=""),"",IF(B3656="","⚠ Falta fecha",IF(C3656="","⚠ Falta monto",IF(D3656="","⚠ Falta categoría",IF(ISNA(MATCH(D3656,catNom,0)),"⚠ Categoría no existe",IF(E3656="","⚠ Falta cuenta",IF(ISNA(MATCH(E3656,ctaNom,0)),"⚠ Cuenta no existe",IF(AND(OR(I3656="Transferencia",I3656="Pago tarjeta"),G3656=""),"⚠ Indica la cuenta «Hacia»",IF(AND(G3656&lt;&gt;"",G3656=E3656),"⚠ «Hacia» igual a la cuenta",IF(AND(G3656&lt;&gt;"",ISNA(MATCH(G3656,ctaNom,0))),"⚠ «Hacia» no existe",IF(AND(I3656="Pago tarjeta",IFERROR(INDEX(ctaTipo,MATCH(G3656,ctaNom,0)),"")&lt;&gt;"Tarjeta de crédito"),"⚠ «Hacia» debe ser la tarjeta",IF(AND(I3656="Trading",IFERROR(INDEX(ctaTipo,MATCH(E3656,ctaNom,0)),"")&lt;&gt;"Cuenta de trading"),"⚠ Usa la cuenta de trading","✓"))))))))))))</f>
        <v/>
      </c>
      <c r="I3656" s="19">
        <f>IF(OR(B3656="",C3656="",D3656=""),"",IFERROR(INDEX(catTipo,MATCH(D3656,catNom,0))&amp;"",""))</f>
        <v/>
      </c>
      <c r="J3656" s="19">
        <f>IF(I3656="","",IFERROR(INDEX(catGrupo,MATCH(D3656,catNom,0))&amp;"",""))</f>
        <v/>
      </c>
      <c r="K3656" s="19">
        <f>IF(I3656="Gasto",IF(IFERROR(INDEX(catClas,MATCH(D3656,catNom,0))&amp;"","")="","Variable",IFERROR(INDEX(catClas,MATCH(D3656,catNom,0))&amp;"","")),"")</f>
        <v/>
      </c>
      <c r="L3656" s="19">
        <f>IF(I3656="","",IFERROR(INDEX(catAlim,MATCH(D3656,catNom,0))&amp;"",""))</f>
        <v/>
      </c>
      <c r="M3656" s="19">
        <f>IF(I3656="","",IFERROR(INDEX(catComida,MATCH(D3656,catNom,0))&amp;"",""))</f>
        <v/>
      </c>
      <c r="N3656" s="19">
        <f>IF(I3656="","",IFERROR(INDEX(ctaMon,MATCH(E3656,ctaNom,0))&amp;"","DOP"))</f>
        <v/>
      </c>
      <c r="O3656" s="20">
        <f>IF(I3656="","",C3656*IF(N3656="USD",TasaUSD,1))</f>
        <v/>
      </c>
      <c r="P3656" s="20">
        <f>IF(I3656="","",IF(I3656="Gasto",O3656,0))</f>
        <v/>
      </c>
      <c r="Q3656" s="20">
        <f>IF(I3656="","",IF(I3656="Ingreso",O3656,0))</f>
        <v/>
      </c>
      <c r="R3656" s="20">
        <f>IF(I3656="","",IF(I3656="Trading",O3656,0))</f>
        <v/>
      </c>
      <c r="S3656" s="19">
        <f>IF(I3656="","",IF(AND(I3656="Gasto",K3656="Variable",J3656&lt;&gt;"Trading",O3656&gt;0,O3656&lt;=Umbral),1,0))</f>
        <v/>
      </c>
      <c r="T3656" s="20">
        <f>IF(OR(I3656="",E3656=""),"",IF(OR(I3656="Gasto",I3656="Transferencia",I3656="Pago tarjeta"),-1,1)*C3656)</f>
        <v/>
      </c>
      <c r="U3656" s="20">
        <f>IF(OR(G3656="",AND(I3656&lt;&gt;"Transferencia",I3656&lt;&gt;"Pago tarjeta")),"",IF(IFERROR(INDEX(ctaMon,MATCH(G3656,ctaNom,0))&amp;"","DOP")=N3656,C3656,IF(N3656="USD",C3656*TasaUSD,C3656/TasaUSD)))</f>
        <v/>
      </c>
      <c r="V3656" s="20">
        <f>IF(I3656="","",IF(IFERROR(INDEX(ctaLiq,MATCH(E3656,ctaNom,0))="Sí",FALSE),IF(OR(I3656="Gasto",I3656="Transferencia",I3656="Pago tarjeta"),-1,1)*O3656,0)+IF(AND(U3656&lt;&gt;"",IFERROR(INDEX(ctaLiq,MATCH(G3656,ctaNom,0))="Sí",FALSE)),O3656,0))</f>
        <v/>
      </c>
      <c r="W3656" s="19">
        <f>IF(OR(F3656="",I3656=""),"",IF(COUNTIFS(F$6:F3656,F3656,I$6:I3656,"?*")=1,MAX(W$5:W3655)+1,""))</f>
        <v/>
      </c>
    </row>
    <row r="3657">
      <c r="B3657" s="15" t="n"/>
      <c r="C3657" s="16" t="n"/>
      <c r="D3657" s="17" t="n"/>
      <c r="E3657" s="17" t="n"/>
      <c r="F3657" s="17" t="n"/>
      <c r="G3657" s="17" t="n"/>
      <c r="H3657" s="18">
        <f>IF(AND(B3657="",C3657="",D3657="",E3657=""),"",IF(B3657="","⚠ Falta fecha",IF(C3657="","⚠ Falta monto",IF(D3657="","⚠ Falta categoría",IF(ISNA(MATCH(D3657,catNom,0)),"⚠ Categoría no existe",IF(E3657="","⚠ Falta cuenta",IF(ISNA(MATCH(E3657,ctaNom,0)),"⚠ Cuenta no existe",IF(AND(OR(I3657="Transferencia",I3657="Pago tarjeta"),G3657=""),"⚠ Indica la cuenta «Hacia»",IF(AND(G3657&lt;&gt;"",G3657=E3657),"⚠ «Hacia» igual a la cuenta",IF(AND(G3657&lt;&gt;"",ISNA(MATCH(G3657,ctaNom,0))),"⚠ «Hacia» no existe",IF(AND(I3657="Pago tarjeta",IFERROR(INDEX(ctaTipo,MATCH(G3657,ctaNom,0)),"")&lt;&gt;"Tarjeta de crédito"),"⚠ «Hacia» debe ser la tarjeta",IF(AND(I3657="Trading",IFERROR(INDEX(ctaTipo,MATCH(E3657,ctaNom,0)),"")&lt;&gt;"Cuenta de trading"),"⚠ Usa la cuenta de trading","✓"))))))))))))</f>
        <v/>
      </c>
      <c r="I3657" s="19">
        <f>IF(OR(B3657="",C3657="",D3657=""),"",IFERROR(INDEX(catTipo,MATCH(D3657,catNom,0))&amp;"",""))</f>
        <v/>
      </c>
      <c r="J3657" s="19">
        <f>IF(I3657="","",IFERROR(INDEX(catGrupo,MATCH(D3657,catNom,0))&amp;"",""))</f>
        <v/>
      </c>
      <c r="K3657" s="19">
        <f>IF(I3657="Gasto",IF(IFERROR(INDEX(catClas,MATCH(D3657,catNom,0))&amp;"","")="","Variable",IFERROR(INDEX(catClas,MATCH(D3657,catNom,0))&amp;"","")),"")</f>
        <v/>
      </c>
      <c r="L3657" s="19">
        <f>IF(I3657="","",IFERROR(INDEX(catAlim,MATCH(D3657,catNom,0))&amp;"",""))</f>
        <v/>
      </c>
      <c r="M3657" s="19">
        <f>IF(I3657="","",IFERROR(INDEX(catComida,MATCH(D3657,catNom,0))&amp;"",""))</f>
        <v/>
      </c>
      <c r="N3657" s="19">
        <f>IF(I3657="","",IFERROR(INDEX(ctaMon,MATCH(E3657,ctaNom,0))&amp;"","DOP"))</f>
        <v/>
      </c>
      <c r="O3657" s="20">
        <f>IF(I3657="","",C3657*IF(N3657="USD",TasaUSD,1))</f>
        <v/>
      </c>
      <c r="P3657" s="20">
        <f>IF(I3657="","",IF(I3657="Gasto",O3657,0))</f>
        <v/>
      </c>
      <c r="Q3657" s="20">
        <f>IF(I3657="","",IF(I3657="Ingreso",O3657,0))</f>
        <v/>
      </c>
      <c r="R3657" s="20">
        <f>IF(I3657="","",IF(I3657="Trading",O3657,0))</f>
        <v/>
      </c>
      <c r="S3657" s="19">
        <f>IF(I3657="","",IF(AND(I3657="Gasto",K3657="Variable",J3657&lt;&gt;"Trading",O3657&gt;0,O3657&lt;=Umbral),1,0))</f>
        <v/>
      </c>
      <c r="T3657" s="20">
        <f>IF(OR(I3657="",E3657=""),"",IF(OR(I3657="Gasto",I3657="Transferencia",I3657="Pago tarjeta"),-1,1)*C3657)</f>
        <v/>
      </c>
      <c r="U3657" s="20">
        <f>IF(OR(G3657="",AND(I3657&lt;&gt;"Transferencia",I3657&lt;&gt;"Pago tarjeta")),"",IF(IFERROR(INDEX(ctaMon,MATCH(G3657,ctaNom,0))&amp;"","DOP")=N3657,C3657,IF(N3657="USD",C3657*TasaUSD,C3657/TasaUSD)))</f>
        <v/>
      </c>
      <c r="V3657" s="20">
        <f>IF(I3657="","",IF(IFERROR(INDEX(ctaLiq,MATCH(E3657,ctaNom,0))="Sí",FALSE),IF(OR(I3657="Gasto",I3657="Transferencia",I3657="Pago tarjeta"),-1,1)*O3657,0)+IF(AND(U3657&lt;&gt;"",IFERROR(INDEX(ctaLiq,MATCH(G3657,ctaNom,0))="Sí",FALSE)),O3657,0))</f>
        <v/>
      </c>
      <c r="W3657" s="19">
        <f>IF(OR(F3657="",I3657=""),"",IF(COUNTIFS(F$6:F3657,F3657,I$6:I3657,"?*")=1,MAX(W$5:W3656)+1,""))</f>
        <v/>
      </c>
    </row>
    <row r="3658">
      <c r="B3658" s="15" t="n"/>
      <c r="C3658" s="16" t="n"/>
      <c r="D3658" s="17" t="n"/>
      <c r="E3658" s="17" t="n"/>
      <c r="F3658" s="17" t="n"/>
      <c r="G3658" s="17" t="n"/>
      <c r="H3658" s="18">
        <f>IF(AND(B3658="",C3658="",D3658="",E3658=""),"",IF(B3658="","⚠ Falta fecha",IF(C3658="","⚠ Falta monto",IF(D3658="","⚠ Falta categoría",IF(ISNA(MATCH(D3658,catNom,0)),"⚠ Categoría no existe",IF(E3658="","⚠ Falta cuenta",IF(ISNA(MATCH(E3658,ctaNom,0)),"⚠ Cuenta no existe",IF(AND(OR(I3658="Transferencia",I3658="Pago tarjeta"),G3658=""),"⚠ Indica la cuenta «Hacia»",IF(AND(G3658&lt;&gt;"",G3658=E3658),"⚠ «Hacia» igual a la cuenta",IF(AND(G3658&lt;&gt;"",ISNA(MATCH(G3658,ctaNom,0))),"⚠ «Hacia» no existe",IF(AND(I3658="Pago tarjeta",IFERROR(INDEX(ctaTipo,MATCH(G3658,ctaNom,0)),"")&lt;&gt;"Tarjeta de crédito"),"⚠ «Hacia» debe ser la tarjeta",IF(AND(I3658="Trading",IFERROR(INDEX(ctaTipo,MATCH(E3658,ctaNom,0)),"")&lt;&gt;"Cuenta de trading"),"⚠ Usa la cuenta de trading","✓"))))))))))))</f>
        <v/>
      </c>
      <c r="I3658" s="19">
        <f>IF(OR(B3658="",C3658="",D3658=""),"",IFERROR(INDEX(catTipo,MATCH(D3658,catNom,0))&amp;"",""))</f>
        <v/>
      </c>
      <c r="J3658" s="19">
        <f>IF(I3658="","",IFERROR(INDEX(catGrupo,MATCH(D3658,catNom,0))&amp;"",""))</f>
        <v/>
      </c>
      <c r="K3658" s="19">
        <f>IF(I3658="Gasto",IF(IFERROR(INDEX(catClas,MATCH(D3658,catNom,0))&amp;"","")="","Variable",IFERROR(INDEX(catClas,MATCH(D3658,catNom,0))&amp;"","")),"")</f>
        <v/>
      </c>
      <c r="L3658" s="19">
        <f>IF(I3658="","",IFERROR(INDEX(catAlim,MATCH(D3658,catNom,0))&amp;"",""))</f>
        <v/>
      </c>
      <c r="M3658" s="19">
        <f>IF(I3658="","",IFERROR(INDEX(catComida,MATCH(D3658,catNom,0))&amp;"",""))</f>
        <v/>
      </c>
      <c r="N3658" s="19">
        <f>IF(I3658="","",IFERROR(INDEX(ctaMon,MATCH(E3658,ctaNom,0))&amp;"","DOP"))</f>
        <v/>
      </c>
      <c r="O3658" s="20">
        <f>IF(I3658="","",C3658*IF(N3658="USD",TasaUSD,1))</f>
        <v/>
      </c>
      <c r="P3658" s="20">
        <f>IF(I3658="","",IF(I3658="Gasto",O3658,0))</f>
        <v/>
      </c>
      <c r="Q3658" s="20">
        <f>IF(I3658="","",IF(I3658="Ingreso",O3658,0))</f>
        <v/>
      </c>
      <c r="R3658" s="20">
        <f>IF(I3658="","",IF(I3658="Trading",O3658,0))</f>
        <v/>
      </c>
      <c r="S3658" s="19">
        <f>IF(I3658="","",IF(AND(I3658="Gasto",K3658="Variable",J3658&lt;&gt;"Trading",O3658&gt;0,O3658&lt;=Umbral),1,0))</f>
        <v/>
      </c>
      <c r="T3658" s="20">
        <f>IF(OR(I3658="",E3658=""),"",IF(OR(I3658="Gasto",I3658="Transferencia",I3658="Pago tarjeta"),-1,1)*C3658)</f>
        <v/>
      </c>
      <c r="U3658" s="20">
        <f>IF(OR(G3658="",AND(I3658&lt;&gt;"Transferencia",I3658&lt;&gt;"Pago tarjeta")),"",IF(IFERROR(INDEX(ctaMon,MATCH(G3658,ctaNom,0))&amp;"","DOP")=N3658,C3658,IF(N3658="USD",C3658*TasaUSD,C3658/TasaUSD)))</f>
        <v/>
      </c>
      <c r="V3658" s="20">
        <f>IF(I3658="","",IF(IFERROR(INDEX(ctaLiq,MATCH(E3658,ctaNom,0))="Sí",FALSE),IF(OR(I3658="Gasto",I3658="Transferencia",I3658="Pago tarjeta"),-1,1)*O3658,0)+IF(AND(U3658&lt;&gt;"",IFERROR(INDEX(ctaLiq,MATCH(G3658,ctaNom,0))="Sí",FALSE)),O3658,0))</f>
        <v/>
      </c>
      <c r="W3658" s="19">
        <f>IF(OR(F3658="",I3658=""),"",IF(COUNTIFS(F$6:F3658,F3658,I$6:I3658,"?*")=1,MAX(W$5:W3657)+1,""))</f>
        <v/>
      </c>
    </row>
    <row r="3659">
      <c r="B3659" s="15" t="n"/>
      <c r="C3659" s="16" t="n"/>
      <c r="D3659" s="17" t="n"/>
      <c r="E3659" s="17" t="n"/>
      <c r="F3659" s="17" t="n"/>
      <c r="G3659" s="17" t="n"/>
      <c r="H3659" s="18">
        <f>IF(AND(B3659="",C3659="",D3659="",E3659=""),"",IF(B3659="","⚠ Falta fecha",IF(C3659="","⚠ Falta monto",IF(D3659="","⚠ Falta categoría",IF(ISNA(MATCH(D3659,catNom,0)),"⚠ Categoría no existe",IF(E3659="","⚠ Falta cuenta",IF(ISNA(MATCH(E3659,ctaNom,0)),"⚠ Cuenta no existe",IF(AND(OR(I3659="Transferencia",I3659="Pago tarjeta"),G3659=""),"⚠ Indica la cuenta «Hacia»",IF(AND(G3659&lt;&gt;"",G3659=E3659),"⚠ «Hacia» igual a la cuenta",IF(AND(G3659&lt;&gt;"",ISNA(MATCH(G3659,ctaNom,0))),"⚠ «Hacia» no existe",IF(AND(I3659="Pago tarjeta",IFERROR(INDEX(ctaTipo,MATCH(G3659,ctaNom,0)),"")&lt;&gt;"Tarjeta de crédito"),"⚠ «Hacia» debe ser la tarjeta",IF(AND(I3659="Trading",IFERROR(INDEX(ctaTipo,MATCH(E3659,ctaNom,0)),"")&lt;&gt;"Cuenta de trading"),"⚠ Usa la cuenta de trading","✓"))))))))))))</f>
        <v/>
      </c>
      <c r="I3659" s="19">
        <f>IF(OR(B3659="",C3659="",D3659=""),"",IFERROR(INDEX(catTipo,MATCH(D3659,catNom,0))&amp;"",""))</f>
        <v/>
      </c>
      <c r="J3659" s="19">
        <f>IF(I3659="","",IFERROR(INDEX(catGrupo,MATCH(D3659,catNom,0))&amp;"",""))</f>
        <v/>
      </c>
      <c r="K3659" s="19">
        <f>IF(I3659="Gasto",IF(IFERROR(INDEX(catClas,MATCH(D3659,catNom,0))&amp;"","")="","Variable",IFERROR(INDEX(catClas,MATCH(D3659,catNom,0))&amp;"","")),"")</f>
        <v/>
      </c>
      <c r="L3659" s="19">
        <f>IF(I3659="","",IFERROR(INDEX(catAlim,MATCH(D3659,catNom,0))&amp;"",""))</f>
        <v/>
      </c>
      <c r="M3659" s="19">
        <f>IF(I3659="","",IFERROR(INDEX(catComida,MATCH(D3659,catNom,0))&amp;"",""))</f>
        <v/>
      </c>
      <c r="N3659" s="19">
        <f>IF(I3659="","",IFERROR(INDEX(ctaMon,MATCH(E3659,ctaNom,0))&amp;"","DOP"))</f>
        <v/>
      </c>
      <c r="O3659" s="20">
        <f>IF(I3659="","",C3659*IF(N3659="USD",TasaUSD,1))</f>
        <v/>
      </c>
      <c r="P3659" s="20">
        <f>IF(I3659="","",IF(I3659="Gasto",O3659,0))</f>
        <v/>
      </c>
      <c r="Q3659" s="20">
        <f>IF(I3659="","",IF(I3659="Ingreso",O3659,0))</f>
        <v/>
      </c>
      <c r="R3659" s="20">
        <f>IF(I3659="","",IF(I3659="Trading",O3659,0))</f>
        <v/>
      </c>
      <c r="S3659" s="19">
        <f>IF(I3659="","",IF(AND(I3659="Gasto",K3659="Variable",J3659&lt;&gt;"Trading",O3659&gt;0,O3659&lt;=Umbral),1,0))</f>
        <v/>
      </c>
      <c r="T3659" s="20">
        <f>IF(OR(I3659="",E3659=""),"",IF(OR(I3659="Gasto",I3659="Transferencia",I3659="Pago tarjeta"),-1,1)*C3659)</f>
        <v/>
      </c>
      <c r="U3659" s="20">
        <f>IF(OR(G3659="",AND(I3659&lt;&gt;"Transferencia",I3659&lt;&gt;"Pago tarjeta")),"",IF(IFERROR(INDEX(ctaMon,MATCH(G3659,ctaNom,0))&amp;"","DOP")=N3659,C3659,IF(N3659="USD",C3659*TasaUSD,C3659/TasaUSD)))</f>
        <v/>
      </c>
      <c r="V3659" s="20">
        <f>IF(I3659="","",IF(IFERROR(INDEX(ctaLiq,MATCH(E3659,ctaNom,0))="Sí",FALSE),IF(OR(I3659="Gasto",I3659="Transferencia",I3659="Pago tarjeta"),-1,1)*O3659,0)+IF(AND(U3659&lt;&gt;"",IFERROR(INDEX(ctaLiq,MATCH(G3659,ctaNom,0))="Sí",FALSE)),O3659,0))</f>
        <v/>
      </c>
      <c r="W3659" s="19">
        <f>IF(OR(F3659="",I3659=""),"",IF(COUNTIFS(F$6:F3659,F3659,I$6:I3659,"?*")=1,MAX(W$5:W3658)+1,""))</f>
        <v/>
      </c>
    </row>
    <row r="3660">
      <c r="B3660" s="15" t="n"/>
      <c r="C3660" s="16" t="n"/>
      <c r="D3660" s="17" t="n"/>
      <c r="E3660" s="17" t="n"/>
      <c r="F3660" s="17" t="n"/>
      <c r="G3660" s="17" t="n"/>
      <c r="H3660" s="18">
        <f>IF(AND(B3660="",C3660="",D3660="",E3660=""),"",IF(B3660="","⚠ Falta fecha",IF(C3660="","⚠ Falta monto",IF(D3660="","⚠ Falta categoría",IF(ISNA(MATCH(D3660,catNom,0)),"⚠ Categoría no existe",IF(E3660="","⚠ Falta cuenta",IF(ISNA(MATCH(E3660,ctaNom,0)),"⚠ Cuenta no existe",IF(AND(OR(I3660="Transferencia",I3660="Pago tarjeta"),G3660=""),"⚠ Indica la cuenta «Hacia»",IF(AND(G3660&lt;&gt;"",G3660=E3660),"⚠ «Hacia» igual a la cuenta",IF(AND(G3660&lt;&gt;"",ISNA(MATCH(G3660,ctaNom,0))),"⚠ «Hacia» no existe",IF(AND(I3660="Pago tarjeta",IFERROR(INDEX(ctaTipo,MATCH(G3660,ctaNom,0)),"")&lt;&gt;"Tarjeta de crédito"),"⚠ «Hacia» debe ser la tarjeta",IF(AND(I3660="Trading",IFERROR(INDEX(ctaTipo,MATCH(E3660,ctaNom,0)),"")&lt;&gt;"Cuenta de trading"),"⚠ Usa la cuenta de trading","✓"))))))))))))</f>
        <v/>
      </c>
      <c r="I3660" s="19">
        <f>IF(OR(B3660="",C3660="",D3660=""),"",IFERROR(INDEX(catTipo,MATCH(D3660,catNom,0))&amp;"",""))</f>
        <v/>
      </c>
      <c r="J3660" s="19">
        <f>IF(I3660="","",IFERROR(INDEX(catGrupo,MATCH(D3660,catNom,0))&amp;"",""))</f>
        <v/>
      </c>
      <c r="K3660" s="19">
        <f>IF(I3660="Gasto",IF(IFERROR(INDEX(catClas,MATCH(D3660,catNom,0))&amp;"","")="","Variable",IFERROR(INDEX(catClas,MATCH(D3660,catNom,0))&amp;"","")),"")</f>
        <v/>
      </c>
      <c r="L3660" s="19">
        <f>IF(I3660="","",IFERROR(INDEX(catAlim,MATCH(D3660,catNom,0))&amp;"",""))</f>
        <v/>
      </c>
      <c r="M3660" s="19">
        <f>IF(I3660="","",IFERROR(INDEX(catComida,MATCH(D3660,catNom,0))&amp;"",""))</f>
        <v/>
      </c>
      <c r="N3660" s="19">
        <f>IF(I3660="","",IFERROR(INDEX(ctaMon,MATCH(E3660,ctaNom,0))&amp;"","DOP"))</f>
        <v/>
      </c>
      <c r="O3660" s="20">
        <f>IF(I3660="","",C3660*IF(N3660="USD",TasaUSD,1))</f>
        <v/>
      </c>
      <c r="P3660" s="20">
        <f>IF(I3660="","",IF(I3660="Gasto",O3660,0))</f>
        <v/>
      </c>
      <c r="Q3660" s="20">
        <f>IF(I3660="","",IF(I3660="Ingreso",O3660,0))</f>
        <v/>
      </c>
      <c r="R3660" s="20">
        <f>IF(I3660="","",IF(I3660="Trading",O3660,0))</f>
        <v/>
      </c>
      <c r="S3660" s="19">
        <f>IF(I3660="","",IF(AND(I3660="Gasto",K3660="Variable",J3660&lt;&gt;"Trading",O3660&gt;0,O3660&lt;=Umbral),1,0))</f>
        <v/>
      </c>
      <c r="T3660" s="20">
        <f>IF(OR(I3660="",E3660=""),"",IF(OR(I3660="Gasto",I3660="Transferencia",I3660="Pago tarjeta"),-1,1)*C3660)</f>
        <v/>
      </c>
      <c r="U3660" s="20">
        <f>IF(OR(G3660="",AND(I3660&lt;&gt;"Transferencia",I3660&lt;&gt;"Pago tarjeta")),"",IF(IFERROR(INDEX(ctaMon,MATCH(G3660,ctaNom,0))&amp;"","DOP")=N3660,C3660,IF(N3660="USD",C3660*TasaUSD,C3660/TasaUSD)))</f>
        <v/>
      </c>
      <c r="V3660" s="20">
        <f>IF(I3660="","",IF(IFERROR(INDEX(ctaLiq,MATCH(E3660,ctaNom,0))="Sí",FALSE),IF(OR(I3660="Gasto",I3660="Transferencia",I3660="Pago tarjeta"),-1,1)*O3660,0)+IF(AND(U3660&lt;&gt;"",IFERROR(INDEX(ctaLiq,MATCH(G3660,ctaNom,0))="Sí",FALSE)),O3660,0))</f>
        <v/>
      </c>
      <c r="W3660" s="19">
        <f>IF(OR(F3660="",I3660=""),"",IF(COUNTIFS(F$6:F3660,F3660,I$6:I3660,"?*")=1,MAX(W$5:W3659)+1,""))</f>
        <v/>
      </c>
    </row>
    <row r="3661">
      <c r="B3661" s="15" t="n"/>
      <c r="C3661" s="16" t="n"/>
      <c r="D3661" s="17" t="n"/>
      <c r="E3661" s="17" t="n"/>
      <c r="F3661" s="17" t="n"/>
      <c r="G3661" s="17" t="n"/>
      <c r="H3661" s="18">
        <f>IF(AND(B3661="",C3661="",D3661="",E3661=""),"",IF(B3661="","⚠ Falta fecha",IF(C3661="","⚠ Falta monto",IF(D3661="","⚠ Falta categoría",IF(ISNA(MATCH(D3661,catNom,0)),"⚠ Categoría no existe",IF(E3661="","⚠ Falta cuenta",IF(ISNA(MATCH(E3661,ctaNom,0)),"⚠ Cuenta no existe",IF(AND(OR(I3661="Transferencia",I3661="Pago tarjeta"),G3661=""),"⚠ Indica la cuenta «Hacia»",IF(AND(G3661&lt;&gt;"",G3661=E3661),"⚠ «Hacia» igual a la cuenta",IF(AND(G3661&lt;&gt;"",ISNA(MATCH(G3661,ctaNom,0))),"⚠ «Hacia» no existe",IF(AND(I3661="Pago tarjeta",IFERROR(INDEX(ctaTipo,MATCH(G3661,ctaNom,0)),"")&lt;&gt;"Tarjeta de crédito"),"⚠ «Hacia» debe ser la tarjeta",IF(AND(I3661="Trading",IFERROR(INDEX(ctaTipo,MATCH(E3661,ctaNom,0)),"")&lt;&gt;"Cuenta de trading"),"⚠ Usa la cuenta de trading","✓"))))))))))))</f>
        <v/>
      </c>
      <c r="I3661" s="19">
        <f>IF(OR(B3661="",C3661="",D3661=""),"",IFERROR(INDEX(catTipo,MATCH(D3661,catNom,0))&amp;"",""))</f>
        <v/>
      </c>
      <c r="J3661" s="19">
        <f>IF(I3661="","",IFERROR(INDEX(catGrupo,MATCH(D3661,catNom,0))&amp;"",""))</f>
        <v/>
      </c>
      <c r="K3661" s="19">
        <f>IF(I3661="Gasto",IF(IFERROR(INDEX(catClas,MATCH(D3661,catNom,0))&amp;"","")="","Variable",IFERROR(INDEX(catClas,MATCH(D3661,catNom,0))&amp;"","")),"")</f>
        <v/>
      </c>
      <c r="L3661" s="19">
        <f>IF(I3661="","",IFERROR(INDEX(catAlim,MATCH(D3661,catNom,0))&amp;"",""))</f>
        <v/>
      </c>
      <c r="M3661" s="19">
        <f>IF(I3661="","",IFERROR(INDEX(catComida,MATCH(D3661,catNom,0))&amp;"",""))</f>
        <v/>
      </c>
      <c r="N3661" s="19">
        <f>IF(I3661="","",IFERROR(INDEX(ctaMon,MATCH(E3661,ctaNom,0))&amp;"","DOP"))</f>
        <v/>
      </c>
      <c r="O3661" s="20">
        <f>IF(I3661="","",C3661*IF(N3661="USD",TasaUSD,1))</f>
        <v/>
      </c>
      <c r="P3661" s="20">
        <f>IF(I3661="","",IF(I3661="Gasto",O3661,0))</f>
        <v/>
      </c>
      <c r="Q3661" s="20">
        <f>IF(I3661="","",IF(I3661="Ingreso",O3661,0))</f>
        <v/>
      </c>
      <c r="R3661" s="20">
        <f>IF(I3661="","",IF(I3661="Trading",O3661,0))</f>
        <v/>
      </c>
      <c r="S3661" s="19">
        <f>IF(I3661="","",IF(AND(I3661="Gasto",K3661="Variable",J3661&lt;&gt;"Trading",O3661&gt;0,O3661&lt;=Umbral),1,0))</f>
        <v/>
      </c>
      <c r="T3661" s="20">
        <f>IF(OR(I3661="",E3661=""),"",IF(OR(I3661="Gasto",I3661="Transferencia",I3661="Pago tarjeta"),-1,1)*C3661)</f>
        <v/>
      </c>
      <c r="U3661" s="20">
        <f>IF(OR(G3661="",AND(I3661&lt;&gt;"Transferencia",I3661&lt;&gt;"Pago tarjeta")),"",IF(IFERROR(INDEX(ctaMon,MATCH(G3661,ctaNom,0))&amp;"","DOP")=N3661,C3661,IF(N3661="USD",C3661*TasaUSD,C3661/TasaUSD)))</f>
        <v/>
      </c>
      <c r="V3661" s="20">
        <f>IF(I3661="","",IF(IFERROR(INDEX(ctaLiq,MATCH(E3661,ctaNom,0))="Sí",FALSE),IF(OR(I3661="Gasto",I3661="Transferencia",I3661="Pago tarjeta"),-1,1)*O3661,0)+IF(AND(U3661&lt;&gt;"",IFERROR(INDEX(ctaLiq,MATCH(G3661,ctaNom,0))="Sí",FALSE)),O3661,0))</f>
        <v/>
      </c>
      <c r="W3661" s="19">
        <f>IF(OR(F3661="",I3661=""),"",IF(COUNTIFS(F$6:F3661,F3661,I$6:I3661,"?*")=1,MAX(W$5:W3660)+1,""))</f>
        <v/>
      </c>
    </row>
    <row r="3662">
      <c r="B3662" s="15" t="n"/>
      <c r="C3662" s="16" t="n"/>
      <c r="D3662" s="17" t="n"/>
      <c r="E3662" s="17" t="n"/>
      <c r="F3662" s="17" t="n"/>
      <c r="G3662" s="17" t="n"/>
      <c r="H3662" s="18">
        <f>IF(AND(B3662="",C3662="",D3662="",E3662=""),"",IF(B3662="","⚠ Falta fecha",IF(C3662="","⚠ Falta monto",IF(D3662="","⚠ Falta categoría",IF(ISNA(MATCH(D3662,catNom,0)),"⚠ Categoría no existe",IF(E3662="","⚠ Falta cuenta",IF(ISNA(MATCH(E3662,ctaNom,0)),"⚠ Cuenta no existe",IF(AND(OR(I3662="Transferencia",I3662="Pago tarjeta"),G3662=""),"⚠ Indica la cuenta «Hacia»",IF(AND(G3662&lt;&gt;"",G3662=E3662),"⚠ «Hacia» igual a la cuenta",IF(AND(G3662&lt;&gt;"",ISNA(MATCH(G3662,ctaNom,0))),"⚠ «Hacia» no existe",IF(AND(I3662="Pago tarjeta",IFERROR(INDEX(ctaTipo,MATCH(G3662,ctaNom,0)),"")&lt;&gt;"Tarjeta de crédito"),"⚠ «Hacia» debe ser la tarjeta",IF(AND(I3662="Trading",IFERROR(INDEX(ctaTipo,MATCH(E3662,ctaNom,0)),"")&lt;&gt;"Cuenta de trading"),"⚠ Usa la cuenta de trading","✓"))))))))))))</f>
        <v/>
      </c>
      <c r="I3662" s="19">
        <f>IF(OR(B3662="",C3662="",D3662=""),"",IFERROR(INDEX(catTipo,MATCH(D3662,catNom,0))&amp;"",""))</f>
        <v/>
      </c>
      <c r="J3662" s="19">
        <f>IF(I3662="","",IFERROR(INDEX(catGrupo,MATCH(D3662,catNom,0))&amp;"",""))</f>
        <v/>
      </c>
      <c r="K3662" s="19">
        <f>IF(I3662="Gasto",IF(IFERROR(INDEX(catClas,MATCH(D3662,catNom,0))&amp;"","")="","Variable",IFERROR(INDEX(catClas,MATCH(D3662,catNom,0))&amp;"","")),"")</f>
        <v/>
      </c>
      <c r="L3662" s="19">
        <f>IF(I3662="","",IFERROR(INDEX(catAlim,MATCH(D3662,catNom,0))&amp;"",""))</f>
        <v/>
      </c>
      <c r="M3662" s="19">
        <f>IF(I3662="","",IFERROR(INDEX(catComida,MATCH(D3662,catNom,0))&amp;"",""))</f>
        <v/>
      </c>
      <c r="N3662" s="19">
        <f>IF(I3662="","",IFERROR(INDEX(ctaMon,MATCH(E3662,ctaNom,0))&amp;"","DOP"))</f>
        <v/>
      </c>
      <c r="O3662" s="20">
        <f>IF(I3662="","",C3662*IF(N3662="USD",TasaUSD,1))</f>
        <v/>
      </c>
      <c r="P3662" s="20">
        <f>IF(I3662="","",IF(I3662="Gasto",O3662,0))</f>
        <v/>
      </c>
      <c r="Q3662" s="20">
        <f>IF(I3662="","",IF(I3662="Ingreso",O3662,0))</f>
        <v/>
      </c>
      <c r="R3662" s="20">
        <f>IF(I3662="","",IF(I3662="Trading",O3662,0))</f>
        <v/>
      </c>
      <c r="S3662" s="19">
        <f>IF(I3662="","",IF(AND(I3662="Gasto",K3662="Variable",J3662&lt;&gt;"Trading",O3662&gt;0,O3662&lt;=Umbral),1,0))</f>
        <v/>
      </c>
      <c r="T3662" s="20">
        <f>IF(OR(I3662="",E3662=""),"",IF(OR(I3662="Gasto",I3662="Transferencia",I3662="Pago tarjeta"),-1,1)*C3662)</f>
        <v/>
      </c>
      <c r="U3662" s="20">
        <f>IF(OR(G3662="",AND(I3662&lt;&gt;"Transferencia",I3662&lt;&gt;"Pago tarjeta")),"",IF(IFERROR(INDEX(ctaMon,MATCH(G3662,ctaNom,0))&amp;"","DOP")=N3662,C3662,IF(N3662="USD",C3662*TasaUSD,C3662/TasaUSD)))</f>
        <v/>
      </c>
      <c r="V3662" s="20">
        <f>IF(I3662="","",IF(IFERROR(INDEX(ctaLiq,MATCH(E3662,ctaNom,0))="Sí",FALSE),IF(OR(I3662="Gasto",I3662="Transferencia",I3662="Pago tarjeta"),-1,1)*O3662,0)+IF(AND(U3662&lt;&gt;"",IFERROR(INDEX(ctaLiq,MATCH(G3662,ctaNom,0))="Sí",FALSE)),O3662,0))</f>
        <v/>
      </c>
      <c r="W3662" s="19">
        <f>IF(OR(F3662="",I3662=""),"",IF(COUNTIFS(F$6:F3662,F3662,I$6:I3662,"?*")=1,MAX(W$5:W3661)+1,""))</f>
        <v/>
      </c>
    </row>
    <row r="3663">
      <c r="B3663" s="15" t="n"/>
      <c r="C3663" s="16" t="n"/>
      <c r="D3663" s="17" t="n"/>
      <c r="E3663" s="17" t="n"/>
      <c r="F3663" s="17" t="n"/>
      <c r="G3663" s="17" t="n"/>
      <c r="H3663" s="18">
        <f>IF(AND(B3663="",C3663="",D3663="",E3663=""),"",IF(B3663="","⚠ Falta fecha",IF(C3663="","⚠ Falta monto",IF(D3663="","⚠ Falta categoría",IF(ISNA(MATCH(D3663,catNom,0)),"⚠ Categoría no existe",IF(E3663="","⚠ Falta cuenta",IF(ISNA(MATCH(E3663,ctaNom,0)),"⚠ Cuenta no existe",IF(AND(OR(I3663="Transferencia",I3663="Pago tarjeta"),G3663=""),"⚠ Indica la cuenta «Hacia»",IF(AND(G3663&lt;&gt;"",G3663=E3663),"⚠ «Hacia» igual a la cuenta",IF(AND(G3663&lt;&gt;"",ISNA(MATCH(G3663,ctaNom,0))),"⚠ «Hacia» no existe",IF(AND(I3663="Pago tarjeta",IFERROR(INDEX(ctaTipo,MATCH(G3663,ctaNom,0)),"")&lt;&gt;"Tarjeta de crédito"),"⚠ «Hacia» debe ser la tarjeta",IF(AND(I3663="Trading",IFERROR(INDEX(ctaTipo,MATCH(E3663,ctaNom,0)),"")&lt;&gt;"Cuenta de trading"),"⚠ Usa la cuenta de trading","✓"))))))))))))</f>
        <v/>
      </c>
      <c r="I3663" s="19">
        <f>IF(OR(B3663="",C3663="",D3663=""),"",IFERROR(INDEX(catTipo,MATCH(D3663,catNom,0))&amp;"",""))</f>
        <v/>
      </c>
      <c r="J3663" s="19">
        <f>IF(I3663="","",IFERROR(INDEX(catGrupo,MATCH(D3663,catNom,0))&amp;"",""))</f>
        <v/>
      </c>
      <c r="K3663" s="19">
        <f>IF(I3663="Gasto",IF(IFERROR(INDEX(catClas,MATCH(D3663,catNom,0))&amp;"","")="","Variable",IFERROR(INDEX(catClas,MATCH(D3663,catNom,0))&amp;"","")),"")</f>
        <v/>
      </c>
      <c r="L3663" s="19">
        <f>IF(I3663="","",IFERROR(INDEX(catAlim,MATCH(D3663,catNom,0))&amp;"",""))</f>
        <v/>
      </c>
      <c r="M3663" s="19">
        <f>IF(I3663="","",IFERROR(INDEX(catComida,MATCH(D3663,catNom,0))&amp;"",""))</f>
        <v/>
      </c>
      <c r="N3663" s="19">
        <f>IF(I3663="","",IFERROR(INDEX(ctaMon,MATCH(E3663,ctaNom,0))&amp;"","DOP"))</f>
        <v/>
      </c>
      <c r="O3663" s="20">
        <f>IF(I3663="","",C3663*IF(N3663="USD",TasaUSD,1))</f>
        <v/>
      </c>
      <c r="P3663" s="20">
        <f>IF(I3663="","",IF(I3663="Gasto",O3663,0))</f>
        <v/>
      </c>
      <c r="Q3663" s="20">
        <f>IF(I3663="","",IF(I3663="Ingreso",O3663,0))</f>
        <v/>
      </c>
      <c r="R3663" s="20">
        <f>IF(I3663="","",IF(I3663="Trading",O3663,0))</f>
        <v/>
      </c>
      <c r="S3663" s="19">
        <f>IF(I3663="","",IF(AND(I3663="Gasto",K3663="Variable",J3663&lt;&gt;"Trading",O3663&gt;0,O3663&lt;=Umbral),1,0))</f>
        <v/>
      </c>
      <c r="T3663" s="20">
        <f>IF(OR(I3663="",E3663=""),"",IF(OR(I3663="Gasto",I3663="Transferencia",I3663="Pago tarjeta"),-1,1)*C3663)</f>
        <v/>
      </c>
      <c r="U3663" s="20">
        <f>IF(OR(G3663="",AND(I3663&lt;&gt;"Transferencia",I3663&lt;&gt;"Pago tarjeta")),"",IF(IFERROR(INDEX(ctaMon,MATCH(G3663,ctaNom,0))&amp;"","DOP")=N3663,C3663,IF(N3663="USD",C3663*TasaUSD,C3663/TasaUSD)))</f>
        <v/>
      </c>
      <c r="V3663" s="20">
        <f>IF(I3663="","",IF(IFERROR(INDEX(ctaLiq,MATCH(E3663,ctaNom,0))="Sí",FALSE),IF(OR(I3663="Gasto",I3663="Transferencia",I3663="Pago tarjeta"),-1,1)*O3663,0)+IF(AND(U3663&lt;&gt;"",IFERROR(INDEX(ctaLiq,MATCH(G3663,ctaNom,0))="Sí",FALSE)),O3663,0))</f>
        <v/>
      </c>
      <c r="W3663" s="19">
        <f>IF(OR(F3663="",I3663=""),"",IF(COUNTIFS(F$6:F3663,F3663,I$6:I3663,"?*")=1,MAX(W$5:W3662)+1,""))</f>
        <v/>
      </c>
    </row>
    <row r="3664">
      <c r="B3664" s="15" t="n"/>
      <c r="C3664" s="16" t="n"/>
      <c r="D3664" s="17" t="n"/>
      <c r="E3664" s="17" t="n"/>
      <c r="F3664" s="17" t="n"/>
      <c r="G3664" s="17" t="n"/>
      <c r="H3664" s="18">
        <f>IF(AND(B3664="",C3664="",D3664="",E3664=""),"",IF(B3664="","⚠ Falta fecha",IF(C3664="","⚠ Falta monto",IF(D3664="","⚠ Falta categoría",IF(ISNA(MATCH(D3664,catNom,0)),"⚠ Categoría no existe",IF(E3664="","⚠ Falta cuenta",IF(ISNA(MATCH(E3664,ctaNom,0)),"⚠ Cuenta no existe",IF(AND(OR(I3664="Transferencia",I3664="Pago tarjeta"),G3664=""),"⚠ Indica la cuenta «Hacia»",IF(AND(G3664&lt;&gt;"",G3664=E3664),"⚠ «Hacia» igual a la cuenta",IF(AND(G3664&lt;&gt;"",ISNA(MATCH(G3664,ctaNom,0))),"⚠ «Hacia» no existe",IF(AND(I3664="Pago tarjeta",IFERROR(INDEX(ctaTipo,MATCH(G3664,ctaNom,0)),"")&lt;&gt;"Tarjeta de crédito"),"⚠ «Hacia» debe ser la tarjeta",IF(AND(I3664="Trading",IFERROR(INDEX(ctaTipo,MATCH(E3664,ctaNom,0)),"")&lt;&gt;"Cuenta de trading"),"⚠ Usa la cuenta de trading","✓"))))))))))))</f>
        <v/>
      </c>
      <c r="I3664" s="19">
        <f>IF(OR(B3664="",C3664="",D3664=""),"",IFERROR(INDEX(catTipo,MATCH(D3664,catNom,0))&amp;"",""))</f>
        <v/>
      </c>
      <c r="J3664" s="19">
        <f>IF(I3664="","",IFERROR(INDEX(catGrupo,MATCH(D3664,catNom,0))&amp;"",""))</f>
        <v/>
      </c>
      <c r="K3664" s="19">
        <f>IF(I3664="Gasto",IF(IFERROR(INDEX(catClas,MATCH(D3664,catNom,0))&amp;"","")="","Variable",IFERROR(INDEX(catClas,MATCH(D3664,catNom,0))&amp;"","")),"")</f>
        <v/>
      </c>
      <c r="L3664" s="19">
        <f>IF(I3664="","",IFERROR(INDEX(catAlim,MATCH(D3664,catNom,0))&amp;"",""))</f>
        <v/>
      </c>
      <c r="M3664" s="19">
        <f>IF(I3664="","",IFERROR(INDEX(catComida,MATCH(D3664,catNom,0))&amp;"",""))</f>
        <v/>
      </c>
      <c r="N3664" s="19">
        <f>IF(I3664="","",IFERROR(INDEX(ctaMon,MATCH(E3664,ctaNom,0))&amp;"","DOP"))</f>
        <v/>
      </c>
      <c r="O3664" s="20">
        <f>IF(I3664="","",C3664*IF(N3664="USD",TasaUSD,1))</f>
        <v/>
      </c>
      <c r="P3664" s="20">
        <f>IF(I3664="","",IF(I3664="Gasto",O3664,0))</f>
        <v/>
      </c>
      <c r="Q3664" s="20">
        <f>IF(I3664="","",IF(I3664="Ingreso",O3664,0))</f>
        <v/>
      </c>
      <c r="R3664" s="20">
        <f>IF(I3664="","",IF(I3664="Trading",O3664,0))</f>
        <v/>
      </c>
      <c r="S3664" s="19">
        <f>IF(I3664="","",IF(AND(I3664="Gasto",K3664="Variable",J3664&lt;&gt;"Trading",O3664&gt;0,O3664&lt;=Umbral),1,0))</f>
        <v/>
      </c>
      <c r="T3664" s="20">
        <f>IF(OR(I3664="",E3664=""),"",IF(OR(I3664="Gasto",I3664="Transferencia",I3664="Pago tarjeta"),-1,1)*C3664)</f>
        <v/>
      </c>
      <c r="U3664" s="20">
        <f>IF(OR(G3664="",AND(I3664&lt;&gt;"Transferencia",I3664&lt;&gt;"Pago tarjeta")),"",IF(IFERROR(INDEX(ctaMon,MATCH(G3664,ctaNom,0))&amp;"","DOP")=N3664,C3664,IF(N3664="USD",C3664*TasaUSD,C3664/TasaUSD)))</f>
        <v/>
      </c>
      <c r="V3664" s="20">
        <f>IF(I3664="","",IF(IFERROR(INDEX(ctaLiq,MATCH(E3664,ctaNom,0))="Sí",FALSE),IF(OR(I3664="Gasto",I3664="Transferencia",I3664="Pago tarjeta"),-1,1)*O3664,0)+IF(AND(U3664&lt;&gt;"",IFERROR(INDEX(ctaLiq,MATCH(G3664,ctaNom,0))="Sí",FALSE)),O3664,0))</f>
        <v/>
      </c>
      <c r="W3664" s="19">
        <f>IF(OR(F3664="",I3664=""),"",IF(COUNTIFS(F$6:F3664,F3664,I$6:I3664,"?*")=1,MAX(W$5:W3663)+1,""))</f>
        <v/>
      </c>
    </row>
    <row r="3665">
      <c r="B3665" s="15" t="n"/>
      <c r="C3665" s="16" t="n"/>
      <c r="D3665" s="17" t="n"/>
      <c r="E3665" s="17" t="n"/>
      <c r="F3665" s="17" t="n"/>
      <c r="G3665" s="17" t="n"/>
      <c r="H3665" s="18">
        <f>IF(AND(B3665="",C3665="",D3665="",E3665=""),"",IF(B3665="","⚠ Falta fecha",IF(C3665="","⚠ Falta monto",IF(D3665="","⚠ Falta categoría",IF(ISNA(MATCH(D3665,catNom,0)),"⚠ Categoría no existe",IF(E3665="","⚠ Falta cuenta",IF(ISNA(MATCH(E3665,ctaNom,0)),"⚠ Cuenta no existe",IF(AND(OR(I3665="Transferencia",I3665="Pago tarjeta"),G3665=""),"⚠ Indica la cuenta «Hacia»",IF(AND(G3665&lt;&gt;"",G3665=E3665),"⚠ «Hacia» igual a la cuenta",IF(AND(G3665&lt;&gt;"",ISNA(MATCH(G3665,ctaNom,0))),"⚠ «Hacia» no existe",IF(AND(I3665="Pago tarjeta",IFERROR(INDEX(ctaTipo,MATCH(G3665,ctaNom,0)),"")&lt;&gt;"Tarjeta de crédito"),"⚠ «Hacia» debe ser la tarjeta",IF(AND(I3665="Trading",IFERROR(INDEX(ctaTipo,MATCH(E3665,ctaNom,0)),"")&lt;&gt;"Cuenta de trading"),"⚠ Usa la cuenta de trading","✓"))))))))))))</f>
        <v/>
      </c>
      <c r="I3665" s="19">
        <f>IF(OR(B3665="",C3665="",D3665=""),"",IFERROR(INDEX(catTipo,MATCH(D3665,catNom,0))&amp;"",""))</f>
        <v/>
      </c>
      <c r="J3665" s="19">
        <f>IF(I3665="","",IFERROR(INDEX(catGrupo,MATCH(D3665,catNom,0))&amp;"",""))</f>
        <v/>
      </c>
      <c r="K3665" s="19">
        <f>IF(I3665="Gasto",IF(IFERROR(INDEX(catClas,MATCH(D3665,catNom,0))&amp;"","")="","Variable",IFERROR(INDEX(catClas,MATCH(D3665,catNom,0))&amp;"","")),"")</f>
        <v/>
      </c>
      <c r="L3665" s="19">
        <f>IF(I3665="","",IFERROR(INDEX(catAlim,MATCH(D3665,catNom,0))&amp;"",""))</f>
        <v/>
      </c>
      <c r="M3665" s="19">
        <f>IF(I3665="","",IFERROR(INDEX(catComida,MATCH(D3665,catNom,0))&amp;"",""))</f>
        <v/>
      </c>
      <c r="N3665" s="19">
        <f>IF(I3665="","",IFERROR(INDEX(ctaMon,MATCH(E3665,ctaNom,0))&amp;"","DOP"))</f>
        <v/>
      </c>
      <c r="O3665" s="20">
        <f>IF(I3665="","",C3665*IF(N3665="USD",TasaUSD,1))</f>
        <v/>
      </c>
      <c r="P3665" s="20">
        <f>IF(I3665="","",IF(I3665="Gasto",O3665,0))</f>
        <v/>
      </c>
      <c r="Q3665" s="20">
        <f>IF(I3665="","",IF(I3665="Ingreso",O3665,0))</f>
        <v/>
      </c>
      <c r="R3665" s="20">
        <f>IF(I3665="","",IF(I3665="Trading",O3665,0))</f>
        <v/>
      </c>
      <c r="S3665" s="19">
        <f>IF(I3665="","",IF(AND(I3665="Gasto",K3665="Variable",J3665&lt;&gt;"Trading",O3665&gt;0,O3665&lt;=Umbral),1,0))</f>
        <v/>
      </c>
      <c r="T3665" s="20">
        <f>IF(OR(I3665="",E3665=""),"",IF(OR(I3665="Gasto",I3665="Transferencia",I3665="Pago tarjeta"),-1,1)*C3665)</f>
        <v/>
      </c>
      <c r="U3665" s="20">
        <f>IF(OR(G3665="",AND(I3665&lt;&gt;"Transferencia",I3665&lt;&gt;"Pago tarjeta")),"",IF(IFERROR(INDEX(ctaMon,MATCH(G3665,ctaNom,0))&amp;"","DOP")=N3665,C3665,IF(N3665="USD",C3665*TasaUSD,C3665/TasaUSD)))</f>
        <v/>
      </c>
      <c r="V3665" s="20">
        <f>IF(I3665="","",IF(IFERROR(INDEX(ctaLiq,MATCH(E3665,ctaNom,0))="Sí",FALSE),IF(OR(I3665="Gasto",I3665="Transferencia",I3665="Pago tarjeta"),-1,1)*O3665,0)+IF(AND(U3665&lt;&gt;"",IFERROR(INDEX(ctaLiq,MATCH(G3665,ctaNom,0))="Sí",FALSE)),O3665,0))</f>
        <v/>
      </c>
      <c r="W3665" s="19">
        <f>IF(OR(F3665="",I3665=""),"",IF(COUNTIFS(F$6:F3665,F3665,I$6:I3665,"?*")=1,MAX(W$5:W3664)+1,""))</f>
        <v/>
      </c>
    </row>
    <row r="3666">
      <c r="B3666" s="15" t="n"/>
      <c r="C3666" s="16" t="n"/>
      <c r="D3666" s="17" t="n"/>
      <c r="E3666" s="17" t="n"/>
      <c r="F3666" s="17" t="n"/>
      <c r="G3666" s="17" t="n"/>
      <c r="H3666" s="18">
        <f>IF(AND(B3666="",C3666="",D3666="",E3666=""),"",IF(B3666="","⚠ Falta fecha",IF(C3666="","⚠ Falta monto",IF(D3666="","⚠ Falta categoría",IF(ISNA(MATCH(D3666,catNom,0)),"⚠ Categoría no existe",IF(E3666="","⚠ Falta cuenta",IF(ISNA(MATCH(E3666,ctaNom,0)),"⚠ Cuenta no existe",IF(AND(OR(I3666="Transferencia",I3666="Pago tarjeta"),G3666=""),"⚠ Indica la cuenta «Hacia»",IF(AND(G3666&lt;&gt;"",G3666=E3666),"⚠ «Hacia» igual a la cuenta",IF(AND(G3666&lt;&gt;"",ISNA(MATCH(G3666,ctaNom,0))),"⚠ «Hacia» no existe",IF(AND(I3666="Pago tarjeta",IFERROR(INDEX(ctaTipo,MATCH(G3666,ctaNom,0)),"")&lt;&gt;"Tarjeta de crédito"),"⚠ «Hacia» debe ser la tarjeta",IF(AND(I3666="Trading",IFERROR(INDEX(ctaTipo,MATCH(E3666,ctaNom,0)),"")&lt;&gt;"Cuenta de trading"),"⚠ Usa la cuenta de trading","✓"))))))))))))</f>
        <v/>
      </c>
      <c r="I3666" s="19">
        <f>IF(OR(B3666="",C3666="",D3666=""),"",IFERROR(INDEX(catTipo,MATCH(D3666,catNom,0))&amp;"",""))</f>
        <v/>
      </c>
      <c r="J3666" s="19">
        <f>IF(I3666="","",IFERROR(INDEX(catGrupo,MATCH(D3666,catNom,0))&amp;"",""))</f>
        <v/>
      </c>
      <c r="K3666" s="19">
        <f>IF(I3666="Gasto",IF(IFERROR(INDEX(catClas,MATCH(D3666,catNom,0))&amp;"","")="","Variable",IFERROR(INDEX(catClas,MATCH(D3666,catNom,0))&amp;"","")),"")</f>
        <v/>
      </c>
      <c r="L3666" s="19">
        <f>IF(I3666="","",IFERROR(INDEX(catAlim,MATCH(D3666,catNom,0))&amp;"",""))</f>
        <v/>
      </c>
      <c r="M3666" s="19">
        <f>IF(I3666="","",IFERROR(INDEX(catComida,MATCH(D3666,catNom,0))&amp;"",""))</f>
        <v/>
      </c>
      <c r="N3666" s="19">
        <f>IF(I3666="","",IFERROR(INDEX(ctaMon,MATCH(E3666,ctaNom,0))&amp;"","DOP"))</f>
        <v/>
      </c>
      <c r="O3666" s="20">
        <f>IF(I3666="","",C3666*IF(N3666="USD",TasaUSD,1))</f>
        <v/>
      </c>
      <c r="P3666" s="20">
        <f>IF(I3666="","",IF(I3666="Gasto",O3666,0))</f>
        <v/>
      </c>
      <c r="Q3666" s="20">
        <f>IF(I3666="","",IF(I3666="Ingreso",O3666,0))</f>
        <v/>
      </c>
      <c r="R3666" s="20">
        <f>IF(I3666="","",IF(I3666="Trading",O3666,0))</f>
        <v/>
      </c>
      <c r="S3666" s="19">
        <f>IF(I3666="","",IF(AND(I3666="Gasto",K3666="Variable",J3666&lt;&gt;"Trading",O3666&gt;0,O3666&lt;=Umbral),1,0))</f>
        <v/>
      </c>
      <c r="T3666" s="20">
        <f>IF(OR(I3666="",E3666=""),"",IF(OR(I3666="Gasto",I3666="Transferencia",I3666="Pago tarjeta"),-1,1)*C3666)</f>
        <v/>
      </c>
      <c r="U3666" s="20">
        <f>IF(OR(G3666="",AND(I3666&lt;&gt;"Transferencia",I3666&lt;&gt;"Pago tarjeta")),"",IF(IFERROR(INDEX(ctaMon,MATCH(G3666,ctaNom,0))&amp;"","DOP")=N3666,C3666,IF(N3666="USD",C3666*TasaUSD,C3666/TasaUSD)))</f>
        <v/>
      </c>
      <c r="V3666" s="20">
        <f>IF(I3666="","",IF(IFERROR(INDEX(ctaLiq,MATCH(E3666,ctaNom,0))="Sí",FALSE),IF(OR(I3666="Gasto",I3666="Transferencia",I3666="Pago tarjeta"),-1,1)*O3666,0)+IF(AND(U3666&lt;&gt;"",IFERROR(INDEX(ctaLiq,MATCH(G3666,ctaNom,0))="Sí",FALSE)),O3666,0))</f>
        <v/>
      </c>
      <c r="W3666" s="19">
        <f>IF(OR(F3666="",I3666=""),"",IF(COUNTIFS(F$6:F3666,F3666,I$6:I3666,"?*")=1,MAX(W$5:W3665)+1,""))</f>
        <v/>
      </c>
    </row>
    <row r="3667">
      <c r="B3667" s="15" t="n"/>
      <c r="C3667" s="16" t="n"/>
      <c r="D3667" s="17" t="n"/>
      <c r="E3667" s="17" t="n"/>
      <c r="F3667" s="17" t="n"/>
      <c r="G3667" s="17" t="n"/>
      <c r="H3667" s="18">
        <f>IF(AND(B3667="",C3667="",D3667="",E3667=""),"",IF(B3667="","⚠ Falta fecha",IF(C3667="","⚠ Falta monto",IF(D3667="","⚠ Falta categoría",IF(ISNA(MATCH(D3667,catNom,0)),"⚠ Categoría no existe",IF(E3667="","⚠ Falta cuenta",IF(ISNA(MATCH(E3667,ctaNom,0)),"⚠ Cuenta no existe",IF(AND(OR(I3667="Transferencia",I3667="Pago tarjeta"),G3667=""),"⚠ Indica la cuenta «Hacia»",IF(AND(G3667&lt;&gt;"",G3667=E3667),"⚠ «Hacia» igual a la cuenta",IF(AND(G3667&lt;&gt;"",ISNA(MATCH(G3667,ctaNom,0))),"⚠ «Hacia» no existe",IF(AND(I3667="Pago tarjeta",IFERROR(INDEX(ctaTipo,MATCH(G3667,ctaNom,0)),"")&lt;&gt;"Tarjeta de crédito"),"⚠ «Hacia» debe ser la tarjeta",IF(AND(I3667="Trading",IFERROR(INDEX(ctaTipo,MATCH(E3667,ctaNom,0)),"")&lt;&gt;"Cuenta de trading"),"⚠ Usa la cuenta de trading","✓"))))))))))))</f>
        <v/>
      </c>
      <c r="I3667" s="19">
        <f>IF(OR(B3667="",C3667="",D3667=""),"",IFERROR(INDEX(catTipo,MATCH(D3667,catNom,0))&amp;"",""))</f>
        <v/>
      </c>
      <c r="J3667" s="19">
        <f>IF(I3667="","",IFERROR(INDEX(catGrupo,MATCH(D3667,catNom,0))&amp;"",""))</f>
        <v/>
      </c>
      <c r="K3667" s="19">
        <f>IF(I3667="Gasto",IF(IFERROR(INDEX(catClas,MATCH(D3667,catNom,0))&amp;"","")="","Variable",IFERROR(INDEX(catClas,MATCH(D3667,catNom,0))&amp;"","")),"")</f>
        <v/>
      </c>
      <c r="L3667" s="19">
        <f>IF(I3667="","",IFERROR(INDEX(catAlim,MATCH(D3667,catNom,0))&amp;"",""))</f>
        <v/>
      </c>
      <c r="M3667" s="19">
        <f>IF(I3667="","",IFERROR(INDEX(catComida,MATCH(D3667,catNom,0))&amp;"",""))</f>
        <v/>
      </c>
      <c r="N3667" s="19">
        <f>IF(I3667="","",IFERROR(INDEX(ctaMon,MATCH(E3667,ctaNom,0))&amp;"","DOP"))</f>
        <v/>
      </c>
      <c r="O3667" s="20">
        <f>IF(I3667="","",C3667*IF(N3667="USD",TasaUSD,1))</f>
        <v/>
      </c>
      <c r="P3667" s="20">
        <f>IF(I3667="","",IF(I3667="Gasto",O3667,0))</f>
        <v/>
      </c>
      <c r="Q3667" s="20">
        <f>IF(I3667="","",IF(I3667="Ingreso",O3667,0))</f>
        <v/>
      </c>
      <c r="R3667" s="20">
        <f>IF(I3667="","",IF(I3667="Trading",O3667,0))</f>
        <v/>
      </c>
      <c r="S3667" s="19">
        <f>IF(I3667="","",IF(AND(I3667="Gasto",K3667="Variable",J3667&lt;&gt;"Trading",O3667&gt;0,O3667&lt;=Umbral),1,0))</f>
        <v/>
      </c>
      <c r="T3667" s="20">
        <f>IF(OR(I3667="",E3667=""),"",IF(OR(I3667="Gasto",I3667="Transferencia",I3667="Pago tarjeta"),-1,1)*C3667)</f>
        <v/>
      </c>
      <c r="U3667" s="20">
        <f>IF(OR(G3667="",AND(I3667&lt;&gt;"Transferencia",I3667&lt;&gt;"Pago tarjeta")),"",IF(IFERROR(INDEX(ctaMon,MATCH(G3667,ctaNom,0))&amp;"","DOP")=N3667,C3667,IF(N3667="USD",C3667*TasaUSD,C3667/TasaUSD)))</f>
        <v/>
      </c>
      <c r="V3667" s="20">
        <f>IF(I3667="","",IF(IFERROR(INDEX(ctaLiq,MATCH(E3667,ctaNom,0))="Sí",FALSE),IF(OR(I3667="Gasto",I3667="Transferencia",I3667="Pago tarjeta"),-1,1)*O3667,0)+IF(AND(U3667&lt;&gt;"",IFERROR(INDEX(ctaLiq,MATCH(G3667,ctaNom,0))="Sí",FALSE)),O3667,0))</f>
        <v/>
      </c>
      <c r="W3667" s="19">
        <f>IF(OR(F3667="",I3667=""),"",IF(COUNTIFS(F$6:F3667,F3667,I$6:I3667,"?*")=1,MAX(W$5:W3666)+1,""))</f>
        <v/>
      </c>
    </row>
    <row r="3668">
      <c r="B3668" s="15" t="n"/>
      <c r="C3668" s="16" t="n"/>
      <c r="D3668" s="17" t="n"/>
      <c r="E3668" s="17" t="n"/>
      <c r="F3668" s="17" t="n"/>
      <c r="G3668" s="17" t="n"/>
      <c r="H3668" s="18">
        <f>IF(AND(B3668="",C3668="",D3668="",E3668=""),"",IF(B3668="","⚠ Falta fecha",IF(C3668="","⚠ Falta monto",IF(D3668="","⚠ Falta categoría",IF(ISNA(MATCH(D3668,catNom,0)),"⚠ Categoría no existe",IF(E3668="","⚠ Falta cuenta",IF(ISNA(MATCH(E3668,ctaNom,0)),"⚠ Cuenta no existe",IF(AND(OR(I3668="Transferencia",I3668="Pago tarjeta"),G3668=""),"⚠ Indica la cuenta «Hacia»",IF(AND(G3668&lt;&gt;"",G3668=E3668),"⚠ «Hacia» igual a la cuenta",IF(AND(G3668&lt;&gt;"",ISNA(MATCH(G3668,ctaNom,0))),"⚠ «Hacia» no existe",IF(AND(I3668="Pago tarjeta",IFERROR(INDEX(ctaTipo,MATCH(G3668,ctaNom,0)),"")&lt;&gt;"Tarjeta de crédito"),"⚠ «Hacia» debe ser la tarjeta",IF(AND(I3668="Trading",IFERROR(INDEX(ctaTipo,MATCH(E3668,ctaNom,0)),"")&lt;&gt;"Cuenta de trading"),"⚠ Usa la cuenta de trading","✓"))))))))))))</f>
        <v/>
      </c>
      <c r="I3668" s="19">
        <f>IF(OR(B3668="",C3668="",D3668=""),"",IFERROR(INDEX(catTipo,MATCH(D3668,catNom,0))&amp;"",""))</f>
        <v/>
      </c>
      <c r="J3668" s="19">
        <f>IF(I3668="","",IFERROR(INDEX(catGrupo,MATCH(D3668,catNom,0))&amp;"",""))</f>
        <v/>
      </c>
      <c r="K3668" s="19">
        <f>IF(I3668="Gasto",IF(IFERROR(INDEX(catClas,MATCH(D3668,catNom,0))&amp;"","")="","Variable",IFERROR(INDEX(catClas,MATCH(D3668,catNom,0))&amp;"","")),"")</f>
        <v/>
      </c>
      <c r="L3668" s="19">
        <f>IF(I3668="","",IFERROR(INDEX(catAlim,MATCH(D3668,catNom,0))&amp;"",""))</f>
        <v/>
      </c>
      <c r="M3668" s="19">
        <f>IF(I3668="","",IFERROR(INDEX(catComida,MATCH(D3668,catNom,0))&amp;"",""))</f>
        <v/>
      </c>
      <c r="N3668" s="19">
        <f>IF(I3668="","",IFERROR(INDEX(ctaMon,MATCH(E3668,ctaNom,0))&amp;"","DOP"))</f>
        <v/>
      </c>
      <c r="O3668" s="20">
        <f>IF(I3668="","",C3668*IF(N3668="USD",TasaUSD,1))</f>
        <v/>
      </c>
      <c r="P3668" s="20">
        <f>IF(I3668="","",IF(I3668="Gasto",O3668,0))</f>
        <v/>
      </c>
      <c r="Q3668" s="20">
        <f>IF(I3668="","",IF(I3668="Ingreso",O3668,0))</f>
        <v/>
      </c>
      <c r="R3668" s="20">
        <f>IF(I3668="","",IF(I3668="Trading",O3668,0))</f>
        <v/>
      </c>
      <c r="S3668" s="19">
        <f>IF(I3668="","",IF(AND(I3668="Gasto",K3668="Variable",J3668&lt;&gt;"Trading",O3668&gt;0,O3668&lt;=Umbral),1,0))</f>
        <v/>
      </c>
      <c r="T3668" s="20">
        <f>IF(OR(I3668="",E3668=""),"",IF(OR(I3668="Gasto",I3668="Transferencia",I3668="Pago tarjeta"),-1,1)*C3668)</f>
        <v/>
      </c>
      <c r="U3668" s="20">
        <f>IF(OR(G3668="",AND(I3668&lt;&gt;"Transferencia",I3668&lt;&gt;"Pago tarjeta")),"",IF(IFERROR(INDEX(ctaMon,MATCH(G3668,ctaNom,0))&amp;"","DOP")=N3668,C3668,IF(N3668="USD",C3668*TasaUSD,C3668/TasaUSD)))</f>
        <v/>
      </c>
      <c r="V3668" s="20">
        <f>IF(I3668="","",IF(IFERROR(INDEX(ctaLiq,MATCH(E3668,ctaNom,0))="Sí",FALSE),IF(OR(I3668="Gasto",I3668="Transferencia",I3668="Pago tarjeta"),-1,1)*O3668,0)+IF(AND(U3668&lt;&gt;"",IFERROR(INDEX(ctaLiq,MATCH(G3668,ctaNom,0))="Sí",FALSE)),O3668,0))</f>
        <v/>
      </c>
      <c r="W3668" s="19">
        <f>IF(OR(F3668="",I3668=""),"",IF(COUNTIFS(F$6:F3668,F3668,I$6:I3668,"?*")=1,MAX(W$5:W3667)+1,""))</f>
        <v/>
      </c>
    </row>
    <row r="3669">
      <c r="B3669" s="15" t="n"/>
      <c r="C3669" s="16" t="n"/>
      <c r="D3669" s="17" t="n"/>
      <c r="E3669" s="17" t="n"/>
      <c r="F3669" s="17" t="n"/>
      <c r="G3669" s="17" t="n"/>
      <c r="H3669" s="18">
        <f>IF(AND(B3669="",C3669="",D3669="",E3669=""),"",IF(B3669="","⚠ Falta fecha",IF(C3669="","⚠ Falta monto",IF(D3669="","⚠ Falta categoría",IF(ISNA(MATCH(D3669,catNom,0)),"⚠ Categoría no existe",IF(E3669="","⚠ Falta cuenta",IF(ISNA(MATCH(E3669,ctaNom,0)),"⚠ Cuenta no existe",IF(AND(OR(I3669="Transferencia",I3669="Pago tarjeta"),G3669=""),"⚠ Indica la cuenta «Hacia»",IF(AND(G3669&lt;&gt;"",G3669=E3669),"⚠ «Hacia» igual a la cuenta",IF(AND(G3669&lt;&gt;"",ISNA(MATCH(G3669,ctaNom,0))),"⚠ «Hacia» no existe",IF(AND(I3669="Pago tarjeta",IFERROR(INDEX(ctaTipo,MATCH(G3669,ctaNom,0)),"")&lt;&gt;"Tarjeta de crédito"),"⚠ «Hacia» debe ser la tarjeta",IF(AND(I3669="Trading",IFERROR(INDEX(ctaTipo,MATCH(E3669,ctaNom,0)),"")&lt;&gt;"Cuenta de trading"),"⚠ Usa la cuenta de trading","✓"))))))))))))</f>
        <v/>
      </c>
      <c r="I3669" s="19">
        <f>IF(OR(B3669="",C3669="",D3669=""),"",IFERROR(INDEX(catTipo,MATCH(D3669,catNom,0))&amp;"",""))</f>
        <v/>
      </c>
      <c r="J3669" s="19">
        <f>IF(I3669="","",IFERROR(INDEX(catGrupo,MATCH(D3669,catNom,0))&amp;"",""))</f>
        <v/>
      </c>
      <c r="K3669" s="19">
        <f>IF(I3669="Gasto",IF(IFERROR(INDEX(catClas,MATCH(D3669,catNom,0))&amp;"","")="","Variable",IFERROR(INDEX(catClas,MATCH(D3669,catNom,0))&amp;"","")),"")</f>
        <v/>
      </c>
      <c r="L3669" s="19">
        <f>IF(I3669="","",IFERROR(INDEX(catAlim,MATCH(D3669,catNom,0))&amp;"",""))</f>
        <v/>
      </c>
      <c r="M3669" s="19">
        <f>IF(I3669="","",IFERROR(INDEX(catComida,MATCH(D3669,catNom,0))&amp;"",""))</f>
        <v/>
      </c>
      <c r="N3669" s="19">
        <f>IF(I3669="","",IFERROR(INDEX(ctaMon,MATCH(E3669,ctaNom,0))&amp;"","DOP"))</f>
        <v/>
      </c>
      <c r="O3669" s="20">
        <f>IF(I3669="","",C3669*IF(N3669="USD",TasaUSD,1))</f>
        <v/>
      </c>
      <c r="P3669" s="20">
        <f>IF(I3669="","",IF(I3669="Gasto",O3669,0))</f>
        <v/>
      </c>
      <c r="Q3669" s="20">
        <f>IF(I3669="","",IF(I3669="Ingreso",O3669,0))</f>
        <v/>
      </c>
      <c r="R3669" s="20">
        <f>IF(I3669="","",IF(I3669="Trading",O3669,0))</f>
        <v/>
      </c>
      <c r="S3669" s="19">
        <f>IF(I3669="","",IF(AND(I3669="Gasto",K3669="Variable",J3669&lt;&gt;"Trading",O3669&gt;0,O3669&lt;=Umbral),1,0))</f>
        <v/>
      </c>
      <c r="T3669" s="20">
        <f>IF(OR(I3669="",E3669=""),"",IF(OR(I3669="Gasto",I3669="Transferencia",I3669="Pago tarjeta"),-1,1)*C3669)</f>
        <v/>
      </c>
      <c r="U3669" s="20">
        <f>IF(OR(G3669="",AND(I3669&lt;&gt;"Transferencia",I3669&lt;&gt;"Pago tarjeta")),"",IF(IFERROR(INDEX(ctaMon,MATCH(G3669,ctaNom,0))&amp;"","DOP")=N3669,C3669,IF(N3669="USD",C3669*TasaUSD,C3669/TasaUSD)))</f>
        <v/>
      </c>
      <c r="V3669" s="20">
        <f>IF(I3669="","",IF(IFERROR(INDEX(ctaLiq,MATCH(E3669,ctaNom,0))="Sí",FALSE),IF(OR(I3669="Gasto",I3669="Transferencia",I3669="Pago tarjeta"),-1,1)*O3669,0)+IF(AND(U3669&lt;&gt;"",IFERROR(INDEX(ctaLiq,MATCH(G3669,ctaNom,0))="Sí",FALSE)),O3669,0))</f>
        <v/>
      </c>
      <c r="W3669" s="19">
        <f>IF(OR(F3669="",I3669=""),"",IF(COUNTIFS(F$6:F3669,F3669,I$6:I3669,"?*")=1,MAX(W$5:W3668)+1,""))</f>
        <v/>
      </c>
    </row>
    <row r="3670">
      <c r="B3670" s="15" t="n"/>
      <c r="C3670" s="16" t="n"/>
      <c r="D3670" s="17" t="n"/>
      <c r="E3670" s="17" t="n"/>
      <c r="F3670" s="17" t="n"/>
      <c r="G3670" s="17" t="n"/>
      <c r="H3670" s="18">
        <f>IF(AND(B3670="",C3670="",D3670="",E3670=""),"",IF(B3670="","⚠ Falta fecha",IF(C3670="","⚠ Falta monto",IF(D3670="","⚠ Falta categoría",IF(ISNA(MATCH(D3670,catNom,0)),"⚠ Categoría no existe",IF(E3670="","⚠ Falta cuenta",IF(ISNA(MATCH(E3670,ctaNom,0)),"⚠ Cuenta no existe",IF(AND(OR(I3670="Transferencia",I3670="Pago tarjeta"),G3670=""),"⚠ Indica la cuenta «Hacia»",IF(AND(G3670&lt;&gt;"",G3670=E3670),"⚠ «Hacia» igual a la cuenta",IF(AND(G3670&lt;&gt;"",ISNA(MATCH(G3670,ctaNom,0))),"⚠ «Hacia» no existe",IF(AND(I3670="Pago tarjeta",IFERROR(INDEX(ctaTipo,MATCH(G3670,ctaNom,0)),"")&lt;&gt;"Tarjeta de crédito"),"⚠ «Hacia» debe ser la tarjeta",IF(AND(I3670="Trading",IFERROR(INDEX(ctaTipo,MATCH(E3670,ctaNom,0)),"")&lt;&gt;"Cuenta de trading"),"⚠ Usa la cuenta de trading","✓"))))))))))))</f>
        <v/>
      </c>
      <c r="I3670" s="19">
        <f>IF(OR(B3670="",C3670="",D3670=""),"",IFERROR(INDEX(catTipo,MATCH(D3670,catNom,0))&amp;"",""))</f>
        <v/>
      </c>
      <c r="J3670" s="19">
        <f>IF(I3670="","",IFERROR(INDEX(catGrupo,MATCH(D3670,catNom,0))&amp;"",""))</f>
        <v/>
      </c>
      <c r="K3670" s="19">
        <f>IF(I3670="Gasto",IF(IFERROR(INDEX(catClas,MATCH(D3670,catNom,0))&amp;"","")="","Variable",IFERROR(INDEX(catClas,MATCH(D3670,catNom,0))&amp;"","")),"")</f>
        <v/>
      </c>
      <c r="L3670" s="19">
        <f>IF(I3670="","",IFERROR(INDEX(catAlim,MATCH(D3670,catNom,0))&amp;"",""))</f>
        <v/>
      </c>
      <c r="M3670" s="19">
        <f>IF(I3670="","",IFERROR(INDEX(catComida,MATCH(D3670,catNom,0))&amp;"",""))</f>
        <v/>
      </c>
      <c r="N3670" s="19">
        <f>IF(I3670="","",IFERROR(INDEX(ctaMon,MATCH(E3670,ctaNom,0))&amp;"","DOP"))</f>
        <v/>
      </c>
      <c r="O3670" s="20">
        <f>IF(I3670="","",C3670*IF(N3670="USD",TasaUSD,1))</f>
        <v/>
      </c>
      <c r="P3670" s="20">
        <f>IF(I3670="","",IF(I3670="Gasto",O3670,0))</f>
        <v/>
      </c>
      <c r="Q3670" s="20">
        <f>IF(I3670="","",IF(I3670="Ingreso",O3670,0))</f>
        <v/>
      </c>
      <c r="R3670" s="20">
        <f>IF(I3670="","",IF(I3670="Trading",O3670,0))</f>
        <v/>
      </c>
      <c r="S3670" s="19">
        <f>IF(I3670="","",IF(AND(I3670="Gasto",K3670="Variable",J3670&lt;&gt;"Trading",O3670&gt;0,O3670&lt;=Umbral),1,0))</f>
        <v/>
      </c>
      <c r="T3670" s="20">
        <f>IF(OR(I3670="",E3670=""),"",IF(OR(I3670="Gasto",I3670="Transferencia",I3670="Pago tarjeta"),-1,1)*C3670)</f>
        <v/>
      </c>
      <c r="U3670" s="20">
        <f>IF(OR(G3670="",AND(I3670&lt;&gt;"Transferencia",I3670&lt;&gt;"Pago tarjeta")),"",IF(IFERROR(INDEX(ctaMon,MATCH(G3670,ctaNom,0))&amp;"","DOP")=N3670,C3670,IF(N3670="USD",C3670*TasaUSD,C3670/TasaUSD)))</f>
        <v/>
      </c>
      <c r="V3670" s="20">
        <f>IF(I3670="","",IF(IFERROR(INDEX(ctaLiq,MATCH(E3670,ctaNom,0))="Sí",FALSE),IF(OR(I3670="Gasto",I3670="Transferencia",I3670="Pago tarjeta"),-1,1)*O3670,0)+IF(AND(U3670&lt;&gt;"",IFERROR(INDEX(ctaLiq,MATCH(G3670,ctaNom,0))="Sí",FALSE)),O3670,0))</f>
        <v/>
      </c>
      <c r="W3670" s="19">
        <f>IF(OR(F3670="",I3670=""),"",IF(COUNTIFS(F$6:F3670,F3670,I$6:I3670,"?*")=1,MAX(W$5:W3669)+1,""))</f>
        <v/>
      </c>
    </row>
    <row r="3671">
      <c r="B3671" s="15" t="n"/>
      <c r="C3671" s="16" t="n"/>
      <c r="D3671" s="17" t="n"/>
      <c r="E3671" s="17" t="n"/>
      <c r="F3671" s="17" t="n"/>
      <c r="G3671" s="17" t="n"/>
      <c r="H3671" s="18">
        <f>IF(AND(B3671="",C3671="",D3671="",E3671=""),"",IF(B3671="","⚠ Falta fecha",IF(C3671="","⚠ Falta monto",IF(D3671="","⚠ Falta categoría",IF(ISNA(MATCH(D3671,catNom,0)),"⚠ Categoría no existe",IF(E3671="","⚠ Falta cuenta",IF(ISNA(MATCH(E3671,ctaNom,0)),"⚠ Cuenta no existe",IF(AND(OR(I3671="Transferencia",I3671="Pago tarjeta"),G3671=""),"⚠ Indica la cuenta «Hacia»",IF(AND(G3671&lt;&gt;"",G3671=E3671),"⚠ «Hacia» igual a la cuenta",IF(AND(G3671&lt;&gt;"",ISNA(MATCH(G3671,ctaNom,0))),"⚠ «Hacia» no existe",IF(AND(I3671="Pago tarjeta",IFERROR(INDEX(ctaTipo,MATCH(G3671,ctaNom,0)),"")&lt;&gt;"Tarjeta de crédito"),"⚠ «Hacia» debe ser la tarjeta",IF(AND(I3671="Trading",IFERROR(INDEX(ctaTipo,MATCH(E3671,ctaNom,0)),"")&lt;&gt;"Cuenta de trading"),"⚠ Usa la cuenta de trading","✓"))))))))))))</f>
        <v/>
      </c>
      <c r="I3671" s="19">
        <f>IF(OR(B3671="",C3671="",D3671=""),"",IFERROR(INDEX(catTipo,MATCH(D3671,catNom,0))&amp;"",""))</f>
        <v/>
      </c>
      <c r="J3671" s="19">
        <f>IF(I3671="","",IFERROR(INDEX(catGrupo,MATCH(D3671,catNom,0))&amp;"",""))</f>
        <v/>
      </c>
      <c r="K3671" s="19">
        <f>IF(I3671="Gasto",IF(IFERROR(INDEX(catClas,MATCH(D3671,catNom,0))&amp;"","")="","Variable",IFERROR(INDEX(catClas,MATCH(D3671,catNom,0))&amp;"","")),"")</f>
        <v/>
      </c>
      <c r="L3671" s="19">
        <f>IF(I3671="","",IFERROR(INDEX(catAlim,MATCH(D3671,catNom,0))&amp;"",""))</f>
        <v/>
      </c>
      <c r="M3671" s="19">
        <f>IF(I3671="","",IFERROR(INDEX(catComida,MATCH(D3671,catNom,0))&amp;"",""))</f>
        <v/>
      </c>
      <c r="N3671" s="19">
        <f>IF(I3671="","",IFERROR(INDEX(ctaMon,MATCH(E3671,ctaNom,0))&amp;"","DOP"))</f>
        <v/>
      </c>
      <c r="O3671" s="20">
        <f>IF(I3671="","",C3671*IF(N3671="USD",TasaUSD,1))</f>
        <v/>
      </c>
      <c r="P3671" s="20">
        <f>IF(I3671="","",IF(I3671="Gasto",O3671,0))</f>
        <v/>
      </c>
      <c r="Q3671" s="20">
        <f>IF(I3671="","",IF(I3671="Ingreso",O3671,0))</f>
        <v/>
      </c>
      <c r="R3671" s="20">
        <f>IF(I3671="","",IF(I3671="Trading",O3671,0))</f>
        <v/>
      </c>
      <c r="S3671" s="19">
        <f>IF(I3671="","",IF(AND(I3671="Gasto",K3671="Variable",J3671&lt;&gt;"Trading",O3671&gt;0,O3671&lt;=Umbral),1,0))</f>
        <v/>
      </c>
      <c r="T3671" s="20">
        <f>IF(OR(I3671="",E3671=""),"",IF(OR(I3671="Gasto",I3671="Transferencia",I3671="Pago tarjeta"),-1,1)*C3671)</f>
        <v/>
      </c>
      <c r="U3671" s="20">
        <f>IF(OR(G3671="",AND(I3671&lt;&gt;"Transferencia",I3671&lt;&gt;"Pago tarjeta")),"",IF(IFERROR(INDEX(ctaMon,MATCH(G3671,ctaNom,0))&amp;"","DOP")=N3671,C3671,IF(N3671="USD",C3671*TasaUSD,C3671/TasaUSD)))</f>
        <v/>
      </c>
      <c r="V3671" s="20">
        <f>IF(I3671="","",IF(IFERROR(INDEX(ctaLiq,MATCH(E3671,ctaNom,0))="Sí",FALSE),IF(OR(I3671="Gasto",I3671="Transferencia",I3671="Pago tarjeta"),-1,1)*O3671,0)+IF(AND(U3671&lt;&gt;"",IFERROR(INDEX(ctaLiq,MATCH(G3671,ctaNom,0))="Sí",FALSE)),O3671,0))</f>
        <v/>
      </c>
      <c r="W3671" s="19">
        <f>IF(OR(F3671="",I3671=""),"",IF(COUNTIFS(F$6:F3671,F3671,I$6:I3671,"?*")=1,MAX(W$5:W3670)+1,""))</f>
        <v/>
      </c>
    </row>
    <row r="3672">
      <c r="B3672" s="15" t="n"/>
      <c r="C3672" s="16" t="n"/>
      <c r="D3672" s="17" t="n"/>
      <c r="E3672" s="17" t="n"/>
      <c r="F3672" s="17" t="n"/>
      <c r="G3672" s="17" t="n"/>
      <c r="H3672" s="18">
        <f>IF(AND(B3672="",C3672="",D3672="",E3672=""),"",IF(B3672="","⚠ Falta fecha",IF(C3672="","⚠ Falta monto",IF(D3672="","⚠ Falta categoría",IF(ISNA(MATCH(D3672,catNom,0)),"⚠ Categoría no existe",IF(E3672="","⚠ Falta cuenta",IF(ISNA(MATCH(E3672,ctaNom,0)),"⚠ Cuenta no existe",IF(AND(OR(I3672="Transferencia",I3672="Pago tarjeta"),G3672=""),"⚠ Indica la cuenta «Hacia»",IF(AND(G3672&lt;&gt;"",G3672=E3672),"⚠ «Hacia» igual a la cuenta",IF(AND(G3672&lt;&gt;"",ISNA(MATCH(G3672,ctaNom,0))),"⚠ «Hacia» no existe",IF(AND(I3672="Pago tarjeta",IFERROR(INDEX(ctaTipo,MATCH(G3672,ctaNom,0)),"")&lt;&gt;"Tarjeta de crédito"),"⚠ «Hacia» debe ser la tarjeta",IF(AND(I3672="Trading",IFERROR(INDEX(ctaTipo,MATCH(E3672,ctaNom,0)),"")&lt;&gt;"Cuenta de trading"),"⚠ Usa la cuenta de trading","✓"))))))))))))</f>
        <v/>
      </c>
      <c r="I3672" s="19">
        <f>IF(OR(B3672="",C3672="",D3672=""),"",IFERROR(INDEX(catTipo,MATCH(D3672,catNom,0))&amp;"",""))</f>
        <v/>
      </c>
      <c r="J3672" s="19">
        <f>IF(I3672="","",IFERROR(INDEX(catGrupo,MATCH(D3672,catNom,0))&amp;"",""))</f>
        <v/>
      </c>
      <c r="K3672" s="19">
        <f>IF(I3672="Gasto",IF(IFERROR(INDEX(catClas,MATCH(D3672,catNom,0))&amp;"","")="","Variable",IFERROR(INDEX(catClas,MATCH(D3672,catNom,0))&amp;"","")),"")</f>
        <v/>
      </c>
      <c r="L3672" s="19">
        <f>IF(I3672="","",IFERROR(INDEX(catAlim,MATCH(D3672,catNom,0))&amp;"",""))</f>
        <v/>
      </c>
      <c r="M3672" s="19">
        <f>IF(I3672="","",IFERROR(INDEX(catComida,MATCH(D3672,catNom,0))&amp;"",""))</f>
        <v/>
      </c>
      <c r="N3672" s="19">
        <f>IF(I3672="","",IFERROR(INDEX(ctaMon,MATCH(E3672,ctaNom,0))&amp;"","DOP"))</f>
        <v/>
      </c>
      <c r="O3672" s="20">
        <f>IF(I3672="","",C3672*IF(N3672="USD",TasaUSD,1))</f>
        <v/>
      </c>
      <c r="P3672" s="20">
        <f>IF(I3672="","",IF(I3672="Gasto",O3672,0))</f>
        <v/>
      </c>
      <c r="Q3672" s="20">
        <f>IF(I3672="","",IF(I3672="Ingreso",O3672,0))</f>
        <v/>
      </c>
      <c r="R3672" s="20">
        <f>IF(I3672="","",IF(I3672="Trading",O3672,0))</f>
        <v/>
      </c>
      <c r="S3672" s="19">
        <f>IF(I3672="","",IF(AND(I3672="Gasto",K3672="Variable",J3672&lt;&gt;"Trading",O3672&gt;0,O3672&lt;=Umbral),1,0))</f>
        <v/>
      </c>
      <c r="T3672" s="20">
        <f>IF(OR(I3672="",E3672=""),"",IF(OR(I3672="Gasto",I3672="Transferencia",I3672="Pago tarjeta"),-1,1)*C3672)</f>
        <v/>
      </c>
      <c r="U3672" s="20">
        <f>IF(OR(G3672="",AND(I3672&lt;&gt;"Transferencia",I3672&lt;&gt;"Pago tarjeta")),"",IF(IFERROR(INDEX(ctaMon,MATCH(G3672,ctaNom,0))&amp;"","DOP")=N3672,C3672,IF(N3672="USD",C3672*TasaUSD,C3672/TasaUSD)))</f>
        <v/>
      </c>
      <c r="V3672" s="20">
        <f>IF(I3672="","",IF(IFERROR(INDEX(ctaLiq,MATCH(E3672,ctaNom,0))="Sí",FALSE),IF(OR(I3672="Gasto",I3672="Transferencia",I3672="Pago tarjeta"),-1,1)*O3672,0)+IF(AND(U3672&lt;&gt;"",IFERROR(INDEX(ctaLiq,MATCH(G3672,ctaNom,0))="Sí",FALSE)),O3672,0))</f>
        <v/>
      </c>
      <c r="W3672" s="19">
        <f>IF(OR(F3672="",I3672=""),"",IF(COUNTIFS(F$6:F3672,F3672,I$6:I3672,"?*")=1,MAX(W$5:W3671)+1,""))</f>
        <v/>
      </c>
    </row>
    <row r="3673">
      <c r="B3673" s="15" t="n"/>
      <c r="C3673" s="16" t="n"/>
      <c r="D3673" s="17" t="n"/>
      <c r="E3673" s="17" t="n"/>
      <c r="F3673" s="17" t="n"/>
      <c r="G3673" s="17" t="n"/>
      <c r="H3673" s="18">
        <f>IF(AND(B3673="",C3673="",D3673="",E3673=""),"",IF(B3673="","⚠ Falta fecha",IF(C3673="","⚠ Falta monto",IF(D3673="","⚠ Falta categoría",IF(ISNA(MATCH(D3673,catNom,0)),"⚠ Categoría no existe",IF(E3673="","⚠ Falta cuenta",IF(ISNA(MATCH(E3673,ctaNom,0)),"⚠ Cuenta no existe",IF(AND(OR(I3673="Transferencia",I3673="Pago tarjeta"),G3673=""),"⚠ Indica la cuenta «Hacia»",IF(AND(G3673&lt;&gt;"",G3673=E3673),"⚠ «Hacia» igual a la cuenta",IF(AND(G3673&lt;&gt;"",ISNA(MATCH(G3673,ctaNom,0))),"⚠ «Hacia» no existe",IF(AND(I3673="Pago tarjeta",IFERROR(INDEX(ctaTipo,MATCH(G3673,ctaNom,0)),"")&lt;&gt;"Tarjeta de crédito"),"⚠ «Hacia» debe ser la tarjeta",IF(AND(I3673="Trading",IFERROR(INDEX(ctaTipo,MATCH(E3673,ctaNom,0)),"")&lt;&gt;"Cuenta de trading"),"⚠ Usa la cuenta de trading","✓"))))))))))))</f>
        <v/>
      </c>
      <c r="I3673" s="19">
        <f>IF(OR(B3673="",C3673="",D3673=""),"",IFERROR(INDEX(catTipo,MATCH(D3673,catNom,0))&amp;"",""))</f>
        <v/>
      </c>
      <c r="J3673" s="19">
        <f>IF(I3673="","",IFERROR(INDEX(catGrupo,MATCH(D3673,catNom,0))&amp;"",""))</f>
        <v/>
      </c>
      <c r="K3673" s="19">
        <f>IF(I3673="Gasto",IF(IFERROR(INDEX(catClas,MATCH(D3673,catNom,0))&amp;"","")="","Variable",IFERROR(INDEX(catClas,MATCH(D3673,catNom,0))&amp;"","")),"")</f>
        <v/>
      </c>
      <c r="L3673" s="19">
        <f>IF(I3673="","",IFERROR(INDEX(catAlim,MATCH(D3673,catNom,0))&amp;"",""))</f>
        <v/>
      </c>
      <c r="M3673" s="19">
        <f>IF(I3673="","",IFERROR(INDEX(catComida,MATCH(D3673,catNom,0))&amp;"",""))</f>
        <v/>
      </c>
      <c r="N3673" s="19">
        <f>IF(I3673="","",IFERROR(INDEX(ctaMon,MATCH(E3673,ctaNom,0))&amp;"","DOP"))</f>
        <v/>
      </c>
      <c r="O3673" s="20">
        <f>IF(I3673="","",C3673*IF(N3673="USD",TasaUSD,1))</f>
        <v/>
      </c>
      <c r="P3673" s="20">
        <f>IF(I3673="","",IF(I3673="Gasto",O3673,0))</f>
        <v/>
      </c>
      <c r="Q3673" s="20">
        <f>IF(I3673="","",IF(I3673="Ingreso",O3673,0))</f>
        <v/>
      </c>
      <c r="R3673" s="20">
        <f>IF(I3673="","",IF(I3673="Trading",O3673,0))</f>
        <v/>
      </c>
      <c r="S3673" s="19">
        <f>IF(I3673="","",IF(AND(I3673="Gasto",K3673="Variable",J3673&lt;&gt;"Trading",O3673&gt;0,O3673&lt;=Umbral),1,0))</f>
        <v/>
      </c>
      <c r="T3673" s="20">
        <f>IF(OR(I3673="",E3673=""),"",IF(OR(I3673="Gasto",I3673="Transferencia",I3673="Pago tarjeta"),-1,1)*C3673)</f>
        <v/>
      </c>
      <c r="U3673" s="20">
        <f>IF(OR(G3673="",AND(I3673&lt;&gt;"Transferencia",I3673&lt;&gt;"Pago tarjeta")),"",IF(IFERROR(INDEX(ctaMon,MATCH(G3673,ctaNom,0))&amp;"","DOP")=N3673,C3673,IF(N3673="USD",C3673*TasaUSD,C3673/TasaUSD)))</f>
        <v/>
      </c>
      <c r="V3673" s="20">
        <f>IF(I3673="","",IF(IFERROR(INDEX(ctaLiq,MATCH(E3673,ctaNom,0))="Sí",FALSE),IF(OR(I3673="Gasto",I3673="Transferencia",I3673="Pago tarjeta"),-1,1)*O3673,0)+IF(AND(U3673&lt;&gt;"",IFERROR(INDEX(ctaLiq,MATCH(G3673,ctaNom,0))="Sí",FALSE)),O3673,0))</f>
        <v/>
      </c>
      <c r="W3673" s="19">
        <f>IF(OR(F3673="",I3673=""),"",IF(COUNTIFS(F$6:F3673,F3673,I$6:I3673,"?*")=1,MAX(W$5:W3672)+1,""))</f>
        <v/>
      </c>
    </row>
    <row r="3674">
      <c r="B3674" s="15" t="n"/>
      <c r="C3674" s="16" t="n"/>
      <c r="D3674" s="17" t="n"/>
      <c r="E3674" s="17" t="n"/>
      <c r="F3674" s="17" t="n"/>
      <c r="G3674" s="17" t="n"/>
      <c r="H3674" s="18">
        <f>IF(AND(B3674="",C3674="",D3674="",E3674=""),"",IF(B3674="","⚠ Falta fecha",IF(C3674="","⚠ Falta monto",IF(D3674="","⚠ Falta categoría",IF(ISNA(MATCH(D3674,catNom,0)),"⚠ Categoría no existe",IF(E3674="","⚠ Falta cuenta",IF(ISNA(MATCH(E3674,ctaNom,0)),"⚠ Cuenta no existe",IF(AND(OR(I3674="Transferencia",I3674="Pago tarjeta"),G3674=""),"⚠ Indica la cuenta «Hacia»",IF(AND(G3674&lt;&gt;"",G3674=E3674),"⚠ «Hacia» igual a la cuenta",IF(AND(G3674&lt;&gt;"",ISNA(MATCH(G3674,ctaNom,0))),"⚠ «Hacia» no existe",IF(AND(I3674="Pago tarjeta",IFERROR(INDEX(ctaTipo,MATCH(G3674,ctaNom,0)),"")&lt;&gt;"Tarjeta de crédito"),"⚠ «Hacia» debe ser la tarjeta",IF(AND(I3674="Trading",IFERROR(INDEX(ctaTipo,MATCH(E3674,ctaNom,0)),"")&lt;&gt;"Cuenta de trading"),"⚠ Usa la cuenta de trading","✓"))))))))))))</f>
        <v/>
      </c>
      <c r="I3674" s="19">
        <f>IF(OR(B3674="",C3674="",D3674=""),"",IFERROR(INDEX(catTipo,MATCH(D3674,catNom,0))&amp;"",""))</f>
        <v/>
      </c>
      <c r="J3674" s="19">
        <f>IF(I3674="","",IFERROR(INDEX(catGrupo,MATCH(D3674,catNom,0))&amp;"",""))</f>
        <v/>
      </c>
      <c r="K3674" s="19">
        <f>IF(I3674="Gasto",IF(IFERROR(INDEX(catClas,MATCH(D3674,catNom,0))&amp;"","")="","Variable",IFERROR(INDEX(catClas,MATCH(D3674,catNom,0))&amp;"","")),"")</f>
        <v/>
      </c>
      <c r="L3674" s="19">
        <f>IF(I3674="","",IFERROR(INDEX(catAlim,MATCH(D3674,catNom,0))&amp;"",""))</f>
        <v/>
      </c>
      <c r="M3674" s="19">
        <f>IF(I3674="","",IFERROR(INDEX(catComida,MATCH(D3674,catNom,0))&amp;"",""))</f>
        <v/>
      </c>
      <c r="N3674" s="19">
        <f>IF(I3674="","",IFERROR(INDEX(ctaMon,MATCH(E3674,ctaNom,0))&amp;"","DOP"))</f>
        <v/>
      </c>
      <c r="O3674" s="20">
        <f>IF(I3674="","",C3674*IF(N3674="USD",TasaUSD,1))</f>
        <v/>
      </c>
      <c r="P3674" s="20">
        <f>IF(I3674="","",IF(I3674="Gasto",O3674,0))</f>
        <v/>
      </c>
      <c r="Q3674" s="20">
        <f>IF(I3674="","",IF(I3674="Ingreso",O3674,0))</f>
        <v/>
      </c>
      <c r="R3674" s="20">
        <f>IF(I3674="","",IF(I3674="Trading",O3674,0))</f>
        <v/>
      </c>
      <c r="S3674" s="19">
        <f>IF(I3674="","",IF(AND(I3674="Gasto",K3674="Variable",J3674&lt;&gt;"Trading",O3674&gt;0,O3674&lt;=Umbral),1,0))</f>
        <v/>
      </c>
      <c r="T3674" s="20">
        <f>IF(OR(I3674="",E3674=""),"",IF(OR(I3674="Gasto",I3674="Transferencia",I3674="Pago tarjeta"),-1,1)*C3674)</f>
        <v/>
      </c>
      <c r="U3674" s="20">
        <f>IF(OR(G3674="",AND(I3674&lt;&gt;"Transferencia",I3674&lt;&gt;"Pago tarjeta")),"",IF(IFERROR(INDEX(ctaMon,MATCH(G3674,ctaNom,0))&amp;"","DOP")=N3674,C3674,IF(N3674="USD",C3674*TasaUSD,C3674/TasaUSD)))</f>
        <v/>
      </c>
      <c r="V3674" s="20">
        <f>IF(I3674="","",IF(IFERROR(INDEX(ctaLiq,MATCH(E3674,ctaNom,0))="Sí",FALSE),IF(OR(I3674="Gasto",I3674="Transferencia",I3674="Pago tarjeta"),-1,1)*O3674,0)+IF(AND(U3674&lt;&gt;"",IFERROR(INDEX(ctaLiq,MATCH(G3674,ctaNom,0))="Sí",FALSE)),O3674,0))</f>
        <v/>
      </c>
      <c r="W3674" s="19">
        <f>IF(OR(F3674="",I3674=""),"",IF(COUNTIFS(F$6:F3674,F3674,I$6:I3674,"?*")=1,MAX(W$5:W3673)+1,""))</f>
        <v/>
      </c>
    </row>
    <row r="3675">
      <c r="B3675" s="15" t="n"/>
      <c r="C3675" s="16" t="n"/>
      <c r="D3675" s="17" t="n"/>
      <c r="E3675" s="17" t="n"/>
      <c r="F3675" s="17" t="n"/>
      <c r="G3675" s="17" t="n"/>
      <c r="H3675" s="18">
        <f>IF(AND(B3675="",C3675="",D3675="",E3675=""),"",IF(B3675="","⚠ Falta fecha",IF(C3675="","⚠ Falta monto",IF(D3675="","⚠ Falta categoría",IF(ISNA(MATCH(D3675,catNom,0)),"⚠ Categoría no existe",IF(E3675="","⚠ Falta cuenta",IF(ISNA(MATCH(E3675,ctaNom,0)),"⚠ Cuenta no existe",IF(AND(OR(I3675="Transferencia",I3675="Pago tarjeta"),G3675=""),"⚠ Indica la cuenta «Hacia»",IF(AND(G3675&lt;&gt;"",G3675=E3675),"⚠ «Hacia» igual a la cuenta",IF(AND(G3675&lt;&gt;"",ISNA(MATCH(G3675,ctaNom,0))),"⚠ «Hacia» no existe",IF(AND(I3675="Pago tarjeta",IFERROR(INDEX(ctaTipo,MATCH(G3675,ctaNom,0)),"")&lt;&gt;"Tarjeta de crédito"),"⚠ «Hacia» debe ser la tarjeta",IF(AND(I3675="Trading",IFERROR(INDEX(ctaTipo,MATCH(E3675,ctaNom,0)),"")&lt;&gt;"Cuenta de trading"),"⚠ Usa la cuenta de trading","✓"))))))))))))</f>
        <v/>
      </c>
      <c r="I3675" s="19">
        <f>IF(OR(B3675="",C3675="",D3675=""),"",IFERROR(INDEX(catTipo,MATCH(D3675,catNom,0))&amp;"",""))</f>
        <v/>
      </c>
      <c r="J3675" s="19">
        <f>IF(I3675="","",IFERROR(INDEX(catGrupo,MATCH(D3675,catNom,0))&amp;"",""))</f>
        <v/>
      </c>
      <c r="K3675" s="19">
        <f>IF(I3675="Gasto",IF(IFERROR(INDEX(catClas,MATCH(D3675,catNom,0))&amp;"","")="","Variable",IFERROR(INDEX(catClas,MATCH(D3675,catNom,0))&amp;"","")),"")</f>
        <v/>
      </c>
      <c r="L3675" s="19">
        <f>IF(I3675="","",IFERROR(INDEX(catAlim,MATCH(D3675,catNom,0))&amp;"",""))</f>
        <v/>
      </c>
      <c r="M3675" s="19">
        <f>IF(I3675="","",IFERROR(INDEX(catComida,MATCH(D3675,catNom,0))&amp;"",""))</f>
        <v/>
      </c>
      <c r="N3675" s="19">
        <f>IF(I3675="","",IFERROR(INDEX(ctaMon,MATCH(E3675,ctaNom,0))&amp;"","DOP"))</f>
        <v/>
      </c>
      <c r="O3675" s="20">
        <f>IF(I3675="","",C3675*IF(N3675="USD",TasaUSD,1))</f>
        <v/>
      </c>
      <c r="P3675" s="20">
        <f>IF(I3675="","",IF(I3675="Gasto",O3675,0))</f>
        <v/>
      </c>
      <c r="Q3675" s="20">
        <f>IF(I3675="","",IF(I3675="Ingreso",O3675,0))</f>
        <v/>
      </c>
      <c r="R3675" s="20">
        <f>IF(I3675="","",IF(I3675="Trading",O3675,0))</f>
        <v/>
      </c>
      <c r="S3675" s="19">
        <f>IF(I3675="","",IF(AND(I3675="Gasto",K3675="Variable",J3675&lt;&gt;"Trading",O3675&gt;0,O3675&lt;=Umbral),1,0))</f>
        <v/>
      </c>
      <c r="T3675" s="20">
        <f>IF(OR(I3675="",E3675=""),"",IF(OR(I3675="Gasto",I3675="Transferencia",I3675="Pago tarjeta"),-1,1)*C3675)</f>
        <v/>
      </c>
      <c r="U3675" s="20">
        <f>IF(OR(G3675="",AND(I3675&lt;&gt;"Transferencia",I3675&lt;&gt;"Pago tarjeta")),"",IF(IFERROR(INDEX(ctaMon,MATCH(G3675,ctaNom,0))&amp;"","DOP")=N3675,C3675,IF(N3675="USD",C3675*TasaUSD,C3675/TasaUSD)))</f>
        <v/>
      </c>
      <c r="V3675" s="20">
        <f>IF(I3675="","",IF(IFERROR(INDEX(ctaLiq,MATCH(E3675,ctaNom,0))="Sí",FALSE),IF(OR(I3675="Gasto",I3675="Transferencia",I3675="Pago tarjeta"),-1,1)*O3675,0)+IF(AND(U3675&lt;&gt;"",IFERROR(INDEX(ctaLiq,MATCH(G3675,ctaNom,0))="Sí",FALSE)),O3675,0))</f>
        <v/>
      </c>
      <c r="W3675" s="19">
        <f>IF(OR(F3675="",I3675=""),"",IF(COUNTIFS(F$6:F3675,F3675,I$6:I3675,"?*")=1,MAX(W$5:W3674)+1,""))</f>
        <v/>
      </c>
    </row>
    <row r="3676">
      <c r="B3676" s="15" t="n"/>
      <c r="C3676" s="16" t="n"/>
      <c r="D3676" s="17" t="n"/>
      <c r="E3676" s="17" t="n"/>
      <c r="F3676" s="17" t="n"/>
      <c r="G3676" s="17" t="n"/>
      <c r="H3676" s="18">
        <f>IF(AND(B3676="",C3676="",D3676="",E3676=""),"",IF(B3676="","⚠ Falta fecha",IF(C3676="","⚠ Falta monto",IF(D3676="","⚠ Falta categoría",IF(ISNA(MATCH(D3676,catNom,0)),"⚠ Categoría no existe",IF(E3676="","⚠ Falta cuenta",IF(ISNA(MATCH(E3676,ctaNom,0)),"⚠ Cuenta no existe",IF(AND(OR(I3676="Transferencia",I3676="Pago tarjeta"),G3676=""),"⚠ Indica la cuenta «Hacia»",IF(AND(G3676&lt;&gt;"",G3676=E3676),"⚠ «Hacia» igual a la cuenta",IF(AND(G3676&lt;&gt;"",ISNA(MATCH(G3676,ctaNom,0))),"⚠ «Hacia» no existe",IF(AND(I3676="Pago tarjeta",IFERROR(INDEX(ctaTipo,MATCH(G3676,ctaNom,0)),"")&lt;&gt;"Tarjeta de crédito"),"⚠ «Hacia» debe ser la tarjeta",IF(AND(I3676="Trading",IFERROR(INDEX(ctaTipo,MATCH(E3676,ctaNom,0)),"")&lt;&gt;"Cuenta de trading"),"⚠ Usa la cuenta de trading","✓"))))))))))))</f>
        <v/>
      </c>
      <c r="I3676" s="19">
        <f>IF(OR(B3676="",C3676="",D3676=""),"",IFERROR(INDEX(catTipo,MATCH(D3676,catNom,0))&amp;"",""))</f>
        <v/>
      </c>
      <c r="J3676" s="19">
        <f>IF(I3676="","",IFERROR(INDEX(catGrupo,MATCH(D3676,catNom,0))&amp;"",""))</f>
        <v/>
      </c>
      <c r="K3676" s="19">
        <f>IF(I3676="Gasto",IF(IFERROR(INDEX(catClas,MATCH(D3676,catNom,0))&amp;"","")="","Variable",IFERROR(INDEX(catClas,MATCH(D3676,catNom,0))&amp;"","")),"")</f>
        <v/>
      </c>
      <c r="L3676" s="19">
        <f>IF(I3676="","",IFERROR(INDEX(catAlim,MATCH(D3676,catNom,0))&amp;"",""))</f>
        <v/>
      </c>
      <c r="M3676" s="19">
        <f>IF(I3676="","",IFERROR(INDEX(catComida,MATCH(D3676,catNom,0))&amp;"",""))</f>
        <v/>
      </c>
      <c r="N3676" s="19">
        <f>IF(I3676="","",IFERROR(INDEX(ctaMon,MATCH(E3676,ctaNom,0))&amp;"","DOP"))</f>
        <v/>
      </c>
      <c r="O3676" s="20">
        <f>IF(I3676="","",C3676*IF(N3676="USD",TasaUSD,1))</f>
        <v/>
      </c>
      <c r="P3676" s="20">
        <f>IF(I3676="","",IF(I3676="Gasto",O3676,0))</f>
        <v/>
      </c>
      <c r="Q3676" s="20">
        <f>IF(I3676="","",IF(I3676="Ingreso",O3676,0))</f>
        <v/>
      </c>
      <c r="R3676" s="20">
        <f>IF(I3676="","",IF(I3676="Trading",O3676,0))</f>
        <v/>
      </c>
      <c r="S3676" s="19">
        <f>IF(I3676="","",IF(AND(I3676="Gasto",K3676="Variable",J3676&lt;&gt;"Trading",O3676&gt;0,O3676&lt;=Umbral),1,0))</f>
        <v/>
      </c>
      <c r="T3676" s="20">
        <f>IF(OR(I3676="",E3676=""),"",IF(OR(I3676="Gasto",I3676="Transferencia",I3676="Pago tarjeta"),-1,1)*C3676)</f>
        <v/>
      </c>
      <c r="U3676" s="20">
        <f>IF(OR(G3676="",AND(I3676&lt;&gt;"Transferencia",I3676&lt;&gt;"Pago tarjeta")),"",IF(IFERROR(INDEX(ctaMon,MATCH(G3676,ctaNom,0))&amp;"","DOP")=N3676,C3676,IF(N3676="USD",C3676*TasaUSD,C3676/TasaUSD)))</f>
        <v/>
      </c>
      <c r="V3676" s="20">
        <f>IF(I3676="","",IF(IFERROR(INDEX(ctaLiq,MATCH(E3676,ctaNom,0))="Sí",FALSE),IF(OR(I3676="Gasto",I3676="Transferencia",I3676="Pago tarjeta"),-1,1)*O3676,0)+IF(AND(U3676&lt;&gt;"",IFERROR(INDEX(ctaLiq,MATCH(G3676,ctaNom,0))="Sí",FALSE)),O3676,0))</f>
        <v/>
      </c>
      <c r="W3676" s="19">
        <f>IF(OR(F3676="",I3676=""),"",IF(COUNTIFS(F$6:F3676,F3676,I$6:I3676,"?*")=1,MAX(W$5:W3675)+1,""))</f>
        <v/>
      </c>
    </row>
    <row r="3677">
      <c r="B3677" s="15" t="n"/>
      <c r="C3677" s="16" t="n"/>
      <c r="D3677" s="17" t="n"/>
      <c r="E3677" s="17" t="n"/>
      <c r="F3677" s="17" t="n"/>
      <c r="G3677" s="17" t="n"/>
      <c r="H3677" s="18">
        <f>IF(AND(B3677="",C3677="",D3677="",E3677=""),"",IF(B3677="","⚠ Falta fecha",IF(C3677="","⚠ Falta monto",IF(D3677="","⚠ Falta categoría",IF(ISNA(MATCH(D3677,catNom,0)),"⚠ Categoría no existe",IF(E3677="","⚠ Falta cuenta",IF(ISNA(MATCH(E3677,ctaNom,0)),"⚠ Cuenta no existe",IF(AND(OR(I3677="Transferencia",I3677="Pago tarjeta"),G3677=""),"⚠ Indica la cuenta «Hacia»",IF(AND(G3677&lt;&gt;"",G3677=E3677),"⚠ «Hacia» igual a la cuenta",IF(AND(G3677&lt;&gt;"",ISNA(MATCH(G3677,ctaNom,0))),"⚠ «Hacia» no existe",IF(AND(I3677="Pago tarjeta",IFERROR(INDEX(ctaTipo,MATCH(G3677,ctaNom,0)),"")&lt;&gt;"Tarjeta de crédito"),"⚠ «Hacia» debe ser la tarjeta",IF(AND(I3677="Trading",IFERROR(INDEX(ctaTipo,MATCH(E3677,ctaNom,0)),"")&lt;&gt;"Cuenta de trading"),"⚠ Usa la cuenta de trading","✓"))))))))))))</f>
        <v/>
      </c>
      <c r="I3677" s="19">
        <f>IF(OR(B3677="",C3677="",D3677=""),"",IFERROR(INDEX(catTipo,MATCH(D3677,catNom,0))&amp;"",""))</f>
        <v/>
      </c>
      <c r="J3677" s="19">
        <f>IF(I3677="","",IFERROR(INDEX(catGrupo,MATCH(D3677,catNom,0))&amp;"",""))</f>
        <v/>
      </c>
      <c r="K3677" s="19">
        <f>IF(I3677="Gasto",IF(IFERROR(INDEX(catClas,MATCH(D3677,catNom,0))&amp;"","")="","Variable",IFERROR(INDEX(catClas,MATCH(D3677,catNom,0))&amp;"","")),"")</f>
        <v/>
      </c>
      <c r="L3677" s="19">
        <f>IF(I3677="","",IFERROR(INDEX(catAlim,MATCH(D3677,catNom,0))&amp;"",""))</f>
        <v/>
      </c>
      <c r="M3677" s="19">
        <f>IF(I3677="","",IFERROR(INDEX(catComida,MATCH(D3677,catNom,0))&amp;"",""))</f>
        <v/>
      </c>
      <c r="N3677" s="19">
        <f>IF(I3677="","",IFERROR(INDEX(ctaMon,MATCH(E3677,ctaNom,0))&amp;"","DOP"))</f>
        <v/>
      </c>
      <c r="O3677" s="20">
        <f>IF(I3677="","",C3677*IF(N3677="USD",TasaUSD,1))</f>
        <v/>
      </c>
      <c r="P3677" s="20">
        <f>IF(I3677="","",IF(I3677="Gasto",O3677,0))</f>
        <v/>
      </c>
      <c r="Q3677" s="20">
        <f>IF(I3677="","",IF(I3677="Ingreso",O3677,0))</f>
        <v/>
      </c>
      <c r="R3677" s="20">
        <f>IF(I3677="","",IF(I3677="Trading",O3677,0))</f>
        <v/>
      </c>
      <c r="S3677" s="19">
        <f>IF(I3677="","",IF(AND(I3677="Gasto",K3677="Variable",J3677&lt;&gt;"Trading",O3677&gt;0,O3677&lt;=Umbral),1,0))</f>
        <v/>
      </c>
      <c r="T3677" s="20">
        <f>IF(OR(I3677="",E3677=""),"",IF(OR(I3677="Gasto",I3677="Transferencia",I3677="Pago tarjeta"),-1,1)*C3677)</f>
        <v/>
      </c>
      <c r="U3677" s="20">
        <f>IF(OR(G3677="",AND(I3677&lt;&gt;"Transferencia",I3677&lt;&gt;"Pago tarjeta")),"",IF(IFERROR(INDEX(ctaMon,MATCH(G3677,ctaNom,0))&amp;"","DOP")=N3677,C3677,IF(N3677="USD",C3677*TasaUSD,C3677/TasaUSD)))</f>
        <v/>
      </c>
      <c r="V3677" s="20">
        <f>IF(I3677="","",IF(IFERROR(INDEX(ctaLiq,MATCH(E3677,ctaNom,0))="Sí",FALSE),IF(OR(I3677="Gasto",I3677="Transferencia",I3677="Pago tarjeta"),-1,1)*O3677,0)+IF(AND(U3677&lt;&gt;"",IFERROR(INDEX(ctaLiq,MATCH(G3677,ctaNom,0))="Sí",FALSE)),O3677,0))</f>
        <v/>
      </c>
      <c r="W3677" s="19">
        <f>IF(OR(F3677="",I3677=""),"",IF(COUNTIFS(F$6:F3677,F3677,I$6:I3677,"?*")=1,MAX(W$5:W3676)+1,""))</f>
        <v/>
      </c>
    </row>
    <row r="3678">
      <c r="B3678" s="15" t="n"/>
      <c r="C3678" s="16" t="n"/>
      <c r="D3678" s="17" t="n"/>
      <c r="E3678" s="17" t="n"/>
      <c r="F3678" s="17" t="n"/>
      <c r="G3678" s="17" t="n"/>
      <c r="H3678" s="18">
        <f>IF(AND(B3678="",C3678="",D3678="",E3678=""),"",IF(B3678="","⚠ Falta fecha",IF(C3678="","⚠ Falta monto",IF(D3678="","⚠ Falta categoría",IF(ISNA(MATCH(D3678,catNom,0)),"⚠ Categoría no existe",IF(E3678="","⚠ Falta cuenta",IF(ISNA(MATCH(E3678,ctaNom,0)),"⚠ Cuenta no existe",IF(AND(OR(I3678="Transferencia",I3678="Pago tarjeta"),G3678=""),"⚠ Indica la cuenta «Hacia»",IF(AND(G3678&lt;&gt;"",G3678=E3678),"⚠ «Hacia» igual a la cuenta",IF(AND(G3678&lt;&gt;"",ISNA(MATCH(G3678,ctaNom,0))),"⚠ «Hacia» no existe",IF(AND(I3678="Pago tarjeta",IFERROR(INDEX(ctaTipo,MATCH(G3678,ctaNom,0)),"")&lt;&gt;"Tarjeta de crédito"),"⚠ «Hacia» debe ser la tarjeta",IF(AND(I3678="Trading",IFERROR(INDEX(ctaTipo,MATCH(E3678,ctaNom,0)),"")&lt;&gt;"Cuenta de trading"),"⚠ Usa la cuenta de trading","✓"))))))))))))</f>
        <v/>
      </c>
      <c r="I3678" s="19">
        <f>IF(OR(B3678="",C3678="",D3678=""),"",IFERROR(INDEX(catTipo,MATCH(D3678,catNom,0))&amp;"",""))</f>
        <v/>
      </c>
      <c r="J3678" s="19">
        <f>IF(I3678="","",IFERROR(INDEX(catGrupo,MATCH(D3678,catNom,0))&amp;"",""))</f>
        <v/>
      </c>
      <c r="K3678" s="19">
        <f>IF(I3678="Gasto",IF(IFERROR(INDEX(catClas,MATCH(D3678,catNom,0))&amp;"","")="","Variable",IFERROR(INDEX(catClas,MATCH(D3678,catNom,0))&amp;"","")),"")</f>
        <v/>
      </c>
      <c r="L3678" s="19">
        <f>IF(I3678="","",IFERROR(INDEX(catAlim,MATCH(D3678,catNom,0))&amp;"",""))</f>
        <v/>
      </c>
      <c r="M3678" s="19">
        <f>IF(I3678="","",IFERROR(INDEX(catComida,MATCH(D3678,catNom,0))&amp;"",""))</f>
        <v/>
      </c>
      <c r="N3678" s="19">
        <f>IF(I3678="","",IFERROR(INDEX(ctaMon,MATCH(E3678,ctaNom,0))&amp;"","DOP"))</f>
        <v/>
      </c>
      <c r="O3678" s="20">
        <f>IF(I3678="","",C3678*IF(N3678="USD",TasaUSD,1))</f>
        <v/>
      </c>
      <c r="P3678" s="20">
        <f>IF(I3678="","",IF(I3678="Gasto",O3678,0))</f>
        <v/>
      </c>
      <c r="Q3678" s="20">
        <f>IF(I3678="","",IF(I3678="Ingreso",O3678,0))</f>
        <v/>
      </c>
      <c r="R3678" s="20">
        <f>IF(I3678="","",IF(I3678="Trading",O3678,0))</f>
        <v/>
      </c>
      <c r="S3678" s="19">
        <f>IF(I3678="","",IF(AND(I3678="Gasto",K3678="Variable",J3678&lt;&gt;"Trading",O3678&gt;0,O3678&lt;=Umbral),1,0))</f>
        <v/>
      </c>
      <c r="T3678" s="20">
        <f>IF(OR(I3678="",E3678=""),"",IF(OR(I3678="Gasto",I3678="Transferencia",I3678="Pago tarjeta"),-1,1)*C3678)</f>
        <v/>
      </c>
      <c r="U3678" s="20">
        <f>IF(OR(G3678="",AND(I3678&lt;&gt;"Transferencia",I3678&lt;&gt;"Pago tarjeta")),"",IF(IFERROR(INDEX(ctaMon,MATCH(G3678,ctaNom,0))&amp;"","DOP")=N3678,C3678,IF(N3678="USD",C3678*TasaUSD,C3678/TasaUSD)))</f>
        <v/>
      </c>
      <c r="V3678" s="20">
        <f>IF(I3678="","",IF(IFERROR(INDEX(ctaLiq,MATCH(E3678,ctaNom,0))="Sí",FALSE),IF(OR(I3678="Gasto",I3678="Transferencia",I3678="Pago tarjeta"),-1,1)*O3678,0)+IF(AND(U3678&lt;&gt;"",IFERROR(INDEX(ctaLiq,MATCH(G3678,ctaNom,0))="Sí",FALSE)),O3678,0))</f>
        <v/>
      </c>
      <c r="W3678" s="19">
        <f>IF(OR(F3678="",I3678=""),"",IF(COUNTIFS(F$6:F3678,F3678,I$6:I3678,"?*")=1,MAX(W$5:W3677)+1,""))</f>
        <v/>
      </c>
    </row>
    <row r="3679">
      <c r="B3679" s="15" t="n"/>
      <c r="C3679" s="16" t="n"/>
      <c r="D3679" s="17" t="n"/>
      <c r="E3679" s="17" t="n"/>
      <c r="F3679" s="17" t="n"/>
      <c r="G3679" s="17" t="n"/>
      <c r="H3679" s="18">
        <f>IF(AND(B3679="",C3679="",D3679="",E3679=""),"",IF(B3679="","⚠ Falta fecha",IF(C3679="","⚠ Falta monto",IF(D3679="","⚠ Falta categoría",IF(ISNA(MATCH(D3679,catNom,0)),"⚠ Categoría no existe",IF(E3679="","⚠ Falta cuenta",IF(ISNA(MATCH(E3679,ctaNom,0)),"⚠ Cuenta no existe",IF(AND(OR(I3679="Transferencia",I3679="Pago tarjeta"),G3679=""),"⚠ Indica la cuenta «Hacia»",IF(AND(G3679&lt;&gt;"",G3679=E3679),"⚠ «Hacia» igual a la cuenta",IF(AND(G3679&lt;&gt;"",ISNA(MATCH(G3679,ctaNom,0))),"⚠ «Hacia» no existe",IF(AND(I3679="Pago tarjeta",IFERROR(INDEX(ctaTipo,MATCH(G3679,ctaNom,0)),"")&lt;&gt;"Tarjeta de crédito"),"⚠ «Hacia» debe ser la tarjeta",IF(AND(I3679="Trading",IFERROR(INDEX(ctaTipo,MATCH(E3679,ctaNom,0)),"")&lt;&gt;"Cuenta de trading"),"⚠ Usa la cuenta de trading","✓"))))))))))))</f>
        <v/>
      </c>
      <c r="I3679" s="19">
        <f>IF(OR(B3679="",C3679="",D3679=""),"",IFERROR(INDEX(catTipo,MATCH(D3679,catNom,0))&amp;"",""))</f>
        <v/>
      </c>
      <c r="J3679" s="19">
        <f>IF(I3679="","",IFERROR(INDEX(catGrupo,MATCH(D3679,catNom,0))&amp;"",""))</f>
        <v/>
      </c>
      <c r="K3679" s="19">
        <f>IF(I3679="Gasto",IF(IFERROR(INDEX(catClas,MATCH(D3679,catNom,0))&amp;"","")="","Variable",IFERROR(INDEX(catClas,MATCH(D3679,catNom,0))&amp;"","")),"")</f>
        <v/>
      </c>
      <c r="L3679" s="19">
        <f>IF(I3679="","",IFERROR(INDEX(catAlim,MATCH(D3679,catNom,0))&amp;"",""))</f>
        <v/>
      </c>
      <c r="M3679" s="19">
        <f>IF(I3679="","",IFERROR(INDEX(catComida,MATCH(D3679,catNom,0))&amp;"",""))</f>
        <v/>
      </c>
      <c r="N3679" s="19">
        <f>IF(I3679="","",IFERROR(INDEX(ctaMon,MATCH(E3679,ctaNom,0))&amp;"","DOP"))</f>
        <v/>
      </c>
      <c r="O3679" s="20">
        <f>IF(I3679="","",C3679*IF(N3679="USD",TasaUSD,1))</f>
        <v/>
      </c>
      <c r="P3679" s="20">
        <f>IF(I3679="","",IF(I3679="Gasto",O3679,0))</f>
        <v/>
      </c>
      <c r="Q3679" s="20">
        <f>IF(I3679="","",IF(I3679="Ingreso",O3679,0))</f>
        <v/>
      </c>
      <c r="R3679" s="20">
        <f>IF(I3679="","",IF(I3679="Trading",O3679,0))</f>
        <v/>
      </c>
      <c r="S3679" s="19">
        <f>IF(I3679="","",IF(AND(I3679="Gasto",K3679="Variable",J3679&lt;&gt;"Trading",O3679&gt;0,O3679&lt;=Umbral),1,0))</f>
        <v/>
      </c>
      <c r="T3679" s="20">
        <f>IF(OR(I3679="",E3679=""),"",IF(OR(I3679="Gasto",I3679="Transferencia",I3679="Pago tarjeta"),-1,1)*C3679)</f>
        <v/>
      </c>
      <c r="U3679" s="20">
        <f>IF(OR(G3679="",AND(I3679&lt;&gt;"Transferencia",I3679&lt;&gt;"Pago tarjeta")),"",IF(IFERROR(INDEX(ctaMon,MATCH(G3679,ctaNom,0))&amp;"","DOP")=N3679,C3679,IF(N3679="USD",C3679*TasaUSD,C3679/TasaUSD)))</f>
        <v/>
      </c>
      <c r="V3679" s="20">
        <f>IF(I3679="","",IF(IFERROR(INDEX(ctaLiq,MATCH(E3679,ctaNom,0))="Sí",FALSE),IF(OR(I3679="Gasto",I3679="Transferencia",I3679="Pago tarjeta"),-1,1)*O3679,0)+IF(AND(U3679&lt;&gt;"",IFERROR(INDEX(ctaLiq,MATCH(G3679,ctaNom,0))="Sí",FALSE)),O3679,0))</f>
        <v/>
      </c>
      <c r="W3679" s="19">
        <f>IF(OR(F3679="",I3679=""),"",IF(COUNTIFS(F$6:F3679,F3679,I$6:I3679,"?*")=1,MAX(W$5:W3678)+1,""))</f>
        <v/>
      </c>
    </row>
    <row r="3680">
      <c r="B3680" s="15" t="n"/>
      <c r="C3680" s="16" t="n"/>
      <c r="D3680" s="17" t="n"/>
      <c r="E3680" s="17" t="n"/>
      <c r="F3680" s="17" t="n"/>
      <c r="G3680" s="17" t="n"/>
      <c r="H3680" s="18">
        <f>IF(AND(B3680="",C3680="",D3680="",E3680=""),"",IF(B3680="","⚠ Falta fecha",IF(C3680="","⚠ Falta monto",IF(D3680="","⚠ Falta categoría",IF(ISNA(MATCH(D3680,catNom,0)),"⚠ Categoría no existe",IF(E3680="","⚠ Falta cuenta",IF(ISNA(MATCH(E3680,ctaNom,0)),"⚠ Cuenta no existe",IF(AND(OR(I3680="Transferencia",I3680="Pago tarjeta"),G3680=""),"⚠ Indica la cuenta «Hacia»",IF(AND(G3680&lt;&gt;"",G3680=E3680),"⚠ «Hacia» igual a la cuenta",IF(AND(G3680&lt;&gt;"",ISNA(MATCH(G3680,ctaNom,0))),"⚠ «Hacia» no existe",IF(AND(I3680="Pago tarjeta",IFERROR(INDEX(ctaTipo,MATCH(G3680,ctaNom,0)),"")&lt;&gt;"Tarjeta de crédito"),"⚠ «Hacia» debe ser la tarjeta",IF(AND(I3680="Trading",IFERROR(INDEX(ctaTipo,MATCH(E3680,ctaNom,0)),"")&lt;&gt;"Cuenta de trading"),"⚠ Usa la cuenta de trading","✓"))))))))))))</f>
        <v/>
      </c>
      <c r="I3680" s="19">
        <f>IF(OR(B3680="",C3680="",D3680=""),"",IFERROR(INDEX(catTipo,MATCH(D3680,catNom,0))&amp;"",""))</f>
        <v/>
      </c>
      <c r="J3680" s="19">
        <f>IF(I3680="","",IFERROR(INDEX(catGrupo,MATCH(D3680,catNom,0))&amp;"",""))</f>
        <v/>
      </c>
      <c r="K3680" s="19">
        <f>IF(I3680="Gasto",IF(IFERROR(INDEX(catClas,MATCH(D3680,catNom,0))&amp;"","")="","Variable",IFERROR(INDEX(catClas,MATCH(D3680,catNom,0))&amp;"","")),"")</f>
        <v/>
      </c>
      <c r="L3680" s="19">
        <f>IF(I3680="","",IFERROR(INDEX(catAlim,MATCH(D3680,catNom,0))&amp;"",""))</f>
        <v/>
      </c>
      <c r="M3680" s="19">
        <f>IF(I3680="","",IFERROR(INDEX(catComida,MATCH(D3680,catNom,0))&amp;"",""))</f>
        <v/>
      </c>
      <c r="N3680" s="19">
        <f>IF(I3680="","",IFERROR(INDEX(ctaMon,MATCH(E3680,ctaNom,0))&amp;"","DOP"))</f>
        <v/>
      </c>
      <c r="O3680" s="20">
        <f>IF(I3680="","",C3680*IF(N3680="USD",TasaUSD,1))</f>
        <v/>
      </c>
      <c r="P3680" s="20">
        <f>IF(I3680="","",IF(I3680="Gasto",O3680,0))</f>
        <v/>
      </c>
      <c r="Q3680" s="20">
        <f>IF(I3680="","",IF(I3680="Ingreso",O3680,0))</f>
        <v/>
      </c>
      <c r="R3680" s="20">
        <f>IF(I3680="","",IF(I3680="Trading",O3680,0))</f>
        <v/>
      </c>
      <c r="S3680" s="19">
        <f>IF(I3680="","",IF(AND(I3680="Gasto",K3680="Variable",J3680&lt;&gt;"Trading",O3680&gt;0,O3680&lt;=Umbral),1,0))</f>
        <v/>
      </c>
      <c r="T3680" s="20">
        <f>IF(OR(I3680="",E3680=""),"",IF(OR(I3680="Gasto",I3680="Transferencia",I3680="Pago tarjeta"),-1,1)*C3680)</f>
        <v/>
      </c>
      <c r="U3680" s="20">
        <f>IF(OR(G3680="",AND(I3680&lt;&gt;"Transferencia",I3680&lt;&gt;"Pago tarjeta")),"",IF(IFERROR(INDEX(ctaMon,MATCH(G3680,ctaNom,0))&amp;"","DOP")=N3680,C3680,IF(N3680="USD",C3680*TasaUSD,C3680/TasaUSD)))</f>
        <v/>
      </c>
      <c r="V3680" s="20">
        <f>IF(I3680="","",IF(IFERROR(INDEX(ctaLiq,MATCH(E3680,ctaNom,0))="Sí",FALSE),IF(OR(I3680="Gasto",I3680="Transferencia",I3680="Pago tarjeta"),-1,1)*O3680,0)+IF(AND(U3680&lt;&gt;"",IFERROR(INDEX(ctaLiq,MATCH(G3680,ctaNom,0))="Sí",FALSE)),O3680,0))</f>
        <v/>
      </c>
      <c r="W3680" s="19">
        <f>IF(OR(F3680="",I3680=""),"",IF(COUNTIFS(F$6:F3680,F3680,I$6:I3680,"?*")=1,MAX(W$5:W3679)+1,""))</f>
        <v/>
      </c>
    </row>
    <row r="3681">
      <c r="B3681" s="15" t="n"/>
      <c r="C3681" s="16" t="n"/>
      <c r="D3681" s="17" t="n"/>
      <c r="E3681" s="17" t="n"/>
      <c r="F3681" s="17" t="n"/>
      <c r="G3681" s="17" t="n"/>
      <c r="H3681" s="18">
        <f>IF(AND(B3681="",C3681="",D3681="",E3681=""),"",IF(B3681="","⚠ Falta fecha",IF(C3681="","⚠ Falta monto",IF(D3681="","⚠ Falta categoría",IF(ISNA(MATCH(D3681,catNom,0)),"⚠ Categoría no existe",IF(E3681="","⚠ Falta cuenta",IF(ISNA(MATCH(E3681,ctaNom,0)),"⚠ Cuenta no existe",IF(AND(OR(I3681="Transferencia",I3681="Pago tarjeta"),G3681=""),"⚠ Indica la cuenta «Hacia»",IF(AND(G3681&lt;&gt;"",G3681=E3681),"⚠ «Hacia» igual a la cuenta",IF(AND(G3681&lt;&gt;"",ISNA(MATCH(G3681,ctaNom,0))),"⚠ «Hacia» no existe",IF(AND(I3681="Pago tarjeta",IFERROR(INDEX(ctaTipo,MATCH(G3681,ctaNom,0)),"")&lt;&gt;"Tarjeta de crédito"),"⚠ «Hacia» debe ser la tarjeta",IF(AND(I3681="Trading",IFERROR(INDEX(ctaTipo,MATCH(E3681,ctaNom,0)),"")&lt;&gt;"Cuenta de trading"),"⚠ Usa la cuenta de trading","✓"))))))))))))</f>
        <v/>
      </c>
      <c r="I3681" s="19">
        <f>IF(OR(B3681="",C3681="",D3681=""),"",IFERROR(INDEX(catTipo,MATCH(D3681,catNom,0))&amp;"",""))</f>
        <v/>
      </c>
      <c r="J3681" s="19">
        <f>IF(I3681="","",IFERROR(INDEX(catGrupo,MATCH(D3681,catNom,0))&amp;"",""))</f>
        <v/>
      </c>
      <c r="K3681" s="19">
        <f>IF(I3681="Gasto",IF(IFERROR(INDEX(catClas,MATCH(D3681,catNom,0))&amp;"","")="","Variable",IFERROR(INDEX(catClas,MATCH(D3681,catNom,0))&amp;"","")),"")</f>
        <v/>
      </c>
      <c r="L3681" s="19">
        <f>IF(I3681="","",IFERROR(INDEX(catAlim,MATCH(D3681,catNom,0))&amp;"",""))</f>
        <v/>
      </c>
      <c r="M3681" s="19">
        <f>IF(I3681="","",IFERROR(INDEX(catComida,MATCH(D3681,catNom,0))&amp;"",""))</f>
        <v/>
      </c>
      <c r="N3681" s="19">
        <f>IF(I3681="","",IFERROR(INDEX(ctaMon,MATCH(E3681,ctaNom,0))&amp;"","DOP"))</f>
        <v/>
      </c>
      <c r="O3681" s="20">
        <f>IF(I3681="","",C3681*IF(N3681="USD",TasaUSD,1))</f>
        <v/>
      </c>
      <c r="P3681" s="20">
        <f>IF(I3681="","",IF(I3681="Gasto",O3681,0))</f>
        <v/>
      </c>
      <c r="Q3681" s="20">
        <f>IF(I3681="","",IF(I3681="Ingreso",O3681,0))</f>
        <v/>
      </c>
      <c r="R3681" s="20">
        <f>IF(I3681="","",IF(I3681="Trading",O3681,0))</f>
        <v/>
      </c>
      <c r="S3681" s="19">
        <f>IF(I3681="","",IF(AND(I3681="Gasto",K3681="Variable",J3681&lt;&gt;"Trading",O3681&gt;0,O3681&lt;=Umbral),1,0))</f>
        <v/>
      </c>
      <c r="T3681" s="20">
        <f>IF(OR(I3681="",E3681=""),"",IF(OR(I3681="Gasto",I3681="Transferencia",I3681="Pago tarjeta"),-1,1)*C3681)</f>
        <v/>
      </c>
      <c r="U3681" s="20">
        <f>IF(OR(G3681="",AND(I3681&lt;&gt;"Transferencia",I3681&lt;&gt;"Pago tarjeta")),"",IF(IFERROR(INDEX(ctaMon,MATCH(G3681,ctaNom,0))&amp;"","DOP")=N3681,C3681,IF(N3681="USD",C3681*TasaUSD,C3681/TasaUSD)))</f>
        <v/>
      </c>
      <c r="V3681" s="20">
        <f>IF(I3681="","",IF(IFERROR(INDEX(ctaLiq,MATCH(E3681,ctaNom,0))="Sí",FALSE),IF(OR(I3681="Gasto",I3681="Transferencia",I3681="Pago tarjeta"),-1,1)*O3681,0)+IF(AND(U3681&lt;&gt;"",IFERROR(INDEX(ctaLiq,MATCH(G3681,ctaNom,0))="Sí",FALSE)),O3681,0))</f>
        <v/>
      </c>
      <c r="W3681" s="19">
        <f>IF(OR(F3681="",I3681=""),"",IF(COUNTIFS(F$6:F3681,F3681,I$6:I3681,"?*")=1,MAX(W$5:W3680)+1,""))</f>
        <v/>
      </c>
    </row>
    <row r="3682">
      <c r="B3682" s="15" t="n"/>
      <c r="C3682" s="16" t="n"/>
      <c r="D3682" s="17" t="n"/>
      <c r="E3682" s="17" t="n"/>
      <c r="F3682" s="17" t="n"/>
      <c r="G3682" s="17" t="n"/>
      <c r="H3682" s="18">
        <f>IF(AND(B3682="",C3682="",D3682="",E3682=""),"",IF(B3682="","⚠ Falta fecha",IF(C3682="","⚠ Falta monto",IF(D3682="","⚠ Falta categoría",IF(ISNA(MATCH(D3682,catNom,0)),"⚠ Categoría no existe",IF(E3682="","⚠ Falta cuenta",IF(ISNA(MATCH(E3682,ctaNom,0)),"⚠ Cuenta no existe",IF(AND(OR(I3682="Transferencia",I3682="Pago tarjeta"),G3682=""),"⚠ Indica la cuenta «Hacia»",IF(AND(G3682&lt;&gt;"",G3682=E3682),"⚠ «Hacia» igual a la cuenta",IF(AND(G3682&lt;&gt;"",ISNA(MATCH(G3682,ctaNom,0))),"⚠ «Hacia» no existe",IF(AND(I3682="Pago tarjeta",IFERROR(INDEX(ctaTipo,MATCH(G3682,ctaNom,0)),"")&lt;&gt;"Tarjeta de crédito"),"⚠ «Hacia» debe ser la tarjeta",IF(AND(I3682="Trading",IFERROR(INDEX(ctaTipo,MATCH(E3682,ctaNom,0)),"")&lt;&gt;"Cuenta de trading"),"⚠ Usa la cuenta de trading","✓"))))))))))))</f>
        <v/>
      </c>
      <c r="I3682" s="19">
        <f>IF(OR(B3682="",C3682="",D3682=""),"",IFERROR(INDEX(catTipo,MATCH(D3682,catNom,0))&amp;"",""))</f>
        <v/>
      </c>
      <c r="J3682" s="19">
        <f>IF(I3682="","",IFERROR(INDEX(catGrupo,MATCH(D3682,catNom,0))&amp;"",""))</f>
        <v/>
      </c>
      <c r="K3682" s="19">
        <f>IF(I3682="Gasto",IF(IFERROR(INDEX(catClas,MATCH(D3682,catNom,0))&amp;"","")="","Variable",IFERROR(INDEX(catClas,MATCH(D3682,catNom,0))&amp;"","")),"")</f>
        <v/>
      </c>
      <c r="L3682" s="19">
        <f>IF(I3682="","",IFERROR(INDEX(catAlim,MATCH(D3682,catNom,0))&amp;"",""))</f>
        <v/>
      </c>
      <c r="M3682" s="19">
        <f>IF(I3682="","",IFERROR(INDEX(catComida,MATCH(D3682,catNom,0))&amp;"",""))</f>
        <v/>
      </c>
      <c r="N3682" s="19">
        <f>IF(I3682="","",IFERROR(INDEX(ctaMon,MATCH(E3682,ctaNom,0))&amp;"","DOP"))</f>
        <v/>
      </c>
      <c r="O3682" s="20">
        <f>IF(I3682="","",C3682*IF(N3682="USD",TasaUSD,1))</f>
        <v/>
      </c>
      <c r="P3682" s="20">
        <f>IF(I3682="","",IF(I3682="Gasto",O3682,0))</f>
        <v/>
      </c>
      <c r="Q3682" s="20">
        <f>IF(I3682="","",IF(I3682="Ingreso",O3682,0))</f>
        <v/>
      </c>
      <c r="R3682" s="20">
        <f>IF(I3682="","",IF(I3682="Trading",O3682,0))</f>
        <v/>
      </c>
      <c r="S3682" s="19">
        <f>IF(I3682="","",IF(AND(I3682="Gasto",K3682="Variable",J3682&lt;&gt;"Trading",O3682&gt;0,O3682&lt;=Umbral),1,0))</f>
        <v/>
      </c>
      <c r="T3682" s="20">
        <f>IF(OR(I3682="",E3682=""),"",IF(OR(I3682="Gasto",I3682="Transferencia",I3682="Pago tarjeta"),-1,1)*C3682)</f>
        <v/>
      </c>
      <c r="U3682" s="20">
        <f>IF(OR(G3682="",AND(I3682&lt;&gt;"Transferencia",I3682&lt;&gt;"Pago tarjeta")),"",IF(IFERROR(INDEX(ctaMon,MATCH(G3682,ctaNom,0))&amp;"","DOP")=N3682,C3682,IF(N3682="USD",C3682*TasaUSD,C3682/TasaUSD)))</f>
        <v/>
      </c>
      <c r="V3682" s="20">
        <f>IF(I3682="","",IF(IFERROR(INDEX(ctaLiq,MATCH(E3682,ctaNom,0))="Sí",FALSE),IF(OR(I3682="Gasto",I3682="Transferencia",I3682="Pago tarjeta"),-1,1)*O3682,0)+IF(AND(U3682&lt;&gt;"",IFERROR(INDEX(ctaLiq,MATCH(G3682,ctaNom,0))="Sí",FALSE)),O3682,0))</f>
        <v/>
      </c>
      <c r="W3682" s="19">
        <f>IF(OR(F3682="",I3682=""),"",IF(COUNTIFS(F$6:F3682,F3682,I$6:I3682,"?*")=1,MAX(W$5:W3681)+1,""))</f>
        <v/>
      </c>
    </row>
    <row r="3683">
      <c r="B3683" s="15" t="n"/>
      <c r="C3683" s="16" t="n"/>
      <c r="D3683" s="17" t="n"/>
      <c r="E3683" s="17" t="n"/>
      <c r="F3683" s="17" t="n"/>
      <c r="G3683" s="17" t="n"/>
      <c r="H3683" s="18">
        <f>IF(AND(B3683="",C3683="",D3683="",E3683=""),"",IF(B3683="","⚠ Falta fecha",IF(C3683="","⚠ Falta monto",IF(D3683="","⚠ Falta categoría",IF(ISNA(MATCH(D3683,catNom,0)),"⚠ Categoría no existe",IF(E3683="","⚠ Falta cuenta",IF(ISNA(MATCH(E3683,ctaNom,0)),"⚠ Cuenta no existe",IF(AND(OR(I3683="Transferencia",I3683="Pago tarjeta"),G3683=""),"⚠ Indica la cuenta «Hacia»",IF(AND(G3683&lt;&gt;"",G3683=E3683),"⚠ «Hacia» igual a la cuenta",IF(AND(G3683&lt;&gt;"",ISNA(MATCH(G3683,ctaNom,0))),"⚠ «Hacia» no existe",IF(AND(I3683="Pago tarjeta",IFERROR(INDEX(ctaTipo,MATCH(G3683,ctaNom,0)),"")&lt;&gt;"Tarjeta de crédito"),"⚠ «Hacia» debe ser la tarjeta",IF(AND(I3683="Trading",IFERROR(INDEX(ctaTipo,MATCH(E3683,ctaNom,0)),"")&lt;&gt;"Cuenta de trading"),"⚠ Usa la cuenta de trading","✓"))))))))))))</f>
        <v/>
      </c>
      <c r="I3683" s="19">
        <f>IF(OR(B3683="",C3683="",D3683=""),"",IFERROR(INDEX(catTipo,MATCH(D3683,catNom,0))&amp;"",""))</f>
        <v/>
      </c>
      <c r="J3683" s="19">
        <f>IF(I3683="","",IFERROR(INDEX(catGrupo,MATCH(D3683,catNom,0))&amp;"",""))</f>
        <v/>
      </c>
      <c r="K3683" s="19">
        <f>IF(I3683="Gasto",IF(IFERROR(INDEX(catClas,MATCH(D3683,catNom,0))&amp;"","")="","Variable",IFERROR(INDEX(catClas,MATCH(D3683,catNom,0))&amp;"","")),"")</f>
        <v/>
      </c>
      <c r="L3683" s="19">
        <f>IF(I3683="","",IFERROR(INDEX(catAlim,MATCH(D3683,catNom,0))&amp;"",""))</f>
        <v/>
      </c>
      <c r="M3683" s="19">
        <f>IF(I3683="","",IFERROR(INDEX(catComida,MATCH(D3683,catNom,0))&amp;"",""))</f>
        <v/>
      </c>
      <c r="N3683" s="19">
        <f>IF(I3683="","",IFERROR(INDEX(ctaMon,MATCH(E3683,ctaNom,0))&amp;"","DOP"))</f>
        <v/>
      </c>
      <c r="O3683" s="20">
        <f>IF(I3683="","",C3683*IF(N3683="USD",TasaUSD,1))</f>
        <v/>
      </c>
      <c r="P3683" s="20">
        <f>IF(I3683="","",IF(I3683="Gasto",O3683,0))</f>
        <v/>
      </c>
      <c r="Q3683" s="20">
        <f>IF(I3683="","",IF(I3683="Ingreso",O3683,0))</f>
        <v/>
      </c>
      <c r="R3683" s="20">
        <f>IF(I3683="","",IF(I3683="Trading",O3683,0))</f>
        <v/>
      </c>
      <c r="S3683" s="19">
        <f>IF(I3683="","",IF(AND(I3683="Gasto",K3683="Variable",J3683&lt;&gt;"Trading",O3683&gt;0,O3683&lt;=Umbral),1,0))</f>
        <v/>
      </c>
      <c r="T3683" s="20">
        <f>IF(OR(I3683="",E3683=""),"",IF(OR(I3683="Gasto",I3683="Transferencia",I3683="Pago tarjeta"),-1,1)*C3683)</f>
        <v/>
      </c>
      <c r="U3683" s="20">
        <f>IF(OR(G3683="",AND(I3683&lt;&gt;"Transferencia",I3683&lt;&gt;"Pago tarjeta")),"",IF(IFERROR(INDEX(ctaMon,MATCH(G3683,ctaNom,0))&amp;"","DOP")=N3683,C3683,IF(N3683="USD",C3683*TasaUSD,C3683/TasaUSD)))</f>
        <v/>
      </c>
      <c r="V3683" s="20">
        <f>IF(I3683="","",IF(IFERROR(INDEX(ctaLiq,MATCH(E3683,ctaNom,0))="Sí",FALSE),IF(OR(I3683="Gasto",I3683="Transferencia",I3683="Pago tarjeta"),-1,1)*O3683,0)+IF(AND(U3683&lt;&gt;"",IFERROR(INDEX(ctaLiq,MATCH(G3683,ctaNom,0))="Sí",FALSE)),O3683,0))</f>
        <v/>
      </c>
      <c r="W3683" s="19">
        <f>IF(OR(F3683="",I3683=""),"",IF(COUNTIFS(F$6:F3683,F3683,I$6:I3683,"?*")=1,MAX(W$5:W3682)+1,""))</f>
        <v/>
      </c>
    </row>
    <row r="3684">
      <c r="B3684" s="15" t="n"/>
      <c r="C3684" s="16" t="n"/>
      <c r="D3684" s="17" t="n"/>
      <c r="E3684" s="17" t="n"/>
      <c r="F3684" s="17" t="n"/>
      <c r="G3684" s="17" t="n"/>
      <c r="H3684" s="18">
        <f>IF(AND(B3684="",C3684="",D3684="",E3684=""),"",IF(B3684="","⚠ Falta fecha",IF(C3684="","⚠ Falta monto",IF(D3684="","⚠ Falta categoría",IF(ISNA(MATCH(D3684,catNom,0)),"⚠ Categoría no existe",IF(E3684="","⚠ Falta cuenta",IF(ISNA(MATCH(E3684,ctaNom,0)),"⚠ Cuenta no existe",IF(AND(OR(I3684="Transferencia",I3684="Pago tarjeta"),G3684=""),"⚠ Indica la cuenta «Hacia»",IF(AND(G3684&lt;&gt;"",G3684=E3684),"⚠ «Hacia» igual a la cuenta",IF(AND(G3684&lt;&gt;"",ISNA(MATCH(G3684,ctaNom,0))),"⚠ «Hacia» no existe",IF(AND(I3684="Pago tarjeta",IFERROR(INDEX(ctaTipo,MATCH(G3684,ctaNom,0)),"")&lt;&gt;"Tarjeta de crédito"),"⚠ «Hacia» debe ser la tarjeta",IF(AND(I3684="Trading",IFERROR(INDEX(ctaTipo,MATCH(E3684,ctaNom,0)),"")&lt;&gt;"Cuenta de trading"),"⚠ Usa la cuenta de trading","✓"))))))))))))</f>
        <v/>
      </c>
      <c r="I3684" s="19">
        <f>IF(OR(B3684="",C3684="",D3684=""),"",IFERROR(INDEX(catTipo,MATCH(D3684,catNom,0))&amp;"",""))</f>
        <v/>
      </c>
      <c r="J3684" s="19">
        <f>IF(I3684="","",IFERROR(INDEX(catGrupo,MATCH(D3684,catNom,0))&amp;"",""))</f>
        <v/>
      </c>
      <c r="K3684" s="19">
        <f>IF(I3684="Gasto",IF(IFERROR(INDEX(catClas,MATCH(D3684,catNom,0))&amp;"","")="","Variable",IFERROR(INDEX(catClas,MATCH(D3684,catNom,0))&amp;"","")),"")</f>
        <v/>
      </c>
      <c r="L3684" s="19">
        <f>IF(I3684="","",IFERROR(INDEX(catAlim,MATCH(D3684,catNom,0))&amp;"",""))</f>
        <v/>
      </c>
      <c r="M3684" s="19">
        <f>IF(I3684="","",IFERROR(INDEX(catComida,MATCH(D3684,catNom,0))&amp;"",""))</f>
        <v/>
      </c>
      <c r="N3684" s="19">
        <f>IF(I3684="","",IFERROR(INDEX(ctaMon,MATCH(E3684,ctaNom,0))&amp;"","DOP"))</f>
        <v/>
      </c>
      <c r="O3684" s="20">
        <f>IF(I3684="","",C3684*IF(N3684="USD",TasaUSD,1))</f>
        <v/>
      </c>
      <c r="P3684" s="20">
        <f>IF(I3684="","",IF(I3684="Gasto",O3684,0))</f>
        <v/>
      </c>
      <c r="Q3684" s="20">
        <f>IF(I3684="","",IF(I3684="Ingreso",O3684,0))</f>
        <v/>
      </c>
      <c r="R3684" s="20">
        <f>IF(I3684="","",IF(I3684="Trading",O3684,0))</f>
        <v/>
      </c>
      <c r="S3684" s="19">
        <f>IF(I3684="","",IF(AND(I3684="Gasto",K3684="Variable",J3684&lt;&gt;"Trading",O3684&gt;0,O3684&lt;=Umbral),1,0))</f>
        <v/>
      </c>
      <c r="T3684" s="20">
        <f>IF(OR(I3684="",E3684=""),"",IF(OR(I3684="Gasto",I3684="Transferencia",I3684="Pago tarjeta"),-1,1)*C3684)</f>
        <v/>
      </c>
      <c r="U3684" s="20">
        <f>IF(OR(G3684="",AND(I3684&lt;&gt;"Transferencia",I3684&lt;&gt;"Pago tarjeta")),"",IF(IFERROR(INDEX(ctaMon,MATCH(G3684,ctaNom,0))&amp;"","DOP")=N3684,C3684,IF(N3684="USD",C3684*TasaUSD,C3684/TasaUSD)))</f>
        <v/>
      </c>
      <c r="V3684" s="20">
        <f>IF(I3684="","",IF(IFERROR(INDEX(ctaLiq,MATCH(E3684,ctaNom,0))="Sí",FALSE),IF(OR(I3684="Gasto",I3684="Transferencia",I3684="Pago tarjeta"),-1,1)*O3684,0)+IF(AND(U3684&lt;&gt;"",IFERROR(INDEX(ctaLiq,MATCH(G3684,ctaNom,0))="Sí",FALSE)),O3684,0))</f>
        <v/>
      </c>
      <c r="W3684" s="19">
        <f>IF(OR(F3684="",I3684=""),"",IF(COUNTIFS(F$6:F3684,F3684,I$6:I3684,"?*")=1,MAX(W$5:W3683)+1,""))</f>
        <v/>
      </c>
    </row>
    <row r="3685">
      <c r="B3685" s="15" t="n"/>
      <c r="C3685" s="16" t="n"/>
      <c r="D3685" s="17" t="n"/>
      <c r="E3685" s="17" t="n"/>
      <c r="F3685" s="17" t="n"/>
      <c r="G3685" s="17" t="n"/>
      <c r="H3685" s="18">
        <f>IF(AND(B3685="",C3685="",D3685="",E3685=""),"",IF(B3685="","⚠ Falta fecha",IF(C3685="","⚠ Falta monto",IF(D3685="","⚠ Falta categoría",IF(ISNA(MATCH(D3685,catNom,0)),"⚠ Categoría no existe",IF(E3685="","⚠ Falta cuenta",IF(ISNA(MATCH(E3685,ctaNom,0)),"⚠ Cuenta no existe",IF(AND(OR(I3685="Transferencia",I3685="Pago tarjeta"),G3685=""),"⚠ Indica la cuenta «Hacia»",IF(AND(G3685&lt;&gt;"",G3685=E3685),"⚠ «Hacia» igual a la cuenta",IF(AND(G3685&lt;&gt;"",ISNA(MATCH(G3685,ctaNom,0))),"⚠ «Hacia» no existe",IF(AND(I3685="Pago tarjeta",IFERROR(INDEX(ctaTipo,MATCH(G3685,ctaNom,0)),"")&lt;&gt;"Tarjeta de crédito"),"⚠ «Hacia» debe ser la tarjeta",IF(AND(I3685="Trading",IFERROR(INDEX(ctaTipo,MATCH(E3685,ctaNom,0)),"")&lt;&gt;"Cuenta de trading"),"⚠ Usa la cuenta de trading","✓"))))))))))))</f>
        <v/>
      </c>
      <c r="I3685" s="19">
        <f>IF(OR(B3685="",C3685="",D3685=""),"",IFERROR(INDEX(catTipo,MATCH(D3685,catNom,0))&amp;"",""))</f>
        <v/>
      </c>
      <c r="J3685" s="19">
        <f>IF(I3685="","",IFERROR(INDEX(catGrupo,MATCH(D3685,catNom,0))&amp;"",""))</f>
        <v/>
      </c>
      <c r="K3685" s="19">
        <f>IF(I3685="Gasto",IF(IFERROR(INDEX(catClas,MATCH(D3685,catNom,0))&amp;"","")="","Variable",IFERROR(INDEX(catClas,MATCH(D3685,catNom,0))&amp;"","")),"")</f>
        <v/>
      </c>
      <c r="L3685" s="19">
        <f>IF(I3685="","",IFERROR(INDEX(catAlim,MATCH(D3685,catNom,0))&amp;"",""))</f>
        <v/>
      </c>
      <c r="M3685" s="19">
        <f>IF(I3685="","",IFERROR(INDEX(catComida,MATCH(D3685,catNom,0))&amp;"",""))</f>
        <v/>
      </c>
      <c r="N3685" s="19">
        <f>IF(I3685="","",IFERROR(INDEX(ctaMon,MATCH(E3685,ctaNom,0))&amp;"","DOP"))</f>
        <v/>
      </c>
      <c r="O3685" s="20">
        <f>IF(I3685="","",C3685*IF(N3685="USD",TasaUSD,1))</f>
        <v/>
      </c>
      <c r="P3685" s="20">
        <f>IF(I3685="","",IF(I3685="Gasto",O3685,0))</f>
        <v/>
      </c>
      <c r="Q3685" s="20">
        <f>IF(I3685="","",IF(I3685="Ingreso",O3685,0))</f>
        <v/>
      </c>
      <c r="R3685" s="20">
        <f>IF(I3685="","",IF(I3685="Trading",O3685,0))</f>
        <v/>
      </c>
      <c r="S3685" s="19">
        <f>IF(I3685="","",IF(AND(I3685="Gasto",K3685="Variable",J3685&lt;&gt;"Trading",O3685&gt;0,O3685&lt;=Umbral),1,0))</f>
        <v/>
      </c>
      <c r="T3685" s="20">
        <f>IF(OR(I3685="",E3685=""),"",IF(OR(I3685="Gasto",I3685="Transferencia",I3685="Pago tarjeta"),-1,1)*C3685)</f>
        <v/>
      </c>
      <c r="U3685" s="20">
        <f>IF(OR(G3685="",AND(I3685&lt;&gt;"Transferencia",I3685&lt;&gt;"Pago tarjeta")),"",IF(IFERROR(INDEX(ctaMon,MATCH(G3685,ctaNom,0))&amp;"","DOP")=N3685,C3685,IF(N3685="USD",C3685*TasaUSD,C3685/TasaUSD)))</f>
        <v/>
      </c>
      <c r="V3685" s="20">
        <f>IF(I3685="","",IF(IFERROR(INDEX(ctaLiq,MATCH(E3685,ctaNom,0))="Sí",FALSE),IF(OR(I3685="Gasto",I3685="Transferencia",I3685="Pago tarjeta"),-1,1)*O3685,0)+IF(AND(U3685&lt;&gt;"",IFERROR(INDEX(ctaLiq,MATCH(G3685,ctaNom,0))="Sí",FALSE)),O3685,0))</f>
        <v/>
      </c>
      <c r="W3685" s="19">
        <f>IF(OR(F3685="",I3685=""),"",IF(COUNTIFS(F$6:F3685,F3685,I$6:I3685,"?*")=1,MAX(W$5:W3684)+1,""))</f>
        <v/>
      </c>
    </row>
    <row r="3686">
      <c r="B3686" s="15" t="n"/>
      <c r="C3686" s="16" t="n"/>
      <c r="D3686" s="17" t="n"/>
      <c r="E3686" s="17" t="n"/>
      <c r="F3686" s="17" t="n"/>
      <c r="G3686" s="17" t="n"/>
      <c r="H3686" s="18">
        <f>IF(AND(B3686="",C3686="",D3686="",E3686=""),"",IF(B3686="","⚠ Falta fecha",IF(C3686="","⚠ Falta monto",IF(D3686="","⚠ Falta categoría",IF(ISNA(MATCH(D3686,catNom,0)),"⚠ Categoría no existe",IF(E3686="","⚠ Falta cuenta",IF(ISNA(MATCH(E3686,ctaNom,0)),"⚠ Cuenta no existe",IF(AND(OR(I3686="Transferencia",I3686="Pago tarjeta"),G3686=""),"⚠ Indica la cuenta «Hacia»",IF(AND(G3686&lt;&gt;"",G3686=E3686),"⚠ «Hacia» igual a la cuenta",IF(AND(G3686&lt;&gt;"",ISNA(MATCH(G3686,ctaNom,0))),"⚠ «Hacia» no existe",IF(AND(I3686="Pago tarjeta",IFERROR(INDEX(ctaTipo,MATCH(G3686,ctaNom,0)),"")&lt;&gt;"Tarjeta de crédito"),"⚠ «Hacia» debe ser la tarjeta",IF(AND(I3686="Trading",IFERROR(INDEX(ctaTipo,MATCH(E3686,ctaNom,0)),"")&lt;&gt;"Cuenta de trading"),"⚠ Usa la cuenta de trading","✓"))))))))))))</f>
        <v/>
      </c>
      <c r="I3686" s="19">
        <f>IF(OR(B3686="",C3686="",D3686=""),"",IFERROR(INDEX(catTipo,MATCH(D3686,catNom,0))&amp;"",""))</f>
        <v/>
      </c>
      <c r="J3686" s="19">
        <f>IF(I3686="","",IFERROR(INDEX(catGrupo,MATCH(D3686,catNom,0))&amp;"",""))</f>
        <v/>
      </c>
      <c r="K3686" s="19">
        <f>IF(I3686="Gasto",IF(IFERROR(INDEX(catClas,MATCH(D3686,catNom,0))&amp;"","")="","Variable",IFERROR(INDEX(catClas,MATCH(D3686,catNom,0))&amp;"","")),"")</f>
        <v/>
      </c>
      <c r="L3686" s="19">
        <f>IF(I3686="","",IFERROR(INDEX(catAlim,MATCH(D3686,catNom,0))&amp;"",""))</f>
        <v/>
      </c>
      <c r="M3686" s="19">
        <f>IF(I3686="","",IFERROR(INDEX(catComida,MATCH(D3686,catNom,0))&amp;"",""))</f>
        <v/>
      </c>
      <c r="N3686" s="19">
        <f>IF(I3686="","",IFERROR(INDEX(ctaMon,MATCH(E3686,ctaNom,0))&amp;"","DOP"))</f>
        <v/>
      </c>
      <c r="O3686" s="20">
        <f>IF(I3686="","",C3686*IF(N3686="USD",TasaUSD,1))</f>
        <v/>
      </c>
      <c r="P3686" s="20">
        <f>IF(I3686="","",IF(I3686="Gasto",O3686,0))</f>
        <v/>
      </c>
      <c r="Q3686" s="20">
        <f>IF(I3686="","",IF(I3686="Ingreso",O3686,0))</f>
        <v/>
      </c>
      <c r="R3686" s="20">
        <f>IF(I3686="","",IF(I3686="Trading",O3686,0))</f>
        <v/>
      </c>
      <c r="S3686" s="19">
        <f>IF(I3686="","",IF(AND(I3686="Gasto",K3686="Variable",J3686&lt;&gt;"Trading",O3686&gt;0,O3686&lt;=Umbral),1,0))</f>
        <v/>
      </c>
      <c r="T3686" s="20">
        <f>IF(OR(I3686="",E3686=""),"",IF(OR(I3686="Gasto",I3686="Transferencia",I3686="Pago tarjeta"),-1,1)*C3686)</f>
        <v/>
      </c>
      <c r="U3686" s="20">
        <f>IF(OR(G3686="",AND(I3686&lt;&gt;"Transferencia",I3686&lt;&gt;"Pago tarjeta")),"",IF(IFERROR(INDEX(ctaMon,MATCH(G3686,ctaNom,0))&amp;"","DOP")=N3686,C3686,IF(N3686="USD",C3686*TasaUSD,C3686/TasaUSD)))</f>
        <v/>
      </c>
      <c r="V3686" s="20">
        <f>IF(I3686="","",IF(IFERROR(INDEX(ctaLiq,MATCH(E3686,ctaNom,0))="Sí",FALSE),IF(OR(I3686="Gasto",I3686="Transferencia",I3686="Pago tarjeta"),-1,1)*O3686,0)+IF(AND(U3686&lt;&gt;"",IFERROR(INDEX(ctaLiq,MATCH(G3686,ctaNom,0))="Sí",FALSE)),O3686,0))</f>
        <v/>
      </c>
      <c r="W3686" s="19">
        <f>IF(OR(F3686="",I3686=""),"",IF(COUNTIFS(F$6:F3686,F3686,I$6:I3686,"?*")=1,MAX(W$5:W3685)+1,""))</f>
        <v/>
      </c>
    </row>
    <row r="3687">
      <c r="B3687" s="15" t="n"/>
      <c r="C3687" s="16" t="n"/>
      <c r="D3687" s="17" t="n"/>
      <c r="E3687" s="17" t="n"/>
      <c r="F3687" s="17" t="n"/>
      <c r="G3687" s="17" t="n"/>
      <c r="H3687" s="18">
        <f>IF(AND(B3687="",C3687="",D3687="",E3687=""),"",IF(B3687="","⚠ Falta fecha",IF(C3687="","⚠ Falta monto",IF(D3687="","⚠ Falta categoría",IF(ISNA(MATCH(D3687,catNom,0)),"⚠ Categoría no existe",IF(E3687="","⚠ Falta cuenta",IF(ISNA(MATCH(E3687,ctaNom,0)),"⚠ Cuenta no existe",IF(AND(OR(I3687="Transferencia",I3687="Pago tarjeta"),G3687=""),"⚠ Indica la cuenta «Hacia»",IF(AND(G3687&lt;&gt;"",G3687=E3687),"⚠ «Hacia» igual a la cuenta",IF(AND(G3687&lt;&gt;"",ISNA(MATCH(G3687,ctaNom,0))),"⚠ «Hacia» no existe",IF(AND(I3687="Pago tarjeta",IFERROR(INDEX(ctaTipo,MATCH(G3687,ctaNom,0)),"")&lt;&gt;"Tarjeta de crédito"),"⚠ «Hacia» debe ser la tarjeta",IF(AND(I3687="Trading",IFERROR(INDEX(ctaTipo,MATCH(E3687,ctaNom,0)),"")&lt;&gt;"Cuenta de trading"),"⚠ Usa la cuenta de trading","✓"))))))))))))</f>
        <v/>
      </c>
      <c r="I3687" s="19">
        <f>IF(OR(B3687="",C3687="",D3687=""),"",IFERROR(INDEX(catTipo,MATCH(D3687,catNom,0))&amp;"",""))</f>
        <v/>
      </c>
      <c r="J3687" s="19">
        <f>IF(I3687="","",IFERROR(INDEX(catGrupo,MATCH(D3687,catNom,0))&amp;"",""))</f>
        <v/>
      </c>
      <c r="K3687" s="19">
        <f>IF(I3687="Gasto",IF(IFERROR(INDEX(catClas,MATCH(D3687,catNom,0))&amp;"","")="","Variable",IFERROR(INDEX(catClas,MATCH(D3687,catNom,0))&amp;"","")),"")</f>
        <v/>
      </c>
      <c r="L3687" s="19">
        <f>IF(I3687="","",IFERROR(INDEX(catAlim,MATCH(D3687,catNom,0))&amp;"",""))</f>
        <v/>
      </c>
      <c r="M3687" s="19">
        <f>IF(I3687="","",IFERROR(INDEX(catComida,MATCH(D3687,catNom,0))&amp;"",""))</f>
        <v/>
      </c>
      <c r="N3687" s="19">
        <f>IF(I3687="","",IFERROR(INDEX(ctaMon,MATCH(E3687,ctaNom,0))&amp;"","DOP"))</f>
        <v/>
      </c>
      <c r="O3687" s="20">
        <f>IF(I3687="","",C3687*IF(N3687="USD",TasaUSD,1))</f>
        <v/>
      </c>
      <c r="P3687" s="20">
        <f>IF(I3687="","",IF(I3687="Gasto",O3687,0))</f>
        <v/>
      </c>
      <c r="Q3687" s="20">
        <f>IF(I3687="","",IF(I3687="Ingreso",O3687,0))</f>
        <v/>
      </c>
      <c r="R3687" s="20">
        <f>IF(I3687="","",IF(I3687="Trading",O3687,0))</f>
        <v/>
      </c>
      <c r="S3687" s="19">
        <f>IF(I3687="","",IF(AND(I3687="Gasto",K3687="Variable",J3687&lt;&gt;"Trading",O3687&gt;0,O3687&lt;=Umbral),1,0))</f>
        <v/>
      </c>
      <c r="T3687" s="20">
        <f>IF(OR(I3687="",E3687=""),"",IF(OR(I3687="Gasto",I3687="Transferencia",I3687="Pago tarjeta"),-1,1)*C3687)</f>
        <v/>
      </c>
      <c r="U3687" s="20">
        <f>IF(OR(G3687="",AND(I3687&lt;&gt;"Transferencia",I3687&lt;&gt;"Pago tarjeta")),"",IF(IFERROR(INDEX(ctaMon,MATCH(G3687,ctaNom,0))&amp;"","DOP")=N3687,C3687,IF(N3687="USD",C3687*TasaUSD,C3687/TasaUSD)))</f>
        <v/>
      </c>
      <c r="V3687" s="20">
        <f>IF(I3687="","",IF(IFERROR(INDEX(ctaLiq,MATCH(E3687,ctaNom,0))="Sí",FALSE),IF(OR(I3687="Gasto",I3687="Transferencia",I3687="Pago tarjeta"),-1,1)*O3687,0)+IF(AND(U3687&lt;&gt;"",IFERROR(INDEX(ctaLiq,MATCH(G3687,ctaNom,0))="Sí",FALSE)),O3687,0))</f>
        <v/>
      </c>
      <c r="W3687" s="19">
        <f>IF(OR(F3687="",I3687=""),"",IF(COUNTIFS(F$6:F3687,F3687,I$6:I3687,"?*")=1,MAX(W$5:W3686)+1,""))</f>
        <v/>
      </c>
    </row>
    <row r="3688">
      <c r="B3688" s="15" t="n"/>
      <c r="C3688" s="16" t="n"/>
      <c r="D3688" s="17" t="n"/>
      <c r="E3688" s="17" t="n"/>
      <c r="F3688" s="17" t="n"/>
      <c r="G3688" s="17" t="n"/>
      <c r="H3688" s="18">
        <f>IF(AND(B3688="",C3688="",D3688="",E3688=""),"",IF(B3688="","⚠ Falta fecha",IF(C3688="","⚠ Falta monto",IF(D3688="","⚠ Falta categoría",IF(ISNA(MATCH(D3688,catNom,0)),"⚠ Categoría no existe",IF(E3688="","⚠ Falta cuenta",IF(ISNA(MATCH(E3688,ctaNom,0)),"⚠ Cuenta no existe",IF(AND(OR(I3688="Transferencia",I3688="Pago tarjeta"),G3688=""),"⚠ Indica la cuenta «Hacia»",IF(AND(G3688&lt;&gt;"",G3688=E3688),"⚠ «Hacia» igual a la cuenta",IF(AND(G3688&lt;&gt;"",ISNA(MATCH(G3688,ctaNom,0))),"⚠ «Hacia» no existe",IF(AND(I3688="Pago tarjeta",IFERROR(INDEX(ctaTipo,MATCH(G3688,ctaNom,0)),"")&lt;&gt;"Tarjeta de crédito"),"⚠ «Hacia» debe ser la tarjeta",IF(AND(I3688="Trading",IFERROR(INDEX(ctaTipo,MATCH(E3688,ctaNom,0)),"")&lt;&gt;"Cuenta de trading"),"⚠ Usa la cuenta de trading","✓"))))))))))))</f>
        <v/>
      </c>
      <c r="I3688" s="19">
        <f>IF(OR(B3688="",C3688="",D3688=""),"",IFERROR(INDEX(catTipo,MATCH(D3688,catNom,0))&amp;"",""))</f>
        <v/>
      </c>
      <c r="J3688" s="19">
        <f>IF(I3688="","",IFERROR(INDEX(catGrupo,MATCH(D3688,catNom,0))&amp;"",""))</f>
        <v/>
      </c>
      <c r="K3688" s="19">
        <f>IF(I3688="Gasto",IF(IFERROR(INDEX(catClas,MATCH(D3688,catNom,0))&amp;"","")="","Variable",IFERROR(INDEX(catClas,MATCH(D3688,catNom,0))&amp;"","")),"")</f>
        <v/>
      </c>
      <c r="L3688" s="19">
        <f>IF(I3688="","",IFERROR(INDEX(catAlim,MATCH(D3688,catNom,0))&amp;"",""))</f>
        <v/>
      </c>
      <c r="M3688" s="19">
        <f>IF(I3688="","",IFERROR(INDEX(catComida,MATCH(D3688,catNom,0))&amp;"",""))</f>
        <v/>
      </c>
      <c r="N3688" s="19">
        <f>IF(I3688="","",IFERROR(INDEX(ctaMon,MATCH(E3688,ctaNom,0))&amp;"","DOP"))</f>
        <v/>
      </c>
      <c r="O3688" s="20">
        <f>IF(I3688="","",C3688*IF(N3688="USD",TasaUSD,1))</f>
        <v/>
      </c>
      <c r="P3688" s="20">
        <f>IF(I3688="","",IF(I3688="Gasto",O3688,0))</f>
        <v/>
      </c>
      <c r="Q3688" s="20">
        <f>IF(I3688="","",IF(I3688="Ingreso",O3688,0))</f>
        <v/>
      </c>
      <c r="R3688" s="20">
        <f>IF(I3688="","",IF(I3688="Trading",O3688,0))</f>
        <v/>
      </c>
      <c r="S3688" s="19">
        <f>IF(I3688="","",IF(AND(I3688="Gasto",K3688="Variable",J3688&lt;&gt;"Trading",O3688&gt;0,O3688&lt;=Umbral),1,0))</f>
        <v/>
      </c>
      <c r="T3688" s="20">
        <f>IF(OR(I3688="",E3688=""),"",IF(OR(I3688="Gasto",I3688="Transferencia",I3688="Pago tarjeta"),-1,1)*C3688)</f>
        <v/>
      </c>
      <c r="U3688" s="20">
        <f>IF(OR(G3688="",AND(I3688&lt;&gt;"Transferencia",I3688&lt;&gt;"Pago tarjeta")),"",IF(IFERROR(INDEX(ctaMon,MATCH(G3688,ctaNom,0))&amp;"","DOP")=N3688,C3688,IF(N3688="USD",C3688*TasaUSD,C3688/TasaUSD)))</f>
        <v/>
      </c>
      <c r="V3688" s="20">
        <f>IF(I3688="","",IF(IFERROR(INDEX(ctaLiq,MATCH(E3688,ctaNom,0))="Sí",FALSE),IF(OR(I3688="Gasto",I3688="Transferencia",I3688="Pago tarjeta"),-1,1)*O3688,0)+IF(AND(U3688&lt;&gt;"",IFERROR(INDEX(ctaLiq,MATCH(G3688,ctaNom,0))="Sí",FALSE)),O3688,0))</f>
        <v/>
      </c>
      <c r="W3688" s="19">
        <f>IF(OR(F3688="",I3688=""),"",IF(COUNTIFS(F$6:F3688,F3688,I$6:I3688,"?*")=1,MAX(W$5:W3687)+1,""))</f>
        <v/>
      </c>
    </row>
    <row r="3689">
      <c r="B3689" s="15" t="n"/>
      <c r="C3689" s="16" t="n"/>
      <c r="D3689" s="17" t="n"/>
      <c r="E3689" s="17" t="n"/>
      <c r="F3689" s="17" t="n"/>
      <c r="G3689" s="17" t="n"/>
      <c r="H3689" s="18">
        <f>IF(AND(B3689="",C3689="",D3689="",E3689=""),"",IF(B3689="","⚠ Falta fecha",IF(C3689="","⚠ Falta monto",IF(D3689="","⚠ Falta categoría",IF(ISNA(MATCH(D3689,catNom,0)),"⚠ Categoría no existe",IF(E3689="","⚠ Falta cuenta",IF(ISNA(MATCH(E3689,ctaNom,0)),"⚠ Cuenta no existe",IF(AND(OR(I3689="Transferencia",I3689="Pago tarjeta"),G3689=""),"⚠ Indica la cuenta «Hacia»",IF(AND(G3689&lt;&gt;"",G3689=E3689),"⚠ «Hacia» igual a la cuenta",IF(AND(G3689&lt;&gt;"",ISNA(MATCH(G3689,ctaNom,0))),"⚠ «Hacia» no existe",IF(AND(I3689="Pago tarjeta",IFERROR(INDEX(ctaTipo,MATCH(G3689,ctaNom,0)),"")&lt;&gt;"Tarjeta de crédito"),"⚠ «Hacia» debe ser la tarjeta",IF(AND(I3689="Trading",IFERROR(INDEX(ctaTipo,MATCH(E3689,ctaNom,0)),"")&lt;&gt;"Cuenta de trading"),"⚠ Usa la cuenta de trading","✓"))))))))))))</f>
        <v/>
      </c>
      <c r="I3689" s="19">
        <f>IF(OR(B3689="",C3689="",D3689=""),"",IFERROR(INDEX(catTipo,MATCH(D3689,catNom,0))&amp;"",""))</f>
        <v/>
      </c>
      <c r="J3689" s="19">
        <f>IF(I3689="","",IFERROR(INDEX(catGrupo,MATCH(D3689,catNom,0))&amp;"",""))</f>
        <v/>
      </c>
      <c r="K3689" s="19">
        <f>IF(I3689="Gasto",IF(IFERROR(INDEX(catClas,MATCH(D3689,catNom,0))&amp;"","")="","Variable",IFERROR(INDEX(catClas,MATCH(D3689,catNom,0))&amp;"","")),"")</f>
        <v/>
      </c>
      <c r="L3689" s="19">
        <f>IF(I3689="","",IFERROR(INDEX(catAlim,MATCH(D3689,catNom,0))&amp;"",""))</f>
        <v/>
      </c>
      <c r="M3689" s="19">
        <f>IF(I3689="","",IFERROR(INDEX(catComida,MATCH(D3689,catNom,0))&amp;"",""))</f>
        <v/>
      </c>
      <c r="N3689" s="19">
        <f>IF(I3689="","",IFERROR(INDEX(ctaMon,MATCH(E3689,ctaNom,0))&amp;"","DOP"))</f>
        <v/>
      </c>
      <c r="O3689" s="20">
        <f>IF(I3689="","",C3689*IF(N3689="USD",TasaUSD,1))</f>
        <v/>
      </c>
      <c r="P3689" s="20">
        <f>IF(I3689="","",IF(I3689="Gasto",O3689,0))</f>
        <v/>
      </c>
      <c r="Q3689" s="20">
        <f>IF(I3689="","",IF(I3689="Ingreso",O3689,0))</f>
        <v/>
      </c>
      <c r="R3689" s="20">
        <f>IF(I3689="","",IF(I3689="Trading",O3689,0))</f>
        <v/>
      </c>
      <c r="S3689" s="19">
        <f>IF(I3689="","",IF(AND(I3689="Gasto",K3689="Variable",J3689&lt;&gt;"Trading",O3689&gt;0,O3689&lt;=Umbral),1,0))</f>
        <v/>
      </c>
      <c r="T3689" s="20">
        <f>IF(OR(I3689="",E3689=""),"",IF(OR(I3689="Gasto",I3689="Transferencia",I3689="Pago tarjeta"),-1,1)*C3689)</f>
        <v/>
      </c>
      <c r="U3689" s="20">
        <f>IF(OR(G3689="",AND(I3689&lt;&gt;"Transferencia",I3689&lt;&gt;"Pago tarjeta")),"",IF(IFERROR(INDEX(ctaMon,MATCH(G3689,ctaNom,0))&amp;"","DOP")=N3689,C3689,IF(N3689="USD",C3689*TasaUSD,C3689/TasaUSD)))</f>
        <v/>
      </c>
      <c r="V3689" s="20">
        <f>IF(I3689="","",IF(IFERROR(INDEX(ctaLiq,MATCH(E3689,ctaNom,0))="Sí",FALSE),IF(OR(I3689="Gasto",I3689="Transferencia",I3689="Pago tarjeta"),-1,1)*O3689,0)+IF(AND(U3689&lt;&gt;"",IFERROR(INDEX(ctaLiq,MATCH(G3689,ctaNom,0))="Sí",FALSE)),O3689,0))</f>
        <v/>
      </c>
      <c r="W3689" s="19">
        <f>IF(OR(F3689="",I3689=""),"",IF(COUNTIFS(F$6:F3689,F3689,I$6:I3689,"?*")=1,MAX(W$5:W3688)+1,""))</f>
        <v/>
      </c>
    </row>
    <row r="3690">
      <c r="B3690" s="15" t="n"/>
      <c r="C3690" s="16" t="n"/>
      <c r="D3690" s="17" t="n"/>
      <c r="E3690" s="17" t="n"/>
      <c r="F3690" s="17" t="n"/>
      <c r="G3690" s="17" t="n"/>
      <c r="H3690" s="18">
        <f>IF(AND(B3690="",C3690="",D3690="",E3690=""),"",IF(B3690="","⚠ Falta fecha",IF(C3690="","⚠ Falta monto",IF(D3690="","⚠ Falta categoría",IF(ISNA(MATCH(D3690,catNom,0)),"⚠ Categoría no existe",IF(E3690="","⚠ Falta cuenta",IF(ISNA(MATCH(E3690,ctaNom,0)),"⚠ Cuenta no existe",IF(AND(OR(I3690="Transferencia",I3690="Pago tarjeta"),G3690=""),"⚠ Indica la cuenta «Hacia»",IF(AND(G3690&lt;&gt;"",G3690=E3690),"⚠ «Hacia» igual a la cuenta",IF(AND(G3690&lt;&gt;"",ISNA(MATCH(G3690,ctaNom,0))),"⚠ «Hacia» no existe",IF(AND(I3690="Pago tarjeta",IFERROR(INDEX(ctaTipo,MATCH(G3690,ctaNom,0)),"")&lt;&gt;"Tarjeta de crédito"),"⚠ «Hacia» debe ser la tarjeta",IF(AND(I3690="Trading",IFERROR(INDEX(ctaTipo,MATCH(E3690,ctaNom,0)),"")&lt;&gt;"Cuenta de trading"),"⚠ Usa la cuenta de trading","✓"))))))))))))</f>
        <v/>
      </c>
      <c r="I3690" s="19">
        <f>IF(OR(B3690="",C3690="",D3690=""),"",IFERROR(INDEX(catTipo,MATCH(D3690,catNom,0))&amp;"",""))</f>
        <v/>
      </c>
      <c r="J3690" s="19">
        <f>IF(I3690="","",IFERROR(INDEX(catGrupo,MATCH(D3690,catNom,0))&amp;"",""))</f>
        <v/>
      </c>
      <c r="K3690" s="19">
        <f>IF(I3690="Gasto",IF(IFERROR(INDEX(catClas,MATCH(D3690,catNom,0))&amp;"","")="","Variable",IFERROR(INDEX(catClas,MATCH(D3690,catNom,0))&amp;"","")),"")</f>
        <v/>
      </c>
      <c r="L3690" s="19">
        <f>IF(I3690="","",IFERROR(INDEX(catAlim,MATCH(D3690,catNom,0))&amp;"",""))</f>
        <v/>
      </c>
      <c r="M3690" s="19">
        <f>IF(I3690="","",IFERROR(INDEX(catComida,MATCH(D3690,catNom,0))&amp;"",""))</f>
        <v/>
      </c>
      <c r="N3690" s="19">
        <f>IF(I3690="","",IFERROR(INDEX(ctaMon,MATCH(E3690,ctaNom,0))&amp;"","DOP"))</f>
        <v/>
      </c>
      <c r="O3690" s="20">
        <f>IF(I3690="","",C3690*IF(N3690="USD",TasaUSD,1))</f>
        <v/>
      </c>
      <c r="P3690" s="20">
        <f>IF(I3690="","",IF(I3690="Gasto",O3690,0))</f>
        <v/>
      </c>
      <c r="Q3690" s="20">
        <f>IF(I3690="","",IF(I3690="Ingreso",O3690,0))</f>
        <v/>
      </c>
      <c r="R3690" s="20">
        <f>IF(I3690="","",IF(I3690="Trading",O3690,0))</f>
        <v/>
      </c>
      <c r="S3690" s="19">
        <f>IF(I3690="","",IF(AND(I3690="Gasto",K3690="Variable",J3690&lt;&gt;"Trading",O3690&gt;0,O3690&lt;=Umbral),1,0))</f>
        <v/>
      </c>
      <c r="T3690" s="20">
        <f>IF(OR(I3690="",E3690=""),"",IF(OR(I3690="Gasto",I3690="Transferencia",I3690="Pago tarjeta"),-1,1)*C3690)</f>
        <v/>
      </c>
      <c r="U3690" s="20">
        <f>IF(OR(G3690="",AND(I3690&lt;&gt;"Transferencia",I3690&lt;&gt;"Pago tarjeta")),"",IF(IFERROR(INDEX(ctaMon,MATCH(G3690,ctaNom,0))&amp;"","DOP")=N3690,C3690,IF(N3690="USD",C3690*TasaUSD,C3690/TasaUSD)))</f>
        <v/>
      </c>
      <c r="V3690" s="20">
        <f>IF(I3690="","",IF(IFERROR(INDEX(ctaLiq,MATCH(E3690,ctaNom,0))="Sí",FALSE),IF(OR(I3690="Gasto",I3690="Transferencia",I3690="Pago tarjeta"),-1,1)*O3690,0)+IF(AND(U3690&lt;&gt;"",IFERROR(INDEX(ctaLiq,MATCH(G3690,ctaNom,0))="Sí",FALSE)),O3690,0))</f>
        <v/>
      </c>
      <c r="W3690" s="19">
        <f>IF(OR(F3690="",I3690=""),"",IF(COUNTIFS(F$6:F3690,F3690,I$6:I3690,"?*")=1,MAX(W$5:W3689)+1,""))</f>
        <v/>
      </c>
    </row>
    <row r="3691">
      <c r="B3691" s="15" t="n"/>
      <c r="C3691" s="16" t="n"/>
      <c r="D3691" s="17" t="n"/>
      <c r="E3691" s="17" t="n"/>
      <c r="F3691" s="17" t="n"/>
      <c r="G3691" s="17" t="n"/>
      <c r="H3691" s="18">
        <f>IF(AND(B3691="",C3691="",D3691="",E3691=""),"",IF(B3691="","⚠ Falta fecha",IF(C3691="","⚠ Falta monto",IF(D3691="","⚠ Falta categoría",IF(ISNA(MATCH(D3691,catNom,0)),"⚠ Categoría no existe",IF(E3691="","⚠ Falta cuenta",IF(ISNA(MATCH(E3691,ctaNom,0)),"⚠ Cuenta no existe",IF(AND(OR(I3691="Transferencia",I3691="Pago tarjeta"),G3691=""),"⚠ Indica la cuenta «Hacia»",IF(AND(G3691&lt;&gt;"",G3691=E3691),"⚠ «Hacia» igual a la cuenta",IF(AND(G3691&lt;&gt;"",ISNA(MATCH(G3691,ctaNom,0))),"⚠ «Hacia» no existe",IF(AND(I3691="Pago tarjeta",IFERROR(INDEX(ctaTipo,MATCH(G3691,ctaNom,0)),"")&lt;&gt;"Tarjeta de crédito"),"⚠ «Hacia» debe ser la tarjeta",IF(AND(I3691="Trading",IFERROR(INDEX(ctaTipo,MATCH(E3691,ctaNom,0)),"")&lt;&gt;"Cuenta de trading"),"⚠ Usa la cuenta de trading","✓"))))))))))))</f>
        <v/>
      </c>
      <c r="I3691" s="19">
        <f>IF(OR(B3691="",C3691="",D3691=""),"",IFERROR(INDEX(catTipo,MATCH(D3691,catNom,0))&amp;"",""))</f>
        <v/>
      </c>
      <c r="J3691" s="19">
        <f>IF(I3691="","",IFERROR(INDEX(catGrupo,MATCH(D3691,catNom,0))&amp;"",""))</f>
        <v/>
      </c>
      <c r="K3691" s="19">
        <f>IF(I3691="Gasto",IF(IFERROR(INDEX(catClas,MATCH(D3691,catNom,0))&amp;"","")="","Variable",IFERROR(INDEX(catClas,MATCH(D3691,catNom,0))&amp;"","")),"")</f>
        <v/>
      </c>
      <c r="L3691" s="19">
        <f>IF(I3691="","",IFERROR(INDEX(catAlim,MATCH(D3691,catNom,0))&amp;"",""))</f>
        <v/>
      </c>
      <c r="M3691" s="19">
        <f>IF(I3691="","",IFERROR(INDEX(catComida,MATCH(D3691,catNom,0))&amp;"",""))</f>
        <v/>
      </c>
      <c r="N3691" s="19">
        <f>IF(I3691="","",IFERROR(INDEX(ctaMon,MATCH(E3691,ctaNom,0))&amp;"","DOP"))</f>
        <v/>
      </c>
      <c r="O3691" s="20">
        <f>IF(I3691="","",C3691*IF(N3691="USD",TasaUSD,1))</f>
        <v/>
      </c>
      <c r="P3691" s="20">
        <f>IF(I3691="","",IF(I3691="Gasto",O3691,0))</f>
        <v/>
      </c>
      <c r="Q3691" s="20">
        <f>IF(I3691="","",IF(I3691="Ingreso",O3691,0))</f>
        <v/>
      </c>
      <c r="R3691" s="20">
        <f>IF(I3691="","",IF(I3691="Trading",O3691,0))</f>
        <v/>
      </c>
      <c r="S3691" s="19">
        <f>IF(I3691="","",IF(AND(I3691="Gasto",K3691="Variable",J3691&lt;&gt;"Trading",O3691&gt;0,O3691&lt;=Umbral),1,0))</f>
        <v/>
      </c>
      <c r="T3691" s="20">
        <f>IF(OR(I3691="",E3691=""),"",IF(OR(I3691="Gasto",I3691="Transferencia",I3691="Pago tarjeta"),-1,1)*C3691)</f>
        <v/>
      </c>
      <c r="U3691" s="20">
        <f>IF(OR(G3691="",AND(I3691&lt;&gt;"Transferencia",I3691&lt;&gt;"Pago tarjeta")),"",IF(IFERROR(INDEX(ctaMon,MATCH(G3691,ctaNom,0))&amp;"","DOP")=N3691,C3691,IF(N3691="USD",C3691*TasaUSD,C3691/TasaUSD)))</f>
        <v/>
      </c>
      <c r="V3691" s="20">
        <f>IF(I3691="","",IF(IFERROR(INDEX(ctaLiq,MATCH(E3691,ctaNom,0))="Sí",FALSE),IF(OR(I3691="Gasto",I3691="Transferencia",I3691="Pago tarjeta"),-1,1)*O3691,0)+IF(AND(U3691&lt;&gt;"",IFERROR(INDEX(ctaLiq,MATCH(G3691,ctaNom,0))="Sí",FALSE)),O3691,0))</f>
        <v/>
      </c>
      <c r="W3691" s="19">
        <f>IF(OR(F3691="",I3691=""),"",IF(COUNTIFS(F$6:F3691,F3691,I$6:I3691,"?*")=1,MAX(W$5:W3690)+1,""))</f>
        <v/>
      </c>
    </row>
    <row r="3692">
      <c r="B3692" s="15" t="n"/>
      <c r="C3692" s="16" t="n"/>
      <c r="D3692" s="17" t="n"/>
      <c r="E3692" s="17" t="n"/>
      <c r="F3692" s="17" t="n"/>
      <c r="G3692" s="17" t="n"/>
      <c r="H3692" s="18">
        <f>IF(AND(B3692="",C3692="",D3692="",E3692=""),"",IF(B3692="","⚠ Falta fecha",IF(C3692="","⚠ Falta monto",IF(D3692="","⚠ Falta categoría",IF(ISNA(MATCH(D3692,catNom,0)),"⚠ Categoría no existe",IF(E3692="","⚠ Falta cuenta",IF(ISNA(MATCH(E3692,ctaNom,0)),"⚠ Cuenta no existe",IF(AND(OR(I3692="Transferencia",I3692="Pago tarjeta"),G3692=""),"⚠ Indica la cuenta «Hacia»",IF(AND(G3692&lt;&gt;"",G3692=E3692),"⚠ «Hacia» igual a la cuenta",IF(AND(G3692&lt;&gt;"",ISNA(MATCH(G3692,ctaNom,0))),"⚠ «Hacia» no existe",IF(AND(I3692="Pago tarjeta",IFERROR(INDEX(ctaTipo,MATCH(G3692,ctaNom,0)),"")&lt;&gt;"Tarjeta de crédito"),"⚠ «Hacia» debe ser la tarjeta",IF(AND(I3692="Trading",IFERROR(INDEX(ctaTipo,MATCH(E3692,ctaNom,0)),"")&lt;&gt;"Cuenta de trading"),"⚠ Usa la cuenta de trading","✓"))))))))))))</f>
        <v/>
      </c>
      <c r="I3692" s="19">
        <f>IF(OR(B3692="",C3692="",D3692=""),"",IFERROR(INDEX(catTipo,MATCH(D3692,catNom,0))&amp;"",""))</f>
        <v/>
      </c>
      <c r="J3692" s="19">
        <f>IF(I3692="","",IFERROR(INDEX(catGrupo,MATCH(D3692,catNom,0))&amp;"",""))</f>
        <v/>
      </c>
      <c r="K3692" s="19">
        <f>IF(I3692="Gasto",IF(IFERROR(INDEX(catClas,MATCH(D3692,catNom,0))&amp;"","")="","Variable",IFERROR(INDEX(catClas,MATCH(D3692,catNom,0))&amp;"","")),"")</f>
        <v/>
      </c>
      <c r="L3692" s="19">
        <f>IF(I3692="","",IFERROR(INDEX(catAlim,MATCH(D3692,catNom,0))&amp;"",""))</f>
        <v/>
      </c>
      <c r="M3692" s="19">
        <f>IF(I3692="","",IFERROR(INDEX(catComida,MATCH(D3692,catNom,0))&amp;"",""))</f>
        <v/>
      </c>
      <c r="N3692" s="19">
        <f>IF(I3692="","",IFERROR(INDEX(ctaMon,MATCH(E3692,ctaNom,0))&amp;"","DOP"))</f>
        <v/>
      </c>
      <c r="O3692" s="20">
        <f>IF(I3692="","",C3692*IF(N3692="USD",TasaUSD,1))</f>
        <v/>
      </c>
      <c r="P3692" s="20">
        <f>IF(I3692="","",IF(I3692="Gasto",O3692,0))</f>
        <v/>
      </c>
      <c r="Q3692" s="20">
        <f>IF(I3692="","",IF(I3692="Ingreso",O3692,0))</f>
        <v/>
      </c>
      <c r="R3692" s="20">
        <f>IF(I3692="","",IF(I3692="Trading",O3692,0))</f>
        <v/>
      </c>
      <c r="S3692" s="19">
        <f>IF(I3692="","",IF(AND(I3692="Gasto",K3692="Variable",J3692&lt;&gt;"Trading",O3692&gt;0,O3692&lt;=Umbral),1,0))</f>
        <v/>
      </c>
      <c r="T3692" s="20">
        <f>IF(OR(I3692="",E3692=""),"",IF(OR(I3692="Gasto",I3692="Transferencia",I3692="Pago tarjeta"),-1,1)*C3692)</f>
        <v/>
      </c>
      <c r="U3692" s="20">
        <f>IF(OR(G3692="",AND(I3692&lt;&gt;"Transferencia",I3692&lt;&gt;"Pago tarjeta")),"",IF(IFERROR(INDEX(ctaMon,MATCH(G3692,ctaNom,0))&amp;"","DOP")=N3692,C3692,IF(N3692="USD",C3692*TasaUSD,C3692/TasaUSD)))</f>
        <v/>
      </c>
      <c r="V3692" s="20">
        <f>IF(I3692="","",IF(IFERROR(INDEX(ctaLiq,MATCH(E3692,ctaNom,0))="Sí",FALSE),IF(OR(I3692="Gasto",I3692="Transferencia",I3692="Pago tarjeta"),-1,1)*O3692,0)+IF(AND(U3692&lt;&gt;"",IFERROR(INDEX(ctaLiq,MATCH(G3692,ctaNom,0))="Sí",FALSE)),O3692,0))</f>
        <v/>
      </c>
      <c r="W3692" s="19">
        <f>IF(OR(F3692="",I3692=""),"",IF(COUNTIFS(F$6:F3692,F3692,I$6:I3692,"?*")=1,MAX(W$5:W3691)+1,""))</f>
        <v/>
      </c>
    </row>
    <row r="3693">
      <c r="B3693" s="15" t="n"/>
      <c r="C3693" s="16" t="n"/>
      <c r="D3693" s="17" t="n"/>
      <c r="E3693" s="17" t="n"/>
      <c r="F3693" s="17" t="n"/>
      <c r="G3693" s="17" t="n"/>
      <c r="H3693" s="18">
        <f>IF(AND(B3693="",C3693="",D3693="",E3693=""),"",IF(B3693="","⚠ Falta fecha",IF(C3693="","⚠ Falta monto",IF(D3693="","⚠ Falta categoría",IF(ISNA(MATCH(D3693,catNom,0)),"⚠ Categoría no existe",IF(E3693="","⚠ Falta cuenta",IF(ISNA(MATCH(E3693,ctaNom,0)),"⚠ Cuenta no existe",IF(AND(OR(I3693="Transferencia",I3693="Pago tarjeta"),G3693=""),"⚠ Indica la cuenta «Hacia»",IF(AND(G3693&lt;&gt;"",G3693=E3693),"⚠ «Hacia» igual a la cuenta",IF(AND(G3693&lt;&gt;"",ISNA(MATCH(G3693,ctaNom,0))),"⚠ «Hacia» no existe",IF(AND(I3693="Pago tarjeta",IFERROR(INDEX(ctaTipo,MATCH(G3693,ctaNom,0)),"")&lt;&gt;"Tarjeta de crédito"),"⚠ «Hacia» debe ser la tarjeta",IF(AND(I3693="Trading",IFERROR(INDEX(ctaTipo,MATCH(E3693,ctaNom,0)),"")&lt;&gt;"Cuenta de trading"),"⚠ Usa la cuenta de trading","✓"))))))))))))</f>
        <v/>
      </c>
      <c r="I3693" s="19">
        <f>IF(OR(B3693="",C3693="",D3693=""),"",IFERROR(INDEX(catTipo,MATCH(D3693,catNom,0))&amp;"",""))</f>
        <v/>
      </c>
      <c r="J3693" s="19">
        <f>IF(I3693="","",IFERROR(INDEX(catGrupo,MATCH(D3693,catNom,0))&amp;"",""))</f>
        <v/>
      </c>
      <c r="K3693" s="19">
        <f>IF(I3693="Gasto",IF(IFERROR(INDEX(catClas,MATCH(D3693,catNom,0))&amp;"","")="","Variable",IFERROR(INDEX(catClas,MATCH(D3693,catNom,0))&amp;"","")),"")</f>
        <v/>
      </c>
      <c r="L3693" s="19">
        <f>IF(I3693="","",IFERROR(INDEX(catAlim,MATCH(D3693,catNom,0))&amp;"",""))</f>
        <v/>
      </c>
      <c r="M3693" s="19">
        <f>IF(I3693="","",IFERROR(INDEX(catComida,MATCH(D3693,catNom,0))&amp;"",""))</f>
        <v/>
      </c>
      <c r="N3693" s="19">
        <f>IF(I3693="","",IFERROR(INDEX(ctaMon,MATCH(E3693,ctaNom,0))&amp;"","DOP"))</f>
        <v/>
      </c>
      <c r="O3693" s="20">
        <f>IF(I3693="","",C3693*IF(N3693="USD",TasaUSD,1))</f>
        <v/>
      </c>
      <c r="P3693" s="20">
        <f>IF(I3693="","",IF(I3693="Gasto",O3693,0))</f>
        <v/>
      </c>
      <c r="Q3693" s="20">
        <f>IF(I3693="","",IF(I3693="Ingreso",O3693,0))</f>
        <v/>
      </c>
      <c r="R3693" s="20">
        <f>IF(I3693="","",IF(I3693="Trading",O3693,0))</f>
        <v/>
      </c>
      <c r="S3693" s="19">
        <f>IF(I3693="","",IF(AND(I3693="Gasto",K3693="Variable",J3693&lt;&gt;"Trading",O3693&gt;0,O3693&lt;=Umbral),1,0))</f>
        <v/>
      </c>
      <c r="T3693" s="20">
        <f>IF(OR(I3693="",E3693=""),"",IF(OR(I3693="Gasto",I3693="Transferencia",I3693="Pago tarjeta"),-1,1)*C3693)</f>
        <v/>
      </c>
      <c r="U3693" s="20">
        <f>IF(OR(G3693="",AND(I3693&lt;&gt;"Transferencia",I3693&lt;&gt;"Pago tarjeta")),"",IF(IFERROR(INDEX(ctaMon,MATCH(G3693,ctaNom,0))&amp;"","DOP")=N3693,C3693,IF(N3693="USD",C3693*TasaUSD,C3693/TasaUSD)))</f>
        <v/>
      </c>
      <c r="V3693" s="20">
        <f>IF(I3693="","",IF(IFERROR(INDEX(ctaLiq,MATCH(E3693,ctaNom,0))="Sí",FALSE),IF(OR(I3693="Gasto",I3693="Transferencia",I3693="Pago tarjeta"),-1,1)*O3693,0)+IF(AND(U3693&lt;&gt;"",IFERROR(INDEX(ctaLiq,MATCH(G3693,ctaNom,0))="Sí",FALSE)),O3693,0))</f>
        <v/>
      </c>
      <c r="W3693" s="19">
        <f>IF(OR(F3693="",I3693=""),"",IF(COUNTIFS(F$6:F3693,F3693,I$6:I3693,"?*")=1,MAX(W$5:W3692)+1,""))</f>
        <v/>
      </c>
    </row>
    <row r="3694">
      <c r="B3694" s="15" t="n"/>
      <c r="C3694" s="16" t="n"/>
      <c r="D3694" s="17" t="n"/>
      <c r="E3694" s="17" t="n"/>
      <c r="F3694" s="17" t="n"/>
      <c r="G3694" s="17" t="n"/>
      <c r="H3694" s="18">
        <f>IF(AND(B3694="",C3694="",D3694="",E3694=""),"",IF(B3694="","⚠ Falta fecha",IF(C3694="","⚠ Falta monto",IF(D3694="","⚠ Falta categoría",IF(ISNA(MATCH(D3694,catNom,0)),"⚠ Categoría no existe",IF(E3694="","⚠ Falta cuenta",IF(ISNA(MATCH(E3694,ctaNom,0)),"⚠ Cuenta no existe",IF(AND(OR(I3694="Transferencia",I3694="Pago tarjeta"),G3694=""),"⚠ Indica la cuenta «Hacia»",IF(AND(G3694&lt;&gt;"",G3694=E3694),"⚠ «Hacia» igual a la cuenta",IF(AND(G3694&lt;&gt;"",ISNA(MATCH(G3694,ctaNom,0))),"⚠ «Hacia» no existe",IF(AND(I3694="Pago tarjeta",IFERROR(INDEX(ctaTipo,MATCH(G3694,ctaNom,0)),"")&lt;&gt;"Tarjeta de crédito"),"⚠ «Hacia» debe ser la tarjeta",IF(AND(I3694="Trading",IFERROR(INDEX(ctaTipo,MATCH(E3694,ctaNom,0)),"")&lt;&gt;"Cuenta de trading"),"⚠ Usa la cuenta de trading","✓"))))))))))))</f>
        <v/>
      </c>
      <c r="I3694" s="19">
        <f>IF(OR(B3694="",C3694="",D3694=""),"",IFERROR(INDEX(catTipo,MATCH(D3694,catNom,0))&amp;"",""))</f>
        <v/>
      </c>
      <c r="J3694" s="19">
        <f>IF(I3694="","",IFERROR(INDEX(catGrupo,MATCH(D3694,catNom,0))&amp;"",""))</f>
        <v/>
      </c>
      <c r="K3694" s="19">
        <f>IF(I3694="Gasto",IF(IFERROR(INDEX(catClas,MATCH(D3694,catNom,0))&amp;"","")="","Variable",IFERROR(INDEX(catClas,MATCH(D3694,catNom,0))&amp;"","")),"")</f>
        <v/>
      </c>
      <c r="L3694" s="19">
        <f>IF(I3694="","",IFERROR(INDEX(catAlim,MATCH(D3694,catNom,0))&amp;"",""))</f>
        <v/>
      </c>
      <c r="M3694" s="19">
        <f>IF(I3694="","",IFERROR(INDEX(catComida,MATCH(D3694,catNom,0))&amp;"",""))</f>
        <v/>
      </c>
      <c r="N3694" s="19">
        <f>IF(I3694="","",IFERROR(INDEX(ctaMon,MATCH(E3694,ctaNom,0))&amp;"","DOP"))</f>
        <v/>
      </c>
      <c r="O3694" s="20">
        <f>IF(I3694="","",C3694*IF(N3694="USD",TasaUSD,1))</f>
        <v/>
      </c>
      <c r="P3694" s="20">
        <f>IF(I3694="","",IF(I3694="Gasto",O3694,0))</f>
        <v/>
      </c>
      <c r="Q3694" s="20">
        <f>IF(I3694="","",IF(I3694="Ingreso",O3694,0))</f>
        <v/>
      </c>
      <c r="R3694" s="20">
        <f>IF(I3694="","",IF(I3694="Trading",O3694,0))</f>
        <v/>
      </c>
      <c r="S3694" s="19">
        <f>IF(I3694="","",IF(AND(I3694="Gasto",K3694="Variable",J3694&lt;&gt;"Trading",O3694&gt;0,O3694&lt;=Umbral),1,0))</f>
        <v/>
      </c>
      <c r="T3694" s="20">
        <f>IF(OR(I3694="",E3694=""),"",IF(OR(I3694="Gasto",I3694="Transferencia",I3694="Pago tarjeta"),-1,1)*C3694)</f>
        <v/>
      </c>
      <c r="U3694" s="20">
        <f>IF(OR(G3694="",AND(I3694&lt;&gt;"Transferencia",I3694&lt;&gt;"Pago tarjeta")),"",IF(IFERROR(INDEX(ctaMon,MATCH(G3694,ctaNom,0))&amp;"","DOP")=N3694,C3694,IF(N3694="USD",C3694*TasaUSD,C3694/TasaUSD)))</f>
        <v/>
      </c>
      <c r="V3694" s="20">
        <f>IF(I3694="","",IF(IFERROR(INDEX(ctaLiq,MATCH(E3694,ctaNom,0))="Sí",FALSE),IF(OR(I3694="Gasto",I3694="Transferencia",I3694="Pago tarjeta"),-1,1)*O3694,0)+IF(AND(U3694&lt;&gt;"",IFERROR(INDEX(ctaLiq,MATCH(G3694,ctaNom,0))="Sí",FALSE)),O3694,0))</f>
        <v/>
      </c>
      <c r="W3694" s="19">
        <f>IF(OR(F3694="",I3694=""),"",IF(COUNTIFS(F$6:F3694,F3694,I$6:I3694,"?*")=1,MAX(W$5:W3693)+1,""))</f>
        <v/>
      </c>
    </row>
    <row r="3695">
      <c r="B3695" s="15" t="n"/>
      <c r="C3695" s="16" t="n"/>
      <c r="D3695" s="17" t="n"/>
      <c r="E3695" s="17" t="n"/>
      <c r="F3695" s="17" t="n"/>
      <c r="G3695" s="17" t="n"/>
      <c r="H3695" s="18">
        <f>IF(AND(B3695="",C3695="",D3695="",E3695=""),"",IF(B3695="","⚠ Falta fecha",IF(C3695="","⚠ Falta monto",IF(D3695="","⚠ Falta categoría",IF(ISNA(MATCH(D3695,catNom,0)),"⚠ Categoría no existe",IF(E3695="","⚠ Falta cuenta",IF(ISNA(MATCH(E3695,ctaNom,0)),"⚠ Cuenta no existe",IF(AND(OR(I3695="Transferencia",I3695="Pago tarjeta"),G3695=""),"⚠ Indica la cuenta «Hacia»",IF(AND(G3695&lt;&gt;"",G3695=E3695),"⚠ «Hacia» igual a la cuenta",IF(AND(G3695&lt;&gt;"",ISNA(MATCH(G3695,ctaNom,0))),"⚠ «Hacia» no existe",IF(AND(I3695="Pago tarjeta",IFERROR(INDEX(ctaTipo,MATCH(G3695,ctaNom,0)),"")&lt;&gt;"Tarjeta de crédito"),"⚠ «Hacia» debe ser la tarjeta",IF(AND(I3695="Trading",IFERROR(INDEX(ctaTipo,MATCH(E3695,ctaNom,0)),"")&lt;&gt;"Cuenta de trading"),"⚠ Usa la cuenta de trading","✓"))))))))))))</f>
        <v/>
      </c>
      <c r="I3695" s="19">
        <f>IF(OR(B3695="",C3695="",D3695=""),"",IFERROR(INDEX(catTipo,MATCH(D3695,catNom,0))&amp;"",""))</f>
        <v/>
      </c>
      <c r="J3695" s="19">
        <f>IF(I3695="","",IFERROR(INDEX(catGrupo,MATCH(D3695,catNom,0))&amp;"",""))</f>
        <v/>
      </c>
      <c r="K3695" s="19">
        <f>IF(I3695="Gasto",IF(IFERROR(INDEX(catClas,MATCH(D3695,catNom,0))&amp;"","")="","Variable",IFERROR(INDEX(catClas,MATCH(D3695,catNom,0))&amp;"","")),"")</f>
        <v/>
      </c>
      <c r="L3695" s="19">
        <f>IF(I3695="","",IFERROR(INDEX(catAlim,MATCH(D3695,catNom,0))&amp;"",""))</f>
        <v/>
      </c>
      <c r="M3695" s="19">
        <f>IF(I3695="","",IFERROR(INDEX(catComida,MATCH(D3695,catNom,0))&amp;"",""))</f>
        <v/>
      </c>
      <c r="N3695" s="19">
        <f>IF(I3695="","",IFERROR(INDEX(ctaMon,MATCH(E3695,ctaNom,0))&amp;"","DOP"))</f>
        <v/>
      </c>
      <c r="O3695" s="20">
        <f>IF(I3695="","",C3695*IF(N3695="USD",TasaUSD,1))</f>
        <v/>
      </c>
      <c r="P3695" s="20">
        <f>IF(I3695="","",IF(I3695="Gasto",O3695,0))</f>
        <v/>
      </c>
      <c r="Q3695" s="20">
        <f>IF(I3695="","",IF(I3695="Ingreso",O3695,0))</f>
        <v/>
      </c>
      <c r="R3695" s="20">
        <f>IF(I3695="","",IF(I3695="Trading",O3695,0))</f>
        <v/>
      </c>
      <c r="S3695" s="19">
        <f>IF(I3695="","",IF(AND(I3695="Gasto",K3695="Variable",J3695&lt;&gt;"Trading",O3695&gt;0,O3695&lt;=Umbral),1,0))</f>
        <v/>
      </c>
      <c r="T3695" s="20">
        <f>IF(OR(I3695="",E3695=""),"",IF(OR(I3695="Gasto",I3695="Transferencia",I3695="Pago tarjeta"),-1,1)*C3695)</f>
        <v/>
      </c>
      <c r="U3695" s="20">
        <f>IF(OR(G3695="",AND(I3695&lt;&gt;"Transferencia",I3695&lt;&gt;"Pago tarjeta")),"",IF(IFERROR(INDEX(ctaMon,MATCH(G3695,ctaNom,0))&amp;"","DOP")=N3695,C3695,IF(N3695="USD",C3695*TasaUSD,C3695/TasaUSD)))</f>
        <v/>
      </c>
      <c r="V3695" s="20">
        <f>IF(I3695="","",IF(IFERROR(INDEX(ctaLiq,MATCH(E3695,ctaNom,0))="Sí",FALSE),IF(OR(I3695="Gasto",I3695="Transferencia",I3695="Pago tarjeta"),-1,1)*O3695,0)+IF(AND(U3695&lt;&gt;"",IFERROR(INDEX(ctaLiq,MATCH(G3695,ctaNom,0))="Sí",FALSE)),O3695,0))</f>
        <v/>
      </c>
      <c r="W3695" s="19">
        <f>IF(OR(F3695="",I3695=""),"",IF(COUNTIFS(F$6:F3695,F3695,I$6:I3695,"?*")=1,MAX(W$5:W3694)+1,""))</f>
        <v/>
      </c>
    </row>
    <row r="3696">
      <c r="B3696" s="15" t="n"/>
      <c r="C3696" s="16" t="n"/>
      <c r="D3696" s="17" t="n"/>
      <c r="E3696" s="17" t="n"/>
      <c r="F3696" s="17" t="n"/>
      <c r="G3696" s="17" t="n"/>
      <c r="H3696" s="18">
        <f>IF(AND(B3696="",C3696="",D3696="",E3696=""),"",IF(B3696="","⚠ Falta fecha",IF(C3696="","⚠ Falta monto",IF(D3696="","⚠ Falta categoría",IF(ISNA(MATCH(D3696,catNom,0)),"⚠ Categoría no existe",IF(E3696="","⚠ Falta cuenta",IF(ISNA(MATCH(E3696,ctaNom,0)),"⚠ Cuenta no existe",IF(AND(OR(I3696="Transferencia",I3696="Pago tarjeta"),G3696=""),"⚠ Indica la cuenta «Hacia»",IF(AND(G3696&lt;&gt;"",G3696=E3696),"⚠ «Hacia» igual a la cuenta",IF(AND(G3696&lt;&gt;"",ISNA(MATCH(G3696,ctaNom,0))),"⚠ «Hacia» no existe",IF(AND(I3696="Pago tarjeta",IFERROR(INDEX(ctaTipo,MATCH(G3696,ctaNom,0)),"")&lt;&gt;"Tarjeta de crédito"),"⚠ «Hacia» debe ser la tarjeta",IF(AND(I3696="Trading",IFERROR(INDEX(ctaTipo,MATCH(E3696,ctaNom,0)),"")&lt;&gt;"Cuenta de trading"),"⚠ Usa la cuenta de trading","✓"))))))))))))</f>
        <v/>
      </c>
      <c r="I3696" s="19">
        <f>IF(OR(B3696="",C3696="",D3696=""),"",IFERROR(INDEX(catTipo,MATCH(D3696,catNom,0))&amp;"",""))</f>
        <v/>
      </c>
      <c r="J3696" s="19">
        <f>IF(I3696="","",IFERROR(INDEX(catGrupo,MATCH(D3696,catNom,0))&amp;"",""))</f>
        <v/>
      </c>
      <c r="K3696" s="19">
        <f>IF(I3696="Gasto",IF(IFERROR(INDEX(catClas,MATCH(D3696,catNom,0))&amp;"","")="","Variable",IFERROR(INDEX(catClas,MATCH(D3696,catNom,0))&amp;"","")),"")</f>
        <v/>
      </c>
      <c r="L3696" s="19">
        <f>IF(I3696="","",IFERROR(INDEX(catAlim,MATCH(D3696,catNom,0))&amp;"",""))</f>
        <v/>
      </c>
      <c r="M3696" s="19">
        <f>IF(I3696="","",IFERROR(INDEX(catComida,MATCH(D3696,catNom,0))&amp;"",""))</f>
        <v/>
      </c>
      <c r="N3696" s="19">
        <f>IF(I3696="","",IFERROR(INDEX(ctaMon,MATCH(E3696,ctaNom,0))&amp;"","DOP"))</f>
        <v/>
      </c>
      <c r="O3696" s="20">
        <f>IF(I3696="","",C3696*IF(N3696="USD",TasaUSD,1))</f>
        <v/>
      </c>
      <c r="P3696" s="20">
        <f>IF(I3696="","",IF(I3696="Gasto",O3696,0))</f>
        <v/>
      </c>
      <c r="Q3696" s="20">
        <f>IF(I3696="","",IF(I3696="Ingreso",O3696,0))</f>
        <v/>
      </c>
      <c r="R3696" s="20">
        <f>IF(I3696="","",IF(I3696="Trading",O3696,0))</f>
        <v/>
      </c>
      <c r="S3696" s="19">
        <f>IF(I3696="","",IF(AND(I3696="Gasto",K3696="Variable",J3696&lt;&gt;"Trading",O3696&gt;0,O3696&lt;=Umbral),1,0))</f>
        <v/>
      </c>
      <c r="T3696" s="20">
        <f>IF(OR(I3696="",E3696=""),"",IF(OR(I3696="Gasto",I3696="Transferencia",I3696="Pago tarjeta"),-1,1)*C3696)</f>
        <v/>
      </c>
      <c r="U3696" s="20">
        <f>IF(OR(G3696="",AND(I3696&lt;&gt;"Transferencia",I3696&lt;&gt;"Pago tarjeta")),"",IF(IFERROR(INDEX(ctaMon,MATCH(G3696,ctaNom,0))&amp;"","DOP")=N3696,C3696,IF(N3696="USD",C3696*TasaUSD,C3696/TasaUSD)))</f>
        <v/>
      </c>
      <c r="V3696" s="20">
        <f>IF(I3696="","",IF(IFERROR(INDEX(ctaLiq,MATCH(E3696,ctaNom,0))="Sí",FALSE),IF(OR(I3696="Gasto",I3696="Transferencia",I3696="Pago tarjeta"),-1,1)*O3696,0)+IF(AND(U3696&lt;&gt;"",IFERROR(INDEX(ctaLiq,MATCH(G3696,ctaNom,0))="Sí",FALSE)),O3696,0))</f>
        <v/>
      </c>
      <c r="W3696" s="19">
        <f>IF(OR(F3696="",I3696=""),"",IF(COUNTIFS(F$6:F3696,F3696,I$6:I3696,"?*")=1,MAX(W$5:W3695)+1,""))</f>
        <v/>
      </c>
    </row>
    <row r="3697">
      <c r="B3697" s="15" t="n"/>
      <c r="C3697" s="16" t="n"/>
      <c r="D3697" s="17" t="n"/>
      <c r="E3697" s="17" t="n"/>
      <c r="F3697" s="17" t="n"/>
      <c r="G3697" s="17" t="n"/>
      <c r="H3697" s="18">
        <f>IF(AND(B3697="",C3697="",D3697="",E3697=""),"",IF(B3697="","⚠ Falta fecha",IF(C3697="","⚠ Falta monto",IF(D3697="","⚠ Falta categoría",IF(ISNA(MATCH(D3697,catNom,0)),"⚠ Categoría no existe",IF(E3697="","⚠ Falta cuenta",IF(ISNA(MATCH(E3697,ctaNom,0)),"⚠ Cuenta no existe",IF(AND(OR(I3697="Transferencia",I3697="Pago tarjeta"),G3697=""),"⚠ Indica la cuenta «Hacia»",IF(AND(G3697&lt;&gt;"",G3697=E3697),"⚠ «Hacia» igual a la cuenta",IF(AND(G3697&lt;&gt;"",ISNA(MATCH(G3697,ctaNom,0))),"⚠ «Hacia» no existe",IF(AND(I3697="Pago tarjeta",IFERROR(INDEX(ctaTipo,MATCH(G3697,ctaNom,0)),"")&lt;&gt;"Tarjeta de crédito"),"⚠ «Hacia» debe ser la tarjeta",IF(AND(I3697="Trading",IFERROR(INDEX(ctaTipo,MATCH(E3697,ctaNom,0)),"")&lt;&gt;"Cuenta de trading"),"⚠ Usa la cuenta de trading","✓"))))))))))))</f>
        <v/>
      </c>
      <c r="I3697" s="19">
        <f>IF(OR(B3697="",C3697="",D3697=""),"",IFERROR(INDEX(catTipo,MATCH(D3697,catNom,0))&amp;"",""))</f>
        <v/>
      </c>
      <c r="J3697" s="19">
        <f>IF(I3697="","",IFERROR(INDEX(catGrupo,MATCH(D3697,catNom,0))&amp;"",""))</f>
        <v/>
      </c>
      <c r="K3697" s="19">
        <f>IF(I3697="Gasto",IF(IFERROR(INDEX(catClas,MATCH(D3697,catNom,0))&amp;"","")="","Variable",IFERROR(INDEX(catClas,MATCH(D3697,catNom,0))&amp;"","")),"")</f>
        <v/>
      </c>
      <c r="L3697" s="19">
        <f>IF(I3697="","",IFERROR(INDEX(catAlim,MATCH(D3697,catNom,0))&amp;"",""))</f>
        <v/>
      </c>
      <c r="M3697" s="19">
        <f>IF(I3697="","",IFERROR(INDEX(catComida,MATCH(D3697,catNom,0))&amp;"",""))</f>
        <v/>
      </c>
      <c r="N3697" s="19">
        <f>IF(I3697="","",IFERROR(INDEX(ctaMon,MATCH(E3697,ctaNom,0))&amp;"","DOP"))</f>
        <v/>
      </c>
      <c r="O3697" s="20">
        <f>IF(I3697="","",C3697*IF(N3697="USD",TasaUSD,1))</f>
        <v/>
      </c>
      <c r="P3697" s="20">
        <f>IF(I3697="","",IF(I3697="Gasto",O3697,0))</f>
        <v/>
      </c>
      <c r="Q3697" s="20">
        <f>IF(I3697="","",IF(I3697="Ingreso",O3697,0))</f>
        <v/>
      </c>
      <c r="R3697" s="20">
        <f>IF(I3697="","",IF(I3697="Trading",O3697,0))</f>
        <v/>
      </c>
      <c r="S3697" s="19">
        <f>IF(I3697="","",IF(AND(I3697="Gasto",K3697="Variable",J3697&lt;&gt;"Trading",O3697&gt;0,O3697&lt;=Umbral),1,0))</f>
        <v/>
      </c>
      <c r="T3697" s="20">
        <f>IF(OR(I3697="",E3697=""),"",IF(OR(I3697="Gasto",I3697="Transferencia",I3697="Pago tarjeta"),-1,1)*C3697)</f>
        <v/>
      </c>
      <c r="U3697" s="20">
        <f>IF(OR(G3697="",AND(I3697&lt;&gt;"Transferencia",I3697&lt;&gt;"Pago tarjeta")),"",IF(IFERROR(INDEX(ctaMon,MATCH(G3697,ctaNom,0))&amp;"","DOP")=N3697,C3697,IF(N3697="USD",C3697*TasaUSD,C3697/TasaUSD)))</f>
        <v/>
      </c>
      <c r="V3697" s="20">
        <f>IF(I3697="","",IF(IFERROR(INDEX(ctaLiq,MATCH(E3697,ctaNom,0))="Sí",FALSE),IF(OR(I3697="Gasto",I3697="Transferencia",I3697="Pago tarjeta"),-1,1)*O3697,0)+IF(AND(U3697&lt;&gt;"",IFERROR(INDEX(ctaLiq,MATCH(G3697,ctaNom,0))="Sí",FALSE)),O3697,0))</f>
        <v/>
      </c>
      <c r="W3697" s="19">
        <f>IF(OR(F3697="",I3697=""),"",IF(COUNTIFS(F$6:F3697,F3697,I$6:I3697,"?*")=1,MAX(W$5:W3696)+1,""))</f>
        <v/>
      </c>
    </row>
    <row r="3698">
      <c r="B3698" s="15" t="n"/>
      <c r="C3698" s="16" t="n"/>
      <c r="D3698" s="17" t="n"/>
      <c r="E3698" s="17" t="n"/>
      <c r="F3698" s="17" t="n"/>
      <c r="G3698" s="17" t="n"/>
      <c r="H3698" s="18">
        <f>IF(AND(B3698="",C3698="",D3698="",E3698=""),"",IF(B3698="","⚠ Falta fecha",IF(C3698="","⚠ Falta monto",IF(D3698="","⚠ Falta categoría",IF(ISNA(MATCH(D3698,catNom,0)),"⚠ Categoría no existe",IF(E3698="","⚠ Falta cuenta",IF(ISNA(MATCH(E3698,ctaNom,0)),"⚠ Cuenta no existe",IF(AND(OR(I3698="Transferencia",I3698="Pago tarjeta"),G3698=""),"⚠ Indica la cuenta «Hacia»",IF(AND(G3698&lt;&gt;"",G3698=E3698),"⚠ «Hacia» igual a la cuenta",IF(AND(G3698&lt;&gt;"",ISNA(MATCH(G3698,ctaNom,0))),"⚠ «Hacia» no existe",IF(AND(I3698="Pago tarjeta",IFERROR(INDEX(ctaTipo,MATCH(G3698,ctaNom,0)),"")&lt;&gt;"Tarjeta de crédito"),"⚠ «Hacia» debe ser la tarjeta",IF(AND(I3698="Trading",IFERROR(INDEX(ctaTipo,MATCH(E3698,ctaNom,0)),"")&lt;&gt;"Cuenta de trading"),"⚠ Usa la cuenta de trading","✓"))))))))))))</f>
        <v/>
      </c>
      <c r="I3698" s="19">
        <f>IF(OR(B3698="",C3698="",D3698=""),"",IFERROR(INDEX(catTipo,MATCH(D3698,catNom,0))&amp;"",""))</f>
        <v/>
      </c>
      <c r="J3698" s="19">
        <f>IF(I3698="","",IFERROR(INDEX(catGrupo,MATCH(D3698,catNom,0))&amp;"",""))</f>
        <v/>
      </c>
      <c r="K3698" s="19">
        <f>IF(I3698="Gasto",IF(IFERROR(INDEX(catClas,MATCH(D3698,catNom,0))&amp;"","")="","Variable",IFERROR(INDEX(catClas,MATCH(D3698,catNom,0))&amp;"","")),"")</f>
        <v/>
      </c>
      <c r="L3698" s="19">
        <f>IF(I3698="","",IFERROR(INDEX(catAlim,MATCH(D3698,catNom,0))&amp;"",""))</f>
        <v/>
      </c>
      <c r="M3698" s="19">
        <f>IF(I3698="","",IFERROR(INDEX(catComida,MATCH(D3698,catNom,0))&amp;"",""))</f>
        <v/>
      </c>
      <c r="N3698" s="19">
        <f>IF(I3698="","",IFERROR(INDEX(ctaMon,MATCH(E3698,ctaNom,0))&amp;"","DOP"))</f>
        <v/>
      </c>
      <c r="O3698" s="20">
        <f>IF(I3698="","",C3698*IF(N3698="USD",TasaUSD,1))</f>
        <v/>
      </c>
      <c r="P3698" s="20">
        <f>IF(I3698="","",IF(I3698="Gasto",O3698,0))</f>
        <v/>
      </c>
      <c r="Q3698" s="20">
        <f>IF(I3698="","",IF(I3698="Ingreso",O3698,0))</f>
        <v/>
      </c>
      <c r="R3698" s="20">
        <f>IF(I3698="","",IF(I3698="Trading",O3698,0))</f>
        <v/>
      </c>
      <c r="S3698" s="19">
        <f>IF(I3698="","",IF(AND(I3698="Gasto",K3698="Variable",J3698&lt;&gt;"Trading",O3698&gt;0,O3698&lt;=Umbral),1,0))</f>
        <v/>
      </c>
      <c r="T3698" s="20">
        <f>IF(OR(I3698="",E3698=""),"",IF(OR(I3698="Gasto",I3698="Transferencia",I3698="Pago tarjeta"),-1,1)*C3698)</f>
        <v/>
      </c>
      <c r="U3698" s="20">
        <f>IF(OR(G3698="",AND(I3698&lt;&gt;"Transferencia",I3698&lt;&gt;"Pago tarjeta")),"",IF(IFERROR(INDEX(ctaMon,MATCH(G3698,ctaNom,0))&amp;"","DOP")=N3698,C3698,IF(N3698="USD",C3698*TasaUSD,C3698/TasaUSD)))</f>
        <v/>
      </c>
      <c r="V3698" s="20">
        <f>IF(I3698="","",IF(IFERROR(INDEX(ctaLiq,MATCH(E3698,ctaNom,0))="Sí",FALSE),IF(OR(I3698="Gasto",I3698="Transferencia",I3698="Pago tarjeta"),-1,1)*O3698,0)+IF(AND(U3698&lt;&gt;"",IFERROR(INDEX(ctaLiq,MATCH(G3698,ctaNom,0))="Sí",FALSE)),O3698,0))</f>
        <v/>
      </c>
      <c r="W3698" s="19">
        <f>IF(OR(F3698="",I3698=""),"",IF(COUNTIFS(F$6:F3698,F3698,I$6:I3698,"?*")=1,MAX(W$5:W3697)+1,""))</f>
        <v/>
      </c>
    </row>
    <row r="3699">
      <c r="B3699" s="15" t="n"/>
      <c r="C3699" s="16" t="n"/>
      <c r="D3699" s="17" t="n"/>
      <c r="E3699" s="17" t="n"/>
      <c r="F3699" s="17" t="n"/>
      <c r="G3699" s="17" t="n"/>
      <c r="H3699" s="18">
        <f>IF(AND(B3699="",C3699="",D3699="",E3699=""),"",IF(B3699="","⚠ Falta fecha",IF(C3699="","⚠ Falta monto",IF(D3699="","⚠ Falta categoría",IF(ISNA(MATCH(D3699,catNom,0)),"⚠ Categoría no existe",IF(E3699="","⚠ Falta cuenta",IF(ISNA(MATCH(E3699,ctaNom,0)),"⚠ Cuenta no existe",IF(AND(OR(I3699="Transferencia",I3699="Pago tarjeta"),G3699=""),"⚠ Indica la cuenta «Hacia»",IF(AND(G3699&lt;&gt;"",G3699=E3699),"⚠ «Hacia» igual a la cuenta",IF(AND(G3699&lt;&gt;"",ISNA(MATCH(G3699,ctaNom,0))),"⚠ «Hacia» no existe",IF(AND(I3699="Pago tarjeta",IFERROR(INDEX(ctaTipo,MATCH(G3699,ctaNom,0)),"")&lt;&gt;"Tarjeta de crédito"),"⚠ «Hacia» debe ser la tarjeta",IF(AND(I3699="Trading",IFERROR(INDEX(ctaTipo,MATCH(E3699,ctaNom,0)),"")&lt;&gt;"Cuenta de trading"),"⚠ Usa la cuenta de trading","✓"))))))))))))</f>
        <v/>
      </c>
      <c r="I3699" s="19">
        <f>IF(OR(B3699="",C3699="",D3699=""),"",IFERROR(INDEX(catTipo,MATCH(D3699,catNom,0))&amp;"",""))</f>
        <v/>
      </c>
      <c r="J3699" s="19">
        <f>IF(I3699="","",IFERROR(INDEX(catGrupo,MATCH(D3699,catNom,0))&amp;"",""))</f>
        <v/>
      </c>
      <c r="K3699" s="19">
        <f>IF(I3699="Gasto",IF(IFERROR(INDEX(catClas,MATCH(D3699,catNom,0))&amp;"","")="","Variable",IFERROR(INDEX(catClas,MATCH(D3699,catNom,0))&amp;"","")),"")</f>
        <v/>
      </c>
      <c r="L3699" s="19">
        <f>IF(I3699="","",IFERROR(INDEX(catAlim,MATCH(D3699,catNom,0))&amp;"",""))</f>
        <v/>
      </c>
      <c r="M3699" s="19">
        <f>IF(I3699="","",IFERROR(INDEX(catComida,MATCH(D3699,catNom,0))&amp;"",""))</f>
        <v/>
      </c>
      <c r="N3699" s="19">
        <f>IF(I3699="","",IFERROR(INDEX(ctaMon,MATCH(E3699,ctaNom,0))&amp;"","DOP"))</f>
        <v/>
      </c>
      <c r="O3699" s="20">
        <f>IF(I3699="","",C3699*IF(N3699="USD",TasaUSD,1))</f>
        <v/>
      </c>
      <c r="P3699" s="20">
        <f>IF(I3699="","",IF(I3699="Gasto",O3699,0))</f>
        <v/>
      </c>
      <c r="Q3699" s="20">
        <f>IF(I3699="","",IF(I3699="Ingreso",O3699,0))</f>
        <v/>
      </c>
      <c r="R3699" s="20">
        <f>IF(I3699="","",IF(I3699="Trading",O3699,0))</f>
        <v/>
      </c>
      <c r="S3699" s="19">
        <f>IF(I3699="","",IF(AND(I3699="Gasto",K3699="Variable",J3699&lt;&gt;"Trading",O3699&gt;0,O3699&lt;=Umbral),1,0))</f>
        <v/>
      </c>
      <c r="T3699" s="20">
        <f>IF(OR(I3699="",E3699=""),"",IF(OR(I3699="Gasto",I3699="Transferencia",I3699="Pago tarjeta"),-1,1)*C3699)</f>
        <v/>
      </c>
      <c r="U3699" s="20">
        <f>IF(OR(G3699="",AND(I3699&lt;&gt;"Transferencia",I3699&lt;&gt;"Pago tarjeta")),"",IF(IFERROR(INDEX(ctaMon,MATCH(G3699,ctaNom,0))&amp;"","DOP")=N3699,C3699,IF(N3699="USD",C3699*TasaUSD,C3699/TasaUSD)))</f>
        <v/>
      </c>
      <c r="V3699" s="20">
        <f>IF(I3699="","",IF(IFERROR(INDEX(ctaLiq,MATCH(E3699,ctaNom,0))="Sí",FALSE),IF(OR(I3699="Gasto",I3699="Transferencia",I3699="Pago tarjeta"),-1,1)*O3699,0)+IF(AND(U3699&lt;&gt;"",IFERROR(INDEX(ctaLiq,MATCH(G3699,ctaNom,0))="Sí",FALSE)),O3699,0))</f>
        <v/>
      </c>
      <c r="W3699" s="19">
        <f>IF(OR(F3699="",I3699=""),"",IF(COUNTIFS(F$6:F3699,F3699,I$6:I3699,"?*")=1,MAX(W$5:W3698)+1,""))</f>
        <v/>
      </c>
    </row>
    <row r="3700">
      <c r="B3700" s="15" t="n"/>
      <c r="C3700" s="16" t="n"/>
      <c r="D3700" s="17" t="n"/>
      <c r="E3700" s="17" t="n"/>
      <c r="F3700" s="17" t="n"/>
      <c r="G3700" s="17" t="n"/>
      <c r="H3700" s="18">
        <f>IF(AND(B3700="",C3700="",D3700="",E3700=""),"",IF(B3700="","⚠ Falta fecha",IF(C3700="","⚠ Falta monto",IF(D3700="","⚠ Falta categoría",IF(ISNA(MATCH(D3700,catNom,0)),"⚠ Categoría no existe",IF(E3700="","⚠ Falta cuenta",IF(ISNA(MATCH(E3700,ctaNom,0)),"⚠ Cuenta no existe",IF(AND(OR(I3700="Transferencia",I3700="Pago tarjeta"),G3700=""),"⚠ Indica la cuenta «Hacia»",IF(AND(G3700&lt;&gt;"",G3700=E3700),"⚠ «Hacia» igual a la cuenta",IF(AND(G3700&lt;&gt;"",ISNA(MATCH(G3700,ctaNom,0))),"⚠ «Hacia» no existe",IF(AND(I3700="Pago tarjeta",IFERROR(INDEX(ctaTipo,MATCH(G3700,ctaNom,0)),"")&lt;&gt;"Tarjeta de crédito"),"⚠ «Hacia» debe ser la tarjeta",IF(AND(I3700="Trading",IFERROR(INDEX(ctaTipo,MATCH(E3700,ctaNom,0)),"")&lt;&gt;"Cuenta de trading"),"⚠ Usa la cuenta de trading","✓"))))))))))))</f>
        <v/>
      </c>
      <c r="I3700" s="19">
        <f>IF(OR(B3700="",C3700="",D3700=""),"",IFERROR(INDEX(catTipo,MATCH(D3700,catNom,0))&amp;"",""))</f>
        <v/>
      </c>
      <c r="J3700" s="19">
        <f>IF(I3700="","",IFERROR(INDEX(catGrupo,MATCH(D3700,catNom,0))&amp;"",""))</f>
        <v/>
      </c>
      <c r="K3700" s="19">
        <f>IF(I3700="Gasto",IF(IFERROR(INDEX(catClas,MATCH(D3700,catNom,0))&amp;"","")="","Variable",IFERROR(INDEX(catClas,MATCH(D3700,catNom,0))&amp;"","")),"")</f>
        <v/>
      </c>
      <c r="L3700" s="19">
        <f>IF(I3700="","",IFERROR(INDEX(catAlim,MATCH(D3700,catNom,0))&amp;"",""))</f>
        <v/>
      </c>
      <c r="M3700" s="19">
        <f>IF(I3700="","",IFERROR(INDEX(catComida,MATCH(D3700,catNom,0))&amp;"",""))</f>
        <v/>
      </c>
      <c r="N3700" s="19">
        <f>IF(I3700="","",IFERROR(INDEX(ctaMon,MATCH(E3700,ctaNom,0))&amp;"","DOP"))</f>
        <v/>
      </c>
      <c r="O3700" s="20">
        <f>IF(I3700="","",C3700*IF(N3700="USD",TasaUSD,1))</f>
        <v/>
      </c>
      <c r="P3700" s="20">
        <f>IF(I3700="","",IF(I3700="Gasto",O3700,0))</f>
        <v/>
      </c>
      <c r="Q3700" s="20">
        <f>IF(I3700="","",IF(I3700="Ingreso",O3700,0))</f>
        <v/>
      </c>
      <c r="R3700" s="20">
        <f>IF(I3700="","",IF(I3700="Trading",O3700,0))</f>
        <v/>
      </c>
      <c r="S3700" s="19">
        <f>IF(I3700="","",IF(AND(I3700="Gasto",K3700="Variable",J3700&lt;&gt;"Trading",O3700&gt;0,O3700&lt;=Umbral),1,0))</f>
        <v/>
      </c>
      <c r="T3700" s="20">
        <f>IF(OR(I3700="",E3700=""),"",IF(OR(I3700="Gasto",I3700="Transferencia",I3700="Pago tarjeta"),-1,1)*C3700)</f>
        <v/>
      </c>
      <c r="U3700" s="20">
        <f>IF(OR(G3700="",AND(I3700&lt;&gt;"Transferencia",I3700&lt;&gt;"Pago tarjeta")),"",IF(IFERROR(INDEX(ctaMon,MATCH(G3700,ctaNom,0))&amp;"","DOP")=N3700,C3700,IF(N3700="USD",C3700*TasaUSD,C3700/TasaUSD)))</f>
        <v/>
      </c>
      <c r="V3700" s="20">
        <f>IF(I3700="","",IF(IFERROR(INDEX(ctaLiq,MATCH(E3700,ctaNom,0))="Sí",FALSE),IF(OR(I3700="Gasto",I3700="Transferencia",I3700="Pago tarjeta"),-1,1)*O3700,0)+IF(AND(U3700&lt;&gt;"",IFERROR(INDEX(ctaLiq,MATCH(G3700,ctaNom,0))="Sí",FALSE)),O3700,0))</f>
        <v/>
      </c>
      <c r="W3700" s="19">
        <f>IF(OR(F3700="",I3700=""),"",IF(COUNTIFS(F$6:F3700,F3700,I$6:I3700,"?*")=1,MAX(W$5:W3699)+1,""))</f>
        <v/>
      </c>
    </row>
    <row r="3701">
      <c r="B3701" s="15" t="n"/>
      <c r="C3701" s="16" t="n"/>
      <c r="D3701" s="17" t="n"/>
      <c r="E3701" s="17" t="n"/>
      <c r="F3701" s="17" t="n"/>
      <c r="G3701" s="17" t="n"/>
      <c r="H3701" s="18">
        <f>IF(AND(B3701="",C3701="",D3701="",E3701=""),"",IF(B3701="","⚠ Falta fecha",IF(C3701="","⚠ Falta monto",IF(D3701="","⚠ Falta categoría",IF(ISNA(MATCH(D3701,catNom,0)),"⚠ Categoría no existe",IF(E3701="","⚠ Falta cuenta",IF(ISNA(MATCH(E3701,ctaNom,0)),"⚠ Cuenta no existe",IF(AND(OR(I3701="Transferencia",I3701="Pago tarjeta"),G3701=""),"⚠ Indica la cuenta «Hacia»",IF(AND(G3701&lt;&gt;"",G3701=E3701),"⚠ «Hacia» igual a la cuenta",IF(AND(G3701&lt;&gt;"",ISNA(MATCH(G3701,ctaNom,0))),"⚠ «Hacia» no existe",IF(AND(I3701="Pago tarjeta",IFERROR(INDEX(ctaTipo,MATCH(G3701,ctaNom,0)),"")&lt;&gt;"Tarjeta de crédito"),"⚠ «Hacia» debe ser la tarjeta",IF(AND(I3701="Trading",IFERROR(INDEX(ctaTipo,MATCH(E3701,ctaNom,0)),"")&lt;&gt;"Cuenta de trading"),"⚠ Usa la cuenta de trading","✓"))))))))))))</f>
        <v/>
      </c>
      <c r="I3701" s="19">
        <f>IF(OR(B3701="",C3701="",D3701=""),"",IFERROR(INDEX(catTipo,MATCH(D3701,catNom,0))&amp;"",""))</f>
        <v/>
      </c>
      <c r="J3701" s="19">
        <f>IF(I3701="","",IFERROR(INDEX(catGrupo,MATCH(D3701,catNom,0))&amp;"",""))</f>
        <v/>
      </c>
      <c r="K3701" s="19">
        <f>IF(I3701="Gasto",IF(IFERROR(INDEX(catClas,MATCH(D3701,catNom,0))&amp;"","")="","Variable",IFERROR(INDEX(catClas,MATCH(D3701,catNom,0))&amp;"","")),"")</f>
        <v/>
      </c>
      <c r="L3701" s="19">
        <f>IF(I3701="","",IFERROR(INDEX(catAlim,MATCH(D3701,catNom,0))&amp;"",""))</f>
        <v/>
      </c>
      <c r="M3701" s="19">
        <f>IF(I3701="","",IFERROR(INDEX(catComida,MATCH(D3701,catNom,0))&amp;"",""))</f>
        <v/>
      </c>
      <c r="N3701" s="19">
        <f>IF(I3701="","",IFERROR(INDEX(ctaMon,MATCH(E3701,ctaNom,0))&amp;"","DOP"))</f>
        <v/>
      </c>
      <c r="O3701" s="20">
        <f>IF(I3701="","",C3701*IF(N3701="USD",TasaUSD,1))</f>
        <v/>
      </c>
      <c r="P3701" s="20">
        <f>IF(I3701="","",IF(I3701="Gasto",O3701,0))</f>
        <v/>
      </c>
      <c r="Q3701" s="20">
        <f>IF(I3701="","",IF(I3701="Ingreso",O3701,0))</f>
        <v/>
      </c>
      <c r="R3701" s="20">
        <f>IF(I3701="","",IF(I3701="Trading",O3701,0))</f>
        <v/>
      </c>
      <c r="S3701" s="19">
        <f>IF(I3701="","",IF(AND(I3701="Gasto",K3701="Variable",J3701&lt;&gt;"Trading",O3701&gt;0,O3701&lt;=Umbral),1,0))</f>
        <v/>
      </c>
      <c r="T3701" s="20">
        <f>IF(OR(I3701="",E3701=""),"",IF(OR(I3701="Gasto",I3701="Transferencia",I3701="Pago tarjeta"),-1,1)*C3701)</f>
        <v/>
      </c>
      <c r="U3701" s="20">
        <f>IF(OR(G3701="",AND(I3701&lt;&gt;"Transferencia",I3701&lt;&gt;"Pago tarjeta")),"",IF(IFERROR(INDEX(ctaMon,MATCH(G3701,ctaNom,0))&amp;"","DOP")=N3701,C3701,IF(N3701="USD",C3701*TasaUSD,C3701/TasaUSD)))</f>
        <v/>
      </c>
      <c r="V3701" s="20">
        <f>IF(I3701="","",IF(IFERROR(INDEX(ctaLiq,MATCH(E3701,ctaNom,0))="Sí",FALSE),IF(OR(I3701="Gasto",I3701="Transferencia",I3701="Pago tarjeta"),-1,1)*O3701,0)+IF(AND(U3701&lt;&gt;"",IFERROR(INDEX(ctaLiq,MATCH(G3701,ctaNom,0))="Sí",FALSE)),O3701,0))</f>
        <v/>
      </c>
      <c r="W3701" s="19">
        <f>IF(OR(F3701="",I3701=""),"",IF(COUNTIFS(F$6:F3701,F3701,I$6:I3701,"?*")=1,MAX(W$5:W3700)+1,""))</f>
        <v/>
      </c>
    </row>
    <row r="3702">
      <c r="B3702" s="15" t="n"/>
      <c r="C3702" s="16" t="n"/>
      <c r="D3702" s="17" t="n"/>
      <c r="E3702" s="17" t="n"/>
      <c r="F3702" s="17" t="n"/>
      <c r="G3702" s="17" t="n"/>
      <c r="H3702" s="18">
        <f>IF(AND(B3702="",C3702="",D3702="",E3702=""),"",IF(B3702="","⚠ Falta fecha",IF(C3702="","⚠ Falta monto",IF(D3702="","⚠ Falta categoría",IF(ISNA(MATCH(D3702,catNom,0)),"⚠ Categoría no existe",IF(E3702="","⚠ Falta cuenta",IF(ISNA(MATCH(E3702,ctaNom,0)),"⚠ Cuenta no existe",IF(AND(OR(I3702="Transferencia",I3702="Pago tarjeta"),G3702=""),"⚠ Indica la cuenta «Hacia»",IF(AND(G3702&lt;&gt;"",G3702=E3702),"⚠ «Hacia» igual a la cuenta",IF(AND(G3702&lt;&gt;"",ISNA(MATCH(G3702,ctaNom,0))),"⚠ «Hacia» no existe",IF(AND(I3702="Pago tarjeta",IFERROR(INDEX(ctaTipo,MATCH(G3702,ctaNom,0)),"")&lt;&gt;"Tarjeta de crédito"),"⚠ «Hacia» debe ser la tarjeta",IF(AND(I3702="Trading",IFERROR(INDEX(ctaTipo,MATCH(E3702,ctaNom,0)),"")&lt;&gt;"Cuenta de trading"),"⚠ Usa la cuenta de trading","✓"))))))))))))</f>
        <v/>
      </c>
      <c r="I3702" s="19">
        <f>IF(OR(B3702="",C3702="",D3702=""),"",IFERROR(INDEX(catTipo,MATCH(D3702,catNom,0))&amp;"",""))</f>
        <v/>
      </c>
      <c r="J3702" s="19">
        <f>IF(I3702="","",IFERROR(INDEX(catGrupo,MATCH(D3702,catNom,0))&amp;"",""))</f>
        <v/>
      </c>
      <c r="K3702" s="19">
        <f>IF(I3702="Gasto",IF(IFERROR(INDEX(catClas,MATCH(D3702,catNom,0))&amp;"","")="","Variable",IFERROR(INDEX(catClas,MATCH(D3702,catNom,0))&amp;"","")),"")</f>
        <v/>
      </c>
      <c r="L3702" s="19">
        <f>IF(I3702="","",IFERROR(INDEX(catAlim,MATCH(D3702,catNom,0))&amp;"",""))</f>
        <v/>
      </c>
      <c r="M3702" s="19">
        <f>IF(I3702="","",IFERROR(INDEX(catComida,MATCH(D3702,catNom,0))&amp;"",""))</f>
        <v/>
      </c>
      <c r="N3702" s="19">
        <f>IF(I3702="","",IFERROR(INDEX(ctaMon,MATCH(E3702,ctaNom,0))&amp;"","DOP"))</f>
        <v/>
      </c>
      <c r="O3702" s="20">
        <f>IF(I3702="","",C3702*IF(N3702="USD",TasaUSD,1))</f>
        <v/>
      </c>
      <c r="P3702" s="20">
        <f>IF(I3702="","",IF(I3702="Gasto",O3702,0))</f>
        <v/>
      </c>
      <c r="Q3702" s="20">
        <f>IF(I3702="","",IF(I3702="Ingreso",O3702,0))</f>
        <v/>
      </c>
      <c r="R3702" s="20">
        <f>IF(I3702="","",IF(I3702="Trading",O3702,0))</f>
        <v/>
      </c>
      <c r="S3702" s="19">
        <f>IF(I3702="","",IF(AND(I3702="Gasto",K3702="Variable",J3702&lt;&gt;"Trading",O3702&gt;0,O3702&lt;=Umbral),1,0))</f>
        <v/>
      </c>
      <c r="T3702" s="20">
        <f>IF(OR(I3702="",E3702=""),"",IF(OR(I3702="Gasto",I3702="Transferencia",I3702="Pago tarjeta"),-1,1)*C3702)</f>
        <v/>
      </c>
      <c r="U3702" s="20">
        <f>IF(OR(G3702="",AND(I3702&lt;&gt;"Transferencia",I3702&lt;&gt;"Pago tarjeta")),"",IF(IFERROR(INDEX(ctaMon,MATCH(G3702,ctaNom,0))&amp;"","DOP")=N3702,C3702,IF(N3702="USD",C3702*TasaUSD,C3702/TasaUSD)))</f>
        <v/>
      </c>
      <c r="V3702" s="20">
        <f>IF(I3702="","",IF(IFERROR(INDEX(ctaLiq,MATCH(E3702,ctaNom,0))="Sí",FALSE),IF(OR(I3702="Gasto",I3702="Transferencia",I3702="Pago tarjeta"),-1,1)*O3702,0)+IF(AND(U3702&lt;&gt;"",IFERROR(INDEX(ctaLiq,MATCH(G3702,ctaNom,0))="Sí",FALSE)),O3702,0))</f>
        <v/>
      </c>
      <c r="W3702" s="19">
        <f>IF(OR(F3702="",I3702=""),"",IF(COUNTIFS(F$6:F3702,F3702,I$6:I3702,"?*")=1,MAX(W$5:W3701)+1,""))</f>
        <v/>
      </c>
    </row>
    <row r="3703">
      <c r="B3703" s="15" t="n"/>
      <c r="C3703" s="16" t="n"/>
      <c r="D3703" s="17" t="n"/>
      <c r="E3703" s="17" t="n"/>
      <c r="F3703" s="17" t="n"/>
      <c r="G3703" s="17" t="n"/>
      <c r="H3703" s="18">
        <f>IF(AND(B3703="",C3703="",D3703="",E3703=""),"",IF(B3703="","⚠ Falta fecha",IF(C3703="","⚠ Falta monto",IF(D3703="","⚠ Falta categoría",IF(ISNA(MATCH(D3703,catNom,0)),"⚠ Categoría no existe",IF(E3703="","⚠ Falta cuenta",IF(ISNA(MATCH(E3703,ctaNom,0)),"⚠ Cuenta no existe",IF(AND(OR(I3703="Transferencia",I3703="Pago tarjeta"),G3703=""),"⚠ Indica la cuenta «Hacia»",IF(AND(G3703&lt;&gt;"",G3703=E3703),"⚠ «Hacia» igual a la cuenta",IF(AND(G3703&lt;&gt;"",ISNA(MATCH(G3703,ctaNom,0))),"⚠ «Hacia» no existe",IF(AND(I3703="Pago tarjeta",IFERROR(INDEX(ctaTipo,MATCH(G3703,ctaNom,0)),"")&lt;&gt;"Tarjeta de crédito"),"⚠ «Hacia» debe ser la tarjeta",IF(AND(I3703="Trading",IFERROR(INDEX(ctaTipo,MATCH(E3703,ctaNom,0)),"")&lt;&gt;"Cuenta de trading"),"⚠ Usa la cuenta de trading","✓"))))))))))))</f>
        <v/>
      </c>
      <c r="I3703" s="19">
        <f>IF(OR(B3703="",C3703="",D3703=""),"",IFERROR(INDEX(catTipo,MATCH(D3703,catNom,0))&amp;"",""))</f>
        <v/>
      </c>
      <c r="J3703" s="19">
        <f>IF(I3703="","",IFERROR(INDEX(catGrupo,MATCH(D3703,catNom,0))&amp;"",""))</f>
        <v/>
      </c>
      <c r="K3703" s="19">
        <f>IF(I3703="Gasto",IF(IFERROR(INDEX(catClas,MATCH(D3703,catNom,0))&amp;"","")="","Variable",IFERROR(INDEX(catClas,MATCH(D3703,catNom,0))&amp;"","")),"")</f>
        <v/>
      </c>
      <c r="L3703" s="19">
        <f>IF(I3703="","",IFERROR(INDEX(catAlim,MATCH(D3703,catNom,0))&amp;"",""))</f>
        <v/>
      </c>
      <c r="M3703" s="19">
        <f>IF(I3703="","",IFERROR(INDEX(catComida,MATCH(D3703,catNom,0))&amp;"",""))</f>
        <v/>
      </c>
      <c r="N3703" s="19">
        <f>IF(I3703="","",IFERROR(INDEX(ctaMon,MATCH(E3703,ctaNom,0))&amp;"","DOP"))</f>
        <v/>
      </c>
      <c r="O3703" s="20">
        <f>IF(I3703="","",C3703*IF(N3703="USD",TasaUSD,1))</f>
        <v/>
      </c>
      <c r="P3703" s="20">
        <f>IF(I3703="","",IF(I3703="Gasto",O3703,0))</f>
        <v/>
      </c>
      <c r="Q3703" s="20">
        <f>IF(I3703="","",IF(I3703="Ingreso",O3703,0))</f>
        <v/>
      </c>
      <c r="R3703" s="20">
        <f>IF(I3703="","",IF(I3703="Trading",O3703,0))</f>
        <v/>
      </c>
      <c r="S3703" s="19">
        <f>IF(I3703="","",IF(AND(I3703="Gasto",K3703="Variable",J3703&lt;&gt;"Trading",O3703&gt;0,O3703&lt;=Umbral),1,0))</f>
        <v/>
      </c>
      <c r="T3703" s="20">
        <f>IF(OR(I3703="",E3703=""),"",IF(OR(I3703="Gasto",I3703="Transferencia",I3703="Pago tarjeta"),-1,1)*C3703)</f>
        <v/>
      </c>
      <c r="U3703" s="20">
        <f>IF(OR(G3703="",AND(I3703&lt;&gt;"Transferencia",I3703&lt;&gt;"Pago tarjeta")),"",IF(IFERROR(INDEX(ctaMon,MATCH(G3703,ctaNom,0))&amp;"","DOP")=N3703,C3703,IF(N3703="USD",C3703*TasaUSD,C3703/TasaUSD)))</f>
        <v/>
      </c>
      <c r="V3703" s="20">
        <f>IF(I3703="","",IF(IFERROR(INDEX(ctaLiq,MATCH(E3703,ctaNom,0))="Sí",FALSE),IF(OR(I3703="Gasto",I3703="Transferencia",I3703="Pago tarjeta"),-1,1)*O3703,0)+IF(AND(U3703&lt;&gt;"",IFERROR(INDEX(ctaLiq,MATCH(G3703,ctaNom,0))="Sí",FALSE)),O3703,0))</f>
        <v/>
      </c>
      <c r="W3703" s="19">
        <f>IF(OR(F3703="",I3703=""),"",IF(COUNTIFS(F$6:F3703,F3703,I$6:I3703,"?*")=1,MAX(W$5:W3702)+1,""))</f>
        <v/>
      </c>
    </row>
    <row r="3704">
      <c r="B3704" s="15" t="n"/>
      <c r="C3704" s="16" t="n"/>
      <c r="D3704" s="17" t="n"/>
      <c r="E3704" s="17" t="n"/>
      <c r="F3704" s="17" t="n"/>
      <c r="G3704" s="17" t="n"/>
      <c r="H3704" s="18">
        <f>IF(AND(B3704="",C3704="",D3704="",E3704=""),"",IF(B3704="","⚠ Falta fecha",IF(C3704="","⚠ Falta monto",IF(D3704="","⚠ Falta categoría",IF(ISNA(MATCH(D3704,catNom,0)),"⚠ Categoría no existe",IF(E3704="","⚠ Falta cuenta",IF(ISNA(MATCH(E3704,ctaNom,0)),"⚠ Cuenta no existe",IF(AND(OR(I3704="Transferencia",I3704="Pago tarjeta"),G3704=""),"⚠ Indica la cuenta «Hacia»",IF(AND(G3704&lt;&gt;"",G3704=E3704),"⚠ «Hacia» igual a la cuenta",IF(AND(G3704&lt;&gt;"",ISNA(MATCH(G3704,ctaNom,0))),"⚠ «Hacia» no existe",IF(AND(I3704="Pago tarjeta",IFERROR(INDEX(ctaTipo,MATCH(G3704,ctaNom,0)),"")&lt;&gt;"Tarjeta de crédito"),"⚠ «Hacia» debe ser la tarjeta",IF(AND(I3704="Trading",IFERROR(INDEX(ctaTipo,MATCH(E3704,ctaNom,0)),"")&lt;&gt;"Cuenta de trading"),"⚠ Usa la cuenta de trading","✓"))))))))))))</f>
        <v/>
      </c>
      <c r="I3704" s="19">
        <f>IF(OR(B3704="",C3704="",D3704=""),"",IFERROR(INDEX(catTipo,MATCH(D3704,catNom,0))&amp;"",""))</f>
        <v/>
      </c>
      <c r="J3704" s="19">
        <f>IF(I3704="","",IFERROR(INDEX(catGrupo,MATCH(D3704,catNom,0))&amp;"",""))</f>
        <v/>
      </c>
      <c r="K3704" s="19">
        <f>IF(I3704="Gasto",IF(IFERROR(INDEX(catClas,MATCH(D3704,catNom,0))&amp;"","")="","Variable",IFERROR(INDEX(catClas,MATCH(D3704,catNom,0))&amp;"","")),"")</f>
        <v/>
      </c>
      <c r="L3704" s="19">
        <f>IF(I3704="","",IFERROR(INDEX(catAlim,MATCH(D3704,catNom,0))&amp;"",""))</f>
        <v/>
      </c>
      <c r="M3704" s="19">
        <f>IF(I3704="","",IFERROR(INDEX(catComida,MATCH(D3704,catNom,0))&amp;"",""))</f>
        <v/>
      </c>
      <c r="N3704" s="19">
        <f>IF(I3704="","",IFERROR(INDEX(ctaMon,MATCH(E3704,ctaNom,0))&amp;"","DOP"))</f>
        <v/>
      </c>
      <c r="O3704" s="20">
        <f>IF(I3704="","",C3704*IF(N3704="USD",TasaUSD,1))</f>
        <v/>
      </c>
      <c r="P3704" s="20">
        <f>IF(I3704="","",IF(I3704="Gasto",O3704,0))</f>
        <v/>
      </c>
      <c r="Q3704" s="20">
        <f>IF(I3704="","",IF(I3704="Ingreso",O3704,0))</f>
        <v/>
      </c>
      <c r="R3704" s="20">
        <f>IF(I3704="","",IF(I3704="Trading",O3704,0))</f>
        <v/>
      </c>
      <c r="S3704" s="19">
        <f>IF(I3704="","",IF(AND(I3704="Gasto",K3704="Variable",J3704&lt;&gt;"Trading",O3704&gt;0,O3704&lt;=Umbral),1,0))</f>
        <v/>
      </c>
      <c r="T3704" s="20">
        <f>IF(OR(I3704="",E3704=""),"",IF(OR(I3704="Gasto",I3704="Transferencia",I3704="Pago tarjeta"),-1,1)*C3704)</f>
        <v/>
      </c>
      <c r="U3704" s="20">
        <f>IF(OR(G3704="",AND(I3704&lt;&gt;"Transferencia",I3704&lt;&gt;"Pago tarjeta")),"",IF(IFERROR(INDEX(ctaMon,MATCH(G3704,ctaNom,0))&amp;"","DOP")=N3704,C3704,IF(N3704="USD",C3704*TasaUSD,C3704/TasaUSD)))</f>
        <v/>
      </c>
      <c r="V3704" s="20">
        <f>IF(I3704="","",IF(IFERROR(INDEX(ctaLiq,MATCH(E3704,ctaNom,0))="Sí",FALSE),IF(OR(I3704="Gasto",I3704="Transferencia",I3704="Pago tarjeta"),-1,1)*O3704,0)+IF(AND(U3704&lt;&gt;"",IFERROR(INDEX(ctaLiq,MATCH(G3704,ctaNom,0))="Sí",FALSE)),O3704,0))</f>
        <v/>
      </c>
      <c r="W3704" s="19">
        <f>IF(OR(F3704="",I3704=""),"",IF(COUNTIFS(F$6:F3704,F3704,I$6:I3704,"?*")=1,MAX(W$5:W3703)+1,""))</f>
        <v/>
      </c>
    </row>
    <row r="3705">
      <c r="B3705" s="15" t="n"/>
      <c r="C3705" s="16" t="n"/>
      <c r="D3705" s="17" t="n"/>
      <c r="E3705" s="17" t="n"/>
      <c r="F3705" s="17" t="n"/>
      <c r="G3705" s="17" t="n"/>
      <c r="H3705" s="18">
        <f>IF(AND(B3705="",C3705="",D3705="",E3705=""),"",IF(B3705="","⚠ Falta fecha",IF(C3705="","⚠ Falta monto",IF(D3705="","⚠ Falta categoría",IF(ISNA(MATCH(D3705,catNom,0)),"⚠ Categoría no existe",IF(E3705="","⚠ Falta cuenta",IF(ISNA(MATCH(E3705,ctaNom,0)),"⚠ Cuenta no existe",IF(AND(OR(I3705="Transferencia",I3705="Pago tarjeta"),G3705=""),"⚠ Indica la cuenta «Hacia»",IF(AND(G3705&lt;&gt;"",G3705=E3705),"⚠ «Hacia» igual a la cuenta",IF(AND(G3705&lt;&gt;"",ISNA(MATCH(G3705,ctaNom,0))),"⚠ «Hacia» no existe",IF(AND(I3705="Pago tarjeta",IFERROR(INDEX(ctaTipo,MATCH(G3705,ctaNom,0)),"")&lt;&gt;"Tarjeta de crédito"),"⚠ «Hacia» debe ser la tarjeta",IF(AND(I3705="Trading",IFERROR(INDEX(ctaTipo,MATCH(E3705,ctaNom,0)),"")&lt;&gt;"Cuenta de trading"),"⚠ Usa la cuenta de trading","✓"))))))))))))</f>
        <v/>
      </c>
      <c r="I3705" s="19">
        <f>IF(OR(B3705="",C3705="",D3705=""),"",IFERROR(INDEX(catTipo,MATCH(D3705,catNom,0))&amp;"",""))</f>
        <v/>
      </c>
      <c r="J3705" s="19">
        <f>IF(I3705="","",IFERROR(INDEX(catGrupo,MATCH(D3705,catNom,0))&amp;"",""))</f>
        <v/>
      </c>
      <c r="K3705" s="19">
        <f>IF(I3705="Gasto",IF(IFERROR(INDEX(catClas,MATCH(D3705,catNom,0))&amp;"","")="","Variable",IFERROR(INDEX(catClas,MATCH(D3705,catNom,0))&amp;"","")),"")</f>
        <v/>
      </c>
      <c r="L3705" s="19">
        <f>IF(I3705="","",IFERROR(INDEX(catAlim,MATCH(D3705,catNom,0))&amp;"",""))</f>
        <v/>
      </c>
      <c r="M3705" s="19">
        <f>IF(I3705="","",IFERROR(INDEX(catComida,MATCH(D3705,catNom,0))&amp;"",""))</f>
        <v/>
      </c>
      <c r="N3705" s="19">
        <f>IF(I3705="","",IFERROR(INDEX(ctaMon,MATCH(E3705,ctaNom,0))&amp;"","DOP"))</f>
        <v/>
      </c>
      <c r="O3705" s="20">
        <f>IF(I3705="","",C3705*IF(N3705="USD",TasaUSD,1))</f>
        <v/>
      </c>
      <c r="P3705" s="20">
        <f>IF(I3705="","",IF(I3705="Gasto",O3705,0))</f>
        <v/>
      </c>
      <c r="Q3705" s="20">
        <f>IF(I3705="","",IF(I3705="Ingreso",O3705,0))</f>
        <v/>
      </c>
      <c r="R3705" s="20">
        <f>IF(I3705="","",IF(I3705="Trading",O3705,0))</f>
        <v/>
      </c>
      <c r="S3705" s="19">
        <f>IF(I3705="","",IF(AND(I3705="Gasto",K3705="Variable",J3705&lt;&gt;"Trading",O3705&gt;0,O3705&lt;=Umbral),1,0))</f>
        <v/>
      </c>
      <c r="T3705" s="20">
        <f>IF(OR(I3705="",E3705=""),"",IF(OR(I3705="Gasto",I3705="Transferencia",I3705="Pago tarjeta"),-1,1)*C3705)</f>
        <v/>
      </c>
      <c r="U3705" s="20">
        <f>IF(OR(G3705="",AND(I3705&lt;&gt;"Transferencia",I3705&lt;&gt;"Pago tarjeta")),"",IF(IFERROR(INDEX(ctaMon,MATCH(G3705,ctaNom,0))&amp;"","DOP")=N3705,C3705,IF(N3705="USD",C3705*TasaUSD,C3705/TasaUSD)))</f>
        <v/>
      </c>
      <c r="V3705" s="20">
        <f>IF(I3705="","",IF(IFERROR(INDEX(ctaLiq,MATCH(E3705,ctaNom,0))="Sí",FALSE),IF(OR(I3705="Gasto",I3705="Transferencia",I3705="Pago tarjeta"),-1,1)*O3705,0)+IF(AND(U3705&lt;&gt;"",IFERROR(INDEX(ctaLiq,MATCH(G3705,ctaNom,0))="Sí",FALSE)),O3705,0))</f>
        <v/>
      </c>
      <c r="W3705" s="19">
        <f>IF(OR(F3705="",I3705=""),"",IF(COUNTIFS(F$6:F3705,F3705,I$6:I3705,"?*")=1,MAX(W$5:W3704)+1,""))</f>
        <v/>
      </c>
    </row>
    <row r="3706">
      <c r="B3706" s="15" t="n"/>
      <c r="C3706" s="16" t="n"/>
      <c r="D3706" s="17" t="n"/>
      <c r="E3706" s="17" t="n"/>
      <c r="F3706" s="17" t="n"/>
      <c r="G3706" s="17" t="n"/>
      <c r="H3706" s="18">
        <f>IF(AND(B3706="",C3706="",D3706="",E3706=""),"",IF(B3706="","⚠ Falta fecha",IF(C3706="","⚠ Falta monto",IF(D3706="","⚠ Falta categoría",IF(ISNA(MATCH(D3706,catNom,0)),"⚠ Categoría no existe",IF(E3706="","⚠ Falta cuenta",IF(ISNA(MATCH(E3706,ctaNom,0)),"⚠ Cuenta no existe",IF(AND(OR(I3706="Transferencia",I3706="Pago tarjeta"),G3706=""),"⚠ Indica la cuenta «Hacia»",IF(AND(G3706&lt;&gt;"",G3706=E3706),"⚠ «Hacia» igual a la cuenta",IF(AND(G3706&lt;&gt;"",ISNA(MATCH(G3706,ctaNom,0))),"⚠ «Hacia» no existe",IF(AND(I3706="Pago tarjeta",IFERROR(INDEX(ctaTipo,MATCH(G3706,ctaNom,0)),"")&lt;&gt;"Tarjeta de crédito"),"⚠ «Hacia» debe ser la tarjeta",IF(AND(I3706="Trading",IFERROR(INDEX(ctaTipo,MATCH(E3706,ctaNom,0)),"")&lt;&gt;"Cuenta de trading"),"⚠ Usa la cuenta de trading","✓"))))))))))))</f>
        <v/>
      </c>
      <c r="I3706" s="19">
        <f>IF(OR(B3706="",C3706="",D3706=""),"",IFERROR(INDEX(catTipo,MATCH(D3706,catNom,0))&amp;"",""))</f>
        <v/>
      </c>
      <c r="J3706" s="19">
        <f>IF(I3706="","",IFERROR(INDEX(catGrupo,MATCH(D3706,catNom,0))&amp;"",""))</f>
        <v/>
      </c>
      <c r="K3706" s="19">
        <f>IF(I3706="Gasto",IF(IFERROR(INDEX(catClas,MATCH(D3706,catNom,0))&amp;"","")="","Variable",IFERROR(INDEX(catClas,MATCH(D3706,catNom,0))&amp;"","")),"")</f>
        <v/>
      </c>
      <c r="L3706" s="19">
        <f>IF(I3706="","",IFERROR(INDEX(catAlim,MATCH(D3706,catNom,0))&amp;"",""))</f>
        <v/>
      </c>
      <c r="M3706" s="19">
        <f>IF(I3706="","",IFERROR(INDEX(catComida,MATCH(D3706,catNom,0))&amp;"",""))</f>
        <v/>
      </c>
      <c r="N3706" s="19">
        <f>IF(I3706="","",IFERROR(INDEX(ctaMon,MATCH(E3706,ctaNom,0))&amp;"","DOP"))</f>
        <v/>
      </c>
      <c r="O3706" s="20">
        <f>IF(I3706="","",C3706*IF(N3706="USD",TasaUSD,1))</f>
        <v/>
      </c>
      <c r="P3706" s="20">
        <f>IF(I3706="","",IF(I3706="Gasto",O3706,0))</f>
        <v/>
      </c>
      <c r="Q3706" s="20">
        <f>IF(I3706="","",IF(I3706="Ingreso",O3706,0))</f>
        <v/>
      </c>
      <c r="R3706" s="20">
        <f>IF(I3706="","",IF(I3706="Trading",O3706,0))</f>
        <v/>
      </c>
      <c r="S3706" s="19">
        <f>IF(I3706="","",IF(AND(I3706="Gasto",K3706="Variable",J3706&lt;&gt;"Trading",O3706&gt;0,O3706&lt;=Umbral),1,0))</f>
        <v/>
      </c>
      <c r="T3706" s="20">
        <f>IF(OR(I3706="",E3706=""),"",IF(OR(I3706="Gasto",I3706="Transferencia",I3706="Pago tarjeta"),-1,1)*C3706)</f>
        <v/>
      </c>
      <c r="U3706" s="20">
        <f>IF(OR(G3706="",AND(I3706&lt;&gt;"Transferencia",I3706&lt;&gt;"Pago tarjeta")),"",IF(IFERROR(INDEX(ctaMon,MATCH(G3706,ctaNom,0))&amp;"","DOP")=N3706,C3706,IF(N3706="USD",C3706*TasaUSD,C3706/TasaUSD)))</f>
        <v/>
      </c>
      <c r="V3706" s="20">
        <f>IF(I3706="","",IF(IFERROR(INDEX(ctaLiq,MATCH(E3706,ctaNom,0))="Sí",FALSE),IF(OR(I3706="Gasto",I3706="Transferencia",I3706="Pago tarjeta"),-1,1)*O3706,0)+IF(AND(U3706&lt;&gt;"",IFERROR(INDEX(ctaLiq,MATCH(G3706,ctaNom,0))="Sí",FALSE)),O3706,0))</f>
        <v/>
      </c>
      <c r="W3706" s="19">
        <f>IF(OR(F3706="",I3706=""),"",IF(COUNTIFS(F$6:F3706,F3706,I$6:I3706,"?*")=1,MAX(W$5:W3705)+1,""))</f>
        <v/>
      </c>
    </row>
    <row r="3707">
      <c r="B3707" s="15" t="n"/>
      <c r="C3707" s="16" t="n"/>
      <c r="D3707" s="17" t="n"/>
      <c r="E3707" s="17" t="n"/>
      <c r="F3707" s="17" t="n"/>
      <c r="G3707" s="17" t="n"/>
      <c r="H3707" s="18">
        <f>IF(AND(B3707="",C3707="",D3707="",E3707=""),"",IF(B3707="","⚠ Falta fecha",IF(C3707="","⚠ Falta monto",IF(D3707="","⚠ Falta categoría",IF(ISNA(MATCH(D3707,catNom,0)),"⚠ Categoría no existe",IF(E3707="","⚠ Falta cuenta",IF(ISNA(MATCH(E3707,ctaNom,0)),"⚠ Cuenta no existe",IF(AND(OR(I3707="Transferencia",I3707="Pago tarjeta"),G3707=""),"⚠ Indica la cuenta «Hacia»",IF(AND(G3707&lt;&gt;"",G3707=E3707),"⚠ «Hacia» igual a la cuenta",IF(AND(G3707&lt;&gt;"",ISNA(MATCH(G3707,ctaNom,0))),"⚠ «Hacia» no existe",IF(AND(I3707="Pago tarjeta",IFERROR(INDEX(ctaTipo,MATCH(G3707,ctaNom,0)),"")&lt;&gt;"Tarjeta de crédito"),"⚠ «Hacia» debe ser la tarjeta",IF(AND(I3707="Trading",IFERROR(INDEX(ctaTipo,MATCH(E3707,ctaNom,0)),"")&lt;&gt;"Cuenta de trading"),"⚠ Usa la cuenta de trading","✓"))))))))))))</f>
        <v/>
      </c>
      <c r="I3707" s="19">
        <f>IF(OR(B3707="",C3707="",D3707=""),"",IFERROR(INDEX(catTipo,MATCH(D3707,catNom,0))&amp;"",""))</f>
        <v/>
      </c>
      <c r="J3707" s="19">
        <f>IF(I3707="","",IFERROR(INDEX(catGrupo,MATCH(D3707,catNom,0))&amp;"",""))</f>
        <v/>
      </c>
      <c r="K3707" s="19">
        <f>IF(I3707="Gasto",IF(IFERROR(INDEX(catClas,MATCH(D3707,catNom,0))&amp;"","")="","Variable",IFERROR(INDEX(catClas,MATCH(D3707,catNom,0))&amp;"","")),"")</f>
        <v/>
      </c>
      <c r="L3707" s="19">
        <f>IF(I3707="","",IFERROR(INDEX(catAlim,MATCH(D3707,catNom,0))&amp;"",""))</f>
        <v/>
      </c>
      <c r="M3707" s="19">
        <f>IF(I3707="","",IFERROR(INDEX(catComida,MATCH(D3707,catNom,0))&amp;"",""))</f>
        <v/>
      </c>
      <c r="N3707" s="19">
        <f>IF(I3707="","",IFERROR(INDEX(ctaMon,MATCH(E3707,ctaNom,0))&amp;"","DOP"))</f>
        <v/>
      </c>
      <c r="O3707" s="20">
        <f>IF(I3707="","",C3707*IF(N3707="USD",TasaUSD,1))</f>
        <v/>
      </c>
      <c r="P3707" s="20">
        <f>IF(I3707="","",IF(I3707="Gasto",O3707,0))</f>
        <v/>
      </c>
      <c r="Q3707" s="20">
        <f>IF(I3707="","",IF(I3707="Ingreso",O3707,0))</f>
        <v/>
      </c>
      <c r="R3707" s="20">
        <f>IF(I3707="","",IF(I3707="Trading",O3707,0))</f>
        <v/>
      </c>
      <c r="S3707" s="19">
        <f>IF(I3707="","",IF(AND(I3707="Gasto",K3707="Variable",J3707&lt;&gt;"Trading",O3707&gt;0,O3707&lt;=Umbral),1,0))</f>
        <v/>
      </c>
      <c r="T3707" s="20">
        <f>IF(OR(I3707="",E3707=""),"",IF(OR(I3707="Gasto",I3707="Transferencia",I3707="Pago tarjeta"),-1,1)*C3707)</f>
        <v/>
      </c>
      <c r="U3707" s="20">
        <f>IF(OR(G3707="",AND(I3707&lt;&gt;"Transferencia",I3707&lt;&gt;"Pago tarjeta")),"",IF(IFERROR(INDEX(ctaMon,MATCH(G3707,ctaNom,0))&amp;"","DOP")=N3707,C3707,IF(N3707="USD",C3707*TasaUSD,C3707/TasaUSD)))</f>
        <v/>
      </c>
      <c r="V3707" s="20">
        <f>IF(I3707="","",IF(IFERROR(INDEX(ctaLiq,MATCH(E3707,ctaNom,0))="Sí",FALSE),IF(OR(I3707="Gasto",I3707="Transferencia",I3707="Pago tarjeta"),-1,1)*O3707,0)+IF(AND(U3707&lt;&gt;"",IFERROR(INDEX(ctaLiq,MATCH(G3707,ctaNom,0))="Sí",FALSE)),O3707,0))</f>
        <v/>
      </c>
      <c r="W3707" s="19">
        <f>IF(OR(F3707="",I3707=""),"",IF(COUNTIFS(F$6:F3707,F3707,I$6:I3707,"?*")=1,MAX(W$5:W3706)+1,""))</f>
        <v/>
      </c>
    </row>
    <row r="3708">
      <c r="B3708" s="15" t="n"/>
      <c r="C3708" s="16" t="n"/>
      <c r="D3708" s="17" t="n"/>
      <c r="E3708" s="17" t="n"/>
      <c r="F3708" s="17" t="n"/>
      <c r="G3708" s="17" t="n"/>
      <c r="H3708" s="18">
        <f>IF(AND(B3708="",C3708="",D3708="",E3708=""),"",IF(B3708="","⚠ Falta fecha",IF(C3708="","⚠ Falta monto",IF(D3708="","⚠ Falta categoría",IF(ISNA(MATCH(D3708,catNom,0)),"⚠ Categoría no existe",IF(E3708="","⚠ Falta cuenta",IF(ISNA(MATCH(E3708,ctaNom,0)),"⚠ Cuenta no existe",IF(AND(OR(I3708="Transferencia",I3708="Pago tarjeta"),G3708=""),"⚠ Indica la cuenta «Hacia»",IF(AND(G3708&lt;&gt;"",G3708=E3708),"⚠ «Hacia» igual a la cuenta",IF(AND(G3708&lt;&gt;"",ISNA(MATCH(G3708,ctaNom,0))),"⚠ «Hacia» no existe",IF(AND(I3708="Pago tarjeta",IFERROR(INDEX(ctaTipo,MATCH(G3708,ctaNom,0)),"")&lt;&gt;"Tarjeta de crédito"),"⚠ «Hacia» debe ser la tarjeta",IF(AND(I3708="Trading",IFERROR(INDEX(ctaTipo,MATCH(E3708,ctaNom,0)),"")&lt;&gt;"Cuenta de trading"),"⚠ Usa la cuenta de trading","✓"))))))))))))</f>
        <v/>
      </c>
      <c r="I3708" s="19">
        <f>IF(OR(B3708="",C3708="",D3708=""),"",IFERROR(INDEX(catTipo,MATCH(D3708,catNom,0))&amp;"",""))</f>
        <v/>
      </c>
      <c r="J3708" s="19">
        <f>IF(I3708="","",IFERROR(INDEX(catGrupo,MATCH(D3708,catNom,0))&amp;"",""))</f>
        <v/>
      </c>
      <c r="K3708" s="19">
        <f>IF(I3708="Gasto",IF(IFERROR(INDEX(catClas,MATCH(D3708,catNom,0))&amp;"","")="","Variable",IFERROR(INDEX(catClas,MATCH(D3708,catNom,0))&amp;"","")),"")</f>
        <v/>
      </c>
      <c r="L3708" s="19">
        <f>IF(I3708="","",IFERROR(INDEX(catAlim,MATCH(D3708,catNom,0))&amp;"",""))</f>
        <v/>
      </c>
      <c r="M3708" s="19">
        <f>IF(I3708="","",IFERROR(INDEX(catComida,MATCH(D3708,catNom,0))&amp;"",""))</f>
        <v/>
      </c>
      <c r="N3708" s="19">
        <f>IF(I3708="","",IFERROR(INDEX(ctaMon,MATCH(E3708,ctaNom,0))&amp;"","DOP"))</f>
        <v/>
      </c>
      <c r="O3708" s="20">
        <f>IF(I3708="","",C3708*IF(N3708="USD",TasaUSD,1))</f>
        <v/>
      </c>
      <c r="P3708" s="20">
        <f>IF(I3708="","",IF(I3708="Gasto",O3708,0))</f>
        <v/>
      </c>
      <c r="Q3708" s="20">
        <f>IF(I3708="","",IF(I3708="Ingreso",O3708,0))</f>
        <v/>
      </c>
      <c r="R3708" s="20">
        <f>IF(I3708="","",IF(I3708="Trading",O3708,0))</f>
        <v/>
      </c>
      <c r="S3708" s="19">
        <f>IF(I3708="","",IF(AND(I3708="Gasto",K3708="Variable",J3708&lt;&gt;"Trading",O3708&gt;0,O3708&lt;=Umbral),1,0))</f>
        <v/>
      </c>
      <c r="T3708" s="20">
        <f>IF(OR(I3708="",E3708=""),"",IF(OR(I3708="Gasto",I3708="Transferencia",I3708="Pago tarjeta"),-1,1)*C3708)</f>
        <v/>
      </c>
      <c r="U3708" s="20">
        <f>IF(OR(G3708="",AND(I3708&lt;&gt;"Transferencia",I3708&lt;&gt;"Pago tarjeta")),"",IF(IFERROR(INDEX(ctaMon,MATCH(G3708,ctaNom,0))&amp;"","DOP")=N3708,C3708,IF(N3708="USD",C3708*TasaUSD,C3708/TasaUSD)))</f>
        <v/>
      </c>
      <c r="V3708" s="20">
        <f>IF(I3708="","",IF(IFERROR(INDEX(ctaLiq,MATCH(E3708,ctaNom,0))="Sí",FALSE),IF(OR(I3708="Gasto",I3708="Transferencia",I3708="Pago tarjeta"),-1,1)*O3708,0)+IF(AND(U3708&lt;&gt;"",IFERROR(INDEX(ctaLiq,MATCH(G3708,ctaNom,0))="Sí",FALSE)),O3708,0))</f>
        <v/>
      </c>
      <c r="W3708" s="19">
        <f>IF(OR(F3708="",I3708=""),"",IF(COUNTIFS(F$6:F3708,F3708,I$6:I3708,"?*")=1,MAX(W$5:W3707)+1,""))</f>
        <v/>
      </c>
    </row>
    <row r="3709">
      <c r="B3709" s="15" t="n"/>
      <c r="C3709" s="16" t="n"/>
      <c r="D3709" s="17" t="n"/>
      <c r="E3709" s="17" t="n"/>
      <c r="F3709" s="17" t="n"/>
      <c r="G3709" s="17" t="n"/>
      <c r="H3709" s="18">
        <f>IF(AND(B3709="",C3709="",D3709="",E3709=""),"",IF(B3709="","⚠ Falta fecha",IF(C3709="","⚠ Falta monto",IF(D3709="","⚠ Falta categoría",IF(ISNA(MATCH(D3709,catNom,0)),"⚠ Categoría no existe",IF(E3709="","⚠ Falta cuenta",IF(ISNA(MATCH(E3709,ctaNom,0)),"⚠ Cuenta no existe",IF(AND(OR(I3709="Transferencia",I3709="Pago tarjeta"),G3709=""),"⚠ Indica la cuenta «Hacia»",IF(AND(G3709&lt;&gt;"",G3709=E3709),"⚠ «Hacia» igual a la cuenta",IF(AND(G3709&lt;&gt;"",ISNA(MATCH(G3709,ctaNom,0))),"⚠ «Hacia» no existe",IF(AND(I3709="Pago tarjeta",IFERROR(INDEX(ctaTipo,MATCH(G3709,ctaNom,0)),"")&lt;&gt;"Tarjeta de crédito"),"⚠ «Hacia» debe ser la tarjeta",IF(AND(I3709="Trading",IFERROR(INDEX(ctaTipo,MATCH(E3709,ctaNom,0)),"")&lt;&gt;"Cuenta de trading"),"⚠ Usa la cuenta de trading","✓"))))))))))))</f>
        <v/>
      </c>
      <c r="I3709" s="19">
        <f>IF(OR(B3709="",C3709="",D3709=""),"",IFERROR(INDEX(catTipo,MATCH(D3709,catNom,0))&amp;"",""))</f>
        <v/>
      </c>
      <c r="J3709" s="19">
        <f>IF(I3709="","",IFERROR(INDEX(catGrupo,MATCH(D3709,catNom,0))&amp;"",""))</f>
        <v/>
      </c>
      <c r="K3709" s="19">
        <f>IF(I3709="Gasto",IF(IFERROR(INDEX(catClas,MATCH(D3709,catNom,0))&amp;"","")="","Variable",IFERROR(INDEX(catClas,MATCH(D3709,catNom,0))&amp;"","")),"")</f>
        <v/>
      </c>
      <c r="L3709" s="19">
        <f>IF(I3709="","",IFERROR(INDEX(catAlim,MATCH(D3709,catNom,0))&amp;"",""))</f>
        <v/>
      </c>
      <c r="M3709" s="19">
        <f>IF(I3709="","",IFERROR(INDEX(catComida,MATCH(D3709,catNom,0))&amp;"",""))</f>
        <v/>
      </c>
      <c r="N3709" s="19">
        <f>IF(I3709="","",IFERROR(INDEX(ctaMon,MATCH(E3709,ctaNom,0))&amp;"","DOP"))</f>
        <v/>
      </c>
      <c r="O3709" s="20">
        <f>IF(I3709="","",C3709*IF(N3709="USD",TasaUSD,1))</f>
        <v/>
      </c>
      <c r="P3709" s="20">
        <f>IF(I3709="","",IF(I3709="Gasto",O3709,0))</f>
        <v/>
      </c>
      <c r="Q3709" s="20">
        <f>IF(I3709="","",IF(I3709="Ingreso",O3709,0))</f>
        <v/>
      </c>
      <c r="R3709" s="20">
        <f>IF(I3709="","",IF(I3709="Trading",O3709,0))</f>
        <v/>
      </c>
      <c r="S3709" s="19">
        <f>IF(I3709="","",IF(AND(I3709="Gasto",K3709="Variable",J3709&lt;&gt;"Trading",O3709&gt;0,O3709&lt;=Umbral),1,0))</f>
        <v/>
      </c>
      <c r="T3709" s="20">
        <f>IF(OR(I3709="",E3709=""),"",IF(OR(I3709="Gasto",I3709="Transferencia",I3709="Pago tarjeta"),-1,1)*C3709)</f>
        <v/>
      </c>
      <c r="U3709" s="20">
        <f>IF(OR(G3709="",AND(I3709&lt;&gt;"Transferencia",I3709&lt;&gt;"Pago tarjeta")),"",IF(IFERROR(INDEX(ctaMon,MATCH(G3709,ctaNom,0))&amp;"","DOP")=N3709,C3709,IF(N3709="USD",C3709*TasaUSD,C3709/TasaUSD)))</f>
        <v/>
      </c>
      <c r="V3709" s="20">
        <f>IF(I3709="","",IF(IFERROR(INDEX(ctaLiq,MATCH(E3709,ctaNom,0))="Sí",FALSE),IF(OR(I3709="Gasto",I3709="Transferencia",I3709="Pago tarjeta"),-1,1)*O3709,0)+IF(AND(U3709&lt;&gt;"",IFERROR(INDEX(ctaLiq,MATCH(G3709,ctaNom,0))="Sí",FALSE)),O3709,0))</f>
        <v/>
      </c>
      <c r="W3709" s="19">
        <f>IF(OR(F3709="",I3709=""),"",IF(COUNTIFS(F$6:F3709,F3709,I$6:I3709,"?*")=1,MAX(W$5:W3708)+1,""))</f>
        <v/>
      </c>
    </row>
    <row r="3710">
      <c r="B3710" s="15" t="n"/>
      <c r="C3710" s="16" t="n"/>
      <c r="D3710" s="17" t="n"/>
      <c r="E3710" s="17" t="n"/>
      <c r="F3710" s="17" t="n"/>
      <c r="G3710" s="17" t="n"/>
      <c r="H3710" s="18">
        <f>IF(AND(B3710="",C3710="",D3710="",E3710=""),"",IF(B3710="","⚠ Falta fecha",IF(C3710="","⚠ Falta monto",IF(D3710="","⚠ Falta categoría",IF(ISNA(MATCH(D3710,catNom,0)),"⚠ Categoría no existe",IF(E3710="","⚠ Falta cuenta",IF(ISNA(MATCH(E3710,ctaNom,0)),"⚠ Cuenta no existe",IF(AND(OR(I3710="Transferencia",I3710="Pago tarjeta"),G3710=""),"⚠ Indica la cuenta «Hacia»",IF(AND(G3710&lt;&gt;"",G3710=E3710),"⚠ «Hacia» igual a la cuenta",IF(AND(G3710&lt;&gt;"",ISNA(MATCH(G3710,ctaNom,0))),"⚠ «Hacia» no existe",IF(AND(I3710="Pago tarjeta",IFERROR(INDEX(ctaTipo,MATCH(G3710,ctaNom,0)),"")&lt;&gt;"Tarjeta de crédito"),"⚠ «Hacia» debe ser la tarjeta",IF(AND(I3710="Trading",IFERROR(INDEX(ctaTipo,MATCH(E3710,ctaNom,0)),"")&lt;&gt;"Cuenta de trading"),"⚠ Usa la cuenta de trading","✓"))))))))))))</f>
        <v/>
      </c>
      <c r="I3710" s="19">
        <f>IF(OR(B3710="",C3710="",D3710=""),"",IFERROR(INDEX(catTipo,MATCH(D3710,catNom,0))&amp;"",""))</f>
        <v/>
      </c>
      <c r="J3710" s="19">
        <f>IF(I3710="","",IFERROR(INDEX(catGrupo,MATCH(D3710,catNom,0))&amp;"",""))</f>
        <v/>
      </c>
      <c r="K3710" s="19">
        <f>IF(I3710="Gasto",IF(IFERROR(INDEX(catClas,MATCH(D3710,catNom,0))&amp;"","")="","Variable",IFERROR(INDEX(catClas,MATCH(D3710,catNom,0))&amp;"","")),"")</f>
        <v/>
      </c>
      <c r="L3710" s="19">
        <f>IF(I3710="","",IFERROR(INDEX(catAlim,MATCH(D3710,catNom,0))&amp;"",""))</f>
        <v/>
      </c>
      <c r="M3710" s="19">
        <f>IF(I3710="","",IFERROR(INDEX(catComida,MATCH(D3710,catNom,0))&amp;"",""))</f>
        <v/>
      </c>
      <c r="N3710" s="19">
        <f>IF(I3710="","",IFERROR(INDEX(ctaMon,MATCH(E3710,ctaNom,0))&amp;"","DOP"))</f>
        <v/>
      </c>
      <c r="O3710" s="20">
        <f>IF(I3710="","",C3710*IF(N3710="USD",TasaUSD,1))</f>
        <v/>
      </c>
      <c r="P3710" s="20">
        <f>IF(I3710="","",IF(I3710="Gasto",O3710,0))</f>
        <v/>
      </c>
      <c r="Q3710" s="20">
        <f>IF(I3710="","",IF(I3710="Ingreso",O3710,0))</f>
        <v/>
      </c>
      <c r="R3710" s="20">
        <f>IF(I3710="","",IF(I3710="Trading",O3710,0))</f>
        <v/>
      </c>
      <c r="S3710" s="19">
        <f>IF(I3710="","",IF(AND(I3710="Gasto",K3710="Variable",J3710&lt;&gt;"Trading",O3710&gt;0,O3710&lt;=Umbral),1,0))</f>
        <v/>
      </c>
      <c r="T3710" s="20">
        <f>IF(OR(I3710="",E3710=""),"",IF(OR(I3710="Gasto",I3710="Transferencia",I3710="Pago tarjeta"),-1,1)*C3710)</f>
        <v/>
      </c>
      <c r="U3710" s="20">
        <f>IF(OR(G3710="",AND(I3710&lt;&gt;"Transferencia",I3710&lt;&gt;"Pago tarjeta")),"",IF(IFERROR(INDEX(ctaMon,MATCH(G3710,ctaNom,0))&amp;"","DOP")=N3710,C3710,IF(N3710="USD",C3710*TasaUSD,C3710/TasaUSD)))</f>
        <v/>
      </c>
      <c r="V3710" s="20">
        <f>IF(I3710="","",IF(IFERROR(INDEX(ctaLiq,MATCH(E3710,ctaNom,0))="Sí",FALSE),IF(OR(I3710="Gasto",I3710="Transferencia",I3710="Pago tarjeta"),-1,1)*O3710,0)+IF(AND(U3710&lt;&gt;"",IFERROR(INDEX(ctaLiq,MATCH(G3710,ctaNom,0))="Sí",FALSE)),O3710,0))</f>
        <v/>
      </c>
      <c r="W3710" s="19">
        <f>IF(OR(F3710="",I3710=""),"",IF(COUNTIFS(F$6:F3710,F3710,I$6:I3710,"?*")=1,MAX(W$5:W3709)+1,""))</f>
        <v/>
      </c>
    </row>
    <row r="3711">
      <c r="B3711" s="15" t="n"/>
      <c r="C3711" s="16" t="n"/>
      <c r="D3711" s="17" t="n"/>
      <c r="E3711" s="17" t="n"/>
      <c r="F3711" s="17" t="n"/>
      <c r="G3711" s="17" t="n"/>
      <c r="H3711" s="18">
        <f>IF(AND(B3711="",C3711="",D3711="",E3711=""),"",IF(B3711="","⚠ Falta fecha",IF(C3711="","⚠ Falta monto",IF(D3711="","⚠ Falta categoría",IF(ISNA(MATCH(D3711,catNom,0)),"⚠ Categoría no existe",IF(E3711="","⚠ Falta cuenta",IF(ISNA(MATCH(E3711,ctaNom,0)),"⚠ Cuenta no existe",IF(AND(OR(I3711="Transferencia",I3711="Pago tarjeta"),G3711=""),"⚠ Indica la cuenta «Hacia»",IF(AND(G3711&lt;&gt;"",G3711=E3711),"⚠ «Hacia» igual a la cuenta",IF(AND(G3711&lt;&gt;"",ISNA(MATCH(G3711,ctaNom,0))),"⚠ «Hacia» no existe",IF(AND(I3711="Pago tarjeta",IFERROR(INDEX(ctaTipo,MATCH(G3711,ctaNom,0)),"")&lt;&gt;"Tarjeta de crédito"),"⚠ «Hacia» debe ser la tarjeta",IF(AND(I3711="Trading",IFERROR(INDEX(ctaTipo,MATCH(E3711,ctaNom,0)),"")&lt;&gt;"Cuenta de trading"),"⚠ Usa la cuenta de trading","✓"))))))))))))</f>
        <v/>
      </c>
      <c r="I3711" s="19">
        <f>IF(OR(B3711="",C3711="",D3711=""),"",IFERROR(INDEX(catTipo,MATCH(D3711,catNom,0))&amp;"",""))</f>
        <v/>
      </c>
      <c r="J3711" s="19">
        <f>IF(I3711="","",IFERROR(INDEX(catGrupo,MATCH(D3711,catNom,0))&amp;"",""))</f>
        <v/>
      </c>
      <c r="K3711" s="19">
        <f>IF(I3711="Gasto",IF(IFERROR(INDEX(catClas,MATCH(D3711,catNom,0))&amp;"","")="","Variable",IFERROR(INDEX(catClas,MATCH(D3711,catNom,0))&amp;"","")),"")</f>
        <v/>
      </c>
      <c r="L3711" s="19">
        <f>IF(I3711="","",IFERROR(INDEX(catAlim,MATCH(D3711,catNom,0))&amp;"",""))</f>
        <v/>
      </c>
      <c r="M3711" s="19">
        <f>IF(I3711="","",IFERROR(INDEX(catComida,MATCH(D3711,catNom,0))&amp;"",""))</f>
        <v/>
      </c>
      <c r="N3711" s="19">
        <f>IF(I3711="","",IFERROR(INDEX(ctaMon,MATCH(E3711,ctaNom,0))&amp;"","DOP"))</f>
        <v/>
      </c>
      <c r="O3711" s="20">
        <f>IF(I3711="","",C3711*IF(N3711="USD",TasaUSD,1))</f>
        <v/>
      </c>
      <c r="P3711" s="20">
        <f>IF(I3711="","",IF(I3711="Gasto",O3711,0))</f>
        <v/>
      </c>
      <c r="Q3711" s="20">
        <f>IF(I3711="","",IF(I3711="Ingreso",O3711,0))</f>
        <v/>
      </c>
      <c r="R3711" s="20">
        <f>IF(I3711="","",IF(I3711="Trading",O3711,0))</f>
        <v/>
      </c>
      <c r="S3711" s="19">
        <f>IF(I3711="","",IF(AND(I3711="Gasto",K3711="Variable",J3711&lt;&gt;"Trading",O3711&gt;0,O3711&lt;=Umbral),1,0))</f>
        <v/>
      </c>
      <c r="T3711" s="20">
        <f>IF(OR(I3711="",E3711=""),"",IF(OR(I3711="Gasto",I3711="Transferencia",I3711="Pago tarjeta"),-1,1)*C3711)</f>
        <v/>
      </c>
      <c r="U3711" s="20">
        <f>IF(OR(G3711="",AND(I3711&lt;&gt;"Transferencia",I3711&lt;&gt;"Pago tarjeta")),"",IF(IFERROR(INDEX(ctaMon,MATCH(G3711,ctaNom,0))&amp;"","DOP")=N3711,C3711,IF(N3711="USD",C3711*TasaUSD,C3711/TasaUSD)))</f>
        <v/>
      </c>
      <c r="V3711" s="20">
        <f>IF(I3711="","",IF(IFERROR(INDEX(ctaLiq,MATCH(E3711,ctaNom,0))="Sí",FALSE),IF(OR(I3711="Gasto",I3711="Transferencia",I3711="Pago tarjeta"),-1,1)*O3711,0)+IF(AND(U3711&lt;&gt;"",IFERROR(INDEX(ctaLiq,MATCH(G3711,ctaNom,0))="Sí",FALSE)),O3711,0))</f>
        <v/>
      </c>
      <c r="W3711" s="19">
        <f>IF(OR(F3711="",I3711=""),"",IF(COUNTIFS(F$6:F3711,F3711,I$6:I3711,"?*")=1,MAX(W$5:W3710)+1,""))</f>
        <v/>
      </c>
    </row>
    <row r="3712">
      <c r="B3712" s="15" t="n"/>
      <c r="C3712" s="16" t="n"/>
      <c r="D3712" s="17" t="n"/>
      <c r="E3712" s="17" t="n"/>
      <c r="F3712" s="17" t="n"/>
      <c r="G3712" s="17" t="n"/>
      <c r="H3712" s="18">
        <f>IF(AND(B3712="",C3712="",D3712="",E3712=""),"",IF(B3712="","⚠ Falta fecha",IF(C3712="","⚠ Falta monto",IF(D3712="","⚠ Falta categoría",IF(ISNA(MATCH(D3712,catNom,0)),"⚠ Categoría no existe",IF(E3712="","⚠ Falta cuenta",IF(ISNA(MATCH(E3712,ctaNom,0)),"⚠ Cuenta no existe",IF(AND(OR(I3712="Transferencia",I3712="Pago tarjeta"),G3712=""),"⚠ Indica la cuenta «Hacia»",IF(AND(G3712&lt;&gt;"",G3712=E3712),"⚠ «Hacia» igual a la cuenta",IF(AND(G3712&lt;&gt;"",ISNA(MATCH(G3712,ctaNom,0))),"⚠ «Hacia» no existe",IF(AND(I3712="Pago tarjeta",IFERROR(INDEX(ctaTipo,MATCH(G3712,ctaNom,0)),"")&lt;&gt;"Tarjeta de crédito"),"⚠ «Hacia» debe ser la tarjeta",IF(AND(I3712="Trading",IFERROR(INDEX(ctaTipo,MATCH(E3712,ctaNom,0)),"")&lt;&gt;"Cuenta de trading"),"⚠ Usa la cuenta de trading","✓"))))))))))))</f>
        <v/>
      </c>
      <c r="I3712" s="19">
        <f>IF(OR(B3712="",C3712="",D3712=""),"",IFERROR(INDEX(catTipo,MATCH(D3712,catNom,0))&amp;"",""))</f>
        <v/>
      </c>
      <c r="J3712" s="19">
        <f>IF(I3712="","",IFERROR(INDEX(catGrupo,MATCH(D3712,catNom,0))&amp;"",""))</f>
        <v/>
      </c>
      <c r="K3712" s="19">
        <f>IF(I3712="Gasto",IF(IFERROR(INDEX(catClas,MATCH(D3712,catNom,0))&amp;"","")="","Variable",IFERROR(INDEX(catClas,MATCH(D3712,catNom,0))&amp;"","")),"")</f>
        <v/>
      </c>
      <c r="L3712" s="19">
        <f>IF(I3712="","",IFERROR(INDEX(catAlim,MATCH(D3712,catNom,0))&amp;"",""))</f>
        <v/>
      </c>
      <c r="M3712" s="19">
        <f>IF(I3712="","",IFERROR(INDEX(catComida,MATCH(D3712,catNom,0))&amp;"",""))</f>
        <v/>
      </c>
      <c r="N3712" s="19">
        <f>IF(I3712="","",IFERROR(INDEX(ctaMon,MATCH(E3712,ctaNom,0))&amp;"","DOP"))</f>
        <v/>
      </c>
      <c r="O3712" s="20">
        <f>IF(I3712="","",C3712*IF(N3712="USD",TasaUSD,1))</f>
        <v/>
      </c>
      <c r="P3712" s="20">
        <f>IF(I3712="","",IF(I3712="Gasto",O3712,0))</f>
        <v/>
      </c>
      <c r="Q3712" s="20">
        <f>IF(I3712="","",IF(I3712="Ingreso",O3712,0))</f>
        <v/>
      </c>
      <c r="R3712" s="20">
        <f>IF(I3712="","",IF(I3712="Trading",O3712,0))</f>
        <v/>
      </c>
      <c r="S3712" s="19">
        <f>IF(I3712="","",IF(AND(I3712="Gasto",K3712="Variable",J3712&lt;&gt;"Trading",O3712&gt;0,O3712&lt;=Umbral),1,0))</f>
        <v/>
      </c>
      <c r="T3712" s="20">
        <f>IF(OR(I3712="",E3712=""),"",IF(OR(I3712="Gasto",I3712="Transferencia",I3712="Pago tarjeta"),-1,1)*C3712)</f>
        <v/>
      </c>
      <c r="U3712" s="20">
        <f>IF(OR(G3712="",AND(I3712&lt;&gt;"Transferencia",I3712&lt;&gt;"Pago tarjeta")),"",IF(IFERROR(INDEX(ctaMon,MATCH(G3712,ctaNom,0))&amp;"","DOP")=N3712,C3712,IF(N3712="USD",C3712*TasaUSD,C3712/TasaUSD)))</f>
        <v/>
      </c>
      <c r="V3712" s="20">
        <f>IF(I3712="","",IF(IFERROR(INDEX(ctaLiq,MATCH(E3712,ctaNom,0))="Sí",FALSE),IF(OR(I3712="Gasto",I3712="Transferencia",I3712="Pago tarjeta"),-1,1)*O3712,0)+IF(AND(U3712&lt;&gt;"",IFERROR(INDEX(ctaLiq,MATCH(G3712,ctaNom,0))="Sí",FALSE)),O3712,0))</f>
        <v/>
      </c>
      <c r="W3712" s="19">
        <f>IF(OR(F3712="",I3712=""),"",IF(COUNTIFS(F$6:F3712,F3712,I$6:I3712,"?*")=1,MAX(W$5:W3711)+1,""))</f>
        <v/>
      </c>
    </row>
    <row r="3713">
      <c r="B3713" s="15" t="n"/>
      <c r="C3713" s="16" t="n"/>
      <c r="D3713" s="17" t="n"/>
      <c r="E3713" s="17" t="n"/>
      <c r="F3713" s="17" t="n"/>
      <c r="G3713" s="17" t="n"/>
      <c r="H3713" s="18">
        <f>IF(AND(B3713="",C3713="",D3713="",E3713=""),"",IF(B3713="","⚠ Falta fecha",IF(C3713="","⚠ Falta monto",IF(D3713="","⚠ Falta categoría",IF(ISNA(MATCH(D3713,catNom,0)),"⚠ Categoría no existe",IF(E3713="","⚠ Falta cuenta",IF(ISNA(MATCH(E3713,ctaNom,0)),"⚠ Cuenta no existe",IF(AND(OR(I3713="Transferencia",I3713="Pago tarjeta"),G3713=""),"⚠ Indica la cuenta «Hacia»",IF(AND(G3713&lt;&gt;"",G3713=E3713),"⚠ «Hacia» igual a la cuenta",IF(AND(G3713&lt;&gt;"",ISNA(MATCH(G3713,ctaNom,0))),"⚠ «Hacia» no existe",IF(AND(I3713="Pago tarjeta",IFERROR(INDEX(ctaTipo,MATCH(G3713,ctaNom,0)),"")&lt;&gt;"Tarjeta de crédito"),"⚠ «Hacia» debe ser la tarjeta",IF(AND(I3713="Trading",IFERROR(INDEX(ctaTipo,MATCH(E3713,ctaNom,0)),"")&lt;&gt;"Cuenta de trading"),"⚠ Usa la cuenta de trading","✓"))))))))))))</f>
        <v/>
      </c>
      <c r="I3713" s="19">
        <f>IF(OR(B3713="",C3713="",D3713=""),"",IFERROR(INDEX(catTipo,MATCH(D3713,catNom,0))&amp;"",""))</f>
        <v/>
      </c>
      <c r="J3713" s="19">
        <f>IF(I3713="","",IFERROR(INDEX(catGrupo,MATCH(D3713,catNom,0))&amp;"",""))</f>
        <v/>
      </c>
      <c r="K3713" s="19">
        <f>IF(I3713="Gasto",IF(IFERROR(INDEX(catClas,MATCH(D3713,catNom,0))&amp;"","")="","Variable",IFERROR(INDEX(catClas,MATCH(D3713,catNom,0))&amp;"","")),"")</f>
        <v/>
      </c>
      <c r="L3713" s="19">
        <f>IF(I3713="","",IFERROR(INDEX(catAlim,MATCH(D3713,catNom,0))&amp;"",""))</f>
        <v/>
      </c>
      <c r="M3713" s="19">
        <f>IF(I3713="","",IFERROR(INDEX(catComida,MATCH(D3713,catNom,0))&amp;"",""))</f>
        <v/>
      </c>
      <c r="N3713" s="19">
        <f>IF(I3713="","",IFERROR(INDEX(ctaMon,MATCH(E3713,ctaNom,0))&amp;"","DOP"))</f>
        <v/>
      </c>
      <c r="O3713" s="20">
        <f>IF(I3713="","",C3713*IF(N3713="USD",TasaUSD,1))</f>
        <v/>
      </c>
      <c r="P3713" s="20">
        <f>IF(I3713="","",IF(I3713="Gasto",O3713,0))</f>
        <v/>
      </c>
      <c r="Q3713" s="20">
        <f>IF(I3713="","",IF(I3713="Ingreso",O3713,0))</f>
        <v/>
      </c>
      <c r="R3713" s="20">
        <f>IF(I3713="","",IF(I3713="Trading",O3713,0))</f>
        <v/>
      </c>
      <c r="S3713" s="19">
        <f>IF(I3713="","",IF(AND(I3713="Gasto",K3713="Variable",J3713&lt;&gt;"Trading",O3713&gt;0,O3713&lt;=Umbral),1,0))</f>
        <v/>
      </c>
      <c r="T3713" s="20">
        <f>IF(OR(I3713="",E3713=""),"",IF(OR(I3713="Gasto",I3713="Transferencia",I3713="Pago tarjeta"),-1,1)*C3713)</f>
        <v/>
      </c>
      <c r="U3713" s="20">
        <f>IF(OR(G3713="",AND(I3713&lt;&gt;"Transferencia",I3713&lt;&gt;"Pago tarjeta")),"",IF(IFERROR(INDEX(ctaMon,MATCH(G3713,ctaNom,0))&amp;"","DOP")=N3713,C3713,IF(N3713="USD",C3713*TasaUSD,C3713/TasaUSD)))</f>
        <v/>
      </c>
      <c r="V3713" s="20">
        <f>IF(I3713="","",IF(IFERROR(INDEX(ctaLiq,MATCH(E3713,ctaNom,0))="Sí",FALSE),IF(OR(I3713="Gasto",I3713="Transferencia",I3713="Pago tarjeta"),-1,1)*O3713,0)+IF(AND(U3713&lt;&gt;"",IFERROR(INDEX(ctaLiq,MATCH(G3713,ctaNom,0))="Sí",FALSE)),O3713,0))</f>
        <v/>
      </c>
      <c r="W3713" s="19">
        <f>IF(OR(F3713="",I3713=""),"",IF(COUNTIFS(F$6:F3713,F3713,I$6:I3713,"?*")=1,MAX(W$5:W3712)+1,""))</f>
        <v/>
      </c>
    </row>
    <row r="3714">
      <c r="B3714" s="15" t="n"/>
      <c r="C3714" s="16" t="n"/>
      <c r="D3714" s="17" t="n"/>
      <c r="E3714" s="17" t="n"/>
      <c r="F3714" s="17" t="n"/>
      <c r="G3714" s="17" t="n"/>
      <c r="H3714" s="18">
        <f>IF(AND(B3714="",C3714="",D3714="",E3714=""),"",IF(B3714="","⚠ Falta fecha",IF(C3714="","⚠ Falta monto",IF(D3714="","⚠ Falta categoría",IF(ISNA(MATCH(D3714,catNom,0)),"⚠ Categoría no existe",IF(E3714="","⚠ Falta cuenta",IF(ISNA(MATCH(E3714,ctaNom,0)),"⚠ Cuenta no existe",IF(AND(OR(I3714="Transferencia",I3714="Pago tarjeta"),G3714=""),"⚠ Indica la cuenta «Hacia»",IF(AND(G3714&lt;&gt;"",G3714=E3714),"⚠ «Hacia» igual a la cuenta",IF(AND(G3714&lt;&gt;"",ISNA(MATCH(G3714,ctaNom,0))),"⚠ «Hacia» no existe",IF(AND(I3714="Pago tarjeta",IFERROR(INDEX(ctaTipo,MATCH(G3714,ctaNom,0)),"")&lt;&gt;"Tarjeta de crédito"),"⚠ «Hacia» debe ser la tarjeta",IF(AND(I3714="Trading",IFERROR(INDEX(ctaTipo,MATCH(E3714,ctaNom,0)),"")&lt;&gt;"Cuenta de trading"),"⚠ Usa la cuenta de trading","✓"))))))))))))</f>
        <v/>
      </c>
      <c r="I3714" s="19">
        <f>IF(OR(B3714="",C3714="",D3714=""),"",IFERROR(INDEX(catTipo,MATCH(D3714,catNom,0))&amp;"",""))</f>
        <v/>
      </c>
      <c r="J3714" s="19">
        <f>IF(I3714="","",IFERROR(INDEX(catGrupo,MATCH(D3714,catNom,0))&amp;"",""))</f>
        <v/>
      </c>
      <c r="K3714" s="19">
        <f>IF(I3714="Gasto",IF(IFERROR(INDEX(catClas,MATCH(D3714,catNom,0))&amp;"","")="","Variable",IFERROR(INDEX(catClas,MATCH(D3714,catNom,0))&amp;"","")),"")</f>
        <v/>
      </c>
      <c r="L3714" s="19">
        <f>IF(I3714="","",IFERROR(INDEX(catAlim,MATCH(D3714,catNom,0))&amp;"",""))</f>
        <v/>
      </c>
      <c r="M3714" s="19">
        <f>IF(I3714="","",IFERROR(INDEX(catComida,MATCH(D3714,catNom,0))&amp;"",""))</f>
        <v/>
      </c>
      <c r="N3714" s="19">
        <f>IF(I3714="","",IFERROR(INDEX(ctaMon,MATCH(E3714,ctaNom,0))&amp;"","DOP"))</f>
        <v/>
      </c>
      <c r="O3714" s="20">
        <f>IF(I3714="","",C3714*IF(N3714="USD",TasaUSD,1))</f>
        <v/>
      </c>
      <c r="P3714" s="20">
        <f>IF(I3714="","",IF(I3714="Gasto",O3714,0))</f>
        <v/>
      </c>
      <c r="Q3714" s="20">
        <f>IF(I3714="","",IF(I3714="Ingreso",O3714,0))</f>
        <v/>
      </c>
      <c r="R3714" s="20">
        <f>IF(I3714="","",IF(I3714="Trading",O3714,0))</f>
        <v/>
      </c>
      <c r="S3714" s="19">
        <f>IF(I3714="","",IF(AND(I3714="Gasto",K3714="Variable",J3714&lt;&gt;"Trading",O3714&gt;0,O3714&lt;=Umbral),1,0))</f>
        <v/>
      </c>
      <c r="T3714" s="20">
        <f>IF(OR(I3714="",E3714=""),"",IF(OR(I3714="Gasto",I3714="Transferencia",I3714="Pago tarjeta"),-1,1)*C3714)</f>
        <v/>
      </c>
      <c r="U3714" s="20">
        <f>IF(OR(G3714="",AND(I3714&lt;&gt;"Transferencia",I3714&lt;&gt;"Pago tarjeta")),"",IF(IFERROR(INDEX(ctaMon,MATCH(G3714,ctaNom,0))&amp;"","DOP")=N3714,C3714,IF(N3714="USD",C3714*TasaUSD,C3714/TasaUSD)))</f>
        <v/>
      </c>
      <c r="V3714" s="20">
        <f>IF(I3714="","",IF(IFERROR(INDEX(ctaLiq,MATCH(E3714,ctaNom,0))="Sí",FALSE),IF(OR(I3714="Gasto",I3714="Transferencia",I3714="Pago tarjeta"),-1,1)*O3714,0)+IF(AND(U3714&lt;&gt;"",IFERROR(INDEX(ctaLiq,MATCH(G3714,ctaNom,0))="Sí",FALSE)),O3714,0))</f>
        <v/>
      </c>
      <c r="W3714" s="19">
        <f>IF(OR(F3714="",I3714=""),"",IF(COUNTIFS(F$6:F3714,F3714,I$6:I3714,"?*")=1,MAX(W$5:W3713)+1,""))</f>
        <v/>
      </c>
    </row>
    <row r="3715">
      <c r="B3715" s="15" t="n"/>
      <c r="C3715" s="16" t="n"/>
      <c r="D3715" s="17" t="n"/>
      <c r="E3715" s="17" t="n"/>
      <c r="F3715" s="17" t="n"/>
      <c r="G3715" s="17" t="n"/>
      <c r="H3715" s="18">
        <f>IF(AND(B3715="",C3715="",D3715="",E3715=""),"",IF(B3715="","⚠ Falta fecha",IF(C3715="","⚠ Falta monto",IF(D3715="","⚠ Falta categoría",IF(ISNA(MATCH(D3715,catNom,0)),"⚠ Categoría no existe",IF(E3715="","⚠ Falta cuenta",IF(ISNA(MATCH(E3715,ctaNom,0)),"⚠ Cuenta no existe",IF(AND(OR(I3715="Transferencia",I3715="Pago tarjeta"),G3715=""),"⚠ Indica la cuenta «Hacia»",IF(AND(G3715&lt;&gt;"",G3715=E3715),"⚠ «Hacia» igual a la cuenta",IF(AND(G3715&lt;&gt;"",ISNA(MATCH(G3715,ctaNom,0))),"⚠ «Hacia» no existe",IF(AND(I3715="Pago tarjeta",IFERROR(INDEX(ctaTipo,MATCH(G3715,ctaNom,0)),"")&lt;&gt;"Tarjeta de crédito"),"⚠ «Hacia» debe ser la tarjeta",IF(AND(I3715="Trading",IFERROR(INDEX(ctaTipo,MATCH(E3715,ctaNom,0)),"")&lt;&gt;"Cuenta de trading"),"⚠ Usa la cuenta de trading","✓"))))))))))))</f>
        <v/>
      </c>
      <c r="I3715" s="19">
        <f>IF(OR(B3715="",C3715="",D3715=""),"",IFERROR(INDEX(catTipo,MATCH(D3715,catNom,0))&amp;"",""))</f>
        <v/>
      </c>
      <c r="J3715" s="19">
        <f>IF(I3715="","",IFERROR(INDEX(catGrupo,MATCH(D3715,catNom,0))&amp;"",""))</f>
        <v/>
      </c>
      <c r="K3715" s="19">
        <f>IF(I3715="Gasto",IF(IFERROR(INDEX(catClas,MATCH(D3715,catNom,0))&amp;"","")="","Variable",IFERROR(INDEX(catClas,MATCH(D3715,catNom,0))&amp;"","")),"")</f>
        <v/>
      </c>
      <c r="L3715" s="19">
        <f>IF(I3715="","",IFERROR(INDEX(catAlim,MATCH(D3715,catNom,0))&amp;"",""))</f>
        <v/>
      </c>
      <c r="M3715" s="19">
        <f>IF(I3715="","",IFERROR(INDEX(catComida,MATCH(D3715,catNom,0))&amp;"",""))</f>
        <v/>
      </c>
      <c r="N3715" s="19">
        <f>IF(I3715="","",IFERROR(INDEX(ctaMon,MATCH(E3715,ctaNom,0))&amp;"","DOP"))</f>
        <v/>
      </c>
      <c r="O3715" s="20">
        <f>IF(I3715="","",C3715*IF(N3715="USD",TasaUSD,1))</f>
        <v/>
      </c>
      <c r="P3715" s="20">
        <f>IF(I3715="","",IF(I3715="Gasto",O3715,0))</f>
        <v/>
      </c>
      <c r="Q3715" s="20">
        <f>IF(I3715="","",IF(I3715="Ingreso",O3715,0))</f>
        <v/>
      </c>
      <c r="R3715" s="20">
        <f>IF(I3715="","",IF(I3715="Trading",O3715,0))</f>
        <v/>
      </c>
      <c r="S3715" s="19">
        <f>IF(I3715="","",IF(AND(I3715="Gasto",K3715="Variable",J3715&lt;&gt;"Trading",O3715&gt;0,O3715&lt;=Umbral),1,0))</f>
        <v/>
      </c>
      <c r="T3715" s="20">
        <f>IF(OR(I3715="",E3715=""),"",IF(OR(I3715="Gasto",I3715="Transferencia",I3715="Pago tarjeta"),-1,1)*C3715)</f>
        <v/>
      </c>
      <c r="U3715" s="20">
        <f>IF(OR(G3715="",AND(I3715&lt;&gt;"Transferencia",I3715&lt;&gt;"Pago tarjeta")),"",IF(IFERROR(INDEX(ctaMon,MATCH(G3715,ctaNom,0))&amp;"","DOP")=N3715,C3715,IF(N3715="USD",C3715*TasaUSD,C3715/TasaUSD)))</f>
        <v/>
      </c>
      <c r="V3715" s="20">
        <f>IF(I3715="","",IF(IFERROR(INDEX(ctaLiq,MATCH(E3715,ctaNom,0))="Sí",FALSE),IF(OR(I3715="Gasto",I3715="Transferencia",I3715="Pago tarjeta"),-1,1)*O3715,0)+IF(AND(U3715&lt;&gt;"",IFERROR(INDEX(ctaLiq,MATCH(G3715,ctaNom,0))="Sí",FALSE)),O3715,0))</f>
        <v/>
      </c>
      <c r="W3715" s="19">
        <f>IF(OR(F3715="",I3715=""),"",IF(COUNTIFS(F$6:F3715,F3715,I$6:I3715,"?*")=1,MAX(W$5:W3714)+1,""))</f>
        <v/>
      </c>
    </row>
    <row r="3716">
      <c r="B3716" s="15" t="n"/>
      <c r="C3716" s="16" t="n"/>
      <c r="D3716" s="17" t="n"/>
      <c r="E3716" s="17" t="n"/>
      <c r="F3716" s="17" t="n"/>
      <c r="G3716" s="17" t="n"/>
      <c r="H3716" s="18">
        <f>IF(AND(B3716="",C3716="",D3716="",E3716=""),"",IF(B3716="","⚠ Falta fecha",IF(C3716="","⚠ Falta monto",IF(D3716="","⚠ Falta categoría",IF(ISNA(MATCH(D3716,catNom,0)),"⚠ Categoría no existe",IF(E3716="","⚠ Falta cuenta",IF(ISNA(MATCH(E3716,ctaNom,0)),"⚠ Cuenta no existe",IF(AND(OR(I3716="Transferencia",I3716="Pago tarjeta"),G3716=""),"⚠ Indica la cuenta «Hacia»",IF(AND(G3716&lt;&gt;"",G3716=E3716),"⚠ «Hacia» igual a la cuenta",IF(AND(G3716&lt;&gt;"",ISNA(MATCH(G3716,ctaNom,0))),"⚠ «Hacia» no existe",IF(AND(I3716="Pago tarjeta",IFERROR(INDEX(ctaTipo,MATCH(G3716,ctaNom,0)),"")&lt;&gt;"Tarjeta de crédito"),"⚠ «Hacia» debe ser la tarjeta",IF(AND(I3716="Trading",IFERROR(INDEX(ctaTipo,MATCH(E3716,ctaNom,0)),"")&lt;&gt;"Cuenta de trading"),"⚠ Usa la cuenta de trading","✓"))))))))))))</f>
        <v/>
      </c>
      <c r="I3716" s="19">
        <f>IF(OR(B3716="",C3716="",D3716=""),"",IFERROR(INDEX(catTipo,MATCH(D3716,catNom,0))&amp;"",""))</f>
        <v/>
      </c>
      <c r="J3716" s="19">
        <f>IF(I3716="","",IFERROR(INDEX(catGrupo,MATCH(D3716,catNom,0))&amp;"",""))</f>
        <v/>
      </c>
      <c r="K3716" s="19">
        <f>IF(I3716="Gasto",IF(IFERROR(INDEX(catClas,MATCH(D3716,catNom,0))&amp;"","")="","Variable",IFERROR(INDEX(catClas,MATCH(D3716,catNom,0))&amp;"","")),"")</f>
        <v/>
      </c>
      <c r="L3716" s="19">
        <f>IF(I3716="","",IFERROR(INDEX(catAlim,MATCH(D3716,catNom,0))&amp;"",""))</f>
        <v/>
      </c>
      <c r="M3716" s="19">
        <f>IF(I3716="","",IFERROR(INDEX(catComida,MATCH(D3716,catNom,0))&amp;"",""))</f>
        <v/>
      </c>
      <c r="N3716" s="19">
        <f>IF(I3716="","",IFERROR(INDEX(ctaMon,MATCH(E3716,ctaNom,0))&amp;"","DOP"))</f>
        <v/>
      </c>
      <c r="O3716" s="20">
        <f>IF(I3716="","",C3716*IF(N3716="USD",TasaUSD,1))</f>
        <v/>
      </c>
      <c r="P3716" s="20">
        <f>IF(I3716="","",IF(I3716="Gasto",O3716,0))</f>
        <v/>
      </c>
      <c r="Q3716" s="20">
        <f>IF(I3716="","",IF(I3716="Ingreso",O3716,0))</f>
        <v/>
      </c>
      <c r="R3716" s="20">
        <f>IF(I3716="","",IF(I3716="Trading",O3716,0))</f>
        <v/>
      </c>
      <c r="S3716" s="19">
        <f>IF(I3716="","",IF(AND(I3716="Gasto",K3716="Variable",J3716&lt;&gt;"Trading",O3716&gt;0,O3716&lt;=Umbral),1,0))</f>
        <v/>
      </c>
      <c r="T3716" s="20">
        <f>IF(OR(I3716="",E3716=""),"",IF(OR(I3716="Gasto",I3716="Transferencia",I3716="Pago tarjeta"),-1,1)*C3716)</f>
        <v/>
      </c>
      <c r="U3716" s="20">
        <f>IF(OR(G3716="",AND(I3716&lt;&gt;"Transferencia",I3716&lt;&gt;"Pago tarjeta")),"",IF(IFERROR(INDEX(ctaMon,MATCH(G3716,ctaNom,0))&amp;"","DOP")=N3716,C3716,IF(N3716="USD",C3716*TasaUSD,C3716/TasaUSD)))</f>
        <v/>
      </c>
      <c r="V3716" s="20">
        <f>IF(I3716="","",IF(IFERROR(INDEX(ctaLiq,MATCH(E3716,ctaNom,0))="Sí",FALSE),IF(OR(I3716="Gasto",I3716="Transferencia",I3716="Pago tarjeta"),-1,1)*O3716,0)+IF(AND(U3716&lt;&gt;"",IFERROR(INDEX(ctaLiq,MATCH(G3716,ctaNom,0))="Sí",FALSE)),O3716,0))</f>
        <v/>
      </c>
      <c r="W3716" s="19">
        <f>IF(OR(F3716="",I3716=""),"",IF(COUNTIFS(F$6:F3716,F3716,I$6:I3716,"?*")=1,MAX(W$5:W3715)+1,""))</f>
        <v/>
      </c>
    </row>
    <row r="3717">
      <c r="B3717" s="15" t="n"/>
      <c r="C3717" s="16" t="n"/>
      <c r="D3717" s="17" t="n"/>
      <c r="E3717" s="17" t="n"/>
      <c r="F3717" s="17" t="n"/>
      <c r="G3717" s="17" t="n"/>
      <c r="H3717" s="18">
        <f>IF(AND(B3717="",C3717="",D3717="",E3717=""),"",IF(B3717="","⚠ Falta fecha",IF(C3717="","⚠ Falta monto",IF(D3717="","⚠ Falta categoría",IF(ISNA(MATCH(D3717,catNom,0)),"⚠ Categoría no existe",IF(E3717="","⚠ Falta cuenta",IF(ISNA(MATCH(E3717,ctaNom,0)),"⚠ Cuenta no existe",IF(AND(OR(I3717="Transferencia",I3717="Pago tarjeta"),G3717=""),"⚠ Indica la cuenta «Hacia»",IF(AND(G3717&lt;&gt;"",G3717=E3717),"⚠ «Hacia» igual a la cuenta",IF(AND(G3717&lt;&gt;"",ISNA(MATCH(G3717,ctaNom,0))),"⚠ «Hacia» no existe",IF(AND(I3717="Pago tarjeta",IFERROR(INDEX(ctaTipo,MATCH(G3717,ctaNom,0)),"")&lt;&gt;"Tarjeta de crédito"),"⚠ «Hacia» debe ser la tarjeta",IF(AND(I3717="Trading",IFERROR(INDEX(ctaTipo,MATCH(E3717,ctaNom,0)),"")&lt;&gt;"Cuenta de trading"),"⚠ Usa la cuenta de trading","✓"))))))))))))</f>
        <v/>
      </c>
      <c r="I3717" s="19">
        <f>IF(OR(B3717="",C3717="",D3717=""),"",IFERROR(INDEX(catTipo,MATCH(D3717,catNom,0))&amp;"",""))</f>
        <v/>
      </c>
      <c r="J3717" s="19">
        <f>IF(I3717="","",IFERROR(INDEX(catGrupo,MATCH(D3717,catNom,0))&amp;"",""))</f>
        <v/>
      </c>
      <c r="K3717" s="19">
        <f>IF(I3717="Gasto",IF(IFERROR(INDEX(catClas,MATCH(D3717,catNom,0))&amp;"","")="","Variable",IFERROR(INDEX(catClas,MATCH(D3717,catNom,0))&amp;"","")),"")</f>
        <v/>
      </c>
      <c r="L3717" s="19">
        <f>IF(I3717="","",IFERROR(INDEX(catAlim,MATCH(D3717,catNom,0))&amp;"",""))</f>
        <v/>
      </c>
      <c r="M3717" s="19">
        <f>IF(I3717="","",IFERROR(INDEX(catComida,MATCH(D3717,catNom,0))&amp;"",""))</f>
        <v/>
      </c>
      <c r="N3717" s="19">
        <f>IF(I3717="","",IFERROR(INDEX(ctaMon,MATCH(E3717,ctaNom,0))&amp;"","DOP"))</f>
        <v/>
      </c>
      <c r="O3717" s="20">
        <f>IF(I3717="","",C3717*IF(N3717="USD",TasaUSD,1))</f>
        <v/>
      </c>
      <c r="P3717" s="20">
        <f>IF(I3717="","",IF(I3717="Gasto",O3717,0))</f>
        <v/>
      </c>
      <c r="Q3717" s="20">
        <f>IF(I3717="","",IF(I3717="Ingreso",O3717,0))</f>
        <v/>
      </c>
      <c r="R3717" s="20">
        <f>IF(I3717="","",IF(I3717="Trading",O3717,0))</f>
        <v/>
      </c>
      <c r="S3717" s="19">
        <f>IF(I3717="","",IF(AND(I3717="Gasto",K3717="Variable",J3717&lt;&gt;"Trading",O3717&gt;0,O3717&lt;=Umbral),1,0))</f>
        <v/>
      </c>
      <c r="T3717" s="20">
        <f>IF(OR(I3717="",E3717=""),"",IF(OR(I3717="Gasto",I3717="Transferencia",I3717="Pago tarjeta"),-1,1)*C3717)</f>
        <v/>
      </c>
      <c r="U3717" s="20">
        <f>IF(OR(G3717="",AND(I3717&lt;&gt;"Transferencia",I3717&lt;&gt;"Pago tarjeta")),"",IF(IFERROR(INDEX(ctaMon,MATCH(G3717,ctaNom,0))&amp;"","DOP")=N3717,C3717,IF(N3717="USD",C3717*TasaUSD,C3717/TasaUSD)))</f>
        <v/>
      </c>
      <c r="V3717" s="20">
        <f>IF(I3717="","",IF(IFERROR(INDEX(ctaLiq,MATCH(E3717,ctaNom,0))="Sí",FALSE),IF(OR(I3717="Gasto",I3717="Transferencia",I3717="Pago tarjeta"),-1,1)*O3717,0)+IF(AND(U3717&lt;&gt;"",IFERROR(INDEX(ctaLiq,MATCH(G3717,ctaNom,0))="Sí",FALSE)),O3717,0))</f>
        <v/>
      </c>
      <c r="W3717" s="19">
        <f>IF(OR(F3717="",I3717=""),"",IF(COUNTIFS(F$6:F3717,F3717,I$6:I3717,"?*")=1,MAX(W$5:W3716)+1,""))</f>
        <v/>
      </c>
    </row>
    <row r="3718">
      <c r="B3718" s="15" t="n"/>
      <c r="C3718" s="16" t="n"/>
      <c r="D3718" s="17" t="n"/>
      <c r="E3718" s="17" t="n"/>
      <c r="F3718" s="17" t="n"/>
      <c r="G3718" s="17" t="n"/>
      <c r="H3718" s="18">
        <f>IF(AND(B3718="",C3718="",D3718="",E3718=""),"",IF(B3718="","⚠ Falta fecha",IF(C3718="","⚠ Falta monto",IF(D3718="","⚠ Falta categoría",IF(ISNA(MATCH(D3718,catNom,0)),"⚠ Categoría no existe",IF(E3718="","⚠ Falta cuenta",IF(ISNA(MATCH(E3718,ctaNom,0)),"⚠ Cuenta no existe",IF(AND(OR(I3718="Transferencia",I3718="Pago tarjeta"),G3718=""),"⚠ Indica la cuenta «Hacia»",IF(AND(G3718&lt;&gt;"",G3718=E3718),"⚠ «Hacia» igual a la cuenta",IF(AND(G3718&lt;&gt;"",ISNA(MATCH(G3718,ctaNom,0))),"⚠ «Hacia» no existe",IF(AND(I3718="Pago tarjeta",IFERROR(INDEX(ctaTipo,MATCH(G3718,ctaNom,0)),"")&lt;&gt;"Tarjeta de crédito"),"⚠ «Hacia» debe ser la tarjeta",IF(AND(I3718="Trading",IFERROR(INDEX(ctaTipo,MATCH(E3718,ctaNom,0)),"")&lt;&gt;"Cuenta de trading"),"⚠ Usa la cuenta de trading","✓"))))))))))))</f>
        <v/>
      </c>
      <c r="I3718" s="19">
        <f>IF(OR(B3718="",C3718="",D3718=""),"",IFERROR(INDEX(catTipo,MATCH(D3718,catNom,0))&amp;"",""))</f>
        <v/>
      </c>
      <c r="J3718" s="19">
        <f>IF(I3718="","",IFERROR(INDEX(catGrupo,MATCH(D3718,catNom,0))&amp;"",""))</f>
        <v/>
      </c>
      <c r="K3718" s="19">
        <f>IF(I3718="Gasto",IF(IFERROR(INDEX(catClas,MATCH(D3718,catNom,0))&amp;"","")="","Variable",IFERROR(INDEX(catClas,MATCH(D3718,catNom,0))&amp;"","")),"")</f>
        <v/>
      </c>
      <c r="L3718" s="19">
        <f>IF(I3718="","",IFERROR(INDEX(catAlim,MATCH(D3718,catNom,0))&amp;"",""))</f>
        <v/>
      </c>
      <c r="M3718" s="19">
        <f>IF(I3718="","",IFERROR(INDEX(catComida,MATCH(D3718,catNom,0))&amp;"",""))</f>
        <v/>
      </c>
      <c r="N3718" s="19">
        <f>IF(I3718="","",IFERROR(INDEX(ctaMon,MATCH(E3718,ctaNom,0))&amp;"","DOP"))</f>
        <v/>
      </c>
      <c r="O3718" s="20">
        <f>IF(I3718="","",C3718*IF(N3718="USD",TasaUSD,1))</f>
        <v/>
      </c>
      <c r="P3718" s="20">
        <f>IF(I3718="","",IF(I3718="Gasto",O3718,0))</f>
        <v/>
      </c>
      <c r="Q3718" s="20">
        <f>IF(I3718="","",IF(I3718="Ingreso",O3718,0))</f>
        <v/>
      </c>
      <c r="R3718" s="20">
        <f>IF(I3718="","",IF(I3718="Trading",O3718,0))</f>
        <v/>
      </c>
      <c r="S3718" s="19">
        <f>IF(I3718="","",IF(AND(I3718="Gasto",K3718="Variable",J3718&lt;&gt;"Trading",O3718&gt;0,O3718&lt;=Umbral),1,0))</f>
        <v/>
      </c>
      <c r="T3718" s="20">
        <f>IF(OR(I3718="",E3718=""),"",IF(OR(I3718="Gasto",I3718="Transferencia",I3718="Pago tarjeta"),-1,1)*C3718)</f>
        <v/>
      </c>
      <c r="U3718" s="20">
        <f>IF(OR(G3718="",AND(I3718&lt;&gt;"Transferencia",I3718&lt;&gt;"Pago tarjeta")),"",IF(IFERROR(INDEX(ctaMon,MATCH(G3718,ctaNom,0))&amp;"","DOP")=N3718,C3718,IF(N3718="USD",C3718*TasaUSD,C3718/TasaUSD)))</f>
        <v/>
      </c>
      <c r="V3718" s="20">
        <f>IF(I3718="","",IF(IFERROR(INDEX(ctaLiq,MATCH(E3718,ctaNom,0))="Sí",FALSE),IF(OR(I3718="Gasto",I3718="Transferencia",I3718="Pago tarjeta"),-1,1)*O3718,0)+IF(AND(U3718&lt;&gt;"",IFERROR(INDEX(ctaLiq,MATCH(G3718,ctaNom,0))="Sí",FALSE)),O3718,0))</f>
        <v/>
      </c>
      <c r="W3718" s="19">
        <f>IF(OR(F3718="",I3718=""),"",IF(COUNTIFS(F$6:F3718,F3718,I$6:I3718,"?*")=1,MAX(W$5:W3717)+1,""))</f>
        <v/>
      </c>
    </row>
    <row r="3719">
      <c r="B3719" s="15" t="n"/>
      <c r="C3719" s="16" t="n"/>
      <c r="D3719" s="17" t="n"/>
      <c r="E3719" s="17" t="n"/>
      <c r="F3719" s="17" t="n"/>
      <c r="G3719" s="17" t="n"/>
      <c r="H3719" s="18">
        <f>IF(AND(B3719="",C3719="",D3719="",E3719=""),"",IF(B3719="","⚠ Falta fecha",IF(C3719="","⚠ Falta monto",IF(D3719="","⚠ Falta categoría",IF(ISNA(MATCH(D3719,catNom,0)),"⚠ Categoría no existe",IF(E3719="","⚠ Falta cuenta",IF(ISNA(MATCH(E3719,ctaNom,0)),"⚠ Cuenta no existe",IF(AND(OR(I3719="Transferencia",I3719="Pago tarjeta"),G3719=""),"⚠ Indica la cuenta «Hacia»",IF(AND(G3719&lt;&gt;"",G3719=E3719),"⚠ «Hacia» igual a la cuenta",IF(AND(G3719&lt;&gt;"",ISNA(MATCH(G3719,ctaNom,0))),"⚠ «Hacia» no existe",IF(AND(I3719="Pago tarjeta",IFERROR(INDEX(ctaTipo,MATCH(G3719,ctaNom,0)),"")&lt;&gt;"Tarjeta de crédito"),"⚠ «Hacia» debe ser la tarjeta",IF(AND(I3719="Trading",IFERROR(INDEX(ctaTipo,MATCH(E3719,ctaNom,0)),"")&lt;&gt;"Cuenta de trading"),"⚠ Usa la cuenta de trading","✓"))))))))))))</f>
        <v/>
      </c>
      <c r="I3719" s="19">
        <f>IF(OR(B3719="",C3719="",D3719=""),"",IFERROR(INDEX(catTipo,MATCH(D3719,catNom,0))&amp;"",""))</f>
        <v/>
      </c>
      <c r="J3719" s="19">
        <f>IF(I3719="","",IFERROR(INDEX(catGrupo,MATCH(D3719,catNom,0))&amp;"",""))</f>
        <v/>
      </c>
      <c r="K3719" s="19">
        <f>IF(I3719="Gasto",IF(IFERROR(INDEX(catClas,MATCH(D3719,catNom,0))&amp;"","")="","Variable",IFERROR(INDEX(catClas,MATCH(D3719,catNom,0))&amp;"","")),"")</f>
        <v/>
      </c>
      <c r="L3719" s="19">
        <f>IF(I3719="","",IFERROR(INDEX(catAlim,MATCH(D3719,catNom,0))&amp;"",""))</f>
        <v/>
      </c>
      <c r="M3719" s="19">
        <f>IF(I3719="","",IFERROR(INDEX(catComida,MATCH(D3719,catNom,0))&amp;"",""))</f>
        <v/>
      </c>
      <c r="N3719" s="19">
        <f>IF(I3719="","",IFERROR(INDEX(ctaMon,MATCH(E3719,ctaNom,0))&amp;"","DOP"))</f>
        <v/>
      </c>
      <c r="O3719" s="20">
        <f>IF(I3719="","",C3719*IF(N3719="USD",TasaUSD,1))</f>
        <v/>
      </c>
      <c r="P3719" s="20">
        <f>IF(I3719="","",IF(I3719="Gasto",O3719,0))</f>
        <v/>
      </c>
      <c r="Q3719" s="20">
        <f>IF(I3719="","",IF(I3719="Ingreso",O3719,0))</f>
        <v/>
      </c>
      <c r="R3719" s="20">
        <f>IF(I3719="","",IF(I3719="Trading",O3719,0))</f>
        <v/>
      </c>
      <c r="S3719" s="19">
        <f>IF(I3719="","",IF(AND(I3719="Gasto",K3719="Variable",J3719&lt;&gt;"Trading",O3719&gt;0,O3719&lt;=Umbral),1,0))</f>
        <v/>
      </c>
      <c r="T3719" s="20">
        <f>IF(OR(I3719="",E3719=""),"",IF(OR(I3719="Gasto",I3719="Transferencia",I3719="Pago tarjeta"),-1,1)*C3719)</f>
        <v/>
      </c>
      <c r="U3719" s="20">
        <f>IF(OR(G3719="",AND(I3719&lt;&gt;"Transferencia",I3719&lt;&gt;"Pago tarjeta")),"",IF(IFERROR(INDEX(ctaMon,MATCH(G3719,ctaNom,0))&amp;"","DOP")=N3719,C3719,IF(N3719="USD",C3719*TasaUSD,C3719/TasaUSD)))</f>
        <v/>
      </c>
      <c r="V3719" s="20">
        <f>IF(I3719="","",IF(IFERROR(INDEX(ctaLiq,MATCH(E3719,ctaNom,0))="Sí",FALSE),IF(OR(I3719="Gasto",I3719="Transferencia",I3719="Pago tarjeta"),-1,1)*O3719,0)+IF(AND(U3719&lt;&gt;"",IFERROR(INDEX(ctaLiq,MATCH(G3719,ctaNom,0))="Sí",FALSE)),O3719,0))</f>
        <v/>
      </c>
      <c r="W3719" s="19">
        <f>IF(OR(F3719="",I3719=""),"",IF(COUNTIFS(F$6:F3719,F3719,I$6:I3719,"?*")=1,MAX(W$5:W3718)+1,""))</f>
        <v/>
      </c>
    </row>
    <row r="3720">
      <c r="B3720" s="15" t="n"/>
      <c r="C3720" s="16" t="n"/>
      <c r="D3720" s="17" t="n"/>
      <c r="E3720" s="17" t="n"/>
      <c r="F3720" s="17" t="n"/>
      <c r="G3720" s="17" t="n"/>
      <c r="H3720" s="18">
        <f>IF(AND(B3720="",C3720="",D3720="",E3720=""),"",IF(B3720="","⚠ Falta fecha",IF(C3720="","⚠ Falta monto",IF(D3720="","⚠ Falta categoría",IF(ISNA(MATCH(D3720,catNom,0)),"⚠ Categoría no existe",IF(E3720="","⚠ Falta cuenta",IF(ISNA(MATCH(E3720,ctaNom,0)),"⚠ Cuenta no existe",IF(AND(OR(I3720="Transferencia",I3720="Pago tarjeta"),G3720=""),"⚠ Indica la cuenta «Hacia»",IF(AND(G3720&lt;&gt;"",G3720=E3720),"⚠ «Hacia» igual a la cuenta",IF(AND(G3720&lt;&gt;"",ISNA(MATCH(G3720,ctaNom,0))),"⚠ «Hacia» no existe",IF(AND(I3720="Pago tarjeta",IFERROR(INDEX(ctaTipo,MATCH(G3720,ctaNom,0)),"")&lt;&gt;"Tarjeta de crédito"),"⚠ «Hacia» debe ser la tarjeta",IF(AND(I3720="Trading",IFERROR(INDEX(ctaTipo,MATCH(E3720,ctaNom,0)),"")&lt;&gt;"Cuenta de trading"),"⚠ Usa la cuenta de trading","✓"))))))))))))</f>
        <v/>
      </c>
      <c r="I3720" s="19">
        <f>IF(OR(B3720="",C3720="",D3720=""),"",IFERROR(INDEX(catTipo,MATCH(D3720,catNom,0))&amp;"",""))</f>
        <v/>
      </c>
      <c r="J3720" s="19">
        <f>IF(I3720="","",IFERROR(INDEX(catGrupo,MATCH(D3720,catNom,0))&amp;"",""))</f>
        <v/>
      </c>
      <c r="K3720" s="19">
        <f>IF(I3720="Gasto",IF(IFERROR(INDEX(catClas,MATCH(D3720,catNom,0))&amp;"","")="","Variable",IFERROR(INDEX(catClas,MATCH(D3720,catNom,0))&amp;"","")),"")</f>
        <v/>
      </c>
      <c r="L3720" s="19">
        <f>IF(I3720="","",IFERROR(INDEX(catAlim,MATCH(D3720,catNom,0))&amp;"",""))</f>
        <v/>
      </c>
      <c r="M3720" s="19">
        <f>IF(I3720="","",IFERROR(INDEX(catComida,MATCH(D3720,catNom,0))&amp;"",""))</f>
        <v/>
      </c>
      <c r="N3720" s="19">
        <f>IF(I3720="","",IFERROR(INDEX(ctaMon,MATCH(E3720,ctaNom,0))&amp;"","DOP"))</f>
        <v/>
      </c>
      <c r="O3720" s="20">
        <f>IF(I3720="","",C3720*IF(N3720="USD",TasaUSD,1))</f>
        <v/>
      </c>
      <c r="P3720" s="20">
        <f>IF(I3720="","",IF(I3720="Gasto",O3720,0))</f>
        <v/>
      </c>
      <c r="Q3720" s="20">
        <f>IF(I3720="","",IF(I3720="Ingreso",O3720,0))</f>
        <v/>
      </c>
      <c r="R3720" s="20">
        <f>IF(I3720="","",IF(I3720="Trading",O3720,0))</f>
        <v/>
      </c>
      <c r="S3720" s="19">
        <f>IF(I3720="","",IF(AND(I3720="Gasto",K3720="Variable",J3720&lt;&gt;"Trading",O3720&gt;0,O3720&lt;=Umbral),1,0))</f>
        <v/>
      </c>
      <c r="T3720" s="20">
        <f>IF(OR(I3720="",E3720=""),"",IF(OR(I3720="Gasto",I3720="Transferencia",I3720="Pago tarjeta"),-1,1)*C3720)</f>
        <v/>
      </c>
      <c r="U3720" s="20">
        <f>IF(OR(G3720="",AND(I3720&lt;&gt;"Transferencia",I3720&lt;&gt;"Pago tarjeta")),"",IF(IFERROR(INDEX(ctaMon,MATCH(G3720,ctaNom,0))&amp;"","DOP")=N3720,C3720,IF(N3720="USD",C3720*TasaUSD,C3720/TasaUSD)))</f>
        <v/>
      </c>
      <c r="V3720" s="20">
        <f>IF(I3720="","",IF(IFERROR(INDEX(ctaLiq,MATCH(E3720,ctaNom,0))="Sí",FALSE),IF(OR(I3720="Gasto",I3720="Transferencia",I3720="Pago tarjeta"),-1,1)*O3720,0)+IF(AND(U3720&lt;&gt;"",IFERROR(INDEX(ctaLiq,MATCH(G3720,ctaNom,0))="Sí",FALSE)),O3720,0))</f>
        <v/>
      </c>
      <c r="W3720" s="19">
        <f>IF(OR(F3720="",I3720=""),"",IF(COUNTIFS(F$6:F3720,F3720,I$6:I3720,"?*")=1,MAX(W$5:W3719)+1,""))</f>
        <v/>
      </c>
    </row>
    <row r="3721">
      <c r="B3721" s="15" t="n"/>
      <c r="C3721" s="16" t="n"/>
      <c r="D3721" s="17" t="n"/>
      <c r="E3721" s="17" t="n"/>
      <c r="F3721" s="17" t="n"/>
      <c r="G3721" s="17" t="n"/>
      <c r="H3721" s="18">
        <f>IF(AND(B3721="",C3721="",D3721="",E3721=""),"",IF(B3721="","⚠ Falta fecha",IF(C3721="","⚠ Falta monto",IF(D3721="","⚠ Falta categoría",IF(ISNA(MATCH(D3721,catNom,0)),"⚠ Categoría no existe",IF(E3721="","⚠ Falta cuenta",IF(ISNA(MATCH(E3721,ctaNom,0)),"⚠ Cuenta no existe",IF(AND(OR(I3721="Transferencia",I3721="Pago tarjeta"),G3721=""),"⚠ Indica la cuenta «Hacia»",IF(AND(G3721&lt;&gt;"",G3721=E3721),"⚠ «Hacia» igual a la cuenta",IF(AND(G3721&lt;&gt;"",ISNA(MATCH(G3721,ctaNom,0))),"⚠ «Hacia» no existe",IF(AND(I3721="Pago tarjeta",IFERROR(INDEX(ctaTipo,MATCH(G3721,ctaNom,0)),"")&lt;&gt;"Tarjeta de crédito"),"⚠ «Hacia» debe ser la tarjeta",IF(AND(I3721="Trading",IFERROR(INDEX(ctaTipo,MATCH(E3721,ctaNom,0)),"")&lt;&gt;"Cuenta de trading"),"⚠ Usa la cuenta de trading","✓"))))))))))))</f>
        <v/>
      </c>
      <c r="I3721" s="19">
        <f>IF(OR(B3721="",C3721="",D3721=""),"",IFERROR(INDEX(catTipo,MATCH(D3721,catNom,0))&amp;"",""))</f>
        <v/>
      </c>
      <c r="J3721" s="19">
        <f>IF(I3721="","",IFERROR(INDEX(catGrupo,MATCH(D3721,catNom,0))&amp;"",""))</f>
        <v/>
      </c>
      <c r="K3721" s="19">
        <f>IF(I3721="Gasto",IF(IFERROR(INDEX(catClas,MATCH(D3721,catNom,0))&amp;"","")="","Variable",IFERROR(INDEX(catClas,MATCH(D3721,catNom,0))&amp;"","")),"")</f>
        <v/>
      </c>
      <c r="L3721" s="19">
        <f>IF(I3721="","",IFERROR(INDEX(catAlim,MATCH(D3721,catNom,0))&amp;"",""))</f>
        <v/>
      </c>
      <c r="M3721" s="19">
        <f>IF(I3721="","",IFERROR(INDEX(catComida,MATCH(D3721,catNom,0))&amp;"",""))</f>
        <v/>
      </c>
      <c r="N3721" s="19">
        <f>IF(I3721="","",IFERROR(INDEX(ctaMon,MATCH(E3721,ctaNom,0))&amp;"","DOP"))</f>
        <v/>
      </c>
      <c r="O3721" s="20">
        <f>IF(I3721="","",C3721*IF(N3721="USD",TasaUSD,1))</f>
        <v/>
      </c>
      <c r="P3721" s="20">
        <f>IF(I3721="","",IF(I3721="Gasto",O3721,0))</f>
        <v/>
      </c>
      <c r="Q3721" s="20">
        <f>IF(I3721="","",IF(I3721="Ingreso",O3721,0))</f>
        <v/>
      </c>
      <c r="R3721" s="20">
        <f>IF(I3721="","",IF(I3721="Trading",O3721,0))</f>
        <v/>
      </c>
      <c r="S3721" s="19">
        <f>IF(I3721="","",IF(AND(I3721="Gasto",K3721="Variable",J3721&lt;&gt;"Trading",O3721&gt;0,O3721&lt;=Umbral),1,0))</f>
        <v/>
      </c>
      <c r="T3721" s="20">
        <f>IF(OR(I3721="",E3721=""),"",IF(OR(I3721="Gasto",I3721="Transferencia",I3721="Pago tarjeta"),-1,1)*C3721)</f>
        <v/>
      </c>
      <c r="U3721" s="20">
        <f>IF(OR(G3721="",AND(I3721&lt;&gt;"Transferencia",I3721&lt;&gt;"Pago tarjeta")),"",IF(IFERROR(INDEX(ctaMon,MATCH(G3721,ctaNom,0))&amp;"","DOP")=N3721,C3721,IF(N3721="USD",C3721*TasaUSD,C3721/TasaUSD)))</f>
        <v/>
      </c>
      <c r="V3721" s="20">
        <f>IF(I3721="","",IF(IFERROR(INDEX(ctaLiq,MATCH(E3721,ctaNom,0))="Sí",FALSE),IF(OR(I3721="Gasto",I3721="Transferencia",I3721="Pago tarjeta"),-1,1)*O3721,0)+IF(AND(U3721&lt;&gt;"",IFERROR(INDEX(ctaLiq,MATCH(G3721,ctaNom,0))="Sí",FALSE)),O3721,0))</f>
        <v/>
      </c>
      <c r="W3721" s="19">
        <f>IF(OR(F3721="",I3721=""),"",IF(COUNTIFS(F$6:F3721,F3721,I$6:I3721,"?*")=1,MAX(W$5:W3720)+1,""))</f>
        <v/>
      </c>
    </row>
    <row r="3722">
      <c r="B3722" s="15" t="n"/>
      <c r="C3722" s="16" t="n"/>
      <c r="D3722" s="17" t="n"/>
      <c r="E3722" s="17" t="n"/>
      <c r="F3722" s="17" t="n"/>
      <c r="G3722" s="17" t="n"/>
      <c r="H3722" s="18">
        <f>IF(AND(B3722="",C3722="",D3722="",E3722=""),"",IF(B3722="","⚠ Falta fecha",IF(C3722="","⚠ Falta monto",IF(D3722="","⚠ Falta categoría",IF(ISNA(MATCH(D3722,catNom,0)),"⚠ Categoría no existe",IF(E3722="","⚠ Falta cuenta",IF(ISNA(MATCH(E3722,ctaNom,0)),"⚠ Cuenta no existe",IF(AND(OR(I3722="Transferencia",I3722="Pago tarjeta"),G3722=""),"⚠ Indica la cuenta «Hacia»",IF(AND(G3722&lt;&gt;"",G3722=E3722),"⚠ «Hacia» igual a la cuenta",IF(AND(G3722&lt;&gt;"",ISNA(MATCH(G3722,ctaNom,0))),"⚠ «Hacia» no existe",IF(AND(I3722="Pago tarjeta",IFERROR(INDEX(ctaTipo,MATCH(G3722,ctaNom,0)),"")&lt;&gt;"Tarjeta de crédito"),"⚠ «Hacia» debe ser la tarjeta",IF(AND(I3722="Trading",IFERROR(INDEX(ctaTipo,MATCH(E3722,ctaNom,0)),"")&lt;&gt;"Cuenta de trading"),"⚠ Usa la cuenta de trading","✓"))))))))))))</f>
        <v/>
      </c>
      <c r="I3722" s="19">
        <f>IF(OR(B3722="",C3722="",D3722=""),"",IFERROR(INDEX(catTipo,MATCH(D3722,catNom,0))&amp;"",""))</f>
        <v/>
      </c>
      <c r="J3722" s="19">
        <f>IF(I3722="","",IFERROR(INDEX(catGrupo,MATCH(D3722,catNom,0))&amp;"",""))</f>
        <v/>
      </c>
      <c r="K3722" s="19">
        <f>IF(I3722="Gasto",IF(IFERROR(INDEX(catClas,MATCH(D3722,catNom,0))&amp;"","")="","Variable",IFERROR(INDEX(catClas,MATCH(D3722,catNom,0))&amp;"","")),"")</f>
        <v/>
      </c>
      <c r="L3722" s="19">
        <f>IF(I3722="","",IFERROR(INDEX(catAlim,MATCH(D3722,catNom,0))&amp;"",""))</f>
        <v/>
      </c>
      <c r="M3722" s="19">
        <f>IF(I3722="","",IFERROR(INDEX(catComida,MATCH(D3722,catNom,0))&amp;"",""))</f>
        <v/>
      </c>
      <c r="N3722" s="19">
        <f>IF(I3722="","",IFERROR(INDEX(ctaMon,MATCH(E3722,ctaNom,0))&amp;"","DOP"))</f>
        <v/>
      </c>
      <c r="O3722" s="20">
        <f>IF(I3722="","",C3722*IF(N3722="USD",TasaUSD,1))</f>
        <v/>
      </c>
      <c r="P3722" s="20">
        <f>IF(I3722="","",IF(I3722="Gasto",O3722,0))</f>
        <v/>
      </c>
      <c r="Q3722" s="20">
        <f>IF(I3722="","",IF(I3722="Ingreso",O3722,0))</f>
        <v/>
      </c>
      <c r="R3722" s="20">
        <f>IF(I3722="","",IF(I3722="Trading",O3722,0))</f>
        <v/>
      </c>
      <c r="S3722" s="19">
        <f>IF(I3722="","",IF(AND(I3722="Gasto",K3722="Variable",J3722&lt;&gt;"Trading",O3722&gt;0,O3722&lt;=Umbral),1,0))</f>
        <v/>
      </c>
      <c r="T3722" s="20">
        <f>IF(OR(I3722="",E3722=""),"",IF(OR(I3722="Gasto",I3722="Transferencia",I3722="Pago tarjeta"),-1,1)*C3722)</f>
        <v/>
      </c>
      <c r="U3722" s="20">
        <f>IF(OR(G3722="",AND(I3722&lt;&gt;"Transferencia",I3722&lt;&gt;"Pago tarjeta")),"",IF(IFERROR(INDEX(ctaMon,MATCH(G3722,ctaNom,0))&amp;"","DOP")=N3722,C3722,IF(N3722="USD",C3722*TasaUSD,C3722/TasaUSD)))</f>
        <v/>
      </c>
      <c r="V3722" s="20">
        <f>IF(I3722="","",IF(IFERROR(INDEX(ctaLiq,MATCH(E3722,ctaNom,0))="Sí",FALSE),IF(OR(I3722="Gasto",I3722="Transferencia",I3722="Pago tarjeta"),-1,1)*O3722,0)+IF(AND(U3722&lt;&gt;"",IFERROR(INDEX(ctaLiq,MATCH(G3722,ctaNom,0))="Sí",FALSE)),O3722,0))</f>
        <v/>
      </c>
      <c r="W3722" s="19">
        <f>IF(OR(F3722="",I3722=""),"",IF(COUNTIFS(F$6:F3722,F3722,I$6:I3722,"?*")=1,MAX(W$5:W3721)+1,""))</f>
        <v/>
      </c>
    </row>
    <row r="3723">
      <c r="B3723" s="15" t="n"/>
      <c r="C3723" s="16" t="n"/>
      <c r="D3723" s="17" t="n"/>
      <c r="E3723" s="17" t="n"/>
      <c r="F3723" s="17" t="n"/>
      <c r="G3723" s="17" t="n"/>
      <c r="H3723" s="18">
        <f>IF(AND(B3723="",C3723="",D3723="",E3723=""),"",IF(B3723="","⚠ Falta fecha",IF(C3723="","⚠ Falta monto",IF(D3723="","⚠ Falta categoría",IF(ISNA(MATCH(D3723,catNom,0)),"⚠ Categoría no existe",IF(E3723="","⚠ Falta cuenta",IF(ISNA(MATCH(E3723,ctaNom,0)),"⚠ Cuenta no existe",IF(AND(OR(I3723="Transferencia",I3723="Pago tarjeta"),G3723=""),"⚠ Indica la cuenta «Hacia»",IF(AND(G3723&lt;&gt;"",G3723=E3723),"⚠ «Hacia» igual a la cuenta",IF(AND(G3723&lt;&gt;"",ISNA(MATCH(G3723,ctaNom,0))),"⚠ «Hacia» no existe",IF(AND(I3723="Pago tarjeta",IFERROR(INDEX(ctaTipo,MATCH(G3723,ctaNom,0)),"")&lt;&gt;"Tarjeta de crédito"),"⚠ «Hacia» debe ser la tarjeta",IF(AND(I3723="Trading",IFERROR(INDEX(ctaTipo,MATCH(E3723,ctaNom,0)),"")&lt;&gt;"Cuenta de trading"),"⚠ Usa la cuenta de trading","✓"))))))))))))</f>
        <v/>
      </c>
      <c r="I3723" s="19">
        <f>IF(OR(B3723="",C3723="",D3723=""),"",IFERROR(INDEX(catTipo,MATCH(D3723,catNom,0))&amp;"",""))</f>
        <v/>
      </c>
      <c r="J3723" s="19">
        <f>IF(I3723="","",IFERROR(INDEX(catGrupo,MATCH(D3723,catNom,0))&amp;"",""))</f>
        <v/>
      </c>
      <c r="K3723" s="19">
        <f>IF(I3723="Gasto",IF(IFERROR(INDEX(catClas,MATCH(D3723,catNom,0))&amp;"","")="","Variable",IFERROR(INDEX(catClas,MATCH(D3723,catNom,0))&amp;"","")),"")</f>
        <v/>
      </c>
      <c r="L3723" s="19">
        <f>IF(I3723="","",IFERROR(INDEX(catAlim,MATCH(D3723,catNom,0))&amp;"",""))</f>
        <v/>
      </c>
      <c r="M3723" s="19">
        <f>IF(I3723="","",IFERROR(INDEX(catComida,MATCH(D3723,catNom,0))&amp;"",""))</f>
        <v/>
      </c>
      <c r="N3723" s="19">
        <f>IF(I3723="","",IFERROR(INDEX(ctaMon,MATCH(E3723,ctaNom,0))&amp;"","DOP"))</f>
        <v/>
      </c>
      <c r="O3723" s="20">
        <f>IF(I3723="","",C3723*IF(N3723="USD",TasaUSD,1))</f>
        <v/>
      </c>
      <c r="P3723" s="20">
        <f>IF(I3723="","",IF(I3723="Gasto",O3723,0))</f>
        <v/>
      </c>
      <c r="Q3723" s="20">
        <f>IF(I3723="","",IF(I3723="Ingreso",O3723,0))</f>
        <v/>
      </c>
      <c r="R3723" s="20">
        <f>IF(I3723="","",IF(I3723="Trading",O3723,0))</f>
        <v/>
      </c>
      <c r="S3723" s="19">
        <f>IF(I3723="","",IF(AND(I3723="Gasto",K3723="Variable",J3723&lt;&gt;"Trading",O3723&gt;0,O3723&lt;=Umbral),1,0))</f>
        <v/>
      </c>
      <c r="T3723" s="20">
        <f>IF(OR(I3723="",E3723=""),"",IF(OR(I3723="Gasto",I3723="Transferencia",I3723="Pago tarjeta"),-1,1)*C3723)</f>
        <v/>
      </c>
      <c r="U3723" s="20">
        <f>IF(OR(G3723="",AND(I3723&lt;&gt;"Transferencia",I3723&lt;&gt;"Pago tarjeta")),"",IF(IFERROR(INDEX(ctaMon,MATCH(G3723,ctaNom,0))&amp;"","DOP")=N3723,C3723,IF(N3723="USD",C3723*TasaUSD,C3723/TasaUSD)))</f>
        <v/>
      </c>
      <c r="V3723" s="20">
        <f>IF(I3723="","",IF(IFERROR(INDEX(ctaLiq,MATCH(E3723,ctaNom,0))="Sí",FALSE),IF(OR(I3723="Gasto",I3723="Transferencia",I3723="Pago tarjeta"),-1,1)*O3723,0)+IF(AND(U3723&lt;&gt;"",IFERROR(INDEX(ctaLiq,MATCH(G3723,ctaNom,0))="Sí",FALSE)),O3723,0))</f>
        <v/>
      </c>
      <c r="W3723" s="19">
        <f>IF(OR(F3723="",I3723=""),"",IF(COUNTIFS(F$6:F3723,F3723,I$6:I3723,"?*")=1,MAX(W$5:W3722)+1,""))</f>
        <v/>
      </c>
    </row>
    <row r="3724">
      <c r="B3724" s="15" t="n"/>
      <c r="C3724" s="16" t="n"/>
      <c r="D3724" s="17" t="n"/>
      <c r="E3724" s="17" t="n"/>
      <c r="F3724" s="17" t="n"/>
      <c r="G3724" s="17" t="n"/>
      <c r="H3724" s="18">
        <f>IF(AND(B3724="",C3724="",D3724="",E3724=""),"",IF(B3724="","⚠ Falta fecha",IF(C3724="","⚠ Falta monto",IF(D3724="","⚠ Falta categoría",IF(ISNA(MATCH(D3724,catNom,0)),"⚠ Categoría no existe",IF(E3724="","⚠ Falta cuenta",IF(ISNA(MATCH(E3724,ctaNom,0)),"⚠ Cuenta no existe",IF(AND(OR(I3724="Transferencia",I3724="Pago tarjeta"),G3724=""),"⚠ Indica la cuenta «Hacia»",IF(AND(G3724&lt;&gt;"",G3724=E3724),"⚠ «Hacia» igual a la cuenta",IF(AND(G3724&lt;&gt;"",ISNA(MATCH(G3724,ctaNom,0))),"⚠ «Hacia» no existe",IF(AND(I3724="Pago tarjeta",IFERROR(INDEX(ctaTipo,MATCH(G3724,ctaNom,0)),"")&lt;&gt;"Tarjeta de crédito"),"⚠ «Hacia» debe ser la tarjeta",IF(AND(I3724="Trading",IFERROR(INDEX(ctaTipo,MATCH(E3724,ctaNom,0)),"")&lt;&gt;"Cuenta de trading"),"⚠ Usa la cuenta de trading","✓"))))))))))))</f>
        <v/>
      </c>
      <c r="I3724" s="19">
        <f>IF(OR(B3724="",C3724="",D3724=""),"",IFERROR(INDEX(catTipo,MATCH(D3724,catNom,0))&amp;"",""))</f>
        <v/>
      </c>
      <c r="J3724" s="19">
        <f>IF(I3724="","",IFERROR(INDEX(catGrupo,MATCH(D3724,catNom,0))&amp;"",""))</f>
        <v/>
      </c>
      <c r="K3724" s="19">
        <f>IF(I3724="Gasto",IF(IFERROR(INDEX(catClas,MATCH(D3724,catNom,0))&amp;"","")="","Variable",IFERROR(INDEX(catClas,MATCH(D3724,catNom,0))&amp;"","")),"")</f>
        <v/>
      </c>
      <c r="L3724" s="19">
        <f>IF(I3724="","",IFERROR(INDEX(catAlim,MATCH(D3724,catNom,0))&amp;"",""))</f>
        <v/>
      </c>
      <c r="M3724" s="19">
        <f>IF(I3724="","",IFERROR(INDEX(catComida,MATCH(D3724,catNom,0))&amp;"",""))</f>
        <v/>
      </c>
      <c r="N3724" s="19">
        <f>IF(I3724="","",IFERROR(INDEX(ctaMon,MATCH(E3724,ctaNom,0))&amp;"","DOP"))</f>
        <v/>
      </c>
      <c r="O3724" s="20">
        <f>IF(I3724="","",C3724*IF(N3724="USD",TasaUSD,1))</f>
        <v/>
      </c>
      <c r="P3724" s="20">
        <f>IF(I3724="","",IF(I3724="Gasto",O3724,0))</f>
        <v/>
      </c>
      <c r="Q3724" s="20">
        <f>IF(I3724="","",IF(I3724="Ingreso",O3724,0))</f>
        <v/>
      </c>
      <c r="R3724" s="20">
        <f>IF(I3724="","",IF(I3724="Trading",O3724,0))</f>
        <v/>
      </c>
      <c r="S3724" s="19">
        <f>IF(I3724="","",IF(AND(I3724="Gasto",K3724="Variable",J3724&lt;&gt;"Trading",O3724&gt;0,O3724&lt;=Umbral),1,0))</f>
        <v/>
      </c>
      <c r="T3724" s="20">
        <f>IF(OR(I3724="",E3724=""),"",IF(OR(I3724="Gasto",I3724="Transferencia",I3724="Pago tarjeta"),-1,1)*C3724)</f>
        <v/>
      </c>
      <c r="U3724" s="20">
        <f>IF(OR(G3724="",AND(I3724&lt;&gt;"Transferencia",I3724&lt;&gt;"Pago tarjeta")),"",IF(IFERROR(INDEX(ctaMon,MATCH(G3724,ctaNom,0))&amp;"","DOP")=N3724,C3724,IF(N3724="USD",C3724*TasaUSD,C3724/TasaUSD)))</f>
        <v/>
      </c>
      <c r="V3724" s="20">
        <f>IF(I3724="","",IF(IFERROR(INDEX(ctaLiq,MATCH(E3724,ctaNom,0))="Sí",FALSE),IF(OR(I3724="Gasto",I3724="Transferencia",I3724="Pago tarjeta"),-1,1)*O3724,0)+IF(AND(U3724&lt;&gt;"",IFERROR(INDEX(ctaLiq,MATCH(G3724,ctaNom,0))="Sí",FALSE)),O3724,0))</f>
        <v/>
      </c>
      <c r="W3724" s="19">
        <f>IF(OR(F3724="",I3724=""),"",IF(COUNTIFS(F$6:F3724,F3724,I$6:I3724,"?*")=1,MAX(W$5:W3723)+1,""))</f>
        <v/>
      </c>
    </row>
    <row r="3725">
      <c r="B3725" s="15" t="n"/>
      <c r="C3725" s="16" t="n"/>
      <c r="D3725" s="17" t="n"/>
      <c r="E3725" s="17" t="n"/>
      <c r="F3725" s="17" t="n"/>
      <c r="G3725" s="17" t="n"/>
      <c r="H3725" s="18">
        <f>IF(AND(B3725="",C3725="",D3725="",E3725=""),"",IF(B3725="","⚠ Falta fecha",IF(C3725="","⚠ Falta monto",IF(D3725="","⚠ Falta categoría",IF(ISNA(MATCH(D3725,catNom,0)),"⚠ Categoría no existe",IF(E3725="","⚠ Falta cuenta",IF(ISNA(MATCH(E3725,ctaNom,0)),"⚠ Cuenta no existe",IF(AND(OR(I3725="Transferencia",I3725="Pago tarjeta"),G3725=""),"⚠ Indica la cuenta «Hacia»",IF(AND(G3725&lt;&gt;"",G3725=E3725),"⚠ «Hacia» igual a la cuenta",IF(AND(G3725&lt;&gt;"",ISNA(MATCH(G3725,ctaNom,0))),"⚠ «Hacia» no existe",IF(AND(I3725="Pago tarjeta",IFERROR(INDEX(ctaTipo,MATCH(G3725,ctaNom,0)),"")&lt;&gt;"Tarjeta de crédito"),"⚠ «Hacia» debe ser la tarjeta",IF(AND(I3725="Trading",IFERROR(INDEX(ctaTipo,MATCH(E3725,ctaNom,0)),"")&lt;&gt;"Cuenta de trading"),"⚠ Usa la cuenta de trading","✓"))))))))))))</f>
        <v/>
      </c>
      <c r="I3725" s="19">
        <f>IF(OR(B3725="",C3725="",D3725=""),"",IFERROR(INDEX(catTipo,MATCH(D3725,catNom,0))&amp;"",""))</f>
        <v/>
      </c>
      <c r="J3725" s="19">
        <f>IF(I3725="","",IFERROR(INDEX(catGrupo,MATCH(D3725,catNom,0))&amp;"",""))</f>
        <v/>
      </c>
      <c r="K3725" s="19">
        <f>IF(I3725="Gasto",IF(IFERROR(INDEX(catClas,MATCH(D3725,catNom,0))&amp;"","")="","Variable",IFERROR(INDEX(catClas,MATCH(D3725,catNom,0))&amp;"","")),"")</f>
        <v/>
      </c>
      <c r="L3725" s="19">
        <f>IF(I3725="","",IFERROR(INDEX(catAlim,MATCH(D3725,catNom,0))&amp;"",""))</f>
        <v/>
      </c>
      <c r="M3725" s="19">
        <f>IF(I3725="","",IFERROR(INDEX(catComida,MATCH(D3725,catNom,0))&amp;"",""))</f>
        <v/>
      </c>
      <c r="N3725" s="19">
        <f>IF(I3725="","",IFERROR(INDEX(ctaMon,MATCH(E3725,ctaNom,0))&amp;"","DOP"))</f>
        <v/>
      </c>
      <c r="O3725" s="20">
        <f>IF(I3725="","",C3725*IF(N3725="USD",TasaUSD,1))</f>
        <v/>
      </c>
      <c r="P3725" s="20">
        <f>IF(I3725="","",IF(I3725="Gasto",O3725,0))</f>
        <v/>
      </c>
      <c r="Q3725" s="20">
        <f>IF(I3725="","",IF(I3725="Ingreso",O3725,0))</f>
        <v/>
      </c>
      <c r="R3725" s="20">
        <f>IF(I3725="","",IF(I3725="Trading",O3725,0))</f>
        <v/>
      </c>
      <c r="S3725" s="19">
        <f>IF(I3725="","",IF(AND(I3725="Gasto",K3725="Variable",J3725&lt;&gt;"Trading",O3725&gt;0,O3725&lt;=Umbral),1,0))</f>
        <v/>
      </c>
      <c r="T3725" s="20">
        <f>IF(OR(I3725="",E3725=""),"",IF(OR(I3725="Gasto",I3725="Transferencia",I3725="Pago tarjeta"),-1,1)*C3725)</f>
        <v/>
      </c>
      <c r="U3725" s="20">
        <f>IF(OR(G3725="",AND(I3725&lt;&gt;"Transferencia",I3725&lt;&gt;"Pago tarjeta")),"",IF(IFERROR(INDEX(ctaMon,MATCH(G3725,ctaNom,0))&amp;"","DOP")=N3725,C3725,IF(N3725="USD",C3725*TasaUSD,C3725/TasaUSD)))</f>
        <v/>
      </c>
      <c r="V3725" s="20">
        <f>IF(I3725="","",IF(IFERROR(INDEX(ctaLiq,MATCH(E3725,ctaNom,0))="Sí",FALSE),IF(OR(I3725="Gasto",I3725="Transferencia",I3725="Pago tarjeta"),-1,1)*O3725,0)+IF(AND(U3725&lt;&gt;"",IFERROR(INDEX(ctaLiq,MATCH(G3725,ctaNom,0))="Sí",FALSE)),O3725,0))</f>
        <v/>
      </c>
      <c r="W3725" s="19">
        <f>IF(OR(F3725="",I3725=""),"",IF(COUNTIFS(F$6:F3725,F3725,I$6:I3725,"?*")=1,MAX(W$5:W3724)+1,""))</f>
        <v/>
      </c>
    </row>
    <row r="3726">
      <c r="B3726" s="15" t="n"/>
      <c r="C3726" s="16" t="n"/>
      <c r="D3726" s="17" t="n"/>
      <c r="E3726" s="17" t="n"/>
      <c r="F3726" s="17" t="n"/>
      <c r="G3726" s="17" t="n"/>
      <c r="H3726" s="18">
        <f>IF(AND(B3726="",C3726="",D3726="",E3726=""),"",IF(B3726="","⚠ Falta fecha",IF(C3726="","⚠ Falta monto",IF(D3726="","⚠ Falta categoría",IF(ISNA(MATCH(D3726,catNom,0)),"⚠ Categoría no existe",IF(E3726="","⚠ Falta cuenta",IF(ISNA(MATCH(E3726,ctaNom,0)),"⚠ Cuenta no existe",IF(AND(OR(I3726="Transferencia",I3726="Pago tarjeta"),G3726=""),"⚠ Indica la cuenta «Hacia»",IF(AND(G3726&lt;&gt;"",G3726=E3726),"⚠ «Hacia» igual a la cuenta",IF(AND(G3726&lt;&gt;"",ISNA(MATCH(G3726,ctaNom,0))),"⚠ «Hacia» no existe",IF(AND(I3726="Pago tarjeta",IFERROR(INDEX(ctaTipo,MATCH(G3726,ctaNom,0)),"")&lt;&gt;"Tarjeta de crédito"),"⚠ «Hacia» debe ser la tarjeta",IF(AND(I3726="Trading",IFERROR(INDEX(ctaTipo,MATCH(E3726,ctaNom,0)),"")&lt;&gt;"Cuenta de trading"),"⚠ Usa la cuenta de trading","✓"))))))))))))</f>
        <v/>
      </c>
      <c r="I3726" s="19">
        <f>IF(OR(B3726="",C3726="",D3726=""),"",IFERROR(INDEX(catTipo,MATCH(D3726,catNom,0))&amp;"",""))</f>
        <v/>
      </c>
      <c r="J3726" s="19">
        <f>IF(I3726="","",IFERROR(INDEX(catGrupo,MATCH(D3726,catNom,0))&amp;"",""))</f>
        <v/>
      </c>
      <c r="K3726" s="19">
        <f>IF(I3726="Gasto",IF(IFERROR(INDEX(catClas,MATCH(D3726,catNom,0))&amp;"","")="","Variable",IFERROR(INDEX(catClas,MATCH(D3726,catNom,0))&amp;"","")),"")</f>
        <v/>
      </c>
      <c r="L3726" s="19">
        <f>IF(I3726="","",IFERROR(INDEX(catAlim,MATCH(D3726,catNom,0))&amp;"",""))</f>
        <v/>
      </c>
      <c r="M3726" s="19">
        <f>IF(I3726="","",IFERROR(INDEX(catComida,MATCH(D3726,catNom,0))&amp;"",""))</f>
        <v/>
      </c>
      <c r="N3726" s="19">
        <f>IF(I3726="","",IFERROR(INDEX(ctaMon,MATCH(E3726,ctaNom,0))&amp;"","DOP"))</f>
        <v/>
      </c>
      <c r="O3726" s="20">
        <f>IF(I3726="","",C3726*IF(N3726="USD",TasaUSD,1))</f>
        <v/>
      </c>
      <c r="P3726" s="20">
        <f>IF(I3726="","",IF(I3726="Gasto",O3726,0))</f>
        <v/>
      </c>
      <c r="Q3726" s="20">
        <f>IF(I3726="","",IF(I3726="Ingreso",O3726,0))</f>
        <v/>
      </c>
      <c r="R3726" s="20">
        <f>IF(I3726="","",IF(I3726="Trading",O3726,0))</f>
        <v/>
      </c>
      <c r="S3726" s="19">
        <f>IF(I3726="","",IF(AND(I3726="Gasto",K3726="Variable",J3726&lt;&gt;"Trading",O3726&gt;0,O3726&lt;=Umbral),1,0))</f>
        <v/>
      </c>
      <c r="T3726" s="20">
        <f>IF(OR(I3726="",E3726=""),"",IF(OR(I3726="Gasto",I3726="Transferencia",I3726="Pago tarjeta"),-1,1)*C3726)</f>
        <v/>
      </c>
      <c r="U3726" s="20">
        <f>IF(OR(G3726="",AND(I3726&lt;&gt;"Transferencia",I3726&lt;&gt;"Pago tarjeta")),"",IF(IFERROR(INDEX(ctaMon,MATCH(G3726,ctaNom,0))&amp;"","DOP")=N3726,C3726,IF(N3726="USD",C3726*TasaUSD,C3726/TasaUSD)))</f>
        <v/>
      </c>
      <c r="V3726" s="20">
        <f>IF(I3726="","",IF(IFERROR(INDEX(ctaLiq,MATCH(E3726,ctaNom,0))="Sí",FALSE),IF(OR(I3726="Gasto",I3726="Transferencia",I3726="Pago tarjeta"),-1,1)*O3726,0)+IF(AND(U3726&lt;&gt;"",IFERROR(INDEX(ctaLiq,MATCH(G3726,ctaNom,0))="Sí",FALSE)),O3726,0))</f>
        <v/>
      </c>
      <c r="W3726" s="19">
        <f>IF(OR(F3726="",I3726=""),"",IF(COUNTIFS(F$6:F3726,F3726,I$6:I3726,"?*")=1,MAX(W$5:W3725)+1,""))</f>
        <v/>
      </c>
    </row>
    <row r="3727">
      <c r="B3727" s="15" t="n"/>
      <c r="C3727" s="16" t="n"/>
      <c r="D3727" s="17" t="n"/>
      <c r="E3727" s="17" t="n"/>
      <c r="F3727" s="17" t="n"/>
      <c r="G3727" s="17" t="n"/>
      <c r="H3727" s="18">
        <f>IF(AND(B3727="",C3727="",D3727="",E3727=""),"",IF(B3727="","⚠ Falta fecha",IF(C3727="","⚠ Falta monto",IF(D3727="","⚠ Falta categoría",IF(ISNA(MATCH(D3727,catNom,0)),"⚠ Categoría no existe",IF(E3727="","⚠ Falta cuenta",IF(ISNA(MATCH(E3727,ctaNom,0)),"⚠ Cuenta no existe",IF(AND(OR(I3727="Transferencia",I3727="Pago tarjeta"),G3727=""),"⚠ Indica la cuenta «Hacia»",IF(AND(G3727&lt;&gt;"",G3727=E3727),"⚠ «Hacia» igual a la cuenta",IF(AND(G3727&lt;&gt;"",ISNA(MATCH(G3727,ctaNom,0))),"⚠ «Hacia» no existe",IF(AND(I3727="Pago tarjeta",IFERROR(INDEX(ctaTipo,MATCH(G3727,ctaNom,0)),"")&lt;&gt;"Tarjeta de crédito"),"⚠ «Hacia» debe ser la tarjeta",IF(AND(I3727="Trading",IFERROR(INDEX(ctaTipo,MATCH(E3727,ctaNom,0)),"")&lt;&gt;"Cuenta de trading"),"⚠ Usa la cuenta de trading","✓"))))))))))))</f>
        <v/>
      </c>
      <c r="I3727" s="19">
        <f>IF(OR(B3727="",C3727="",D3727=""),"",IFERROR(INDEX(catTipo,MATCH(D3727,catNom,0))&amp;"",""))</f>
        <v/>
      </c>
      <c r="J3727" s="19">
        <f>IF(I3727="","",IFERROR(INDEX(catGrupo,MATCH(D3727,catNom,0))&amp;"",""))</f>
        <v/>
      </c>
      <c r="K3727" s="19">
        <f>IF(I3727="Gasto",IF(IFERROR(INDEX(catClas,MATCH(D3727,catNom,0))&amp;"","")="","Variable",IFERROR(INDEX(catClas,MATCH(D3727,catNom,0))&amp;"","")),"")</f>
        <v/>
      </c>
      <c r="L3727" s="19">
        <f>IF(I3727="","",IFERROR(INDEX(catAlim,MATCH(D3727,catNom,0))&amp;"",""))</f>
        <v/>
      </c>
      <c r="M3727" s="19">
        <f>IF(I3727="","",IFERROR(INDEX(catComida,MATCH(D3727,catNom,0))&amp;"",""))</f>
        <v/>
      </c>
      <c r="N3727" s="19">
        <f>IF(I3727="","",IFERROR(INDEX(ctaMon,MATCH(E3727,ctaNom,0))&amp;"","DOP"))</f>
        <v/>
      </c>
      <c r="O3727" s="20">
        <f>IF(I3727="","",C3727*IF(N3727="USD",TasaUSD,1))</f>
        <v/>
      </c>
      <c r="P3727" s="20">
        <f>IF(I3727="","",IF(I3727="Gasto",O3727,0))</f>
        <v/>
      </c>
      <c r="Q3727" s="20">
        <f>IF(I3727="","",IF(I3727="Ingreso",O3727,0))</f>
        <v/>
      </c>
      <c r="R3727" s="20">
        <f>IF(I3727="","",IF(I3727="Trading",O3727,0))</f>
        <v/>
      </c>
      <c r="S3727" s="19">
        <f>IF(I3727="","",IF(AND(I3727="Gasto",K3727="Variable",J3727&lt;&gt;"Trading",O3727&gt;0,O3727&lt;=Umbral),1,0))</f>
        <v/>
      </c>
      <c r="T3727" s="20">
        <f>IF(OR(I3727="",E3727=""),"",IF(OR(I3727="Gasto",I3727="Transferencia",I3727="Pago tarjeta"),-1,1)*C3727)</f>
        <v/>
      </c>
      <c r="U3727" s="20">
        <f>IF(OR(G3727="",AND(I3727&lt;&gt;"Transferencia",I3727&lt;&gt;"Pago tarjeta")),"",IF(IFERROR(INDEX(ctaMon,MATCH(G3727,ctaNom,0))&amp;"","DOP")=N3727,C3727,IF(N3727="USD",C3727*TasaUSD,C3727/TasaUSD)))</f>
        <v/>
      </c>
      <c r="V3727" s="20">
        <f>IF(I3727="","",IF(IFERROR(INDEX(ctaLiq,MATCH(E3727,ctaNom,0))="Sí",FALSE),IF(OR(I3727="Gasto",I3727="Transferencia",I3727="Pago tarjeta"),-1,1)*O3727,0)+IF(AND(U3727&lt;&gt;"",IFERROR(INDEX(ctaLiq,MATCH(G3727,ctaNom,0))="Sí",FALSE)),O3727,0))</f>
        <v/>
      </c>
      <c r="W3727" s="19">
        <f>IF(OR(F3727="",I3727=""),"",IF(COUNTIFS(F$6:F3727,F3727,I$6:I3727,"?*")=1,MAX(W$5:W3726)+1,""))</f>
        <v/>
      </c>
    </row>
    <row r="3728">
      <c r="B3728" s="15" t="n"/>
      <c r="C3728" s="16" t="n"/>
      <c r="D3728" s="17" t="n"/>
      <c r="E3728" s="17" t="n"/>
      <c r="F3728" s="17" t="n"/>
      <c r="G3728" s="17" t="n"/>
      <c r="H3728" s="18">
        <f>IF(AND(B3728="",C3728="",D3728="",E3728=""),"",IF(B3728="","⚠ Falta fecha",IF(C3728="","⚠ Falta monto",IF(D3728="","⚠ Falta categoría",IF(ISNA(MATCH(D3728,catNom,0)),"⚠ Categoría no existe",IF(E3728="","⚠ Falta cuenta",IF(ISNA(MATCH(E3728,ctaNom,0)),"⚠ Cuenta no existe",IF(AND(OR(I3728="Transferencia",I3728="Pago tarjeta"),G3728=""),"⚠ Indica la cuenta «Hacia»",IF(AND(G3728&lt;&gt;"",G3728=E3728),"⚠ «Hacia» igual a la cuenta",IF(AND(G3728&lt;&gt;"",ISNA(MATCH(G3728,ctaNom,0))),"⚠ «Hacia» no existe",IF(AND(I3728="Pago tarjeta",IFERROR(INDEX(ctaTipo,MATCH(G3728,ctaNom,0)),"")&lt;&gt;"Tarjeta de crédito"),"⚠ «Hacia» debe ser la tarjeta",IF(AND(I3728="Trading",IFERROR(INDEX(ctaTipo,MATCH(E3728,ctaNom,0)),"")&lt;&gt;"Cuenta de trading"),"⚠ Usa la cuenta de trading","✓"))))))))))))</f>
        <v/>
      </c>
      <c r="I3728" s="19">
        <f>IF(OR(B3728="",C3728="",D3728=""),"",IFERROR(INDEX(catTipo,MATCH(D3728,catNom,0))&amp;"",""))</f>
        <v/>
      </c>
      <c r="J3728" s="19">
        <f>IF(I3728="","",IFERROR(INDEX(catGrupo,MATCH(D3728,catNom,0))&amp;"",""))</f>
        <v/>
      </c>
      <c r="K3728" s="19">
        <f>IF(I3728="Gasto",IF(IFERROR(INDEX(catClas,MATCH(D3728,catNom,0))&amp;"","")="","Variable",IFERROR(INDEX(catClas,MATCH(D3728,catNom,0))&amp;"","")),"")</f>
        <v/>
      </c>
      <c r="L3728" s="19">
        <f>IF(I3728="","",IFERROR(INDEX(catAlim,MATCH(D3728,catNom,0))&amp;"",""))</f>
        <v/>
      </c>
      <c r="M3728" s="19">
        <f>IF(I3728="","",IFERROR(INDEX(catComida,MATCH(D3728,catNom,0))&amp;"",""))</f>
        <v/>
      </c>
      <c r="N3728" s="19">
        <f>IF(I3728="","",IFERROR(INDEX(ctaMon,MATCH(E3728,ctaNom,0))&amp;"","DOP"))</f>
        <v/>
      </c>
      <c r="O3728" s="20">
        <f>IF(I3728="","",C3728*IF(N3728="USD",TasaUSD,1))</f>
        <v/>
      </c>
      <c r="P3728" s="20">
        <f>IF(I3728="","",IF(I3728="Gasto",O3728,0))</f>
        <v/>
      </c>
      <c r="Q3728" s="20">
        <f>IF(I3728="","",IF(I3728="Ingreso",O3728,0))</f>
        <v/>
      </c>
      <c r="R3728" s="20">
        <f>IF(I3728="","",IF(I3728="Trading",O3728,0))</f>
        <v/>
      </c>
      <c r="S3728" s="19">
        <f>IF(I3728="","",IF(AND(I3728="Gasto",K3728="Variable",J3728&lt;&gt;"Trading",O3728&gt;0,O3728&lt;=Umbral),1,0))</f>
        <v/>
      </c>
      <c r="T3728" s="20">
        <f>IF(OR(I3728="",E3728=""),"",IF(OR(I3728="Gasto",I3728="Transferencia",I3728="Pago tarjeta"),-1,1)*C3728)</f>
        <v/>
      </c>
      <c r="U3728" s="20">
        <f>IF(OR(G3728="",AND(I3728&lt;&gt;"Transferencia",I3728&lt;&gt;"Pago tarjeta")),"",IF(IFERROR(INDEX(ctaMon,MATCH(G3728,ctaNom,0))&amp;"","DOP")=N3728,C3728,IF(N3728="USD",C3728*TasaUSD,C3728/TasaUSD)))</f>
        <v/>
      </c>
      <c r="V3728" s="20">
        <f>IF(I3728="","",IF(IFERROR(INDEX(ctaLiq,MATCH(E3728,ctaNom,0))="Sí",FALSE),IF(OR(I3728="Gasto",I3728="Transferencia",I3728="Pago tarjeta"),-1,1)*O3728,0)+IF(AND(U3728&lt;&gt;"",IFERROR(INDEX(ctaLiq,MATCH(G3728,ctaNom,0))="Sí",FALSE)),O3728,0))</f>
        <v/>
      </c>
      <c r="W3728" s="19">
        <f>IF(OR(F3728="",I3728=""),"",IF(COUNTIFS(F$6:F3728,F3728,I$6:I3728,"?*")=1,MAX(W$5:W3727)+1,""))</f>
        <v/>
      </c>
    </row>
    <row r="3729">
      <c r="B3729" s="15" t="n"/>
      <c r="C3729" s="16" t="n"/>
      <c r="D3729" s="17" t="n"/>
      <c r="E3729" s="17" t="n"/>
      <c r="F3729" s="17" t="n"/>
      <c r="G3729" s="17" t="n"/>
      <c r="H3729" s="18">
        <f>IF(AND(B3729="",C3729="",D3729="",E3729=""),"",IF(B3729="","⚠ Falta fecha",IF(C3729="","⚠ Falta monto",IF(D3729="","⚠ Falta categoría",IF(ISNA(MATCH(D3729,catNom,0)),"⚠ Categoría no existe",IF(E3729="","⚠ Falta cuenta",IF(ISNA(MATCH(E3729,ctaNom,0)),"⚠ Cuenta no existe",IF(AND(OR(I3729="Transferencia",I3729="Pago tarjeta"),G3729=""),"⚠ Indica la cuenta «Hacia»",IF(AND(G3729&lt;&gt;"",G3729=E3729),"⚠ «Hacia» igual a la cuenta",IF(AND(G3729&lt;&gt;"",ISNA(MATCH(G3729,ctaNom,0))),"⚠ «Hacia» no existe",IF(AND(I3729="Pago tarjeta",IFERROR(INDEX(ctaTipo,MATCH(G3729,ctaNom,0)),"")&lt;&gt;"Tarjeta de crédito"),"⚠ «Hacia» debe ser la tarjeta",IF(AND(I3729="Trading",IFERROR(INDEX(ctaTipo,MATCH(E3729,ctaNom,0)),"")&lt;&gt;"Cuenta de trading"),"⚠ Usa la cuenta de trading","✓"))))))))))))</f>
        <v/>
      </c>
      <c r="I3729" s="19">
        <f>IF(OR(B3729="",C3729="",D3729=""),"",IFERROR(INDEX(catTipo,MATCH(D3729,catNom,0))&amp;"",""))</f>
        <v/>
      </c>
      <c r="J3729" s="19">
        <f>IF(I3729="","",IFERROR(INDEX(catGrupo,MATCH(D3729,catNom,0))&amp;"",""))</f>
        <v/>
      </c>
      <c r="K3729" s="19">
        <f>IF(I3729="Gasto",IF(IFERROR(INDEX(catClas,MATCH(D3729,catNom,0))&amp;"","")="","Variable",IFERROR(INDEX(catClas,MATCH(D3729,catNom,0))&amp;"","")),"")</f>
        <v/>
      </c>
      <c r="L3729" s="19">
        <f>IF(I3729="","",IFERROR(INDEX(catAlim,MATCH(D3729,catNom,0))&amp;"",""))</f>
        <v/>
      </c>
      <c r="M3729" s="19">
        <f>IF(I3729="","",IFERROR(INDEX(catComida,MATCH(D3729,catNom,0))&amp;"",""))</f>
        <v/>
      </c>
      <c r="N3729" s="19">
        <f>IF(I3729="","",IFERROR(INDEX(ctaMon,MATCH(E3729,ctaNom,0))&amp;"","DOP"))</f>
        <v/>
      </c>
      <c r="O3729" s="20">
        <f>IF(I3729="","",C3729*IF(N3729="USD",TasaUSD,1))</f>
        <v/>
      </c>
      <c r="P3729" s="20">
        <f>IF(I3729="","",IF(I3729="Gasto",O3729,0))</f>
        <v/>
      </c>
      <c r="Q3729" s="20">
        <f>IF(I3729="","",IF(I3729="Ingreso",O3729,0))</f>
        <v/>
      </c>
      <c r="R3729" s="20">
        <f>IF(I3729="","",IF(I3729="Trading",O3729,0))</f>
        <v/>
      </c>
      <c r="S3729" s="19">
        <f>IF(I3729="","",IF(AND(I3729="Gasto",K3729="Variable",J3729&lt;&gt;"Trading",O3729&gt;0,O3729&lt;=Umbral),1,0))</f>
        <v/>
      </c>
      <c r="T3729" s="20">
        <f>IF(OR(I3729="",E3729=""),"",IF(OR(I3729="Gasto",I3729="Transferencia",I3729="Pago tarjeta"),-1,1)*C3729)</f>
        <v/>
      </c>
      <c r="U3729" s="20">
        <f>IF(OR(G3729="",AND(I3729&lt;&gt;"Transferencia",I3729&lt;&gt;"Pago tarjeta")),"",IF(IFERROR(INDEX(ctaMon,MATCH(G3729,ctaNom,0))&amp;"","DOP")=N3729,C3729,IF(N3729="USD",C3729*TasaUSD,C3729/TasaUSD)))</f>
        <v/>
      </c>
      <c r="V3729" s="20">
        <f>IF(I3729="","",IF(IFERROR(INDEX(ctaLiq,MATCH(E3729,ctaNom,0))="Sí",FALSE),IF(OR(I3729="Gasto",I3729="Transferencia",I3729="Pago tarjeta"),-1,1)*O3729,0)+IF(AND(U3729&lt;&gt;"",IFERROR(INDEX(ctaLiq,MATCH(G3729,ctaNom,0))="Sí",FALSE)),O3729,0))</f>
        <v/>
      </c>
      <c r="W3729" s="19">
        <f>IF(OR(F3729="",I3729=""),"",IF(COUNTIFS(F$6:F3729,F3729,I$6:I3729,"?*")=1,MAX(W$5:W3728)+1,""))</f>
        <v/>
      </c>
    </row>
    <row r="3730">
      <c r="B3730" s="15" t="n"/>
      <c r="C3730" s="16" t="n"/>
      <c r="D3730" s="17" t="n"/>
      <c r="E3730" s="17" t="n"/>
      <c r="F3730" s="17" t="n"/>
      <c r="G3730" s="17" t="n"/>
      <c r="H3730" s="18">
        <f>IF(AND(B3730="",C3730="",D3730="",E3730=""),"",IF(B3730="","⚠ Falta fecha",IF(C3730="","⚠ Falta monto",IF(D3730="","⚠ Falta categoría",IF(ISNA(MATCH(D3730,catNom,0)),"⚠ Categoría no existe",IF(E3730="","⚠ Falta cuenta",IF(ISNA(MATCH(E3730,ctaNom,0)),"⚠ Cuenta no existe",IF(AND(OR(I3730="Transferencia",I3730="Pago tarjeta"),G3730=""),"⚠ Indica la cuenta «Hacia»",IF(AND(G3730&lt;&gt;"",G3730=E3730),"⚠ «Hacia» igual a la cuenta",IF(AND(G3730&lt;&gt;"",ISNA(MATCH(G3730,ctaNom,0))),"⚠ «Hacia» no existe",IF(AND(I3730="Pago tarjeta",IFERROR(INDEX(ctaTipo,MATCH(G3730,ctaNom,0)),"")&lt;&gt;"Tarjeta de crédito"),"⚠ «Hacia» debe ser la tarjeta",IF(AND(I3730="Trading",IFERROR(INDEX(ctaTipo,MATCH(E3730,ctaNom,0)),"")&lt;&gt;"Cuenta de trading"),"⚠ Usa la cuenta de trading","✓"))))))))))))</f>
        <v/>
      </c>
      <c r="I3730" s="19">
        <f>IF(OR(B3730="",C3730="",D3730=""),"",IFERROR(INDEX(catTipo,MATCH(D3730,catNom,0))&amp;"",""))</f>
        <v/>
      </c>
      <c r="J3730" s="19">
        <f>IF(I3730="","",IFERROR(INDEX(catGrupo,MATCH(D3730,catNom,0))&amp;"",""))</f>
        <v/>
      </c>
      <c r="K3730" s="19">
        <f>IF(I3730="Gasto",IF(IFERROR(INDEX(catClas,MATCH(D3730,catNom,0))&amp;"","")="","Variable",IFERROR(INDEX(catClas,MATCH(D3730,catNom,0))&amp;"","")),"")</f>
        <v/>
      </c>
      <c r="L3730" s="19">
        <f>IF(I3730="","",IFERROR(INDEX(catAlim,MATCH(D3730,catNom,0))&amp;"",""))</f>
        <v/>
      </c>
      <c r="M3730" s="19">
        <f>IF(I3730="","",IFERROR(INDEX(catComida,MATCH(D3730,catNom,0))&amp;"",""))</f>
        <v/>
      </c>
      <c r="N3730" s="19">
        <f>IF(I3730="","",IFERROR(INDEX(ctaMon,MATCH(E3730,ctaNom,0))&amp;"","DOP"))</f>
        <v/>
      </c>
      <c r="O3730" s="20">
        <f>IF(I3730="","",C3730*IF(N3730="USD",TasaUSD,1))</f>
        <v/>
      </c>
      <c r="P3730" s="20">
        <f>IF(I3730="","",IF(I3730="Gasto",O3730,0))</f>
        <v/>
      </c>
      <c r="Q3730" s="20">
        <f>IF(I3730="","",IF(I3730="Ingreso",O3730,0))</f>
        <v/>
      </c>
      <c r="R3730" s="20">
        <f>IF(I3730="","",IF(I3730="Trading",O3730,0))</f>
        <v/>
      </c>
      <c r="S3730" s="19">
        <f>IF(I3730="","",IF(AND(I3730="Gasto",K3730="Variable",J3730&lt;&gt;"Trading",O3730&gt;0,O3730&lt;=Umbral),1,0))</f>
        <v/>
      </c>
      <c r="T3730" s="20">
        <f>IF(OR(I3730="",E3730=""),"",IF(OR(I3730="Gasto",I3730="Transferencia",I3730="Pago tarjeta"),-1,1)*C3730)</f>
        <v/>
      </c>
      <c r="U3730" s="20">
        <f>IF(OR(G3730="",AND(I3730&lt;&gt;"Transferencia",I3730&lt;&gt;"Pago tarjeta")),"",IF(IFERROR(INDEX(ctaMon,MATCH(G3730,ctaNom,0))&amp;"","DOP")=N3730,C3730,IF(N3730="USD",C3730*TasaUSD,C3730/TasaUSD)))</f>
        <v/>
      </c>
      <c r="V3730" s="20">
        <f>IF(I3730="","",IF(IFERROR(INDEX(ctaLiq,MATCH(E3730,ctaNom,0))="Sí",FALSE),IF(OR(I3730="Gasto",I3730="Transferencia",I3730="Pago tarjeta"),-1,1)*O3730,0)+IF(AND(U3730&lt;&gt;"",IFERROR(INDEX(ctaLiq,MATCH(G3730,ctaNom,0))="Sí",FALSE)),O3730,0))</f>
        <v/>
      </c>
      <c r="W3730" s="19">
        <f>IF(OR(F3730="",I3730=""),"",IF(COUNTIFS(F$6:F3730,F3730,I$6:I3730,"?*")=1,MAX(W$5:W3729)+1,""))</f>
        <v/>
      </c>
    </row>
    <row r="3731">
      <c r="B3731" s="15" t="n"/>
      <c r="C3731" s="16" t="n"/>
      <c r="D3731" s="17" t="n"/>
      <c r="E3731" s="17" t="n"/>
      <c r="F3731" s="17" t="n"/>
      <c r="G3731" s="17" t="n"/>
      <c r="H3731" s="18">
        <f>IF(AND(B3731="",C3731="",D3731="",E3731=""),"",IF(B3731="","⚠ Falta fecha",IF(C3731="","⚠ Falta monto",IF(D3731="","⚠ Falta categoría",IF(ISNA(MATCH(D3731,catNom,0)),"⚠ Categoría no existe",IF(E3731="","⚠ Falta cuenta",IF(ISNA(MATCH(E3731,ctaNom,0)),"⚠ Cuenta no existe",IF(AND(OR(I3731="Transferencia",I3731="Pago tarjeta"),G3731=""),"⚠ Indica la cuenta «Hacia»",IF(AND(G3731&lt;&gt;"",G3731=E3731),"⚠ «Hacia» igual a la cuenta",IF(AND(G3731&lt;&gt;"",ISNA(MATCH(G3731,ctaNom,0))),"⚠ «Hacia» no existe",IF(AND(I3731="Pago tarjeta",IFERROR(INDEX(ctaTipo,MATCH(G3731,ctaNom,0)),"")&lt;&gt;"Tarjeta de crédito"),"⚠ «Hacia» debe ser la tarjeta",IF(AND(I3731="Trading",IFERROR(INDEX(ctaTipo,MATCH(E3731,ctaNom,0)),"")&lt;&gt;"Cuenta de trading"),"⚠ Usa la cuenta de trading","✓"))))))))))))</f>
        <v/>
      </c>
      <c r="I3731" s="19">
        <f>IF(OR(B3731="",C3731="",D3731=""),"",IFERROR(INDEX(catTipo,MATCH(D3731,catNom,0))&amp;"",""))</f>
        <v/>
      </c>
      <c r="J3731" s="19">
        <f>IF(I3731="","",IFERROR(INDEX(catGrupo,MATCH(D3731,catNom,0))&amp;"",""))</f>
        <v/>
      </c>
      <c r="K3731" s="19">
        <f>IF(I3731="Gasto",IF(IFERROR(INDEX(catClas,MATCH(D3731,catNom,0))&amp;"","")="","Variable",IFERROR(INDEX(catClas,MATCH(D3731,catNom,0))&amp;"","")),"")</f>
        <v/>
      </c>
      <c r="L3731" s="19">
        <f>IF(I3731="","",IFERROR(INDEX(catAlim,MATCH(D3731,catNom,0))&amp;"",""))</f>
        <v/>
      </c>
      <c r="M3731" s="19">
        <f>IF(I3731="","",IFERROR(INDEX(catComida,MATCH(D3731,catNom,0))&amp;"",""))</f>
        <v/>
      </c>
      <c r="N3731" s="19">
        <f>IF(I3731="","",IFERROR(INDEX(ctaMon,MATCH(E3731,ctaNom,0))&amp;"","DOP"))</f>
        <v/>
      </c>
      <c r="O3731" s="20">
        <f>IF(I3731="","",C3731*IF(N3731="USD",TasaUSD,1))</f>
        <v/>
      </c>
      <c r="P3731" s="20">
        <f>IF(I3731="","",IF(I3731="Gasto",O3731,0))</f>
        <v/>
      </c>
      <c r="Q3731" s="20">
        <f>IF(I3731="","",IF(I3731="Ingreso",O3731,0))</f>
        <v/>
      </c>
      <c r="R3731" s="20">
        <f>IF(I3731="","",IF(I3731="Trading",O3731,0))</f>
        <v/>
      </c>
      <c r="S3731" s="19">
        <f>IF(I3731="","",IF(AND(I3731="Gasto",K3731="Variable",J3731&lt;&gt;"Trading",O3731&gt;0,O3731&lt;=Umbral),1,0))</f>
        <v/>
      </c>
      <c r="T3731" s="20">
        <f>IF(OR(I3731="",E3731=""),"",IF(OR(I3731="Gasto",I3731="Transferencia",I3731="Pago tarjeta"),-1,1)*C3731)</f>
        <v/>
      </c>
      <c r="U3731" s="20">
        <f>IF(OR(G3731="",AND(I3731&lt;&gt;"Transferencia",I3731&lt;&gt;"Pago tarjeta")),"",IF(IFERROR(INDEX(ctaMon,MATCH(G3731,ctaNom,0))&amp;"","DOP")=N3731,C3731,IF(N3731="USD",C3731*TasaUSD,C3731/TasaUSD)))</f>
        <v/>
      </c>
      <c r="V3731" s="20">
        <f>IF(I3731="","",IF(IFERROR(INDEX(ctaLiq,MATCH(E3731,ctaNom,0))="Sí",FALSE),IF(OR(I3731="Gasto",I3731="Transferencia",I3731="Pago tarjeta"),-1,1)*O3731,0)+IF(AND(U3731&lt;&gt;"",IFERROR(INDEX(ctaLiq,MATCH(G3731,ctaNom,0))="Sí",FALSE)),O3731,0))</f>
        <v/>
      </c>
      <c r="W3731" s="19">
        <f>IF(OR(F3731="",I3731=""),"",IF(COUNTIFS(F$6:F3731,F3731,I$6:I3731,"?*")=1,MAX(W$5:W3730)+1,""))</f>
        <v/>
      </c>
    </row>
    <row r="3732">
      <c r="B3732" s="15" t="n"/>
      <c r="C3732" s="16" t="n"/>
      <c r="D3732" s="17" t="n"/>
      <c r="E3732" s="17" t="n"/>
      <c r="F3732" s="17" t="n"/>
      <c r="G3732" s="17" t="n"/>
      <c r="H3732" s="18">
        <f>IF(AND(B3732="",C3732="",D3732="",E3732=""),"",IF(B3732="","⚠ Falta fecha",IF(C3732="","⚠ Falta monto",IF(D3732="","⚠ Falta categoría",IF(ISNA(MATCH(D3732,catNom,0)),"⚠ Categoría no existe",IF(E3732="","⚠ Falta cuenta",IF(ISNA(MATCH(E3732,ctaNom,0)),"⚠ Cuenta no existe",IF(AND(OR(I3732="Transferencia",I3732="Pago tarjeta"),G3732=""),"⚠ Indica la cuenta «Hacia»",IF(AND(G3732&lt;&gt;"",G3732=E3732),"⚠ «Hacia» igual a la cuenta",IF(AND(G3732&lt;&gt;"",ISNA(MATCH(G3732,ctaNom,0))),"⚠ «Hacia» no existe",IF(AND(I3732="Pago tarjeta",IFERROR(INDEX(ctaTipo,MATCH(G3732,ctaNom,0)),"")&lt;&gt;"Tarjeta de crédito"),"⚠ «Hacia» debe ser la tarjeta",IF(AND(I3732="Trading",IFERROR(INDEX(ctaTipo,MATCH(E3732,ctaNom,0)),"")&lt;&gt;"Cuenta de trading"),"⚠ Usa la cuenta de trading","✓"))))))))))))</f>
        <v/>
      </c>
      <c r="I3732" s="19">
        <f>IF(OR(B3732="",C3732="",D3732=""),"",IFERROR(INDEX(catTipo,MATCH(D3732,catNom,0))&amp;"",""))</f>
        <v/>
      </c>
      <c r="J3732" s="19">
        <f>IF(I3732="","",IFERROR(INDEX(catGrupo,MATCH(D3732,catNom,0))&amp;"",""))</f>
        <v/>
      </c>
      <c r="K3732" s="19">
        <f>IF(I3732="Gasto",IF(IFERROR(INDEX(catClas,MATCH(D3732,catNom,0))&amp;"","")="","Variable",IFERROR(INDEX(catClas,MATCH(D3732,catNom,0))&amp;"","")),"")</f>
        <v/>
      </c>
      <c r="L3732" s="19">
        <f>IF(I3732="","",IFERROR(INDEX(catAlim,MATCH(D3732,catNom,0))&amp;"",""))</f>
        <v/>
      </c>
      <c r="M3732" s="19">
        <f>IF(I3732="","",IFERROR(INDEX(catComida,MATCH(D3732,catNom,0))&amp;"",""))</f>
        <v/>
      </c>
      <c r="N3732" s="19">
        <f>IF(I3732="","",IFERROR(INDEX(ctaMon,MATCH(E3732,ctaNom,0))&amp;"","DOP"))</f>
        <v/>
      </c>
      <c r="O3732" s="20">
        <f>IF(I3732="","",C3732*IF(N3732="USD",TasaUSD,1))</f>
        <v/>
      </c>
      <c r="P3732" s="20">
        <f>IF(I3732="","",IF(I3732="Gasto",O3732,0))</f>
        <v/>
      </c>
      <c r="Q3732" s="20">
        <f>IF(I3732="","",IF(I3732="Ingreso",O3732,0))</f>
        <v/>
      </c>
      <c r="R3732" s="20">
        <f>IF(I3732="","",IF(I3732="Trading",O3732,0))</f>
        <v/>
      </c>
      <c r="S3732" s="19">
        <f>IF(I3732="","",IF(AND(I3732="Gasto",K3732="Variable",J3732&lt;&gt;"Trading",O3732&gt;0,O3732&lt;=Umbral),1,0))</f>
        <v/>
      </c>
      <c r="T3732" s="20">
        <f>IF(OR(I3732="",E3732=""),"",IF(OR(I3732="Gasto",I3732="Transferencia",I3732="Pago tarjeta"),-1,1)*C3732)</f>
        <v/>
      </c>
      <c r="U3732" s="20">
        <f>IF(OR(G3732="",AND(I3732&lt;&gt;"Transferencia",I3732&lt;&gt;"Pago tarjeta")),"",IF(IFERROR(INDEX(ctaMon,MATCH(G3732,ctaNom,0))&amp;"","DOP")=N3732,C3732,IF(N3732="USD",C3732*TasaUSD,C3732/TasaUSD)))</f>
        <v/>
      </c>
      <c r="V3732" s="20">
        <f>IF(I3732="","",IF(IFERROR(INDEX(ctaLiq,MATCH(E3732,ctaNom,0))="Sí",FALSE),IF(OR(I3732="Gasto",I3732="Transferencia",I3732="Pago tarjeta"),-1,1)*O3732,0)+IF(AND(U3732&lt;&gt;"",IFERROR(INDEX(ctaLiq,MATCH(G3732,ctaNom,0))="Sí",FALSE)),O3732,0))</f>
        <v/>
      </c>
      <c r="W3732" s="19">
        <f>IF(OR(F3732="",I3732=""),"",IF(COUNTIFS(F$6:F3732,F3732,I$6:I3732,"?*")=1,MAX(W$5:W3731)+1,""))</f>
        <v/>
      </c>
    </row>
    <row r="3733">
      <c r="B3733" s="15" t="n"/>
      <c r="C3733" s="16" t="n"/>
      <c r="D3733" s="17" t="n"/>
      <c r="E3733" s="17" t="n"/>
      <c r="F3733" s="17" t="n"/>
      <c r="G3733" s="17" t="n"/>
      <c r="H3733" s="18">
        <f>IF(AND(B3733="",C3733="",D3733="",E3733=""),"",IF(B3733="","⚠ Falta fecha",IF(C3733="","⚠ Falta monto",IF(D3733="","⚠ Falta categoría",IF(ISNA(MATCH(D3733,catNom,0)),"⚠ Categoría no existe",IF(E3733="","⚠ Falta cuenta",IF(ISNA(MATCH(E3733,ctaNom,0)),"⚠ Cuenta no existe",IF(AND(OR(I3733="Transferencia",I3733="Pago tarjeta"),G3733=""),"⚠ Indica la cuenta «Hacia»",IF(AND(G3733&lt;&gt;"",G3733=E3733),"⚠ «Hacia» igual a la cuenta",IF(AND(G3733&lt;&gt;"",ISNA(MATCH(G3733,ctaNom,0))),"⚠ «Hacia» no existe",IF(AND(I3733="Pago tarjeta",IFERROR(INDEX(ctaTipo,MATCH(G3733,ctaNom,0)),"")&lt;&gt;"Tarjeta de crédito"),"⚠ «Hacia» debe ser la tarjeta",IF(AND(I3733="Trading",IFERROR(INDEX(ctaTipo,MATCH(E3733,ctaNom,0)),"")&lt;&gt;"Cuenta de trading"),"⚠ Usa la cuenta de trading","✓"))))))))))))</f>
        <v/>
      </c>
      <c r="I3733" s="19">
        <f>IF(OR(B3733="",C3733="",D3733=""),"",IFERROR(INDEX(catTipo,MATCH(D3733,catNom,0))&amp;"",""))</f>
        <v/>
      </c>
      <c r="J3733" s="19">
        <f>IF(I3733="","",IFERROR(INDEX(catGrupo,MATCH(D3733,catNom,0))&amp;"",""))</f>
        <v/>
      </c>
      <c r="K3733" s="19">
        <f>IF(I3733="Gasto",IF(IFERROR(INDEX(catClas,MATCH(D3733,catNom,0))&amp;"","")="","Variable",IFERROR(INDEX(catClas,MATCH(D3733,catNom,0))&amp;"","")),"")</f>
        <v/>
      </c>
      <c r="L3733" s="19">
        <f>IF(I3733="","",IFERROR(INDEX(catAlim,MATCH(D3733,catNom,0))&amp;"",""))</f>
        <v/>
      </c>
      <c r="M3733" s="19">
        <f>IF(I3733="","",IFERROR(INDEX(catComida,MATCH(D3733,catNom,0))&amp;"",""))</f>
        <v/>
      </c>
      <c r="N3733" s="19">
        <f>IF(I3733="","",IFERROR(INDEX(ctaMon,MATCH(E3733,ctaNom,0))&amp;"","DOP"))</f>
        <v/>
      </c>
      <c r="O3733" s="20">
        <f>IF(I3733="","",C3733*IF(N3733="USD",TasaUSD,1))</f>
        <v/>
      </c>
      <c r="P3733" s="20">
        <f>IF(I3733="","",IF(I3733="Gasto",O3733,0))</f>
        <v/>
      </c>
      <c r="Q3733" s="20">
        <f>IF(I3733="","",IF(I3733="Ingreso",O3733,0))</f>
        <v/>
      </c>
      <c r="R3733" s="20">
        <f>IF(I3733="","",IF(I3733="Trading",O3733,0))</f>
        <v/>
      </c>
      <c r="S3733" s="19">
        <f>IF(I3733="","",IF(AND(I3733="Gasto",K3733="Variable",J3733&lt;&gt;"Trading",O3733&gt;0,O3733&lt;=Umbral),1,0))</f>
        <v/>
      </c>
      <c r="T3733" s="20">
        <f>IF(OR(I3733="",E3733=""),"",IF(OR(I3733="Gasto",I3733="Transferencia",I3733="Pago tarjeta"),-1,1)*C3733)</f>
        <v/>
      </c>
      <c r="U3733" s="20">
        <f>IF(OR(G3733="",AND(I3733&lt;&gt;"Transferencia",I3733&lt;&gt;"Pago tarjeta")),"",IF(IFERROR(INDEX(ctaMon,MATCH(G3733,ctaNom,0))&amp;"","DOP")=N3733,C3733,IF(N3733="USD",C3733*TasaUSD,C3733/TasaUSD)))</f>
        <v/>
      </c>
      <c r="V3733" s="20">
        <f>IF(I3733="","",IF(IFERROR(INDEX(ctaLiq,MATCH(E3733,ctaNom,0))="Sí",FALSE),IF(OR(I3733="Gasto",I3733="Transferencia",I3733="Pago tarjeta"),-1,1)*O3733,0)+IF(AND(U3733&lt;&gt;"",IFERROR(INDEX(ctaLiq,MATCH(G3733,ctaNom,0))="Sí",FALSE)),O3733,0))</f>
        <v/>
      </c>
      <c r="W3733" s="19">
        <f>IF(OR(F3733="",I3733=""),"",IF(COUNTIFS(F$6:F3733,F3733,I$6:I3733,"?*")=1,MAX(W$5:W3732)+1,""))</f>
        <v/>
      </c>
    </row>
    <row r="3734">
      <c r="B3734" s="15" t="n"/>
      <c r="C3734" s="16" t="n"/>
      <c r="D3734" s="17" t="n"/>
      <c r="E3734" s="17" t="n"/>
      <c r="F3734" s="17" t="n"/>
      <c r="G3734" s="17" t="n"/>
      <c r="H3734" s="18">
        <f>IF(AND(B3734="",C3734="",D3734="",E3734=""),"",IF(B3734="","⚠ Falta fecha",IF(C3734="","⚠ Falta monto",IF(D3734="","⚠ Falta categoría",IF(ISNA(MATCH(D3734,catNom,0)),"⚠ Categoría no existe",IF(E3734="","⚠ Falta cuenta",IF(ISNA(MATCH(E3734,ctaNom,0)),"⚠ Cuenta no existe",IF(AND(OR(I3734="Transferencia",I3734="Pago tarjeta"),G3734=""),"⚠ Indica la cuenta «Hacia»",IF(AND(G3734&lt;&gt;"",G3734=E3734),"⚠ «Hacia» igual a la cuenta",IF(AND(G3734&lt;&gt;"",ISNA(MATCH(G3734,ctaNom,0))),"⚠ «Hacia» no existe",IF(AND(I3734="Pago tarjeta",IFERROR(INDEX(ctaTipo,MATCH(G3734,ctaNom,0)),"")&lt;&gt;"Tarjeta de crédito"),"⚠ «Hacia» debe ser la tarjeta",IF(AND(I3734="Trading",IFERROR(INDEX(ctaTipo,MATCH(E3734,ctaNom,0)),"")&lt;&gt;"Cuenta de trading"),"⚠ Usa la cuenta de trading","✓"))))))))))))</f>
        <v/>
      </c>
      <c r="I3734" s="19">
        <f>IF(OR(B3734="",C3734="",D3734=""),"",IFERROR(INDEX(catTipo,MATCH(D3734,catNom,0))&amp;"",""))</f>
        <v/>
      </c>
      <c r="J3734" s="19">
        <f>IF(I3734="","",IFERROR(INDEX(catGrupo,MATCH(D3734,catNom,0))&amp;"",""))</f>
        <v/>
      </c>
      <c r="K3734" s="19">
        <f>IF(I3734="Gasto",IF(IFERROR(INDEX(catClas,MATCH(D3734,catNom,0))&amp;"","")="","Variable",IFERROR(INDEX(catClas,MATCH(D3734,catNom,0))&amp;"","")),"")</f>
        <v/>
      </c>
      <c r="L3734" s="19">
        <f>IF(I3734="","",IFERROR(INDEX(catAlim,MATCH(D3734,catNom,0))&amp;"",""))</f>
        <v/>
      </c>
      <c r="M3734" s="19">
        <f>IF(I3734="","",IFERROR(INDEX(catComida,MATCH(D3734,catNom,0))&amp;"",""))</f>
        <v/>
      </c>
      <c r="N3734" s="19">
        <f>IF(I3734="","",IFERROR(INDEX(ctaMon,MATCH(E3734,ctaNom,0))&amp;"","DOP"))</f>
        <v/>
      </c>
      <c r="O3734" s="20">
        <f>IF(I3734="","",C3734*IF(N3734="USD",TasaUSD,1))</f>
        <v/>
      </c>
      <c r="P3734" s="20">
        <f>IF(I3734="","",IF(I3734="Gasto",O3734,0))</f>
        <v/>
      </c>
      <c r="Q3734" s="20">
        <f>IF(I3734="","",IF(I3734="Ingreso",O3734,0))</f>
        <v/>
      </c>
      <c r="R3734" s="20">
        <f>IF(I3734="","",IF(I3734="Trading",O3734,0))</f>
        <v/>
      </c>
      <c r="S3734" s="19">
        <f>IF(I3734="","",IF(AND(I3734="Gasto",K3734="Variable",J3734&lt;&gt;"Trading",O3734&gt;0,O3734&lt;=Umbral),1,0))</f>
        <v/>
      </c>
      <c r="T3734" s="20">
        <f>IF(OR(I3734="",E3734=""),"",IF(OR(I3734="Gasto",I3734="Transferencia",I3734="Pago tarjeta"),-1,1)*C3734)</f>
        <v/>
      </c>
      <c r="U3734" s="20">
        <f>IF(OR(G3734="",AND(I3734&lt;&gt;"Transferencia",I3734&lt;&gt;"Pago tarjeta")),"",IF(IFERROR(INDEX(ctaMon,MATCH(G3734,ctaNom,0))&amp;"","DOP")=N3734,C3734,IF(N3734="USD",C3734*TasaUSD,C3734/TasaUSD)))</f>
        <v/>
      </c>
      <c r="V3734" s="20">
        <f>IF(I3734="","",IF(IFERROR(INDEX(ctaLiq,MATCH(E3734,ctaNom,0))="Sí",FALSE),IF(OR(I3734="Gasto",I3734="Transferencia",I3734="Pago tarjeta"),-1,1)*O3734,0)+IF(AND(U3734&lt;&gt;"",IFERROR(INDEX(ctaLiq,MATCH(G3734,ctaNom,0))="Sí",FALSE)),O3734,0))</f>
        <v/>
      </c>
      <c r="W3734" s="19">
        <f>IF(OR(F3734="",I3734=""),"",IF(COUNTIFS(F$6:F3734,F3734,I$6:I3734,"?*")=1,MAX(W$5:W3733)+1,""))</f>
        <v/>
      </c>
    </row>
    <row r="3735">
      <c r="B3735" s="15" t="n"/>
      <c r="C3735" s="16" t="n"/>
      <c r="D3735" s="17" t="n"/>
      <c r="E3735" s="17" t="n"/>
      <c r="F3735" s="17" t="n"/>
      <c r="G3735" s="17" t="n"/>
      <c r="H3735" s="18">
        <f>IF(AND(B3735="",C3735="",D3735="",E3735=""),"",IF(B3735="","⚠ Falta fecha",IF(C3735="","⚠ Falta monto",IF(D3735="","⚠ Falta categoría",IF(ISNA(MATCH(D3735,catNom,0)),"⚠ Categoría no existe",IF(E3735="","⚠ Falta cuenta",IF(ISNA(MATCH(E3735,ctaNom,0)),"⚠ Cuenta no existe",IF(AND(OR(I3735="Transferencia",I3735="Pago tarjeta"),G3735=""),"⚠ Indica la cuenta «Hacia»",IF(AND(G3735&lt;&gt;"",G3735=E3735),"⚠ «Hacia» igual a la cuenta",IF(AND(G3735&lt;&gt;"",ISNA(MATCH(G3735,ctaNom,0))),"⚠ «Hacia» no existe",IF(AND(I3735="Pago tarjeta",IFERROR(INDEX(ctaTipo,MATCH(G3735,ctaNom,0)),"")&lt;&gt;"Tarjeta de crédito"),"⚠ «Hacia» debe ser la tarjeta",IF(AND(I3735="Trading",IFERROR(INDEX(ctaTipo,MATCH(E3735,ctaNom,0)),"")&lt;&gt;"Cuenta de trading"),"⚠ Usa la cuenta de trading","✓"))))))))))))</f>
        <v/>
      </c>
      <c r="I3735" s="19">
        <f>IF(OR(B3735="",C3735="",D3735=""),"",IFERROR(INDEX(catTipo,MATCH(D3735,catNom,0))&amp;"",""))</f>
        <v/>
      </c>
      <c r="J3735" s="19">
        <f>IF(I3735="","",IFERROR(INDEX(catGrupo,MATCH(D3735,catNom,0))&amp;"",""))</f>
        <v/>
      </c>
      <c r="K3735" s="19">
        <f>IF(I3735="Gasto",IF(IFERROR(INDEX(catClas,MATCH(D3735,catNom,0))&amp;"","")="","Variable",IFERROR(INDEX(catClas,MATCH(D3735,catNom,0))&amp;"","")),"")</f>
        <v/>
      </c>
      <c r="L3735" s="19">
        <f>IF(I3735="","",IFERROR(INDEX(catAlim,MATCH(D3735,catNom,0))&amp;"",""))</f>
        <v/>
      </c>
      <c r="M3735" s="19">
        <f>IF(I3735="","",IFERROR(INDEX(catComida,MATCH(D3735,catNom,0))&amp;"",""))</f>
        <v/>
      </c>
      <c r="N3735" s="19">
        <f>IF(I3735="","",IFERROR(INDEX(ctaMon,MATCH(E3735,ctaNom,0))&amp;"","DOP"))</f>
        <v/>
      </c>
      <c r="O3735" s="20">
        <f>IF(I3735="","",C3735*IF(N3735="USD",TasaUSD,1))</f>
        <v/>
      </c>
      <c r="P3735" s="20">
        <f>IF(I3735="","",IF(I3735="Gasto",O3735,0))</f>
        <v/>
      </c>
      <c r="Q3735" s="20">
        <f>IF(I3735="","",IF(I3735="Ingreso",O3735,0))</f>
        <v/>
      </c>
      <c r="R3735" s="20">
        <f>IF(I3735="","",IF(I3735="Trading",O3735,0))</f>
        <v/>
      </c>
      <c r="S3735" s="19">
        <f>IF(I3735="","",IF(AND(I3735="Gasto",K3735="Variable",J3735&lt;&gt;"Trading",O3735&gt;0,O3735&lt;=Umbral),1,0))</f>
        <v/>
      </c>
      <c r="T3735" s="20">
        <f>IF(OR(I3735="",E3735=""),"",IF(OR(I3735="Gasto",I3735="Transferencia",I3735="Pago tarjeta"),-1,1)*C3735)</f>
        <v/>
      </c>
      <c r="U3735" s="20">
        <f>IF(OR(G3735="",AND(I3735&lt;&gt;"Transferencia",I3735&lt;&gt;"Pago tarjeta")),"",IF(IFERROR(INDEX(ctaMon,MATCH(G3735,ctaNom,0))&amp;"","DOP")=N3735,C3735,IF(N3735="USD",C3735*TasaUSD,C3735/TasaUSD)))</f>
        <v/>
      </c>
      <c r="V3735" s="20">
        <f>IF(I3735="","",IF(IFERROR(INDEX(ctaLiq,MATCH(E3735,ctaNom,0))="Sí",FALSE),IF(OR(I3735="Gasto",I3735="Transferencia",I3735="Pago tarjeta"),-1,1)*O3735,0)+IF(AND(U3735&lt;&gt;"",IFERROR(INDEX(ctaLiq,MATCH(G3735,ctaNom,0))="Sí",FALSE)),O3735,0))</f>
        <v/>
      </c>
      <c r="W3735" s="19">
        <f>IF(OR(F3735="",I3735=""),"",IF(COUNTIFS(F$6:F3735,F3735,I$6:I3735,"?*")=1,MAX(W$5:W3734)+1,""))</f>
        <v/>
      </c>
    </row>
    <row r="3736">
      <c r="B3736" s="15" t="n"/>
      <c r="C3736" s="16" t="n"/>
      <c r="D3736" s="17" t="n"/>
      <c r="E3736" s="17" t="n"/>
      <c r="F3736" s="17" t="n"/>
      <c r="G3736" s="17" t="n"/>
      <c r="H3736" s="18">
        <f>IF(AND(B3736="",C3736="",D3736="",E3736=""),"",IF(B3736="","⚠ Falta fecha",IF(C3736="","⚠ Falta monto",IF(D3736="","⚠ Falta categoría",IF(ISNA(MATCH(D3736,catNom,0)),"⚠ Categoría no existe",IF(E3736="","⚠ Falta cuenta",IF(ISNA(MATCH(E3736,ctaNom,0)),"⚠ Cuenta no existe",IF(AND(OR(I3736="Transferencia",I3736="Pago tarjeta"),G3736=""),"⚠ Indica la cuenta «Hacia»",IF(AND(G3736&lt;&gt;"",G3736=E3736),"⚠ «Hacia» igual a la cuenta",IF(AND(G3736&lt;&gt;"",ISNA(MATCH(G3736,ctaNom,0))),"⚠ «Hacia» no existe",IF(AND(I3736="Pago tarjeta",IFERROR(INDEX(ctaTipo,MATCH(G3736,ctaNom,0)),"")&lt;&gt;"Tarjeta de crédito"),"⚠ «Hacia» debe ser la tarjeta",IF(AND(I3736="Trading",IFERROR(INDEX(ctaTipo,MATCH(E3736,ctaNom,0)),"")&lt;&gt;"Cuenta de trading"),"⚠ Usa la cuenta de trading","✓"))))))))))))</f>
        <v/>
      </c>
      <c r="I3736" s="19">
        <f>IF(OR(B3736="",C3736="",D3736=""),"",IFERROR(INDEX(catTipo,MATCH(D3736,catNom,0))&amp;"",""))</f>
        <v/>
      </c>
      <c r="J3736" s="19">
        <f>IF(I3736="","",IFERROR(INDEX(catGrupo,MATCH(D3736,catNom,0))&amp;"",""))</f>
        <v/>
      </c>
      <c r="K3736" s="19">
        <f>IF(I3736="Gasto",IF(IFERROR(INDEX(catClas,MATCH(D3736,catNom,0))&amp;"","")="","Variable",IFERROR(INDEX(catClas,MATCH(D3736,catNom,0))&amp;"","")),"")</f>
        <v/>
      </c>
      <c r="L3736" s="19">
        <f>IF(I3736="","",IFERROR(INDEX(catAlim,MATCH(D3736,catNom,0))&amp;"",""))</f>
        <v/>
      </c>
      <c r="M3736" s="19">
        <f>IF(I3736="","",IFERROR(INDEX(catComida,MATCH(D3736,catNom,0))&amp;"",""))</f>
        <v/>
      </c>
      <c r="N3736" s="19">
        <f>IF(I3736="","",IFERROR(INDEX(ctaMon,MATCH(E3736,ctaNom,0))&amp;"","DOP"))</f>
        <v/>
      </c>
      <c r="O3736" s="20">
        <f>IF(I3736="","",C3736*IF(N3736="USD",TasaUSD,1))</f>
        <v/>
      </c>
      <c r="P3736" s="20">
        <f>IF(I3736="","",IF(I3736="Gasto",O3736,0))</f>
        <v/>
      </c>
      <c r="Q3736" s="20">
        <f>IF(I3736="","",IF(I3736="Ingreso",O3736,0))</f>
        <v/>
      </c>
      <c r="R3736" s="20">
        <f>IF(I3736="","",IF(I3736="Trading",O3736,0))</f>
        <v/>
      </c>
      <c r="S3736" s="19">
        <f>IF(I3736="","",IF(AND(I3736="Gasto",K3736="Variable",J3736&lt;&gt;"Trading",O3736&gt;0,O3736&lt;=Umbral),1,0))</f>
        <v/>
      </c>
      <c r="T3736" s="20">
        <f>IF(OR(I3736="",E3736=""),"",IF(OR(I3736="Gasto",I3736="Transferencia",I3736="Pago tarjeta"),-1,1)*C3736)</f>
        <v/>
      </c>
      <c r="U3736" s="20">
        <f>IF(OR(G3736="",AND(I3736&lt;&gt;"Transferencia",I3736&lt;&gt;"Pago tarjeta")),"",IF(IFERROR(INDEX(ctaMon,MATCH(G3736,ctaNom,0))&amp;"","DOP")=N3736,C3736,IF(N3736="USD",C3736*TasaUSD,C3736/TasaUSD)))</f>
        <v/>
      </c>
      <c r="V3736" s="20">
        <f>IF(I3736="","",IF(IFERROR(INDEX(ctaLiq,MATCH(E3736,ctaNom,0))="Sí",FALSE),IF(OR(I3736="Gasto",I3736="Transferencia",I3736="Pago tarjeta"),-1,1)*O3736,0)+IF(AND(U3736&lt;&gt;"",IFERROR(INDEX(ctaLiq,MATCH(G3736,ctaNom,0))="Sí",FALSE)),O3736,0))</f>
        <v/>
      </c>
      <c r="W3736" s="19">
        <f>IF(OR(F3736="",I3736=""),"",IF(COUNTIFS(F$6:F3736,F3736,I$6:I3736,"?*")=1,MAX(W$5:W3735)+1,""))</f>
        <v/>
      </c>
    </row>
    <row r="3737">
      <c r="B3737" s="15" t="n"/>
      <c r="C3737" s="16" t="n"/>
      <c r="D3737" s="17" t="n"/>
      <c r="E3737" s="17" t="n"/>
      <c r="F3737" s="17" t="n"/>
      <c r="G3737" s="17" t="n"/>
      <c r="H3737" s="18">
        <f>IF(AND(B3737="",C3737="",D3737="",E3737=""),"",IF(B3737="","⚠ Falta fecha",IF(C3737="","⚠ Falta monto",IF(D3737="","⚠ Falta categoría",IF(ISNA(MATCH(D3737,catNom,0)),"⚠ Categoría no existe",IF(E3737="","⚠ Falta cuenta",IF(ISNA(MATCH(E3737,ctaNom,0)),"⚠ Cuenta no existe",IF(AND(OR(I3737="Transferencia",I3737="Pago tarjeta"),G3737=""),"⚠ Indica la cuenta «Hacia»",IF(AND(G3737&lt;&gt;"",G3737=E3737),"⚠ «Hacia» igual a la cuenta",IF(AND(G3737&lt;&gt;"",ISNA(MATCH(G3737,ctaNom,0))),"⚠ «Hacia» no existe",IF(AND(I3737="Pago tarjeta",IFERROR(INDEX(ctaTipo,MATCH(G3737,ctaNom,0)),"")&lt;&gt;"Tarjeta de crédito"),"⚠ «Hacia» debe ser la tarjeta",IF(AND(I3737="Trading",IFERROR(INDEX(ctaTipo,MATCH(E3737,ctaNom,0)),"")&lt;&gt;"Cuenta de trading"),"⚠ Usa la cuenta de trading","✓"))))))))))))</f>
        <v/>
      </c>
      <c r="I3737" s="19">
        <f>IF(OR(B3737="",C3737="",D3737=""),"",IFERROR(INDEX(catTipo,MATCH(D3737,catNom,0))&amp;"",""))</f>
        <v/>
      </c>
      <c r="J3737" s="19">
        <f>IF(I3737="","",IFERROR(INDEX(catGrupo,MATCH(D3737,catNom,0))&amp;"",""))</f>
        <v/>
      </c>
      <c r="K3737" s="19">
        <f>IF(I3737="Gasto",IF(IFERROR(INDEX(catClas,MATCH(D3737,catNom,0))&amp;"","")="","Variable",IFERROR(INDEX(catClas,MATCH(D3737,catNom,0))&amp;"","")),"")</f>
        <v/>
      </c>
      <c r="L3737" s="19">
        <f>IF(I3737="","",IFERROR(INDEX(catAlim,MATCH(D3737,catNom,0))&amp;"",""))</f>
        <v/>
      </c>
      <c r="M3737" s="19">
        <f>IF(I3737="","",IFERROR(INDEX(catComida,MATCH(D3737,catNom,0))&amp;"",""))</f>
        <v/>
      </c>
      <c r="N3737" s="19">
        <f>IF(I3737="","",IFERROR(INDEX(ctaMon,MATCH(E3737,ctaNom,0))&amp;"","DOP"))</f>
        <v/>
      </c>
      <c r="O3737" s="20">
        <f>IF(I3737="","",C3737*IF(N3737="USD",TasaUSD,1))</f>
        <v/>
      </c>
      <c r="P3737" s="20">
        <f>IF(I3737="","",IF(I3737="Gasto",O3737,0))</f>
        <v/>
      </c>
      <c r="Q3737" s="20">
        <f>IF(I3737="","",IF(I3737="Ingreso",O3737,0))</f>
        <v/>
      </c>
      <c r="R3737" s="20">
        <f>IF(I3737="","",IF(I3737="Trading",O3737,0))</f>
        <v/>
      </c>
      <c r="S3737" s="19">
        <f>IF(I3737="","",IF(AND(I3737="Gasto",K3737="Variable",J3737&lt;&gt;"Trading",O3737&gt;0,O3737&lt;=Umbral),1,0))</f>
        <v/>
      </c>
      <c r="T3737" s="20">
        <f>IF(OR(I3737="",E3737=""),"",IF(OR(I3737="Gasto",I3737="Transferencia",I3737="Pago tarjeta"),-1,1)*C3737)</f>
        <v/>
      </c>
      <c r="U3737" s="20">
        <f>IF(OR(G3737="",AND(I3737&lt;&gt;"Transferencia",I3737&lt;&gt;"Pago tarjeta")),"",IF(IFERROR(INDEX(ctaMon,MATCH(G3737,ctaNom,0))&amp;"","DOP")=N3737,C3737,IF(N3737="USD",C3737*TasaUSD,C3737/TasaUSD)))</f>
        <v/>
      </c>
      <c r="V3737" s="20">
        <f>IF(I3737="","",IF(IFERROR(INDEX(ctaLiq,MATCH(E3737,ctaNom,0))="Sí",FALSE),IF(OR(I3737="Gasto",I3737="Transferencia",I3737="Pago tarjeta"),-1,1)*O3737,0)+IF(AND(U3737&lt;&gt;"",IFERROR(INDEX(ctaLiq,MATCH(G3737,ctaNom,0))="Sí",FALSE)),O3737,0))</f>
        <v/>
      </c>
      <c r="W3737" s="19">
        <f>IF(OR(F3737="",I3737=""),"",IF(COUNTIFS(F$6:F3737,F3737,I$6:I3737,"?*")=1,MAX(W$5:W3736)+1,""))</f>
        <v/>
      </c>
    </row>
    <row r="3738">
      <c r="B3738" s="15" t="n"/>
      <c r="C3738" s="16" t="n"/>
      <c r="D3738" s="17" t="n"/>
      <c r="E3738" s="17" t="n"/>
      <c r="F3738" s="17" t="n"/>
      <c r="G3738" s="17" t="n"/>
      <c r="H3738" s="18">
        <f>IF(AND(B3738="",C3738="",D3738="",E3738=""),"",IF(B3738="","⚠ Falta fecha",IF(C3738="","⚠ Falta monto",IF(D3738="","⚠ Falta categoría",IF(ISNA(MATCH(D3738,catNom,0)),"⚠ Categoría no existe",IF(E3738="","⚠ Falta cuenta",IF(ISNA(MATCH(E3738,ctaNom,0)),"⚠ Cuenta no existe",IF(AND(OR(I3738="Transferencia",I3738="Pago tarjeta"),G3738=""),"⚠ Indica la cuenta «Hacia»",IF(AND(G3738&lt;&gt;"",G3738=E3738),"⚠ «Hacia» igual a la cuenta",IF(AND(G3738&lt;&gt;"",ISNA(MATCH(G3738,ctaNom,0))),"⚠ «Hacia» no existe",IF(AND(I3738="Pago tarjeta",IFERROR(INDEX(ctaTipo,MATCH(G3738,ctaNom,0)),"")&lt;&gt;"Tarjeta de crédito"),"⚠ «Hacia» debe ser la tarjeta",IF(AND(I3738="Trading",IFERROR(INDEX(ctaTipo,MATCH(E3738,ctaNom,0)),"")&lt;&gt;"Cuenta de trading"),"⚠ Usa la cuenta de trading","✓"))))))))))))</f>
        <v/>
      </c>
      <c r="I3738" s="19">
        <f>IF(OR(B3738="",C3738="",D3738=""),"",IFERROR(INDEX(catTipo,MATCH(D3738,catNom,0))&amp;"",""))</f>
        <v/>
      </c>
      <c r="J3738" s="19">
        <f>IF(I3738="","",IFERROR(INDEX(catGrupo,MATCH(D3738,catNom,0))&amp;"",""))</f>
        <v/>
      </c>
      <c r="K3738" s="19">
        <f>IF(I3738="Gasto",IF(IFERROR(INDEX(catClas,MATCH(D3738,catNom,0))&amp;"","")="","Variable",IFERROR(INDEX(catClas,MATCH(D3738,catNom,0))&amp;"","")),"")</f>
        <v/>
      </c>
      <c r="L3738" s="19">
        <f>IF(I3738="","",IFERROR(INDEX(catAlim,MATCH(D3738,catNom,0))&amp;"",""))</f>
        <v/>
      </c>
      <c r="M3738" s="19">
        <f>IF(I3738="","",IFERROR(INDEX(catComida,MATCH(D3738,catNom,0))&amp;"",""))</f>
        <v/>
      </c>
      <c r="N3738" s="19">
        <f>IF(I3738="","",IFERROR(INDEX(ctaMon,MATCH(E3738,ctaNom,0))&amp;"","DOP"))</f>
        <v/>
      </c>
      <c r="O3738" s="20">
        <f>IF(I3738="","",C3738*IF(N3738="USD",TasaUSD,1))</f>
        <v/>
      </c>
      <c r="P3738" s="20">
        <f>IF(I3738="","",IF(I3738="Gasto",O3738,0))</f>
        <v/>
      </c>
      <c r="Q3738" s="20">
        <f>IF(I3738="","",IF(I3738="Ingreso",O3738,0))</f>
        <v/>
      </c>
      <c r="R3738" s="20">
        <f>IF(I3738="","",IF(I3738="Trading",O3738,0))</f>
        <v/>
      </c>
      <c r="S3738" s="19">
        <f>IF(I3738="","",IF(AND(I3738="Gasto",K3738="Variable",J3738&lt;&gt;"Trading",O3738&gt;0,O3738&lt;=Umbral),1,0))</f>
        <v/>
      </c>
      <c r="T3738" s="20">
        <f>IF(OR(I3738="",E3738=""),"",IF(OR(I3738="Gasto",I3738="Transferencia",I3738="Pago tarjeta"),-1,1)*C3738)</f>
        <v/>
      </c>
      <c r="U3738" s="20">
        <f>IF(OR(G3738="",AND(I3738&lt;&gt;"Transferencia",I3738&lt;&gt;"Pago tarjeta")),"",IF(IFERROR(INDEX(ctaMon,MATCH(G3738,ctaNom,0))&amp;"","DOP")=N3738,C3738,IF(N3738="USD",C3738*TasaUSD,C3738/TasaUSD)))</f>
        <v/>
      </c>
      <c r="V3738" s="20">
        <f>IF(I3738="","",IF(IFERROR(INDEX(ctaLiq,MATCH(E3738,ctaNom,0))="Sí",FALSE),IF(OR(I3738="Gasto",I3738="Transferencia",I3738="Pago tarjeta"),-1,1)*O3738,0)+IF(AND(U3738&lt;&gt;"",IFERROR(INDEX(ctaLiq,MATCH(G3738,ctaNom,0))="Sí",FALSE)),O3738,0))</f>
        <v/>
      </c>
      <c r="W3738" s="19">
        <f>IF(OR(F3738="",I3738=""),"",IF(COUNTIFS(F$6:F3738,F3738,I$6:I3738,"?*")=1,MAX(W$5:W3737)+1,""))</f>
        <v/>
      </c>
    </row>
    <row r="3739">
      <c r="B3739" s="15" t="n"/>
      <c r="C3739" s="16" t="n"/>
      <c r="D3739" s="17" t="n"/>
      <c r="E3739" s="17" t="n"/>
      <c r="F3739" s="17" t="n"/>
      <c r="G3739" s="17" t="n"/>
      <c r="H3739" s="18">
        <f>IF(AND(B3739="",C3739="",D3739="",E3739=""),"",IF(B3739="","⚠ Falta fecha",IF(C3739="","⚠ Falta monto",IF(D3739="","⚠ Falta categoría",IF(ISNA(MATCH(D3739,catNom,0)),"⚠ Categoría no existe",IF(E3739="","⚠ Falta cuenta",IF(ISNA(MATCH(E3739,ctaNom,0)),"⚠ Cuenta no existe",IF(AND(OR(I3739="Transferencia",I3739="Pago tarjeta"),G3739=""),"⚠ Indica la cuenta «Hacia»",IF(AND(G3739&lt;&gt;"",G3739=E3739),"⚠ «Hacia» igual a la cuenta",IF(AND(G3739&lt;&gt;"",ISNA(MATCH(G3739,ctaNom,0))),"⚠ «Hacia» no existe",IF(AND(I3739="Pago tarjeta",IFERROR(INDEX(ctaTipo,MATCH(G3739,ctaNom,0)),"")&lt;&gt;"Tarjeta de crédito"),"⚠ «Hacia» debe ser la tarjeta",IF(AND(I3739="Trading",IFERROR(INDEX(ctaTipo,MATCH(E3739,ctaNom,0)),"")&lt;&gt;"Cuenta de trading"),"⚠ Usa la cuenta de trading","✓"))))))))))))</f>
        <v/>
      </c>
      <c r="I3739" s="19">
        <f>IF(OR(B3739="",C3739="",D3739=""),"",IFERROR(INDEX(catTipo,MATCH(D3739,catNom,0))&amp;"",""))</f>
        <v/>
      </c>
      <c r="J3739" s="19">
        <f>IF(I3739="","",IFERROR(INDEX(catGrupo,MATCH(D3739,catNom,0))&amp;"",""))</f>
        <v/>
      </c>
      <c r="K3739" s="19">
        <f>IF(I3739="Gasto",IF(IFERROR(INDEX(catClas,MATCH(D3739,catNom,0))&amp;"","")="","Variable",IFERROR(INDEX(catClas,MATCH(D3739,catNom,0))&amp;"","")),"")</f>
        <v/>
      </c>
      <c r="L3739" s="19">
        <f>IF(I3739="","",IFERROR(INDEX(catAlim,MATCH(D3739,catNom,0))&amp;"",""))</f>
        <v/>
      </c>
      <c r="M3739" s="19">
        <f>IF(I3739="","",IFERROR(INDEX(catComida,MATCH(D3739,catNom,0))&amp;"",""))</f>
        <v/>
      </c>
      <c r="N3739" s="19">
        <f>IF(I3739="","",IFERROR(INDEX(ctaMon,MATCH(E3739,ctaNom,0))&amp;"","DOP"))</f>
        <v/>
      </c>
      <c r="O3739" s="20">
        <f>IF(I3739="","",C3739*IF(N3739="USD",TasaUSD,1))</f>
        <v/>
      </c>
      <c r="P3739" s="20">
        <f>IF(I3739="","",IF(I3739="Gasto",O3739,0))</f>
        <v/>
      </c>
      <c r="Q3739" s="20">
        <f>IF(I3739="","",IF(I3739="Ingreso",O3739,0))</f>
        <v/>
      </c>
      <c r="R3739" s="20">
        <f>IF(I3739="","",IF(I3739="Trading",O3739,0))</f>
        <v/>
      </c>
      <c r="S3739" s="19">
        <f>IF(I3739="","",IF(AND(I3739="Gasto",K3739="Variable",J3739&lt;&gt;"Trading",O3739&gt;0,O3739&lt;=Umbral),1,0))</f>
        <v/>
      </c>
      <c r="T3739" s="20">
        <f>IF(OR(I3739="",E3739=""),"",IF(OR(I3739="Gasto",I3739="Transferencia",I3739="Pago tarjeta"),-1,1)*C3739)</f>
        <v/>
      </c>
      <c r="U3739" s="20">
        <f>IF(OR(G3739="",AND(I3739&lt;&gt;"Transferencia",I3739&lt;&gt;"Pago tarjeta")),"",IF(IFERROR(INDEX(ctaMon,MATCH(G3739,ctaNom,0))&amp;"","DOP")=N3739,C3739,IF(N3739="USD",C3739*TasaUSD,C3739/TasaUSD)))</f>
        <v/>
      </c>
      <c r="V3739" s="20">
        <f>IF(I3739="","",IF(IFERROR(INDEX(ctaLiq,MATCH(E3739,ctaNom,0))="Sí",FALSE),IF(OR(I3739="Gasto",I3739="Transferencia",I3739="Pago tarjeta"),-1,1)*O3739,0)+IF(AND(U3739&lt;&gt;"",IFERROR(INDEX(ctaLiq,MATCH(G3739,ctaNom,0))="Sí",FALSE)),O3739,0))</f>
        <v/>
      </c>
      <c r="W3739" s="19">
        <f>IF(OR(F3739="",I3739=""),"",IF(COUNTIFS(F$6:F3739,F3739,I$6:I3739,"?*")=1,MAX(W$5:W3738)+1,""))</f>
        <v/>
      </c>
    </row>
    <row r="3740">
      <c r="B3740" s="15" t="n"/>
      <c r="C3740" s="16" t="n"/>
      <c r="D3740" s="17" t="n"/>
      <c r="E3740" s="17" t="n"/>
      <c r="F3740" s="17" t="n"/>
      <c r="G3740" s="17" t="n"/>
      <c r="H3740" s="18">
        <f>IF(AND(B3740="",C3740="",D3740="",E3740=""),"",IF(B3740="","⚠ Falta fecha",IF(C3740="","⚠ Falta monto",IF(D3740="","⚠ Falta categoría",IF(ISNA(MATCH(D3740,catNom,0)),"⚠ Categoría no existe",IF(E3740="","⚠ Falta cuenta",IF(ISNA(MATCH(E3740,ctaNom,0)),"⚠ Cuenta no existe",IF(AND(OR(I3740="Transferencia",I3740="Pago tarjeta"),G3740=""),"⚠ Indica la cuenta «Hacia»",IF(AND(G3740&lt;&gt;"",G3740=E3740),"⚠ «Hacia» igual a la cuenta",IF(AND(G3740&lt;&gt;"",ISNA(MATCH(G3740,ctaNom,0))),"⚠ «Hacia» no existe",IF(AND(I3740="Pago tarjeta",IFERROR(INDEX(ctaTipo,MATCH(G3740,ctaNom,0)),"")&lt;&gt;"Tarjeta de crédito"),"⚠ «Hacia» debe ser la tarjeta",IF(AND(I3740="Trading",IFERROR(INDEX(ctaTipo,MATCH(E3740,ctaNom,0)),"")&lt;&gt;"Cuenta de trading"),"⚠ Usa la cuenta de trading","✓"))))))))))))</f>
        <v/>
      </c>
      <c r="I3740" s="19">
        <f>IF(OR(B3740="",C3740="",D3740=""),"",IFERROR(INDEX(catTipo,MATCH(D3740,catNom,0))&amp;"",""))</f>
        <v/>
      </c>
      <c r="J3740" s="19">
        <f>IF(I3740="","",IFERROR(INDEX(catGrupo,MATCH(D3740,catNom,0))&amp;"",""))</f>
        <v/>
      </c>
      <c r="K3740" s="19">
        <f>IF(I3740="Gasto",IF(IFERROR(INDEX(catClas,MATCH(D3740,catNom,0))&amp;"","")="","Variable",IFERROR(INDEX(catClas,MATCH(D3740,catNom,0))&amp;"","")),"")</f>
        <v/>
      </c>
      <c r="L3740" s="19">
        <f>IF(I3740="","",IFERROR(INDEX(catAlim,MATCH(D3740,catNom,0))&amp;"",""))</f>
        <v/>
      </c>
      <c r="M3740" s="19">
        <f>IF(I3740="","",IFERROR(INDEX(catComida,MATCH(D3740,catNom,0))&amp;"",""))</f>
        <v/>
      </c>
      <c r="N3740" s="19">
        <f>IF(I3740="","",IFERROR(INDEX(ctaMon,MATCH(E3740,ctaNom,0))&amp;"","DOP"))</f>
        <v/>
      </c>
      <c r="O3740" s="20">
        <f>IF(I3740="","",C3740*IF(N3740="USD",TasaUSD,1))</f>
        <v/>
      </c>
      <c r="P3740" s="20">
        <f>IF(I3740="","",IF(I3740="Gasto",O3740,0))</f>
        <v/>
      </c>
      <c r="Q3740" s="20">
        <f>IF(I3740="","",IF(I3740="Ingreso",O3740,0))</f>
        <v/>
      </c>
      <c r="R3740" s="20">
        <f>IF(I3740="","",IF(I3740="Trading",O3740,0))</f>
        <v/>
      </c>
      <c r="S3740" s="19">
        <f>IF(I3740="","",IF(AND(I3740="Gasto",K3740="Variable",J3740&lt;&gt;"Trading",O3740&gt;0,O3740&lt;=Umbral),1,0))</f>
        <v/>
      </c>
      <c r="T3740" s="20">
        <f>IF(OR(I3740="",E3740=""),"",IF(OR(I3740="Gasto",I3740="Transferencia",I3740="Pago tarjeta"),-1,1)*C3740)</f>
        <v/>
      </c>
      <c r="U3740" s="20">
        <f>IF(OR(G3740="",AND(I3740&lt;&gt;"Transferencia",I3740&lt;&gt;"Pago tarjeta")),"",IF(IFERROR(INDEX(ctaMon,MATCH(G3740,ctaNom,0))&amp;"","DOP")=N3740,C3740,IF(N3740="USD",C3740*TasaUSD,C3740/TasaUSD)))</f>
        <v/>
      </c>
      <c r="V3740" s="20">
        <f>IF(I3740="","",IF(IFERROR(INDEX(ctaLiq,MATCH(E3740,ctaNom,0))="Sí",FALSE),IF(OR(I3740="Gasto",I3740="Transferencia",I3740="Pago tarjeta"),-1,1)*O3740,0)+IF(AND(U3740&lt;&gt;"",IFERROR(INDEX(ctaLiq,MATCH(G3740,ctaNom,0))="Sí",FALSE)),O3740,0))</f>
        <v/>
      </c>
      <c r="W3740" s="19">
        <f>IF(OR(F3740="",I3740=""),"",IF(COUNTIFS(F$6:F3740,F3740,I$6:I3740,"?*")=1,MAX(W$5:W3739)+1,""))</f>
        <v/>
      </c>
    </row>
    <row r="3741">
      <c r="B3741" s="15" t="n"/>
      <c r="C3741" s="16" t="n"/>
      <c r="D3741" s="17" t="n"/>
      <c r="E3741" s="17" t="n"/>
      <c r="F3741" s="17" t="n"/>
      <c r="G3741" s="17" t="n"/>
      <c r="H3741" s="18">
        <f>IF(AND(B3741="",C3741="",D3741="",E3741=""),"",IF(B3741="","⚠ Falta fecha",IF(C3741="","⚠ Falta monto",IF(D3741="","⚠ Falta categoría",IF(ISNA(MATCH(D3741,catNom,0)),"⚠ Categoría no existe",IF(E3741="","⚠ Falta cuenta",IF(ISNA(MATCH(E3741,ctaNom,0)),"⚠ Cuenta no existe",IF(AND(OR(I3741="Transferencia",I3741="Pago tarjeta"),G3741=""),"⚠ Indica la cuenta «Hacia»",IF(AND(G3741&lt;&gt;"",G3741=E3741),"⚠ «Hacia» igual a la cuenta",IF(AND(G3741&lt;&gt;"",ISNA(MATCH(G3741,ctaNom,0))),"⚠ «Hacia» no existe",IF(AND(I3741="Pago tarjeta",IFERROR(INDEX(ctaTipo,MATCH(G3741,ctaNom,0)),"")&lt;&gt;"Tarjeta de crédito"),"⚠ «Hacia» debe ser la tarjeta",IF(AND(I3741="Trading",IFERROR(INDEX(ctaTipo,MATCH(E3741,ctaNom,0)),"")&lt;&gt;"Cuenta de trading"),"⚠ Usa la cuenta de trading","✓"))))))))))))</f>
        <v/>
      </c>
      <c r="I3741" s="19">
        <f>IF(OR(B3741="",C3741="",D3741=""),"",IFERROR(INDEX(catTipo,MATCH(D3741,catNom,0))&amp;"",""))</f>
        <v/>
      </c>
      <c r="J3741" s="19">
        <f>IF(I3741="","",IFERROR(INDEX(catGrupo,MATCH(D3741,catNom,0))&amp;"",""))</f>
        <v/>
      </c>
      <c r="K3741" s="19">
        <f>IF(I3741="Gasto",IF(IFERROR(INDEX(catClas,MATCH(D3741,catNom,0))&amp;"","")="","Variable",IFERROR(INDEX(catClas,MATCH(D3741,catNom,0))&amp;"","")),"")</f>
        <v/>
      </c>
      <c r="L3741" s="19">
        <f>IF(I3741="","",IFERROR(INDEX(catAlim,MATCH(D3741,catNom,0))&amp;"",""))</f>
        <v/>
      </c>
      <c r="M3741" s="19">
        <f>IF(I3741="","",IFERROR(INDEX(catComida,MATCH(D3741,catNom,0))&amp;"",""))</f>
        <v/>
      </c>
      <c r="N3741" s="19">
        <f>IF(I3741="","",IFERROR(INDEX(ctaMon,MATCH(E3741,ctaNom,0))&amp;"","DOP"))</f>
        <v/>
      </c>
      <c r="O3741" s="20">
        <f>IF(I3741="","",C3741*IF(N3741="USD",TasaUSD,1))</f>
        <v/>
      </c>
      <c r="P3741" s="20">
        <f>IF(I3741="","",IF(I3741="Gasto",O3741,0))</f>
        <v/>
      </c>
      <c r="Q3741" s="20">
        <f>IF(I3741="","",IF(I3741="Ingreso",O3741,0))</f>
        <v/>
      </c>
      <c r="R3741" s="20">
        <f>IF(I3741="","",IF(I3741="Trading",O3741,0))</f>
        <v/>
      </c>
      <c r="S3741" s="19">
        <f>IF(I3741="","",IF(AND(I3741="Gasto",K3741="Variable",J3741&lt;&gt;"Trading",O3741&gt;0,O3741&lt;=Umbral),1,0))</f>
        <v/>
      </c>
      <c r="T3741" s="20">
        <f>IF(OR(I3741="",E3741=""),"",IF(OR(I3741="Gasto",I3741="Transferencia",I3741="Pago tarjeta"),-1,1)*C3741)</f>
        <v/>
      </c>
      <c r="U3741" s="20">
        <f>IF(OR(G3741="",AND(I3741&lt;&gt;"Transferencia",I3741&lt;&gt;"Pago tarjeta")),"",IF(IFERROR(INDEX(ctaMon,MATCH(G3741,ctaNom,0))&amp;"","DOP")=N3741,C3741,IF(N3741="USD",C3741*TasaUSD,C3741/TasaUSD)))</f>
        <v/>
      </c>
      <c r="V3741" s="20">
        <f>IF(I3741="","",IF(IFERROR(INDEX(ctaLiq,MATCH(E3741,ctaNom,0))="Sí",FALSE),IF(OR(I3741="Gasto",I3741="Transferencia",I3741="Pago tarjeta"),-1,1)*O3741,0)+IF(AND(U3741&lt;&gt;"",IFERROR(INDEX(ctaLiq,MATCH(G3741,ctaNom,0))="Sí",FALSE)),O3741,0))</f>
        <v/>
      </c>
      <c r="W3741" s="19">
        <f>IF(OR(F3741="",I3741=""),"",IF(COUNTIFS(F$6:F3741,F3741,I$6:I3741,"?*")=1,MAX(W$5:W3740)+1,""))</f>
        <v/>
      </c>
    </row>
    <row r="3742">
      <c r="B3742" s="15" t="n"/>
      <c r="C3742" s="16" t="n"/>
      <c r="D3742" s="17" t="n"/>
      <c r="E3742" s="17" t="n"/>
      <c r="F3742" s="17" t="n"/>
      <c r="G3742" s="17" t="n"/>
      <c r="H3742" s="18">
        <f>IF(AND(B3742="",C3742="",D3742="",E3742=""),"",IF(B3742="","⚠ Falta fecha",IF(C3742="","⚠ Falta monto",IF(D3742="","⚠ Falta categoría",IF(ISNA(MATCH(D3742,catNom,0)),"⚠ Categoría no existe",IF(E3742="","⚠ Falta cuenta",IF(ISNA(MATCH(E3742,ctaNom,0)),"⚠ Cuenta no existe",IF(AND(OR(I3742="Transferencia",I3742="Pago tarjeta"),G3742=""),"⚠ Indica la cuenta «Hacia»",IF(AND(G3742&lt;&gt;"",G3742=E3742),"⚠ «Hacia» igual a la cuenta",IF(AND(G3742&lt;&gt;"",ISNA(MATCH(G3742,ctaNom,0))),"⚠ «Hacia» no existe",IF(AND(I3742="Pago tarjeta",IFERROR(INDEX(ctaTipo,MATCH(G3742,ctaNom,0)),"")&lt;&gt;"Tarjeta de crédito"),"⚠ «Hacia» debe ser la tarjeta",IF(AND(I3742="Trading",IFERROR(INDEX(ctaTipo,MATCH(E3742,ctaNom,0)),"")&lt;&gt;"Cuenta de trading"),"⚠ Usa la cuenta de trading","✓"))))))))))))</f>
        <v/>
      </c>
      <c r="I3742" s="19">
        <f>IF(OR(B3742="",C3742="",D3742=""),"",IFERROR(INDEX(catTipo,MATCH(D3742,catNom,0))&amp;"",""))</f>
        <v/>
      </c>
      <c r="J3742" s="19">
        <f>IF(I3742="","",IFERROR(INDEX(catGrupo,MATCH(D3742,catNom,0))&amp;"",""))</f>
        <v/>
      </c>
      <c r="K3742" s="19">
        <f>IF(I3742="Gasto",IF(IFERROR(INDEX(catClas,MATCH(D3742,catNom,0))&amp;"","")="","Variable",IFERROR(INDEX(catClas,MATCH(D3742,catNom,0))&amp;"","")),"")</f>
        <v/>
      </c>
      <c r="L3742" s="19">
        <f>IF(I3742="","",IFERROR(INDEX(catAlim,MATCH(D3742,catNom,0))&amp;"",""))</f>
        <v/>
      </c>
      <c r="M3742" s="19">
        <f>IF(I3742="","",IFERROR(INDEX(catComida,MATCH(D3742,catNom,0))&amp;"",""))</f>
        <v/>
      </c>
      <c r="N3742" s="19">
        <f>IF(I3742="","",IFERROR(INDEX(ctaMon,MATCH(E3742,ctaNom,0))&amp;"","DOP"))</f>
        <v/>
      </c>
      <c r="O3742" s="20">
        <f>IF(I3742="","",C3742*IF(N3742="USD",TasaUSD,1))</f>
        <v/>
      </c>
      <c r="P3742" s="20">
        <f>IF(I3742="","",IF(I3742="Gasto",O3742,0))</f>
        <v/>
      </c>
      <c r="Q3742" s="20">
        <f>IF(I3742="","",IF(I3742="Ingreso",O3742,0))</f>
        <v/>
      </c>
      <c r="R3742" s="20">
        <f>IF(I3742="","",IF(I3742="Trading",O3742,0))</f>
        <v/>
      </c>
      <c r="S3742" s="19">
        <f>IF(I3742="","",IF(AND(I3742="Gasto",K3742="Variable",J3742&lt;&gt;"Trading",O3742&gt;0,O3742&lt;=Umbral),1,0))</f>
        <v/>
      </c>
      <c r="T3742" s="20">
        <f>IF(OR(I3742="",E3742=""),"",IF(OR(I3742="Gasto",I3742="Transferencia",I3742="Pago tarjeta"),-1,1)*C3742)</f>
        <v/>
      </c>
      <c r="U3742" s="20">
        <f>IF(OR(G3742="",AND(I3742&lt;&gt;"Transferencia",I3742&lt;&gt;"Pago tarjeta")),"",IF(IFERROR(INDEX(ctaMon,MATCH(G3742,ctaNom,0))&amp;"","DOP")=N3742,C3742,IF(N3742="USD",C3742*TasaUSD,C3742/TasaUSD)))</f>
        <v/>
      </c>
      <c r="V3742" s="20">
        <f>IF(I3742="","",IF(IFERROR(INDEX(ctaLiq,MATCH(E3742,ctaNom,0))="Sí",FALSE),IF(OR(I3742="Gasto",I3742="Transferencia",I3742="Pago tarjeta"),-1,1)*O3742,0)+IF(AND(U3742&lt;&gt;"",IFERROR(INDEX(ctaLiq,MATCH(G3742,ctaNom,0))="Sí",FALSE)),O3742,0))</f>
        <v/>
      </c>
      <c r="W3742" s="19">
        <f>IF(OR(F3742="",I3742=""),"",IF(COUNTIFS(F$6:F3742,F3742,I$6:I3742,"?*")=1,MAX(W$5:W3741)+1,""))</f>
        <v/>
      </c>
    </row>
    <row r="3743">
      <c r="B3743" s="15" t="n"/>
      <c r="C3743" s="16" t="n"/>
      <c r="D3743" s="17" t="n"/>
      <c r="E3743" s="17" t="n"/>
      <c r="F3743" s="17" t="n"/>
      <c r="G3743" s="17" t="n"/>
      <c r="H3743" s="18">
        <f>IF(AND(B3743="",C3743="",D3743="",E3743=""),"",IF(B3743="","⚠ Falta fecha",IF(C3743="","⚠ Falta monto",IF(D3743="","⚠ Falta categoría",IF(ISNA(MATCH(D3743,catNom,0)),"⚠ Categoría no existe",IF(E3743="","⚠ Falta cuenta",IF(ISNA(MATCH(E3743,ctaNom,0)),"⚠ Cuenta no existe",IF(AND(OR(I3743="Transferencia",I3743="Pago tarjeta"),G3743=""),"⚠ Indica la cuenta «Hacia»",IF(AND(G3743&lt;&gt;"",G3743=E3743),"⚠ «Hacia» igual a la cuenta",IF(AND(G3743&lt;&gt;"",ISNA(MATCH(G3743,ctaNom,0))),"⚠ «Hacia» no existe",IF(AND(I3743="Pago tarjeta",IFERROR(INDEX(ctaTipo,MATCH(G3743,ctaNom,0)),"")&lt;&gt;"Tarjeta de crédito"),"⚠ «Hacia» debe ser la tarjeta",IF(AND(I3743="Trading",IFERROR(INDEX(ctaTipo,MATCH(E3743,ctaNom,0)),"")&lt;&gt;"Cuenta de trading"),"⚠ Usa la cuenta de trading","✓"))))))))))))</f>
        <v/>
      </c>
      <c r="I3743" s="19">
        <f>IF(OR(B3743="",C3743="",D3743=""),"",IFERROR(INDEX(catTipo,MATCH(D3743,catNom,0))&amp;"",""))</f>
        <v/>
      </c>
      <c r="J3743" s="19">
        <f>IF(I3743="","",IFERROR(INDEX(catGrupo,MATCH(D3743,catNom,0))&amp;"",""))</f>
        <v/>
      </c>
      <c r="K3743" s="19">
        <f>IF(I3743="Gasto",IF(IFERROR(INDEX(catClas,MATCH(D3743,catNom,0))&amp;"","")="","Variable",IFERROR(INDEX(catClas,MATCH(D3743,catNom,0))&amp;"","")),"")</f>
        <v/>
      </c>
      <c r="L3743" s="19">
        <f>IF(I3743="","",IFERROR(INDEX(catAlim,MATCH(D3743,catNom,0))&amp;"",""))</f>
        <v/>
      </c>
      <c r="M3743" s="19">
        <f>IF(I3743="","",IFERROR(INDEX(catComida,MATCH(D3743,catNom,0))&amp;"",""))</f>
        <v/>
      </c>
      <c r="N3743" s="19">
        <f>IF(I3743="","",IFERROR(INDEX(ctaMon,MATCH(E3743,ctaNom,0))&amp;"","DOP"))</f>
        <v/>
      </c>
      <c r="O3743" s="20">
        <f>IF(I3743="","",C3743*IF(N3743="USD",TasaUSD,1))</f>
        <v/>
      </c>
      <c r="P3743" s="20">
        <f>IF(I3743="","",IF(I3743="Gasto",O3743,0))</f>
        <v/>
      </c>
      <c r="Q3743" s="20">
        <f>IF(I3743="","",IF(I3743="Ingreso",O3743,0))</f>
        <v/>
      </c>
      <c r="R3743" s="20">
        <f>IF(I3743="","",IF(I3743="Trading",O3743,0))</f>
        <v/>
      </c>
      <c r="S3743" s="19">
        <f>IF(I3743="","",IF(AND(I3743="Gasto",K3743="Variable",J3743&lt;&gt;"Trading",O3743&gt;0,O3743&lt;=Umbral),1,0))</f>
        <v/>
      </c>
      <c r="T3743" s="20">
        <f>IF(OR(I3743="",E3743=""),"",IF(OR(I3743="Gasto",I3743="Transferencia",I3743="Pago tarjeta"),-1,1)*C3743)</f>
        <v/>
      </c>
      <c r="U3743" s="20">
        <f>IF(OR(G3743="",AND(I3743&lt;&gt;"Transferencia",I3743&lt;&gt;"Pago tarjeta")),"",IF(IFERROR(INDEX(ctaMon,MATCH(G3743,ctaNom,0))&amp;"","DOP")=N3743,C3743,IF(N3743="USD",C3743*TasaUSD,C3743/TasaUSD)))</f>
        <v/>
      </c>
      <c r="V3743" s="20">
        <f>IF(I3743="","",IF(IFERROR(INDEX(ctaLiq,MATCH(E3743,ctaNom,0))="Sí",FALSE),IF(OR(I3743="Gasto",I3743="Transferencia",I3743="Pago tarjeta"),-1,1)*O3743,0)+IF(AND(U3743&lt;&gt;"",IFERROR(INDEX(ctaLiq,MATCH(G3743,ctaNom,0))="Sí",FALSE)),O3743,0))</f>
        <v/>
      </c>
      <c r="W3743" s="19">
        <f>IF(OR(F3743="",I3743=""),"",IF(COUNTIFS(F$6:F3743,F3743,I$6:I3743,"?*")=1,MAX(W$5:W3742)+1,""))</f>
        <v/>
      </c>
    </row>
    <row r="3744">
      <c r="B3744" s="15" t="n"/>
      <c r="C3744" s="16" t="n"/>
      <c r="D3744" s="17" t="n"/>
      <c r="E3744" s="17" t="n"/>
      <c r="F3744" s="17" t="n"/>
      <c r="G3744" s="17" t="n"/>
      <c r="H3744" s="18">
        <f>IF(AND(B3744="",C3744="",D3744="",E3744=""),"",IF(B3744="","⚠ Falta fecha",IF(C3744="","⚠ Falta monto",IF(D3744="","⚠ Falta categoría",IF(ISNA(MATCH(D3744,catNom,0)),"⚠ Categoría no existe",IF(E3744="","⚠ Falta cuenta",IF(ISNA(MATCH(E3744,ctaNom,0)),"⚠ Cuenta no existe",IF(AND(OR(I3744="Transferencia",I3744="Pago tarjeta"),G3744=""),"⚠ Indica la cuenta «Hacia»",IF(AND(G3744&lt;&gt;"",G3744=E3744),"⚠ «Hacia» igual a la cuenta",IF(AND(G3744&lt;&gt;"",ISNA(MATCH(G3744,ctaNom,0))),"⚠ «Hacia» no existe",IF(AND(I3744="Pago tarjeta",IFERROR(INDEX(ctaTipo,MATCH(G3744,ctaNom,0)),"")&lt;&gt;"Tarjeta de crédito"),"⚠ «Hacia» debe ser la tarjeta",IF(AND(I3744="Trading",IFERROR(INDEX(ctaTipo,MATCH(E3744,ctaNom,0)),"")&lt;&gt;"Cuenta de trading"),"⚠ Usa la cuenta de trading","✓"))))))))))))</f>
        <v/>
      </c>
      <c r="I3744" s="19">
        <f>IF(OR(B3744="",C3744="",D3744=""),"",IFERROR(INDEX(catTipo,MATCH(D3744,catNom,0))&amp;"",""))</f>
        <v/>
      </c>
      <c r="J3744" s="19">
        <f>IF(I3744="","",IFERROR(INDEX(catGrupo,MATCH(D3744,catNom,0))&amp;"",""))</f>
        <v/>
      </c>
      <c r="K3744" s="19">
        <f>IF(I3744="Gasto",IF(IFERROR(INDEX(catClas,MATCH(D3744,catNom,0))&amp;"","")="","Variable",IFERROR(INDEX(catClas,MATCH(D3744,catNom,0))&amp;"","")),"")</f>
        <v/>
      </c>
      <c r="L3744" s="19">
        <f>IF(I3744="","",IFERROR(INDEX(catAlim,MATCH(D3744,catNom,0))&amp;"",""))</f>
        <v/>
      </c>
      <c r="M3744" s="19">
        <f>IF(I3744="","",IFERROR(INDEX(catComida,MATCH(D3744,catNom,0))&amp;"",""))</f>
        <v/>
      </c>
      <c r="N3744" s="19">
        <f>IF(I3744="","",IFERROR(INDEX(ctaMon,MATCH(E3744,ctaNom,0))&amp;"","DOP"))</f>
        <v/>
      </c>
      <c r="O3744" s="20">
        <f>IF(I3744="","",C3744*IF(N3744="USD",TasaUSD,1))</f>
        <v/>
      </c>
      <c r="P3744" s="20">
        <f>IF(I3744="","",IF(I3744="Gasto",O3744,0))</f>
        <v/>
      </c>
      <c r="Q3744" s="20">
        <f>IF(I3744="","",IF(I3744="Ingreso",O3744,0))</f>
        <v/>
      </c>
      <c r="R3744" s="20">
        <f>IF(I3744="","",IF(I3744="Trading",O3744,0))</f>
        <v/>
      </c>
      <c r="S3744" s="19">
        <f>IF(I3744="","",IF(AND(I3744="Gasto",K3744="Variable",J3744&lt;&gt;"Trading",O3744&gt;0,O3744&lt;=Umbral),1,0))</f>
        <v/>
      </c>
      <c r="T3744" s="20">
        <f>IF(OR(I3744="",E3744=""),"",IF(OR(I3744="Gasto",I3744="Transferencia",I3744="Pago tarjeta"),-1,1)*C3744)</f>
        <v/>
      </c>
      <c r="U3744" s="20">
        <f>IF(OR(G3744="",AND(I3744&lt;&gt;"Transferencia",I3744&lt;&gt;"Pago tarjeta")),"",IF(IFERROR(INDEX(ctaMon,MATCH(G3744,ctaNom,0))&amp;"","DOP")=N3744,C3744,IF(N3744="USD",C3744*TasaUSD,C3744/TasaUSD)))</f>
        <v/>
      </c>
      <c r="V3744" s="20">
        <f>IF(I3744="","",IF(IFERROR(INDEX(ctaLiq,MATCH(E3744,ctaNom,0))="Sí",FALSE),IF(OR(I3744="Gasto",I3744="Transferencia",I3744="Pago tarjeta"),-1,1)*O3744,0)+IF(AND(U3744&lt;&gt;"",IFERROR(INDEX(ctaLiq,MATCH(G3744,ctaNom,0))="Sí",FALSE)),O3744,0))</f>
        <v/>
      </c>
      <c r="W3744" s="19">
        <f>IF(OR(F3744="",I3744=""),"",IF(COUNTIFS(F$6:F3744,F3744,I$6:I3744,"?*")=1,MAX(W$5:W3743)+1,""))</f>
        <v/>
      </c>
    </row>
    <row r="3745">
      <c r="B3745" s="15" t="n"/>
      <c r="C3745" s="16" t="n"/>
      <c r="D3745" s="17" t="n"/>
      <c r="E3745" s="17" t="n"/>
      <c r="F3745" s="17" t="n"/>
      <c r="G3745" s="17" t="n"/>
      <c r="H3745" s="18">
        <f>IF(AND(B3745="",C3745="",D3745="",E3745=""),"",IF(B3745="","⚠ Falta fecha",IF(C3745="","⚠ Falta monto",IF(D3745="","⚠ Falta categoría",IF(ISNA(MATCH(D3745,catNom,0)),"⚠ Categoría no existe",IF(E3745="","⚠ Falta cuenta",IF(ISNA(MATCH(E3745,ctaNom,0)),"⚠ Cuenta no existe",IF(AND(OR(I3745="Transferencia",I3745="Pago tarjeta"),G3745=""),"⚠ Indica la cuenta «Hacia»",IF(AND(G3745&lt;&gt;"",G3745=E3745),"⚠ «Hacia» igual a la cuenta",IF(AND(G3745&lt;&gt;"",ISNA(MATCH(G3745,ctaNom,0))),"⚠ «Hacia» no existe",IF(AND(I3745="Pago tarjeta",IFERROR(INDEX(ctaTipo,MATCH(G3745,ctaNom,0)),"")&lt;&gt;"Tarjeta de crédito"),"⚠ «Hacia» debe ser la tarjeta",IF(AND(I3745="Trading",IFERROR(INDEX(ctaTipo,MATCH(E3745,ctaNom,0)),"")&lt;&gt;"Cuenta de trading"),"⚠ Usa la cuenta de trading","✓"))))))))))))</f>
        <v/>
      </c>
      <c r="I3745" s="19">
        <f>IF(OR(B3745="",C3745="",D3745=""),"",IFERROR(INDEX(catTipo,MATCH(D3745,catNom,0))&amp;"",""))</f>
        <v/>
      </c>
      <c r="J3745" s="19">
        <f>IF(I3745="","",IFERROR(INDEX(catGrupo,MATCH(D3745,catNom,0))&amp;"",""))</f>
        <v/>
      </c>
      <c r="K3745" s="19">
        <f>IF(I3745="Gasto",IF(IFERROR(INDEX(catClas,MATCH(D3745,catNom,0))&amp;"","")="","Variable",IFERROR(INDEX(catClas,MATCH(D3745,catNom,0))&amp;"","")),"")</f>
        <v/>
      </c>
      <c r="L3745" s="19">
        <f>IF(I3745="","",IFERROR(INDEX(catAlim,MATCH(D3745,catNom,0))&amp;"",""))</f>
        <v/>
      </c>
      <c r="M3745" s="19">
        <f>IF(I3745="","",IFERROR(INDEX(catComida,MATCH(D3745,catNom,0))&amp;"",""))</f>
        <v/>
      </c>
      <c r="N3745" s="19">
        <f>IF(I3745="","",IFERROR(INDEX(ctaMon,MATCH(E3745,ctaNom,0))&amp;"","DOP"))</f>
        <v/>
      </c>
      <c r="O3745" s="20">
        <f>IF(I3745="","",C3745*IF(N3745="USD",TasaUSD,1))</f>
        <v/>
      </c>
      <c r="P3745" s="20">
        <f>IF(I3745="","",IF(I3745="Gasto",O3745,0))</f>
        <v/>
      </c>
      <c r="Q3745" s="20">
        <f>IF(I3745="","",IF(I3745="Ingreso",O3745,0))</f>
        <v/>
      </c>
      <c r="R3745" s="20">
        <f>IF(I3745="","",IF(I3745="Trading",O3745,0))</f>
        <v/>
      </c>
      <c r="S3745" s="19">
        <f>IF(I3745="","",IF(AND(I3745="Gasto",K3745="Variable",J3745&lt;&gt;"Trading",O3745&gt;0,O3745&lt;=Umbral),1,0))</f>
        <v/>
      </c>
      <c r="T3745" s="20">
        <f>IF(OR(I3745="",E3745=""),"",IF(OR(I3745="Gasto",I3745="Transferencia",I3745="Pago tarjeta"),-1,1)*C3745)</f>
        <v/>
      </c>
      <c r="U3745" s="20">
        <f>IF(OR(G3745="",AND(I3745&lt;&gt;"Transferencia",I3745&lt;&gt;"Pago tarjeta")),"",IF(IFERROR(INDEX(ctaMon,MATCH(G3745,ctaNom,0))&amp;"","DOP")=N3745,C3745,IF(N3745="USD",C3745*TasaUSD,C3745/TasaUSD)))</f>
        <v/>
      </c>
      <c r="V3745" s="20">
        <f>IF(I3745="","",IF(IFERROR(INDEX(ctaLiq,MATCH(E3745,ctaNom,0))="Sí",FALSE),IF(OR(I3745="Gasto",I3745="Transferencia",I3745="Pago tarjeta"),-1,1)*O3745,0)+IF(AND(U3745&lt;&gt;"",IFERROR(INDEX(ctaLiq,MATCH(G3745,ctaNom,0))="Sí",FALSE)),O3745,0))</f>
        <v/>
      </c>
      <c r="W3745" s="19">
        <f>IF(OR(F3745="",I3745=""),"",IF(COUNTIFS(F$6:F3745,F3745,I$6:I3745,"?*")=1,MAX(W$5:W3744)+1,""))</f>
        <v/>
      </c>
    </row>
    <row r="3746">
      <c r="B3746" s="15" t="n"/>
      <c r="C3746" s="16" t="n"/>
      <c r="D3746" s="17" t="n"/>
      <c r="E3746" s="17" t="n"/>
      <c r="F3746" s="17" t="n"/>
      <c r="G3746" s="17" t="n"/>
      <c r="H3746" s="18">
        <f>IF(AND(B3746="",C3746="",D3746="",E3746=""),"",IF(B3746="","⚠ Falta fecha",IF(C3746="","⚠ Falta monto",IF(D3746="","⚠ Falta categoría",IF(ISNA(MATCH(D3746,catNom,0)),"⚠ Categoría no existe",IF(E3746="","⚠ Falta cuenta",IF(ISNA(MATCH(E3746,ctaNom,0)),"⚠ Cuenta no existe",IF(AND(OR(I3746="Transferencia",I3746="Pago tarjeta"),G3746=""),"⚠ Indica la cuenta «Hacia»",IF(AND(G3746&lt;&gt;"",G3746=E3746),"⚠ «Hacia» igual a la cuenta",IF(AND(G3746&lt;&gt;"",ISNA(MATCH(G3746,ctaNom,0))),"⚠ «Hacia» no existe",IF(AND(I3746="Pago tarjeta",IFERROR(INDEX(ctaTipo,MATCH(G3746,ctaNom,0)),"")&lt;&gt;"Tarjeta de crédito"),"⚠ «Hacia» debe ser la tarjeta",IF(AND(I3746="Trading",IFERROR(INDEX(ctaTipo,MATCH(E3746,ctaNom,0)),"")&lt;&gt;"Cuenta de trading"),"⚠ Usa la cuenta de trading","✓"))))))))))))</f>
        <v/>
      </c>
      <c r="I3746" s="19">
        <f>IF(OR(B3746="",C3746="",D3746=""),"",IFERROR(INDEX(catTipo,MATCH(D3746,catNom,0))&amp;"",""))</f>
        <v/>
      </c>
      <c r="J3746" s="19">
        <f>IF(I3746="","",IFERROR(INDEX(catGrupo,MATCH(D3746,catNom,0))&amp;"",""))</f>
        <v/>
      </c>
      <c r="K3746" s="19">
        <f>IF(I3746="Gasto",IF(IFERROR(INDEX(catClas,MATCH(D3746,catNom,0))&amp;"","")="","Variable",IFERROR(INDEX(catClas,MATCH(D3746,catNom,0))&amp;"","")),"")</f>
        <v/>
      </c>
      <c r="L3746" s="19">
        <f>IF(I3746="","",IFERROR(INDEX(catAlim,MATCH(D3746,catNom,0))&amp;"",""))</f>
        <v/>
      </c>
      <c r="M3746" s="19">
        <f>IF(I3746="","",IFERROR(INDEX(catComida,MATCH(D3746,catNom,0))&amp;"",""))</f>
        <v/>
      </c>
      <c r="N3746" s="19">
        <f>IF(I3746="","",IFERROR(INDEX(ctaMon,MATCH(E3746,ctaNom,0))&amp;"","DOP"))</f>
        <v/>
      </c>
      <c r="O3746" s="20">
        <f>IF(I3746="","",C3746*IF(N3746="USD",TasaUSD,1))</f>
        <v/>
      </c>
      <c r="P3746" s="20">
        <f>IF(I3746="","",IF(I3746="Gasto",O3746,0))</f>
        <v/>
      </c>
      <c r="Q3746" s="20">
        <f>IF(I3746="","",IF(I3746="Ingreso",O3746,0))</f>
        <v/>
      </c>
      <c r="R3746" s="20">
        <f>IF(I3746="","",IF(I3746="Trading",O3746,0))</f>
        <v/>
      </c>
      <c r="S3746" s="19">
        <f>IF(I3746="","",IF(AND(I3746="Gasto",K3746="Variable",J3746&lt;&gt;"Trading",O3746&gt;0,O3746&lt;=Umbral),1,0))</f>
        <v/>
      </c>
      <c r="T3746" s="20">
        <f>IF(OR(I3746="",E3746=""),"",IF(OR(I3746="Gasto",I3746="Transferencia",I3746="Pago tarjeta"),-1,1)*C3746)</f>
        <v/>
      </c>
      <c r="U3746" s="20">
        <f>IF(OR(G3746="",AND(I3746&lt;&gt;"Transferencia",I3746&lt;&gt;"Pago tarjeta")),"",IF(IFERROR(INDEX(ctaMon,MATCH(G3746,ctaNom,0))&amp;"","DOP")=N3746,C3746,IF(N3746="USD",C3746*TasaUSD,C3746/TasaUSD)))</f>
        <v/>
      </c>
      <c r="V3746" s="20">
        <f>IF(I3746="","",IF(IFERROR(INDEX(ctaLiq,MATCH(E3746,ctaNom,0))="Sí",FALSE),IF(OR(I3746="Gasto",I3746="Transferencia",I3746="Pago tarjeta"),-1,1)*O3746,0)+IF(AND(U3746&lt;&gt;"",IFERROR(INDEX(ctaLiq,MATCH(G3746,ctaNom,0))="Sí",FALSE)),O3746,0))</f>
        <v/>
      </c>
      <c r="W3746" s="19">
        <f>IF(OR(F3746="",I3746=""),"",IF(COUNTIFS(F$6:F3746,F3746,I$6:I3746,"?*")=1,MAX(W$5:W3745)+1,""))</f>
        <v/>
      </c>
    </row>
    <row r="3747">
      <c r="B3747" s="15" t="n"/>
      <c r="C3747" s="16" t="n"/>
      <c r="D3747" s="17" t="n"/>
      <c r="E3747" s="17" t="n"/>
      <c r="F3747" s="17" t="n"/>
      <c r="G3747" s="17" t="n"/>
      <c r="H3747" s="18">
        <f>IF(AND(B3747="",C3747="",D3747="",E3747=""),"",IF(B3747="","⚠ Falta fecha",IF(C3747="","⚠ Falta monto",IF(D3747="","⚠ Falta categoría",IF(ISNA(MATCH(D3747,catNom,0)),"⚠ Categoría no existe",IF(E3747="","⚠ Falta cuenta",IF(ISNA(MATCH(E3747,ctaNom,0)),"⚠ Cuenta no existe",IF(AND(OR(I3747="Transferencia",I3747="Pago tarjeta"),G3747=""),"⚠ Indica la cuenta «Hacia»",IF(AND(G3747&lt;&gt;"",G3747=E3747),"⚠ «Hacia» igual a la cuenta",IF(AND(G3747&lt;&gt;"",ISNA(MATCH(G3747,ctaNom,0))),"⚠ «Hacia» no existe",IF(AND(I3747="Pago tarjeta",IFERROR(INDEX(ctaTipo,MATCH(G3747,ctaNom,0)),"")&lt;&gt;"Tarjeta de crédito"),"⚠ «Hacia» debe ser la tarjeta",IF(AND(I3747="Trading",IFERROR(INDEX(ctaTipo,MATCH(E3747,ctaNom,0)),"")&lt;&gt;"Cuenta de trading"),"⚠ Usa la cuenta de trading","✓"))))))))))))</f>
        <v/>
      </c>
      <c r="I3747" s="19">
        <f>IF(OR(B3747="",C3747="",D3747=""),"",IFERROR(INDEX(catTipo,MATCH(D3747,catNom,0))&amp;"",""))</f>
        <v/>
      </c>
      <c r="J3747" s="19">
        <f>IF(I3747="","",IFERROR(INDEX(catGrupo,MATCH(D3747,catNom,0))&amp;"",""))</f>
        <v/>
      </c>
      <c r="K3747" s="19">
        <f>IF(I3747="Gasto",IF(IFERROR(INDEX(catClas,MATCH(D3747,catNom,0))&amp;"","")="","Variable",IFERROR(INDEX(catClas,MATCH(D3747,catNom,0))&amp;"","")),"")</f>
        <v/>
      </c>
      <c r="L3747" s="19">
        <f>IF(I3747="","",IFERROR(INDEX(catAlim,MATCH(D3747,catNom,0))&amp;"",""))</f>
        <v/>
      </c>
      <c r="M3747" s="19">
        <f>IF(I3747="","",IFERROR(INDEX(catComida,MATCH(D3747,catNom,0))&amp;"",""))</f>
        <v/>
      </c>
      <c r="N3747" s="19">
        <f>IF(I3747="","",IFERROR(INDEX(ctaMon,MATCH(E3747,ctaNom,0))&amp;"","DOP"))</f>
        <v/>
      </c>
      <c r="O3747" s="20">
        <f>IF(I3747="","",C3747*IF(N3747="USD",TasaUSD,1))</f>
        <v/>
      </c>
      <c r="P3747" s="20">
        <f>IF(I3747="","",IF(I3747="Gasto",O3747,0))</f>
        <v/>
      </c>
      <c r="Q3747" s="20">
        <f>IF(I3747="","",IF(I3747="Ingreso",O3747,0))</f>
        <v/>
      </c>
      <c r="R3747" s="20">
        <f>IF(I3747="","",IF(I3747="Trading",O3747,0))</f>
        <v/>
      </c>
      <c r="S3747" s="19">
        <f>IF(I3747="","",IF(AND(I3747="Gasto",K3747="Variable",J3747&lt;&gt;"Trading",O3747&gt;0,O3747&lt;=Umbral),1,0))</f>
        <v/>
      </c>
      <c r="T3747" s="20">
        <f>IF(OR(I3747="",E3747=""),"",IF(OR(I3747="Gasto",I3747="Transferencia",I3747="Pago tarjeta"),-1,1)*C3747)</f>
        <v/>
      </c>
      <c r="U3747" s="20">
        <f>IF(OR(G3747="",AND(I3747&lt;&gt;"Transferencia",I3747&lt;&gt;"Pago tarjeta")),"",IF(IFERROR(INDEX(ctaMon,MATCH(G3747,ctaNom,0))&amp;"","DOP")=N3747,C3747,IF(N3747="USD",C3747*TasaUSD,C3747/TasaUSD)))</f>
        <v/>
      </c>
      <c r="V3747" s="20">
        <f>IF(I3747="","",IF(IFERROR(INDEX(ctaLiq,MATCH(E3747,ctaNom,0))="Sí",FALSE),IF(OR(I3747="Gasto",I3747="Transferencia",I3747="Pago tarjeta"),-1,1)*O3747,0)+IF(AND(U3747&lt;&gt;"",IFERROR(INDEX(ctaLiq,MATCH(G3747,ctaNom,0))="Sí",FALSE)),O3747,0))</f>
        <v/>
      </c>
      <c r="W3747" s="19">
        <f>IF(OR(F3747="",I3747=""),"",IF(COUNTIFS(F$6:F3747,F3747,I$6:I3747,"?*")=1,MAX(W$5:W3746)+1,""))</f>
        <v/>
      </c>
    </row>
    <row r="3748">
      <c r="B3748" s="15" t="n"/>
      <c r="C3748" s="16" t="n"/>
      <c r="D3748" s="17" t="n"/>
      <c r="E3748" s="17" t="n"/>
      <c r="F3748" s="17" t="n"/>
      <c r="G3748" s="17" t="n"/>
      <c r="H3748" s="18">
        <f>IF(AND(B3748="",C3748="",D3748="",E3748=""),"",IF(B3748="","⚠ Falta fecha",IF(C3748="","⚠ Falta monto",IF(D3748="","⚠ Falta categoría",IF(ISNA(MATCH(D3748,catNom,0)),"⚠ Categoría no existe",IF(E3748="","⚠ Falta cuenta",IF(ISNA(MATCH(E3748,ctaNom,0)),"⚠ Cuenta no existe",IF(AND(OR(I3748="Transferencia",I3748="Pago tarjeta"),G3748=""),"⚠ Indica la cuenta «Hacia»",IF(AND(G3748&lt;&gt;"",G3748=E3748),"⚠ «Hacia» igual a la cuenta",IF(AND(G3748&lt;&gt;"",ISNA(MATCH(G3748,ctaNom,0))),"⚠ «Hacia» no existe",IF(AND(I3748="Pago tarjeta",IFERROR(INDEX(ctaTipo,MATCH(G3748,ctaNom,0)),"")&lt;&gt;"Tarjeta de crédito"),"⚠ «Hacia» debe ser la tarjeta",IF(AND(I3748="Trading",IFERROR(INDEX(ctaTipo,MATCH(E3748,ctaNom,0)),"")&lt;&gt;"Cuenta de trading"),"⚠ Usa la cuenta de trading","✓"))))))))))))</f>
        <v/>
      </c>
      <c r="I3748" s="19">
        <f>IF(OR(B3748="",C3748="",D3748=""),"",IFERROR(INDEX(catTipo,MATCH(D3748,catNom,0))&amp;"",""))</f>
        <v/>
      </c>
      <c r="J3748" s="19">
        <f>IF(I3748="","",IFERROR(INDEX(catGrupo,MATCH(D3748,catNom,0))&amp;"",""))</f>
        <v/>
      </c>
      <c r="K3748" s="19">
        <f>IF(I3748="Gasto",IF(IFERROR(INDEX(catClas,MATCH(D3748,catNom,0))&amp;"","")="","Variable",IFERROR(INDEX(catClas,MATCH(D3748,catNom,0))&amp;"","")),"")</f>
        <v/>
      </c>
      <c r="L3748" s="19">
        <f>IF(I3748="","",IFERROR(INDEX(catAlim,MATCH(D3748,catNom,0))&amp;"",""))</f>
        <v/>
      </c>
      <c r="M3748" s="19">
        <f>IF(I3748="","",IFERROR(INDEX(catComida,MATCH(D3748,catNom,0))&amp;"",""))</f>
        <v/>
      </c>
      <c r="N3748" s="19">
        <f>IF(I3748="","",IFERROR(INDEX(ctaMon,MATCH(E3748,ctaNom,0))&amp;"","DOP"))</f>
        <v/>
      </c>
      <c r="O3748" s="20">
        <f>IF(I3748="","",C3748*IF(N3748="USD",TasaUSD,1))</f>
        <v/>
      </c>
      <c r="P3748" s="20">
        <f>IF(I3748="","",IF(I3748="Gasto",O3748,0))</f>
        <v/>
      </c>
      <c r="Q3748" s="20">
        <f>IF(I3748="","",IF(I3748="Ingreso",O3748,0))</f>
        <v/>
      </c>
      <c r="R3748" s="20">
        <f>IF(I3748="","",IF(I3748="Trading",O3748,0))</f>
        <v/>
      </c>
      <c r="S3748" s="19">
        <f>IF(I3748="","",IF(AND(I3748="Gasto",K3748="Variable",J3748&lt;&gt;"Trading",O3748&gt;0,O3748&lt;=Umbral),1,0))</f>
        <v/>
      </c>
      <c r="T3748" s="20">
        <f>IF(OR(I3748="",E3748=""),"",IF(OR(I3748="Gasto",I3748="Transferencia",I3748="Pago tarjeta"),-1,1)*C3748)</f>
        <v/>
      </c>
      <c r="U3748" s="20">
        <f>IF(OR(G3748="",AND(I3748&lt;&gt;"Transferencia",I3748&lt;&gt;"Pago tarjeta")),"",IF(IFERROR(INDEX(ctaMon,MATCH(G3748,ctaNom,0))&amp;"","DOP")=N3748,C3748,IF(N3748="USD",C3748*TasaUSD,C3748/TasaUSD)))</f>
        <v/>
      </c>
      <c r="V3748" s="20">
        <f>IF(I3748="","",IF(IFERROR(INDEX(ctaLiq,MATCH(E3748,ctaNom,0))="Sí",FALSE),IF(OR(I3748="Gasto",I3748="Transferencia",I3748="Pago tarjeta"),-1,1)*O3748,0)+IF(AND(U3748&lt;&gt;"",IFERROR(INDEX(ctaLiq,MATCH(G3748,ctaNom,0))="Sí",FALSE)),O3748,0))</f>
        <v/>
      </c>
      <c r="W3748" s="19">
        <f>IF(OR(F3748="",I3748=""),"",IF(COUNTIFS(F$6:F3748,F3748,I$6:I3748,"?*")=1,MAX(W$5:W3747)+1,""))</f>
        <v/>
      </c>
    </row>
    <row r="3749">
      <c r="B3749" s="15" t="n"/>
      <c r="C3749" s="16" t="n"/>
      <c r="D3749" s="17" t="n"/>
      <c r="E3749" s="17" t="n"/>
      <c r="F3749" s="17" t="n"/>
      <c r="G3749" s="17" t="n"/>
      <c r="H3749" s="18">
        <f>IF(AND(B3749="",C3749="",D3749="",E3749=""),"",IF(B3749="","⚠ Falta fecha",IF(C3749="","⚠ Falta monto",IF(D3749="","⚠ Falta categoría",IF(ISNA(MATCH(D3749,catNom,0)),"⚠ Categoría no existe",IF(E3749="","⚠ Falta cuenta",IF(ISNA(MATCH(E3749,ctaNom,0)),"⚠ Cuenta no existe",IF(AND(OR(I3749="Transferencia",I3749="Pago tarjeta"),G3749=""),"⚠ Indica la cuenta «Hacia»",IF(AND(G3749&lt;&gt;"",G3749=E3749),"⚠ «Hacia» igual a la cuenta",IF(AND(G3749&lt;&gt;"",ISNA(MATCH(G3749,ctaNom,0))),"⚠ «Hacia» no existe",IF(AND(I3749="Pago tarjeta",IFERROR(INDEX(ctaTipo,MATCH(G3749,ctaNom,0)),"")&lt;&gt;"Tarjeta de crédito"),"⚠ «Hacia» debe ser la tarjeta",IF(AND(I3749="Trading",IFERROR(INDEX(ctaTipo,MATCH(E3749,ctaNom,0)),"")&lt;&gt;"Cuenta de trading"),"⚠ Usa la cuenta de trading","✓"))))))))))))</f>
        <v/>
      </c>
      <c r="I3749" s="19">
        <f>IF(OR(B3749="",C3749="",D3749=""),"",IFERROR(INDEX(catTipo,MATCH(D3749,catNom,0))&amp;"",""))</f>
        <v/>
      </c>
      <c r="J3749" s="19">
        <f>IF(I3749="","",IFERROR(INDEX(catGrupo,MATCH(D3749,catNom,0))&amp;"",""))</f>
        <v/>
      </c>
      <c r="K3749" s="19">
        <f>IF(I3749="Gasto",IF(IFERROR(INDEX(catClas,MATCH(D3749,catNom,0))&amp;"","")="","Variable",IFERROR(INDEX(catClas,MATCH(D3749,catNom,0))&amp;"","")),"")</f>
        <v/>
      </c>
      <c r="L3749" s="19">
        <f>IF(I3749="","",IFERROR(INDEX(catAlim,MATCH(D3749,catNom,0))&amp;"",""))</f>
        <v/>
      </c>
      <c r="M3749" s="19">
        <f>IF(I3749="","",IFERROR(INDEX(catComida,MATCH(D3749,catNom,0))&amp;"",""))</f>
        <v/>
      </c>
      <c r="N3749" s="19">
        <f>IF(I3749="","",IFERROR(INDEX(ctaMon,MATCH(E3749,ctaNom,0))&amp;"","DOP"))</f>
        <v/>
      </c>
      <c r="O3749" s="20">
        <f>IF(I3749="","",C3749*IF(N3749="USD",TasaUSD,1))</f>
        <v/>
      </c>
      <c r="P3749" s="20">
        <f>IF(I3749="","",IF(I3749="Gasto",O3749,0))</f>
        <v/>
      </c>
      <c r="Q3749" s="20">
        <f>IF(I3749="","",IF(I3749="Ingreso",O3749,0))</f>
        <v/>
      </c>
      <c r="R3749" s="20">
        <f>IF(I3749="","",IF(I3749="Trading",O3749,0))</f>
        <v/>
      </c>
      <c r="S3749" s="19">
        <f>IF(I3749="","",IF(AND(I3749="Gasto",K3749="Variable",J3749&lt;&gt;"Trading",O3749&gt;0,O3749&lt;=Umbral),1,0))</f>
        <v/>
      </c>
      <c r="T3749" s="20">
        <f>IF(OR(I3749="",E3749=""),"",IF(OR(I3749="Gasto",I3749="Transferencia",I3749="Pago tarjeta"),-1,1)*C3749)</f>
        <v/>
      </c>
      <c r="U3749" s="20">
        <f>IF(OR(G3749="",AND(I3749&lt;&gt;"Transferencia",I3749&lt;&gt;"Pago tarjeta")),"",IF(IFERROR(INDEX(ctaMon,MATCH(G3749,ctaNom,0))&amp;"","DOP")=N3749,C3749,IF(N3749="USD",C3749*TasaUSD,C3749/TasaUSD)))</f>
        <v/>
      </c>
      <c r="V3749" s="20">
        <f>IF(I3749="","",IF(IFERROR(INDEX(ctaLiq,MATCH(E3749,ctaNom,0))="Sí",FALSE),IF(OR(I3749="Gasto",I3749="Transferencia",I3749="Pago tarjeta"),-1,1)*O3749,0)+IF(AND(U3749&lt;&gt;"",IFERROR(INDEX(ctaLiq,MATCH(G3749,ctaNom,0))="Sí",FALSE)),O3749,0))</f>
        <v/>
      </c>
      <c r="W3749" s="19">
        <f>IF(OR(F3749="",I3749=""),"",IF(COUNTIFS(F$6:F3749,F3749,I$6:I3749,"?*")=1,MAX(W$5:W3748)+1,""))</f>
        <v/>
      </c>
    </row>
    <row r="3750">
      <c r="B3750" s="15" t="n"/>
      <c r="C3750" s="16" t="n"/>
      <c r="D3750" s="17" t="n"/>
      <c r="E3750" s="17" t="n"/>
      <c r="F3750" s="17" t="n"/>
      <c r="G3750" s="17" t="n"/>
      <c r="H3750" s="18">
        <f>IF(AND(B3750="",C3750="",D3750="",E3750=""),"",IF(B3750="","⚠ Falta fecha",IF(C3750="","⚠ Falta monto",IF(D3750="","⚠ Falta categoría",IF(ISNA(MATCH(D3750,catNom,0)),"⚠ Categoría no existe",IF(E3750="","⚠ Falta cuenta",IF(ISNA(MATCH(E3750,ctaNom,0)),"⚠ Cuenta no existe",IF(AND(OR(I3750="Transferencia",I3750="Pago tarjeta"),G3750=""),"⚠ Indica la cuenta «Hacia»",IF(AND(G3750&lt;&gt;"",G3750=E3750),"⚠ «Hacia» igual a la cuenta",IF(AND(G3750&lt;&gt;"",ISNA(MATCH(G3750,ctaNom,0))),"⚠ «Hacia» no existe",IF(AND(I3750="Pago tarjeta",IFERROR(INDEX(ctaTipo,MATCH(G3750,ctaNom,0)),"")&lt;&gt;"Tarjeta de crédito"),"⚠ «Hacia» debe ser la tarjeta",IF(AND(I3750="Trading",IFERROR(INDEX(ctaTipo,MATCH(E3750,ctaNom,0)),"")&lt;&gt;"Cuenta de trading"),"⚠ Usa la cuenta de trading","✓"))))))))))))</f>
        <v/>
      </c>
      <c r="I3750" s="19">
        <f>IF(OR(B3750="",C3750="",D3750=""),"",IFERROR(INDEX(catTipo,MATCH(D3750,catNom,0))&amp;"",""))</f>
        <v/>
      </c>
      <c r="J3750" s="19">
        <f>IF(I3750="","",IFERROR(INDEX(catGrupo,MATCH(D3750,catNom,0))&amp;"",""))</f>
        <v/>
      </c>
      <c r="K3750" s="19">
        <f>IF(I3750="Gasto",IF(IFERROR(INDEX(catClas,MATCH(D3750,catNom,0))&amp;"","")="","Variable",IFERROR(INDEX(catClas,MATCH(D3750,catNom,0))&amp;"","")),"")</f>
        <v/>
      </c>
      <c r="L3750" s="19">
        <f>IF(I3750="","",IFERROR(INDEX(catAlim,MATCH(D3750,catNom,0))&amp;"",""))</f>
        <v/>
      </c>
      <c r="M3750" s="19">
        <f>IF(I3750="","",IFERROR(INDEX(catComida,MATCH(D3750,catNom,0))&amp;"",""))</f>
        <v/>
      </c>
      <c r="N3750" s="19">
        <f>IF(I3750="","",IFERROR(INDEX(ctaMon,MATCH(E3750,ctaNom,0))&amp;"","DOP"))</f>
        <v/>
      </c>
      <c r="O3750" s="20">
        <f>IF(I3750="","",C3750*IF(N3750="USD",TasaUSD,1))</f>
        <v/>
      </c>
      <c r="P3750" s="20">
        <f>IF(I3750="","",IF(I3750="Gasto",O3750,0))</f>
        <v/>
      </c>
      <c r="Q3750" s="20">
        <f>IF(I3750="","",IF(I3750="Ingreso",O3750,0))</f>
        <v/>
      </c>
      <c r="R3750" s="20">
        <f>IF(I3750="","",IF(I3750="Trading",O3750,0))</f>
        <v/>
      </c>
      <c r="S3750" s="19">
        <f>IF(I3750="","",IF(AND(I3750="Gasto",K3750="Variable",J3750&lt;&gt;"Trading",O3750&gt;0,O3750&lt;=Umbral),1,0))</f>
        <v/>
      </c>
      <c r="T3750" s="20">
        <f>IF(OR(I3750="",E3750=""),"",IF(OR(I3750="Gasto",I3750="Transferencia",I3750="Pago tarjeta"),-1,1)*C3750)</f>
        <v/>
      </c>
      <c r="U3750" s="20">
        <f>IF(OR(G3750="",AND(I3750&lt;&gt;"Transferencia",I3750&lt;&gt;"Pago tarjeta")),"",IF(IFERROR(INDEX(ctaMon,MATCH(G3750,ctaNom,0))&amp;"","DOP")=N3750,C3750,IF(N3750="USD",C3750*TasaUSD,C3750/TasaUSD)))</f>
        <v/>
      </c>
      <c r="V3750" s="20">
        <f>IF(I3750="","",IF(IFERROR(INDEX(ctaLiq,MATCH(E3750,ctaNom,0))="Sí",FALSE),IF(OR(I3750="Gasto",I3750="Transferencia",I3750="Pago tarjeta"),-1,1)*O3750,0)+IF(AND(U3750&lt;&gt;"",IFERROR(INDEX(ctaLiq,MATCH(G3750,ctaNom,0))="Sí",FALSE)),O3750,0))</f>
        <v/>
      </c>
      <c r="W3750" s="19">
        <f>IF(OR(F3750="",I3750=""),"",IF(COUNTIFS(F$6:F3750,F3750,I$6:I3750,"?*")=1,MAX(W$5:W3749)+1,""))</f>
        <v/>
      </c>
    </row>
    <row r="3751">
      <c r="B3751" s="15" t="n"/>
      <c r="C3751" s="16" t="n"/>
      <c r="D3751" s="17" t="n"/>
      <c r="E3751" s="17" t="n"/>
      <c r="F3751" s="17" t="n"/>
      <c r="G3751" s="17" t="n"/>
      <c r="H3751" s="18">
        <f>IF(AND(B3751="",C3751="",D3751="",E3751=""),"",IF(B3751="","⚠ Falta fecha",IF(C3751="","⚠ Falta monto",IF(D3751="","⚠ Falta categoría",IF(ISNA(MATCH(D3751,catNom,0)),"⚠ Categoría no existe",IF(E3751="","⚠ Falta cuenta",IF(ISNA(MATCH(E3751,ctaNom,0)),"⚠ Cuenta no existe",IF(AND(OR(I3751="Transferencia",I3751="Pago tarjeta"),G3751=""),"⚠ Indica la cuenta «Hacia»",IF(AND(G3751&lt;&gt;"",G3751=E3751),"⚠ «Hacia» igual a la cuenta",IF(AND(G3751&lt;&gt;"",ISNA(MATCH(G3751,ctaNom,0))),"⚠ «Hacia» no existe",IF(AND(I3751="Pago tarjeta",IFERROR(INDEX(ctaTipo,MATCH(G3751,ctaNom,0)),"")&lt;&gt;"Tarjeta de crédito"),"⚠ «Hacia» debe ser la tarjeta",IF(AND(I3751="Trading",IFERROR(INDEX(ctaTipo,MATCH(E3751,ctaNom,0)),"")&lt;&gt;"Cuenta de trading"),"⚠ Usa la cuenta de trading","✓"))))))))))))</f>
        <v/>
      </c>
      <c r="I3751" s="19">
        <f>IF(OR(B3751="",C3751="",D3751=""),"",IFERROR(INDEX(catTipo,MATCH(D3751,catNom,0))&amp;"",""))</f>
        <v/>
      </c>
      <c r="J3751" s="19">
        <f>IF(I3751="","",IFERROR(INDEX(catGrupo,MATCH(D3751,catNom,0))&amp;"",""))</f>
        <v/>
      </c>
      <c r="K3751" s="19">
        <f>IF(I3751="Gasto",IF(IFERROR(INDEX(catClas,MATCH(D3751,catNom,0))&amp;"","")="","Variable",IFERROR(INDEX(catClas,MATCH(D3751,catNom,0))&amp;"","")),"")</f>
        <v/>
      </c>
      <c r="L3751" s="19">
        <f>IF(I3751="","",IFERROR(INDEX(catAlim,MATCH(D3751,catNom,0))&amp;"",""))</f>
        <v/>
      </c>
      <c r="M3751" s="19">
        <f>IF(I3751="","",IFERROR(INDEX(catComida,MATCH(D3751,catNom,0))&amp;"",""))</f>
        <v/>
      </c>
      <c r="N3751" s="19">
        <f>IF(I3751="","",IFERROR(INDEX(ctaMon,MATCH(E3751,ctaNom,0))&amp;"","DOP"))</f>
        <v/>
      </c>
      <c r="O3751" s="20">
        <f>IF(I3751="","",C3751*IF(N3751="USD",TasaUSD,1))</f>
        <v/>
      </c>
      <c r="P3751" s="20">
        <f>IF(I3751="","",IF(I3751="Gasto",O3751,0))</f>
        <v/>
      </c>
      <c r="Q3751" s="20">
        <f>IF(I3751="","",IF(I3751="Ingreso",O3751,0))</f>
        <v/>
      </c>
      <c r="R3751" s="20">
        <f>IF(I3751="","",IF(I3751="Trading",O3751,0))</f>
        <v/>
      </c>
      <c r="S3751" s="19">
        <f>IF(I3751="","",IF(AND(I3751="Gasto",K3751="Variable",J3751&lt;&gt;"Trading",O3751&gt;0,O3751&lt;=Umbral),1,0))</f>
        <v/>
      </c>
      <c r="T3751" s="20">
        <f>IF(OR(I3751="",E3751=""),"",IF(OR(I3751="Gasto",I3751="Transferencia",I3751="Pago tarjeta"),-1,1)*C3751)</f>
        <v/>
      </c>
      <c r="U3751" s="20">
        <f>IF(OR(G3751="",AND(I3751&lt;&gt;"Transferencia",I3751&lt;&gt;"Pago tarjeta")),"",IF(IFERROR(INDEX(ctaMon,MATCH(G3751,ctaNom,0))&amp;"","DOP")=N3751,C3751,IF(N3751="USD",C3751*TasaUSD,C3751/TasaUSD)))</f>
        <v/>
      </c>
      <c r="V3751" s="20">
        <f>IF(I3751="","",IF(IFERROR(INDEX(ctaLiq,MATCH(E3751,ctaNom,0))="Sí",FALSE),IF(OR(I3751="Gasto",I3751="Transferencia",I3751="Pago tarjeta"),-1,1)*O3751,0)+IF(AND(U3751&lt;&gt;"",IFERROR(INDEX(ctaLiq,MATCH(G3751,ctaNom,0))="Sí",FALSE)),O3751,0))</f>
        <v/>
      </c>
      <c r="W3751" s="19">
        <f>IF(OR(F3751="",I3751=""),"",IF(COUNTIFS(F$6:F3751,F3751,I$6:I3751,"?*")=1,MAX(W$5:W3750)+1,""))</f>
        <v/>
      </c>
    </row>
    <row r="3752">
      <c r="B3752" s="15" t="n"/>
      <c r="C3752" s="16" t="n"/>
      <c r="D3752" s="17" t="n"/>
      <c r="E3752" s="17" t="n"/>
      <c r="F3752" s="17" t="n"/>
      <c r="G3752" s="17" t="n"/>
      <c r="H3752" s="18">
        <f>IF(AND(B3752="",C3752="",D3752="",E3752=""),"",IF(B3752="","⚠ Falta fecha",IF(C3752="","⚠ Falta monto",IF(D3752="","⚠ Falta categoría",IF(ISNA(MATCH(D3752,catNom,0)),"⚠ Categoría no existe",IF(E3752="","⚠ Falta cuenta",IF(ISNA(MATCH(E3752,ctaNom,0)),"⚠ Cuenta no existe",IF(AND(OR(I3752="Transferencia",I3752="Pago tarjeta"),G3752=""),"⚠ Indica la cuenta «Hacia»",IF(AND(G3752&lt;&gt;"",G3752=E3752),"⚠ «Hacia» igual a la cuenta",IF(AND(G3752&lt;&gt;"",ISNA(MATCH(G3752,ctaNom,0))),"⚠ «Hacia» no existe",IF(AND(I3752="Pago tarjeta",IFERROR(INDEX(ctaTipo,MATCH(G3752,ctaNom,0)),"")&lt;&gt;"Tarjeta de crédito"),"⚠ «Hacia» debe ser la tarjeta",IF(AND(I3752="Trading",IFERROR(INDEX(ctaTipo,MATCH(E3752,ctaNom,0)),"")&lt;&gt;"Cuenta de trading"),"⚠ Usa la cuenta de trading","✓"))))))))))))</f>
        <v/>
      </c>
      <c r="I3752" s="19">
        <f>IF(OR(B3752="",C3752="",D3752=""),"",IFERROR(INDEX(catTipo,MATCH(D3752,catNom,0))&amp;"",""))</f>
        <v/>
      </c>
      <c r="J3752" s="19">
        <f>IF(I3752="","",IFERROR(INDEX(catGrupo,MATCH(D3752,catNom,0))&amp;"",""))</f>
        <v/>
      </c>
      <c r="K3752" s="19">
        <f>IF(I3752="Gasto",IF(IFERROR(INDEX(catClas,MATCH(D3752,catNom,0))&amp;"","")="","Variable",IFERROR(INDEX(catClas,MATCH(D3752,catNom,0))&amp;"","")),"")</f>
        <v/>
      </c>
      <c r="L3752" s="19">
        <f>IF(I3752="","",IFERROR(INDEX(catAlim,MATCH(D3752,catNom,0))&amp;"",""))</f>
        <v/>
      </c>
      <c r="M3752" s="19">
        <f>IF(I3752="","",IFERROR(INDEX(catComida,MATCH(D3752,catNom,0))&amp;"",""))</f>
        <v/>
      </c>
      <c r="N3752" s="19">
        <f>IF(I3752="","",IFERROR(INDEX(ctaMon,MATCH(E3752,ctaNom,0))&amp;"","DOP"))</f>
        <v/>
      </c>
      <c r="O3752" s="20">
        <f>IF(I3752="","",C3752*IF(N3752="USD",TasaUSD,1))</f>
        <v/>
      </c>
      <c r="P3752" s="20">
        <f>IF(I3752="","",IF(I3752="Gasto",O3752,0))</f>
        <v/>
      </c>
      <c r="Q3752" s="20">
        <f>IF(I3752="","",IF(I3752="Ingreso",O3752,0))</f>
        <v/>
      </c>
      <c r="R3752" s="20">
        <f>IF(I3752="","",IF(I3752="Trading",O3752,0))</f>
        <v/>
      </c>
      <c r="S3752" s="19">
        <f>IF(I3752="","",IF(AND(I3752="Gasto",K3752="Variable",J3752&lt;&gt;"Trading",O3752&gt;0,O3752&lt;=Umbral),1,0))</f>
        <v/>
      </c>
      <c r="T3752" s="20">
        <f>IF(OR(I3752="",E3752=""),"",IF(OR(I3752="Gasto",I3752="Transferencia",I3752="Pago tarjeta"),-1,1)*C3752)</f>
        <v/>
      </c>
      <c r="U3752" s="20">
        <f>IF(OR(G3752="",AND(I3752&lt;&gt;"Transferencia",I3752&lt;&gt;"Pago tarjeta")),"",IF(IFERROR(INDEX(ctaMon,MATCH(G3752,ctaNom,0))&amp;"","DOP")=N3752,C3752,IF(N3752="USD",C3752*TasaUSD,C3752/TasaUSD)))</f>
        <v/>
      </c>
      <c r="V3752" s="20">
        <f>IF(I3752="","",IF(IFERROR(INDEX(ctaLiq,MATCH(E3752,ctaNom,0))="Sí",FALSE),IF(OR(I3752="Gasto",I3752="Transferencia",I3752="Pago tarjeta"),-1,1)*O3752,0)+IF(AND(U3752&lt;&gt;"",IFERROR(INDEX(ctaLiq,MATCH(G3752,ctaNom,0))="Sí",FALSE)),O3752,0))</f>
        <v/>
      </c>
      <c r="W3752" s="19">
        <f>IF(OR(F3752="",I3752=""),"",IF(COUNTIFS(F$6:F3752,F3752,I$6:I3752,"?*")=1,MAX(W$5:W3751)+1,""))</f>
        <v/>
      </c>
    </row>
    <row r="3753">
      <c r="B3753" s="15" t="n"/>
      <c r="C3753" s="16" t="n"/>
      <c r="D3753" s="17" t="n"/>
      <c r="E3753" s="17" t="n"/>
      <c r="F3753" s="17" t="n"/>
      <c r="G3753" s="17" t="n"/>
      <c r="H3753" s="18">
        <f>IF(AND(B3753="",C3753="",D3753="",E3753=""),"",IF(B3753="","⚠ Falta fecha",IF(C3753="","⚠ Falta monto",IF(D3753="","⚠ Falta categoría",IF(ISNA(MATCH(D3753,catNom,0)),"⚠ Categoría no existe",IF(E3753="","⚠ Falta cuenta",IF(ISNA(MATCH(E3753,ctaNom,0)),"⚠ Cuenta no existe",IF(AND(OR(I3753="Transferencia",I3753="Pago tarjeta"),G3753=""),"⚠ Indica la cuenta «Hacia»",IF(AND(G3753&lt;&gt;"",G3753=E3753),"⚠ «Hacia» igual a la cuenta",IF(AND(G3753&lt;&gt;"",ISNA(MATCH(G3753,ctaNom,0))),"⚠ «Hacia» no existe",IF(AND(I3753="Pago tarjeta",IFERROR(INDEX(ctaTipo,MATCH(G3753,ctaNom,0)),"")&lt;&gt;"Tarjeta de crédito"),"⚠ «Hacia» debe ser la tarjeta",IF(AND(I3753="Trading",IFERROR(INDEX(ctaTipo,MATCH(E3753,ctaNom,0)),"")&lt;&gt;"Cuenta de trading"),"⚠ Usa la cuenta de trading","✓"))))))))))))</f>
        <v/>
      </c>
      <c r="I3753" s="19">
        <f>IF(OR(B3753="",C3753="",D3753=""),"",IFERROR(INDEX(catTipo,MATCH(D3753,catNom,0))&amp;"",""))</f>
        <v/>
      </c>
      <c r="J3753" s="19">
        <f>IF(I3753="","",IFERROR(INDEX(catGrupo,MATCH(D3753,catNom,0))&amp;"",""))</f>
        <v/>
      </c>
      <c r="K3753" s="19">
        <f>IF(I3753="Gasto",IF(IFERROR(INDEX(catClas,MATCH(D3753,catNom,0))&amp;"","")="","Variable",IFERROR(INDEX(catClas,MATCH(D3753,catNom,0))&amp;"","")),"")</f>
        <v/>
      </c>
      <c r="L3753" s="19">
        <f>IF(I3753="","",IFERROR(INDEX(catAlim,MATCH(D3753,catNom,0))&amp;"",""))</f>
        <v/>
      </c>
      <c r="M3753" s="19">
        <f>IF(I3753="","",IFERROR(INDEX(catComida,MATCH(D3753,catNom,0))&amp;"",""))</f>
        <v/>
      </c>
      <c r="N3753" s="19">
        <f>IF(I3753="","",IFERROR(INDEX(ctaMon,MATCH(E3753,ctaNom,0))&amp;"","DOP"))</f>
        <v/>
      </c>
      <c r="O3753" s="20">
        <f>IF(I3753="","",C3753*IF(N3753="USD",TasaUSD,1))</f>
        <v/>
      </c>
      <c r="P3753" s="20">
        <f>IF(I3753="","",IF(I3753="Gasto",O3753,0))</f>
        <v/>
      </c>
      <c r="Q3753" s="20">
        <f>IF(I3753="","",IF(I3753="Ingreso",O3753,0))</f>
        <v/>
      </c>
      <c r="R3753" s="20">
        <f>IF(I3753="","",IF(I3753="Trading",O3753,0))</f>
        <v/>
      </c>
      <c r="S3753" s="19">
        <f>IF(I3753="","",IF(AND(I3753="Gasto",K3753="Variable",J3753&lt;&gt;"Trading",O3753&gt;0,O3753&lt;=Umbral),1,0))</f>
        <v/>
      </c>
      <c r="T3753" s="20">
        <f>IF(OR(I3753="",E3753=""),"",IF(OR(I3753="Gasto",I3753="Transferencia",I3753="Pago tarjeta"),-1,1)*C3753)</f>
        <v/>
      </c>
      <c r="U3753" s="20">
        <f>IF(OR(G3753="",AND(I3753&lt;&gt;"Transferencia",I3753&lt;&gt;"Pago tarjeta")),"",IF(IFERROR(INDEX(ctaMon,MATCH(G3753,ctaNom,0))&amp;"","DOP")=N3753,C3753,IF(N3753="USD",C3753*TasaUSD,C3753/TasaUSD)))</f>
        <v/>
      </c>
      <c r="V3753" s="20">
        <f>IF(I3753="","",IF(IFERROR(INDEX(ctaLiq,MATCH(E3753,ctaNom,0))="Sí",FALSE),IF(OR(I3753="Gasto",I3753="Transferencia",I3753="Pago tarjeta"),-1,1)*O3753,0)+IF(AND(U3753&lt;&gt;"",IFERROR(INDEX(ctaLiq,MATCH(G3753,ctaNom,0))="Sí",FALSE)),O3753,0))</f>
        <v/>
      </c>
      <c r="W3753" s="19">
        <f>IF(OR(F3753="",I3753=""),"",IF(COUNTIFS(F$6:F3753,F3753,I$6:I3753,"?*")=1,MAX(W$5:W3752)+1,""))</f>
        <v/>
      </c>
    </row>
    <row r="3754">
      <c r="B3754" s="15" t="n"/>
      <c r="C3754" s="16" t="n"/>
      <c r="D3754" s="17" t="n"/>
      <c r="E3754" s="17" t="n"/>
      <c r="F3754" s="17" t="n"/>
      <c r="G3754" s="17" t="n"/>
      <c r="H3754" s="18">
        <f>IF(AND(B3754="",C3754="",D3754="",E3754=""),"",IF(B3754="","⚠ Falta fecha",IF(C3754="","⚠ Falta monto",IF(D3754="","⚠ Falta categoría",IF(ISNA(MATCH(D3754,catNom,0)),"⚠ Categoría no existe",IF(E3754="","⚠ Falta cuenta",IF(ISNA(MATCH(E3754,ctaNom,0)),"⚠ Cuenta no existe",IF(AND(OR(I3754="Transferencia",I3754="Pago tarjeta"),G3754=""),"⚠ Indica la cuenta «Hacia»",IF(AND(G3754&lt;&gt;"",G3754=E3754),"⚠ «Hacia» igual a la cuenta",IF(AND(G3754&lt;&gt;"",ISNA(MATCH(G3754,ctaNom,0))),"⚠ «Hacia» no existe",IF(AND(I3754="Pago tarjeta",IFERROR(INDEX(ctaTipo,MATCH(G3754,ctaNom,0)),"")&lt;&gt;"Tarjeta de crédito"),"⚠ «Hacia» debe ser la tarjeta",IF(AND(I3754="Trading",IFERROR(INDEX(ctaTipo,MATCH(E3754,ctaNom,0)),"")&lt;&gt;"Cuenta de trading"),"⚠ Usa la cuenta de trading","✓"))))))))))))</f>
        <v/>
      </c>
      <c r="I3754" s="19">
        <f>IF(OR(B3754="",C3754="",D3754=""),"",IFERROR(INDEX(catTipo,MATCH(D3754,catNom,0))&amp;"",""))</f>
        <v/>
      </c>
      <c r="J3754" s="19">
        <f>IF(I3754="","",IFERROR(INDEX(catGrupo,MATCH(D3754,catNom,0))&amp;"",""))</f>
        <v/>
      </c>
      <c r="K3754" s="19">
        <f>IF(I3754="Gasto",IF(IFERROR(INDEX(catClas,MATCH(D3754,catNom,0))&amp;"","")="","Variable",IFERROR(INDEX(catClas,MATCH(D3754,catNom,0))&amp;"","")),"")</f>
        <v/>
      </c>
      <c r="L3754" s="19">
        <f>IF(I3754="","",IFERROR(INDEX(catAlim,MATCH(D3754,catNom,0))&amp;"",""))</f>
        <v/>
      </c>
      <c r="M3754" s="19">
        <f>IF(I3754="","",IFERROR(INDEX(catComida,MATCH(D3754,catNom,0))&amp;"",""))</f>
        <v/>
      </c>
      <c r="N3754" s="19">
        <f>IF(I3754="","",IFERROR(INDEX(ctaMon,MATCH(E3754,ctaNom,0))&amp;"","DOP"))</f>
        <v/>
      </c>
      <c r="O3754" s="20">
        <f>IF(I3754="","",C3754*IF(N3754="USD",TasaUSD,1))</f>
        <v/>
      </c>
      <c r="P3754" s="20">
        <f>IF(I3754="","",IF(I3754="Gasto",O3754,0))</f>
        <v/>
      </c>
      <c r="Q3754" s="20">
        <f>IF(I3754="","",IF(I3754="Ingreso",O3754,0))</f>
        <v/>
      </c>
      <c r="R3754" s="20">
        <f>IF(I3754="","",IF(I3754="Trading",O3754,0))</f>
        <v/>
      </c>
      <c r="S3754" s="19">
        <f>IF(I3754="","",IF(AND(I3754="Gasto",K3754="Variable",J3754&lt;&gt;"Trading",O3754&gt;0,O3754&lt;=Umbral),1,0))</f>
        <v/>
      </c>
      <c r="T3754" s="20">
        <f>IF(OR(I3754="",E3754=""),"",IF(OR(I3754="Gasto",I3754="Transferencia",I3754="Pago tarjeta"),-1,1)*C3754)</f>
        <v/>
      </c>
      <c r="U3754" s="20">
        <f>IF(OR(G3754="",AND(I3754&lt;&gt;"Transferencia",I3754&lt;&gt;"Pago tarjeta")),"",IF(IFERROR(INDEX(ctaMon,MATCH(G3754,ctaNom,0))&amp;"","DOP")=N3754,C3754,IF(N3754="USD",C3754*TasaUSD,C3754/TasaUSD)))</f>
        <v/>
      </c>
      <c r="V3754" s="20">
        <f>IF(I3754="","",IF(IFERROR(INDEX(ctaLiq,MATCH(E3754,ctaNom,0))="Sí",FALSE),IF(OR(I3754="Gasto",I3754="Transferencia",I3754="Pago tarjeta"),-1,1)*O3754,0)+IF(AND(U3754&lt;&gt;"",IFERROR(INDEX(ctaLiq,MATCH(G3754,ctaNom,0))="Sí",FALSE)),O3754,0))</f>
        <v/>
      </c>
      <c r="W3754" s="19">
        <f>IF(OR(F3754="",I3754=""),"",IF(COUNTIFS(F$6:F3754,F3754,I$6:I3754,"?*")=1,MAX(W$5:W3753)+1,""))</f>
        <v/>
      </c>
    </row>
    <row r="3755">
      <c r="B3755" s="15" t="n"/>
      <c r="C3755" s="16" t="n"/>
      <c r="D3755" s="17" t="n"/>
      <c r="E3755" s="17" t="n"/>
      <c r="F3755" s="17" t="n"/>
      <c r="G3755" s="17" t="n"/>
      <c r="H3755" s="18">
        <f>IF(AND(B3755="",C3755="",D3755="",E3755=""),"",IF(B3755="","⚠ Falta fecha",IF(C3755="","⚠ Falta monto",IF(D3755="","⚠ Falta categoría",IF(ISNA(MATCH(D3755,catNom,0)),"⚠ Categoría no existe",IF(E3755="","⚠ Falta cuenta",IF(ISNA(MATCH(E3755,ctaNom,0)),"⚠ Cuenta no existe",IF(AND(OR(I3755="Transferencia",I3755="Pago tarjeta"),G3755=""),"⚠ Indica la cuenta «Hacia»",IF(AND(G3755&lt;&gt;"",G3755=E3755),"⚠ «Hacia» igual a la cuenta",IF(AND(G3755&lt;&gt;"",ISNA(MATCH(G3755,ctaNom,0))),"⚠ «Hacia» no existe",IF(AND(I3755="Pago tarjeta",IFERROR(INDEX(ctaTipo,MATCH(G3755,ctaNom,0)),"")&lt;&gt;"Tarjeta de crédito"),"⚠ «Hacia» debe ser la tarjeta",IF(AND(I3755="Trading",IFERROR(INDEX(ctaTipo,MATCH(E3755,ctaNom,0)),"")&lt;&gt;"Cuenta de trading"),"⚠ Usa la cuenta de trading","✓"))))))))))))</f>
        <v/>
      </c>
      <c r="I3755" s="19">
        <f>IF(OR(B3755="",C3755="",D3755=""),"",IFERROR(INDEX(catTipo,MATCH(D3755,catNom,0))&amp;"",""))</f>
        <v/>
      </c>
      <c r="J3755" s="19">
        <f>IF(I3755="","",IFERROR(INDEX(catGrupo,MATCH(D3755,catNom,0))&amp;"",""))</f>
        <v/>
      </c>
      <c r="K3755" s="19">
        <f>IF(I3755="Gasto",IF(IFERROR(INDEX(catClas,MATCH(D3755,catNom,0))&amp;"","")="","Variable",IFERROR(INDEX(catClas,MATCH(D3755,catNom,0))&amp;"","")),"")</f>
        <v/>
      </c>
      <c r="L3755" s="19">
        <f>IF(I3755="","",IFERROR(INDEX(catAlim,MATCH(D3755,catNom,0))&amp;"",""))</f>
        <v/>
      </c>
      <c r="M3755" s="19">
        <f>IF(I3755="","",IFERROR(INDEX(catComida,MATCH(D3755,catNom,0))&amp;"",""))</f>
        <v/>
      </c>
      <c r="N3755" s="19">
        <f>IF(I3755="","",IFERROR(INDEX(ctaMon,MATCH(E3755,ctaNom,0))&amp;"","DOP"))</f>
        <v/>
      </c>
      <c r="O3755" s="20">
        <f>IF(I3755="","",C3755*IF(N3755="USD",TasaUSD,1))</f>
        <v/>
      </c>
      <c r="P3755" s="20">
        <f>IF(I3755="","",IF(I3755="Gasto",O3755,0))</f>
        <v/>
      </c>
      <c r="Q3755" s="20">
        <f>IF(I3755="","",IF(I3755="Ingreso",O3755,0))</f>
        <v/>
      </c>
      <c r="R3755" s="20">
        <f>IF(I3755="","",IF(I3755="Trading",O3755,0))</f>
        <v/>
      </c>
      <c r="S3755" s="19">
        <f>IF(I3755="","",IF(AND(I3755="Gasto",K3755="Variable",J3755&lt;&gt;"Trading",O3755&gt;0,O3755&lt;=Umbral),1,0))</f>
        <v/>
      </c>
      <c r="T3755" s="20">
        <f>IF(OR(I3755="",E3755=""),"",IF(OR(I3755="Gasto",I3755="Transferencia",I3755="Pago tarjeta"),-1,1)*C3755)</f>
        <v/>
      </c>
      <c r="U3755" s="20">
        <f>IF(OR(G3755="",AND(I3755&lt;&gt;"Transferencia",I3755&lt;&gt;"Pago tarjeta")),"",IF(IFERROR(INDEX(ctaMon,MATCH(G3755,ctaNom,0))&amp;"","DOP")=N3755,C3755,IF(N3755="USD",C3755*TasaUSD,C3755/TasaUSD)))</f>
        <v/>
      </c>
      <c r="V3755" s="20">
        <f>IF(I3755="","",IF(IFERROR(INDEX(ctaLiq,MATCH(E3755,ctaNom,0))="Sí",FALSE),IF(OR(I3755="Gasto",I3755="Transferencia",I3755="Pago tarjeta"),-1,1)*O3755,0)+IF(AND(U3755&lt;&gt;"",IFERROR(INDEX(ctaLiq,MATCH(G3755,ctaNom,0))="Sí",FALSE)),O3755,0))</f>
        <v/>
      </c>
      <c r="W3755" s="19">
        <f>IF(OR(F3755="",I3755=""),"",IF(COUNTIFS(F$6:F3755,F3755,I$6:I3755,"?*")=1,MAX(W$5:W3754)+1,""))</f>
        <v/>
      </c>
    </row>
    <row r="3756">
      <c r="B3756" s="15" t="n"/>
      <c r="C3756" s="16" t="n"/>
      <c r="D3756" s="17" t="n"/>
      <c r="E3756" s="17" t="n"/>
      <c r="F3756" s="17" t="n"/>
      <c r="G3756" s="17" t="n"/>
      <c r="H3756" s="18">
        <f>IF(AND(B3756="",C3756="",D3756="",E3756=""),"",IF(B3756="","⚠ Falta fecha",IF(C3756="","⚠ Falta monto",IF(D3756="","⚠ Falta categoría",IF(ISNA(MATCH(D3756,catNom,0)),"⚠ Categoría no existe",IF(E3756="","⚠ Falta cuenta",IF(ISNA(MATCH(E3756,ctaNom,0)),"⚠ Cuenta no existe",IF(AND(OR(I3756="Transferencia",I3756="Pago tarjeta"),G3756=""),"⚠ Indica la cuenta «Hacia»",IF(AND(G3756&lt;&gt;"",G3756=E3756),"⚠ «Hacia» igual a la cuenta",IF(AND(G3756&lt;&gt;"",ISNA(MATCH(G3756,ctaNom,0))),"⚠ «Hacia» no existe",IF(AND(I3756="Pago tarjeta",IFERROR(INDEX(ctaTipo,MATCH(G3756,ctaNom,0)),"")&lt;&gt;"Tarjeta de crédito"),"⚠ «Hacia» debe ser la tarjeta",IF(AND(I3756="Trading",IFERROR(INDEX(ctaTipo,MATCH(E3756,ctaNom,0)),"")&lt;&gt;"Cuenta de trading"),"⚠ Usa la cuenta de trading","✓"))))))))))))</f>
        <v/>
      </c>
      <c r="I3756" s="19">
        <f>IF(OR(B3756="",C3756="",D3756=""),"",IFERROR(INDEX(catTipo,MATCH(D3756,catNom,0))&amp;"",""))</f>
        <v/>
      </c>
      <c r="J3756" s="19">
        <f>IF(I3756="","",IFERROR(INDEX(catGrupo,MATCH(D3756,catNom,0))&amp;"",""))</f>
        <v/>
      </c>
      <c r="K3756" s="19">
        <f>IF(I3756="Gasto",IF(IFERROR(INDEX(catClas,MATCH(D3756,catNom,0))&amp;"","")="","Variable",IFERROR(INDEX(catClas,MATCH(D3756,catNom,0))&amp;"","")),"")</f>
        <v/>
      </c>
      <c r="L3756" s="19">
        <f>IF(I3756="","",IFERROR(INDEX(catAlim,MATCH(D3756,catNom,0))&amp;"",""))</f>
        <v/>
      </c>
      <c r="M3756" s="19">
        <f>IF(I3756="","",IFERROR(INDEX(catComida,MATCH(D3756,catNom,0))&amp;"",""))</f>
        <v/>
      </c>
      <c r="N3756" s="19">
        <f>IF(I3756="","",IFERROR(INDEX(ctaMon,MATCH(E3756,ctaNom,0))&amp;"","DOP"))</f>
        <v/>
      </c>
      <c r="O3756" s="20">
        <f>IF(I3756="","",C3756*IF(N3756="USD",TasaUSD,1))</f>
        <v/>
      </c>
      <c r="P3756" s="20">
        <f>IF(I3756="","",IF(I3756="Gasto",O3756,0))</f>
        <v/>
      </c>
      <c r="Q3756" s="20">
        <f>IF(I3756="","",IF(I3756="Ingreso",O3756,0))</f>
        <v/>
      </c>
      <c r="R3756" s="20">
        <f>IF(I3756="","",IF(I3756="Trading",O3756,0))</f>
        <v/>
      </c>
      <c r="S3756" s="19">
        <f>IF(I3756="","",IF(AND(I3756="Gasto",K3756="Variable",J3756&lt;&gt;"Trading",O3756&gt;0,O3756&lt;=Umbral),1,0))</f>
        <v/>
      </c>
      <c r="T3756" s="20">
        <f>IF(OR(I3756="",E3756=""),"",IF(OR(I3756="Gasto",I3756="Transferencia",I3756="Pago tarjeta"),-1,1)*C3756)</f>
        <v/>
      </c>
      <c r="U3756" s="20">
        <f>IF(OR(G3756="",AND(I3756&lt;&gt;"Transferencia",I3756&lt;&gt;"Pago tarjeta")),"",IF(IFERROR(INDEX(ctaMon,MATCH(G3756,ctaNom,0))&amp;"","DOP")=N3756,C3756,IF(N3756="USD",C3756*TasaUSD,C3756/TasaUSD)))</f>
        <v/>
      </c>
      <c r="V3756" s="20">
        <f>IF(I3756="","",IF(IFERROR(INDEX(ctaLiq,MATCH(E3756,ctaNom,0))="Sí",FALSE),IF(OR(I3756="Gasto",I3756="Transferencia",I3756="Pago tarjeta"),-1,1)*O3756,0)+IF(AND(U3756&lt;&gt;"",IFERROR(INDEX(ctaLiq,MATCH(G3756,ctaNom,0))="Sí",FALSE)),O3756,0))</f>
        <v/>
      </c>
      <c r="W3756" s="19">
        <f>IF(OR(F3756="",I3756=""),"",IF(COUNTIFS(F$6:F3756,F3756,I$6:I3756,"?*")=1,MAX(W$5:W3755)+1,""))</f>
        <v/>
      </c>
    </row>
    <row r="3757">
      <c r="B3757" s="15" t="n"/>
      <c r="C3757" s="16" t="n"/>
      <c r="D3757" s="17" t="n"/>
      <c r="E3757" s="17" t="n"/>
      <c r="F3757" s="17" t="n"/>
      <c r="G3757" s="17" t="n"/>
      <c r="H3757" s="18">
        <f>IF(AND(B3757="",C3757="",D3757="",E3757=""),"",IF(B3757="","⚠ Falta fecha",IF(C3757="","⚠ Falta monto",IF(D3757="","⚠ Falta categoría",IF(ISNA(MATCH(D3757,catNom,0)),"⚠ Categoría no existe",IF(E3757="","⚠ Falta cuenta",IF(ISNA(MATCH(E3757,ctaNom,0)),"⚠ Cuenta no existe",IF(AND(OR(I3757="Transferencia",I3757="Pago tarjeta"),G3757=""),"⚠ Indica la cuenta «Hacia»",IF(AND(G3757&lt;&gt;"",G3757=E3757),"⚠ «Hacia» igual a la cuenta",IF(AND(G3757&lt;&gt;"",ISNA(MATCH(G3757,ctaNom,0))),"⚠ «Hacia» no existe",IF(AND(I3757="Pago tarjeta",IFERROR(INDEX(ctaTipo,MATCH(G3757,ctaNom,0)),"")&lt;&gt;"Tarjeta de crédito"),"⚠ «Hacia» debe ser la tarjeta",IF(AND(I3757="Trading",IFERROR(INDEX(ctaTipo,MATCH(E3757,ctaNom,0)),"")&lt;&gt;"Cuenta de trading"),"⚠ Usa la cuenta de trading","✓"))))))))))))</f>
        <v/>
      </c>
      <c r="I3757" s="19">
        <f>IF(OR(B3757="",C3757="",D3757=""),"",IFERROR(INDEX(catTipo,MATCH(D3757,catNom,0))&amp;"",""))</f>
        <v/>
      </c>
      <c r="J3757" s="19">
        <f>IF(I3757="","",IFERROR(INDEX(catGrupo,MATCH(D3757,catNom,0))&amp;"",""))</f>
        <v/>
      </c>
      <c r="K3757" s="19">
        <f>IF(I3757="Gasto",IF(IFERROR(INDEX(catClas,MATCH(D3757,catNom,0))&amp;"","")="","Variable",IFERROR(INDEX(catClas,MATCH(D3757,catNom,0))&amp;"","")),"")</f>
        <v/>
      </c>
      <c r="L3757" s="19">
        <f>IF(I3757="","",IFERROR(INDEX(catAlim,MATCH(D3757,catNom,0))&amp;"",""))</f>
        <v/>
      </c>
      <c r="M3757" s="19">
        <f>IF(I3757="","",IFERROR(INDEX(catComida,MATCH(D3757,catNom,0))&amp;"",""))</f>
        <v/>
      </c>
      <c r="N3757" s="19">
        <f>IF(I3757="","",IFERROR(INDEX(ctaMon,MATCH(E3757,ctaNom,0))&amp;"","DOP"))</f>
        <v/>
      </c>
      <c r="O3757" s="20">
        <f>IF(I3757="","",C3757*IF(N3757="USD",TasaUSD,1))</f>
        <v/>
      </c>
      <c r="P3757" s="20">
        <f>IF(I3757="","",IF(I3757="Gasto",O3757,0))</f>
        <v/>
      </c>
      <c r="Q3757" s="20">
        <f>IF(I3757="","",IF(I3757="Ingreso",O3757,0))</f>
        <v/>
      </c>
      <c r="R3757" s="20">
        <f>IF(I3757="","",IF(I3757="Trading",O3757,0))</f>
        <v/>
      </c>
      <c r="S3757" s="19">
        <f>IF(I3757="","",IF(AND(I3757="Gasto",K3757="Variable",J3757&lt;&gt;"Trading",O3757&gt;0,O3757&lt;=Umbral),1,0))</f>
        <v/>
      </c>
      <c r="T3757" s="20">
        <f>IF(OR(I3757="",E3757=""),"",IF(OR(I3757="Gasto",I3757="Transferencia",I3757="Pago tarjeta"),-1,1)*C3757)</f>
        <v/>
      </c>
      <c r="U3757" s="20">
        <f>IF(OR(G3757="",AND(I3757&lt;&gt;"Transferencia",I3757&lt;&gt;"Pago tarjeta")),"",IF(IFERROR(INDEX(ctaMon,MATCH(G3757,ctaNom,0))&amp;"","DOP")=N3757,C3757,IF(N3757="USD",C3757*TasaUSD,C3757/TasaUSD)))</f>
        <v/>
      </c>
      <c r="V3757" s="20">
        <f>IF(I3757="","",IF(IFERROR(INDEX(ctaLiq,MATCH(E3757,ctaNom,0))="Sí",FALSE),IF(OR(I3757="Gasto",I3757="Transferencia",I3757="Pago tarjeta"),-1,1)*O3757,0)+IF(AND(U3757&lt;&gt;"",IFERROR(INDEX(ctaLiq,MATCH(G3757,ctaNom,0))="Sí",FALSE)),O3757,0))</f>
        <v/>
      </c>
      <c r="W3757" s="19">
        <f>IF(OR(F3757="",I3757=""),"",IF(COUNTIFS(F$6:F3757,F3757,I$6:I3757,"?*")=1,MAX(W$5:W3756)+1,""))</f>
        <v/>
      </c>
    </row>
    <row r="3758">
      <c r="B3758" s="15" t="n"/>
      <c r="C3758" s="16" t="n"/>
      <c r="D3758" s="17" t="n"/>
      <c r="E3758" s="17" t="n"/>
      <c r="F3758" s="17" t="n"/>
      <c r="G3758" s="17" t="n"/>
      <c r="H3758" s="18">
        <f>IF(AND(B3758="",C3758="",D3758="",E3758=""),"",IF(B3758="","⚠ Falta fecha",IF(C3758="","⚠ Falta monto",IF(D3758="","⚠ Falta categoría",IF(ISNA(MATCH(D3758,catNom,0)),"⚠ Categoría no existe",IF(E3758="","⚠ Falta cuenta",IF(ISNA(MATCH(E3758,ctaNom,0)),"⚠ Cuenta no existe",IF(AND(OR(I3758="Transferencia",I3758="Pago tarjeta"),G3758=""),"⚠ Indica la cuenta «Hacia»",IF(AND(G3758&lt;&gt;"",G3758=E3758),"⚠ «Hacia» igual a la cuenta",IF(AND(G3758&lt;&gt;"",ISNA(MATCH(G3758,ctaNom,0))),"⚠ «Hacia» no existe",IF(AND(I3758="Pago tarjeta",IFERROR(INDEX(ctaTipo,MATCH(G3758,ctaNom,0)),"")&lt;&gt;"Tarjeta de crédito"),"⚠ «Hacia» debe ser la tarjeta",IF(AND(I3758="Trading",IFERROR(INDEX(ctaTipo,MATCH(E3758,ctaNom,0)),"")&lt;&gt;"Cuenta de trading"),"⚠ Usa la cuenta de trading","✓"))))))))))))</f>
        <v/>
      </c>
      <c r="I3758" s="19">
        <f>IF(OR(B3758="",C3758="",D3758=""),"",IFERROR(INDEX(catTipo,MATCH(D3758,catNom,0))&amp;"",""))</f>
        <v/>
      </c>
      <c r="J3758" s="19">
        <f>IF(I3758="","",IFERROR(INDEX(catGrupo,MATCH(D3758,catNom,0))&amp;"",""))</f>
        <v/>
      </c>
      <c r="K3758" s="19">
        <f>IF(I3758="Gasto",IF(IFERROR(INDEX(catClas,MATCH(D3758,catNom,0))&amp;"","")="","Variable",IFERROR(INDEX(catClas,MATCH(D3758,catNom,0))&amp;"","")),"")</f>
        <v/>
      </c>
      <c r="L3758" s="19">
        <f>IF(I3758="","",IFERROR(INDEX(catAlim,MATCH(D3758,catNom,0))&amp;"",""))</f>
        <v/>
      </c>
      <c r="M3758" s="19">
        <f>IF(I3758="","",IFERROR(INDEX(catComida,MATCH(D3758,catNom,0))&amp;"",""))</f>
        <v/>
      </c>
      <c r="N3758" s="19">
        <f>IF(I3758="","",IFERROR(INDEX(ctaMon,MATCH(E3758,ctaNom,0))&amp;"","DOP"))</f>
        <v/>
      </c>
      <c r="O3758" s="20">
        <f>IF(I3758="","",C3758*IF(N3758="USD",TasaUSD,1))</f>
        <v/>
      </c>
      <c r="P3758" s="20">
        <f>IF(I3758="","",IF(I3758="Gasto",O3758,0))</f>
        <v/>
      </c>
      <c r="Q3758" s="20">
        <f>IF(I3758="","",IF(I3758="Ingreso",O3758,0))</f>
        <v/>
      </c>
      <c r="R3758" s="20">
        <f>IF(I3758="","",IF(I3758="Trading",O3758,0))</f>
        <v/>
      </c>
      <c r="S3758" s="19">
        <f>IF(I3758="","",IF(AND(I3758="Gasto",K3758="Variable",J3758&lt;&gt;"Trading",O3758&gt;0,O3758&lt;=Umbral),1,0))</f>
        <v/>
      </c>
      <c r="T3758" s="20">
        <f>IF(OR(I3758="",E3758=""),"",IF(OR(I3758="Gasto",I3758="Transferencia",I3758="Pago tarjeta"),-1,1)*C3758)</f>
        <v/>
      </c>
      <c r="U3758" s="20">
        <f>IF(OR(G3758="",AND(I3758&lt;&gt;"Transferencia",I3758&lt;&gt;"Pago tarjeta")),"",IF(IFERROR(INDEX(ctaMon,MATCH(G3758,ctaNom,0))&amp;"","DOP")=N3758,C3758,IF(N3758="USD",C3758*TasaUSD,C3758/TasaUSD)))</f>
        <v/>
      </c>
      <c r="V3758" s="20">
        <f>IF(I3758="","",IF(IFERROR(INDEX(ctaLiq,MATCH(E3758,ctaNom,0))="Sí",FALSE),IF(OR(I3758="Gasto",I3758="Transferencia",I3758="Pago tarjeta"),-1,1)*O3758,0)+IF(AND(U3758&lt;&gt;"",IFERROR(INDEX(ctaLiq,MATCH(G3758,ctaNom,0))="Sí",FALSE)),O3758,0))</f>
        <v/>
      </c>
      <c r="W3758" s="19">
        <f>IF(OR(F3758="",I3758=""),"",IF(COUNTIFS(F$6:F3758,F3758,I$6:I3758,"?*")=1,MAX(W$5:W3757)+1,""))</f>
        <v/>
      </c>
    </row>
    <row r="3759">
      <c r="B3759" s="15" t="n"/>
      <c r="C3759" s="16" t="n"/>
      <c r="D3759" s="17" t="n"/>
      <c r="E3759" s="17" t="n"/>
      <c r="F3759" s="17" t="n"/>
      <c r="G3759" s="17" t="n"/>
      <c r="H3759" s="18">
        <f>IF(AND(B3759="",C3759="",D3759="",E3759=""),"",IF(B3759="","⚠ Falta fecha",IF(C3759="","⚠ Falta monto",IF(D3759="","⚠ Falta categoría",IF(ISNA(MATCH(D3759,catNom,0)),"⚠ Categoría no existe",IF(E3759="","⚠ Falta cuenta",IF(ISNA(MATCH(E3759,ctaNom,0)),"⚠ Cuenta no existe",IF(AND(OR(I3759="Transferencia",I3759="Pago tarjeta"),G3759=""),"⚠ Indica la cuenta «Hacia»",IF(AND(G3759&lt;&gt;"",G3759=E3759),"⚠ «Hacia» igual a la cuenta",IF(AND(G3759&lt;&gt;"",ISNA(MATCH(G3759,ctaNom,0))),"⚠ «Hacia» no existe",IF(AND(I3759="Pago tarjeta",IFERROR(INDEX(ctaTipo,MATCH(G3759,ctaNom,0)),"")&lt;&gt;"Tarjeta de crédito"),"⚠ «Hacia» debe ser la tarjeta",IF(AND(I3759="Trading",IFERROR(INDEX(ctaTipo,MATCH(E3759,ctaNom,0)),"")&lt;&gt;"Cuenta de trading"),"⚠ Usa la cuenta de trading","✓"))))))))))))</f>
        <v/>
      </c>
      <c r="I3759" s="19">
        <f>IF(OR(B3759="",C3759="",D3759=""),"",IFERROR(INDEX(catTipo,MATCH(D3759,catNom,0))&amp;"",""))</f>
        <v/>
      </c>
      <c r="J3759" s="19">
        <f>IF(I3759="","",IFERROR(INDEX(catGrupo,MATCH(D3759,catNom,0))&amp;"",""))</f>
        <v/>
      </c>
      <c r="K3759" s="19">
        <f>IF(I3759="Gasto",IF(IFERROR(INDEX(catClas,MATCH(D3759,catNom,0))&amp;"","")="","Variable",IFERROR(INDEX(catClas,MATCH(D3759,catNom,0))&amp;"","")),"")</f>
        <v/>
      </c>
      <c r="L3759" s="19">
        <f>IF(I3759="","",IFERROR(INDEX(catAlim,MATCH(D3759,catNom,0))&amp;"",""))</f>
        <v/>
      </c>
      <c r="M3759" s="19">
        <f>IF(I3759="","",IFERROR(INDEX(catComida,MATCH(D3759,catNom,0))&amp;"",""))</f>
        <v/>
      </c>
      <c r="N3759" s="19">
        <f>IF(I3759="","",IFERROR(INDEX(ctaMon,MATCH(E3759,ctaNom,0))&amp;"","DOP"))</f>
        <v/>
      </c>
      <c r="O3759" s="20">
        <f>IF(I3759="","",C3759*IF(N3759="USD",TasaUSD,1))</f>
        <v/>
      </c>
      <c r="P3759" s="20">
        <f>IF(I3759="","",IF(I3759="Gasto",O3759,0))</f>
        <v/>
      </c>
      <c r="Q3759" s="20">
        <f>IF(I3759="","",IF(I3759="Ingreso",O3759,0))</f>
        <v/>
      </c>
      <c r="R3759" s="20">
        <f>IF(I3759="","",IF(I3759="Trading",O3759,0))</f>
        <v/>
      </c>
      <c r="S3759" s="19">
        <f>IF(I3759="","",IF(AND(I3759="Gasto",K3759="Variable",J3759&lt;&gt;"Trading",O3759&gt;0,O3759&lt;=Umbral),1,0))</f>
        <v/>
      </c>
      <c r="T3759" s="20">
        <f>IF(OR(I3759="",E3759=""),"",IF(OR(I3759="Gasto",I3759="Transferencia",I3759="Pago tarjeta"),-1,1)*C3759)</f>
        <v/>
      </c>
      <c r="U3759" s="20">
        <f>IF(OR(G3759="",AND(I3759&lt;&gt;"Transferencia",I3759&lt;&gt;"Pago tarjeta")),"",IF(IFERROR(INDEX(ctaMon,MATCH(G3759,ctaNom,0))&amp;"","DOP")=N3759,C3759,IF(N3759="USD",C3759*TasaUSD,C3759/TasaUSD)))</f>
        <v/>
      </c>
      <c r="V3759" s="20">
        <f>IF(I3759="","",IF(IFERROR(INDEX(ctaLiq,MATCH(E3759,ctaNom,0))="Sí",FALSE),IF(OR(I3759="Gasto",I3759="Transferencia",I3759="Pago tarjeta"),-1,1)*O3759,0)+IF(AND(U3759&lt;&gt;"",IFERROR(INDEX(ctaLiq,MATCH(G3759,ctaNom,0))="Sí",FALSE)),O3759,0))</f>
        <v/>
      </c>
      <c r="W3759" s="19">
        <f>IF(OR(F3759="",I3759=""),"",IF(COUNTIFS(F$6:F3759,F3759,I$6:I3759,"?*")=1,MAX(W$5:W3758)+1,""))</f>
        <v/>
      </c>
    </row>
    <row r="3760">
      <c r="B3760" s="15" t="n"/>
      <c r="C3760" s="16" t="n"/>
      <c r="D3760" s="17" t="n"/>
      <c r="E3760" s="17" t="n"/>
      <c r="F3760" s="17" t="n"/>
      <c r="G3760" s="17" t="n"/>
      <c r="H3760" s="18">
        <f>IF(AND(B3760="",C3760="",D3760="",E3760=""),"",IF(B3760="","⚠ Falta fecha",IF(C3760="","⚠ Falta monto",IF(D3760="","⚠ Falta categoría",IF(ISNA(MATCH(D3760,catNom,0)),"⚠ Categoría no existe",IF(E3760="","⚠ Falta cuenta",IF(ISNA(MATCH(E3760,ctaNom,0)),"⚠ Cuenta no existe",IF(AND(OR(I3760="Transferencia",I3760="Pago tarjeta"),G3760=""),"⚠ Indica la cuenta «Hacia»",IF(AND(G3760&lt;&gt;"",G3760=E3760),"⚠ «Hacia» igual a la cuenta",IF(AND(G3760&lt;&gt;"",ISNA(MATCH(G3760,ctaNom,0))),"⚠ «Hacia» no existe",IF(AND(I3760="Pago tarjeta",IFERROR(INDEX(ctaTipo,MATCH(G3760,ctaNom,0)),"")&lt;&gt;"Tarjeta de crédito"),"⚠ «Hacia» debe ser la tarjeta",IF(AND(I3760="Trading",IFERROR(INDEX(ctaTipo,MATCH(E3760,ctaNom,0)),"")&lt;&gt;"Cuenta de trading"),"⚠ Usa la cuenta de trading","✓"))))))))))))</f>
        <v/>
      </c>
      <c r="I3760" s="19">
        <f>IF(OR(B3760="",C3760="",D3760=""),"",IFERROR(INDEX(catTipo,MATCH(D3760,catNom,0))&amp;"",""))</f>
        <v/>
      </c>
      <c r="J3760" s="19">
        <f>IF(I3760="","",IFERROR(INDEX(catGrupo,MATCH(D3760,catNom,0))&amp;"",""))</f>
        <v/>
      </c>
      <c r="K3760" s="19">
        <f>IF(I3760="Gasto",IF(IFERROR(INDEX(catClas,MATCH(D3760,catNom,0))&amp;"","")="","Variable",IFERROR(INDEX(catClas,MATCH(D3760,catNom,0))&amp;"","")),"")</f>
        <v/>
      </c>
      <c r="L3760" s="19">
        <f>IF(I3760="","",IFERROR(INDEX(catAlim,MATCH(D3760,catNom,0))&amp;"",""))</f>
        <v/>
      </c>
      <c r="M3760" s="19">
        <f>IF(I3760="","",IFERROR(INDEX(catComida,MATCH(D3760,catNom,0))&amp;"",""))</f>
        <v/>
      </c>
      <c r="N3760" s="19">
        <f>IF(I3760="","",IFERROR(INDEX(ctaMon,MATCH(E3760,ctaNom,0))&amp;"","DOP"))</f>
        <v/>
      </c>
      <c r="O3760" s="20">
        <f>IF(I3760="","",C3760*IF(N3760="USD",TasaUSD,1))</f>
        <v/>
      </c>
      <c r="P3760" s="20">
        <f>IF(I3760="","",IF(I3760="Gasto",O3760,0))</f>
        <v/>
      </c>
      <c r="Q3760" s="20">
        <f>IF(I3760="","",IF(I3760="Ingreso",O3760,0))</f>
        <v/>
      </c>
      <c r="R3760" s="20">
        <f>IF(I3760="","",IF(I3760="Trading",O3760,0))</f>
        <v/>
      </c>
      <c r="S3760" s="19">
        <f>IF(I3760="","",IF(AND(I3760="Gasto",K3760="Variable",J3760&lt;&gt;"Trading",O3760&gt;0,O3760&lt;=Umbral),1,0))</f>
        <v/>
      </c>
      <c r="T3760" s="20">
        <f>IF(OR(I3760="",E3760=""),"",IF(OR(I3760="Gasto",I3760="Transferencia",I3760="Pago tarjeta"),-1,1)*C3760)</f>
        <v/>
      </c>
      <c r="U3760" s="20">
        <f>IF(OR(G3760="",AND(I3760&lt;&gt;"Transferencia",I3760&lt;&gt;"Pago tarjeta")),"",IF(IFERROR(INDEX(ctaMon,MATCH(G3760,ctaNom,0))&amp;"","DOP")=N3760,C3760,IF(N3760="USD",C3760*TasaUSD,C3760/TasaUSD)))</f>
        <v/>
      </c>
      <c r="V3760" s="20">
        <f>IF(I3760="","",IF(IFERROR(INDEX(ctaLiq,MATCH(E3760,ctaNom,0))="Sí",FALSE),IF(OR(I3760="Gasto",I3760="Transferencia",I3760="Pago tarjeta"),-1,1)*O3760,0)+IF(AND(U3760&lt;&gt;"",IFERROR(INDEX(ctaLiq,MATCH(G3760,ctaNom,0))="Sí",FALSE)),O3760,0))</f>
        <v/>
      </c>
      <c r="W3760" s="19">
        <f>IF(OR(F3760="",I3760=""),"",IF(COUNTIFS(F$6:F3760,F3760,I$6:I3760,"?*")=1,MAX(W$5:W3759)+1,""))</f>
        <v/>
      </c>
    </row>
    <row r="3761">
      <c r="B3761" s="15" t="n"/>
      <c r="C3761" s="16" t="n"/>
      <c r="D3761" s="17" t="n"/>
      <c r="E3761" s="17" t="n"/>
      <c r="F3761" s="17" t="n"/>
      <c r="G3761" s="17" t="n"/>
      <c r="H3761" s="18">
        <f>IF(AND(B3761="",C3761="",D3761="",E3761=""),"",IF(B3761="","⚠ Falta fecha",IF(C3761="","⚠ Falta monto",IF(D3761="","⚠ Falta categoría",IF(ISNA(MATCH(D3761,catNom,0)),"⚠ Categoría no existe",IF(E3761="","⚠ Falta cuenta",IF(ISNA(MATCH(E3761,ctaNom,0)),"⚠ Cuenta no existe",IF(AND(OR(I3761="Transferencia",I3761="Pago tarjeta"),G3761=""),"⚠ Indica la cuenta «Hacia»",IF(AND(G3761&lt;&gt;"",G3761=E3761),"⚠ «Hacia» igual a la cuenta",IF(AND(G3761&lt;&gt;"",ISNA(MATCH(G3761,ctaNom,0))),"⚠ «Hacia» no existe",IF(AND(I3761="Pago tarjeta",IFERROR(INDEX(ctaTipo,MATCH(G3761,ctaNom,0)),"")&lt;&gt;"Tarjeta de crédito"),"⚠ «Hacia» debe ser la tarjeta",IF(AND(I3761="Trading",IFERROR(INDEX(ctaTipo,MATCH(E3761,ctaNom,0)),"")&lt;&gt;"Cuenta de trading"),"⚠ Usa la cuenta de trading","✓"))))))))))))</f>
        <v/>
      </c>
      <c r="I3761" s="19">
        <f>IF(OR(B3761="",C3761="",D3761=""),"",IFERROR(INDEX(catTipo,MATCH(D3761,catNom,0))&amp;"",""))</f>
        <v/>
      </c>
      <c r="J3761" s="19">
        <f>IF(I3761="","",IFERROR(INDEX(catGrupo,MATCH(D3761,catNom,0))&amp;"",""))</f>
        <v/>
      </c>
      <c r="K3761" s="19">
        <f>IF(I3761="Gasto",IF(IFERROR(INDEX(catClas,MATCH(D3761,catNom,0))&amp;"","")="","Variable",IFERROR(INDEX(catClas,MATCH(D3761,catNom,0))&amp;"","")),"")</f>
        <v/>
      </c>
      <c r="L3761" s="19">
        <f>IF(I3761="","",IFERROR(INDEX(catAlim,MATCH(D3761,catNom,0))&amp;"",""))</f>
        <v/>
      </c>
      <c r="M3761" s="19">
        <f>IF(I3761="","",IFERROR(INDEX(catComida,MATCH(D3761,catNom,0))&amp;"",""))</f>
        <v/>
      </c>
      <c r="N3761" s="19">
        <f>IF(I3761="","",IFERROR(INDEX(ctaMon,MATCH(E3761,ctaNom,0))&amp;"","DOP"))</f>
        <v/>
      </c>
      <c r="O3761" s="20">
        <f>IF(I3761="","",C3761*IF(N3761="USD",TasaUSD,1))</f>
        <v/>
      </c>
      <c r="P3761" s="20">
        <f>IF(I3761="","",IF(I3761="Gasto",O3761,0))</f>
        <v/>
      </c>
      <c r="Q3761" s="20">
        <f>IF(I3761="","",IF(I3761="Ingreso",O3761,0))</f>
        <v/>
      </c>
      <c r="R3761" s="20">
        <f>IF(I3761="","",IF(I3761="Trading",O3761,0))</f>
        <v/>
      </c>
      <c r="S3761" s="19">
        <f>IF(I3761="","",IF(AND(I3761="Gasto",K3761="Variable",J3761&lt;&gt;"Trading",O3761&gt;0,O3761&lt;=Umbral),1,0))</f>
        <v/>
      </c>
      <c r="T3761" s="20">
        <f>IF(OR(I3761="",E3761=""),"",IF(OR(I3761="Gasto",I3761="Transferencia",I3761="Pago tarjeta"),-1,1)*C3761)</f>
        <v/>
      </c>
      <c r="U3761" s="20">
        <f>IF(OR(G3761="",AND(I3761&lt;&gt;"Transferencia",I3761&lt;&gt;"Pago tarjeta")),"",IF(IFERROR(INDEX(ctaMon,MATCH(G3761,ctaNom,0))&amp;"","DOP")=N3761,C3761,IF(N3761="USD",C3761*TasaUSD,C3761/TasaUSD)))</f>
        <v/>
      </c>
      <c r="V3761" s="20">
        <f>IF(I3761="","",IF(IFERROR(INDEX(ctaLiq,MATCH(E3761,ctaNom,0))="Sí",FALSE),IF(OR(I3761="Gasto",I3761="Transferencia",I3761="Pago tarjeta"),-1,1)*O3761,0)+IF(AND(U3761&lt;&gt;"",IFERROR(INDEX(ctaLiq,MATCH(G3761,ctaNom,0))="Sí",FALSE)),O3761,0))</f>
        <v/>
      </c>
      <c r="W3761" s="19">
        <f>IF(OR(F3761="",I3761=""),"",IF(COUNTIFS(F$6:F3761,F3761,I$6:I3761,"?*")=1,MAX(W$5:W3760)+1,""))</f>
        <v/>
      </c>
    </row>
    <row r="3762">
      <c r="B3762" s="15" t="n"/>
      <c r="C3762" s="16" t="n"/>
      <c r="D3762" s="17" t="n"/>
      <c r="E3762" s="17" t="n"/>
      <c r="F3762" s="17" t="n"/>
      <c r="G3762" s="17" t="n"/>
      <c r="H3762" s="18">
        <f>IF(AND(B3762="",C3762="",D3762="",E3762=""),"",IF(B3762="","⚠ Falta fecha",IF(C3762="","⚠ Falta monto",IF(D3762="","⚠ Falta categoría",IF(ISNA(MATCH(D3762,catNom,0)),"⚠ Categoría no existe",IF(E3762="","⚠ Falta cuenta",IF(ISNA(MATCH(E3762,ctaNom,0)),"⚠ Cuenta no existe",IF(AND(OR(I3762="Transferencia",I3762="Pago tarjeta"),G3762=""),"⚠ Indica la cuenta «Hacia»",IF(AND(G3762&lt;&gt;"",G3762=E3762),"⚠ «Hacia» igual a la cuenta",IF(AND(G3762&lt;&gt;"",ISNA(MATCH(G3762,ctaNom,0))),"⚠ «Hacia» no existe",IF(AND(I3762="Pago tarjeta",IFERROR(INDEX(ctaTipo,MATCH(G3762,ctaNom,0)),"")&lt;&gt;"Tarjeta de crédito"),"⚠ «Hacia» debe ser la tarjeta",IF(AND(I3762="Trading",IFERROR(INDEX(ctaTipo,MATCH(E3762,ctaNom,0)),"")&lt;&gt;"Cuenta de trading"),"⚠ Usa la cuenta de trading","✓"))))))))))))</f>
        <v/>
      </c>
      <c r="I3762" s="19">
        <f>IF(OR(B3762="",C3762="",D3762=""),"",IFERROR(INDEX(catTipo,MATCH(D3762,catNom,0))&amp;"",""))</f>
        <v/>
      </c>
      <c r="J3762" s="19">
        <f>IF(I3762="","",IFERROR(INDEX(catGrupo,MATCH(D3762,catNom,0))&amp;"",""))</f>
        <v/>
      </c>
      <c r="K3762" s="19">
        <f>IF(I3762="Gasto",IF(IFERROR(INDEX(catClas,MATCH(D3762,catNom,0))&amp;"","")="","Variable",IFERROR(INDEX(catClas,MATCH(D3762,catNom,0))&amp;"","")),"")</f>
        <v/>
      </c>
      <c r="L3762" s="19">
        <f>IF(I3762="","",IFERROR(INDEX(catAlim,MATCH(D3762,catNom,0))&amp;"",""))</f>
        <v/>
      </c>
      <c r="M3762" s="19">
        <f>IF(I3762="","",IFERROR(INDEX(catComida,MATCH(D3762,catNom,0))&amp;"",""))</f>
        <v/>
      </c>
      <c r="N3762" s="19">
        <f>IF(I3762="","",IFERROR(INDEX(ctaMon,MATCH(E3762,ctaNom,0))&amp;"","DOP"))</f>
        <v/>
      </c>
      <c r="O3762" s="20">
        <f>IF(I3762="","",C3762*IF(N3762="USD",TasaUSD,1))</f>
        <v/>
      </c>
      <c r="P3762" s="20">
        <f>IF(I3762="","",IF(I3762="Gasto",O3762,0))</f>
        <v/>
      </c>
      <c r="Q3762" s="20">
        <f>IF(I3762="","",IF(I3762="Ingreso",O3762,0))</f>
        <v/>
      </c>
      <c r="R3762" s="20">
        <f>IF(I3762="","",IF(I3762="Trading",O3762,0))</f>
        <v/>
      </c>
      <c r="S3762" s="19">
        <f>IF(I3762="","",IF(AND(I3762="Gasto",K3762="Variable",J3762&lt;&gt;"Trading",O3762&gt;0,O3762&lt;=Umbral),1,0))</f>
        <v/>
      </c>
      <c r="T3762" s="20">
        <f>IF(OR(I3762="",E3762=""),"",IF(OR(I3762="Gasto",I3762="Transferencia",I3762="Pago tarjeta"),-1,1)*C3762)</f>
        <v/>
      </c>
      <c r="U3762" s="20">
        <f>IF(OR(G3762="",AND(I3762&lt;&gt;"Transferencia",I3762&lt;&gt;"Pago tarjeta")),"",IF(IFERROR(INDEX(ctaMon,MATCH(G3762,ctaNom,0))&amp;"","DOP")=N3762,C3762,IF(N3762="USD",C3762*TasaUSD,C3762/TasaUSD)))</f>
        <v/>
      </c>
      <c r="V3762" s="20">
        <f>IF(I3762="","",IF(IFERROR(INDEX(ctaLiq,MATCH(E3762,ctaNom,0))="Sí",FALSE),IF(OR(I3762="Gasto",I3762="Transferencia",I3762="Pago tarjeta"),-1,1)*O3762,0)+IF(AND(U3762&lt;&gt;"",IFERROR(INDEX(ctaLiq,MATCH(G3762,ctaNom,0))="Sí",FALSE)),O3762,0))</f>
        <v/>
      </c>
      <c r="W3762" s="19">
        <f>IF(OR(F3762="",I3762=""),"",IF(COUNTIFS(F$6:F3762,F3762,I$6:I3762,"?*")=1,MAX(W$5:W3761)+1,""))</f>
        <v/>
      </c>
    </row>
    <row r="3763">
      <c r="B3763" s="15" t="n"/>
      <c r="C3763" s="16" t="n"/>
      <c r="D3763" s="17" t="n"/>
      <c r="E3763" s="17" t="n"/>
      <c r="F3763" s="17" t="n"/>
      <c r="G3763" s="17" t="n"/>
      <c r="H3763" s="18">
        <f>IF(AND(B3763="",C3763="",D3763="",E3763=""),"",IF(B3763="","⚠ Falta fecha",IF(C3763="","⚠ Falta monto",IF(D3763="","⚠ Falta categoría",IF(ISNA(MATCH(D3763,catNom,0)),"⚠ Categoría no existe",IF(E3763="","⚠ Falta cuenta",IF(ISNA(MATCH(E3763,ctaNom,0)),"⚠ Cuenta no existe",IF(AND(OR(I3763="Transferencia",I3763="Pago tarjeta"),G3763=""),"⚠ Indica la cuenta «Hacia»",IF(AND(G3763&lt;&gt;"",G3763=E3763),"⚠ «Hacia» igual a la cuenta",IF(AND(G3763&lt;&gt;"",ISNA(MATCH(G3763,ctaNom,0))),"⚠ «Hacia» no existe",IF(AND(I3763="Pago tarjeta",IFERROR(INDEX(ctaTipo,MATCH(G3763,ctaNom,0)),"")&lt;&gt;"Tarjeta de crédito"),"⚠ «Hacia» debe ser la tarjeta",IF(AND(I3763="Trading",IFERROR(INDEX(ctaTipo,MATCH(E3763,ctaNom,0)),"")&lt;&gt;"Cuenta de trading"),"⚠ Usa la cuenta de trading","✓"))))))))))))</f>
        <v/>
      </c>
      <c r="I3763" s="19">
        <f>IF(OR(B3763="",C3763="",D3763=""),"",IFERROR(INDEX(catTipo,MATCH(D3763,catNom,0))&amp;"",""))</f>
        <v/>
      </c>
      <c r="J3763" s="19">
        <f>IF(I3763="","",IFERROR(INDEX(catGrupo,MATCH(D3763,catNom,0))&amp;"",""))</f>
        <v/>
      </c>
      <c r="K3763" s="19">
        <f>IF(I3763="Gasto",IF(IFERROR(INDEX(catClas,MATCH(D3763,catNom,0))&amp;"","")="","Variable",IFERROR(INDEX(catClas,MATCH(D3763,catNom,0))&amp;"","")),"")</f>
        <v/>
      </c>
      <c r="L3763" s="19">
        <f>IF(I3763="","",IFERROR(INDEX(catAlim,MATCH(D3763,catNom,0))&amp;"",""))</f>
        <v/>
      </c>
      <c r="M3763" s="19">
        <f>IF(I3763="","",IFERROR(INDEX(catComida,MATCH(D3763,catNom,0))&amp;"",""))</f>
        <v/>
      </c>
      <c r="N3763" s="19">
        <f>IF(I3763="","",IFERROR(INDEX(ctaMon,MATCH(E3763,ctaNom,0))&amp;"","DOP"))</f>
        <v/>
      </c>
      <c r="O3763" s="20">
        <f>IF(I3763="","",C3763*IF(N3763="USD",TasaUSD,1))</f>
        <v/>
      </c>
      <c r="P3763" s="20">
        <f>IF(I3763="","",IF(I3763="Gasto",O3763,0))</f>
        <v/>
      </c>
      <c r="Q3763" s="20">
        <f>IF(I3763="","",IF(I3763="Ingreso",O3763,0))</f>
        <v/>
      </c>
      <c r="R3763" s="20">
        <f>IF(I3763="","",IF(I3763="Trading",O3763,0))</f>
        <v/>
      </c>
      <c r="S3763" s="19">
        <f>IF(I3763="","",IF(AND(I3763="Gasto",K3763="Variable",J3763&lt;&gt;"Trading",O3763&gt;0,O3763&lt;=Umbral),1,0))</f>
        <v/>
      </c>
      <c r="T3763" s="20">
        <f>IF(OR(I3763="",E3763=""),"",IF(OR(I3763="Gasto",I3763="Transferencia",I3763="Pago tarjeta"),-1,1)*C3763)</f>
        <v/>
      </c>
      <c r="U3763" s="20">
        <f>IF(OR(G3763="",AND(I3763&lt;&gt;"Transferencia",I3763&lt;&gt;"Pago tarjeta")),"",IF(IFERROR(INDEX(ctaMon,MATCH(G3763,ctaNom,0))&amp;"","DOP")=N3763,C3763,IF(N3763="USD",C3763*TasaUSD,C3763/TasaUSD)))</f>
        <v/>
      </c>
      <c r="V3763" s="20">
        <f>IF(I3763="","",IF(IFERROR(INDEX(ctaLiq,MATCH(E3763,ctaNom,0))="Sí",FALSE),IF(OR(I3763="Gasto",I3763="Transferencia",I3763="Pago tarjeta"),-1,1)*O3763,0)+IF(AND(U3763&lt;&gt;"",IFERROR(INDEX(ctaLiq,MATCH(G3763,ctaNom,0))="Sí",FALSE)),O3763,0))</f>
        <v/>
      </c>
      <c r="W3763" s="19">
        <f>IF(OR(F3763="",I3763=""),"",IF(COUNTIFS(F$6:F3763,F3763,I$6:I3763,"?*")=1,MAX(W$5:W3762)+1,""))</f>
        <v/>
      </c>
    </row>
    <row r="3764">
      <c r="B3764" s="15" t="n"/>
      <c r="C3764" s="16" t="n"/>
      <c r="D3764" s="17" t="n"/>
      <c r="E3764" s="17" t="n"/>
      <c r="F3764" s="17" t="n"/>
      <c r="G3764" s="17" t="n"/>
      <c r="H3764" s="18">
        <f>IF(AND(B3764="",C3764="",D3764="",E3764=""),"",IF(B3764="","⚠ Falta fecha",IF(C3764="","⚠ Falta monto",IF(D3764="","⚠ Falta categoría",IF(ISNA(MATCH(D3764,catNom,0)),"⚠ Categoría no existe",IF(E3764="","⚠ Falta cuenta",IF(ISNA(MATCH(E3764,ctaNom,0)),"⚠ Cuenta no existe",IF(AND(OR(I3764="Transferencia",I3764="Pago tarjeta"),G3764=""),"⚠ Indica la cuenta «Hacia»",IF(AND(G3764&lt;&gt;"",G3764=E3764),"⚠ «Hacia» igual a la cuenta",IF(AND(G3764&lt;&gt;"",ISNA(MATCH(G3764,ctaNom,0))),"⚠ «Hacia» no existe",IF(AND(I3764="Pago tarjeta",IFERROR(INDEX(ctaTipo,MATCH(G3764,ctaNom,0)),"")&lt;&gt;"Tarjeta de crédito"),"⚠ «Hacia» debe ser la tarjeta",IF(AND(I3764="Trading",IFERROR(INDEX(ctaTipo,MATCH(E3764,ctaNom,0)),"")&lt;&gt;"Cuenta de trading"),"⚠ Usa la cuenta de trading","✓"))))))))))))</f>
        <v/>
      </c>
      <c r="I3764" s="19">
        <f>IF(OR(B3764="",C3764="",D3764=""),"",IFERROR(INDEX(catTipo,MATCH(D3764,catNom,0))&amp;"",""))</f>
        <v/>
      </c>
      <c r="J3764" s="19">
        <f>IF(I3764="","",IFERROR(INDEX(catGrupo,MATCH(D3764,catNom,0))&amp;"",""))</f>
        <v/>
      </c>
      <c r="K3764" s="19">
        <f>IF(I3764="Gasto",IF(IFERROR(INDEX(catClas,MATCH(D3764,catNom,0))&amp;"","")="","Variable",IFERROR(INDEX(catClas,MATCH(D3764,catNom,0))&amp;"","")),"")</f>
        <v/>
      </c>
      <c r="L3764" s="19">
        <f>IF(I3764="","",IFERROR(INDEX(catAlim,MATCH(D3764,catNom,0))&amp;"",""))</f>
        <v/>
      </c>
      <c r="M3764" s="19">
        <f>IF(I3764="","",IFERROR(INDEX(catComida,MATCH(D3764,catNom,0))&amp;"",""))</f>
        <v/>
      </c>
      <c r="N3764" s="19">
        <f>IF(I3764="","",IFERROR(INDEX(ctaMon,MATCH(E3764,ctaNom,0))&amp;"","DOP"))</f>
        <v/>
      </c>
      <c r="O3764" s="20">
        <f>IF(I3764="","",C3764*IF(N3764="USD",TasaUSD,1))</f>
        <v/>
      </c>
      <c r="P3764" s="20">
        <f>IF(I3764="","",IF(I3764="Gasto",O3764,0))</f>
        <v/>
      </c>
      <c r="Q3764" s="20">
        <f>IF(I3764="","",IF(I3764="Ingreso",O3764,0))</f>
        <v/>
      </c>
      <c r="R3764" s="20">
        <f>IF(I3764="","",IF(I3764="Trading",O3764,0))</f>
        <v/>
      </c>
      <c r="S3764" s="19">
        <f>IF(I3764="","",IF(AND(I3764="Gasto",K3764="Variable",J3764&lt;&gt;"Trading",O3764&gt;0,O3764&lt;=Umbral),1,0))</f>
        <v/>
      </c>
      <c r="T3764" s="20">
        <f>IF(OR(I3764="",E3764=""),"",IF(OR(I3764="Gasto",I3764="Transferencia",I3764="Pago tarjeta"),-1,1)*C3764)</f>
        <v/>
      </c>
      <c r="U3764" s="20">
        <f>IF(OR(G3764="",AND(I3764&lt;&gt;"Transferencia",I3764&lt;&gt;"Pago tarjeta")),"",IF(IFERROR(INDEX(ctaMon,MATCH(G3764,ctaNom,0))&amp;"","DOP")=N3764,C3764,IF(N3764="USD",C3764*TasaUSD,C3764/TasaUSD)))</f>
        <v/>
      </c>
      <c r="V3764" s="20">
        <f>IF(I3764="","",IF(IFERROR(INDEX(ctaLiq,MATCH(E3764,ctaNom,0))="Sí",FALSE),IF(OR(I3764="Gasto",I3764="Transferencia",I3764="Pago tarjeta"),-1,1)*O3764,0)+IF(AND(U3764&lt;&gt;"",IFERROR(INDEX(ctaLiq,MATCH(G3764,ctaNom,0))="Sí",FALSE)),O3764,0))</f>
        <v/>
      </c>
      <c r="W3764" s="19">
        <f>IF(OR(F3764="",I3764=""),"",IF(COUNTIFS(F$6:F3764,F3764,I$6:I3764,"?*")=1,MAX(W$5:W3763)+1,""))</f>
        <v/>
      </c>
    </row>
    <row r="3765">
      <c r="B3765" s="15" t="n"/>
      <c r="C3765" s="16" t="n"/>
      <c r="D3765" s="17" t="n"/>
      <c r="E3765" s="17" t="n"/>
      <c r="F3765" s="17" t="n"/>
      <c r="G3765" s="17" t="n"/>
      <c r="H3765" s="18">
        <f>IF(AND(B3765="",C3765="",D3765="",E3765=""),"",IF(B3765="","⚠ Falta fecha",IF(C3765="","⚠ Falta monto",IF(D3765="","⚠ Falta categoría",IF(ISNA(MATCH(D3765,catNom,0)),"⚠ Categoría no existe",IF(E3765="","⚠ Falta cuenta",IF(ISNA(MATCH(E3765,ctaNom,0)),"⚠ Cuenta no existe",IF(AND(OR(I3765="Transferencia",I3765="Pago tarjeta"),G3765=""),"⚠ Indica la cuenta «Hacia»",IF(AND(G3765&lt;&gt;"",G3765=E3765),"⚠ «Hacia» igual a la cuenta",IF(AND(G3765&lt;&gt;"",ISNA(MATCH(G3765,ctaNom,0))),"⚠ «Hacia» no existe",IF(AND(I3765="Pago tarjeta",IFERROR(INDEX(ctaTipo,MATCH(G3765,ctaNom,0)),"")&lt;&gt;"Tarjeta de crédito"),"⚠ «Hacia» debe ser la tarjeta",IF(AND(I3765="Trading",IFERROR(INDEX(ctaTipo,MATCH(E3765,ctaNom,0)),"")&lt;&gt;"Cuenta de trading"),"⚠ Usa la cuenta de trading","✓"))))))))))))</f>
        <v/>
      </c>
      <c r="I3765" s="19">
        <f>IF(OR(B3765="",C3765="",D3765=""),"",IFERROR(INDEX(catTipo,MATCH(D3765,catNom,0))&amp;"",""))</f>
        <v/>
      </c>
      <c r="J3765" s="19">
        <f>IF(I3765="","",IFERROR(INDEX(catGrupo,MATCH(D3765,catNom,0))&amp;"",""))</f>
        <v/>
      </c>
      <c r="K3765" s="19">
        <f>IF(I3765="Gasto",IF(IFERROR(INDEX(catClas,MATCH(D3765,catNom,0))&amp;"","")="","Variable",IFERROR(INDEX(catClas,MATCH(D3765,catNom,0))&amp;"","")),"")</f>
        <v/>
      </c>
      <c r="L3765" s="19">
        <f>IF(I3765="","",IFERROR(INDEX(catAlim,MATCH(D3765,catNom,0))&amp;"",""))</f>
        <v/>
      </c>
      <c r="M3765" s="19">
        <f>IF(I3765="","",IFERROR(INDEX(catComida,MATCH(D3765,catNom,0))&amp;"",""))</f>
        <v/>
      </c>
      <c r="N3765" s="19">
        <f>IF(I3765="","",IFERROR(INDEX(ctaMon,MATCH(E3765,ctaNom,0))&amp;"","DOP"))</f>
        <v/>
      </c>
      <c r="O3765" s="20">
        <f>IF(I3765="","",C3765*IF(N3765="USD",TasaUSD,1))</f>
        <v/>
      </c>
      <c r="P3765" s="20">
        <f>IF(I3765="","",IF(I3765="Gasto",O3765,0))</f>
        <v/>
      </c>
      <c r="Q3765" s="20">
        <f>IF(I3765="","",IF(I3765="Ingreso",O3765,0))</f>
        <v/>
      </c>
      <c r="R3765" s="20">
        <f>IF(I3765="","",IF(I3765="Trading",O3765,0))</f>
        <v/>
      </c>
      <c r="S3765" s="19">
        <f>IF(I3765="","",IF(AND(I3765="Gasto",K3765="Variable",J3765&lt;&gt;"Trading",O3765&gt;0,O3765&lt;=Umbral),1,0))</f>
        <v/>
      </c>
      <c r="T3765" s="20">
        <f>IF(OR(I3765="",E3765=""),"",IF(OR(I3765="Gasto",I3765="Transferencia",I3765="Pago tarjeta"),-1,1)*C3765)</f>
        <v/>
      </c>
      <c r="U3765" s="20">
        <f>IF(OR(G3765="",AND(I3765&lt;&gt;"Transferencia",I3765&lt;&gt;"Pago tarjeta")),"",IF(IFERROR(INDEX(ctaMon,MATCH(G3765,ctaNom,0))&amp;"","DOP")=N3765,C3765,IF(N3765="USD",C3765*TasaUSD,C3765/TasaUSD)))</f>
        <v/>
      </c>
      <c r="V3765" s="20">
        <f>IF(I3765="","",IF(IFERROR(INDEX(ctaLiq,MATCH(E3765,ctaNom,0))="Sí",FALSE),IF(OR(I3765="Gasto",I3765="Transferencia",I3765="Pago tarjeta"),-1,1)*O3765,0)+IF(AND(U3765&lt;&gt;"",IFERROR(INDEX(ctaLiq,MATCH(G3765,ctaNom,0))="Sí",FALSE)),O3765,0))</f>
        <v/>
      </c>
      <c r="W3765" s="19">
        <f>IF(OR(F3765="",I3765=""),"",IF(COUNTIFS(F$6:F3765,F3765,I$6:I3765,"?*")=1,MAX(W$5:W3764)+1,""))</f>
        <v/>
      </c>
    </row>
    <row r="3766">
      <c r="B3766" s="15" t="n"/>
      <c r="C3766" s="16" t="n"/>
      <c r="D3766" s="17" t="n"/>
      <c r="E3766" s="17" t="n"/>
      <c r="F3766" s="17" t="n"/>
      <c r="G3766" s="17" t="n"/>
      <c r="H3766" s="18">
        <f>IF(AND(B3766="",C3766="",D3766="",E3766=""),"",IF(B3766="","⚠ Falta fecha",IF(C3766="","⚠ Falta monto",IF(D3766="","⚠ Falta categoría",IF(ISNA(MATCH(D3766,catNom,0)),"⚠ Categoría no existe",IF(E3766="","⚠ Falta cuenta",IF(ISNA(MATCH(E3766,ctaNom,0)),"⚠ Cuenta no existe",IF(AND(OR(I3766="Transferencia",I3766="Pago tarjeta"),G3766=""),"⚠ Indica la cuenta «Hacia»",IF(AND(G3766&lt;&gt;"",G3766=E3766),"⚠ «Hacia» igual a la cuenta",IF(AND(G3766&lt;&gt;"",ISNA(MATCH(G3766,ctaNom,0))),"⚠ «Hacia» no existe",IF(AND(I3766="Pago tarjeta",IFERROR(INDEX(ctaTipo,MATCH(G3766,ctaNom,0)),"")&lt;&gt;"Tarjeta de crédito"),"⚠ «Hacia» debe ser la tarjeta",IF(AND(I3766="Trading",IFERROR(INDEX(ctaTipo,MATCH(E3766,ctaNom,0)),"")&lt;&gt;"Cuenta de trading"),"⚠ Usa la cuenta de trading","✓"))))))))))))</f>
        <v/>
      </c>
      <c r="I3766" s="19">
        <f>IF(OR(B3766="",C3766="",D3766=""),"",IFERROR(INDEX(catTipo,MATCH(D3766,catNom,0))&amp;"",""))</f>
        <v/>
      </c>
      <c r="J3766" s="19">
        <f>IF(I3766="","",IFERROR(INDEX(catGrupo,MATCH(D3766,catNom,0))&amp;"",""))</f>
        <v/>
      </c>
      <c r="K3766" s="19">
        <f>IF(I3766="Gasto",IF(IFERROR(INDEX(catClas,MATCH(D3766,catNom,0))&amp;"","")="","Variable",IFERROR(INDEX(catClas,MATCH(D3766,catNom,0))&amp;"","")),"")</f>
        <v/>
      </c>
      <c r="L3766" s="19">
        <f>IF(I3766="","",IFERROR(INDEX(catAlim,MATCH(D3766,catNom,0))&amp;"",""))</f>
        <v/>
      </c>
      <c r="M3766" s="19">
        <f>IF(I3766="","",IFERROR(INDEX(catComida,MATCH(D3766,catNom,0))&amp;"",""))</f>
        <v/>
      </c>
      <c r="N3766" s="19">
        <f>IF(I3766="","",IFERROR(INDEX(ctaMon,MATCH(E3766,ctaNom,0))&amp;"","DOP"))</f>
        <v/>
      </c>
      <c r="O3766" s="20">
        <f>IF(I3766="","",C3766*IF(N3766="USD",TasaUSD,1))</f>
        <v/>
      </c>
      <c r="P3766" s="20">
        <f>IF(I3766="","",IF(I3766="Gasto",O3766,0))</f>
        <v/>
      </c>
      <c r="Q3766" s="20">
        <f>IF(I3766="","",IF(I3766="Ingreso",O3766,0))</f>
        <v/>
      </c>
      <c r="R3766" s="20">
        <f>IF(I3766="","",IF(I3766="Trading",O3766,0))</f>
        <v/>
      </c>
      <c r="S3766" s="19">
        <f>IF(I3766="","",IF(AND(I3766="Gasto",K3766="Variable",J3766&lt;&gt;"Trading",O3766&gt;0,O3766&lt;=Umbral),1,0))</f>
        <v/>
      </c>
      <c r="T3766" s="20">
        <f>IF(OR(I3766="",E3766=""),"",IF(OR(I3766="Gasto",I3766="Transferencia",I3766="Pago tarjeta"),-1,1)*C3766)</f>
        <v/>
      </c>
      <c r="U3766" s="20">
        <f>IF(OR(G3766="",AND(I3766&lt;&gt;"Transferencia",I3766&lt;&gt;"Pago tarjeta")),"",IF(IFERROR(INDEX(ctaMon,MATCH(G3766,ctaNom,0))&amp;"","DOP")=N3766,C3766,IF(N3766="USD",C3766*TasaUSD,C3766/TasaUSD)))</f>
        <v/>
      </c>
      <c r="V3766" s="20">
        <f>IF(I3766="","",IF(IFERROR(INDEX(ctaLiq,MATCH(E3766,ctaNom,0))="Sí",FALSE),IF(OR(I3766="Gasto",I3766="Transferencia",I3766="Pago tarjeta"),-1,1)*O3766,0)+IF(AND(U3766&lt;&gt;"",IFERROR(INDEX(ctaLiq,MATCH(G3766,ctaNom,0))="Sí",FALSE)),O3766,0))</f>
        <v/>
      </c>
      <c r="W3766" s="19">
        <f>IF(OR(F3766="",I3766=""),"",IF(COUNTIFS(F$6:F3766,F3766,I$6:I3766,"?*")=1,MAX(W$5:W3765)+1,""))</f>
        <v/>
      </c>
    </row>
    <row r="3767">
      <c r="B3767" s="15" t="n"/>
      <c r="C3767" s="16" t="n"/>
      <c r="D3767" s="17" t="n"/>
      <c r="E3767" s="17" t="n"/>
      <c r="F3767" s="17" t="n"/>
      <c r="G3767" s="17" t="n"/>
      <c r="H3767" s="18">
        <f>IF(AND(B3767="",C3767="",D3767="",E3767=""),"",IF(B3767="","⚠ Falta fecha",IF(C3767="","⚠ Falta monto",IF(D3767="","⚠ Falta categoría",IF(ISNA(MATCH(D3767,catNom,0)),"⚠ Categoría no existe",IF(E3767="","⚠ Falta cuenta",IF(ISNA(MATCH(E3767,ctaNom,0)),"⚠ Cuenta no existe",IF(AND(OR(I3767="Transferencia",I3767="Pago tarjeta"),G3767=""),"⚠ Indica la cuenta «Hacia»",IF(AND(G3767&lt;&gt;"",G3767=E3767),"⚠ «Hacia» igual a la cuenta",IF(AND(G3767&lt;&gt;"",ISNA(MATCH(G3767,ctaNom,0))),"⚠ «Hacia» no existe",IF(AND(I3767="Pago tarjeta",IFERROR(INDEX(ctaTipo,MATCH(G3767,ctaNom,0)),"")&lt;&gt;"Tarjeta de crédito"),"⚠ «Hacia» debe ser la tarjeta",IF(AND(I3767="Trading",IFERROR(INDEX(ctaTipo,MATCH(E3767,ctaNom,0)),"")&lt;&gt;"Cuenta de trading"),"⚠ Usa la cuenta de trading","✓"))))))))))))</f>
        <v/>
      </c>
      <c r="I3767" s="19">
        <f>IF(OR(B3767="",C3767="",D3767=""),"",IFERROR(INDEX(catTipo,MATCH(D3767,catNom,0))&amp;"",""))</f>
        <v/>
      </c>
      <c r="J3767" s="19">
        <f>IF(I3767="","",IFERROR(INDEX(catGrupo,MATCH(D3767,catNom,0))&amp;"",""))</f>
        <v/>
      </c>
      <c r="K3767" s="19">
        <f>IF(I3767="Gasto",IF(IFERROR(INDEX(catClas,MATCH(D3767,catNom,0))&amp;"","")="","Variable",IFERROR(INDEX(catClas,MATCH(D3767,catNom,0))&amp;"","")),"")</f>
        <v/>
      </c>
      <c r="L3767" s="19">
        <f>IF(I3767="","",IFERROR(INDEX(catAlim,MATCH(D3767,catNom,0))&amp;"",""))</f>
        <v/>
      </c>
      <c r="M3767" s="19">
        <f>IF(I3767="","",IFERROR(INDEX(catComida,MATCH(D3767,catNom,0))&amp;"",""))</f>
        <v/>
      </c>
      <c r="N3767" s="19">
        <f>IF(I3767="","",IFERROR(INDEX(ctaMon,MATCH(E3767,ctaNom,0))&amp;"","DOP"))</f>
        <v/>
      </c>
      <c r="O3767" s="20">
        <f>IF(I3767="","",C3767*IF(N3767="USD",TasaUSD,1))</f>
        <v/>
      </c>
      <c r="P3767" s="20">
        <f>IF(I3767="","",IF(I3767="Gasto",O3767,0))</f>
        <v/>
      </c>
      <c r="Q3767" s="20">
        <f>IF(I3767="","",IF(I3767="Ingreso",O3767,0))</f>
        <v/>
      </c>
      <c r="R3767" s="20">
        <f>IF(I3767="","",IF(I3767="Trading",O3767,0))</f>
        <v/>
      </c>
      <c r="S3767" s="19">
        <f>IF(I3767="","",IF(AND(I3767="Gasto",K3767="Variable",J3767&lt;&gt;"Trading",O3767&gt;0,O3767&lt;=Umbral),1,0))</f>
        <v/>
      </c>
      <c r="T3767" s="20">
        <f>IF(OR(I3767="",E3767=""),"",IF(OR(I3767="Gasto",I3767="Transferencia",I3767="Pago tarjeta"),-1,1)*C3767)</f>
        <v/>
      </c>
      <c r="U3767" s="20">
        <f>IF(OR(G3767="",AND(I3767&lt;&gt;"Transferencia",I3767&lt;&gt;"Pago tarjeta")),"",IF(IFERROR(INDEX(ctaMon,MATCH(G3767,ctaNom,0))&amp;"","DOP")=N3767,C3767,IF(N3767="USD",C3767*TasaUSD,C3767/TasaUSD)))</f>
        <v/>
      </c>
      <c r="V3767" s="20">
        <f>IF(I3767="","",IF(IFERROR(INDEX(ctaLiq,MATCH(E3767,ctaNom,0))="Sí",FALSE),IF(OR(I3767="Gasto",I3767="Transferencia",I3767="Pago tarjeta"),-1,1)*O3767,0)+IF(AND(U3767&lt;&gt;"",IFERROR(INDEX(ctaLiq,MATCH(G3767,ctaNom,0))="Sí",FALSE)),O3767,0))</f>
        <v/>
      </c>
      <c r="W3767" s="19">
        <f>IF(OR(F3767="",I3767=""),"",IF(COUNTIFS(F$6:F3767,F3767,I$6:I3767,"?*")=1,MAX(W$5:W3766)+1,""))</f>
        <v/>
      </c>
    </row>
    <row r="3768">
      <c r="B3768" s="15" t="n"/>
      <c r="C3768" s="16" t="n"/>
      <c r="D3768" s="17" t="n"/>
      <c r="E3768" s="17" t="n"/>
      <c r="F3768" s="17" t="n"/>
      <c r="G3768" s="17" t="n"/>
      <c r="H3768" s="18">
        <f>IF(AND(B3768="",C3768="",D3768="",E3768=""),"",IF(B3768="","⚠ Falta fecha",IF(C3768="","⚠ Falta monto",IF(D3768="","⚠ Falta categoría",IF(ISNA(MATCH(D3768,catNom,0)),"⚠ Categoría no existe",IF(E3768="","⚠ Falta cuenta",IF(ISNA(MATCH(E3768,ctaNom,0)),"⚠ Cuenta no existe",IF(AND(OR(I3768="Transferencia",I3768="Pago tarjeta"),G3768=""),"⚠ Indica la cuenta «Hacia»",IF(AND(G3768&lt;&gt;"",G3768=E3768),"⚠ «Hacia» igual a la cuenta",IF(AND(G3768&lt;&gt;"",ISNA(MATCH(G3768,ctaNom,0))),"⚠ «Hacia» no existe",IF(AND(I3768="Pago tarjeta",IFERROR(INDEX(ctaTipo,MATCH(G3768,ctaNom,0)),"")&lt;&gt;"Tarjeta de crédito"),"⚠ «Hacia» debe ser la tarjeta",IF(AND(I3768="Trading",IFERROR(INDEX(ctaTipo,MATCH(E3768,ctaNom,0)),"")&lt;&gt;"Cuenta de trading"),"⚠ Usa la cuenta de trading","✓"))))))))))))</f>
        <v/>
      </c>
      <c r="I3768" s="19">
        <f>IF(OR(B3768="",C3768="",D3768=""),"",IFERROR(INDEX(catTipo,MATCH(D3768,catNom,0))&amp;"",""))</f>
        <v/>
      </c>
      <c r="J3768" s="19">
        <f>IF(I3768="","",IFERROR(INDEX(catGrupo,MATCH(D3768,catNom,0))&amp;"",""))</f>
        <v/>
      </c>
      <c r="K3768" s="19">
        <f>IF(I3768="Gasto",IF(IFERROR(INDEX(catClas,MATCH(D3768,catNom,0))&amp;"","")="","Variable",IFERROR(INDEX(catClas,MATCH(D3768,catNom,0))&amp;"","")),"")</f>
        <v/>
      </c>
      <c r="L3768" s="19">
        <f>IF(I3768="","",IFERROR(INDEX(catAlim,MATCH(D3768,catNom,0))&amp;"",""))</f>
        <v/>
      </c>
      <c r="M3768" s="19">
        <f>IF(I3768="","",IFERROR(INDEX(catComida,MATCH(D3768,catNom,0))&amp;"",""))</f>
        <v/>
      </c>
      <c r="N3768" s="19">
        <f>IF(I3768="","",IFERROR(INDEX(ctaMon,MATCH(E3768,ctaNom,0))&amp;"","DOP"))</f>
        <v/>
      </c>
      <c r="O3768" s="20">
        <f>IF(I3768="","",C3768*IF(N3768="USD",TasaUSD,1))</f>
        <v/>
      </c>
      <c r="P3768" s="20">
        <f>IF(I3768="","",IF(I3768="Gasto",O3768,0))</f>
        <v/>
      </c>
      <c r="Q3768" s="20">
        <f>IF(I3768="","",IF(I3768="Ingreso",O3768,0))</f>
        <v/>
      </c>
      <c r="R3768" s="20">
        <f>IF(I3768="","",IF(I3768="Trading",O3768,0))</f>
        <v/>
      </c>
      <c r="S3768" s="19">
        <f>IF(I3768="","",IF(AND(I3768="Gasto",K3768="Variable",J3768&lt;&gt;"Trading",O3768&gt;0,O3768&lt;=Umbral),1,0))</f>
        <v/>
      </c>
      <c r="T3768" s="20">
        <f>IF(OR(I3768="",E3768=""),"",IF(OR(I3768="Gasto",I3768="Transferencia",I3768="Pago tarjeta"),-1,1)*C3768)</f>
        <v/>
      </c>
      <c r="U3768" s="20">
        <f>IF(OR(G3768="",AND(I3768&lt;&gt;"Transferencia",I3768&lt;&gt;"Pago tarjeta")),"",IF(IFERROR(INDEX(ctaMon,MATCH(G3768,ctaNom,0))&amp;"","DOP")=N3768,C3768,IF(N3768="USD",C3768*TasaUSD,C3768/TasaUSD)))</f>
        <v/>
      </c>
      <c r="V3768" s="20">
        <f>IF(I3768="","",IF(IFERROR(INDEX(ctaLiq,MATCH(E3768,ctaNom,0))="Sí",FALSE),IF(OR(I3768="Gasto",I3768="Transferencia",I3768="Pago tarjeta"),-1,1)*O3768,0)+IF(AND(U3768&lt;&gt;"",IFERROR(INDEX(ctaLiq,MATCH(G3768,ctaNom,0))="Sí",FALSE)),O3768,0))</f>
        <v/>
      </c>
      <c r="W3768" s="19">
        <f>IF(OR(F3768="",I3768=""),"",IF(COUNTIFS(F$6:F3768,F3768,I$6:I3768,"?*")=1,MAX(W$5:W3767)+1,""))</f>
        <v/>
      </c>
    </row>
    <row r="3769">
      <c r="B3769" s="15" t="n"/>
      <c r="C3769" s="16" t="n"/>
      <c r="D3769" s="17" t="n"/>
      <c r="E3769" s="17" t="n"/>
      <c r="F3769" s="17" t="n"/>
      <c r="G3769" s="17" t="n"/>
      <c r="H3769" s="18">
        <f>IF(AND(B3769="",C3769="",D3769="",E3769=""),"",IF(B3769="","⚠ Falta fecha",IF(C3769="","⚠ Falta monto",IF(D3769="","⚠ Falta categoría",IF(ISNA(MATCH(D3769,catNom,0)),"⚠ Categoría no existe",IF(E3769="","⚠ Falta cuenta",IF(ISNA(MATCH(E3769,ctaNom,0)),"⚠ Cuenta no existe",IF(AND(OR(I3769="Transferencia",I3769="Pago tarjeta"),G3769=""),"⚠ Indica la cuenta «Hacia»",IF(AND(G3769&lt;&gt;"",G3769=E3769),"⚠ «Hacia» igual a la cuenta",IF(AND(G3769&lt;&gt;"",ISNA(MATCH(G3769,ctaNom,0))),"⚠ «Hacia» no existe",IF(AND(I3769="Pago tarjeta",IFERROR(INDEX(ctaTipo,MATCH(G3769,ctaNom,0)),"")&lt;&gt;"Tarjeta de crédito"),"⚠ «Hacia» debe ser la tarjeta",IF(AND(I3769="Trading",IFERROR(INDEX(ctaTipo,MATCH(E3769,ctaNom,0)),"")&lt;&gt;"Cuenta de trading"),"⚠ Usa la cuenta de trading","✓"))))))))))))</f>
        <v/>
      </c>
      <c r="I3769" s="19">
        <f>IF(OR(B3769="",C3769="",D3769=""),"",IFERROR(INDEX(catTipo,MATCH(D3769,catNom,0))&amp;"",""))</f>
        <v/>
      </c>
      <c r="J3769" s="19">
        <f>IF(I3769="","",IFERROR(INDEX(catGrupo,MATCH(D3769,catNom,0))&amp;"",""))</f>
        <v/>
      </c>
      <c r="K3769" s="19">
        <f>IF(I3769="Gasto",IF(IFERROR(INDEX(catClas,MATCH(D3769,catNom,0))&amp;"","")="","Variable",IFERROR(INDEX(catClas,MATCH(D3769,catNom,0))&amp;"","")),"")</f>
        <v/>
      </c>
      <c r="L3769" s="19">
        <f>IF(I3769="","",IFERROR(INDEX(catAlim,MATCH(D3769,catNom,0))&amp;"",""))</f>
        <v/>
      </c>
      <c r="M3769" s="19">
        <f>IF(I3769="","",IFERROR(INDEX(catComida,MATCH(D3769,catNom,0))&amp;"",""))</f>
        <v/>
      </c>
      <c r="N3769" s="19">
        <f>IF(I3769="","",IFERROR(INDEX(ctaMon,MATCH(E3769,ctaNom,0))&amp;"","DOP"))</f>
        <v/>
      </c>
      <c r="O3769" s="20">
        <f>IF(I3769="","",C3769*IF(N3769="USD",TasaUSD,1))</f>
        <v/>
      </c>
      <c r="P3769" s="20">
        <f>IF(I3769="","",IF(I3769="Gasto",O3769,0))</f>
        <v/>
      </c>
      <c r="Q3769" s="20">
        <f>IF(I3769="","",IF(I3769="Ingreso",O3769,0))</f>
        <v/>
      </c>
      <c r="R3769" s="20">
        <f>IF(I3769="","",IF(I3769="Trading",O3769,0))</f>
        <v/>
      </c>
      <c r="S3769" s="19">
        <f>IF(I3769="","",IF(AND(I3769="Gasto",K3769="Variable",J3769&lt;&gt;"Trading",O3769&gt;0,O3769&lt;=Umbral),1,0))</f>
        <v/>
      </c>
      <c r="T3769" s="20">
        <f>IF(OR(I3769="",E3769=""),"",IF(OR(I3769="Gasto",I3769="Transferencia",I3769="Pago tarjeta"),-1,1)*C3769)</f>
        <v/>
      </c>
      <c r="U3769" s="20">
        <f>IF(OR(G3769="",AND(I3769&lt;&gt;"Transferencia",I3769&lt;&gt;"Pago tarjeta")),"",IF(IFERROR(INDEX(ctaMon,MATCH(G3769,ctaNom,0))&amp;"","DOP")=N3769,C3769,IF(N3769="USD",C3769*TasaUSD,C3769/TasaUSD)))</f>
        <v/>
      </c>
      <c r="V3769" s="20">
        <f>IF(I3769="","",IF(IFERROR(INDEX(ctaLiq,MATCH(E3769,ctaNom,0))="Sí",FALSE),IF(OR(I3769="Gasto",I3769="Transferencia",I3769="Pago tarjeta"),-1,1)*O3769,0)+IF(AND(U3769&lt;&gt;"",IFERROR(INDEX(ctaLiq,MATCH(G3769,ctaNom,0))="Sí",FALSE)),O3769,0))</f>
        <v/>
      </c>
      <c r="W3769" s="19">
        <f>IF(OR(F3769="",I3769=""),"",IF(COUNTIFS(F$6:F3769,F3769,I$6:I3769,"?*")=1,MAX(W$5:W3768)+1,""))</f>
        <v/>
      </c>
    </row>
    <row r="3770">
      <c r="B3770" s="15" t="n"/>
      <c r="C3770" s="16" t="n"/>
      <c r="D3770" s="17" t="n"/>
      <c r="E3770" s="17" t="n"/>
      <c r="F3770" s="17" t="n"/>
      <c r="G3770" s="17" t="n"/>
      <c r="H3770" s="18">
        <f>IF(AND(B3770="",C3770="",D3770="",E3770=""),"",IF(B3770="","⚠ Falta fecha",IF(C3770="","⚠ Falta monto",IF(D3770="","⚠ Falta categoría",IF(ISNA(MATCH(D3770,catNom,0)),"⚠ Categoría no existe",IF(E3770="","⚠ Falta cuenta",IF(ISNA(MATCH(E3770,ctaNom,0)),"⚠ Cuenta no existe",IF(AND(OR(I3770="Transferencia",I3770="Pago tarjeta"),G3770=""),"⚠ Indica la cuenta «Hacia»",IF(AND(G3770&lt;&gt;"",G3770=E3770),"⚠ «Hacia» igual a la cuenta",IF(AND(G3770&lt;&gt;"",ISNA(MATCH(G3770,ctaNom,0))),"⚠ «Hacia» no existe",IF(AND(I3770="Pago tarjeta",IFERROR(INDEX(ctaTipo,MATCH(G3770,ctaNom,0)),"")&lt;&gt;"Tarjeta de crédito"),"⚠ «Hacia» debe ser la tarjeta",IF(AND(I3770="Trading",IFERROR(INDEX(ctaTipo,MATCH(E3770,ctaNom,0)),"")&lt;&gt;"Cuenta de trading"),"⚠ Usa la cuenta de trading","✓"))))))))))))</f>
        <v/>
      </c>
      <c r="I3770" s="19">
        <f>IF(OR(B3770="",C3770="",D3770=""),"",IFERROR(INDEX(catTipo,MATCH(D3770,catNom,0))&amp;"",""))</f>
        <v/>
      </c>
      <c r="J3770" s="19">
        <f>IF(I3770="","",IFERROR(INDEX(catGrupo,MATCH(D3770,catNom,0))&amp;"",""))</f>
        <v/>
      </c>
      <c r="K3770" s="19">
        <f>IF(I3770="Gasto",IF(IFERROR(INDEX(catClas,MATCH(D3770,catNom,0))&amp;"","")="","Variable",IFERROR(INDEX(catClas,MATCH(D3770,catNom,0))&amp;"","")),"")</f>
        <v/>
      </c>
      <c r="L3770" s="19">
        <f>IF(I3770="","",IFERROR(INDEX(catAlim,MATCH(D3770,catNom,0))&amp;"",""))</f>
        <v/>
      </c>
      <c r="M3770" s="19">
        <f>IF(I3770="","",IFERROR(INDEX(catComida,MATCH(D3770,catNom,0))&amp;"",""))</f>
        <v/>
      </c>
      <c r="N3770" s="19">
        <f>IF(I3770="","",IFERROR(INDEX(ctaMon,MATCH(E3770,ctaNom,0))&amp;"","DOP"))</f>
        <v/>
      </c>
      <c r="O3770" s="20">
        <f>IF(I3770="","",C3770*IF(N3770="USD",TasaUSD,1))</f>
        <v/>
      </c>
      <c r="P3770" s="20">
        <f>IF(I3770="","",IF(I3770="Gasto",O3770,0))</f>
        <v/>
      </c>
      <c r="Q3770" s="20">
        <f>IF(I3770="","",IF(I3770="Ingreso",O3770,0))</f>
        <v/>
      </c>
      <c r="R3770" s="20">
        <f>IF(I3770="","",IF(I3770="Trading",O3770,0))</f>
        <v/>
      </c>
      <c r="S3770" s="19">
        <f>IF(I3770="","",IF(AND(I3770="Gasto",K3770="Variable",J3770&lt;&gt;"Trading",O3770&gt;0,O3770&lt;=Umbral),1,0))</f>
        <v/>
      </c>
      <c r="T3770" s="20">
        <f>IF(OR(I3770="",E3770=""),"",IF(OR(I3770="Gasto",I3770="Transferencia",I3770="Pago tarjeta"),-1,1)*C3770)</f>
        <v/>
      </c>
      <c r="U3770" s="20">
        <f>IF(OR(G3770="",AND(I3770&lt;&gt;"Transferencia",I3770&lt;&gt;"Pago tarjeta")),"",IF(IFERROR(INDEX(ctaMon,MATCH(G3770,ctaNom,0))&amp;"","DOP")=N3770,C3770,IF(N3770="USD",C3770*TasaUSD,C3770/TasaUSD)))</f>
        <v/>
      </c>
      <c r="V3770" s="20">
        <f>IF(I3770="","",IF(IFERROR(INDEX(ctaLiq,MATCH(E3770,ctaNom,0))="Sí",FALSE),IF(OR(I3770="Gasto",I3770="Transferencia",I3770="Pago tarjeta"),-1,1)*O3770,0)+IF(AND(U3770&lt;&gt;"",IFERROR(INDEX(ctaLiq,MATCH(G3770,ctaNom,0))="Sí",FALSE)),O3770,0))</f>
        <v/>
      </c>
      <c r="W3770" s="19">
        <f>IF(OR(F3770="",I3770=""),"",IF(COUNTIFS(F$6:F3770,F3770,I$6:I3770,"?*")=1,MAX(W$5:W3769)+1,""))</f>
        <v/>
      </c>
    </row>
    <row r="3771">
      <c r="B3771" s="15" t="n"/>
      <c r="C3771" s="16" t="n"/>
      <c r="D3771" s="17" t="n"/>
      <c r="E3771" s="17" t="n"/>
      <c r="F3771" s="17" t="n"/>
      <c r="G3771" s="17" t="n"/>
      <c r="H3771" s="18">
        <f>IF(AND(B3771="",C3771="",D3771="",E3771=""),"",IF(B3771="","⚠ Falta fecha",IF(C3771="","⚠ Falta monto",IF(D3771="","⚠ Falta categoría",IF(ISNA(MATCH(D3771,catNom,0)),"⚠ Categoría no existe",IF(E3771="","⚠ Falta cuenta",IF(ISNA(MATCH(E3771,ctaNom,0)),"⚠ Cuenta no existe",IF(AND(OR(I3771="Transferencia",I3771="Pago tarjeta"),G3771=""),"⚠ Indica la cuenta «Hacia»",IF(AND(G3771&lt;&gt;"",G3771=E3771),"⚠ «Hacia» igual a la cuenta",IF(AND(G3771&lt;&gt;"",ISNA(MATCH(G3771,ctaNom,0))),"⚠ «Hacia» no existe",IF(AND(I3771="Pago tarjeta",IFERROR(INDEX(ctaTipo,MATCH(G3771,ctaNom,0)),"")&lt;&gt;"Tarjeta de crédito"),"⚠ «Hacia» debe ser la tarjeta",IF(AND(I3771="Trading",IFERROR(INDEX(ctaTipo,MATCH(E3771,ctaNom,0)),"")&lt;&gt;"Cuenta de trading"),"⚠ Usa la cuenta de trading","✓"))))))))))))</f>
        <v/>
      </c>
      <c r="I3771" s="19">
        <f>IF(OR(B3771="",C3771="",D3771=""),"",IFERROR(INDEX(catTipo,MATCH(D3771,catNom,0))&amp;"",""))</f>
        <v/>
      </c>
      <c r="J3771" s="19">
        <f>IF(I3771="","",IFERROR(INDEX(catGrupo,MATCH(D3771,catNom,0))&amp;"",""))</f>
        <v/>
      </c>
      <c r="K3771" s="19">
        <f>IF(I3771="Gasto",IF(IFERROR(INDEX(catClas,MATCH(D3771,catNom,0))&amp;"","")="","Variable",IFERROR(INDEX(catClas,MATCH(D3771,catNom,0))&amp;"","")),"")</f>
        <v/>
      </c>
      <c r="L3771" s="19">
        <f>IF(I3771="","",IFERROR(INDEX(catAlim,MATCH(D3771,catNom,0))&amp;"",""))</f>
        <v/>
      </c>
      <c r="M3771" s="19">
        <f>IF(I3771="","",IFERROR(INDEX(catComida,MATCH(D3771,catNom,0))&amp;"",""))</f>
        <v/>
      </c>
      <c r="N3771" s="19">
        <f>IF(I3771="","",IFERROR(INDEX(ctaMon,MATCH(E3771,ctaNom,0))&amp;"","DOP"))</f>
        <v/>
      </c>
      <c r="O3771" s="20">
        <f>IF(I3771="","",C3771*IF(N3771="USD",TasaUSD,1))</f>
        <v/>
      </c>
      <c r="P3771" s="20">
        <f>IF(I3771="","",IF(I3771="Gasto",O3771,0))</f>
        <v/>
      </c>
      <c r="Q3771" s="20">
        <f>IF(I3771="","",IF(I3771="Ingreso",O3771,0))</f>
        <v/>
      </c>
      <c r="R3771" s="20">
        <f>IF(I3771="","",IF(I3771="Trading",O3771,0))</f>
        <v/>
      </c>
      <c r="S3771" s="19">
        <f>IF(I3771="","",IF(AND(I3771="Gasto",K3771="Variable",J3771&lt;&gt;"Trading",O3771&gt;0,O3771&lt;=Umbral),1,0))</f>
        <v/>
      </c>
      <c r="T3771" s="20">
        <f>IF(OR(I3771="",E3771=""),"",IF(OR(I3771="Gasto",I3771="Transferencia",I3771="Pago tarjeta"),-1,1)*C3771)</f>
        <v/>
      </c>
      <c r="U3771" s="20">
        <f>IF(OR(G3771="",AND(I3771&lt;&gt;"Transferencia",I3771&lt;&gt;"Pago tarjeta")),"",IF(IFERROR(INDEX(ctaMon,MATCH(G3771,ctaNom,0))&amp;"","DOP")=N3771,C3771,IF(N3771="USD",C3771*TasaUSD,C3771/TasaUSD)))</f>
        <v/>
      </c>
      <c r="V3771" s="20">
        <f>IF(I3771="","",IF(IFERROR(INDEX(ctaLiq,MATCH(E3771,ctaNom,0))="Sí",FALSE),IF(OR(I3771="Gasto",I3771="Transferencia",I3771="Pago tarjeta"),-1,1)*O3771,0)+IF(AND(U3771&lt;&gt;"",IFERROR(INDEX(ctaLiq,MATCH(G3771,ctaNom,0))="Sí",FALSE)),O3771,0))</f>
        <v/>
      </c>
      <c r="W3771" s="19">
        <f>IF(OR(F3771="",I3771=""),"",IF(COUNTIFS(F$6:F3771,F3771,I$6:I3771,"?*")=1,MAX(W$5:W3770)+1,""))</f>
        <v/>
      </c>
    </row>
    <row r="3772">
      <c r="B3772" s="15" t="n"/>
      <c r="C3772" s="16" t="n"/>
      <c r="D3772" s="17" t="n"/>
      <c r="E3772" s="17" t="n"/>
      <c r="F3772" s="17" t="n"/>
      <c r="G3772" s="17" t="n"/>
      <c r="H3772" s="18">
        <f>IF(AND(B3772="",C3772="",D3772="",E3772=""),"",IF(B3772="","⚠ Falta fecha",IF(C3772="","⚠ Falta monto",IF(D3772="","⚠ Falta categoría",IF(ISNA(MATCH(D3772,catNom,0)),"⚠ Categoría no existe",IF(E3772="","⚠ Falta cuenta",IF(ISNA(MATCH(E3772,ctaNom,0)),"⚠ Cuenta no existe",IF(AND(OR(I3772="Transferencia",I3772="Pago tarjeta"),G3772=""),"⚠ Indica la cuenta «Hacia»",IF(AND(G3772&lt;&gt;"",G3772=E3772),"⚠ «Hacia» igual a la cuenta",IF(AND(G3772&lt;&gt;"",ISNA(MATCH(G3772,ctaNom,0))),"⚠ «Hacia» no existe",IF(AND(I3772="Pago tarjeta",IFERROR(INDEX(ctaTipo,MATCH(G3772,ctaNom,0)),"")&lt;&gt;"Tarjeta de crédito"),"⚠ «Hacia» debe ser la tarjeta",IF(AND(I3772="Trading",IFERROR(INDEX(ctaTipo,MATCH(E3772,ctaNom,0)),"")&lt;&gt;"Cuenta de trading"),"⚠ Usa la cuenta de trading","✓"))))))))))))</f>
        <v/>
      </c>
      <c r="I3772" s="19">
        <f>IF(OR(B3772="",C3772="",D3772=""),"",IFERROR(INDEX(catTipo,MATCH(D3772,catNom,0))&amp;"",""))</f>
        <v/>
      </c>
      <c r="J3772" s="19">
        <f>IF(I3772="","",IFERROR(INDEX(catGrupo,MATCH(D3772,catNom,0))&amp;"",""))</f>
        <v/>
      </c>
      <c r="K3772" s="19">
        <f>IF(I3772="Gasto",IF(IFERROR(INDEX(catClas,MATCH(D3772,catNom,0))&amp;"","")="","Variable",IFERROR(INDEX(catClas,MATCH(D3772,catNom,0))&amp;"","")),"")</f>
        <v/>
      </c>
      <c r="L3772" s="19">
        <f>IF(I3772="","",IFERROR(INDEX(catAlim,MATCH(D3772,catNom,0))&amp;"",""))</f>
        <v/>
      </c>
      <c r="M3772" s="19">
        <f>IF(I3772="","",IFERROR(INDEX(catComida,MATCH(D3772,catNom,0))&amp;"",""))</f>
        <v/>
      </c>
      <c r="N3772" s="19">
        <f>IF(I3772="","",IFERROR(INDEX(ctaMon,MATCH(E3772,ctaNom,0))&amp;"","DOP"))</f>
        <v/>
      </c>
      <c r="O3772" s="20">
        <f>IF(I3772="","",C3772*IF(N3772="USD",TasaUSD,1))</f>
        <v/>
      </c>
      <c r="P3772" s="20">
        <f>IF(I3772="","",IF(I3772="Gasto",O3772,0))</f>
        <v/>
      </c>
      <c r="Q3772" s="20">
        <f>IF(I3772="","",IF(I3772="Ingreso",O3772,0))</f>
        <v/>
      </c>
      <c r="R3772" s="20">
        <f>IF(I3772="","",IF(I3772="Trading",O3772,0))</f>
        <v/>
      </c>
      <c r="S3772" s="19">
        <f>IF(I3772="","",IF(AND(I3772="Gasto",K3772="Variable",J3772&lt;&gt;"Trading",O3772&gt;0,O3772&lt;=Umbral),1,0))</f>
        <v/>
      </c>
      <c r="T3772" s="20">
        <f>IF(OR(I3772="",E3772=""),"",IF(OR(I3772="Gasto",I3772="Transferencia",I3772="Pago tarjeta"),-1,1)*C3772)</f>
        <v/>
      </c>
      <c r="U3772" s="20">
        <f>IF(OR(G3772="",AND(I3772&lt;&gt;"Transferencia",I3772&lt;&gt;"Pago tarjeta")),"",IF(IFERROR(INDEX(ctaMon,MATCH(G3772,ctaNom,0))&amp;"","DOP")=N3772,C3772,IF(N3772="USD",C3772*TasaUSD,C3772/TasaUSD)))</f>
        <v/>
      </c>
      <c r="V3772" s="20">
        <f>IF(I3772="","",IF(IFERROR(INDEX(ctaLiq,MATCH(E3772,ctaNom,0))="Sí",FALSE),IF(OR(I3772="Gasto",I3772="Transferencia",I3772="Pago tarjeta"),-1,1)*O3772,0)+IF(AND(U3772&lt;&gt;"",IFERROR(INDEX(ctaLiq,MATCH(G3772,ctaNom,0))="Sí",FALSE)),O3772,0))</f>
        <v/>
      </c>
      <c r="W3772" s="19">
        <f>IF(OR(F3772="",I3772=""),"",IF(COUNTIFS(F$6:F3772,F3772,I$6:I3772,"?*")=1,MAX(W$5:W3771)+1,""))</f>
        <v/>
      </c>
    </row>
    <row r="3773">
      <c r="B3773" s="15" t="n"/>
      <c r="C3773" s="16" t="n"/>
      <c r="D3773" s="17" t="n"/>
      <c r="E3773" s="17" t="n"/>
      <c r="F3773" s="17" t="n"/>
      <c r="G3773" s="17" t="n"/>
      <c r="H3773" s="18">
        <f>IF(AND(B3773="",C3773="",D3773="",E3773=""),"",IF(B3773="","⚠ Falta fecha",IF(C3773="","⚠ Falta monto",IF(D3773="","⚠ Falta categoría",IF(ISNA(MATCH(D3773,catNom,0)),"⚠ Categoría no existe",IF(E3773="","⚠ Falta cuenta",IF(ISNA(MATCH(E3773,ctaNom,0)),"⚠ Cuenta no existe",IF(AND(OR(I3773="Transferencia",I3773="Pago tarjeta"),G3773=""),"⚠ Indica la cuenta «Hacia»",IF(AND(G3773&lt;&gt;"",G3773=E3773),"⚠ «Hacia» igual a la cuenta",IF(AND(G3773&lt;&gt;"",ISNA(MATCH(G3773,ctaNom,0))),"⚠ «Hacia» no existe",IF(AND(I3773="Pago tarjeta",IFERROR(INDEX(ctaTipo,MATCH(G3773,ctaNom,0)),"")&lt;&gt;"Tarjeta de crédito"),"⚠ «Hacia» debe ser la tarjeta",IF(AND(I3773="Trading",IFERROR(INDEX(ctaTipo,MATCH(E3773,ctaNom,0)),"")&lt;&gt;"Cuenta de trading"),"⚠ Usa la cuenta de trading","✓"))))))))))))</f>
        <v/>
      </c>
      <c r="I3773" s="19">
        <f>IF(OR(B3773="",C3773="",D3773=""),"",IFERROR(INDEX(catTipo,MATCH(D3773,catNom,0))&amp;"",""))</f>
        <v/>
      </c>
      <c r="J3773" s="19">
        <f>IF(I3773="","",IFERROR(INDEX(catGrupo,MATCH(D3773,catNom,0))&amp;"",""))</f>
        <v/>
      </c>
      <c r="K3773" s="19">
        <f>IF(I3773="Gasto",IF(IFERROR(INDEX(catClas,MATCH(D3773,catNom,0))&amp;"","")="","Variable",IFERROR(INDEX(catClas,MATCH(D3773,catNom,0))&amp;"","")),"")</f>
        <v/>
      </c>
      <c r="L3773" s="19">
        <f>IF(I3773="","",IFERROR(INDEX(catAlim,MATCH(D3773,catNom,0))&amp;"",""))</f>
        <v/>
      </c>
      <c r="M3773" s="19">
        <f>IF(I3773="","",IFERROR(INDEX(catComida,MATCH(D3773,catNom,0))&amp;"",""))</f>
        <v/>
      </c>
      <c r="N3773" s="19">
        <f>IF(I3773="","",IFERROR(INDEX(ctaMon,MATCH(E3773,ctaNom,0))&amp;"","DOP"))</f>
        <v/>
      </c>
      <c r="O3773" s="20">
        <f>IF(I3773="","",C3773*IF(N3773="USD",TasaUSD,1))</f>
        <v/>
      </c>
      <c r="P3773" s="20">
        <f>IF(I3773="","",IF(I3773="Gasto",O3773,0))</f>
        <v/>
      </c>
      <c r="Q3773" s="20">
        <f>IF(I3773="","",IF(I3773="Ingreso",O3773,0))</f>
        <v/>
      </c>
      <c r="R3773" s="20">
        <f>IF(I3773="","",IF(I3773="Trading",O3773,0))</f>
        <v/>
      </c>
      <c r="S3773" s="19">
        <f>IF(I3773="","",IF(AND(I3773="Gasto",K3773="Variable",J3773&lt;&gt;"Trading",O3773&gt;0,O3773&lt;=Umbral),1,0))</f>
        <v/>
      </c>
      <c r="T3773" s="20">
        <f>IF(OR(I3773="",E3773=""),"",IF(OR(I3773="Gasto",I3773="Transferencia",I3773="Pago tarjeta"),-1,1)*C3773)</f>
        <v/>
      </c>
      <c r="U3773" s="20">
        <f>IF(OR(G3773="",AND(I3773&lt;&gt;"Transferencia",I3773&lt;&gt;"Pago tarjeta")),"",IF(IFERROR(INDEX(ctaMon,MATCH(G3773,ctaNom,0))&amp;"","DOP")=N3773,C3773,IF(N3773="USD",C3773*TasaUSD,C3773/TasaUSD)))</f>
        <v/>
      </c>
      <c r="V3773" s="20">
        <f>IF(I3773="","",IF(IFERROR(INDEX(ctaLiq,MATCH(E3773,ctaNom,0))="Sí",FALSE),IF(OR(I3773="Gasto",I3773="Transferencia",I3773="Pago tarjeta"),-1,1)*O3773,0)+IF(AND(U3773&lt;&gt;"",IFERROR(INDEX(ctaLiq,MATCH(G3773,ctaNom,0))="Sí",FALSE)),O3773,0))</f>
        <v/>
      </c>
      <c r="W3773" s="19">
        <f>IF(OR(F3773="",I3773=""),"",IF(COUNTIFS(F$6:F3773,F3773,I$6:I3773,"?*")=1,MAX(W$5:W3772)+1,""))</f>
        <v/>
      </c>
    </row>
    <row r="3774">
      <c r="B3774" s="15" t="n"/>
      <c r="C3774" s="16" t="n"/>
      <c r="D3774" s="17" t="n"/>
      <c r="E3774" s="17" t="n"/>
      <c r="F3774" s="17" t="n"/>
      <c r="G3774" s="17" t="n"/>
      <c r="H3774" s="18">
        <f>IF(AND(B3774="",C3774="",D3774="",E3774=""),"",IF(B3774="","⚠ Falta fecha",IF(C3774="","⚠ Falta monto",IF(D3774="","⚠ Falta categoría",IF(ISNA(MATCH(D3774,catNom,0)),"⚠ Categoría no existe",IF(E3774="","⚠ Falta cuenta",IF(ISNA(MATCH(E3774,ctaNom,0)),"⚠ Cuenta no existe",IF(AND(OR(I3774="Transferencia",I3774="Pago tarjeta"),G3774=""),"⚠ Indica la cuenta «Hacia»",IF(AND(G3774&lt;&gt;"",G3774=E3774),"⚠ «Hacia» igual a la cuenta",IF(AND(G3774&lt;&gt;"",ISNA(MATCH(G3774,ctaNom,0))),"⚠ «Hacia» no existe",IF(AND(I3774="Pago tarjeta",IFERROR(INDEX(ctaTipo,MATCH(G3774,ctaNom,0)),"")&lt;&gt;"Tarjeta de crédito"),"⚠ «Hacia» debe ser la tarjeta",IF(AND(I3774="Trading",IFERROR(INDEX(ctaTipo,MATCH(E3774,ctaNom,0)),"")&lt;&gt;"Cuenta de trading"),"⚠ Usa la cuenta de trading","✓"))))))))))))</f>
        <v/>
      </c>
      <c r="I3774" s="19">
        <f>IF(OR(B3774="",C3774="",D3774=""),"",IFERROR(INDEX(catTipo,MATCH(D3774,catNom,0))&amp;"",""))</f>
        <v/>
      </c>
      <c r="J3774" s="19">
        <f>IF(I3774="","",IFERROR(INDEX(catGrupo,MATCH(D3774,catNom,0))&amp;"",""))</f>
        <v/>
      </c>
      <c r="K3774" s="19">
        <f>IF(I3774="Gasto",IF(IFERROR(INDEX(catClas,MATCH(D3774,catNom,0))&amp;"","")="","Variable",IFERROR(INDEX(catClas,MATCH(D3774,catNom,0))&amp;"","")),"")</f>
        <v/>
      </c>
      <c r="L3774" s="19">
        <f>IF(I3774="","",IFERROR(INDEX(catAlim,MATCH(D3774,catNom,0))&amp;"",""))</f>
        <v/>
      </c>
      <c r="M3774" s="19">
        <f>IF(I3774="","",IFERROR(INDEX(catComida,MATCH(D3774,catNom,0))&amp;"",""))</f>
        <v/>
      </c>
      <c r="N3774" s="19">
        <f>IF(I3774="","",IFERROR(INDEX(ctaMon,MATCH(E3774,ctaNom,0))&amp;"","DOP"))</f>
        <v/>
      </c>
      <c r="O3774" s="20">
        <f>IF(I3774="","",C3774*IF(N3774="USD",TasaUSD,1))</f>
        <v/>
      </c>
      <c r="P3774" s="20">
        <f>IF(I3774="","",IF(I3774="Gasto",O3774,0))</f>
        <v/>
      </c>
      <c r="Q3774" s="20">
        <f>IF(I3774="","",IF(I3774="Ingreso",O3774,0))</f>
        <v/>
      </c>
      <c r="R3774" s="20">
        <f>IF(I3774="","",IF(I3774="Trading",O3774,0))</f>
        <v/>
      </c>
      <c r="S3774" s="19">
        <f>IF(I3774="","",IF(AND(I3774="Gasto",K3774="Variable",J3774&lt;&gt;"Trading",O3774&gt;0,O3774&lt;=Umbral),1,0))</f>
        <v/>
      </c>
      <c r="T3774" s="20">
        <f>IF(OR(I3774="",E3774=""),"",IF(OR(I3774="Gasto",I3774="Transferencia",I3774="Pago tarjeta"),-1,1)*C3774)</f>
        <v/>
      </c>
      <c r="U3774" s="20">
        <f>IF(OR(G3774="",AND(I3774&lt;&gt;"Transferencia",I3774&lt;&gt;"Pago tarjeta")),"",IF(IFERROR(INDEX(ctaMon,MATCH(G3774,ctaNom,0))&amp;"","DOP")=N3774,C3774,IF(N3774="USD",C3774*TasaUSD,C3774/TasaUSD)))</f>
        <v/>
      </c>
      <c r="V3774" s="20">
        <f>IF(I3774="","",IF(IFERROR(INDEX(ctaLiq,MATCH(E3774,ctaNom,0))="Sí",FALSE),IF(OR(I3774="Gasto",I3774="Transferencia",I3774="Pago tarjeta"),-1,1)*O3774,0)+IF(AND(U3774&lt;&gt;"",IFERROR(INDEX(ctaLiq,MATCH(G3774,ctaNom,0))="Sí",FALSE)),O3774,0))</f>
        <v/>
      </c>
      <c r="W3774" s="19">
        <f>IF(OR(F3774="",I3774=""),"",IF(COUNTIFS(F$6:F3774,F3774,I$6:I3774,"?*")=1,MAX(W$5:W3773)+1,""))</f>
        <v/>
      </c>
    </row>
    <row r="3775">
      <c r="B3775" s="15" t="n"/>
      <c r="C3775" s="16" t="n"/>
      <c r="D3775" s="17" t="n"/>
      <c r="E3775" s="17" t="n"/>
      <c r="F3775" s="17" t="n"/>
      <c r="G3775" s="17" t="n"/>
      <c r="H3775" s="18">
        <f>IF(AND(B3775="",C3775="",D3775="",E3775=""),"",IF(B3775="","⚠ Falta fecha",IF(C3775="","⚠ Falta monto",IF(D3775="","⚠ Falta categoría",IF(ISNA(MATCH(D3775,catNom,0)),"⚠ Categoría no existe",IF(E3775="","⚠ Falta cuenta",IF(ISNA(MATCH(E3775,ctaNom,0)),"⚠ Cuenta no existe",IF(AND(OR(I3775="Transferencia",I3775="Pago tarjeta"),G3775=""),"⚠ Indica la cuenta «Hacia»",IF(AND(G3775&lt;&gt;"",G3775=E3775),"⚠ «Hacia» igual a la cuenta",IF(AND(G3775&lt;&gt;"",ISNA(MATCH(G3775,ctaNom,0))),"⚠ «Hacia» no existe",IF(AND(I3775="Pago tarjeta",IFERROR(INDEX(ctaTipo,MATCH(G3775,ctaNom,0)),"")&lt;&gt;"Tarjeta de crédito"),"⚠ «Hacia» debe ser la tarjeta",IF(AND(I3775="Trading",IFERROR(INDEX(ctaTipo,MATCH(E3775,ctaNom,0)),"")&lt;&gt;"Cuenta de trading"),"⚠ Usa la cuenta de trading","✓"))))))))))))</f>
        <v/>
      </c>
      <c r="I3775" s="19">
        <f>IF(OR(B3775="",C3775="",D3775=""),"",IFERROR(INDEX(catTipo,MATCH(D3775,catNom,0))&amp;"",""))</f>
        <v/>
      </c>
      <c r="J3775" s="19">
        <f>IF(I3775="","",IFERROR(INDEX(catGrupo,MATCH(D3775,catNom,0))&amp;"",""))</f>
        <v/>
      </c>
      <c r="K3775" s="19">
        <f>IF(I3775="Gasto",IF(IFERROR(INDEX(catClas,MATCH(D3775,catNom,0))&amp;"","")="","Variable",IFERROR(INDEX(catClas,MATCH(D3775,catNom,0))&amp;"","")),"")</f>
        <v/>
      </c>
      <c r="L3775" s="19">
        <f>IF(I3775="","",IFERROR(INDEX(catAlim,MATCH(D3775,catNom,0))&amp;"",""))</f>
        <v/>
      </c>
      <c r="M3775" s="19">
        <f>IF(I3775="","",IFERROR(INDEX(catComida,MATCH(D3775,catNom,0))&amp;"",""))</f>
        <v/>
      </c>
      <c r="N3775" s="19">
        <f>IF(I3775="","",IFERROR(INDEX(ctaMon,MATCH(E3775,ctaNom,0))&amp;"","DOP"))</f>
        <v/>
      </c>
      <c r="O3775" s="20">
        <f>IF(I3775="","",C3775*IF(N3775="USD",TasaUSD,1))</f>
        <v/>
      </c>
      <c r="P3775" s="20">
        <f>IF(I3775="","",IF(I3775="Gasto",O3775,0))</f>
        <v/>
      </c>
      <c r="Q3775" s="20">
        <f>IF(I3775="","",IF(I3775="Ingreso",O3775,0))</f>
        <v/>
      </c>
      <c r="R3775" s="20">
        <f>IF(I3775="","",IF(I3775="Trading",O3775,0))</f>
        <v/>
      </c>
      <c r="S3775" s="19">
        <f>IF(I3775="","",IF(AND(I3775="Gasto",K3775="Variable",J3775&lt;&gt;"Trading",O3775&gt;0,O3775&lt;=Umbral),1,0))</f>
        <v/>
      </c>
      <c r="T3775" s="20">
        <f>IF(OR(I3775="",E3775=""),"",IF(OR(I3775="Gasto",I3775="Transferencia",I3775="Pago tarjeta"),-1,1)*C3775)</f>
        <v/>
      </c>
      <c r="U3775" s="20">
        <f>IF(OR(G3775="",AND(I3775&lt;&gt;"Transferencia",I3775&lt;&gt;"Pago tarjeta")),"",IF(IFERROR(INDEX(ctaMon,MATCH(G3775,ctaNom,0))&amp;"","DOP")=N3775,C3775,IF(N3775="USD",C3775*TasaUSD,C3775/TasaUSD)))</f>
        <v/>
      </c>
      <c r="V3775" s="20">
        <f>IF(I3775="","",IF(IFERROR(INDEX(ctaLiq,MATCH(E3775,ctaNom,0))="Sí",FALSE),IF(OR(I3775="Gasto",I3775="Transferencia",I3775="Pago tarjeta"),-1,1)*O3775,0)+IF(AND(U3775&lt;&gt;"",IFERROR(INDEX(ctaLiq,MATCH(G3775,ctaNom,0))="Sí",FALSE)),O3775,0))</f>
        <v/>
      </c>
      <c r="W3775" s="19">
        <f>IF(OR(F3775="",I3775=""),"",IF(COUNTIFS(F$6:F3775,F3775,I$6:I3775,"?*")=1,MAX(W$5:W3774)+1,""))</f>
        <v/>
      </c>
    </row>
    <row r="3776">
      <c r="B3776" s="15" t="n"/>
      <c r="C3776" s="16" t="n"/>
      <c r="D3776" s="17" t="n"/>
      <c r="E3776" s="17" t="n"/>
      <c r="F3776" s="17" t="n"/>
      <c r="G3776" s="17" t="n"/>
      <c r="H3776" s="18">
        <f>IF(AND(B3776="",C3776="",D3776="",E3776=""),"",IF(B3776="","⚠ Falta fecha",IF(C3776="","⚠ Falta monto",IF(D3776="","⚠ Falta categoría",IF(ISNA(MATCH(D3776,catNom,0)),"⚠ Categoría no existe",IF(E3776="","⚠ Falta cuenta",IF(ISNA(MATCH(E3776,ctaNom,0)),"⚠ Cuenta no existe",IF(AND(OR(I3776="Transferencia",I3776="Pago tarjeta"),G3776=""),"⚠ Indica la cuenta «Hacia»",IF(AND(G3776&lt;&gt;"",G3776=E3776),"⚠ «Hacia» igual a la cuenta",IF(AND(G3776&lt;&gt;"",ISNA(MATCH(G3776,ctaNom,0))),"⚠ «Hacia» no existe",IF(AND(I3776="Pago tarjeta",IFERROR(INDEX(ctaTipo,MATCH(G3776,ctaNom,0)),"")&lt;&gt;"Tarjeta de crédito"),"⚠ «Hacia» debe ser la tarjeta",IF(AND(I3776="Trading",IFERROR(INDEX(ctaTipo,MATCH(E3776,ctaNom,0)),"")&lt;&gt;"Cuenta de trading"),"⚠ Usa la cuenta de trading","✓"))))))))))))</f>
        <v/>
      </c>
      <c r="I3776" s="19">
        <f>IF(OR(B3776="",C3776="",D3776=""),"",IFERROR(INDEX(catTipo,MATCH(D3776,catNom,0))&amp;"",""))</f>
        <v/>
      </c>
      <c r="J3776" s="19">
        <f>IF(I3776="","",IFERROR(INDEX(catGrupo,MATCH(D3776,catNom,0))&amp;"",""))</f>
        <v/>
      </c>
      <c r="K3776" s="19">
        <f>IF(I3776="Gasto",IF(IFERROR(INDEX(catClas,MATCH(D3776,catNom,0))&amp;"","")="","Variable",IFERROR(INDEX(catClas,MATCH(D3776,catNom,0))&amp;"","")),"")</f>
        <v/>
      </c>
      <c r="L3776" s="19">
        <f>IF(I3776="","",IFERROR(INDEX(catAlim,MATCH(D3776,catNom,0))&amp;"",""))</f>
        <v/>
      </c>
      <c r="M3776" s="19">
        <f>IF(I3776="","",IFERROR(INDEX(catComida,MATCH(D3776,catNom,0))&amp;"",""))</f>
        <v/>
      </c>
      <c r="N3776" s="19">
        <f>IF(I3776="","",IFERROR(INDEX(ctaMon,MATCH(E3776,ctaNom,0))&amp;"","DOP"))</f>
        <v/>
      </c>
      <c r="O3776" s="20">
        <f>IF(I3776="","",C3776*IF(N3776="USD",TasaUSD,1))</f>
        <v/>
      </c>
      <c r="P3776" s="20">
        <f>IF(I3776="","",IF(I3776="Gasto",O3776,0))</f>
        <v/>
      </c>
      <c r="Q3776" s="20">
        <f>IF(I3776="","",IF(I3776="Ingreso",O3776,0))</f>
        <v/>
      </c>
      <c r="R3776" s="20">
        <f>IF(I3776="","",IF(I3776="Trading",O3776,0))</f>
        <v/>
      </c>
      <c r="S3776" s="19">
        <f>IF(I3776="","",IF(AND(I3776="Gasto",K3776="Variable",J3776&lt;&gt;"Trading",O3776&gt;0,O3776&lt;=Umbral),1,0))</f>
        <v/>
      </c>
      <c r="T3776" s="20">
        <f>IF(OR(I3776="",E3776=""),"",IF(OR(I3776="Gasto",I3776="Transferencia",I3776="Pago tarjeta"),-1,1)*C3776)</f>
        <v/>
      </c>
      <c r="U3776" s="20">
        <f>IF(OR(G3776="",AND(I3776&lt;&gt;"Transferencia",I3776&lt;&gt;"Pago tarjeta")),"",IF(IFERROR(INDEX(ctaMon,MATCH(G3776,ctaNom,0))&amp;"","DOP")=N3776,C3776,IF(N3776="USD",C3776*TasaUSD,C3776/TasaUSD)))</f>
        <v/>
      </c>
      <c r="V3776" s="20">
        <f>IF(I3776="","",IF(IFERROR(INDEX(ctaLiq,MATCH(E3776,ctaNom,0))="Sí",FALSE),IF(OR(I3776="Gasto",I3776="Transferencia",I3776="Pago tarjeta"),-1,1)*O3776,0)+IF(AND(U3776&lt;&gt;"",IFERROR(INDEX(ctaLiq,MATCH(G3776,ctaNom,0))="Sí",FALSE)),O3776,0))</f>
        <v/>
      </c>
      <c r="W3776" s="19">
        <f>IF(OR(F3776="",I3776=""),"",IF(COUNTIFS(F$6:F3776,F3776,I$6:I3776,"?*")=1,MAX(W$5:W3775)+1,""))</f>
        <v/>
      </c>
    </row>
    <row r="3777">
      <c r="B3777" s="15" t="n"/>
      <c r="C3777" s="16" t="n"/>
      <c r="D3777" s="17" t="n"/>
      <c r="E3777" s="17" t="n"/>
      <c r="F3777" s="17" t="n"/>
      <c r="G3777" s="17" t="n"/>
      <c r="H3777" s="18">
        <f>IF(AND(B3777="",C3777="",D3777="",E3777=""),"",IF(B3777="","⚠ Falta fecha",IF(C3777="","⚠ Falta monto",IF(D3777="","⚠ Falta categoría",IF(ISNA(MATCH(D3777,catNom,0)),"⚠ Categoría no existe",IF(E3777="","⚠ Falta cuenta",IF(ISNA(MATCH(E3777,ctaNom,0)),"⚠ Cuenta no existe",IF(AND(OR(I3777="Transferencia",I3777="Pago tarjeta"),G3777=""),"⚠ Indica la cuenta «Hacia»",IF(AND(G3777&lt;&gt;"",G3777=E3777),"⚠ «Hacia» igual a la cuenta",IF(AND(G3777&lt;&gt;"",ISNA(MATCH(G3777,ctaNom,0))),"⚠ «Hacia» no existe",IF(AND(I3777="Pago tarjeta",IFERROR(INDEX(ctaTipo,MATCH(G3777,ctaNom,0)),"")&lt;&gt;"Tarjeta de crédito"),"⚠ «Hacia» debe ser la tarjeta",IF(AND(I3777="Trading",IFERROR(INDEX(ctaTipo,MATCH(E3777,ctaNom,0)),"")&lt;&gt;"Cuenta de trading"),"⚠ Usa la cuenta de trading","✓"))))))))))))</f>
        <v/>
      </c>
      <c r="I3777" s="19">
        <f>IF(OR(B3777="",C3777="",D3777=""),"",IFERROR(INDEX(catTipo,MATCH(D3777,catNom,0))&amp;"",""))</f>
        <v/>
      </c>
      <c r="J3777" s="19">
        <f>IF(I3777="","",IFERROR(INDEX(catGrupo,MATCH(D3777,catNom,0))&amp;"",""))</f>
        <v/>
      </c>
      <c r="K3777" s="19">
        <f>IF(I3777="Gasto",IF(IFERROR(INDEX(catClas,MATCH(D3777,catNom,0))&amp;"","")="","Variable",IFERROR(INDEX(catClas,MATCH(D3777,catNom,0))&amp;"","")),"")</f>
        <v/>
      </c>
      <c r="L3777" s="19">
        <f>IF(I3777="","",IFERROR(INDEX(catAlim,MATCH(D3777,catNom,0))&amp;"",""))</f>
        <v/>
      </c>
      <c r="M3777" s="19">
        <f>IF(I3777="","",IFERROR(INDEX(catComida,MATCH(D3777,catNom,0))&amp;"",""))</f>
        <v/>
      </c>
      <c r="N3777" s="19">
        <f>IF(I3777="","",IFERROR(INDEX(ctaMon,MATCH(E3777,ctaNom,0))&amp;"","DOP"))</f>
        <v/>
      </c>
      <c r="O3777" s="20">
        <f>IF(I3777="","",C3777*IF(N3777="USD",TasaUSD,1))</f>
        <v/>
      </c>
      <c r="P3777" s="20">
        <f>IF(I3777="","",IF(I3777="Gasto",O3777,0))</f>
        <v/>
      </c>
      <c r="Q3777" s="20">
        <f>IF(I3777="","",IF(I3777="Ingreso",O3777,0))</f>
        <v/>
      </c>
      <c r="R3777" s="20">
        <f>IF(I3777="","",IF(I3777="Trading",O3777,0))</f>
        <v/>
      </c>
      <c r="S3777" s="19">
        <f>IF(I3777="","",IF(AND(I3777="Gasto",K3777="Variable",J3777&lt;&gt;"Trading",O3777&gt;0,O3777&lt;=Umbral),1,0))</f>
        <v/>
      </c>
      <c r="T3777" s="20">
        <f>IF(OR(I3777="",E3777=""),"",IF(OR(I3777="Gasto",I3777="Transferencia",I3777="Pago tarjeta"),-1,1)*C3777)</f>
        <v/>
      </c>
      <c r="U3777" s="20">
        <f>IF(OR(G3777="",AND(I3777&lt;&gt;"Transferencia",I3777&lt;&gt;"Pago tarjeta")),"",IF(IFERROR(INDEX(ctaMon,MATCH(G3777,ctaNom,0))&amp;"","DOP")=N3777,C3777,IF(N3777="USD",C3777*TasaUSD,C3777/TasaUSD)))</f>
        <v/>
      </c>
      <c r="V3777" s="20">
        <f>IF(I3777="","",IF(IFERROR(INDEX(ctaLiq,MATCH(E3777,ctaNom,0))="Sí",FALSE),IF(OR(I3777="Gasto",I3777="Transferencia",I3777="Pago tarjeta"),-1,1)*O3777,0)+IF(AND(U3777&lt;&gt;"",IFERROR(INDEX(ctaLiq,MATCH(G3777,ctaNom,0))="Sí",FALSE)),O3777,0))</f>
        <v/>
      </c>
      <c r="W3777" s="19">
        <f>IF(OR(F3777="",I3777=""),"",IF(COUNTIFS(F$6:F3777,F3777,I$6:I3777,"?*")=1,MAX(W$5:W3776)+1,""))</f>
        <v/>
      </c>
    </row>
    <row r="3778">
      <c r="B3778" s="15" t="n"/>
      <c r="C3778" s="16" t="n"/>
      <c r="D3778" s="17" t="n"/>
      <c r="E3778" s="17" t="n"/>
      <c r="F3778" s="17" t="n"/>
      <c r="G3778" s="17" t="n"/>
      <c r="H3778" s="18">
        <f>IF(AND(B3778="",C3778="",D3778="",E3778=""),"",IF(B3778="","⚠ Falta fecha",IF(C3778="","⚠ Falta monto",IF(D3778="","⚠ Falta categoría",IF(ISNA(MATCH(D3778,catNom,0)),"⚠ Categoría no existe",IF(E3778="","⚠ Falta cuenta",IF(ISNA(MATCH(E3778,ctaNom,0)),"⚠ Cuenta no existe",IF(AND(OR(I3778="Transferencia",I3778="Pago tarjeta"),G3778=""),"⚠ Indica la cuenta «Hacia»",IF(AND(G3778&lt;&gt;"",G3778=E3778),"⚠ «Hacia» igual a la cuenta",IF(AND(G3778&lt;&gt;"",ISNA(MATCH(G3778,ctaNom,0))),"⚠ «Hacia» no existe",IF(AND(I3778="Pago tarjeta",IFERROR(INDEX(ctaTipo,MATCH(G3778,ctaNom,0)),"")&lt;&gt;"Tarjeta de crédito"),"⚠ «Hacia» debe ser la tarjeta",IF(AND(I3778="Trading",IFERROR(INDEX(ctaTipo,MATCH(E3778,ctaNom,0)),"")&lt;&gt;"Cuenta de trading"),"⚠ Usa la cuenta de trading","✓"))))))))))))</f>
        <v/>
      </c>
      <c r="I3778" s="19">
        <f>IF(OR(B3778="",C3778="",D3778=""),"",IFERROR(INDEX(catTipo,MATCH(D3778,catNom,0))&amp;"",""))</f>
        <v/>
      </c>
      <c r="J3778" s="19">
        <f>IF(I3778="","",IFERROR(INDEX(catGrupo,MATCH(D3778,catNom,0))&amp;"",""))</f>
        <v/>
      </c>
      <c r="K3778" s="19">
        <f>IF(I3778="Gasto",IF(IFERROR(INDEX(catClas,MATCH(D3778,catNom,0))&amp;"","")="","Variable",IFERROR(INDEX(catClas,MATCH(D3778,catNom,0))&amp;"","")),"")</f>
        <v/>
      </c>
      <c r="L3778" s="19">
        <f>IF(I3778="","",IFERROR(INDEX(catAlim,MATCH(D3778,catNom,0))&amp;"",""))</f>
        <v/>
      </c>
      <c r="M3778" s="19">
        <f>IF(I3778="","",IFERROR(INDEX(catComida,MATCH(D3778,catNom,0))&amp;"",""))</f>
        <v/>
      </c>
      <c r="N3778" s="19">
        <f>IF(I3778="","",IFERROR(INDEX(ctaMon,MATCH(E3778,ctaNom,0))&amp;"","DOP"))</f>
        <v/>
      </c>
      <c r="O3778" s="20">
        <f>IF(I3778="","",C3778*IF(N3778="USD",TasaUSD,1))</f>
        <v/>
      </c>
      <c r="P3778" s="20">
        <f>IF(I3778="","",IF(I3778="Gasto",O3778,0))</f>
        <v/>
      </c>
      <c r="Q3778" s="20">
        <f>IF(I3778="","",IF(I3778="Ingreso",O3778,0))</f>
        <v/>
      </c>
      <c r="R3778" s="20">
        <f>IF(I3778="","",IF(I3778="Trading",O3778,0))</f>
        <v/>
      </c>
      <c r="S3778" s="19">
        <f>IF(I3778="","",IF(AND(I3778="Gasto",K3778="Variable",J3778&lt;&gt;"Trading",O3778&gt;0,O3778&lt;=Umbral),1,0))</f>
        <v/>
      </c>
      <c r="T3778" s="20">
        <f>IF(OR(I3778="",E3778=""),"",IF(OR(I3778="Gasto",I3778="Transferencia",I3778="Pago tarjeta"),-1,1)*C3778)</f>
        <v/>
      </c>
      <c r="U3778" s="20">
        <f>IF(OR(G3778="",AND(I3778&lt;&gt;"Transferencia",I3778&lt;&gt;"Pago tarjeta")),"",IF(IFERROR(INDEX(ctaMon,MATCH(G3778,ctaNom,0))&amp;"","DOP")=N3778,C3778,IF(N3778="USD",C3778*TasaUSD,C3778/TasaUSD)))</f>
        <v/>
      </c>
      <c r="V3778" s="20">
        <f>IF(I3778="","",IF(IFERROR(INDEX(ctaLiq,MATCH(E3778,ctaNom,0))="Sí",FALSE),IF(OR(I3778="Gasto",I3778="Transferencia",I3778="Pago tarjeta"),-1,1)*O3778,0)+IF(AND(U3778&lt;&gt;"",IFERROR(INDEX(ctaLiq,MATCH(G3778,ctaNom,0))="Sí",FALSE)),O3778,0))</f>
        <v/>
      </c>
      <c r="W3778" s="19">
        <f>IF(OR(F3778="",I3778=""),"",IF(COUNTIFS(F$6:F3778,F3778,I$6:I3778,"?*")=1,MAX(W$5:W3777)+1,""))</f>
        <v/>
      </c>
    </row>
    <row r="3779">
      <c r="B3779" s="15" t="n"/>
      <c r="C3779" s="16" t="n"/>
      <c r="D3779" s="17" t="n"/>
      <c r="E3779" s="17" t="n"/>
      <c r="F3779" s="17" t="n"/>
      <c r="G3779" s="17" t="n"/>
      <c r="H3779" s="18">
        <f>IF(AND(B3779="",C3779="",D3779="",E3779=""),"",IF(B3779="","⚠ Falta fecha",IF(C3779="","⚠ Falta monto",IF(D3779="","⚠ Falta categoría",IF(ISNA(MATCH(D3779,catNom,0)),"⚠ Categoría no existe",IF(E3779="","⚠ Falta cuenta",IF(ISNA(MATCH(E3779,ctaNom,0)),"⚠ Cuenta no existe",IF(AND(OR(I3779="Transferencia",I3779="Pago tarjeta"),G3779=""),"⚠ Indica la cuenta «Hacia»",IF(AND(G3779&lt;&gt;"",G3779=E3779),"⚠ «Hacia» igual a la cuenta",IF(AND(G3779&lt;&gt;"",ISNA(MATCH(G3779,ctaNom,0))),"⚠ «Hacia» no existe",IF(AND(I3779="Pago tarjeta",IFERROR(INDEX(ctaTipo,MATCH(G3779,ctaNom,0)),"")&lt;&gt;"Tarjeta de crédito"),"⚠ «Hacia» debe ser la tarjeta",IF(AND(I3779="Trading",IFERROR(INDEX(ctaTipo,MATCH(E3779,ctaNom,0)),"")&lt;&gt;"Cuenta de trading"),"⚠ Usa la cuenta de trading","✓"))))))))))))</f>
        <v/>
      </c>
      <c r="I3779" s="19">
        <f>IF(OR(B3779="",C3779="",D3779=""),"",IFERROR(INDEX(catTipo,MATCH(D3779,catNom,0))&amp;"",""))</f>
        <v/>
      </c>
      <c r="J3779" s="19">
        <f>IF(I3779="","",IFERROR(INDEX(catGrupo,MATCH(D3779,catNom,0))&amp;"",""))</f>
        <v/>
      </c>
      <c r="K3779" s="19">
        <f>IF(I3779="Gasto",IF(IFERROR(INDEX(catClas,MATCH(D3779,catNom,0))&amp;"","")="","Variable",IFERROR(INDEX(catClas,MATCH(D3779,catNom,0))&amp;"","")),"")</f>
        <v/>
      </c>
      <c r="L3779" s="19">
        <f>IF(I3779="","",IFERROR(INDEX(catAlim,MATCH(D3779,catNom,0))&amp;"",""))</f>
        <v/>
      </c>
      <c r="M3779" s="19">
        <f>IF(I3779="","",IFERROR(INDEX(catComida,MATCH(D3779,catNom,0))&amp;"",""))</f>
        <v/>
      </c>
      <c r="N3779" s="19">
        <f>IF(I3779="","",IFERROR(INDEX(ctaMon,MATCH(E3779,ctaNom,0))&amp;"","DOP"))</f>
        <v/>
      </c>
      <c r="O3779" s="20">
        <f>IF(I3779="","",C3779*IF(N3779="USD",TasaUSD,1))</f>
        <v/>
      </c>
      <c r="P3779" s="20">
        <f>IF(I3779="","",IF(I3779="Gasto",O3779,0))</f>
        <v/>
      </c>
      <c r="Q3779" s="20">
        <f>IF(I3779="","",IF(I3779="Ingreso",O3779,0))</f>
        <v/>
      </c>
      <c r="R3779" s="20">
        <f>IF(I3779="","",IF(I3779="Trading",O3779,0))</f>
        <v/>
      </c>
      <c r="S3779" s="19">
        <f>IF(I3779="","",IF(AND(I3779="Gasto",K3779="Variable",J3779&lt;&gt;"Trading",O3779&gt;0,O3779&lt;=Umbral),1,0))</f>
        <v/>
      </c>
      <c r="T3779" s="20">
        <f>IF(OR(I3779="",E3779=""),"",IF(OR(I3779="Gasto",I3779="Transferencia",I3779="Pago tarjeta"),-1,1)*C3779)</f>
        <v/>
      </c>
      <c r="U3779" s="20">
        <f>IF(OR(G3779="",AND(I3779&lt;&gt;"Transferencia",I3779&lt;&gt;"Pago tarjeta")),"",IF(IFERROR(INDEX(ctaMon,MATCH(G3779,ctaNom,0))&amp;"","DOP")=N3779,C3779,IF(N3779="USD",C3779*TasaUSD,C3779/TasaUSD)))</f>
        <v/>
      </c>
      <c r="V3779" s="20">
        <f>IF(I3779="","",IF(IFERROR(INDEX(ctaLiq,MATCH(E3779,ctaNom,0))="Sí",FALSE),IF(OR(I3779="Gasto",I3779="Transferencia",I3779="Pago tarjeta"),-1,1)*O3779,0)+IF(AND(U3779&lt;&gt;"",IFERROR(INDEX(ctaLiq,MATCH(G3779,ctaNom,0))="Sí",FALSE)),O3779,0))</f>
        <v/>
      </c>
      <c r="W3779" s="19">
        <f>IF(OR(F3779="",I3779=""),"",IF(COUNTIFS(F$6:F3779,F3779,I$6:I3779,"?*")=1,MAX(W$5:W3778)+1,""))</f>
        <v/>
      </c>
    </row>
    <row r="3780">
      <c r="B3780" s="15" t="n"/>
      <c r="C3780" s="16" t="n"/>
      <c r="D3780" s="17" t="n"/>
      <c r="E3780" s="17" t="n"/>
      <c r="F3780" s="17" t="n"/>
      <c r="G3780" s="17" t="n"/>
      <c r="H3780" s="18">
        <f>IF(AND(B3780="",C3780="",D3780="",E3780=""),"",IF(B3780="","⚠ Falta fecha",IF(C3780="","⚠ Falta monto",IF(D3780="","⚠ Falta categoría",IF(ISNA(MATCH(D3780,catNom,0)),"⚠ Categoría no existe",IF(E3780="","⚠ Falta cuenta",IF(ISNA(MATCH(E3780,ctaNom,0)),"⚠ Cuenta no existe",IF(AND(OR(I3780="Transferencia",I3780="Pago tarjeta"),G3780=""),"⚠ Indica la cuenta «Hacia»",IF(AND(G3780&lt;&gt;"",G3780=E3780),"⚠ «Hacia» igual a la cuenta",IF(AND(G3780&lt;&gt;"",ISNA(MATCH(G3780,ctaNom,0))),"⚠ «Hacia» no existe",IF(AND(I3780="Pago tarjeta",IFERROR(INDEX(ctaTipo,MATCH(G3780,ctaNom,0)),"")&lt;&gt;"Tarjeta de crédito"),"⚠ «Hacia» debe ser la tarjeta",IF(AND(I3780="Trading",IFERROR(INDEX(ctaTipo,MATCH(E3780,ctaNom,0)),"")&lt;&gt;"Cuenta de trading"),"⚠ Usa la cuenta de trading","✓"))))))))))))</f>
        <v/>
      </c>
      <c r="I3780" s="19">
        <f>IF(OR(B3780="",C3780="",D3780=""),"",IFERROR(INDEX(catTipo,MATCH(D3780,catNom,0))&amp;"",""))</f>
        <v/>
      </c>
      <c r="J3780" s="19">
        <f>IF(I3780="","",IFERROR(INDEX(catGrupo,MATCH(D3780,catNom,0))&amp;"",""))</f>
        <v/>
      </c>
      <c r="K3780" s="19">
        <f>IF(I3780="Gasto",IF(IFERROR(INDEX(catClas,MATCH(D3780,catNom,0))&amp;"","")="","Variable",IFERROR(INDEX(catClas,MATCH(D3780,catNom,0))&amp;"","")),"")</f>
        <v/>
      </c>
      <c r="L3780" s="19">
        <f>IF(I3780="","",IFERROR(INDEX(catAlim,MATCH(D3780,catNom,0))&amp;"",""))</f>
        <v/>
      </c>
      <c r="M3780" s="19">
        <f>IF(I3780="","",IFERROR(INDEX(catComida,MATCH(D3780,catNom,0))&amp;"",""))</f>
        <v/>
      </c>
      <c r="N3780" s="19">
        <f>IF(I3780="","",IFERROR(INDEX(ctaMon,MATCH(E3780,ctaNom,0))&amp;"","DOP"))</f>
        <v/>
      </c>
      <c r="O3780" s="20">
        <f>IF(I3780="","",C3780*IF(N3780="USD",TasaUSD,1))</f>
        <v/>
      </c>
      <c r="P3780" s="20">
        <f>IF(I3780="","",IF(I3780="Gasto",O3780,0))</f>
        <v/>
      </c>
      <c r="Q3780" s="20">
        <f>IF(I3780="","",IF(I3780="Ingreso",O3780,0))</f>
        <v/>
      </c>
      <c r="R3780" s="20">
        <f>IF(I3780="","",IF(I3780="Trading",O3780,0))</f>
        <v/>
      </c>
      <c r="S3780" s="19">
        <f>IF(I3780="","",IF(AND(I3780="Gasto",K3780="Variable",J3780&lt;&gt;"Trading",O3780&gt;0,O3780&lt;=Umbral),1,0))</f>
        <v/>
      </c>
      <c r="T3780" s="20">
        <f>IF(OR(I3780="",E3780=""),"",IF(OR(I3780="Gasto",I3780="Transferencia",I3780="Pago tarjeta"),-1,1)*C3780)</f>
        <v/>
      </c>
      <c r="U3780" s="20">
        <f>IF(OR(G3780="",AND(I3780&lt;&gt;"Transferencia",I3780&lt;&gt;"Pago tarjeta")),"",IF(IFERROR(INDEX(ctaMon,MATCH(G3780,ctaNom,0))&amp;"","DOP")=N3780,C3780,IF(N3780="USD",C3780*TasaUSD,C3780/TasaUSD)))</f>
        <v/>
      </c>
      <c r="V3780" s="20">
        <f>IF(I3780="","",IF(IFERROR(INDEX(ctaLiq,MATCH(E3780,ctaNom,0))="Sí",FALSE),IF(OR(I3780="Gasto",I3780="Transferencia",I3780="Pago tarjeta"),-1,1)*O3780,0)+IF(AND(U3780&lt;&gt;"",IFERROR(INDEX(ctaLiq,MATCH(G3780,ctaNom,0))="Sí",FALSE)),O3780,0))</f>
        <v/>
      </c>
      <c r="W3780" s="19">
        <f>IF(OR(F3780="",I3780=""),"",IF(COUNTIFS(F$6:F3780,F3780,I$6:I3780,"?*")=1,MAX(W$5:W3779)+1,""))</f>
        <v/>
      </c>
    </row>
    <row r="3781">
      <c r="B3781" s="15" t="n"/>
      <c r="C3781" s="16" t="n"/>
      <c r="D3781" s="17" t="n"/>
      <c r="E3781" s="17" t="n"/>
      <c r="F3781" s="17" t="n"/>
      <c r="G3781" s="17" t="n"/>
      <c r="H3781" s="18">
        <f>IF(AND(B3781="",C3781="",D3781="",E3781=""),"",IF(B3781="","⚠ Falta fecha",IF(C3781="","⚠ Falta monto",IF(D3781="","⚠ Falta categoría",IF(ISNA(MATCH(D3781,catNom,0)),"⚠ Categoría no existe",IF(E3781="","⚠ Falta cuenta",IF(ISNA(MATCH(E3781,ctaNom,0)),"⚠ Cuenta no existe",IF(AND(OR(I3781="Transferencia",I3781="Pago tarjeta"),G3781=""),"⚠ Indica la cuenta «Hacia»",IF(AND(G3781&lt;&gt;"",G3781=E3781),"⚠ «Hacia» igual a la cuenta",IF(AND(G3781&lt;&gt;"",ISNA(MATCH(G3781,ctaNom,0))),"⚠ «Hacia» no existe",IF(AND(I3781="Pago tarjeta",IFERROR(INDEX(ctaTipo,MATCH(G3781,ctaNom,0)),"")&lt;&gt;"Tarjeta de crédito"),"⚠ «Hacia» debe ser la tarjeta",IF(AND(I3781="Trading",IFERROR(INDEX(ctaTipo,MATCH(E3781,ctaNom,0)),"")&lt;&gt;"Cuenta de trading"),"⚠ Usa la cuenta de trading","✓"))))))))))))</f>
        <v/>
      </c>
      <c r="I3781" s="19">
        <f>IF(OR(B3781="",C3781="",D3781=""),"",IFERROR(INDEX(catTipo,MATCH(D3781,catNom,0))&amp;"",""))</f>
        <v/>
      </c>
      <c r="J3781" s="19">
        <f>IF(I3781="","",IFERROR(INDEX(catGrupo,MATCH(D3781,catNom,0))&amp;"",""))</f>
        <v/>
      </c>
      <c r="K3781" s="19">
        <f>IF(I3781="Gasto",IF(IFERROR(INDEX(catClas,MATCH(D3781,catNom,0))&amp;"","")="","Variable",IFERROR(INDEX(catClas,MATCH(D3781,catNom,0))&amp;"","")),"")</f>
        <v/>
      </c>
      <c r="L3781" s="19">
        <f>IF(I3781="","",IFERROR(INDEX(catAlim,MATCH(D3781,catNom,0))&amp;"",""))</f>
        <v/>
      </c>
      <c r="M3781" s="19">
        <f>IF(I3781="","",IFERROR(INDEX(catComida,MATCH(D3781,catNom,0))&amp;"",""))</f>
        <v/>
      </c>
      <c r="N3781" s="19">
        <f>IF(I3781="","",IFERROR(INDEX(ctaMon,MATCH(E3781,ctaNom,0))&amp;"","DOP"))</f>
        <v/>
      </c>
      <c r="O3781" s="20">
        <f>IF(I3781="","",C3781*IF(N3781="USD",TasaUSD,1))</f>
        <v/>
      </c>
      <c r="P3781" s="20">
        <f>IF(I3781="","",IF(I3781="Gasto",O3781,0))</f>
        <v/>
      </c>
      <c r="Q3781" s="20">
        <f>IF(I3781="","",IF(I3781="Ingreso",O3781,0))</f>
        <v/>
      </c>
      <c r="R3781" s="20">
        <f>IF(I3781="","",IF(I3781="Trading",O3781,0))</f>
        <v/>
      </c>
      <c r="S3781" s="19">
        <f>IF(I3781="","",IF(AND(I3781="Gasto",K3781="Variable",J3781&lt;&gt;"Trading",O3781&gt;0,O3781&lt;=Umbral),1,0))</f>
        <v/>
      </c>
      <c r="T3781" s="20">
        <f>IF(OR(I3781="",E3781=""),"",IF(OR(I3781="Gasto",I3781="Transferencia",I3781="Pago tarjeta"),-1,1)*C3781)</f>
        <v/>
      </c>
      <c r="U3781" s="20">
        <f>IF(OR(G3781="",AND(I3781&lt;&gt;"Transferencia",I3781&lt;&gt;"Pago tarjeta")),"",IF(IFERROR(INDEX(ctaMon,MATCH(G3781,ctaNom,0))&amp;"","DOP")=N3781,C3781,IF(N3781="USD",C3781*TasaUSD,C3781/TasaUSD)))</f>
        <v/>
      </c>
      <c r="V3781" s="20">
        <f>IF(I3781="","",IF(IFERROR(INDEX(ctaLiq,MATCH(E3781,ctaNom,0))="Sí",FALSE),IF(OR(I3781="Gasto",I3781="Transferencia",I3781="Pago tarjeta"),-1,1)*O3781,0)+IF(AND(U3781&lt;&gt;"",IFERROR(INDEX(ctaLiq,MATCH(G3781,ctaNom,0))="Sí",FALSE)),O3781,0))</f>
        <v/>
      </c>
      <c r="W3781" s="19">
        <f>IF(OR(F3781="",I3781=""),"",IF(COUNTIFS(F$6:F3781,F3781,I$6:I3781,"?*")=1,MAX(W$5:W3780)+1,""))</f>
        <v/>
      </c>
    </row>
    <row r="3782">
      <c r="B3782" s="15" t="n"/>
      <c r="C3782" s="16" t="n"/>
      <c r="D3782" s="17" t="n"/>
      <c r="E3782" s="17" t="n"/>
      <c r="F3782" s="17" t="n"/>
      <c r="G3782" s="17" t="n"/>
      <c r="H3782" s="18">
        <f>IF(AND(B3782="",C3782="",D3782="",E3782=""),"",IF(B3782="","⚠ Falta fecha",IF(C3782="","⚠ Falta monto",IF(D3782="","⚠ Falta categoría",IF(ISNA(MATCH(D3782,catNom,0)),"⚠ Categoría no existe",IF(E3782="","⚠ Falta cuenta",IF(ISNA(MATCH(E3782,ctaNom,0)),"⚠ Cuenta no existe",IF(AND(OR(I3782="Transferencia",I3782="Pago tarjeta"),G3782=""),"⚠ Indica la cuenta «Hacia»",IF(AND(G3782&lt;&gt;"",G3782=E3782),"⚠ «Hacia» igual a la cuenta",IF(AND(G3782&lt;&gt;"",ISNA(MATCH(G3782,ctaNom,0))),"⚠ «Hacia» no existe",IF(AND(I3782="Pago tarjeta",IFERROR(INDEX(ctaTipo,MATCH(G3782,ctaNom,0)),"")&lt;&gt;"Tarjeta de crédito"),"⚠ «Hacia» debe ser la tarjeta",IF(AND(I3782="Trading",IFERROR(INDEX(ctaTipo,MATCH(E3782,ctaNom,0)),"")&lt;&gt;"Cuenta de trading"),"⚠ Usa la cuenta de trading","✓"))))))))))))</f>
        <v/>
      </c>
      <c r="I3782" s="19">
        <f>IF(OR(B3782="",C3782="",D3782=""),"",IFERROR(INDEX(catTipo,MATCH(D3782,catNom,0))&amp;"",""))</f>
        <v/>
      </c>
      <c r="J3782" s="19">
        <f>IF(I3782="","",IFERROR(INDEX(catGrupo,MATCH(D3782,catNom,0))&amp;"",""))</f>
        <v/>
      </c>
      <c r="K3782" s="19">
        <f>IF(I3782="Gasto",IF(IFERROR(INDEX(catClas,MATCH(D3782,catNom,0))&amp;"","")="","Variable",IFERROR(INDEX(catClas,MATCH(D3782,catNom,0))&amp;"","")),"")</f>
        <v/>
      </c>
      <c r="L3782" s="19">
        <f>IF(I3782="","",IFERROR(INDEX(catAlim,MATCH(D3782,catNom,0))&amp;"",""))</f>
        <v/>
      </c>
      <c r="M3782" s="19">
        <f>IF(I3782="","",IFERROR(INDEX(catComida,MATCH(D3782,catNom,0))&amp;"",""))</f>
        <v/>
      </c>
      <c r="N3782" s="19">
        <f>IF(I3782="","",IFERROR(INDEX(ctaMon,MATCH(E3782,ctaNom,0))&amp;"","DOP"))</f>
        <v/>
      </c>
      <c r="O3782" s="20">
        <f>IF(I3782="","",C3782*IF(N3782="USD",TasaUSD,1))</f>
        <v/>
      </c>
      <c r="P3782" s="20">
        <f>IF(I3782="","",IF(I3782="Gasto",O3782,0))</f>
        <v/>
      </c>
      <c r="Q3782" s="20">
        <f>IF(I3782="","",IF(I3782="Ingreso",O3782,0))</f>
        <v/>
      </c>
      <c r="R3782" s="20">
        <f>IF(I3782="","",IF(I3782="Trading",O3782,0))</f>
        <v/>
      </c>
      <c r="S3782" s="19">
        <f>IF(I3782="","",IF(AND(I3782="Gasto",K3782="Variable",J3782&lt;&gt;"Trading",O3782&gt;0,O3782&lt;=Umbral),1,0))</f>
        <v/>
      </c>
      <c r="T3782" s="20">
        <f>IF(OR(I3782="",E3782=""),"",IF(OR(I3782="Gasto",I3782="Transferencia",I3782="Pago tarjeta"),-1,1)*C3782)</f>
        <v/>
      </c>
      <c r="U3782" s="20">
        <f>IF(OR(G3782="",AND(I3782&lt;&gt;"Transferencia",I3782&lt;&gt;"Pago tarjeta")),"",IF(IFERROR(INDEX(ctaMon,MATCH(G3782,ctaNom,0))&amp;"","DOP")=N3782,C3782,IF(N3782="USD",C3782*TasaUSD,C3782/TasaUSD)))</f>
        <v/>
      </c>
      <c r="V3782" s="20">
        <f>IF(I3782="","",IF(IFERROR(INDEX(ctaLiq,MATCH(E3782,ctaNom,0))="Sí",FALSE),IF(OR(I3782="Gasto",I3782="Transferencia",I3782="Pago tarjeta"),-1,1)*O3782,0)+IF(AND(U3782&lt;&gt;"",IFERROR(INDEX(ctaLiq,MATCH(G3782,ctaNom,0))="Sí",FALSE)),O3782,0))</f>
        <v/>
      </c>
      <c r="W3782" s="19">
        <f>IF(OR(F3782="",I3782=""),"",IF(COUNTIFS(F$6:F3782,F3782,I$6:I3782,"?*")=1,MAX(W$5:W3781)+1,""))</f>
        <v/>
      </c>
    </row>
    <row r="3783">
      <c r="B3783" s="15" t="n"/>
      <c r="C3783" s="16" t="n"/>
      <c r="D3783" s="17" t="n"/>
      <c r="E3783" s="17" t="n"/>
      <c r="F3783" s="17" t="n"/>
      <c r="G3783" s="17" t="n"/>
      <c r="H3783" s="18">
        <f>IF(AND(B3783="",C3783="",D3783="",E3783=""),"",IF(B3783="","⚠ Falta fecha",IF(C3783="","⚠ Falta monto",IF(D3783="","⚠ Falta categoría",IF(ISNA(MATCH(D3783,catNom,0)),"⚠ Categoría no existe",IF(E3783="","⚠ Falta cuenta",IF(ISNA(MATCH(E3783,ctaNom,0)),"⚠ Cuenta no existe",IF(AND(OR(I3783="Transferencia",I3783="Pago tarjeta"),G3783=""),"⚠ Indica la cuenta «Hacia»",IF(AND(G3783&lt;&gt;"",G3783=E3783),"⚠ «Hacia» igual a la cuenta",IF(AND(G3783&lt;&gt;"",ISNA(MATCH(G3783,ctaNom,0))),"⚠ «Hacia» no existe",IF(AND(I3783="Pago tarjeta",IFERROR(INDEX(ctaTipo,MATCH(G3783,ctaNom,0)),"")&lt;&gt;"Tarjeta de crédito"),"⚠ «Hacia» debe ser la tarjeta",IF(AND(I3783="Trading",IFERROR(INDEX(ctaTipo,MATCH(E3783,ctaNom,0)),"")&lt;&gt;"Cuenta de trading"),"⚠ Usa la cuenta de trading","✓"))))))))))))</f>
        <v/>
      </c>
      <c r="I3783" s="19">
        <f>IF(OR(B3783="",C3783="",D3783=""),"",IFERROR(INDEX(catTipo,MATCH(D3783,catNom,0))&amp;"",""))</f>
        <v/>
      </c>
      <c r="J3783" s="19">
        <f>IF(I3783="","",IFERROR(INDEX(catGrupo,MATCH(D3783,catNom,0))&amp;"",""))</f>
        <v/>
      </c>
      <c r="K3783" s="19">
        <f>IF(I3783="Gasto",IF(IFERROR(INDEX(catClas,MATCH(D3783,catNom,0))&amp;"","")="","Variable",IFERROR(INDEX(catClas,MATCH(D3783,catNom,0))&amp;"","")),"")</f>
        <v/>
      </c>
      <c r="L3783" s="19">
        <f>IF(I3783="","",IFERROR(INDEX(catAlim,MATCH(D3783,catNom,0))&amp;"",""))</f>
        <v/>
      </c>
      <c r="M3783" s="19">
        <f>IF(I3783="","",IFERROR(INDEX(catComida,MATCH(D3783,catNom,0))&amp;"",""))</f>
        <v/>
      </c>
      <c r="N3783" s="19">
        <f>IF(I3783="","",IFERROR(INDEX(ctaMon,MATCH(E3783,ctaNom,0))&amp;"","DOP"))</f>
        <v/>
      </c>
      <c r="O3783" s="20">
        <f>IF(I3783="","",C3783*IF(N3783="USD",TasaUSD,1))</f>
        <v/>
      </c>
      <c r="P3783" s="20">
        <f>IF(I3783="","",IF(I3783="Gasto",O3783,0))</f>
        <v/>
      </c>
      <c r="Q3783" s="20">
        <f>IF(I3783="","",IF(I3783="Ingreso",O3783,0))</f>
        <v/>
      </c>
      <c r="R3783" s="20">
        <f>IF(I3783="","",IF(I3783="Trading",O3783,0))</f>
        <v/>
      </c>
      <c r="S3783" s="19">
        <f>IF(I3783="","",IF(AND(I3783="Gasto",K3783="Variable",J3783&lt;&gt;"Trading",O3783&gt;0,O3783&lt;=Umbral),1,0))</f>
        <v/>
      </c>
      <c r="T3783" s="20">
        <f>IF(OR(I3783="",E3783=""),"",IF(OR(I3783="Gasto",I3783="Transferencia",I3783="Pago tarjeta"),-1,1)*C3783)</f>
        <v/>
      </c>
      <c r="U3783" s="20">
        <f>IF(OR(G3783="",AND(I3783&lt;&gt;"Transferencia",I3783&lt;&gt;"Pago tarjeta")),"",IF(IFERROR(INDEX(ctaMon,MATCH(G3783,ctaNom,0))&amp;"","DOP")=N3783,C3783,IF(N3783="USD",C3783*TasaUSD,C3783/TasaUSD)))</f>
        <v/>
      </c>
      <c r="V3783" s="20">
        <f>IF(I3783="","",IF(IFERROR(INDEX(ctaLiq,MATCH(E3783,ctaNom,0))="Sí",FALSE),IF(OR(I3783="Gasto",I3783="Transferencia",I3783="Pago tarjeta"),-1,1)*O3783,0)+IF(AND(U3783&lt;&gt;"",IFERROR(INDEX(ctaLiq,MATCH(G3783,ctaNom,0))="Sí",FALSE)),O3783,0))</f>
        <v/>
      </c>
      <c r="W3783" s="19">
        <f>IF(OR(F3783="",I3783=""),"",IF(COUNTIFS(F$6:F3783,F3783,I$6:I3783,"?*")=1,MAX(W$5:W3782)+1,""))</f>
        <v/>
      </c>
    </row>
    <row r="3784">
      <c r="B3784" s="15" t="n"/>
      <c r="C3784" s="16" t="n"/>
      <c r="D3784" s="17" t="n"/>
      <c r="E3784" s="17" t="n"/>
      <c r="F3784" s="17" t="n"/>
      <c r="G3784" s="17" t="n"/>
      <c r="H3784" s="18">
        <f>IF(AND(B3784="",C3784="",D3784="",E3784=""),"",IF(B3784="","⚠ Falta fecha",IF(C3784="","⚠ Falta monto",IF(D3784="","⚠ Falta categoría",IF(ISNA(MATCH(D3784,catNom,0)),"⚠ Categoría no existe",IF(E3784="","⚠ Falta cuenta",IF(ISNA(MATCH(E3784,ctaNom,0)),"⚠ Cuenta no existe",IF(AND(OR(I3784="Transferencia",I3784="Pago tarjeta"),G3784=""),"⚠ Indica la cuenta «Hacia»",IF(AND(G3784&lt;&gt;"",G3784=E3784),"⚠ «Hacia» igual a la cuenta",IF(AND(G3784&lt;&gt;"",ISNA(MATCH(G3784,ctaNom,0))),"⚠ «Hacia» no existe",IF(AND(I3784="Pago tarjeta",IFERROR(INDEX(ctaTipo,MATCH(G3784,ctaNom,0)),"")&lt;&gt;"Tarjeta de crédito"),"⚠ «Hacia» debe ser la tarjeta",IF(AND(I3784="Trading",IFERROR(INDEX(ctaTipo,MATCH(E3784,ctaNom,0)),"")&lt;&gt;"Cuenta de trading"),"⚠ Usa la cuenta de trading","✓"))))))))))))</f>
        <v/>
      </c>
      <c r="I3784" s="19">
        <f>IF(OR(B3784="",C3784="",D3784=""),"",IFERROR(INDEX(catTipo,MATCH(D3784,catNom,0))&amp;"",""))</f>
        <v/>
      </c>
      <c r="J3784" s="19">
        <f>IF(I3784="","",IFERROR(INDEX(catGrupo,MATCH(D3784,catNom,0))&amp;"",""))</f>
        <v/>
      </c>
      <c r="K3784" s="19">
        <f>IF(I3784="Gasto",IF(IFERROR(INDEX(catClas,MATCH(D3784,catNom,0))&amp;"","")="","Variable",IFERROR(INDEX(catClas,MATCH(D3784,catNom,0))&amp;"","")),"")</f>
        <v/>
      </c>
      <c r="L3784" s="19">
        <f>IF(I3784="","",IFERROR(INDEX(catAlim,MATCH(D3784,catNom,0))&amp;"",""))</f>
        <v/>
      </c>
      <c r="M3784" s="19">
        <f>IF(I3784="","",IFERROR(INDEX(catComida,MATCH(D3784,catNom,0))&amp;"",""))</f>
        <v/>
      </c>
      <c r="N3784" s="19">
        <f>IF(I3784="","",IFERROR(INDEX(ctaMon,MATCH(E3784,ctaNom,0))&amp;"","DOP"))</f>
        <v/>
      </c>
      <c r="O3784" s="20">
        <f>IF(I3784="","",C3784*IF(N3784="USD",TasaUSD,1))</f>
        <v/>
      </c>
      <c r="P3784" s="20">
        <f>IF(I3784="","",IF(I3784="Gasto",O3784,0))</f>
        <v/>
      </c>
      <c r="Q3784" s="20">
        <f>IF(I3784="","",IF(I3784="Ingreso",O3784,0))</f>
        <v/>
      </c>
      <c r="R3784" s="20">
        <f>IF(I3784="","",IF(I3784="Trading",O3784,0))</f>
        <v/>
      </c>
      <c r="S3784" s="19">
        <f>IF(I3784="","",IF(AND(I3784="Gasto",K3784="Variable",J3784&lt;&gt;"Trading",O3784&gt;0,O3784&lt;=Umbral),1,0))</f>
        <v/>
      </c>
      <c r="T3784" s="20">
        <f>IF(OR(I3784="",E3784=""),"",IF(OR(I3784="Gasto",I3784="Transferencia",I3784="Pago tarjeta"),-1,1)*C3784)</f>
        <v/>
      </c>
      <c r="U3784" s="20">
        <f>IF(OR(G3784="",AND(I3784&lt;&gt;"Transferencia",I3784&lt;&gt;"Pago tarjeta")),"",IF(IFERROR(INDEX(ctaMon,MATCH(G3784,ctaNom,0))&amp;"","DOP")=N3784,C3784,IF(N3784="USD",C3784*TasaUSD,C3784/TasaUSD)))</f>
        <v/>
      </c>
      <c r="V3784" s="20">
        <f>IF(I3784="","",IF(IFERROR(INDEX(ctaLiq,MATCH(E3784,ctaNom,0))="Sí",FALSE),IF(OR(I3784="Gasto",I3784="Transferencia",I3784="Pago tarjeta"),-1,1)*O3784,0)+IF(AND(U3784&lt;&gt;"",IFERROR(INDEX(ctaLiq,MATCH(G3784,ctaNom,0))="Sí",FALSE)),O3784,0))</f>
        <v/>
      </c>
      <c r="W3784" s="19">
        <f>IF(OR(F3784="",I3784=""),"",IF(COUNTIFS(F$6:F3784,F3784,I$6:I3784,"?*")=1,MAX(W$5:W3783)+1,""))</f>
        <v/>
      </c>
    </row>
    <row r="3785">
      <c r="B3785" s="15" t="n"/>
      <c r="C3785" s="16" t="n"/>
      <c r="D3785" s="17" t="n"/>
      <c r="E3785" s="17" t="n"/>
      <c r="F3785" s="17" t="n"/>
      <c r="G3785" s="17" t="n"/>
      <c r="H3785" s="18">
        <f>IF(AND(B3785="",C3785="",D3785="",E3785=""),"",IF(B3785="","⚠ Falta fecha",IF(C3785="","⚠ Falta monto",IF(D3785="","⚠ Falta categoría",IF(ISNA(MATCH(D3785,catNom,0)),"⚠ Categoría no existe",IF(E3785="","⚠ Falta cuenta",IF(ISNA(MATCH(E3785,ctaNom,0)),"⚠ Cuenta no existe",IF(AND(OR(I3785="Transferencia",I3785="Pago tarjeta"),G3785=""),"⚠ Indica la cuenta «Hacia»",IF(AND(G3785&lt;&gt;"",G3785=E3785),"⚠ «Hacia» igual a la cuenta",IF(AND(G3785&lt;&gt;"",ISNA(MATCH(G3785,ctaNom,0))),"⚠ «Hacia» no existe",IF(AND(I3785="Pago tarjeta",IFERROR(INDEX(ctaTipo,MATCH(G3785,ctaNom,0)),"")&lt;&gt;"Tarjeta de crédito"),"⚠ «Hacia» debe ser la tarjeta",IF(AND(I3785="Trading",IFERROR(INDEX(ctaTipo,MATCH(E3785,ctaNom,0)),"")&lt;&gt;"Cuenta de trading"),"⚠ Usa la cuenta de trading","✓"))))))))))))</f>
        <v/>
      </c>
      <c r="I3785" s="19">
        <f>IF(OR(B3785="",C3785="",D3785=""),"",IFERROR(INDEX(catTipo,MATCH(D3785,catNom,0))&amp;"",""))</f>
        <v/>
      </c>
      <c r="J3785" s="19">
        <f>IF(I3785="","",IFERROR(INDEX(catGrupo,MATCH(D3785,catNom,0))&amp;"",""))</f>
        <v/>
      </c>
      <c r="K3785" s="19">
        <f>IF(I3785="Gasto",IF(IFERROR(INDEX(catClas,MATCH(D3785,catNom,0))&amp;"","")="","Variable",IFERROR(INDEX(catClas,MATCH(D3785,catNom,0))&amp;"","")),"")</f>
        <v/>
      </c>
      <c r="L3785" s="19">
        <f>IF(I3785="","",IFERROR(INDEX(catAlim,MATCH(D3785,catNom,0))&amp;"",""))</f>
        <v/>
      </c>
      <c r="M3785" s="19">
        <f>IF(I3785="","",IFERROR(INDEX(catComida,MATCH(D3785,catNom,0))&amp;"",""))</f>
        <v/>
      </c>
      <c r="N3785" s="19">
        <f>IF(I3785="","",IFERROR(INDEX(ctaMon,MATCH(E3785,ctaNom,0))&amp;"","DOP"))</f>
        <v/>
      </c>
      <c r="O3785" s="20">
        <f>IF(I3785="","",C3785*IF(N3785="USD",TasaUSD,1))</f>
        <v/>
      </c>
      <c r="P3785" s="20">
        <f>IF(I3785="","",IF(I3785="Gasto",O3785,0))</f>
        <v/>
      </c>
      <c r="Q3785" s="20">
        <f>IF(I3785="","",IF(I3785="Ingreso",O3785,0))</f>
        <v/>
      </c>
      <c r="R3785" s="20">
        <f>IF(I3785="","",IF(I3785="Trading",O3785,0))</f>
        <v/>
      </c>
      <c r="S3785" s="19">
        <f>IF(I3785="","",IF(AND(I3785="Gasto",K3785="Variable",J3785&lt;&gt;"Trading",O3785&gt;0,O3785&lt;=Umbral),1,0))</f>
        <v/>
      </c>
      <c r="T3785" s="20">
        <f>IF(OR(I3785="",E3785=""),"",IF(OR(I3785="Gasto",I3785="Transferencia",I3785="Pago tarjeta"),-1,1)*C3785)</f>
        <v/>
      </c>
      <c r="U3785" s="20">
        <f>IF(OR(G3785="",AND(I3785&lt;&gt;"Transferencia",I3785&lt;&gt;"Pago tarjeta")),"",IF(IFERROR(INDEX(ctaMon,MATCH(G3785,ctaNom,0))&amp;"","DOP")=N3785,C3785,IF(N3785="USD",C3785*TasaUSD,C3785/TasaUSD)))</f>
        <v/>
      </c>
      <c r="V3785" s="20">
        <f>IF(I3785="","",IF(IFERROR(INDEX(ctaLiq,MATCH(E3785,ctaNom,0))="Sí",FALSE),IF(OR(I3785="Gasto",I3785="Transferencia",I3785="Pago tarjeta"),-1,1)*O3785,0)+IF(AND(U3785&lt;&gt;"",IFERROR(INDEX(ctaLiq,MATCH(G3785,ctaNom,0))="Sí",FALSE)),O3785,0))</f>
        <v/>
      </c>
      <c r="W3785" s="19">
        <f>IF(OR(F3785="",I3785=""),"",IF(COUNTIFS(F$6:F3785,F3785,I$6:I3785,"?*")=1,MAX(W$5:W3784)+1,""))</f>
        <v/>
      </c>
    </row>
    <row r="3786">
      <c r="B3786" s="15" t="n"/>
      <c r="C3786" s="16" t="n"/>
      <c r="D3786" s="17" t="n"/>
      <c r="E3786" s="17" t="n"/>
      <c r="F3786" s="17" t="n"/>
      <c r="G3786" s="17" t="n"/>
      <c r="H3786" s="18">
        <f>IF(AND(B3786="",C3786="",D3786="",E3786=""),"",IF(B3786="","⚠ Falta fecha",IF(C3786="","⚠ Falta monto",IF(D3786="","⚠ Falta categoría",IF(ISNA(MATCH(D3786,catNom,0)),"⚠ Categoría no existe",IF(E3786="","⚠ Falta cuenta",IF(ISNA(MATCH(E3786,ctaNom,0)),"⚠ Cuenta no existe",IF(AND(OR(I3786="Transferencia",I3786="Pago tarjeta"),G3786=""),"⚠ Indica la cuenta «Hacia»",IF(AND(G3786&lt;&gt;"",G3786=E3786),"⚠ «Hacia» igual a la cuenta",IF(AND(G3786&lt;&gt;"",ISNA(MATCH(G3786,ctaNom,0))),"⚠ «Hacia» no existe",IF(AND(I3786="Pago tarjeta",IFERROR(INDEX(ctaTipo,MATCH(G3786,ctaNom,0)),"")&lt;&gt;"Tarjeta de crédito"),"⚠ «Hacia» debe ser la tarjeta",IF(AND(I3786="Trading",IFERROR(INDEX(ctaTipo,MATCH(E3786,ctaNom,0)),"")&lt;&gt;"Cuenta de trading"),"⚠ Usa la cuenta de trading","✓"))))))))))))</f>
        <v/>
      </c>
      <c r="I3786" s="19">
        <f>IF(OR(B3786="",C3786="",D3786=""),"",IFERROR(INDEX(catTipo,MATCH(D3786,catNom,0))&amp;"",""))</f>
        <v/>
      </c>
      <c r="J3786" s="19">
        <f>IF(I3786="","",IFERROR(INDEX(catGrupo,MATCH(D3786,catNom,0))&amp;"",""))</f>
        <v/>
      </c>
      <c r="K3786" s="19">
        <f>IF(I3786="Gasto",IF(IFERROR(INDEX(catClas,MATCH(D3786,catNom,0))&amp;"","")="","Variable",IFERROR(INDEX(catClas,MATCH(D3786,catNom,0))&amp;"","")),"")</f>
        <v/>
      </c>
      <c r="L3786" s="19">
        <f>IF(I3786="","",IFERROR(INDEX(catAlim,MATCH(D3786,catNom,0))&amp;"",""))</f>
        <v/>
      </c>
      <c r="M3786" s="19">
        <f>IF(I3786="","",IFERROR(INDEX(catComida,MATCH(D3786,catNom,0))&amp;"",""))</f>
        <v/>
      </c>
      <c r="N3786" s="19">
        <f>IF(I3786="","",IFERROR(INDEX(ctaMon,MATCH(E3786,ctaNom,0))&amp;"","DOP"))</f>
        <v/>
      </c>
      <c r="O3786" s="20">
        <f>IF(I3786="","",C3786*IF(N3786="USD",TasaUSD,1))</f>
        <v/>
      </c>
      <c r="P3786" s="20">
        <f>IF(I3786="","",IF(I3786="Gasto",O3786,0))</f>
        <v/>
      </c>
      <c r="Q3786" s="20">
        <f>IF(I3786="","",IF(I3786="Ingreso",O3786,0))</f>
        <v/>
      </c>
      <c r="R3786" s="20">
        <f>IF(I3786="","",IF(I3786="Trading",O3786,0))</f>
        <v/>
      </c>
      <c r="S3786" s="19">
        <f>IF(I3786="","",IF(AND(I3786="Gasto",K3786="Variable",J3786&lt;&gt;"Trading",O3786&gt;0,O3786&lt;=Umbral),1,0))</f>
        <v/>
      </c>
      <c r="T3786" s="20">
        <f>IF(OR(I3786="",E3786=""),"",IF(OR(I3786="Gasto",I3786="Transferencia",I3786="Pago tarjeta"),-1,1)*C3786)</f>
        <v/>
      </c>
      <c r="U3786" s="20">
        <f>IF(OR(G3786="",AND(I3786&lt;&gt;"Transferencia",I3786&lt;&gt;"Pago tarjeta")),"",IF(IFERROR(INDEX(ctaMon,MATCH(G3786,ctaNom,0))&amp;"","DOP")=N3786,C3786,IF(N3786="USD",C3786*TasaUSD,C3786/TasaUSD)))</f>
        <v/>
      </c>
      <c r="V3786" s="20">
        <f>IF(I3786="","",IF(IFERROR(INDEX(ctaLiq,MATCH(E3786,ctaNom,0))="Sí",FALSE),IF(OR(I3786="Gasto",I3786="Transferencia",I3786="Pago tarjeta"),-1,1)*O3786,0)+IF(AND(U3786&lt;&gt;"",IFERROR(INDEX(ctaLiq,MATCH(G3786,ctaNom,0))="Sí",FALSE)),O3786,0))</f>
        <v/>
      </c>
      <c r="W3786" s="19">
        <f>IF(OR(F3786="",I3786=""),"",IF(COUNTIFS(F$6:F3786,F3786,I$6:I3786,"?*")=1,MAX(W$5:W3785)+1,""))</f>
        <v/>
      </c>
    </row>
    <row r="3787">
      <c r="B3787" s="15" t="n"/>
      <c r="C3787" s="16" t="n"/>
      <c r="D3787" s="17" t="n"/>
      <c r="E3787" s="17" t="n"/>
      <c r="F3787" s="17" t="n"/>
      <c r="G3787" s="17" t="n"/>
      <c r="H3787" s="18">
        <f>IF(AND(B3787="",C3787="",D3787="",E3787=""),"",IF(B3787="","⚠ Falta fecha",IF(C3787="","⚠ Falta monto",IF(D3787="","⚠ Falta categoría",IF(ISNA(MATCH(D3787,catNom,0)),"⚠ Categoría no existe",IF(E3787="","⚠ Falta cuenta",IF(ISNA(MATCH(E3787,ctaNom,0)),"⚠ Cuenta no existe",IF(AND(OR(I3787="Transferencia",I3787="Pago tarjeta"),G3787=""),"⚠ Indica la cuenta «Hacia»",IF(AND(G3787&lt;&gt;"",G3787=E3787),"⚠ «Hacia» igual a la cuenta",IF(AND(G3787&lt;&gt;"",ISNA(MATCH(G3787,ctaNom,0))),"⚠ «Hacia» no existe",IF(AND(I3787="Pago tarjeta",IFERROR(INDEX(ctaTipo,MATCH(G3787,ctaNom,0)),"")&lt;&gt;"Tarjeta de crédito"),"⚠ «Hacia» debe ser la tarjeta",IF(AND(I3787="Trading",IFERROR(INDEX(ctaTipo,MATCH(E3787,ctaNom,0)),"")&lt;&gt;"Cuenta de trading"),"⚠ Usa la cuenta de trading","✓"))))))))))))</f>
        <v/>
      </c>
      <c r="I3787" s="19">
        <f>IF(OR(B3787="",C3787="",D3787=""),"",IFERROR(INDEX(catTipo,MATCH(D3787,catNom,0))&amp;"",""))</f>
        <v/>
      </c>
      <c r="J3787" s="19">
        <f>IF(I3787="","",IFERROR(INDEX(catGrupo,MATCH(D3787,catNom,0))&amp;"",""))</f>
        <v/>
      </c>
      <c r="K3787" s="19">
        <f>IF(I3787="Gasto",IF(IFERROR(INDEX(catClas,MATCH(D3787,catNom,0))&amp;"","")="","Variable",IFERROR(INDEX(catClas,MATCH(D3787,catNom,0))&amp;"","")),"")</f>
        <v/>
      </c>
      <c r="L3787" s="19">
        <f>IF(I3787="","",IFERROR(INDEX(catAlim,MATCH(D3787,catNom,0))&amp;"",""))</f>
        <v/>
      </c>
      <c r="M3787" s="19">
        <f>IF(I3787="","",IFERROR(INDEX(catComida,MATCH(D3787,catNom,0))&amp;"",""))</f>
        <v/>
      </c>
      <c r="N3787" s="19">
        <f>IF(I3787="","",IFERROR(INDEX(ctaMon,MATCH(E3787,ctaNom,0))&amp;"","DOP"))</f>
        <v/>
      </c>
      <c r="O3787" s="20">
        <f>IF(I3787="","",C3787*IF(N3787="USD",TasaUSD,1))</f>
        <v/>
      </c>
      <c r="P3787" s="20">
        <f>IF(I3787="","",IF(I3787="Gasto",O3787,0))</f>
        <v/>
      </c>
      <c r="Q3787" s="20">
        <f>IF(I3787="","",IF(I3787="Ingreso",O3787,0))</f>
        <v/>
      </c>
      <c r="R3787" s="20">
        <f>IF(I3787="","",IF(I3787="Trading",O3787,0))</f>
        <v/>
      </c>
      <c r="S3787" s="19">
        <f>IF(I3787="","",IF(AND(I3787="Gasto",K3787="Variable",J3787&lt;&gt;"Trading",O3787&gt;0,O3787&lt;=Umbral),1,0))</f>
        <v/>
      </c>
      <c r="T3787" s="20">
        <f>IF(OR(I3787="",E3787=""),"",IF(OR(I3787="Gasto",I3787="Transferencia",I3787="Pago tarjeta"),-1,1)*C3787)</f>
        <v/>
      </c>
      <c r="U3787" s="20">
        <f>IF(OR(G3787="",AND(I3787&lt;&gt;"Transferencia",I3787&lt;&gt;"Pago tarjeta")),"",IF(IFERROR(INDEX(ctaMon,MATCH(G3787,ctaNom,0))&amp;"","DOP")=N3787,C3787,IF(N3787="USD",C3787*TasaUSD,C3787/TasaUSD)))</f>
        <v/>
      </c>
      <c r="V3787" s="20">
        <f>IF(I3787="","",IF(IFERROR(INDEX(ctaLiq,MATCH(E3787,ctaNom,0))="Sí",FALSE),IF(OR(I3787="Gasto",I3787="Transferencia",I3787="Pago tarjeta"),-1,1)*O3787,0)+IF(AND(U3787&lt;&gt;"",IFERROR(INDEX(ctaLiq,MATCH(G3787,ctaNom,0))="Sí",FALSE)),O3787,0))</f>
        <v/>
      </c>
      <c r="W3787" s="19">
        <f>IF(OR(F3787="",I3787=""),"",IF(COUNTIFS(F$6:F3787,F3787,I$6:I3787,"?*")=1,MAX(W$5:W3786)+1,""))</f>
        <v/>
      </c>
    </row>
    <row r="3788">
      <c r="B3788" s="15" t="n"/>
      <c r="C3788" s="16" t="n"/>
      <c r="D3788" s="17" t="n"/>
      <c r="E3788" s="17" t="n"/>
      <c r="F3788" s="17" t="n"/>
      <c r="G3788" s="17" t="n"/>
      <c r="H3788" s="18">
        <f>IF(AND(B3788="",C3788="",D3788="",E3788=""),"",IF(B3788="","⚠ Falta fecha",IF(C3788="","⚠ Falta monto",IF(D3788="","⚠ Falta categoría",IF(ISNA(MATCH(D3788,catNom,0)),"⚠ Categoría no existe",IF(E3788="","⚠ Falta cuenta",IF(ISNA(MATCH(E3788,ctaNom,0)),"⚠ Cuenta no existe",IF(AND(OR(I3788="Transferencia",I3788="Pago tarjeta"),G3788=""),"⚠ Indica la cuenta «Hacia»",IF(AND(G3788&lt;&gt;"",G3788=E3788),"⚠ «Hacia» igual a la cuenta",IF(AND(G3788&lt;&gt;"",ISNA(MATCH(G3788,ctaNom,0))),"⚠ «Hacia» no existe",IF(AND(I3788="Pago tarjeta",IFERROR(INDEX(ctaTipo,MATCH(G3788,ctaNom,0)),"")&lt;&gt;"Tarjeta de crédito"),"⚠ «Hacia» debe ser la tarjeta",IF(AND(I3788="Trading",IFERROR(INDEX(ctaTipo,MATCH(E3788,ctaNom,0)),"")&lt;&gt;"Cuenta de trading"),"⚠ Usa la cuenta de trading","✓"))))))))))))</f>
        <v/>
      </c>
      <c r="I3788" s="19">
        <f>IF(OR(B3788="",C3788="",D3788=""),"",IFERROR(INDEX(catTipo,MATCH(D3788,catNom,0))&amp;"",""))</f>
        <v/>
      </c>
      <c r="J3788" s="19">
        <f>IF(I3788="","",IFERROR(INDEX(catGrupo,MATCH(D3788,catNom,0))&amp;"",""))</f>
        <v/>
      </c>
      <c r="K3788" s="19">
        <f>IF(I3788="Gasto",IF(IFERROR(INDEX(catClas,MATCH(D3788,catNom,0))&amp;"","")="","Variable",IFERROR(INDEX(catClas,MATCH(D3788,catNom,0))&amp;"","")),"")</f>
        <v/>
      </c>
      <c r="L3788" s="19">
        <f>IF(I3788="","",IFERROR(INDEX(catAlim,MATCH(D3788,catNom,0))&amp;"",""))</f>
        <v/>
      </c>
      <c r="M3788" s="19">
        <f>IF(I3788="","",IFERROR(INDEX(catComida,MATCH(D3788,catNom,0))&amp;"",""))</f>
        <v/>
      </c>
      <c r="N3788" s="19">
        <f>IF(I3788="","",IFERROR(INDEX(ctaMon,MATCH(E3788,ctaNom,0))&amp;"","DOP"))</f>
        <v/>
      </c>
      <c r="O3788" s="20">
        <f>IF(I3788="","",C3788*IF(N3788="USD",TasaUSD,1))</f>
        <v/>
      </c>
      <c r="P3788" s="20">
        <f>IF(I3788="","",IF(I3788="Gasto",O3788,0))</f>
        <v/>
      </c>
      <c r="Q3788" s="20">
        <f>IF(I3788="","",IF(I3788="Ingreso",O3788,0))</f>
        <v/>
      </c>
      <c r="R3788" s="20">
        <f>IF(I3788="","",IF(I3788="Trading",O3788,0))</f>
        <v/>
      </c>
      <c r="S3788" s="19">
        <f>IF(I3788="","",IF(AND(I3788="Gasto",K3788="Variable",J3788&lt;&gt;"Trading",O3788&gt;0,O3788&lt;=Umbral),1,0))</f>
        <v/>
      </c>
      <c r="T3788" s="20">
        <f>IF(OR(I3788="",E3788=""),"",IF(OR(I3788="Gasto",I3788="Transferencia",I3788="Pago tarjeta"),-1,1)*C3788)</f>
        <v/>
      </c>
      <c r="U3788" s="20">
        <f>IF(OR(G3788="",AND(I3788&lt;&gt;"Transferencia",I3788&lt;&gt;"Pago tarjeta")),"",IF(IFERROR(INDEX(ctaMon,MATCH(G3788,ctaNom,0))&amp;"","DOP")=N3788,C3788,IF(N3788="USD",C3788*TasaUSD,C3788/TasaUSD)))</f>
        <v/>
      </c>
      <c r="V3788" s="20">
        <f>IF(I3788="","",IF(IFERROR(INDEX(ctaLiq,MATCH(E3788,ctaNom,0))="Sí",FALSE),IF(OR(I3788="Gasto",I3788="Transferencia",I3788="Pago tarjeta"),-1,1)*O3788,0)+IF(AND(U3788&lt;&gt;"",IFERROR(INDEX(ctaLiq,MATCH(G3788,ctaNom,0))="Sí",FALSE)),O3788,0))</f>
        <v/>
      </c>
      <c r="W3788" s="19">
        <f>IF(OR(F3788="",I3788=""),"",IF(COUNTIFS(F$6:F3788,F3788,I$6:I3788,"?*")=1,MAX(W$5:W3787)+1,""))</f>
        <v/>
      </c>
    </row>
    <row r="3789">
      <c r="B3789" s="15" t="n"/>
      <c r="C3789" s="16" t="n"/>
      <c r="D3789" s="17" t="n"/>
      <c r="E3789" s="17" t="n"/>
      <c r="F3789" s="17" t="n"/>
      <c r="G3789" s="17" t="n"/>
      <c r="H3789" s="18">
        <f>IF(AND(B3789="",C3789="",D3789="",E3789=""),"",IF(B3789="","⚠ Falta fecha",IF(C3789="","⚠ Falta monto",IF(D3789="","⚠ Falta categoría",IF(ISNA(MATCH(D3789,catNom,0)),"⚠ Categoría no existe",IF(E3789="","⚠ Falta cuenta",IF(ISNA(MATCH(E3789,ctaNom,0)),"⚠ Cuenta no existe",IF(AND(OR(I3789="Transferencia",I3789="Pago tarjeta"),G3789=""),"⚠ Indica la cuenta «Hacia»",IF(AND(G3789&lt;&gt;"",G3789=E3789),"⚠ «Hacia» igual a la cuenta",IF(AND(G3789&lt;&gt;"",ISNA(MATCH(G3789,ctaNom,0))),"⚠ «Hacia» no existe",IF(AND(I3789="Pago tarjeta",IFERROR(INDEX(ctaTipo,MATCH(G3789,ctaNom,0)),"")&lt;&gt;"Tarjeta de crédito"),"⚠ «Hacia» debe ser la tarjeta",IF(AND(I3789="Trading",IFERROR(INDEX(ctaTipo,MATCH(E3789,ctaNom,0)),"")&lt;&gt;"Cuenta de trading"),"⚠ Usa la cuenta de trading","✓"))))))))))))</f>
        <v/>
      </c>
      <c r="I3789" s="19">
        <f>IF(OR(B3789="",C3789="",D3789=""),"",IFERROR(INDEX(catTipo,MATCH(D3789,catNom,0))&amp;"",""))</f>
        <v/>
      </c>
      <c r="J3789" s="19">
        <f>IF(I3789="","",IFERROR(INDEX(catGrupo,MATCH(D3789,catNom,0))&amp;"",""))</f>
        <v/>
      </c>
      <c r="K3789" s="19">
        <f>IF(I3789="Gasto",IF(IFERROR(INDEX(catClas,MATCH(D3789,catNom,0))&amp;"","")="","Variable",IFERROR(INDEX(catClas,MATCH(D3789,catNom,0))&amp;"","")),"")</f>
        <v/>
      </c>
      <c r="L3789" s="19">
        <f>IF(I3789="","",IFERROR(INDEX(catAlim,MATCH(D3789,catNom,0))&amp;"",""))</f>
        <v/>
      </c>
      <c r="M3789" s="19">
        <f>IF(I3789="","",IFERROR(INDEX(catComida,MATCH(D3789,catNom,0))&amp;"",""))</f>
        <v/>
      </c>
      <c r="N3789" s="19">
        <f>IF(I3789="","",IFERROR(INDEX(ctaMon,MATCH(E3789,ctaNom,0))&amp;"","DOP"))</f>
        <v/>
      </c>
      <c r="O3789" s="20">
        <f>IF(I3789="","",C3789*IF(N3789="USD",TasaUSD,1))</f>
        <v/>
      </c>
      <c r="P3789" s="20">
        <f>IF(I3789="","",IF(I3789="Gasto",O3789,0))</f>
        <v/>
      </c>
      <c r="Q3789" s="20">
        <f>IF(I3789="","",IF(I3789="Ingreso",O3789,0))</f>
        <v/>
      </c>
      <c r="R3789" s="20">
        <f>IF(I3789="","",IF(I3789="Trading",O3789,0))</f>
        <v/>
      </c>
      <c r="S3789" s="19">
        <f>IF(I3789="","",IF(AND(I3789="Gasto",K3789="Variable",J3789&lt;&gt;"Trading",O3789&gt;0,O3789&lt;=Umbral),1,0))</f>
        <v/>
      </c>
      <c r="T3789" s="20">
        <f>IF(OR(I3789="",E3789=""),"",IF(OR(I3789="Gasto",I3789="Transferencia",I3789="Pago tarjeta"),-1,1)*C3789)</f>
        <v/>
      </c>
      <c r="U3789" s="20">
        <f>IF(OR(G3789="",AND(I3789&lt;&gt;"Transferencia",I3789&lt;&gt;"Pago tarjeta")),"",IF(IFERROR(INDEX(ctaMon,MATCH(G3789,ctaNom,0))&amp;"","DOP")=N3789,C3789,IF(N3789="USD",C3789*TasaUSD,C3789/TasaUSD)))</f>
        <v/>
      </c>
      <c r="V3789" s="20">
        <f>IF(I3789="","",IF(IFERROR(INDEX(ctaLiq,MATCH(E3789,ctaNom,0))="Sí",FALSE),IF(OR(I3789="Gasto",I3789="Transferencia",I3789="Pago tarjeta"),-1,1)*O3789,0)+IF(AND(U3789&lt;&gt;"",IFERROR(INDEX(ctaLiq,MATCH(G3789,ctaNom,0))="Sí",FALSE)),O3789,0))</f>
        <v/>
      </c>
      <c r="W3789" s="19">
        <f>IF(OR(F3789="",I3789=""),"",IF(COUNTIFS(F$6:F3789,F3789,I$6:I3789,"?*")=1,MAX(W$5:W3788)+1,""))</f>
        <v/>
      </c>
    </row>
    <row r="3790">
      <c r="B3790" s="15" t="n"/>
      <c r="C3790" s="16" t="n"/>
      <c r="D3790" s="17" t="n"/>
      <c r="E3790" s="17" t="n"/>
      <c r="F3790" s="17" t="n"/>
      <c r="G3790" s="17" t="n"/>
      <c r="H3790" s="18">
        <f>IF(AND(B3790="",C3790="",D3790="",E3790=""),"",IF(B3790="","⚠ Falta fecha",IF(C3790="","⚠ Falta monto",IF(D3790="","⚠ Falta categoría",IF(ISNA(MATCH(D3790,catNom,0)),"⚠ Categoría no existe",IF(E3790="","⚠ Falta cuenta",IF(ISNA(MATCH(E3790,ctaNom,0)),"⚠ Cuenta no existe",IF(AND(OR(I3790="Transferencia",I3790="Pago tarjeta"),G3790=""),"⚠ Indica la cuenta «Hacia»",IF(AND(G3790&lt;&gt;"",G3790=E3790),"⚠ «Hacia» igual a la cuenta",IF(AND(G3790&lt;&gt;"",ISNA(MATCH(G3790,ctaNom,0))),"⚠ «Hacia» no existe",IF(AND(I3790="Pago tarjeta",IFERROR(INDEX(ctaTipo,MATCH(G3790,ctaNom,0)),"")&lt;&gt;"Tarjeta de crédito"),"⚠ «Hacia» debe ser la tarjeta",IF(AND(I3790="Trading",IFERROR(INDEX(ctaTipo,MATCH(E3790,ctaNom,0)),"")&lt;&gt;"Cuenta de trading"),"⚠ Usa la cuenta de trading","✓"))))))))))))</f>
        <v/>
      </c>
      <c r="I3790" s="19">
        <f>IF(OR(B3790="",C3790="",D3790=""),"",IFERROR(INDEX(catTipo,MATCH(D3790,catNom,0))&amp;"",""))</f>
        <v/>
      </c>
      <c r="J3790" s="19">
        <f>IF(I3790="","",IFERROR(INDEX(catGrupo,MATCH(D3790,catNom,0))&amp;"",""))</f>
        <v/>
      </c>
      <c r="K3790" s="19">
        <f>IF(I3790="Gasto",IF(IFERROR(INDEX(catClas,MATCH(D3790,catNom,0))&amp;"","")="","Variable",IFERROR(INDEX(catClas,MATCH(D3790,catNom,0))&amp;"","")),"")</f>
        <v/>
      </c>
      <c r="L3790" s="19">
        <f>IF(I3790="","",IFERROR(INDEX(catAlim,MATCH(D3790,catNom,0))&amp;"",""))</f>
        <v/>
      </c>
      <c r="M3790" s="19">
        <f>IF(I3790="","",IFERROR(INDEX(catComida,MATCH(D3790,catNom,0))&amp;"",""))</f>
        <v/>
      </c>
      <c r="N3790" s="19">
        <f>IF(I3790="","",IFERROR(INDEX(ctaMon,MATCH(E3790,ctaNom,0))&amp;"","DOP"))</f>
        <v/>
      </c>
      <c r="O3790" s="20">
        <f>IF(I3790="","",C3790*IF(N3790="USD",TasaUSD,1))</f>
        <v/>
      </c>
      <c r="P3790" s="20">
        <f>IF(I3790="","",IF(I3790="Gasto",O3790,0))</f>
        <v/>
      </c>
      <c r="Q3790" s="20">
        <f>IF(I3790="","",IF(I3790="Ingreso",O3790,0))</f>
        <v/>
      </c>
      <c r="R3790" s="20">
        <f>IF(I3790="","",IF(I3790="Trading",O3790,0))</f>
        <v/>
      </c>
      <c r="S3790" s="19">
        <f>IF(I3790="","",IF(AND(I3790="Gasto",K3790="Variable",J3790&lt;&gt;"Trading",O3790&gt;0,O3790&lt;=Umbral),1,0))</f>
        <v/>
      </c>
      <c r="T3790" s="20">
        <f>IF(OR(I3790="",E3790=""),"",IF(OR(I3790="Gasto",I3790="Transferencia",I3790="Pago tarjeta"),-1,1)*C3790)</f>
        <v/>
      </c>
      <c r="U3790" s="20">
        <f>IF(OR(G3790="",AND(I3790&lt;&gt;"Transferencia",I3790&lt;&gt;"Pago tarjeta")),"",IF(IFERROR(INDEX(ctaMon,MATCH(G3790,ctaNom,0))&amp;"","DOP")=N3790,C3790,IF(N3790="USD",C3790*TasaUSD,C3790/TasaUSD)))</f>
        <v/>
      </c>
      <c r="V3790" s="20">
        <f>IF(I3790="","",IF(IFERROR(INDEX(ctaLiq,MATCH(E3790,ctaNom,0))="Sí",FALSE),IF(OR(I3790="Gasto",I3790="Transferencia",I3790="Pago tarjeta"),-1,1)*O3790,0)+IF(AND(U3790&lt;&gt;"",IFERROR(INDEX(ctaLiq,MATCH(G3790,ctaNom,0))="Sí",FALSE)),O3790,0))</f>
        <v/>
      </c>
      <c r="W3790" s="19">
        <f>IF(OR(F3790="",I3790=""),"",IF(COUNTIFS(F$6:F3790,F3790,I$6:I3790,"?*")=1,MAX(W$5:W3789)+1,""))</f>
        <v/>
      </c>
    </row>
    <row r="3791">
      <c r="B3791" s="15" t="n"/>
      <c r="C3791" s="16" t="n"/>
      <c r="D3791" s="17" t="n"/>
      <c r="E3791" s="17" t="n"/>
      <c r="F3791" s="17" t="n"/>
      <c r="G3791" s="17" t="n"/>
      <c r="H3791" s="18">
        <f>IF(AND(B3791="",C3791="",D3791="",E3791=""),"",IF(B3791="","⚠ Falta fecha",IF(C3791="","⚠ Falta monto",IF(D3791="","⚠ Falta categoría",IF(ISNA(MATCH(D3791,catNom,0)),"⚠ Categoría no existe",IF(E3791="","⚠ Falta cuenta",IF(ISNA(MATCH(E3791,ctaNom,0)),"⚠ Cuenta no existe",IF(AND(OR(I3791="Transferencia",I3791="Pago tarjeta"),G3791=""),"⚠ Indica la cuenta «Hacia»",IF(AND(G3791&lt;&gt;"",G3791=E3791),"⚠ «Hacia» igual a la cuenta",IF(AND(G3791&lt;&gt;"",ISNA(MATCH(G3791,ctaNom,0))),"⚠ «Hacia» no existe",IF(AND(I3791="Pago tarjeta",IFERROR(INDEX(ctaTipo,MATCH(G3791,ctaNom,0)),"")&lt;&gt;"Tarjeta de crédito"),"⚠ «Hacia» debe ser la tarjeta",IF(AND(I3791="Trading",IFERROR(INDEX(ctaTipo,MATCH(E3791,ctaNom,0)),"")&lt;&gt;"Cuenta de trading"),"⚠ Usa la cuenta de trading","✓"))))))))))))</f>
        <v/>
      </c>
      <c r="I3791" s="19">
        <f>IF(OR(B3791="",C3791="",D3791=""),"",IFERROR(INDEX(catTipo,MATCH(D3791,catNom,0))&amp;"",""))</f>
        <v/>
      </c>
      <c r="J3791" s="19">
        <f>IF(I3791="","",IFERROR(INDEX(catGrupo,MATCH(D3791,catNom,0))&amp;"",""))</f>
        <v/>
      </c>
      <c r="K3791" s="19">
        <f>IF(I3791="Gasto",IF(IFERROR(INDEX(catClas,MATCH(D3791,catNom,0))&amp;"","")="","Variable",IFERROR(INDEX(catClas,MATCH(D3791,catNom,0))&amp;"","")),"")</f>
        <v/>
      </c>
      <c r="L3791" s="19">
        <f>IF(I3791="","",IFERROR(INDEX(catAlim,MATCH(D3791,catNom,0))&amp;"",""))</f>
        <v/>
      </c>
      <c r="M3791" s="19">
        <f>IF(I3791="","",IFERROR(INDEX(catComida,MATCH(D3791,catNom,0))&amp;"",""))</f>
        <v/>
      </c>
      <c r="N3791" s="19">
        <f>IF(I3791="","",IFERROR(INDEX(ctaMon,MATCH(E3791,ctaNom,0))&amp;"","DOP"))</f>
        <v/>
      </c>
      <c r="O3791" s="20">
        <f>IF(I3791="","",C3791*IF(N3791="USD",TasaUSD,1))</f>
        <v/>
      </c>
      <c r="P3791" s="20">
        <f>IF(I3791="","",IF(I3791="Gasto",O3791,0))</f>
        <v/>
      </c>
      <c r="Q3791" s="20">
        <f>IF(I3791="","",IF(I3791="Ingreso",O3791,0))</f>
        <v/>
      </c>
      <c r="R3791" s="20">
        <f>IF(I3791="","",IF(I3791="Trading",O3791,0))</f>
        <v/>
      </c>
      <c r="S3791" s="19">
        <f>IF(I3791="","",IF(AND(I3791="Gasto",K3791="Variable",J3791&lt;&gt;"Trading",O3791&gt;0,O3791&lt;=Umbral),1,0))</f>
        <v/>
      </c>
      <c r="T3791" s="20">
        <f>IF(OR(I3791="",E3791=""),"",IF(OR(I3791="Gasto",I3791="Transferencia",I3791="Pago tarjeta"),-1,1)*C3791)</f>
        <v/>
      </c>
      <c r="U3791" s="20">
        <f>IF(OR(G3791="",AND(I3791&lt;&gt;"Transferencia",I3791&lt;&gt;"Pago tarjeta")),"",IF(IFERROR(INDEX(ctaMon,MATCH(G3791,ctaNom,0))&amp;"","DOP")=N3791,C3791,IF(N3791="USD",C3791*TasaUSD,C3791/TasaUSD)))</f>
        <v/>
      </c>
      <c r="V3791" s="20">
        <f>IF(I3791="","",IF(IFERROR(INDEX(ctaLiq,MATCH(E3791,ctaNom,0))="Sí",FALSE),IF(OR(I3791="Gasto",I3791="Transferencia",I3791="Pago tarjeta"),-1,1)*O3791,0)+IF(AND(U3791&lt;&gt;"",IFERROR(INDEX(ctaLiq,MATCH(G3791,ctaNom,0))="Sí",FALSE)),O3791,0))</f>
        <v/>
      </c>
      <c r="W3791" s="19">
        <f>IF(OR(F3791="",I3791=""),"",IF(COUNTIFS(F$6:F3791,F3791,I$6:I3791,"?*")=1,MAX(W$5:W3790)+1,""))</f>
        <v/>
      </c>
    </row>
    <row r="3792">
      <c r="B3792" s="15" t="n"/>
      <c r="C3792" s="16" t="n"/>
      <c r="D3792" s="17" t="n"/>
      <c r="E3792" s="17" t="n"/>
      <c r="F3792" s="17" t="n"/>
      <c r="G3792" s="17" t="n"/>
      <c r="H3792" s="18">
        <f>IF(AND(B3792="",C3792="",D3792="",E3792=""),"",IF(B3792="","⚠ Falta fecha",IF(C3792="","⚠ Falta monto",IF(D3792="","⚠ Falta categoría",IF(ISNA(MATCH(D3792,catNom,0)),"⚠ Categoría no existe",IF(E3792="","⚠ Falta cuenta",IF(ISNA(MATCH(E3792,ctaNom,0)),"⚠ Cuenta no existe",IF(AND(OR(I3792="Transferencia",I3792="Pago tarjeta"),G3792=""),"⚠ Indica la cuenta «Hacia»",IF(AND(G3792&lt;&gt;"",G3792=E3792),"⚠ «Hacia» igual a la cuenta",IF(AND(G3792&lt;&gt;"",ISNA(MATCH(G3792,ctaNom,0))),"⚠ «Hacia» no existe",IF(AND(I3792="Pago tarjeta",IFERROR(INDEX(ctaTipo,MATCH(G3792,ctaNom,0)),"")&lt;&gt;"Tarjeta de crédito"),"⚠ «Hacia» debe ser la tarjeta",IF(AND(I3792="Trading",IFERROR(INDEX(ctaTipo,MATCH(E3792,ctaNom,0)),"")&lt;&gt;"Cuenta de trading"),"⚠ Usa la cuenta de trading","✓"))))))))))))</f>
        <v/>
      </c>
      <c r="I3792" s="19">
        <f>IF(OR(B3792="",C3792="",D3792=""),"",IFERROR(INDEX(catTipo,MATCH(D3792,catNom,0))&amp;"",""))</f>
        <v/>
      </c>
      <c r="J3792" s="19">
        <f>IF(I3792="","",IFERROR(INDEX(catGrupo,MATCH(D3792,catNom,0))&amp;"",""))</f>
        <v/>
      </c>
      <c r="K3792" s="19">
        <f>IF(I3792="Gasto",IF(IFERROR(INDEX(catClas,MATCH(D3792,catNom,0))&amp;"","")="","Variable",IFERROR(INDEX(catClas,MATCH(D3792,catNom,0))&amp;"","")),"")</f>
        <v/>
      </c>
      <c r="L3792" s="19">
        <f>IF(I3792="","",IFERROR(INDEX(catAlim,MATCH(D3792,catNom,0))&amp;"",""))</f>
        <v/>
      </c>
      <c r="M3792" s="19">
        <f>IF(I3792="","",IFERROR(INDEX(catComida,MATCH(D3792,catNom,0))&amp;"",""))</f>
        <v/>
      </c>
      <c r="N3792" s="19">
        <f>IF(I3792="","",IFERROR(INDEX(ctaMon,MATCH(E3792,ctaNom,0))&amp;"","DOP"))</f>
        <v/>
      </c>
      <c r="O3792" s="20">
        <f>IF(I3792="","",C3792*IF(N3792="USD",TasaUSD,1))</f>
        <v/>
      </c>
      <c r="P3792" s="20">
        <f>IF(I3792="","",IF(I3792="Gasto",O3792,0))</f>
        <v/>
      </c>
      <c r="Q3792" s="20">
        <f>IF(I3792="","",IF(I3792="Ingreso",O3792,0))</f>
        <v/>
      </c>
      <c r="R3792" s="20">
        <f>IF(I3792="","",IF(I3792="Trading",O3792,0))</f>
        <v/>
      </c>
      <c r="S3792" s="19">
        <f>IF(I3792="","",IF(AND(I3792="Gasto",K3792="Variable",J3792&lt;&gt;"Trading",O3792&gt;0,O3792&lt;=Umbral),1,0))</f>
        <v/>
      </c>
      <c r="T3792" s="20">
        <f>IF(OR(I3792="",E3792=""),"",IF(OR(I3792="Gasto",I3792="Transferencia",I3792="Pago tarjeta"),-1,1)*C3792)</f>
        <v/>
      </c>
      <c r="U3792" s="20">
        <f>IF(OR(G3792="",AND(I3792&lt;&gt;"Transferencia",I3792&lt;&gt;"Pago tarjeta")),"",IF(IFERROR(INDEX(ctaMon,MATCH(G3792,ctaNom,0))&amp;"","DOP")=N3792,C3792,IF(N3792="USD",C3792*TasaUSD,C3792/TasaUSD)))</f>
        <v/>
      </c>
      <c r="V3792" s="20">
        <f>IF(I3792="","",IF(IFERROR(INDEX(ctaLiq,MATCH(E3792,ctaNom,0))="Sí",FALSE),IF(OR(I3792="Gasto",I3792="Transferencia",I3792="Pago tarjeta"),-1,1)*O3792,0)+IF(AND(U3792&lt;&gt;"",IFERROR(INDEX(ctaLiq,MATCH(G3792,ctaNom,0))="Sí",FALSE)),O3792,0))</f>
        <v/>
      </c>
      <c r="W3792" s="19">
        <f>IF(OR(F3792="",I3792=""),"",IF(COUNTIFS(F$6:F3792,F3792,I$6:I3792,"?*")=1,MAX(W$5:W3791)+1,""))</f>
        <v/>
      </c>
    </row>
    <row r="3793">
      <c r="B3793" s="15" t="n"/>
      <c r="C3793" s="16" t="n"/>
      <c r="D3793" s="17" t="n"/>
      <c r="E3793" s="17" t="n"/>
      <c r="F3793" s="17" t="n"/>
      <c r="G3793" s="17" t="n"/>
      <c r="H3793" s="18">
        <f>IF(AND(B3793="",C3793="",D3793="",E3793=""),"",IF(B3793="","⚠ Falta fecha",IF(C3793="","⚠ Falta monto",IF(D3793="","⚠ Falta categoría",IF(ISNA(MATCH(D3793,catNom,0)),"⚠ Categoría no existe",IF(E3793="","⚠ Falta cuenta",IF(ISNA(MATCH(E3793,ctaNom,0)),"⚠ Cuenta no existe",IF(AND(OR(I3793="Transferencia",I3793="Pago tarjeta"),G3793=""),"⚠ Indica la cuenta «Hacia»",IF(AND(G3793&lt;&gt;"",G3793=E3793),"⚠ «Hacia» igual a la cuenta",IF(AND(G3793&lt;&gt;"",ISNA(MATCH(G3793,ctaNom,0))),"⚠ «Hacia» no existe",IF(AND(I3793="Pago tarjeta",IFERROR(INDEX(ctaTipo,MATCH(G3793,ctaNom,0)),"")&lt;&gt;"Tarjeta de crédito"),"⚠ «Hacia» debe ser la tarjeta",IF(AND(I3793="Trading",IFERROR(INDEX(ctaTipo,MATCH(E3793,ctaNom,0)),"")&lt;&gt;"Cuenta de trading"),"⚠ Usa la cuenta de trading","✓"))))))))))))</f>
        <v/>
      </c>
      <c r="I3793" s="19">
        <f>IF(OR(B3793="",C3793="",D3793=""),"",IFERROR(INDEX(catTipo,MATCH(D3793,catNom,0))&amp;"",""))</f>
        <v/>
      </c>
      <c r="J3793" s="19">
        <f>IF(I3793="","",IFERROR(INDEX(catGrupo,MATCH(D3793,catNom,0))&amp;"",""))</f>
        <v/>
      </c>
      <c r="K3793" s="19">
        <f>IF(I3793="Gasto",IF(IFERROR(INDEX(catClas,MATCH(D3793,catNom,0))&amp;"","")="","Variable",IFERROR(INDEX(catClas,MATCH(D3793,catNom,0))&amp;"","")),"")</f>
        <v/>
      </c>
      <c r="L3793" s="19">
        <f>IF(I3793="","",IFERROR(INDEX(catAlim,MATCH(D3793,catNom,0))&amp;"",""))</f>
        <v/>
      </c>
      <c r="M3793" s="19">
        <f>IF(I3793="","",IFERROR(INDEX(catComida,MATCH(D3793,catNom,0))&amp;"",""))</f>
        <v/>
      </c>
      <c r="N3793" s="19">
        <f>IF(I3793="","",IFERROR(INDEX(ctaMon,MATCH(E3793,ctaNom,0))&amp;"","DOP"))</f>
        <v/>
      </c>
      <c r="O3793" s="20">
        <f>IF(I3793="","",C3793*IF(N3793="USD",TasaUSD,1))</f>
        <v/>
      </c>
      <c r="P3793" s="20">
        <f>IF(I3793="","",IF(I3793="Gasto",O3793,0))</f>
        <v/>
      </c>
      <c r="Q3793" s="20">
        <f>IF(I3793="","",IF(I3793="Ingreso",O3793,0))</f>
        <v/>
      </c>
      <c r="R3793" s="20">
        <f>IF(I3793="","",IF(I3793="Trading",O3793,0))</f>
        <v/>
      </c>
      <c r="S3793" s="19">
        <f>IF(I3793="","",IF(AND(I3793="Gasto",K3793="Variable",J3793&lt;&gt;"Trading",O3793&gt;0,O3793&lt;=Umbral),1,0))</f>
        <v/>
      </c>
      <c r="T3793" s="20">
        <f>IF(OR(I3793="",E3793=""),"",IF(OR(I3793="Gasto",I3793="Transferencia",I3793="Pago tarjeta"),-1,1)*C3793)</f>
        <v/>
      </c>
      <c r="U3793" s="20">
        <f>IF(OR(G3793="",AND(I3793&lt;&gt;"Transferencia",I3793&lt;&gt;"Pago tarjeta")),"",IF(IFERROR(INDEX(ctaMon,MATCH(G3793,ctaNom,0))&amp;"","DOP")=N3793,C3793,IF(N3793="USD",C3793*TasaUSD,C3793/TasaUSD)))</f>
        <v/>
      </c>
      <c r="V3793" s="20">
        <f>IF(I3793="","",IF(IFERROR(INDEX(ctaLiq,MATCH(E3793,ctaNom,0))="Sí",FALSE),IF(OR(I3793="Gasto",I3793="Transferencia",I3793="Pago tarjeta"),-1,1)*O3793,0)+IF(AND(U3793&lt;&gt;"",IFERROR(INDEX(ctaLiq,MATCH(G3793,ctaNom,0))="Sí",FALSE)),O3793,0))</f>
        <v/>
      </c>
      <c r="W3793" s="19">
        <f>IF(OR(F3793="",I3793=""),"",IF(COUNTIFS(F$6:F3793,F3793,I$6:I3793,"?*")=1,MAX(W$5:W3792)+1,""))</f>
        <v/>
      </c>
    </row>
    <row r="3794">
      <c r="B3794" s="15" t="n"/>
      <c r="C3794" s="16" t="n"/>
      <c r="D3794" s="17" t="n"/>
      <c r="E3794" s="17" t="n"/>
      <c r="F3794" s="17" t="n"/>
      <c r="G3794" s="17" t="n"/>
      <c r="H3794" s="18">
        <f>IF(AND(B3794="",C3794="",D3794="",E3794=""),"",IF(B3794="","⚠ Falta fecha",IF(C3794="","⚠ Falta monto",IF(D3794="","⚠ Falta categoría",IF(ISNA(MATCH(D3794,catNom,0)),"⚠ Categoría no existe",IF(E3794="","⚠ Falta cuenta",IF(ISNA(MATCH(E3794,ctaNom,0)),"⚠ Cuenta no existe",IF(AND(OR(I3794="Transferencia",I3794="Pago tarjeta"),G3794=""),"⚠ Indica la cuenta «Hacia»",IF(AND(G3794&lt;&gt;"",G3794=E3794),"⚠ «Hacia» igual a la cuenta",IF(AND(G3794&lt;&gt;"",ISNA(MATCH(G3794,ctaNom,0))),"⚠ «Hacia» no existe",IF(AND(I3794="Pago tarjeta",IFERROR(INDEX(ctaTipo,MATCH(G3794,ctaNom,0)),"")&lt;&gt;"Tarjeta de crédito"),"⚠ «Hacia» debe ser la tarjeta",IF(AND(I3794="Trading",IFERROR(INDEX(ctaTipo,MATCH(E3794,ctaNom,0)),"")&lt;&gt;"Cuenta de trading"),"⚠ Usa la cuenta de trading","✓"))))))))))))</f>
        <v/>
      </c>
      <c r="I3794" s="19">
        <f>IF(OR(B3794="",C3794="",D3794=""),"",IFERROR(INDEX(catTipo,MATCH(D3794,catNom,0))&amp;"",""))</f>
        <v/>
      </c>
      <c r="J3794" s="19">
        <f>IF(I3794="","",IFERROR(INDEX(catGrupo,MATCH(D3794,catNom,0))&amp;"",""))</f>
        <v/>
      </c>
      <c r="K3794" s="19">
        <f>IF(I3794="Gasto",IF(IFERROR(INDEX(catClas,MATCH(D3794,catNom,0))&amp;"","")="","Variable",IFERROR(INDEX(catClas,MATCH(D3794,catNom,0))&amp;"","")),"")</f>
        <v/>
      </c>
      <c r="L3794" s="19">
        <f>IF(I3794="","",IFERROR(INDEX(catAlim,MATCH(D3794,catNom,0))&amp;"",""))</f>
        <v/>
      </c>
      <c r="M3794" s="19">
        <f>IF(I3794="","",IFERROR(INDEX(catComida,MATCH(D3794,catNom,0))&amp;"",""))</f>
        <v/>
      </c>
      <c r="N3794" s="19">
        <f>IF(I3794="","",IFERROR(INDEX(ctaMon,MATCH(E3794,ctaNom,0))&amp;"","DOP"))</f>
        <v/>
      </c>
      <c r="O3794" s="20">
        <f>IF(I3794="","",C3794*IF(N3794="USD",TasaUSD,1))</f>
        <v/>
      </c>
      <c r="P3794" s="20">
        <f>IF(I3794="","",IF(I3794="Gasto",O3794,0))</f>
        <v/>
      </c>
      <c r="Q3794" s="20">
        <f>IF(I3794="","",IF(I3794="Ingreso",O3794,0))</f>
        <v/>
      </c>
      <c r="R3794" s="20">
        <f>IF(I3794="","",IF(I3794="Trading",O3794,0))</f>
        <v/>
      </c>
      <c r="S3794" s="19">
        <f>IF(I3794="","",IF(AND(I3794="Gasto",K3794="Variable",J3794&lt;&gt;"Trading",O3794&gt;0,O3794&lt;=Umbral),1,0))</f>
        <v/>
      </c>
      <c r="T3794" s="20">
        <f>IF(OR(I3794="",E3794=""),"",IF(OR(I3794="Gasto",I3794="Transferencia",I3794="Pago tarjeta"),-1,1)*C3794)</f>
        <v/>
      </c>
      <c r="U3794" s="20">
        <f>IF(OR(G3794="",AND(I3794&lt;&gt;"Transferencia",I3794&lt;&gt;"Pago tarjeta")),"",IF(IFERROR(INDEX(ctaMon,MATCH(G3794,ctaNom,0))&amp;"","DOP")=N3794,C3794,IF(N3794="USD",C3794*TasaUSD,C3794/TasaUSD)))</f>
        <v/>
      </c>
      <c r="V3794" s="20">
        <f>IF(I3794="","",IF(IFERROR(INDEX(ctaLiq,MATCH(E3794,ctaNom,0))="Sí",FALSE),IF(OR(I3794="Gasto",I3794="Transferencia",I3794="Pago tarjeta"),-1,1)*O3794,0)+IF(AND(U3794&lt;&gt;"",IFERROR(INDEX(ctaLiq,MATCH(G3794,ctaNom,0))="Sí",FALSE)),O3794,0))</f>
        <v/>
      </c>
      <c r="W3794" s="19">
        <f>IF(OR(F3794="",I3794=""),"",IF(COUNTIFS(F$6:F3794,F3794,I$6:I3794,"?*")=1,MAX(W$5:W3793)+1,""))</f>
        <v/>
      </c>
    </row>
    <row r="3795">
      <c r="B3795" s="15" t="n"/>
      <c r="C3795" s="16" t="n"/>
      <c r="D3795" s="17" t="n"/>
      <c r="E3795" s="17" t="n"/>
      <c r="F3795" s="17" t="n"/>
      <c r="G3795" s="17" t="n"/>
      <c r="H3795" s="18">
        <f>IF(AND(B3795="",C3795="",D3795="",E3795=""),"",IF(B3795="","⚠ Falta fecha",IF(C3795="","⚠ Falta monto",IF(D3795="","⚠ Falta categoría",IF(ISNA(MATCH(D3795,catNom,0)),"⚠ Categoría no existe",IF(E3795="","⚠ Falta cuenta",IF(ISNA(MATCH(E3795,ctaNom,0)),"⚠ Cuenta no existe",IF(AND(OR(I3795="Transferencia",I3795="Pago tarjeta"),G3795=""),"⚠ Indica la cuenta «Hacia»",IF(AND(G3795&lt;&gt;"",G3795=E3795),"⚠ «Hacia» igual a la cuenta",IF(AND(G3795&lt;&gt;"",ISNA(MATCH(G3795,ctaNom,0))),"⚠ «Hacia» no existe",IF(AND(I3795="Pago tarjeta",IFERROR(INDEX(ctaTipo,MATCH(G3795,ctaNom,0)),"")&lt;&gt;"Tarjeta de crédito"),"⚠ «Hacia» debe ser la tarjeta",IF(AND(I3795="Trading",IFERROR(INDEX(ctaTipo,MATCH(E3795,ctaNom,0)),"")&lt;&gt;"Cuenta de trading"),"⚠ Usa la cuenta de trading","✓"))))))))))))</f>
        <v/>
      </c>
      <c r="I3795" s="19">
        <f>IF(OR(B3795="",C3795="",D3795=""),"",IFERROR(INDEX(catTipo,MATCH(D3795,catNom,0))&amp;"",""))</f>
        <v/>
      </c>
      <c r="J3795" s="19">
        <f>IF(I3795="","",IFERROR(INDEX(catGrupo,MATCH(D3795,catNom,0))&amp;"",""))</f>
        <v/>
      </c>
      <c r="K3795" s="19">
        <f>IF(I3795="Gasto",IF(IFERROR(INDEX(catClas,MATCH(D3795,catNom,0))&amp;"","")="","Variable",IFERROR(INDEX(catClas,MATCH(D3795,catNom,0))&amp;"","")),"")</f>
        <v/>
      </c>
      <c r="L3795" s="19">
        <f>IF(I3795="","",IFERROR(INDEX(catAlim,MATCH(D3795,catNom,0))&amp;"",""))</f>
        <v/>
      </c>
      <c r="M3795" s="19">
        <f>IF(I3795="","",IFERROR(INDEX(catComida,MATCH(D3795,catNom,0))&amp;"",""))</f>
        <v/>
      </c>
      <c r="N3795" s="19">
        <f>IF(I3795="","",IFERROR(INDEX(ctaMon,MATCH(E3795,ctaNom,0))&amp;"","DOP"))</f>
        <v/>
      </c>
      <c r="O3795" s="20">
        <f>IF(I3795="","",C3795*IF(N3795="USD",TasaUSD,1))</f>
        <v/>
      </c>
      <c r="P3795" s="20">
        <f>IF(I3795="","",IF(I3795="Gasto",O3795,0))</f>
        <v/>
      </c>
      <c r="Q3795" s="20">
        <f>IF(I3795="","",IF(I3795="Ingreso",O3795,0))</f>
        <v/>
      </c>
      <c r="R3795" s="20">
        <f>IF(I3795="","",IF(I3795="Trading",O3795,0))</f>
        <v/>
      </c>
      <c r="S3795" s="19">
        <f>IF(I3795="","",IF(AND(I3795="Gasto",K3795="Variable",J3795&lt;&gt;"Trading",O3795&gt;0,O3795&lt;=Umbral),1,0))</f>
        <v/>
      </c>
      <c r="T3795" s="20">
        <f>IF(OR(I3795="",E3795=""),"",IF(OR(I3795="Gasto",I3795="Transferencia",I3795="Pago tarjeta"),-1,1)*C3795)</f>
        <v/>
      </c>
      <c r="U3795" s="20">
        <f>IF(OR(G3795="",AND(I3795&lt;&gt;"Transferencia",I3795&lt;&gt;"Pago tarjeta")),"",IF(IFERROR(INDEX(ctaMon,MATCH(G3795,ctaNom,0))&amp;"","DOP")=N3795,C3795,IF(N3795="USD",C3795*TasaUSD,C3795/TasaUSD)))</f>
        <v/>
      </c>
      <c r="V3795" s="20">
        <f>IF(I3795="","",IF(IFERROR(INDEX(ctaLiq,MATCH(E3795,ctaNom,0))="Sí",FALSE),IF(OR(I3795="Gasto",I3795="Transferencia",I3795="Pago tarjeta"),-1,1)*O3795,0)+IF(AND(U3795&lt;&gt;"",IFERROR(INDEX(ctaLiq,MATCH(G3795,ctaNom,0))="Sí",FALSE)),O3795,0))</f>
        <v/>
      </c>
      <c r="W3795" s="19">
        <f>IF(OR(F3795="",I3795=""),"",IF(COUNTIFS(F$6:F3795,F3795,I$6:I3795,"?*")=1,MAX(W$5:W3794)+1,""))</f>
        <v/>
      </c>
    </row>
    <row r="3796">
      <c r="B3796" s="15" t="n"/>
      <c r="C3796" s="16" t="n"/>
      <c r="D3796" s="17" t="n"/>
      <c r="E3796" s="17" t="n"/>
      <c r="F3796" s="17" t="n"/>
      <c r="G3796" s="17" t="n"/>
      <c r="H3796" s="18">
        <f>IF(AND(B3796="",C3796="",D3796="",E3796=""),"",IF(B3796="","⚠ Falta fecha",IF(C3796="","⚠ Falta monto",IF(D3796="","⚠ Falta categoría",IF(ISNA(MATCH(D3796,catNom,0)),"⚠ Categoría no existe",IF(E3796="","⚠ Falta cuenta",IF(ISNA(MATCH(E3796,ctaNom,0)),"⚠ Cuenta no existe",IF(AND(OR(I3796="Transferencia",I3796="Pago tarjeta"),G3796=""),"⚠ Indica la cuenta «Hacia»",IF(AND(G3796&lt;&gt;"",G3796=E3796),"⚠ «Hacia» igual a la cuenta",IF(AND(G3796&lt;&gt;"",ISNA(MATCH(G3796,ctaNom,0))),"⚠ «Hacia» no existe",IF(AND(I3796="Pago tarjeta",IFERROR(INDEX(ctaTipo,MATCH(G3796,ctaNom,0)),"")&lt;&gt;"Tarjeta de crédito"),"⚠ «Hacia» debe ser la tarjeta",IF(AND(I3796="Trading",IFERROR(INDEX(ctaTipo,MATCH(E3796,ctaNom,0)),"")&lt;&gt;"Cuenta de trading"),"⚠ Usa la cuenta de trading","✓"))))))))))))</f>
        <v/>
      </c>
      <c r="I3796" s="19">
        <f>IF(OR(B3796="",C3796="",D3796=""),"",IFERROR(INDEX(catTipo,MATCH(D3796,catNom,0))&amp;"",""))</f>
        <v/>
      </c>
      <c r="J3796" s="19">
        <f>IF(I3796="","",IFERROR(INDEX(catGrupo,MATCH(D3796,catNom,0))&amp;"",""))</f>
        <v/>
      </c>
      <c r="K3796" s="19">
        <f>IF(I3796="Gasto",IF(IFERROR(INDEX(catClas,MATCH(D3796,catNom,0))&amp;"","")="","Variable",IFERROR(INDEX(catClas,MATCH(D3796,catNom,0))&amp;"","")),"")</f>
        <v/>
      </c>
      <c r="L3796" s="19">
        <f>IF(I3796="","",IFERROR(INDEX(catAlim,MATCH(D3796,catNom,0))&amp;"",""))</f>
        <v/>
      </c>
      <c r="M3796" s="19">
        <f>IF(I3796="","",IFERROR(INDEX(catComida,MATCH(D3796,catNom,0))&amp;"",""))</f>
        <v/>
      </c>
      <c r="N3796" s="19">
        <f>IF(I3796="","",IFERROR(INDEX(ctaMon,MATCH(E3796,ctaNom,0))&amp;"","DOP"))</f>
        <v/>
      </c>
      <c r="O3796" s="20">
        <f>IF(I3796="","",C3796*IF(N3796="USD",TasaUSD,1))</f>
        <v/>
      </c>
      <c r="P3796" s="20">
        <f>IF(I3796="","",IF(I3796="Gasto",O3796,0))</f>
        <v/>
      </c>
      <c r="Q3796" s="20">
        <f>IF(I3796="","",IF(I3796="Ingreso",O3796,0))</f>
        <v/>
      </c>
      <c r="R3796" s="20">
        <f>IF(I3796="","",IF(I3796="Trading",O3796,0))</f>
        <v/>
      </c>
      <c r="S3796" s="19">
        <f>IF(I3796="","",IF(AND(I3796="Gasto",K3796="Variable",J3796&lt;&gt;"Trading",O3796&gt;0,O3796&lt;=Umbral),1,0))</f>
        <v/>
      </c>
      <c r="T3796" s="20">
        <f>IF(OR(I3796="",E3796=""),"",IF(OR(I3796="Gasto",I3796="Transferencia",I3796="Pago tarjeta"),-1,1)*C3796)</f>
        <v/>
      </c>
      <c r="U3796" s="20">
        <f>IF(OR(G3796="",AND(I3796&lt;&gt;"Transferencia",I3796&lt;&gt;"Pago tarjeta")),"",IF(IFERROR(INDEX(ctaMon,MATCH(G3796,ctaNom,0))&amp;"","DOP")=N3796,C3796,IF(N3796="USD",C3796*TasaUSD,C3796/TasaUSD)))</f>
        <v/>
      </c>
      <c r="V3796" s="20">
        <f>IF(I3796="","",IF(IFERROR(INDEX(ctaLiq,MATCH(E3796,ctaNom,0))="Sí",FALSE),IF(OR(I3796="Gasto",I3796="Transferencia",I3796="Pago tarjeta"),-1,1)*O3796,0)+IF(AND(U3796&lt;&gt;"",IFERROR(INDEX(ctaLiq,MATCH(G3796,ctaNom,0))="Sí",FALSE)),O3796,0))</f>
        <v/>
      </c>
      <c r="W3796" s="19">
        <f>IF(OR(F3796="",I3796=""),"",IF(COUNTIFS(F$6:F3796,F3796,I$6:I3796,"?*")=1,MAX(W$5:W3795)+1,""))</f>
        <v/>
      </c>
    </row>
    <row r="3797">
      <c r="B3797" s="15" t="n"/>
      <c r="C3797" s="16" t="n"/>
      <c r="D3797" s="17" t="n"/>
      <c r="E3797" s="17" t="n"/>
      <c r="F3797" s="17" t="n"/>
      <c r="G3797" s="17" t="n"/>
      <c r="H3797" s="18">
        <f>IF(AND(B3797="",C3797="",D3797="",E3797=""),"",IF(B3797="","⚠ Falta fecha",IF(C3797="","⚠ Falta monto",IF(D3797="","⚠ Falta categoría",IF(ISNA(MATCH(D3797,catNom,0)),"⚠ Categoría no existe",IF(E3797="","⚠ Falta cuenta",IF(ISNA(MATCH(E3797,ctaNom,0)),"⚠ Cuenta no existe",IF(AND(OR(I3797="Transferencia",I3797="Pago tarjeta"),G3797=""),"⚠ Indica la cuenta «Hacia»",IF(AND(G3797&lt;&gt;"",G3797=E3797),"⚠ «Hacia» igual a la cuenta",IF(AND(G3797&lt;&gt;"",ISNA(MATCH(G3797,ctaNom,0))),"⚠ «Hacia» no existe",IF(AND(I3797="Pago tarjeta",IFERROR(INDEX(ctaTipo,MATCH(G3797,ctaNom,0)),"")&lt;&gt;"Tarjeta de crédito"),"⚠ «Hacia» debe ser la tarjeta",IF(AND(I3797="Trading",IFERROR(INDEX(ctaTipo,MATCH(E3797,ctaNom,0)),"")&lt;&gt;"Cuenta de trading"),"⚠ Usa la cuenta de trading","✓"))))))))))))</f>
        <v/>
      </c>
      <c r="I3797" s="19">
        <f>IF(OR(B3797="",C3797="",D3797=""),"",IFERROR(INDEX(catTipo,MATCH(D3797,catNom,0))&amp;"",""))</f>
        <v/>
      </c>
      <c r="J3797" s="19">
        <f>IF(I3797="","",IFERROR(INDEX(catGrupo,MATCH(D3797,catNom,0))&amp;"",""))</f>
        <v/>
      </c>
      <c r="K3797" s="19">
        <f>IF(I3797="Gasto",IF(IFERROR(INDEX(catClas,MATCH(D3797,catNom,0))&amp;"","")="","Variable",IFERROR(INDEX(catClas,MATCH(D3797,catNom,0))&amp;"","")),"")</f>
        <v/>
      </c>
      <c r="L3797" s="19">
        <f>IF(I3797="","",IFERROR(INDEX(catAlim,MATCH(D3797,catNom,0))&amp;"",""))</f>
        <v/>
      </c>
      <c r="M3797" s="19">
        <f>IF(I3797="","",IFERROR(INDEX(catComida,MATCH(D3797,catNom,0))&amp;"",""))</f>
        <v/>
      </c>
      <c r="N3797" s="19">
        <f>IF(I3797="","",IFERROR(INDEX(ctaMon,MATCH(E3797,ctaNom,0))&amp;"","DOP"))</f>
        <v/>
      </c>
      <c r="O3797" s="20">
        <f>IF(I3797="","",C3797*IF(N3797="USD",TasaUSD,1))</f>
        <v/>
      </c>
      <c r="P3797" s="20">
        <f>IF(I3797="","",IF(I3797="Gasto",O3797,0))</f>
        <v/>
      </c>
      <c r="Q3797" s="20">
        <f>IF(I3797="","",IF(I3797="Ingreso",O3797,0))</f>
        <v/>
      </c>
      <c r="R3797" s="20">
        <f>IF(I3797="","",IF(I3797="Trading",O3797,0))</f>
        <v/>
      </c>
      <c r="S3797" s="19">
        <f>IF(I3797="","",IF(AND(I3797="Gasto",K3797="Variable",J3797&lt;&gt;"Trading",O3797&gt;0,O3797&lt;=Umbral),1,0))</f>
        <v/>
      </c>
      <c r="T3797" s="20">
        <f>IF(OR(I3797="",E3797=""),"",IF(OR(I3797="Gasto",I3797="Transferencia",I3797="Pago tarjeta"),-1,1)*C3797)</f>
        <v/>
      </c>
      <c r="U3797" s="20">
        <f>IF(OR(G3797="",AND(I3797&lt;&gt;"Transferencia",I3797&lt;&gt;"Pago tarjeta")),"",IF(IFERROR(INDEX(ctaMon,MATCH(G3797,ctaNom,0))&amp;"","DOP")=N3797,C3797,IF(N3797="USD",C3797*TasaUSD,C3797/TasaUSD)))</f>
        <v/>
      </c>
      <c r="V3797" s="20">
        <f>IF(I3797="","",IF(IFERROR(INDEX(ctaLiq,MATCH(E3797,ctaNom,0))="Sí",FALSE),IF(OR(I3797="Gasto",I3797="Transferencia",I3797="Pago tarjeta"),-1,1)*O3797,0)+IF(AND(U3797&lt;&gt;"",IFERROR(INDEX(ctaLiq,MATCH(G3797,ctaNom,0))="Sí",FALSE)),O3797,0))</f>
        <v/>
      </c>
      <c r="W3797" s="19">
        <f>IF(OR(F3797="",I3797=""),"",IF(COUNTIFS(F$6:F3797,F3797,I$6:I3797,"?*")=1,MAX(W$5:W3796)+1,""))</f>
        <v/>
      </c>
    </row>
    <row r="3798">
      <c r="B3798" s="15" t="n"/>
      <c r="C3798" s="16" t="n"/>
      <c r="D3798" s="17" t="n"/>
      <c r="E3798" s="17" t="n"/>
      <c r="F3798" s="17" t="n"/>
      <c r="G3798" s="17" t="n"/>
      <c r="H3798" s="18">
        <f>IF(AND(B3798="",C3798="",D3798="",E3798=""),"",IF(B3798="","⚠ Falta fecha",IF(C3798="","⚠ Falta monto",IF(D3798="","⚠ Falta categoría",IF(ISNA(MATCH(D3798,catNom,0)),"⚠ Categoría no existe",IF(E3798="","⚠ Falta cuenta",IF(ISNA(MATCH(E3798,ctaNom,0)),"⚠ Cuenta no existe",IF(AND(OR(I3798="Transferencia",I3798="Pago tarjeta"),G3798=""),"⚠ Indica la cuenta «Hacia»",IF(AND(G3798&lt;&gt;"",G3798=E3798),"⚠ «Hacia» igual a la cuenta",IF(AND(G3798&lt;&gt;"",ISNA(MATCH(G3798,ctaNom,0))),"⚠ «Hacia» no existe",IF(AND(I3798="Pago tarjeta",IFERROR(INDEX(ctaTipo,MATCH(G3798,ctaNom,0)),"")&lt;&gt;"Tarjeta de crédito"),"⚠ «Hacia» debe ser la tarjeta",IF(AND(I3798="Trading",IFERROR(INDEX(ctaTipo,MATCH(E3798,ctaNom,0)),"")&lt;&gt;"Cuenta de trading"),"⚠ Usa la cuenta de trading","✓"))))))))))))</f>
        <v/>
      </c>
      <c r="I3798" s="19">
        <f>IF(OR(B3798="",C3798="",D3798=""),"",IFERROR(INDEX(catTipo,MATCH(D3798,catNom,0))&amp;"",""))</f>
        <v/>
      </c>
      <c r="J3798" s="19">
        <f>IF(I3798="","",IFERROR(INDEX(catGrupo,MATCH(D3798,catNom,0))&amp;"",""))</f>
        <v/>
      </c>
      <c r="K3798" s="19">
        <f>IF(I3798="Gasto",IF(IFERROR(INDEX(catClas,MATCH(D3798,catNom,0))&amp;"","")="","Variable",IFERROR(INDEX(catClas,MATCH(D3798,catNom,0))&amp;"","")),"")</f>
        <v/>
      </c>
      <c r="L3798" s="19">
        <f>IF(I3798="","",IFERROR(INDEX(catAlim,MATCH(D3798,catNom,0))&amp;"",""))</f>
        <v/>
      </c>
      <c r="M3798" s="19">
        <f>IF(I3798="","",IFERROR(INDEX(catComida,MATCH(D3798,catNom,0))&amp;"",""))</f>
        <v/>
      </c>
      <c r="N3798" s="19">
        <f>IF(I3798="","",IFERROR(INDEX(ctaMon,MATCH(E3798,ctaNom,0))&amp;"","DOP"))</f>
        <v/>
      </c>
      <c r="O3798" s="20">
        <f>IF(I3798="","",C3798*IF(N3798="USD",TasaUSD,1))</f>
        <v/>
      </c>
      <c r="P3798" s="20">
        <f>IF(I3798="","",IF(I3798="Gasto",O3798,0))</f>
        <v/>
      </c>
      <c r="Q3798" s="20">
        <f>IF(I3798="","",IF(I3798="Ingreso",O3798,0))</f>
        <v/>
      </c>
      <c r="R3798" s="20">
        <f>IF(I3798="","",IF(I3798="Trading",O3798,0))</f>
        <v/>
      </c>
      <c r="S3798" s="19">
        <f>IF(I3798="","",IF(AND(I3798="Gasto",K3798="Variable",J3798&lt;&gt;"Trading",O3798&gt;0,O3798&lt;=Umbral),1,0))</f>
        <v/>
      </c>
      <c r="T3798" s="20">
        <f>IF(OR(I3798="",E3798=""),"",IF(OR(I3798="Gasto",I3798="Transferencia",I3798="Pago tarjeta"),-1,1)*C3798)</f>
        <v/>
      </c>
      <c r="U3798" s="20">
        <f>IF(OR(G3798="",AND(I3798&lt;&gt;"Transferencia",I3798&lt;&gt;"Pago tarjeta")),"",IF(IFERROR(INDEX(ctaMon,MATCH(G3798,ctaNom,0))&amp;"","DOP")=N3798,C3798,IF(N3798="USD",C3798*TasaUSD,C3798/TasaUSD)))</f>
        <v/>
      </c>
      <c r="V3798" s="20">
        <f>IF(I3798="","",IF(IFERROR(INDEX(ctaLiq,MATCH(E3798,ctaNom,0))="Sí",FALSE),IF(OR(I3798="Gasto",I3798="Transferencia",I3798="Pago tarjeta"),-1,1)*O3798,0)+IF(AND(U3798&lt;&gt;"",IFERROR(INDEX(ctaLiq,MATCH(G3798,ctaNom,0))="Sí",FALSE)),O3798,0))</f>
        <v/>
      </c>
      <c r="W3798" s="19">
        <f>IF(OR(F3798="",I3798=""),"",IF(COUNTIFS(F$6:F3798,F3798,I$6:I3798,"?*")=1,MAX(W$5:W3797)+1,""))</f>
        <v/>
      </c>
    </row>
    <row r="3799">
      <c r="B3799" s="15" t="n"/>
      <c r="C3799" s="16" t="n"/>
      <c r="D3799" s="17" t="n"/>
      <c r="E3799" s="17" t="n"/>
      <c r="F3799" s="17" t="n"/>
      <c r="G3799" s="17" t="n"/>
      <c r="H3799" s="18">
        <f>IF(AND(B3799="",C3799="",D3799="",E3799=""),"",IF(B3799="","⚠ Falta fecha",IF(C3799="","⚠ Falta monto",IF(D3799="","⚠ Falta categoría",IF(ISNA(MATCH(D3799,catNom,0)),"⚠ Categoría no existe",IF(E3799="","⚠ Falta cuenta",IF(ISNA(MATCH(E3799,ctaNom,0)),"⚠ Cuenta no existe",IF(AND(OR(I3799="Transferencia",I3799="Pago tarjeta"),G3799=""),"⚠ Indica la cuenta «Hacia»",IF(AND(G3799&lt;&gt;"",G3799=E3799),"⚠ «Hacia» igual a la cuenta",IF(AND(G3799&lt;&gt;"",ISNA(MATCH(G3799,ctaNom,0))),"⚠ «Hacia» no existe",IF(AND(I3799="Pago tarjeta",IFERROR(INDEX(ctaTipo,MATCH(G3799,ctaNom,0)),"")&lt;&gt;"Tarjeta de crédito"),"⚠ «Hacia» debe ser la tarjeta",IF(AND(I3799="Trading",IFERROR(INDEX(ctaTipo,MATCH(E3799,ctaNom,0)),"")&lt;&gt;"Cuenta de trading"),"⚠ Usa la cuenta de trading","✓"))))))))))))</f>
        <v/>
      </c>
      <c r="I3799" s="19">
        <f>IF(OR(B3799="",C3799="",D3799=""),"",IFERROR(INDEX(catTipo,MATCH(D3799,catNom,0))&amp;"",""))</f>
        <v/>
      </c>
      <c r="J3799" s="19">
        <f>IF(I3799="","",IFERROR(INDEX(catGrupo,MATCH(D3799,catNom,0))&amp;"",""))</f>
        <v/>
      </c>
      <c r="K3799" s="19">
        <f>IF(I3799="Gasto",IF(IFERROR(INDEX(catClas,MATCH(D3799,catNom,0))&amp;"","")="","Variable",IFERROR(INDEX(catClas,MATCH(D3799,catNom,0))&amp;"","")),"")</f>
        <v/>
      </c>
      <c r="L3799" s="19">
        <f>IF(I3799="","",IFERROR(INDEX(catAlim,MATCH(D3799,catNom,0))&amp;"",""))</f>
        <v/>
      </c>
      <c r="M3799" s="19">
        <f>IF(I3799="","",IFERROR(INDEX(catComida,MATCH(D3799,catNom,0))&amp;"",""))</f>
        <v/>
      </c>
      <c r="N3799" s="19">
        <f>IF(I3799="","",IFERROR(INDEX(ctaMon,MATCH(E3799,ctaNom,0))&amp;"","DOP"))</f>
        <v/>
      </c>
      <c r="O3799" s="20">
        <f>IF(I3799="","",C3799*IF(N3799="USD",TasaUSD,1))</f>
        <v/>
      </c>
      <c r="P3799" s="20">
        <f>IF(I3799="","",IF(I3799="Gasto",O3799,0))</f>
        <v/>
      </c>
      <c r="Q3799" s="20">
        <f>IF(I3799="","",IF(I3799="Ingreso",O3799,0))</f>
        <v/>
      </c>
      <c r="R3799" s="20">
        <f>IF(I3799="","",IF(I3799="Trading",O3799,0))</f>
        <v/>
      </c>
      <c r="S3799" s="19">
        <f>IF(I3799="","",IF(AND(I3799="Gasto",K3799="Variable",J3799&lt;&gt;"Trading",O3799&gt;0,O3799&lt;=Umbral),1,0))</f>
        <v/>
      </c>
      <c r="T3799" s="20">
        <f>IF(OR(I3799="",E3799=""),"",IF(OR(I3799="Gasto",I3799="Transferencia",I3799="Pago tarjeta"),-1,1)*C3799)</f>
        <v/>
      </c>
      <c r="U3799" s="20">
        <f>IF(OR(G3799="",AND(I3799&lt;&gt;"Transferencia",I3799&lt;&gt;"Pago tarjeta")),"",IF(IFERROR(INDEX(ctaMon,MATCH(G3799,ctaNom,0))&amp;"","DOP")=N3799,C3799,IF(N3799="USD",C3799*TasaUSD,C3799/TasaUSD)))</f>
        <v/>
      </c>
      <c r="V3799" s="20">
        <f>IF(I3799="","",IF(IFERROR(INDEX(ctaLiq,MATCH(E3799,ctaNom,0))="Sí",FALSE),IF(OR(I3799="Gasto",I3799="Transferencia",I3799="Pago tarjeta"),-1,1)*O3799,0)+IF(AND(U3799&lt;&gt;"",IFERROR(INDEX(ctaLiq,MATCH(G3799,ctaNom,0))="Sí",FALSE)),O3799,0))</f>
        <v/>
      </c>
      <c r="W3799" s="19">
        <f>IF(OR(F3799="",I3799=""),"",IF(COUNTIFS(F$6:F3799,F3799,I$6:I3799,"?*")=1,MAX(W$5:W3798)+1,""))</f>
        <v/>
      </c>
    </row>
    <row r="3800">
      <c r="B3800" s="15" t="n"/>
      <c r="C3800" s="16" t="n"/>
      <c r="D3800" s="17" t="n"/>
      <c r="E3800" s="17" t="n"/>
      <c r="F3800" s="17" t="n"/>
      <c r="G3800" s="17" t="n"/>
      <c r="H3800" s="18">
        <f>IF(AND(B3800="",C3800="",D3800="",E3800=""),"",IF(B3800="","⚠ Falta fecha",IF(C3800="","⚠ Falta monto",IF(D3800="","⚠ Falta categoría",IF(ISNA(MATCH(D3800,catNom,0)),"⚠ Categoría no existe",IF(E3800="","⚠ Falta cuenta",IF(ISNA(MATCH(E3800,ctaNom,0)),"⚠ Cuenta no existe",IF(AND(OR(I3800="Transferencia",I3800="Pago tarjeta"),G3800=""),"⚠ Indica la cuenta «Hacia»",IF(AND(G3800&lt;&gt;"",G3800=E3800),"⚠ «Hacia» igual a la cuenta",IF(AND(G3800&lt;&gt;"",ISNA(MATCH(G3800,ctaNom,0))),"⚠ «Hacia» no existe",IF(AND(I3800="Pago tarjeta",IFERROR(INDEX(ctaTipo,MATCH(G3800,ctaNom,0)),"")&lt;&gt;"Tarjeta de crédito"),"⚠ «Hacia» debe ser la tarjeta",IF(AND(I3800="Trading",IFERROR(INDEX(ctaTipo,MATCH(E3800,ctaNom,0)),"")&lt;&gt;"Cuenta de trading"),"⚠ Usa la cuenta de trading","✓"))))))))))))</f>
        <v/>
      </c>
      <c r="I3800" s="19">
        <f>IF(OR(B3800="",C3800="",D3800=""),"",IFERROR(INDEX(catTipo,MATCH(D3800,catNom,0))&amp;"",""))</f>
        <v/>
      </c>
      <c r="J3800" s="19">
        <f>IF(I3800="","",IFERROR(INDEX(catGrupo,MATCH(D3800,catNom,0))&amp;"",""))</f>
        <v/>
      </c>
      <c r="K3800" s="19">
        <f>IF(I3800="Gasto",IF(IFERROR(INDEX(catClas,MATCH(D3800,catNom,0))&amp;"","")="","Variable",IFERROR(INDEX(catClas,MATCH(D3800,catNom,0))&amp;"","")),"")</f>
        <v/>
      </c>
      <c r="L3800" s="19">
        <f>IF(I3800="","",IFERROR(INDEX(catAlim,MATCH(D3800,catNom,0))&amp;"",""))</f>
        <v/>
      </c>
      <c r="M3800" s="19">
        <f>IF(I3800="","",IFERROR(INDEX(catComida,MATCH(D3800,catNom,0))&amp;"",""))</f>
        <v/>
      </c>
      <c r="N3800" s="19">
        <f>IF(I3800="","",IFERROR(INDEX(ctaMon,MATCH(E3800,ctaNom,0))&amp;"","DOP"))</f>
        <v/>
      </c>
      <c r="O3800" s="20">
        <f>IF(I3800="","",C3800*IF(N3800="USD",TasaUSD,1))</f>
        <v/>
      </c>
      <c r="P3800" s="20">
        <f>IF(I3800="","",IF(I3800="Gasto",O3800,0))</f>
        <v/>
      </c>
      <c r="Q3800" s="20">
        <f>IF(I3800="","",IF(I3800="Ingreso",O3800,0))</f>
        <v/>
      </c>
      <c r="R3800" s="20">
        <f>IF(I3800="","",IF(I3800="Trading",O3800,0))</f>
        <v/>
      </c>
      <c r="S3800" s="19">
        <f>IF(I3800="","",IF(AND(I3800="Gasto",K3800="Variable",J3800&lt;&gt;"Trading",O3800&gt;0,O3800&lt;=Umbral),1,0))</f>
        <v/>
      </c>
      <c r="T3800" s="20">
        <f>IF(OR(I3800="",E3800=""),"",IF(OR(I3800="Gasto",I3800="Transferencia",I3800="Pago tarjeta"),-1,1)*C3800)</f>
        <v/>
      </c>
      <c r="U3800" s="20">
        <f>IF(OR(G3800="",AND(I3800&lt;&gt;"Transferencia",I3800&lt;&gt;"Pago tarjeta")),"",IF(IFERROR(INDEX(ctaMon,MATCH(G3800,ctaNom,0))&amp;"","DOP")=N3800,C3800,IF(N3800="USD",C3800*TasaUSD,C3800/TasaUSD)))</f>
        <v/>
      </c>
      <c r="V3800" s="20">
        <f>IF(I3800="","",IF(IFERROR(INDEX(ctaLiq,MATCH(E3800,ctaNom,0))="Sí",FALSE),IF(OR(I3800="Gasto",I3800="Transferencia",I3800="Pago tarjeta"),-1,1)*O3800,0)+IF(AND(U3800&lt;&gt;"",IFERROR(INDEX(ctaLiq,MATCH(G3800,ctaNom,0))="Sí",FALSE)),O3800,0))</f>
        <v/>
      </c>
      <c r="W3800" s="19">
        <f>IF(OR(F3800="",I3800=""),"",IF(COUNTIFS(F$6:F3800,F3800,I$6:I3800,"?*")=1,MAX(W$5:W3799)+1,""))</f>
        <v/>
      </c>
    </row>
    <row r="3801">
      <c r="B3801" s="15" t="n"/>
      <c r="C3801" s="16" t="n"/>
      <c r="D3801" s="17" t="n"/>
      <c r="E3801" s="17" t="n"/>
      <c r="F3801" s="17" t="n"/>
      <c r="G3801" s="17" t="n"/>
      <c r="H3801" s="18">
        <f>IF(AND(B3801="",C3801="",D3801="",E3801=""),"",IF(B3801="","⚠ Falta fecha",IF(C3801="","⚠ Falta monto",IF(D3801="","⚠ Falta categoría",IF(ISNA(MATCH(D3801,catNom,0)),"⚠ Categoría no existe",IF(E3801="","⚠ Falta cuenta",IF(ISNA(MATCH(E3801,ctaNom,0)),"⚠ Cuenta no existe",IF(AND(OR(I3801="Transferencia",I3801="Pago tarjeta"),G3801=""),"⚠ Indica la cuenta «Hacia»",IF(AND(G3801&lt;&gt;"",G3801=E3801),"⚠ «Hacia» igual a la cuenta",IF(AND(G3801&lt;&gt;"",ISNA(MATCH(G3801,ctaNom,0))),"⚠ «Hacia» no existe",IF(AND(I3801="Pago tarjeta",IFERROR(INDEX(ctaTipo,MATCH(G3801,ctaNom,0)),"")&lt;&gt;"Tarjeta de crédito"),"⚠ «Hacia» debe ser la tarjeta",IF(AND(I3801="Trading",IFERROR(INDEX(ctaTipo,MATCH(E3801,ctaNom,0)),"")&lt;&gt;"Cuenta de trading"),"⚠ Usa la cuenta de trading","✓"))))))))))))</f>
        <v/>
      </c>
      <c r="I3801" s="19">
        <f>IF(OR(B3801="",C3801="",D3801=""),"",IFERROR(INDEX(catTipo,MATCH(D3801,catNom,0))&amp;"",""))</f>
        <v/>
      </c>
      <c r="J3801" s="19">
        <f>IF(I3801="","",IFERROR(INDEX(catGrupo,MATCH(D3801,catNom,0))&amp;"",""))</f>
        <v/>
      </c>
      <c r="K3801" s="19">
        <f>IF(I3801="Gasto",IF(IFERROR(INDEX(catClas,MATCH(D3801,catNom,0))&amp;"","")="","Variable",IFERROR(INDEX(catClas,MATCH(D3801,catNom,0))&amp;"","")),"")</f>
        <v/>
      </c>
      <c r="L3801" s="19">
        <f>IF(I3801="","",IFERROR(INDEX(catAlim,MATCH(D3801,catNom,0))&amp;"",""))</f>
        <v/>
      </c>
      <c r="M3801" s="19">
        <f>IF(I3801="","",IFERROR(INDEX(catComida,MATCH(D3801,catNom,0))&amp;"",""))</f>
        <v/>
      </c>
      <c r="N3801" s="19">
        <f>IF(I3801="","",IFERROR(INDEX(ctaMon,MATCH(E3801,ctaNom,0))&amp;"","DOP"))</f>
        <v/>
      </c>
      <c r="O3801" s="20">
        <f>IF(I3801="","",C3801*IF(N3801="USD",TasaUSD,1))</f>
        <v/>
      </c>
      <c r="P3801" s="20">
        <f>IF(I3801="","",IF(I3801="Gasto",O3801,0))</f>
        <v/>
      </c>
      <c r="Q3801" s="20">
        <f>IF(I3801="","",IF(I3801="Ingreso",O3801,0))</f>
        <v/>
      </c>
      <c r="R3801" s="20">
        <f>IF(I3801="","",IF(I3801="Trading",O3801,0))</f>
        <v/>
      </c>
      <c r="S3801" s="19">
        <f>IF(I3801="","",IF(AND(I3801="Gasto",K3801="Variable",J3801&lt;&gt;"Trading",O3801&gt;0,O3801&lt;=Umbral),1,0))</f>
        <v/>
      </c>
      <c r="T3801" s="20">
        <f>IF(OR(I3801="",E3801=""),"",IF(OR(I3801="Gasto",I3801="Transferencia",I3801="Pago tarjeta"),-1,1)*C3801)</f>
        <v/>
      </c>
      <c r="U3801" s="20">
        <f>IF(OR(G3801="",AND(I3801&lt;&gt;"Transferencia",I3801&lt;&gt;"Pago tarjeta")),"",IF(IFERROR(INDEX(ctaMon,MATCH(G3801,ctaNom,0))&amp;"","DOP")=N3801,C3801,IF(N3801="USD",C3801*TasaUSD,C3801/TasaUSD)))</f>
        <v/>
      </c>
      <c r="V3801" s="20">
        <f>IF(I3801="","",IF(IFERROR(INDEX(ctaLiq,MATCH(E3801,ctaNom,0))="Sí",FALSE),IF(OR(I3801="Gasto",I3801="Transferencia",I3801="Pago tarjeta"),-1,1)*O3801,0)+IF(AND(U3801&lt;&gt;"",IFERROR(INDEX(ctaLiq,MATCH(G3801,ctaNom,0))="Sí",FALSE)),O3801,0))</f>
        <v/>
      </c>
      <c r="W3801" s="19">
        <f>IF(OR(F3801="",I3801=""),"",IF(COUNTIFS(F$6:F3801,F3801,I$6:I3801,"?*")=1,MAX(W$5:W3800)+1,""))</f>
        <v/>
      </c>
    </row>
    <row r="3802">
      <c r="B3802" s="15" t="n"/>
      <c r="C3802" s="16" t="n"/>
      <c r="D3802" s="17" t="n"/>
      <c r="E3802" s="17" t="n"/>
      <c r="F3802" s="17" t="n"/>
      <c r="G3802" s="17" t="n"/>
      <c r="H3802" s="18">
        <f>IF(AND(B3802="",C3802="",D3802="",E3802=""),"",IF(B3802="","⚠ Falta fecha",IF(C3802="","⚠ Falta monto",IF(D3802="","⚠ Falta categoría",IF(ISNA(MATCH(D3802,catNom,0)),"⚠ Categoría no existe",IF(E3802="","⚠ Falta cuenta",IF(ISNA(MATCH(E3802,ctaNom,0)),"⚠ Cuenta no existe",IF(AND(OR(I3802="Transferencia",I3802="Pago tarjeta"),G3802=""),"⚠ Indica la cuenta «Hacia»",IF(AND(G3802&lt;&gt;"",G3802=E3802),"⚠ «Hacia» igual a la cuenta",IF(AND(G3802&lt;&gt;"",ISNA(MATCH(G3802,ctaNom,0))),"⚠ «Hacia» no existe",IF(AND(I3802="Pago tarjeta",IFERROR(INDEX(ctaTipo,MATCH(G3802,ctaNom,0)),"")&lt;&gt;"Tarjeta de crédito"),"⚠ «Hacia» debe ser la tarjeta",IF(AND(I3802="Trading",IFERROR(INDEX(ctaTipo,MATCH(E3802,ctaNom,0)),"")&lt;&gt;"Cuenta de trading"),"⚠ Usa la cuenta de trading","✓"))))))))))))</f>
        <v/>
      </c>
      <c r="I3802" s="19">
        <f>IF(OR(B3802="",C3802="",D3802=""),"",IFERROR(INDEX(catTipo,MATCH(D3802,catNom,0))&amp;"",""))</f>
        <v/>
      </c>
      <c r="J3802" s="19">
        <f>IF(I3802="","",IFERROR(INDEX(catGrupo,MATCH(D3802,catNom,0))&amp;"",""))</f>
        <v/>
      </c>
      <c r="K3802" s="19">
        <f>IF(I3802="Gasto",IF(IFERROR(INDEX(catClas,MATCH(D3802,catNom,0))&amp;"","")="","Variable",IFERROR(INDEX(catClas,MATCH(D3802,catNom,0))&amp;"","")),"")</f>
        <v/>
      </c>
      <c r="L3802" s="19">
        <f>IF(I3802="","",IFERROR(INDEX(catAlim,MATCH(D3802,catNom,0))&amp;"",""))</f>
        <v/>
      </c>
      <c r="M3802" s="19">
        <f>IF(I3802="","",IFERROR(INDEX(catComida,MATCH(D3802,catNom,0))&amp;"",""))</f>
        <v/>
      </c>
      <c r="N3802" s="19">
        <f>IF(I3802="","",IFERROR(INDEX(ctaMon,MATCH(E3802,ctaNom,0))&amp;"","DOP"))</f>
        <v/>
      </c>
      <c r="O3802" s="20">
        <f>IF(I3802="","",C3802*IF(N3802="USD",TasaUSD,1))</f>
        <v/>
      </c>
      <c r="P3802" s="20">
        <f>IF(I3802="","",IF(I3802="Gasto",O3802,0))</f>
        <v/>
      </c>
      <c r="Q3802" s="20">
        <f>IF(I3802="","",IF(I3802="Ingreso",O3802,0))</f>
        <v/>
      </c>
      <c r="R3802" s="20">
        <f>IF(I3802="","",IF(I3802="Trading",O3802,0))</f>
        <v/>
      </c>
      <c r="S3802" s="19">
        <f>IF(I3802="","",IF(AND(I3802="Gasto",K3802="Variable",J3802&lt;&gt;"Trading",O3802&gt;0,O3802&lt;=Umbral),1,0))</f>
        <v/>
      </c>
      <c r="T3802" s="20">
        <f>IF(OR(I3802="",E3802=""),"",IF(OR(I3802="Gasto",I3802="Transferencia",I3802="Pago tarjeta"),-1,1)*C3802)</f>
        <v/>
      </c>
      <c r="U3802" s="20">
        <f>IF(OR(G3802="",AND(I3802&lt;&gt;"Transferencia",I3802&lt;&gt;"Pago tarjeta")),"",IF(IFERROR(INDEX(ctaMon,MATCH(G3802,ctaNom,0))&amp;"","DOP")=N3802,C3802,IF(N3802="USD",C3802*TasaUSD,C3802/TasaUSD)))</f>
        <v/>
      </c>
      <c r="V3802" s="20">
        <f>IF(I3802="","",IF(IFERROR(INDEX(ctaLiq,MATCH(E3802,ctaNom,0))="Sí",FALSE),IF(OR(I3802="Gasto",I3802="Transferencia",I3802="Pago tarjeta"),-1,1)*O3802,0)+IF(AND(U3802&lt;&gt;"",IFERROR(INDEX(ctaLiq,MATCH(G3802,ctaNom,0))="Sí",FALSE)),O3802,0))</f>
        <v/>
      </c>
      <c r="W3802" s="19">
        <f>IF(OR(F3802="",I3802=""),"",IF(COUNTIFS(F$6:F3802,F3802,I$6:I3802,"?*")=1,MAX(W$5:W3801)+1,""))</f>
        <v/>
      </c>
    </row>
    <row r="3803">
      <c r="B3803" s="15" t="n"/>
      <c r="C3803" s="16" t="n"/>
      <c r="D3803" s="17" t="n"/>
      <c r="E3803" s="17" t="n"/>
      <c r="F3803" s="17" t="n"/>
      <c r="G3803" s="17" t="n"/>
      <c r="H3803" s="18">
        <f>IF(AND(B3803="",C3803="",D3803="",E3803=""),"",IF(B3803="","⚠ Falta fecha",IF(C3803="","⚠ Falta monto",IF(D3803="","⚠ Falta categoría",IF(ISNA(MATCH(D3803,catNom,0)),"⚠ Categoría no existe",IF(E3803="","⚠ Falta cuenta",IF(ISNA(MATCH(E3803,ctaNom,0)),"⚠ Cuenta no existe",IF(AND(OR(I3803="Transferencia",I3803="Pago tarjeta"),G3803=""),"⚠ Indica la cuenta «Hacia»",IF(AND(G3803&lt;&gt;"",G3803=E3803),"⚠ «Hacia» igual a la cuenta",IF(AND(G3803&lt;&gt;"",ISNA(MATCH(G3803,ctaNom,0))),"⚠ «Hacia» no existe",IF(AND(I3803="Pago tarjeta",IFERROR(INDEX(ctaTipo,MATCH(G3803,ctaNom,0)),"")&lt;&gt;"Tarjeta de crédito"),"⚠ «Hacia» debe ser la tarjeta",IF(AND(I3803="Trading",IFERROR(INDEX(ctaTipo,MATCH(E3803,ctaNom,0)),"")&lt;&gt;"Cuenta de trading"),"⚠ Usa la cuenta de trading","✓"))))))))))))</f>
        <v/>
      </c>
      <c r="I3803" s="19">
        <f>IF(OR(B3803="",C3803="",D3803=""),"",IFERROR(INDEX(catTipo,MATCH(D3803,catNom,0))&amp;"",""))</f>
        <v/>
      </c>
      <c r="J3803" s="19">
        <f>IF(I3803="","",IFERROR(INDEX(catGrupo,MATCH(D3803,catNom,0))&amp;"",""))</f>
        <v/>
      </c>
      <c r="K3803" s="19">
        <f>IF(I3803="Gasto",IF(IFERROR(INDEX(catClas,MATCH(D3803,catNom,0))&amp;"","")="","Variable",IFERROR(INDEX(catClas,MATCH(D3803,catNom,0))&amp;"","")),"")</f>
        <v/>
      </c>
      <c r="L3803" s="19">
        <f>IF(I3803="","",IFERROR(INDEX(catAlim,MATCH(D3803,catNom,0))&amp;"",""))</f>
        <v/>
      </c>
      <c r="M3803" s="19">
        <f>IF(I3803="","",IFERROR(INDEX(catComida,MATCH(D3803,catNom,0))&amp;"",""))</f>
        <v/>
      </c>
      <c r="N3803" s="19">
        <f>IF(I3803="","",IFERROR(INDEX(ctaMon,MATCH(E3803,ctaNom,0))&amp;"","DOP"))</f>
        <v/>
      </c>
      <c r="O3803" s="20">
        <f>IF(I3803="","",C3803*IF(N3803="USD",TasaUSD,1))</f>
        <v/>
      </c>
      <c r="P3803" s="20">
        <f>IF(I3803="","",IF(I3803="Gasto",O3803,0))</f>
        <v/>
      </c>
      <c r="Q3803" s="20">
        <f>IF(I3803="","",IF(I3803="Ingreso",O3803,0))</f>
        <v/>
      </c>
      <c r="R3803" s="20">
        <f>IF(I3803="","",IF(I3803="Trading",O3803,0))</f>
        <v/>
      </c>
      <c r="S3803" s="19">
        <f>IF(I3803="","",IF(AND(I3803="Gasto",K3803="Variable",J3803&lt;&gt;"Trading",O3803&gt;0,O3803&lt;=Umbral),1,0))</f>
        <v/>
      </c>
      <c r="T3803" s="20">
        <f>IF(OR(I3803="",E3803=""),"",IF(OR(I3803="Gasto",I3803="Transferencia",I3803="Pago tarjeta"),-1,1)*C3803)</f>
        <v/>
      </c>
      <c r="U3803" s="20">
        <f>IF(OR(G3803="",AND(I3803&lt;&gt;"Transferencia",I3803&lt;&gt;"Pago tarjeta")),"",IF(IFERROR(INDEX(ctaMon,MATCH(G3803,ctaNom,0))&amp;"","DOP")=N3803,C3803,IF(N3803="USD",C3803*TasaUSD,C3803/TasaUSD)))</f>
        <v/>
      </c>
      <c r="V3803" s="20">
        <f>IF(I3803="","",IF(IFERROR(INDEX(ctaLiq,MATCH(E3803,ctaNom,0))="Sí",FALSE),IF(OR(I3803="Gasto",I3803="Transferencia",I3803="Pago tarjeta"),-1,1)*O3803,0)+IF(AND(U3803&lt;&gt;"",IFERROR(INDEX(ctaLiq,MATCH(G3803,ctaNom,0))="Sí",FALSE)),O3803,0))</f>
        <v/>
      </c>
      <c r="W3803" s="19">
        <f>IF(OR(F3803="",I3803=""),"",IF(COUNTIFS(F$6:F3803,F3803,I$6:I3803,"?*")=1,MAX(W$5:W3802)+1,""))</f>
        <v/>
      </c>
    </row>
    <row r="3804">
      <c r="B3804" s="15" t="n"/>
      <c r="C3804" s="16" t="n"/>
      <c r="D3804" s="17" t="n"/>
      <c r="E3804" s="17" t="n"/>
      <c r="F3804" s="17" t="n"/>
      <c r="G3804" s="17" t="n"/>
      <c r="H3804" s="18">
        <f>IF(AND(B3804="",C3804="",D3804="",E3804=""),"",IF(B3804="","⚠ Falta fecha",IF(C3804="","⚠ Falta monto",IF(D3804="","⚠ Falta categoría",IF(ISNA(MATCH(D3804,catNom,0)),"⚠ Categoría no existe",IF(E3804="","⚠ Falta cuenta",IF(ISNA(MATCH(E3804,ctaNom,0)),"⚠ Cuenta no existe",IF(AND(OR(I3804="Transferencia",I3804="Pago tarjeta"),G3804=""),"⚠ Indica la cuenta «Hacia»",IF(AND(G3804&lt;&gt;"",G3804=E3804),"⚠ «Hacia» igual a la cuenta",IF(AND(G3804&lt;&gt;"",ISNA(MATCH(G3804,ctaNom,0))),"⚠ «Hacia» no existe",IF(AND(I3804="Pago tarjeta",IFERROR(INDEX(ctaTipo,MATCH(G3804,ctaNom,0)),"")&lt;&gt;"Tarjeta de crédito"),"⚠ «Hacia» debe ser la tarjeta",IF(AND(I3804="Trading",IFERROR(INDEX(ctaTipo,MATCH(E3804,ctaNom,0)),"")&lt;&gt;"Cuenta de trading"),"⚠ Usa la cuenta de trading","✓"))))))))))))</f>
        <v/>
      </c>
      <c r="I3804" s="19">
        <f>IF(OR(B3804="",C3804="",D3804=""),"",IFERROR(INDEX(catTipo,MATCH(D3804,catNom,0))&amp;"",""))</f>
        <v/>
      </c>
      <c r="J3804" s="19">
        <f>IF(I3804="","",IFERROR(INDEX(catGrupo,MATCH(D3804,catNom,0))&amp;"",""))</f>
        <v/>
      </c>
      <c r="K3804" s="19">
        <f>IF(I3804="Gasto",IF(IFERROR(INDEX(catClas,MATCH(D3804,catNom,0))&amp;"","")="","Variable",IFERROR(INDEX(catClas,MATCH(D3804,catNom,0))&amp;"","")),"")</f>
        <v/>
      </c>
      <c r="L3804" s="19">
        <f>IF(I3804="","",IFERROR(INDEX(catAlim,MATCH(D3804,catNom,0))&amp;"",""))</f>
        <v/>
      </c>
      <c r="M3804" s="19">
        <f>IF(I3804="","",IFERROR(INDEX(catComida,MATCH(D3804,catNom,0))&amp;"",""))</f>
        <v/>
      </c>
      <c r="N3804" s="19">
        <f>IF(I3804="","",IFERROR(INDEX(ctaMon,MATCH(E3804,ctaNom,0))&amp;"","DOP"))</f>
        <v/>
      </c>
      <c r="O3804" s="20">
        <f>IF(I3804="","",C3804*IF(N3804="USD",TasaUSD,1))</f>
        <v/>
      </c>
      <c r="P3804" s="20">
        <f>IF(I3804="","",IF(I3804="Gasto",O3804,0))</f>
        <v/>
      </c>
      <c r="Q3804" s="20">
        <f>IF(I3804="","",IF(I3804="Ingreso",O3804,0))</f>
        <v/>
      </c>
      <c r="R3804" s="20">
        <f>IF(I3804="","",IF(I3804="Trading",O3804,0))</f>
        <v/>
      </c>
      <c r="S3804" s="19">
        <f>IF(I3804="","",IF(AND(I3804="Gasto",K3804="Variable",J3804&lt;&gt;"Trading",O3804&gt;0,O3804&lt;=Umbral),1,0))</f>
        <v/>
      </c>
      <c r="T3804" s="20">
        <f>IF(OR(I3804="",E3804=""),"",IF(OR(I3804="Gasto",I3804="Transferencia",I3804="Pago tarjeta"),-1,1)*C3804)</f>
        <v/>
      </c>
      <c r="U3804" s="20">
        <f>IF(OR(G3804="",AND(I3804&lt;&gt;"Transferencia",I3804&lt;&gt;"Pago tarjeta")),"",IF(IFERROR(INDEX(ctaMon,MATCH(G3804,ctaNom,0))&amp;"","DOP")=N3804,C3804,IF(N3804="USD",C3804*TasaUSD,C3804/TasaUSD)))</f>
        <v/>
      </c>
      <c r="V3804" s="20">
        <f>IF(I3804="","",IF(IFERROR(INDEX(ctaLiq,MATCH(E3804,ctaNom,0))="Sí",FALSE),IF(OR(I3804="Gasto",I3804="Transferencia",I3804="Pago tarjeta"),-1,1)*O3804,0)+IF(AND(U3804&lt;&gt;"",IFERROR(INDEX(ctaLiq,MATCH(G3804,ctaNom,0))="Sí",FALSE)),O3804,0))</f>
        <v/>
      </c>
      <c r="W3804" s="19">
        <f>IF(OR(F3804="",I3804=""),"",IF(COUNTIFS(F$6:F3804,F3804,I$6:I3804,"?*")=1,MAX(W$5:W3803)+1,""))</f>
        <v/>
      </c>
    </row>
    <row r="3805">
      <c r="B3805" s="15" t="n"/>
      <c r="C3805" s="16" t="n"/>
      <c r="D3805" s="17" t="n"/>
      <c r="E3805" s="17" t="n"/>
      <c r="F3805" s="17" t="n"/>
      <c r="G3805" s="17" t="n"/>
      <c r="H3805" s="18">
        <f>IF(AND(B3805="",C3805="",D3805="",E3805=""),"",IF(B3805="","⚠ Falta fecha",IF(C3805="","⚠ Falta monto",IF(D3805="","⚠ Falta categoría",IF(ISNA(MATCH(D3805,catNom,0)),"⚠ Categoría no existe",IF(E3805="","⚠ Falta cuenta",IF(ISNA(MATCH(E3805,ctaNom,0)),"⚠ Cuenta no existe",IF(AND(OR(I3805="Transferencia",I3805="Pago tarjeta"),G3805=""),"⚠ Indica la cuenta «Hacia»",IF(AND(G3805&lt;&gt;"",G3805=E3805),"⚠ «Hacia» igual a la cuenta",IF(AND(G3805&lt;&gt;"",ISNA(MATCH(G3805,ctaNom,0))),"⚠ «Hacia» no existe",IF(AND(I3805="Pago tarjeta",IFERROR(INDEX(ctaTipo,MATCH(G3805,ctaNom,0)),"")&lt;&gt;"Tarjeta de crédito"),"⚠ «Hacia» debe ser la tarjeta",IF(AND(I3805="Trading",IFERROR(INDEX(ctaTipo,MATCH(E3805,ctaNom,0)),"")&lt;&gt;"Cuenta de trading"),"⚠ Usa la cuenta de trading","✓"))))))))))))</f>
        <v/>
      </c>
      <c r="I3805" s="19">
        <f>IF(OR(B3805="",C3805="",D3805=""),"",IFERROR(INDEX(catTipo,MATCH(D3805,catNom,0))&amp;"",""))</f>
        <v/>
      </c>
      <c r="J3805" s="19">
        <f>IF(I3805="","",IFERROR(INDEX(catGrupo,MATCH(D3805,catNom,0))&amp;"",""))</f>
        <v/>
      </c>
      <c r="K3805" s="19">
        <f>IF(I3805="Gasto",IF(IFERROR(INDEX(catClas,MATCH(D3805,catNom,0))&amp;"","")="","Variable",IFERROR(INDEX(catClas,MATCH(D3805,catNom,0))&amp;"","")),"")</f>
        <v/>
      </c>
      <c r="L3805" s="19">
        <f>IF(I3805="","",IFERROR(INDEX(catAlim,MATCH(D3805,catNom,0))&amp;"",""))</f>
        <v/>
      </c>
      <c r="M3805" s="19">
        <f>IF(I3805="","",IFERROR(INDEX(catComida,MATCH(D3805,catNom,0))&amp;"",""))</f>
        <v/>
      </c>
      <c r="N3805" s="19">
        <f>IF(I3805="","",IFERROR(INDEX(ctaMon,MATCH(E3805,ctaNom,0))&amp;"","DOP"))</f>
        <v/>
      </c>
      <c r="O3805" s="20">
        <f>IF(I3805="","",C3805*IF(N3805="USD",TasaUSD,1))</f>
        <v/>
      </c>
      <c r="P3805" s="20">
        <f>IF(I3805="","",IF(I3805="Gasto",O3805,0))</f>
        <v/>
      </c>
      <c r="Q3805" s="20">
        <f>IF(I3805="","",IF(I3805="Ingreso",O3805,0))</f>
        <v/>
      </c>
      <c r="R3805" s="20">
        <f>IF(I3805="","",IF(I3805="Trading",O3805,0))</f>
        <v/>
      </c>
      <c r="S3805" s="19">
        <f>IF(I3805="","",IF(AND(I3805="Gasto",K3805="Variable",J3805&lt;&gt;"Trading",O3805&gt;0,O3805&lt;=Umbral),1,0))</f>
        <v/>
      </c>
      <c r="T3805" s="20">
        <f>IF(OR(I3805="",E3805=""),"",IF(OR(I3805="Gasto",I3805="Transferencia",I3805="Pago tarjeta"),-1,1)*C3805)</f>
        <v/>
      </c>
      <c r="U3805" s="20">
        <f>IF(OR(G3805="",AND(I3805&lt;&gt;"Transferencia",I3805&lt;&gt;"Pago tarjeta")),"",IF(IFERROR(INDEX(ctaMon,MATCH(G3805,ctaNom,0))&amp;"","DOP")=N3805,C3805,IF(N3805="USD",C3805*TasaUSD,C3805/TasaUSD)))</f>
        <v/>
      </c>
      <c r="V3805" s="20">
        <f>IF(I3805="","",IF(IFERROR(INDEX(ctaLiq,MATCH(E3805,ctaNom,0))="Sí",FALSE),IF(OR(I3805="Gasto",I3805="Transferencia",I3805="Pago tarjeta"),-1,1)*O3805,0)+IF(AND(U3805&lt;&gt;"",IFERROR(INDEX(ctaLiq,MATCH(G3805,ctaNom,0))="Sí",FALSE)),O3805,0))</f>
        <v/>
      </c>
      <c r="W3805" s="19">
        <f>IF(OR(F3805="",I3805=""),"",IF(COUNTIFS(F$6:F3805,F3805,I$6:I3805,"?*")=1,MAX(W$5:W3804)+1,""))</f>
        <v/>
      </c>
    </row>
    <row r="3806">
      <c r="B3806" s="15" t="n"/>
      <c r="C3806" s="16" t="n"/>
      <c r="D3806" s="17" t="n"/>
      <c r="E3806" s="17" t="n"/>
      <c r="F3806" s="17" t="n"/>
      <c r="G3806" s="17" t="n"/>
      <c r="H3806" s="18">
        <f>IF(AND(B3806="",C3806="",D3806="",E3806=""),"",IF(B3806="","⚠ Falta fecha",IF(C3806="","⚠ Falta monto",IF(D3806="","⚠ Falta categoría",IF(ISNA(MATCH(D3806,catNom,0)),"⚠ Categoría no existe",IF(E3806="","⚠ Falta cuenta",IF(ISNA(MATCH(E3806,ctaNom,0)),"⚠ Cuenta no existe",IF(AND(OR(I3806="Transferencia",I3806="Pago tarjeta"),G3806=""),"⚠ Indica la cuenta «Hacia»",IF(AND(G3806&lt;&gt;"",G3806=E3806),"⚠ «Hacia» igual a la cuenta",IF(AND(G3806&lt;&gt;"",ISNA(MATCH(G3806,ctaNom,0))),"⚠ «Hacia» no existe",IF(AND(I3806="Pago tarjeta",IFERROR(INDEX(ctaTipo,MATCH(G3806,ctaNom,0)),"")&lt;&gt;"Tarjeta de crédito"),"⚠ «Hacia» debe ser la tarjeta",IF(AND(I3806="Trading",IFERROR(INDEX(ctaTipo,MATCH(E3806,ctaNom,0)),"")&lt;&gt;"Cuenta de trading"),"⚠ Usa la cuenta de trading","✓"))))))))))))</f>
        <v/>
      </c>
      <c r="I3806" s="19">
        <f>IF(OR(B3806="",C3806="",D3806=""),"",IFERROR(INDEX(catTipo,MATCH(D3806,catNom,0))&amp;"",""))</f>
        <v/>
      </c>
      <c r="J3806" s="19">
        <f>IF(I3806="","",IFERROR(INDEX(catGrupo,MATCH(D3806,catNom,0))&amp;"",""))</f>
        <v/>
      </c>
      <c r="K3806" s="19">
        <f>IF(I3806="Gasto",IF(IFERROR(INDEX(catClas,MATCH(D3806,catNom,0))&amp;"","")="","Variable",IFERROR(INDEX(catClas,MATCH(D3806,catNom,0))&amp;"","")),"")</f>
        <v/>
      </c>
      <c r="L3806" s="19">
        <f>IF(I3806="","",IFERROR(INDEX(catAlim,MATCH(D3806,catNom,0))&amp;"",""))</f>
        <v/>
      </c>
      <c r="M3806" s="19">
        <f>IF(I3806="","",IFERROR(INDEX(catComida,MATCH(D3806,catNom,0))&amp;"",""))</f>
        <v/>
      </c>
      <c r="N3806" s="19">
        <f>IF(I3806="","",IFERROR(INDEX(ctaMon,MATCH(E3806,ctaNom,0))&amp;"","DOP"))</f>
        <v/>
      </c>
      <c r="O3806" s="20">
        <f>IF(I3806="","",C3806*IF(N3806="USD",TasaUSD,1))</f>
        <v/>
      </c>
      <c r="P3806" s="20">
        <f>IF(I3806="","",IF(I3806="Gasto",O3806,0))</f>
        <v/>
      </c>
      <c r="Q3806" s="20">
        <f>IF(I3806="","",IF(I3806="Ingreso",O3806,0))</f>
        <v/>
      </c>
      <c r="R3806" s="20">
        <f>IF(I3806="","",IF(I3806="Trading",O3806,0))</f>
        <v/>
      </c>
      <c r="S3806" s="19">
        <f>IF(I3806="","",IF(AND(I3806="Gasto",K3806="Variable",J3806&lt;&gt;"Trading",O3806&gt;0,O3806&lt;=Umbral),1,0))</f>
        <v/>
      </c>
      <c r="T3806" s="20">
        <f>IF(OR(I3806="",E3806=""),"",IF(OR(I3806="Gasto",I3806="Transferencia",I3806="Pago tarjeta"),-1,1)*C3806)</f>
        <v/>
      </c>
      <c r="U3806" s="20">
        <f>IF(OR(G3806="",AND(I3806&lt;&gt;"Transferencia",I3806&lt;&gt;"Pago tarjeta")),"",IF(IFERROR(INDEX(ctaMon,MATCH(G3806,ctaNom,0))&amp;"","DOP")=N3806,C3806,IF(N3806="USD",C3806*TasaUSD,C3806/TasaUSD)))</f>
        <v/>
      </c>
      <c r="V3806" s="20">
        <f>IF(I3806="","",IF(IFERROR(INDEX(ctaLiq,MATCH(E3806,ctaNom,0))="Sí",FALSE),IF(OR(I3806="Gasto",I3806="Transferencia",I3806="Pago tarjeta"),-1,1)*O3806,0)+IF(AND(U3806&lt;&gt;"",IFERROR(INDEX(ctaLiq,MATCH(G3806,ctaNom,0))="Sí",FALSE)),O3806,0))</f>
        <v/>
      </c>
      <c r="W3806" s="19">
        <f>IF(OR(F3806="",I3806=""),"",IF(COUNTIFS(F$6:F3806,F3806,I$6:I3806,"?*")=1,MAX(W$5:W3805)+1,""))</f>
        <v/>
      </c>
    </row>
    <row r="3807">
      <c r="B3807" s="15" t="n"/>
      <c r="C3807" s="16" t="n"/>
      <c r="D3807" s="17" t="n"/>
      <c r="E3807" s="17" t="n"/>
      <c r="F3807" s="17" t="n"/>
      <c r="G3807" s="17" t="n"/>
      <c r="H3807" s="18">
        <f>IF(AND(B3807="",C3807="",D3807="",E3807=""),"",IF(B3807="","⚠ Falta fecha",IF(C3807="","⚠ Falta monto",IF(D3807="","⚠ Falta categoría",IF(ISNA(MATCH(D3807,catNom,0)),"⚠ Categoría no existe",IF(E3807="","⚠ Falta cuenta",IF(ISNA(MATCH(E3807,ctaNom,0)),"⚠ Cuenta no existe",IF(AND(OR(I3807="Transferencia",I3807="Pago tarjeta"),G3807=""),"⚠ Indica la cuenta «Hacia»",IF(AND(G3807&lt;&gt;"",G3807=E3807),"⚠ «Hacia» igual a la cuenta",IF(AND(G3807&lt;&gt;"",ISNA(MATCH(G3807,ctaNom,0))),"⚠ «Hacia» no existe",IF(AND(I3807="Pago tarjeta",IFERROR(INDEX(ctaTipo,MATCH(G3807,ctaNom,0)),"")&lt;&gt;"Tarjeta de crédito"),"⚠ «Hacia» debe ser la tarjeta",IF(AND(I3807="Trading",IFERROR(INDEX(ctaTipo,MATCH(E3807,ctaNom,0)),"")&lt;&gt;"Cuenta de trading"),"⚠ Usa la cuenta de trading","✓"))))))))))))</f>
        <v/>
      </c>
      <c r="I3807" s="19">
        <f>IF(OR(B3807="",C3807="",D3807=""),"",IFERROR(INDEX(catTipo,MATCH(D3807,catNom,0))&amp;"",""))</f>
        <v/>
      </c>
      <c r="J3807" s="19">
        <f>IF(I3807="","",IFERROR(INDEX(catGrupo,MATCH(D3807,catNom,0))&amp;"",""))</f>
        <v/>
      </c>
      <c r="K3807" s="19">
        <f>IF(I3807="Gasto",IF(IFERROR(INDEX(catClas,MATCH(D3807,catNom,0))&amp;"","")="","Variable",IFERROR(INDEX(catClas,MATCH(D3807,catNom,0))&amp;"","")),"")</f>
        <v/>
      </c>
      <c r="L3807" s="19">
        <f>IF(I3807="","",IFERROR(INDEX(catAlim,MATCH(D3807,catNom,0))&amp;"",""))</f>
        <v/>
      </c>
      <c r="M3807" s="19">
        <f>IF(I3807="","",IFERROR(INDEX(catComida,MATCH(D3807,catNom,0))&amp;"",""))</f>
        <v/>
      </c>
      <c r="N3807" s="19">
        <f>IF(I3807="","",IFERROR(INDEX(ctaMon,MATCH(E3807,ctaNom,0))&amp;"","DOP"))</f>
        <v/>
      </c>
      <c r="O3807" s="20">
        <f>IF(I3807="","",C3807*IF(N3807="USD",TasaUSD,1))</f>
        <v/>
      </c>
      <c r="P3807" s="20">
        <f>IF(I3807="","",IF(I3807="Gasto",O3807,0))</f>
        <v/>
      </c>
      <c r="Q3807" s="20">
        <f>IF(I3807="","",IF(I3807="Ingreso",O3807,0))</f>
        <v/>
      </c>
      <c r="R3807" s="20">
        <f>IF(I3807="","",IF(I3807="Trading",O3807,0))</f>
        <v/>
      </c>
      <c r="S3807" s="19">
        <f>IF(I3807="","",IF(AND(I3807="Gasto",K3807="Variable",J3807&lt;&gt;"Trading",O3807&gt;0,O3807&lt;=Umbral),1,0))</f>
        <v/>
      </c>
      <c r="T3807" s="20">
        <f>IF(OR(I3807="",E3807=""),"",IF(OR(I3807="Gasto",I3807="Transferencia",I3807="Pago tarjeta"),-1,1)*C3807)</f>
        <v/>
      </c>
      <c r="U3807" s="20">
        <f>IF(OR(G3807="",AND(I3807&lt;&gt;"Transferencia",I3807&lt;&gt;"Pago tarjeta")),"",IF(IFERROR(INDEX(ctaMon,MATCH(G3807,ctaNom,0))&amp;"","DOP")=N3807,C3807,IF(N3807="USD",C3807*TasaUSD,C3807/TasaUSD)))</f>
        <v/>
      </c>
      <c r="V3807" s="20">
        <f>IF(I3807="","",IF(IFERROR(INDEX(ctaLiq,MATCH(E3807,ctaNom,0))="Sí",FALSE),IF(OR(I3807="Gasto",I3807="Transferencia",I3807="Pago tarjeta"),-1,1)*O3807,0)+IF(AND(U3807&lt;&gt;"",IFERROR(INDEX(ctaLiq,MATCH(G3807,ctaNom,0))="Sí",FALSE)),O3807,0))</f>
        <v/>
      </c>
      <c r="W3807" s="19">
        <f>IF(OR(F3807="",I3807=""),"",IF(COUNTIFS(F$6:F3807,F3807,I$6:I3807,"?*")=1,MAX(W$5:W3806)+1,""))</f>
        <v/>
      </c>
    </row>
    <row r="3808">
      <c r="B3808" s="15" t="n"/>
      <c r="C3808" s="16" t="n"/>
      <c r="D3808" s="17" t="n"/>
      <c r="E3808" s="17" t="n"/>
      <c r="F3808" s="17" t="n"/>
      <c r="G3808" s="17" t="n"/>
      <c r="H3808" s="18">
        <f>IF(AND(B3808="",C3808="",D3808="",E3808=""),"",IF(B3808="","⚠ Falta fecha",IF(C3808="","⚠ Falta monto",IF(D3808="","⚠ Falta categoría",IF(ISNA(MATCH(D3808,catNom,0)),"⚠ Categoría no existe",IF(E3808="","⚠ Falta cuenta",IF(ISNA(MATCH(E3808,ctaNom,0)),"⚠ Cuenta no existe",IF(AND(OR(I3808="Transferencia",I3808="Pago tarjeta"),G3808=""),"⚠ Indica la cuenta «Hacia»",IF(AND(G3808&lt;&gt;"",G3808=E3808),"⚠ «Hacia» igual a la cuenta",IF(AND(G3808&lt;&gt;"",ISNA(MATCH(G3808,ctaNom,0))),"⚠ «Hacia» no existe",IF(AND(I3808="Pago tarjeta",IFERROR(INDEX(ctaTipo,MATCH(G3808,ctaNom,0)),"")&lt;&gt;"Tarjeta de crédito"),"⚠ «Hacia» debe ser la tarjeta",IF(AND(I3808="Trading",IFERROR(INDEX(ctaTipo,MATCH(E3808,ctaNom,0)),"")&lt;&gt;"Cuenta de trading"),"⚠ Usa la cuenta de trading","✓"))))))))))))</f>
        <v/>
      </c>
      <c r="I3808" s="19">
        <f>IF(OR(B3808="",C3808="",D3808=""),"",IFERROR(INDEX(catTipo,MATCH(D3808,catNom,0))&amp;"",""))</f>
        <v/>
      </c>
      <c r="J3808" s="19">
        <f>IF(I3808="","",IFERROR(INDEX(catGrupo,MATCH(D3808,catNom,0))&amp;"",""))</f>
        <v/>
      </c>
      <c r="K3808" s="19">
        <f>IF(I3808="Gasto",IF(IFERROR(INDEX(catClas,MATCH(D3808,catNom,0))&amp;"","")="","Variable",IFERROR(INDEX(catClas,MATCH(D3808,catNom,0))&amp;"","")),"")</f>
        <v/>
      </c>
      <c r="L3808" s="19">
        <f>IF(I3808="","",IFERROR(INDEX(catAlim,MATCH(D3808,catNom,0))&amp;"",""))</f>
        <v/>
      </c>
      <c r="M3808" s="19">
        <f>IF(I3808="","",IFERROR(INDEX(catComida,MATCH(D3808,catNom,0))&amp;"",""))</f>
        <v/>
      </c>
      <c r="N3808" s="19">
        <f>IF(I3808="","",IFERROR(INDEX(ctaMon,MATCH(E3808,ctaNom,0))&amp;"","DOP"))</f>
        <v/>
      </c>
      <c r="O3808" s="20">
        <f>IF(I3808="","",C3808*IF(N3808="USD",TasaUSD,1))</f>
        <v/>
      </c>
      <c r="P3808" s="20">
        <f>IF(I3808="","",IF(I3808="Gasto",O3808,0))</f>
        <v/>
      </c>
      <c r="Q3808" s="20">
        <f>IF(I3808="","",IF(I3808="Ingreso",O3808,0))</f>
        <v/>
      </c>
      <c r="R3808" s="20">
        <f>IF(I3808="","",IF(I3808="Trading",O3808,0))</f>
        <v/>
      </c>
      <c r="S3808" s="19">
        <f>IF(I3808="","",IF(AND(I3808="Gasto",K3808="Variable",J3808&lt;&gt;"Trading",O3808&gt;0,O3808&lt;=Umbral),1,0))</f>
        <v/>
      </c>
      <c r="T3808" s="20">
        <f>IF(OR(I3808="",E3808=""),"",IF(OR(I3808="Gasto",I3808="Transferencia",I3808="Pago tarjeta"),-1,1)*C3808)</f>
        <v/>
      </c>
      <c r="U3808" s="20">
        <f>IF(OR(G3808="",AND(I3808&lt;&gt;"Transferencia",I3808&lt;&gt;"Pago tarjeta")),"",IF(IFERROR(INDEX(ctaMon,MATCH(G3808,ctaNom,0))&amp;"","DOP")=N3808,C3808,IF(N3808="USD",C3808*TasaUSD,C3808/TasaUSD)))</f>
        <v/>
      </c>
      <c r="V3808" s="20">
        <f>IF(I3808="","",IF(IFERROR(INDEX(ctaLiq,MATCH(E3808,ctaNom,0))="Sí",FALSE),IF(OR(I3808="Gasto",I3808="Transferencia",I3808="Pago tarjeta"),-1,1)*O3808,0)+IF(AND(U3808&lt;&gt;"",IFERROR(INDEX(ctaLiq,MATCH(G3808,ctaNom,0))="Sí",FALSE)),O3808,0))</f>
        <v/>
      </c>
      <c r="W3808" s="19">
        <f>IF(OR(F3808="",I3808=""),"",IF(COUNTIFS(F$6:F3808,F3808,I$6:I3808,"?*")=1,MAX(W$5:W3807)+1,""))</f>
        <v/>
      </c>
    </row>
    <row r="3809">
      <c r="B3809" s="15" t="n"/>
      <c r="C3809" s="16" t="n"/>
      <c r="D3809" s="17" t="n"/>
      <c r="E3809" s="17" t="n"/>
      <c r="F3809" s="17" t="n"/>
      <c r="G3809" s="17" t="n"/>
      <c r="H3809" s="18">
        <f>IF(AND(B3809="",C3809="",D3809="",E3809=""),"",IF(B3809="","⚠ Falta fecha",IF(C3809="","⚠ Falta monto",IF(D3809="","⚠ Falta categoría",IF(ISNA(MATCH(D3809,catNom,0)),"⚠ Categoría no existe",IF(E3809="","⚠ Falta cuenta",IF(ISNA(MATCH(E3809,ctaNom,0)),"⚠ Cuenta no existe",IF(AND(OR(I3809="Transferencia",I3809="Pago tarjeta"),G3809=""),"⚠ Indica la cuenta «Hacia»",IF(AND(G3809&lt;&gt;"",G3809=E3809),"⚠ «Hacia» igual a la cuenta",IF(AND(G3809&lt;&gt;"",ISNA(MATCH(G3809,ctaNom,0))),"⚠ «Hacia» no existe",IF(AND(I3809="Pago tarjeta",IFERROR(INDEX(ctaTipo,MATCH(G3809,ctaNom,0)),"")&lt;&gt;"Tarjeta de crédito"),"⚠ «Hacia» debe ser la tarjeta",IF(AND(I3809="Trading",IFERROR(INDEX(ctaTipo,MATCH(E3809,ctaNom,0)),"")&lt;&gt;"Cuenta de trading"),"⚠ Usa la cuenta de trading","✓"))))))))))))</f>
        <v/>
      </c>
      <c r="I3809" s="19">
        <f>IF(OR(B3809="",C3809="",D3809=""),"",IFERROR(INDEX(catTipo,MATCH(D3809,catNom,0))&amp;"",""))</f>
        <v/>
      </c>
      <c r="J3809" s="19">
        <f>IF(I3809="","",IFERROR(INDEX(catGrupo,MATCH(D3809,catNom,0))&amp;"",""))</f>
        <v/>
      </c>
      <c r="K3809" s="19">
        <f>IF(I3809="Gasto",IF(IFERROR(INDEX(catClas,MATCH(D3809,catNom,0))&amp;"","")="","Variable",IFERROR(INDEX(catClas,MATCH(D3809,catNom,0))&amp;"","")),"")</f>
        <v/>
      </c>
      <c r="L3809" s="19">
        <f>IF(I3809="","",IFERROR(INDEX(catAlim,MATCH(D3809,catNom,0))&amp;"",""))</f>
        <v/>
      </c>
      <c r="M3809" s="19">
        <f>IF(I3809="","",IFERROR(INDEX(catComida,MATCH(D3809,catNom,0))&amp;"",""))</f>
        <v/>
      </c>
      <c r="N3809" s="19">
        <f>IF(I3809="","",IFERROR(INDEX(ctaMon,MATCH(E3809,ctaNom,0))&amp;"","DOP"))</f>
        <v/>
      </c>
      <c r="O3809" s="20">
        <f>IF(I3809="","",C3809*IF(N3809="USD",TasaUSD,1))</f>
        <v/>
      </c>
      <c r="P3809" s="20">
        <f>IF(I3809="","",IF(I3809="Gasto",O3809,0))</f>
        <v/>
      </c>
      <c r="Q3809" s="20">
        <f>IF(I3809="","",IF(I3809="Ingreso",O3809,0))</f>
        <v/>
      </c>
      <c r="R3809" s="20">
        <f>IF(I3809="","",IF(I3809="Trading",O3809,0))</f>
        <v/>
      </c>
      <c r="S3809" s="19">
        <f>IF(I3809="","",IF(AND(I3809="Gasto",K3809="Variable",J3809&lt;&gt;"Trading",O3809&gt;0,O3809&lt;=Umbral),1,0))</f>
        <v/>
      </c>
      <c r="T3809" s="20">
        <f>IF(OR(I3809="",E3809=""),"",IF(OR(I3809="Gasto",I3809="Transferencia",I3809="Pago tarjeta"),-1,1)*C3809)</f>
        <v/>
      </c>
      <c r="U3809" s="20">
        <f>IF(OR(G3809="",AND(I3809&lt;&gt;"Transferencia",I3809&lt;&gt;"Pago tarjeta")),"",IF(IFERROR(INDEX(ctaMon,MATCH(G3809,ctaNom,0))&amp;"","DOP")=N3809,C3809,IF(N3809="USD",C3809*TasaUSD,C3809/TasaUSD)))</f>
        <v/>
      </c>
      <c r="V3809" s="20">
        <f>IF(I3809="","",IF(IFERROR(INDEX(ctaLiq,MATCH(E3809,ctaNom,0))="Sí",FALSE),IF(OR(I3809="Gasto",I3809="Transferencia",I3809="Pago tarjeta"),-1,1)*O3809,0)+IF(AND(U3809&lt;&gt;"",IFERROR(INDEX(ctaLiq,MATCH(G3809,ctaNom,0))="Sí",FALSE)),O3809,0))</f>
        <v/>
      </c>
      <c r="W3809" s="19">
        <f>IF(OR(F3809="",I3809=""),"",IF(COUNTIFS(F$6:F3809,F3809,I$6:I3809,"?*")=1,MAX(W$5:W3808)+1,""))</f>
        <v/>
      </c>
    </row>
    <row r="3810">
      <c r="B3810" s="15" t="n"/>
      <c r="C3810" s="16" t="n"/>
      <c r="D3810" s="17" t="n"/>
      <c r="E3810" s="17" t="n"/>
      <c r="F3810" s="17" t="n"/>
      <c r="G3810" s="17" t="n"/>
      <c r="H3810" s="18">
        <f>IF(AND(B3810="",C3810="",D3810="",E3810=""),"",IF(B3810="","⚠ Falta fecha",IF(C3810="","⚠ Falta monto",IF(D3810="","⚠ Falta categoría",IF(ISNA(MATCH(D3810,catNom,0)),"⚠ Categoría no existe",IF(E3810="","⚠ Falta cuenta",IF(ISNA(MATCH(E3810,ctaNom,0)),"⚠ Cuenta no existe",IF(AND(OR(I3810="Transferencia",I3810="Pago tarjeta"),G3810=""),"⚠ Indica la cuenta «Hacia»",IF(AND(G3810&lt;&gt;"",G3810=E3810),"⚠ «Hacia» igual a la cuenta",IF(AND(G3810&lt;&gt;"",ISNA(MATCH(G3810,ctaNom,0))),"⚠ «Hacia» no existe",IF(AND(I3810="Pago tarjeta",IFERROR(INDEX(ctaTipo,MATCH(G3810,ctaNom,0)),"")&lt;&gt;"Tarjeta de crédito"),"⚠ «Hacia» debe ser la tarjeta",IF(AND(I3810="Trading",IFERROR(INDEX(ctaTipo,MATCH(E3810,ctaNom,0)),"")&lt;&gt;"Cuenta de trading"),"⚠ Usa la cuenta de trading","✓"))))))))))))</f>
        <v/>
      </c>
      <c r="I3810" s="19">
        <f>IF(OR(B3810="",C3810="",D3810=""),"",IFERROR(INDEX(catTipo,MATCH(D3810,catNom,0))&amp;"",""))</f>
        <v/>
      </c>
      <c r="J3810" s="19">
        <f>IF(I3810="","",IFERROR(INDEX(catGrupo,MATCH(D3810,catNom,0))&amp;"",""))</f>
        <v/>
      </c>
      <c r="K3810" s="19">
        <f>IF(I3810="Gasto",IF(IFERROR(INDEX(catClas,MATCH(D3810,catNom,0))&amp;"","")="","Variable",IFERROR(INDEX(catClas,MATCH(D3810,catNom,0))&amp;"","")),"")</f>
        <v/>
      </c>
      <c r="L3810" s="19">
        <f>IF(I3810="","",IFERROR(INDEX(catAlim,MATCH(D3810,catNom,0))&amp;"",""))</f>
        <v/>
      </c>
      <c r="M3810" s="19">
        <f>IF(I3810="","",IFERROR(INDEX(catComida,MATCH(D3810,catNom,0))&amp;"",""))</f>
        <v/>
      </c>
      <c r="N3810" s="19">
        <f>IF(I3810="","",IFERROR(INDEX(ctaMon,MATCH(E3810,ctaNom,0))&amp;"","DOP"))</f>
        <v/>
      </c>
      <c r="O3810" s="20">
        <f>IF(I3810="","",C3810*IF(N3810="USD",TasaUSD,1))</f>
        <v/>
      </c>
      <c r="P3810" s="20">
        <f>IF(I3810="","",IF(I3810="Gasto",O3810,0))</f>
        <v/>
      </c>
      <c r="Q3810" s="20">
        <f>IF(I3810="","",IF(I3810="Ingreso",O3810,0))</f>
        <v/>
      </c>
      <c r="R3810" s="20">
        <f>IF(I3810="","",IF(I3810="Trading",O3810,0))</f>
        <v/>
      </c>
      <c r="S3810" s="19">
        <f>IF(I3810="","",IF(AND(I3810="Gasto",K3810="Variable",J3810&lt;&gt;"Trading",O3810&gt;0,O3810&lt;=Umbral),1,0))</f>
        <v/>
      </c>
      <c r="T3810" s="20">
        <f>IF(OR(I3810="",E3810=""),"",IF(OR(I3810="Gasto",I3810="Transferencia",I3810="Pago tarjeta"),-1,1)*C3810)</f>
        <v/>
      </c>
      <c r="U3810" s="20">
        <f>IF(OR(G3810="",AND(I3810&lt;&gt;"Transferencia",I3810&lt;&gt;"Pago tarjeta")),"",IF(IFERROR(INDEX(ctaMon,MATCH(G3810,ctaNom,0))&amp;"","DOP")=N3810,C3810,IF(N3810="USD",C3810*TasaUSD,C3810/TasaUSD)))</f>
        <v/>
      </c>
      <c r="V3810" s="20">
        <f>IF(I3810="","",IF(IFERROR(INDEX(ctaLiq,MATCH(E3810,ctaNom,0))="Sí",FALSE),IF(OR(I3810="Gasto",I3810="Transferencia",I3810="Pago tarjeta"),-1,1)*O3810,0)+IF(AND(U3810&lt;&gt;"",IFERROR(INDEX(ctaLiq,MATCH(G3810,ctaNom,0))="Sí",FALSE)),O3810,0))</f>
        <v/>
      </c>
      <c r="W3810" s="19">
        <f>IF(OR(F3810="",I3810=""),"",IF(COUNTIFS(F$6:F3810,F3810,I$6:I3810,"?*")=1,MAX(W$5:W3809)+1,""))</f>
        <v/>
      </c>
    </row>
    <row r="3811">
      <c r="B3811" s="15" t="n"/>
      <c r="C3811" s="16" t="n"/>
      <c r="D3811" s="17" t="n"/>
      <c r="E3811" s="17" t="n"/>
      <c r="F3811" s="17" t="n"/>
      <c r="G3811" s="17" t="n"/>
      <c r="H3811" s="18">
        <f>IF(AND(B3811="",C3811="",D3811="",E3811=""),"",IF(B3811="","⚠ Falta fecha",IF(C3811="","⚠ Falta monto",IF(D3811="","⚠ Falta categoría",IF(ISNA(MATCH(D3811,catNom,0)),"⚠ Categoría no existe",IF(E3811="","⚠ Falta cuenta",IF(ISNA(MATCH(E3811,ctaNom,0)),"⚠ Cuenta no existe",IF(AND(OR(I3811="Transferencia",I3811="Pago tarjeta"),G3811=""),"⚠ Indica la cuenta «Hacia»",IF(AND(G3811&lt;&gt;"",G3811=E3811),"⚠ «Hacia» igual a la cuenta",IF(AND(G3811&lt;&gt;"",ISNA(MATCH(G3811,ctaNom,0))),"⚠ «Hacia» no existe",IF(AND(I3811="Pago tarjeta",IFERROR(INDEX(ctaTipo,MATCH(G3811,ctaNom,0)),"")&lt;&gt;"Tarjeta de crédito"),"⚠ «Hacia» debe ser la tarjeta",IF(AND(I3811="Trading",IFERROR(INDEX(ctaTipo,MATCH(E3811,ctaNom,0)),"")&lt;&gt;"Cuenta de trading"),"⚠ Usa la cuenta de trading","✓"))))))))))))</f>
        <v/>
      </c>
      <c r="I3811" s="19">
        <f>IF(OR(B3811="",C3811="",D3811=""),"",IFERROR(INDEX(catTipo,MATCH(D3811,catNom,0))&amp;"",""))</f>
        <v/>
      </c>
      <c r="J3811" s="19">
        <f>IF(I3811="","",IFERROR(INDEX(catGrupo,MATCH(D3811,catNom,0))&amp;"",""))</f>
        <v/>
      </c>
      <c r="K3811" s="19">
        <f>IF(I3811="Gasto",IF(IFERROR(INDEX(catClas,MATCH(D3811,catNom,0))&amp;"","")="","Variable",IFERROR(INDEX(catClas,MATCH(D3811,catNom,0))&amp;"","")),"")</f>
        <v/>
      </c>
      <c r="L3811" s="19">
        <f>IF(I3811="","",IFERROR(INDEX(catAlim,MATCH(D3811,catNom,0))&amp;"",""))</f>
        <v/>
      </c>
      <c r="M3811" s="19">
        <f>IF(I3811="","",IFERROR(INDEX(catComida,MATCH(D3811,catNom,0))&amp;"",""))</f>
        <v/>
      </c>
      <c r="N3811" s="19">
        <f>IF(I3811="","",IFERROR(INDEX(ctaMon,MATCH(E3811,ctaNom,0))&amp;"","DOP"))</f>
        <v/>
      </c>
      <c r="O3811" s="20">
        <f>IF(I3811="","",C3811*IF(N3811="USD",TasaUSD,1))</f>
        <v/>
      </c>
      <c r="P3811" s="20">
        <f>IF(I3811="","",IF(I3811="Gasto",O3811,0))</f>
        <v/>
      </c>
      <c r="Q3811" s="20">
        <f>IF(I3811="","",IF(I3811="Ingreso",O3811,0))</f>
        <v/>
      </c>
      <c r="R3811" s="20">
        <f>IF(I3811="","",IF(I3811="Trading",O3811,0))</f>
        <v/>
      </c>
      <c r="S3811" s="19">
        <f>IF(I3811="","",IF(AND(I3811="Gasto",K3811="Variable",J3811&lt;&gt;"Trading",O3811&gt;0,O3811&lt;=Umbral),1,0))</f>
        <v/>
      </c>
      <c r="T3811" s="20">
        <f>IF(OR(I3811="",E3811=""),"",IF(OR(I3811="Gasto",I3811="Transferencia",I3811="Pago tarjeta"),-1,1)*C3811)</f>
        <v/>
      </c>
      <c r="U3811" s="20">
        <f>IF(OR(G3811="",AND(I3811&lt;&gt;"Transferencia",I3811&lt;&gt;"Pago tarjeta")),"",IF(IFERROR(INDEX(ctaMon,MATCH(G3811,ctaNom,0))&amp;"","DOP")=N3811,C3811,IF(N3811="USD",C3811*TasaUSD,C3811/TasaUSD)))</f>
        <v/>
      </c>
      <c r="V3811" s="20">
        <f>IF(I3811="","",IF(IFERROR(INDEX(ctaLiq,MATCH(E3811,ctaNom,0))="Sí",FALSE),IF(OR(I3811="Gasto",I3811="Transferencia",I3811="Pago tarjeta"),-1,1)*O3811,0)+IF(AND(U3811&lt;&gt;"",IFERROR(INDEX(ctaLiq,MATCH(G3811,ctaNom,0))="Sí",FALSE)),O3811,0))</f>
        <v/>
      </c>
      <c r="W3811" s="19">
        <f>IF(OR(F3811="",I3811=""),"",IF(COUNTIFS(F$6:F3811,F3811,I$6:I3811,"?*")=1,MAX(W$5:W3810)+1,""))</f>
        <v/>
      </c>
    </row>
    <row r="3812">
      <c r="B3812" s="15" t="n"/>
      <c r="C3812" s="16" t="n"/>
      <c r="D3812" s="17" t="n"/>
      <c r="E3812" s="17" t="n"/>
      <c r="F3812" s="17" t="n"/>
      <c r="G3812" s="17" t="n"/>
      <c r="H3812" s="18">
        <f>IF(AND(B3812="",C3812="",D3812="",E3812=""),"",IF(B3812="","⚠ Falta fecha",IF(C3812="","⚠ Falta monto",IF(D3812="","⚠ Falta categoría",IF(ISNA(MATCH(D3812,catNom,0)),"⚠ Categoría no existe",IF(E3812="","⚠ Falta cuenta",IF(ISNA(MATCH(E3812,ctaNom,0)),"⚠ Cuenta no existe",IF(AND(OR(I3812="Transferencia",I3812="Pago tarjeta"),G3812=""),"⚠ Indica la cuenta «Hacia»",IF(AND(G3812&lt;&gt;"",G3812=E3812),"⚠ «Hacia» igual a la cuenta",IF(AND(G3812&lt;&gt;"",ISNA(MATCH(G3812,ctaNom,0))),"⚠ «Hacia» no existe",IF(AND(I3812="Pago tarjeta",IFERROR(INDEX(ctaTipo,MATCH(G3812,ctaNom,0)),"")&lt;&gt;"Tarjeta de crédito"),"⚠ «Hacia» debe ser la tarjeta",IF(AND(I3812="Trading",IFERROR(INDEX(ctaTipo,MATCH(E3812,ctaNom,0)),"")&lt;&gt;"Cuenta de trading"),"⚠ Usa la cuenta de trading","✓"))))))))))))</f>
        <v/>
      </c>
      <c r="I3812" s="19">
        <f>IF(OR(B3812="",C3812="",D3812=""),"",IFERROR(INDEX(catTipo,MATCH(D3812,catNom,0))&amp;"",""))</f>
        <v/>
      </c>
      <c r="J3812" s="19">
        <f>IF(I3812="","",IFERROR(INDEX(catGrupo,MATCH(D3812,catNom,0))&amp;"",""))</f>
        <v/>
      </c>
      <c r="K3812" s="19">
        <f>IF(I3812="Gasto",IF(IFERROR(INDEX(catClas,MATCH(D3812,catNom,0))&amp;"","")="","Variable",IFERROR(INDEX(catClas,MATCH(D3812,catNom,0))&amp;"","")),"")</f>
        <v/>
      </c>
      <c r="L3812" s="19">
        <f>IF(I3812="","",IFERROR(INDEX(catAlim,MATCH(D3812,catNom,0))&amp;"",""))</f>
        <v/>
      </c>
      <c r="M3812" s="19">
        <f>IF(I3812="","",IFERROR(INDEX(catComida,MATCH(D3812,catNom,0))&amp;"",""))</f>
        <v/>
      </c>
      <c r="N3812" s="19">
        <f>IF(I3812="","",IFERROR(INDEX(ctaMon,MATCH(E3812,ctaNom,0))&amp;"","DOP"))</f>
        <v/>
      </c>
      <c r="O3812" s="20">
        <f>IF(I3812="","",C3812*IF(N3812="USD",TasaUSD,1))</f>
        <v/>
      </c>
      <c r="P3812" s="20">
        <f>IF(I3812="","",IF(I3812="Gasto",O3812,0))</f>
        <v/>
      </c>
      <c r="Q3812" s="20">
        <f>IF(I3812="","",IF(I3812="Ingreso",O3812,0))</f>
        <v/>
      </c>
      <c r="R3812" s="20">
        <f>IF(I3812="","",IF(I3812="Trading",O3812,0))</f>
        <v/>
      </c>
      <c r="S3812" s="19">
        <f>IF(I3812="","",IF(AND(I3812="Gasto",K3812="Variable",J3812&lt;&gt;"Trading",O3812&gt;0,O3812&lt;=Umbral),1,0))</f>
        <v/>
      </c>
      <c r="T3812" s="20">
        <f>IF(OR(I3812="",E3812=""),"",IF(OR(I3812="Gasto",I3812="Transferencia",I3812="Pago tarjeta"),-1,1)*C3812)</f>
        <v/>
      </c>
      <c r="U3812" s="20">
        <f>IF(OR(G3812="",AND(I3812&lt;&gt;"Transferencia",I3812&lt;&gt;"Pago tarjeta")),"",IF(IFERROR(INDEX(ctaMon,MATCH(G3812,ctaNom,0))&amp;"","DOP")=N3812,C3812,IF(N3812="USD",C3812*TasaUSD,C3812/TasaUSD)))</f>
        <v/>
      </c>
      <c r="V3812" s="20">
        <f>IF(I3812="","",IF(IFERROR(INDEX(ctaLiq,MATCH(E3812,ctaNom,0))="Sí",FALSE),IF(OR(I3812="Gasto",I3812="Transferencia",I3812="Pago tarjeta"),-1,1)*O3812,0)+IF(AND(U3812&lt;&gt;"",IFERROR(INDEX(ctaLiq,MATCH(G3812,ctaNom,0))="Sí",FALSE)),O3812,0))</f>
        <v/>
      </c>
      <c r="W3812" s="19">
        <f>IF(OR(F3812="",I3812=""),"",IF(COUNTIFS(F$6:F3812,F3812,I$6:I3812,"?*")=1,MAX(W$5:W3811)+1,""))</f>
        <v/>
      </c>
    </row>
    <row r="3813">
      <c r="B3813" s="15" t="n"/>
      <c r="C3813" s="16" t="n"/>
      <c r="D3813" s="17" t="n"/>
      <c r="E3813" s="17" t="n"/>
      <c r="F3813" s="17" t="n"/>
      <c r="G3813" s="17" t="n"/>
      <c r="H3813" s="18">
        <f>IF(AND(B3813="",C3813="",D3813="",E3813=""),"",IF(B3813="","⚠ Falta fecha",IF(C3813="","⚠ Falta monto",IF(D3813="","⚠ Falta categoría",IF(ISNA(MATCH(D3813,catNom,0)),"⚠ Categoría no existe",IF(E3813="","⚠ Falta cuenta",IF(ISNA(MATCH(E3813,ctaNom,0)),"⚠ Cuenta no existe",IF(AND(OR(I3813="Transferencia",I3813="Pago tarjeta"),G3813=""),"⚠ Indica la cuenta «Hacia»",IF(AND(G3813&lt;&gt;"",G3813=E3813),"⚠ «Hacia» igual a la cuenta",IF(AND(G3813&lt;&gt;"",ISNA(MATCH(G3813,ctaNom,0))),"⚠ «Hacia» no existe",IF(AND(I3813="Pago tarjeta",IFERROR(INDEX(ctaTipo,MATCH(G3813,ctaNom,0)),"")&lt;&gt;"Tarjeta de crédito"),"⚠ «Hacia» debe ser la tarjeta",IF(AND(I3813="Trading",IFERROR(INDEX(ctaTipo,MATCH(E3813,ctaNom,0)),"")&lt;&gt;"Cuenta de trading"),"⚠ Usa la cuenta de trading","✓"))))))))))))</f>
        <v/>
      </c>
      <c r="I3813" s="19">
        <f>IF(OR(B3813="",C3813="",D3813=""),"",IFERROR(INDEX(catTipo,MATCH(D3813,catNom,0))&amp;"",""))</f>
        <v/>
      </c>
      <c r="J3813" s="19">
        <f>IF(I3813="","",IFERROR(INDEX(catGrupo,MATCH(D3813,catNom,0))&amp;"",""))</f>
        <v/>
      </c>
      <c r="K3813" s="19">
        <f>IF(I3813="Gasto",IF(IFERROR(INDEX(catClas,MATCH(D3813,catNom,0))&amp;"","")="","Variable",IFERROR(INDEX(catClas,MATCH(D3813,catNom,0))&amp;"","")),"")</f>
        <v/>
      </c>
      <c r="L3813" s="19">
        <f>IF(I3813="","",IFERROR(INDEX(catAlim,MATCH(D3813,catNom,0))&amp;"",""))</f>
        <v/>
      </c>
      <c r="M3813" s="19">
        <f>IF(I3813="","",IFERROR(INDEX(catComida,MATCH(D3813,catNom,0))&amp;"",""))</f>
        <v/>
      </c>
      <c r="N3813" s="19">
        <f>IF(I3813="","",IFERROR(INDEX(ctaMon,MATCH(E3813,ctaNom,0))&amp;"","DOP"))</f>
        <v/>
      </c>
      <c r="O3813" s="20">
        <f>IF(I3813="","",C3813*IF(N3813="USD",TasaUSD,1))</f>
        <v/>
      </c>
      <c r="P3813" s="20">
        <f>IF(I3813="","",IF(I3813="Gasto",O3813,0))</f>
        <v/>
      </c>
      <c r="Q3813" s="20">
        <f>IF(I3813="","",IF(I3813="Ingreso",O3813,0))</f>
        <v/>
      </c>
      <c r="R3813" s="20">
        <f>IF(I3813="","",IF(I3813="Trading",O3813,0))</f>
        <v/>
      </c>
      <c r="S3813" s="19">
        <f>IF(I3813="","",IF(AND(I3813="Gasto",K3813="Variable",J3813&lt;&gt;"Trading",O3813&gt;0,O3813&lt;=Umbral),1,0))</f>
        <v/>
      </c>
      <c r="T3813" s="20">
        <f>IF(OR(I3813="",E3813=""),"",IF(OR(I3813="Gasto",I3813="Transferencia",I3813="Pago tarjeta"),-1,1)*C3813)</f>
        <v/>
      </c>
      <c r="U3813" s="20">
        <f>IF(OR(G3813="",AND(I3813&lt;&gt;"Transferencia",I3813&lt;&gt;"Pago tarjeta")),"",IF(IFERROR(INDEX(ctaMon,MATCH(G3813,ctaNom,0))&amp;"","DOP")=N3813,C3813,IF(N3813="USD",C3813*TasaUSD,C3813/TasaUSD)))</f>
        <v/>
      </c>
      <c r="V3813" s="20">
        <f>IF(I3813="","",IF(IFERROR(INDEX(ctaLiq,MATCH(E3813,ctaNom,0))="Sí",FALSE),IF(OR(I3813="Gasto",I3813="Transferencia",I3813="Pago tarjeta"),-1,1)*O3813,0)+IF(AND(U3813&lt;&gt;"",IFERROR(INDEX(ctaLiq,MATCH(G3813,ctaNom,0))="Sí",FALSE)),O3813,0))</f>
        <v/>
      </c>
      <c r="W3813" s="19">
        <f>IF(OR(F3813="",I3813=""),"",IF(COUNTIFS(F$6:F3813,F3813,I$6:I3813,"?*")=1,MAX(W$5:W3812)+1,""))</f>
        <v/>
      </c>
    </row>
    <row r="3814">
      <c r="B3814" s="15" t="n"/>
      <c r="C3814" s="16" t="n"/>
      <c r="D3814" s="17" t="n"/>
      <c r="E3814" s="17" t="n"/>
      <c r="F3814" s="17" t="n"/>
      <c r="G3814" s="17" t="n"/>
      <c r="H3814" s="18">
        <f>IF(AND(B3814="",C3814="",D3814="",E3814=""),"",IF(B3814="","⚠ Falta fecha",IF(C3814="","⚠ Falta monto",IF(D3814="","⚠ Falta categoría",IF(ISNA(MATCH(D3814,catNom,0)),"⚠ Categoría no existe",IF(E3814="","⚠ Falta cuenta",IF(ISNA(MATCH(E3814,ctaNom,0)),"⚠ Cuenta no existe",IF(AND(OR(I3814="Transferencia",I3814="Pago tarjeta"),G3814=""),"⚠ Indica la cuenta «Hacia»",IF(AND(G3814&lt;&gt;"",G3814=E3814),"⚠ «Hacia» igual a la cuenta",IF(AND(G3814&lt;&gt;"",ISNA(MATCH(G3814,ctaNom,0))),"⚠ «Hacia» no existe",IF(AND(I3814="Pago tarjeta",IFERROR(INDEX(ctaTipo,MATCH(G3814,ctaNom,0)),"")&lt;&gt;"Tarjeta de crédito"),"⚠ «Hacia» debe ser la tarjeta",IF(AND(I3814="Trading",IFERROR(INDEX(ctaTipo,MATCH(E3814,ctaNom,0)),"")&lt;&gt;"Cuenta de trading"),"⚠ Usa la cuenta de trading","✓"))))))))))))</f>
        <v/>
      </c>
      <c r="I3814" s="19">
        <f>IF(OR(B3814="",C3814="",D3814=""),"",IFERROR(INDEX(catTipo,MATCH(D3814,catNom,0))&amp;"",""))</f>
        <v/>
      </c>
      <c r="J3814" s="19">
        <f>IF(I3814="","",IFERROR(INDEX(catGrupo,MATCH(D3814,catNom,0))&amp;"",""))</f>
        <v/>
      </c>
      <c r="K3814" s="19">
        <f>IF(I3814="Gasto",IF(IFERROR(INDEX(catClas,MATCH(D3814,catNom,0))&amp;"","")="","Variable",IFERROR(INDEX(catClas,MATCH(D3814,catNom,0))&amp;"","")),"")</f>
        <v/>
      </c>
      <c r="L3814" s="19">
        <f>IF(I3814="","",IFERROR(INDEX(catAlim,MATCH(D3814,catNom,0))&amp;"",""))</f>
        <v/>
      </c>
      <c r="M3814" s="19">
        <f>IF(I3814="","",IFERROR(INDEX(catComida,MATCH(D3814,catNom,0))&amp;"",""))</f>
        <v/>
      </c>
      <c r="N3814" s="19">
        <f>IF(I3814="","",IFERROR(INDEX(ctaMon,MATCH(E3814,ctaNom,0))&amp;"","DOP"))</f>
        <v/>
      </c>
      <c r="O3814" s="20">
        <f>IF(I3814="","",C3814*IF(N3814="USD",TasaUSD,1))</f>
        <v/>
      </c>
      <c r="P3814" s="20">
        <f>IF(I3814="","",IF(I3814="Gasto",O3814,0))</f>
        <v/>
      </c>
      <c r="Q3814" s="20">
        <f>IF(I3814="","",IF(I3814="Ingreso",O3814,0))</f>
        <v/>
      </c>
      <c r="R3814" s="20">
        <f>IF(I3814="","",IF(I3814="Trading",O3814,0))</f>
        <v/>
      </c>
      <c r="S3814" s="19">
        <f>IF(I3814="","",IF(AND(I3814="Gasto",K3814="Variable",J3814&lt;&gt;"Trading",O3814&gt;0,O3814&lt;=Umbral),1,0))</f>
        <v/>
      </c>
      <c r="T3814" s="20">
        <f>IF(OR(I3814="",E3814=""),"",IF(OR(I3814="Gasto",I3814="Transferencia",I3814="Pago tarjeta"),-1,1)*C3814)</f>
        <v/>
      </c>
      <c r="U3814" s="20">
        <f>IF(OR(G3814="",AND(I3814&lt;&gt;"Transferencia",I3814&lt;&gt;"Pago tarjeta")),"",IF(IFERROR(INDEX(ctaMon,MATCH(G3814,ctaNom,0))&amp;"","DOP")=N3814,C3814,IF(N3814="USD",C3814*TasaUSD,C3814/TasaUSD)))</f>
        <v/>
      </c>
      <c r="V3814" s="20">
        <f>IF(I3814="","",IF(IFERROR(INDEX(ctaLiq,MATCH(E3814,ctaNom,0))="Sí",FALSE),IF(OR(I3814="Gasto",I3814="Transferencia",I3814="Pago tarjeta"),-1,1)*O3814,0)+IF(AND(U3814&lt;&gt;"",IFERROR(INDEX(ctaLiq,MATCH(G3814,ctaNom,0))="Sí",FALSE)),O3814,0))</f>
        <v/>
      </c>
      <c r="W3814" s="19">
        <f>IF(OR(F3814="",I3814=""),"",IF(COUNTIFS(F$6:F3814,F3814,I$6:I3814,"?*")=1,MAX(W$5:W3813)+1,""))</f>
        <v/>
      </c>
    </row>
    <row r="3815">
      <c r="B3815" s="15" t="n"/>
      <c r="C3815" s="16" t="n"/>
      <c r="D3815" s="17" t="n"/>
      <c r="E3815" s="17" t="n"/>
      <c r="F3815" s="17" t="n"/>
      <c r="G3815" s="17" t="n"/>
      <c r="H3815" s="18">
        <f>IF(AND(B3815="",C3815="",D3815="",E3815=""),"",IF(B3815="","⚠ Falta fecha",IF(C3815="","⚠ Falta monto",IF(D3815="","⚠ Falta categoría",IF(ISNA(MATCH(D3815,catNom,0)),"⚠ Categoría no existe",IF(E3815="","⚠ Falta cuenta",IF(ISNA(MATCH(E3815,ctaNom,0)),"⚠ Cuenta no existe",IF(AND(OR(I3815="Transferencia",I3815="Pago tarjeta"),G3815=""),"⚠ Indica la cuenta «Hacia»",IF(AND(G3815&lt;&gt;"",G3815=E3815),"⚠ «Hacia» igual a la cuenta",IF(AND(G3815&lt;&gt;"",ISNA(MATCH(G3815,ctaNom,0))),"⚠ «Hacia» no existe",IF(AND(I3815="Pago tarjeta",IFERROR(INDEX(ctaTipo,MATCH(G3815,ctaNom,0)),"")&lt;&gt;"Tarjeta de crédito"),"⚠ «Hacia» debe ser la tarjeta",IF(AND(I3815="Trading",IFERROR(INDEX(ctaTipo,MATCH(E3815,ctaNom,0)),"")&lt;&gt;"Cuenta de trading"),"⚠ Usa la cuenta de trading","✓"))))))))))))</f>
        <v/>
      </c>
      <c r="I3815" s="19">
        <f>IF(OR(B3815="",C3815="",D3815=""),"",IFERROR(INDEX(catTipo,MATCH(D3815,catNom,0))&amp;"",""))</f>
        <v/>
      </c>
      <c r="J3815" s="19">
        <f>IF(I3815="","",IFERROR(INDEX(catGrupo,MATCH(D3815,catNom,0))&amp;"",""))</f>
        <v/>
      </c>
      <c r="K3815" s="19">
        <f>IF(I3815="Gasto",IF(IFERROR(INDEX(catClas,MATCH(D3815,catNom,0))&amp;"","")="","Variable",IFERROR(INDEX(catClas,MATCH(D3815,catNom,0))&amp;"","")),"")</f>
        <v/>
      </c>
      <c r="L3815" s="19">
        <f>IF(I3815="","",IFERROR(INDEX(catAlim,MATCH(D3815,catNom,0))&amp;"",""))</f>
        <v/>
      </c>
      <c r="M3815" s="19">
        <f>IF(I3815="","",IFERROR(INDEX(catComida,MATCH(D3815,catNom,0))&amp;"",""))</f>
        <v/>
      </c>
      <c r="N3815" s="19">
        <f>IF(I3815="","",IFERROR(INDEX(ctaMon,MATCH(E3815,ctaNom,0))&amp;"","DOP"))</f>
        <v/>
      </c>
      <c r="O3815" s="20">
        <f>IF(I3815="","",C3815*IF(N3815="USD",TasaUSD,1))</f>
        <v/>
      </c>
      <c r="P3815" s="20">
        <f>IF(I3815="","",IF(I3815="Gasto",O3815,0))</f>
        <v/>
      </c>
      <c r="Q3815" s="20">
        <f>IF(I3815="","",IF(I3815="Ingreso",O3815,0))</f>
        <v/>
      </c>
      <c r="R3815" s="20">
        <f>IF(I3815="","",IF(I3815="Trading",O3815,0))</f>
        <v/>
      </c>
      <c r="S3815" s="19">
        <f>IF(I3815="","",IF(AND(I3815="Gasto",K3815="Variable",J3815&lt;&gt;"Trading",O3815&gt;0,O3815&lt;=Umbral),1,0))</f>
        <v/>
      </c>
      <c r="T3815" s="20">
        <f>IF(OR(I3815="",E3815=""),"",IF(OR(I3815="Gasto",I3815="Transferencia",I3815="Pago tarjeta"),-1,1)*C3815)</f>
        <v/>
      </c>
      <c r="U3815" s="20">
        <f>IF(OR(G3815="",AND(I3815&lt;&gt;"Transferencia",I3815&lt;&gt;"Pago tarjeta")),"",IF(IFERROR(INDEX(ctaMon,MATCH(G3815,ctaNom,0))&amp;"","DOP")=N3815,C3815,IF(N3815="USD",C3815*TasaUSD,C3815/TasaUSD)))</f>
        <v/>
      </c>
      <c r="V3815" s="20">
        <f>IF(I3815="","",IF(IFERROR(INDEX(ctaLiq,MATCH(E3815,ctaNom,0))="Sí",FALSE),IF(OR(I3815="Gasto",I3815="Transferencia",I3815="Pago tarjeta"),-1,1)*O3815,0)+IF(AND(U3815&lt;&gt;"",IFERROR(INDEX(ctaLiq,MATCH(G3815,ctaNom,0))="Sí",FALSE)),O3815,0))</f>
        <v/>
      </c>
      <c r="W3815" s="19">
        <f>IF(OR(F3815="",I3815=""),"",IF(COUNTIFS(F$6:F3815,F3815,I$6:I3815,"?*")=1,MAX(W$5:W3814)+1,""))</f>
        <v/>
      </c>
    </row>
    <row r="3816">
      <c r="B3816" s="15" t="n"/>
      <c r="C3816" s="16" t="n"/>
      <c r="D3816" s="17" t="n"/>
      <c r="E3816" s="17" t="n"/>
      <c r="F3816" s="17" t="n"/>
      <c r="G3816" s="17" t="n"/>
      <c r="H3816" s="18">
        <f>IF(AND(B3816="",C3816="",D3816="",E3816=""),"",IF(B3816="","⚠ Falta fecha",IF(C3816="","⚠ Falta monto",IF(D3816="","⚠ Falta categoría",IF(ISNA(MATCH(D3816,catNom,0)),"⚠ Categoría no existe",IF(E3816="","⚠ Falta cuenta",IF(ISNA(MATCH(E3816,ctaNom,0)),"⚠ Cuenta no existe",IF(AND(OR(I3816="Transferencia",I3816="Pago tarjeta"),G3816=""),"⚠ Indica la cuenta «Hacia»",IF(AND(G3816&lt;&gt;"",G3816=E3816),"⚠ «Hacia» igual a la cuenta",IF(AND(G3816&lt;&gt;"",ISNA(MATCH(G3816,ctaNom,0))),"⚠ «Hacia» no existe",IF(AND(I3816="Pago tarjeta",IFERROR(INDEX(ctaTipo,MATCH(G3816,ctaNom,0)),"")&lt;&gt;"Tarjeta de crédito"),"⚠ «Hacia» debe ser la tarjeta",IF(AND(I3816="Trading",IFERROR(INDEX(ctaTipo,MATCH(E3816,ctaNom,0)),"")&lt;&gt;"Cuenta de trading"),"⚠ Usa la cuenta de trading","✓"))))))))))))</f>
        <v/>
      </c>
      <c r="I3816" s="19">
        <f>IF(OR(B3816="",C3816="",D3816=""),"",IFERROR(INDEX(catTipo,MATCH(D3816,catNom,0))&amp;"",""))</f>
        <v/>
      </c>
      <c r="J3816" s="19">
        <f>IF(I3816="","",IFERROR(INDEX(catGrupo,MATCH(D3816,catNom,0))&amp;"",""))</f>
        <v/>
      </c>
      <c r="K3816" s="19">
        <f>IF(I3816="Gasto",IF(IFERROR(INDEX(catClas,MATCH(D3816,catNom,0))&amp;"","")="","Variable",IFERROR(INDEX(catClas,MATCH(D3816,catNom,0))&amp;"","")),"")</f>
        <v/>
      </c>
      <c r="L3816" s="19">
        <f>IF(I3816="","",IFERROR(INDEX(catAlim,MATCH(D3816,catNom,0))&amp;"",""))</f>
        <v/>
      </c>
      <c r="M3816" s="19">
        <f>IF(I3816="","",IFERROR(INDEX(catComida,MATCH(D3816,catNom,0))&amp;"",""))</f>
        <v/>
      </c>
      <c r="N3816" s="19">
        <f>IF(I3816="","",IFERROR(INDEX(ctaMon,MATCH(E3816,ctaNom,0))&amp;"","DOP"))</f>
        <v/>
      </c>
      <c r="O3816" s="20">
        <f>IF(I3816="","",C3816*IF(N3816="USD",TasaUSD,1))</f>
        <v/>
      </c>
      <c r="P3816" s="20">
        <f>IF(I3816="","",IF(I3816="Gasto",O3816,0))</f>
        <v/>
      </c>
      <c r="Q3816" s="20">
        <f>IF(I3816="","",IF(I3816="Ingreso",O3816,0))</f>
        <v/>
      </c>
      <c r="R3816" s="20">
        <f>IF(I3816="","",IF(I3816="Trading",O3816,0))</f>
        <v/>
      </c>
      <c r="S3816" s="19">
        <f>IF(I3816="","",IF(AND(I3816="Gasto",K3816="Variable",J3816&lt;&gt;"Trading",O3816&gt;0,O3816&lt;=Umbral),1,0))</f>
        <v/>
      </c>
      <c r="T3816" s="20">
        <f>IF(OR(I3816="",E3816=""),"",IF(OR(I3816="Gasto",I3816="Transferencia",I3816="Pago tarjeta"),-1,1)*C3816)</f>
        <v/>
      </c>
      <c r="U3816" s="20">
        <f>IF(OR(G3816="",AND(I3816&lt;&gt;"Transferencia",I3816&lt;&gt;"Pago tarjeta")),"",IF(IFERROR(INDEX(ctaMon,MATCH(G3816,ctaNom,0))&amp;"","DOP")=N3816,C3816,IF(N3816="USD",C3816*TasaUSD,C3816/TasaUSD)))</f>
        <v/>
      </c>
      <c r="V3816" s="20">
        <f>IF(I3816="","",IF(IFERROR(INDEX(ctaLiq,MATCH(E3816,ctaNom,0))="Sí",FALSE),IF(OR(I3816="Gasto",I3816="Transferencia",I3816="Pago tarjeta"),-1,1)*O3816,0)+IF(AND(U3816&lt;&gt;"",IFERROR(INDEX(ctaLiq,MATCH(G3816,ctaNom,0))="Sí",FALSE)),O3816,0))</f>
        <v/>
      </c>
      <c r="W3816" s="19">
        <f>IF(OR(F3816="",I3816=""),"",IF(COUNTIFS(F$6:F3816,F3816,I$6:I3816,"?*")=1,MAX(W$5:W3815)+1,""))</f>
        <v/>
      </c>
    </row>
    <row r="3817">
      <c r="B3817" s="15" t="n"/>
      <c r="C3817" s="16" t="n"/>
      <c r="D3817" s="17" t="n"/>
      <c r="E3817" s="17" t="n"/>
      <c r="F3817" s="17" t="n"/>
      <c r="G3817" s="17" t="n"/>
      <c r="H3817" s="18">
        <f>IF(AND(B3817="",C3817="",D3817="",E3817=""),"",IF(B3817="","⚠ Falta fecha",IF(C3817="","⚠ Falta monto",IF(D3817="","⚠ Falta categoría",IF(ISNA(MATCH(D3817,catNom,0)),"⚠ Categoría no existe",IF(E3817="","⚠ Falta cuenta",IF(ISNA(MATCH(E3817,ctaNom,0)),"⚠ Cuenta no existe",IF(AND(OR(I3817="Transferencia",I3817="Pago tarjeta"),G3817=""),"⚠ Indica la cuenta «Hacia»",IF(AND(G3817&lt;&gt;"",G3817=E3817),"⚠ «Hacia» igual a la cuenta",IF(AND(G3817&lt;&gt;"",ISNA(MATCH(G3817,ctaNom,0))),"⚠ «Hacia» no existe",IF(AND(I3817="Pago tarjeta",IFERROR(INDEX(ctaTipo,MATCH(G3817,ctaNom,0)),"")&lt;&gt;"Tarjeta de crédito"),"⚠ «Hacia» debe ser la tarjeta",IF(AND(I3817="Trading",IFERROR(INDEX(ctaTipo,MATCH(E3817,ctaNom,0)),"")&lt;&gt;"Cuenta de trading"),"⚠ Usa la cuenta de trading","✓"))))))))))))</f>
        <v/>
      </c>
      <c r="I3817" s="19">
        <f>IF(OR(B3817="",C3817="",D3817=""),"",IFERROR(INDEX(catTipo,MATCH(D3817,catNom,0))&amp;"",""))</f>
        <v/>
      </c>
      <c r="J3817" s="19">
        <f>IF(I3817="","",IFERROR(INDEX(catGrupo,MATCH(D3817,catNom,0))&amp;"",""))</f>
        <v/>
      </c>
      <c r="K3817" s="19">
        <f>IF(I3817="Gasto",IF(IFERROR(INDEX(catClas,MATCH(D3817,catNom,0))&amp;"","")="","Variable",IFERROR(INDEX(catClas,MATCH(D3817,catNom,0))&amp;"","")),"")</f>
        <v/>
      </c>
      <c r="L3817" s="19">
        <f>IF(I3817="","",IFERROR(INDEX(catAlim,MATCH(D3817,catNom,0))&amp;"",""))</f>
        <v/>
      </c>
      <c r="M3817" s="19">
        <f>IF(I3817="","",IFERROR(INDEX(catComida,MATCH(D3817,catNom,0))&amp;"",""))</f>
        <v/>
      </c>
      <c r="N3817" s="19">
        <f>IF(I3817="","",IFERROR(INDEX(ctaMon,MATCH(E3817,ctaNom,0))&amp;"","DOP"))</f>
        <v/>
      </c>
      <c r="O3817" s="20">
        <f>IF(I3817="","",C3817*IF(N3817="USD",TasaUSD,1))</f>
        <v/>
      </c>
      <c r="P3817" s="20">
        <f>IF(I3817="","",IF(I3817="Gasto",O3817,0))</f>
        <v/>
      </c>
      <c r="Q3817" s="20">
        <f>IF(I3817="","",IF(I3817="Ingreso",O3817,0))</f>
        <v/>
      </c>
      <c r="R3817" s="20">
        <f>IF(I3817="","",IF(I3817="Trading",O3817,0))</f>
        <v/>
      </c>
      <c r="S3817" s="19">
        <f>IF(I3817="","",IF(AND(I3817="Gasto",K3817="Variable",J3817&lt;&gt;"Trading",O3817&gt;0,O3817&lt;=Umbral),1,0))</f>
        <v/>
      </c>
      <c r="T3817" s="20">
        <f>IF(OR(I3817="",E3817=""),"",IF(OR(I3817="Gasto",I3817="Transferencia",I3817="Pago tarjeta"),-1,1)*C3817)</f>
        <v/>
      </c>
      <c r="U3817" s="20">
        <f>IF(OR(G3817="",AND(I3817&lt;&gt;"Transferencia",I3817&lt;&gt;"Pago tarjeta")),"",IF(IFERROR(INDEX(ctaMon,MATCH(G3817,ctaNom,0))&amp;"","DOP")=N3817,C3817,IF(N3817="USD",C3817*TasaUSD,C3817/TasaUSD)))</f>
        <v/>
      </c>
      <c r="V3817" s="20">
        <f>IF(I3817="","",IF(IFERROR(INDEX(ctaLiq,MATCH(E3817,ctaNom,0))="Sí",FALSE),IF(OR(I3817="Gasto",I3817="Transferencia",I3817="Pago tarjeta"),-1,1)*O3817,0)+IF(AND(U3817&lt;&gt;"",IFERROR(INDEX(ctaLiq,MATCH(G3817,ctaNom,0))="Sí",FALSE)),O3817,0))</f>
        <v/>
      </c>
      <c r="W3817" s="19">
        <f>IF(OR(F3817="",I3817=""),"",IF(COUNTIFS(F$6:F3817,F3817,I$6:I3817,"?*")=1,MAX(W$5:W3816)+1,""))</f>
        <v/>
      </c>
    </row>
    <row r="3818">
      <c r="B3818" s="15" t="n"/>
      <c r="C3818" s="16" t="n"/>
      <c r="D3818" s="17" t="n"/>
      <c r="E3818" s="17" t="n"/>
      <c r="F3818" s="17" t="n"/>
      <c r="G3818" s="17" t="n"/>
      <c r="H3818" s="18">
        <f>IF(AND(B3818="",C3818="",D3818="",E3818=""),"",IF(B3818="","⚠ Falta fecha",IF(C3818="","⚠ Falta monto",IF(D3818="","⚠ Falta categoría",IF(ISNA(MATCH(D3818,catNom,0)),"⚠ Categoría no existe",IF(E3818="","⚠ Falta cuenta",IF(ISNA(MATCH(E3818,ctaNom,0)),"⚠ Cuenta no existe",IF(AND(OR(I3818="Transferencia",I3818="Pago tarjeta"),G3818=""),"⚠ Indica la cuenta «Hacia»",IF(AND(G3818&lt;&gt;"",G3818=E3818),"⚠ «Hacia» igual a la cuenta",IF(AND(G3818&lt;&gt;"",ISNA(MATCH(G3818,ctaNom,0))),"⚠ «Hacia» no existe",IF(AND(I3818="Pago tarjeta",IFERROR(INDEX(ctaTipo,MATCH(G3818,ctaNom,0)),"")&lt;&gt;"Tarjeta de crédito"),"⚠ «Hacia» debe ser la tarjeta",IF(AND(I3818="Trading",IFERROR(INDEX(ctaTipo,MATCH(E3818,ctaNom,0)),"")&lt;&gt;"Cuenta de trading"),"⚠ Usa la cuenta de trading","✓"))))))))))))</f>
        <v/>
      </c>
      <c r="I3818" s="19">
        <f>IF(OR(B3818="",C3818="",D3818=""),"",IFERROR(INDEX(catTipo,MATCH(D3818,catNom,0))&amp;"",""))</f>
        <v/>
      </c>
      <c r="J3818" s="19">
        <f>IF(I3818="","",IFERROR(INDEX(catGrupo,MATCH(D3818,catNom,0))&amp;"",""))</f>
        <v/>
      </c>
      <c r="K3818" s="19">
        <f>IF(I3818="Gasto",IF(IFERROR(INDEX(catClas,MATCH(D3818,catNom,0))&amp;"","")="","Variable",IFERROR(INDEX(catClas,MATCH(D3818,catNom,0))&amp;"","")),"")</f>
        <v/>
      </c>
      <c r="L3818" s="19">
        <f>IF(I3818="","",IFERROR(INDEX(catAlim,MATCH(D3818,catNom,0))&amp;"",""))</f>
        <v/>
      </c>
      <c r="M3818" s="19">
        <f>IF(I3818="","",IFERROR(INDEX(catComida,MATCH(D3818,catNom,0))&amp;"",""))</f>
        <v/>
      </c>
      <c r="N3818" s="19">
        <f>IF(I3818="","",IFERROR(INDEX(ctaMon,MATCH(E3818,ctaNom,0))&amp;"","DOP"))</f>
        <v/>
      </c>
      <c r="O3818" s="20">
        <f>IF(I3818="","",C3818*IF(N3818="USD",TasaUSD,1))</f>
        <v/>
      </c>
      <c r="P3818" s="20">
        <f>IF(I3818="","",IF(I3818="Gasto",O3818,0))</f>
        <v/>
      </c>
      <c r="Q3818" s="20">
        <f>IF(I3818="","",IF(I3818="Ingreso",O3818,0))</f>
        <v/>
      </c>
      <c r="R3818" s="20">
        <f>IF(I3818="","",IF(I3818="Trading",O3818,0))</f>
        <v/>
      </c>
      <c r="S3818" s="19">
        <f>IF(I3818="","",IF(AND(I3818="Gasto",K3818="Variable",J3818&lt;&gt;"Trading",O3818&gt;0,O3818&lt;=Umbral),1,0))</f>
        <v/>
      </c>
      <c r="T3818" s="20">
        <f>IF(OR(I3818="",E3818=""),"",IF(OR(I3818="Gasto",I3818="Transferencia",I3818="Pago tarjeta"),-1,1)*C3818)</f>
        <v/>
      </c>
      <c r="U3818" s="20">
        <f>IF(OR(G3818="",AND(I3818&lt;&gt;"Transferencia",I3818&lt;&gt;"Pago tarjeta")),"",IF(IFERROR(INDEX(ctaMon,MATCH(G3818,ctaNom,0))&amp;"","DOP")=N3818,C3818,IF(N3818="USD",C3818*TasaUSD,C3818/TasaUSD)))</f>
        <v/>
      </c>
      <c r="V3818" s="20">
        <f>IF(I3818="","",IF(IFERROR(INDEX(ctaLiq,MATCH(E3818,ctaNom,0))="Sí",FALSE),IF(OR(I3818="Gasto",I3818="Transferencia",I3818="Pago tarjeta"),-1,1)*O3818,0)+IF(AND(U3818&lt;&gt;"",IFERROR(INDEX(ctaLiq,MATCH(G3818,ctaNom,0))="Sí",FALSE)),O3818,0))</f>
        <v/>
      </c>
      <c r="W3818" s="19">
        <f>IF(OR(F3818="",I3818=""),"",IF(COUNTIFS(F$6:F3818,F3818,I$6:I3818,"?*")=1,MAX(W$5:W3817)+1,""))</f>
        <v/>
      </c>
    </row>
    <row r="3819">
      <c r="B3819" s="15" t="n"/>
      <c r="C3819" s="16" t="n"/>
      <c r="D3819" s="17" t="n"/>
      <c r="E3819" s="17" t="n"/>
      <c r="F3819" s="17" t="n"/>
      <c r="G3819" s="17" t="n"/>
      <c r="H3819" s="18">
        <f>IF(AND(B3819="",C3819="",D3819="",E3819=""),"",IF(B3819="","⚠ Falta fecha",IF(C3819="","⚠ Falta monto",IF(D3819="","⚠ Falta categoría",IF(ISNA(MATCH(D3819,catNom,0)),"⚠ Categoría no existe",IF(E3819="","⚠ Falta cuenta",IF(ISNA(MATCH(E3819,ctaNom,0)),"⚠ Cuenta no existe",IF(AND(OR(I3819="Transferencia",I3819="Pago tarjeta"),G3819=""),"⚠ Indica la cuenta «Hacia»",IF(AND(G3819&lt;&gt;"",G3819=E3819),"⚠ «Hacia» igual a la cuenta",IF(AND(G3819&lt;&gt;"",ISNA(MATCH(G3819,ctaNom,0))),"⚠ «Hacia» no existe",IF(AND(I3819="Pago tarjeta",IFERROR(INDEX(ctaTipo,MATCH(G3819,ctaNom,0)),"")&lt;&gt;"Tarjeta de crédito"),"⚠ «Hacia» debe ser la tarjeta",IF(AND(I3819="Trading",IFERROR(INDEX(ctaTipo,MATCH(E3819,ctaNom,0)),"")&lt;&gt;"Cuenta de trading"),"⚠ Usa la cuenta de trading","✓"))))))))))))</f>
        <v/>
      </c>
      <c r="I3819" s="19">
        <f>IF(OR(B3819="",C3819="",D3819=""),"",IFERROR(INDEX(catTipo,MATCH(D3819,catNom,0))&amp;"",""))</f>
        <v/>
      </c>
      <c r="J3819" s="19">
        <f>IF(I3819="","",IFERROR(INDEX(catGrupo,MATCH(D3819,catNom,0))&amp;"",""))</f>
        <v/>
      </c>
      <c r="K3819" s="19">
        <f>IF(I3819="Gasto",IF(IFERROR(INDEX(catClas,MATCH(D3819,catNom,0))&amp;"","")="","Variable",IFERROR(INDEX(catClas,MATCH(D3819,catNom,0))&amp;"","")),"")</f>
        <v/>
      </c>
      <c r="L3819" s="19">
        <f>IF(I3819="","",IFERROR(INDEX(catAlim,MATCH(D3819,catNom,0))&amp;"",""))</f>
        <v/>
      </c>
      <c r="M3819" s="19">
        <f>IF(I3819="","",IFERROR(INDEX(catComida,MATCH(D3819,catNom,0))&amp;"",""))</f>
        <v/>
      </c>
      <c r="N3819" s="19">
        <f>IF(I3819="","",IFERROR(INDEX(ctaMon,MATCH(E3819,ctaNom,0))&amp;"","DOP"))</f>
        <v/>
      </c>
      <c r="O3819" s="20">
        <f>IF(I3819="","",C3819*IF(N3819="USD",TasaUSD,1))</f>
        <v/>
      </c>
      <c r="P3819" s="20">
        <f>IF(I3819="","",IF(I3819="Gasto",O3819,0))</f>
        <v/>
      </c>
      <c r="Q3819" s="20">
        <f>IF(I3819="","",IF(I3819="Ingreso",O3819,0))</f>
        <v/>
      </c>
      <c r="R3819" s="20">
        <f>IF(I3819="","",IF(I3819="Trading",O3819,0))</f>
        <v/>
      </c>
      <c r="S3819" s="19">
        <f>IF(I3819="","",IF(AND(I3819="Gasto",K3819="Variable",J3819&lt;&gt;"Trading",O3819&gt;0,O3819&lt;=Umbral),1,0))</f>
        <v/>
      </c>
      <c r="T3819" s="20">
        <f>IF(OR(I3819="",E3819=""),"",IF(OR(I3819="Gasto",I3819="Transferencia",I3819="Pago tarjeta"),-1,1)*C3819)</f>
        <v/>
      </c>
      <c r="U3819" s="20">
        <f>IF(OR(G3819="",AND(I3819&lt;&gt;"Transferencia",I3819&lt;&gt;"Pago tarjeta")),"",IF(IFERROR(INDEX(ctaMon,MATCH(G3819,ctaNom,0))&amp;"","DOP")=N3819,C3819,IF(N3819="USD",C3819*TasaUSD,C3819/TasaUSD)))</f>
        <v/>
      </c>
      <c r="V3819" s="20">
        <f>IF(I3819="","",IF(IFERROR(INDEX(ctaLiq,MATCH(E3819,ctaNom,0))="Sí",FALSE),IF(OR(I3819="Gasto",I3819="Transferencia",I3819="Pago tarjeta"),-1,1)*O3819,0)+IF(AND(U3819&lt;&gt;"",IFERROR(INDEX(ctaLiq,MATCH(G3819,ctaNom,0))="Sí",FALSE)),O3819,0))</f>
        <v/>
      </c>
      <c r="W3819" s="19">
        <f>IF(OR(F3819="",I3819=""),"",IF(COUNTIFS(F$6:F3819,F3819,I$6:I3819,"?*")=1,MAX(W$5:W3818)+1,""))</f>
        <v/>
      </c>
    </row>
    <row r="3820">
      <c r="B3820" s="15" t="n"/>
      <c r="C3820" s="16" t="n"/>
      <c r="D3820" s="17" t="n"/>
      <c r="E3820" s="17" t="n"/>
      <c r="F3820" s="17" t="n"/>
      <c r="G3820" s="17" t="n"/>
      <c r="H3820" s="18">
        <f>IF(AND(B3820="",C3820="",D3820="",E3820=""),"",IF(B3820="","⚠ Falta fecha",IF(C3820="","⚠ Falta monto",IF(D3820="","⚠ Falta categoría",IF(ISNA(MATCH(D3820,catNom,0)),"⚠ Categoría no existe",IF(E3820="","⚠ Falta cuenta",IF(ISNA(MATCH(E3820,ctaNom,0)),"⚠ Cuenta no existe",IF(AND(OR(I3820="Transferencia",I3820="Pago tarjeta"),G3820=""),"⚠ Indica la cuenta «Hacia»",IF(AND(G3820&lt;&gt;"",G3820=E3820),"⚠ «Hacia» igual a la cuenta",IF(AND(G3820&lt;&gt;"",ISNA(MATCH(G3820,ctaNom,0))),"⚠ «Hacia» no existe",IF(AND(I3820="Pago tarjeta",IFERROR(INDEX(ctaTipo,MATCH(G3820,ctaNom,0)),"")&lt;&gt;"Tarjeta de crédito"),"⚠ «Hacia» debe ser la tarjeta",IF(AND(I3820="Trading",IFERROR(INDEX(ctaTipo,MATCH(E3820,ctaNom,0)),"")&lt;&gt;"Cuenta de trading"),"⚠ Usa la cuenta de trading","✓"))))))))))))</f>
        <v/>
      </c>
      <c r="I3820" s="19">
        <f>IF(OR(B3820="",C3820="",D3820=""),"",IFERROR(INDEX(catTipo,MATCH(D3820,catNom,0))&amp;"",""))</f>
        <v/>
      </c>
      <c r="J3820" s="19">
        <f>IF(I3820="","",IFERROR(INDEX(catGrupo,MATCH(D3820,catNom,0))&amp;"",""))</f>
        <v/>
      </c>
      <c r="K3820" s="19">
        <f>IF(I3820="Gasto",IF(IFERROR(INDEX(catClas,MATCH(D3820,catNom,0))&amp;"","")="","Variable",IFERROR(INDEX(catClas,MATCH(D3820,catNom,0))&amp;"","")),"")</f>
        <v/>
      </c>
      <c r="L3820" s="19">
        <f>IF(I3820="","",IFERROR(INDEX(catAlim,MATCH(D3820,catNom,0))&amp;"",""))</f>
        <v/>
      </c>
      <c r="M3820" s="19">
        <f>IF(I3820="","",IFERROR(INDEX(catComida,MATCH(D3820,catNom,0))&amp;"",""))</f>
        <v/>
      </c>
      <c r="N3820" s="19">
        <f>IF(I3820="","",IFERROR(INDEX(ctaMon,MATCH(E3820,ctaNom,0))&amp;"","DOP"))</f>
        <v/>
      </c>
      <c r="O3820" s="20">
        <f>IF(I3820="","",C3820*IF(N3820="USD",TasaUSD,1))</f>
        <v/>
      </c>
      <c r="P3820" s="20">
        <f>IF(I3820="","",IF(I3820="Gasto",O3820,0))</f>
        <v/>
      </c>
      <c r="Q3820" s="20">
        <f>IF(I3820="","",IF(I3820="Ingreso",O3820,0))</f>
        <v/>
      </c>
      <c r="R3820" s="20">
        <f>IF(I3820="","",IF(I3820="Trading",O3820,0))</f>
        <v/>
      </c>
      <c r="S3820" s="19">
        <f>IF(I3820="","",IF(AND(I3820="Gasto",K3820="Variable",J3820&lt;&gt;"Trading",O3820&gt;0,O3820&lt;=Umbral),1,0))</f>
        <v/>
      </c>
      <c r="T3820" s="20">
        <f>IF(OR(I3820="",E3820=""),"",IF(OR(I3820="Gasto",I3820="Transferencia",I3820="Pago tarjeta"),-1,1)*C3820)</f>
        <v/>
      </c>
      <c r="U3820" s="20">
        <f>IF(OR(G3820="",AND(I3820&lt;&gt;"Transferencia",I3820&lt;&gt;"Pago tarjeta")),"",IF(IFERROR(INDEX(ctaMon,MATCH(G3820,ctaNom,0))&amp;"","DOP")=N3820,C3820,IF(N3820="USD",C3820*TasaUSD,C3820/TasaUSD)))</f>
        <v/>
      </c>
      <c r="V3820" s="20">
        <f>IF(I3820="","",IF(IFERROR(INDEX(ctaLiq,MATCH(E3820,ctaNom,0))="Sí",FALSE),IF(OR(I3820="Gasto",I3820="Transferencia",I3820="Pago tarjeta"),-1,1)*O3820,0)+IF(AND(U3820&lt;&gt;"",IFERROR(INDEX(ctaLiq,MATCH(G3820,ctaNom,0))="Sí",FALSE)),O3820,0))</f>
        <v/>
      </c>
      <c r="W3820" s="19">
        <f>IF(OR(F3820="",I3820=""),"",IF(COUNTIFS(F$6:F3820,F3820,I$6:I3820,"?*")=1,MAX(W$5:W3819)+1,""))</f>
        <v/>
      </c>
    </row>
    <row r="3821">
      <c r="B3821" s="15" t="n"/>
      <c r="C3821" s="16" t="n"/>
      <c r="D3821" s="17" t="n"/>
      <c r="E3821" s="17" t="n"/>
      <c r="F3821" s="17" t="n"/>
      <c r="G3821" s="17" t="n"/>
      <c r="H3821" s="18">
        <f>IF(AND(B3821="",C3821="",D3821="",E3821=""),"",IF(B3821="","⚠ Falta fecha",IF(C3821="","⚠ Falta monto",IF(D3821="","⚠ Falta categoría",IF(ISNA(MATCH(D3821,catNom,0)),"⚠ Categoría no existe",IF(E3821="","⚠ Falta cuenta",IF(ISNA(MATCH(E3821,ctaNom,0)),"⚠ Cuenta no existe",IF(AND(OR(I3821="Transferencia",I3821="Pago tarjeta"),G3821=""),"⚠ Indica la cuenta «Hacia»",IF(AND(G3821&lt;&gt;"",G3821=E3821),"⚠ «Hacia» igual a la cuenta",IF(AND(G3821&lt;&gt;"",ISNA(MATCH(G3821,ctaNom,0))),"⚠ «Hacia» no existe",IF(AND(I3821="Pago tarjeta",IFERROR(INDEX(ctaTipo,MATCH(G3821,ctaNom,0)),"")&lt;&gt;"Tarjeta de crédito"),"⚠ «Hacia» debe ser la tarjeta",IF(AND(I3821="Trading",IFERROR(INDEX(ctaTipo,MATCH(E3821,ctaNom,0)),"")&lt;&gt;"Cuenta de trading"),"⚠ Usa la cuenta de trading","✓"))))))))))))</f>
        <v/>
      </c>
      <c r="I3821" s="19">
        <f>IF(OR(B3821="",C3821="",D3821=""),"",IFERROR(INDEX(catTipo,MATCH(D3821,catNom,0))&amp;"",""))</f>
        <v/>
      </c>
      <c r="J3821" s="19">
        <f>IF(I3821="","",IFERROR(INDEX(catGrupo,MATCH(D3821,catNom,0))&amp;"",""))</f>
        <v/>
      </c>
      <c r="K3821" s="19">
        <f>IF(I3821="Gasto",IF(IFERROR(INDEX(catClas,MATCH(D3821,catNom,0))&amp;"","")="","Variable",IFERROR(INDEX(catClas,MATCH(D3821,catNom,0))&amp;"","")),"")</f>
        <v/>
      </c>
      <c r="L3821" s="19">
        <f>IF(I3821="","",IFERROR(INDEX(catAlim,MATCH(D3821,catNom,0))&amp;"",""))</f>
        <v/>
      </c>
      <c r="M3821" s="19">
        <f>IF(I3821="","",IFERROR(INDEX(catComida,MATCH(D3821,catNom,0))&amp;"",""))</f>
        <v/>
      </c>
      <c r="N3821" s="19">
        <f>IF(I3821="","",IFERROR(INDEX(ctaMon,MATCH(E3821,ctaNom,0))&amp;"","DOP"))</f>
        <v/>
      </c>
      <c r="O3821" s="20">
        <f>IF(I3821="","",C3821*IF(N3821="USD",TasaUSD,1))</f>
        <v/>
      </c>
      <c r="P3821" s="20">
        <f>IF(I3821="","",IF(I3821="Gasto",O3821,0))</f>
        <v/>
      </c>
      <c r="Q3821" s="20">
        <f>IF(I3821="","",IF(I3821="Ingreso",O3821,0))</f>
        <v/>
      </c>
      <c r="R3821" s="20">
        <f>IF(I3821="","",IF(I3821="Trading",O3821,0))</f>
        <v/>
      </c>
      <c r="S3821" s="19">
        <f>IF(I3821="","",IF(AND(I3821="Gasto",K3821="Variable",J3821&lt;&gt;"Trading",O3821&gt;0,O3821&lt;=Umbral),1,0))</f>
        <v/>
      </c>
      <c r="T3821" s="20">
        <f>IF(OR(I3821="",E3821=""),"",IF(OR(I3821="Gasto",I3821="Transferencia",I3821="Pago tarjeta"),-1,1)*C3821)</f>
        <v/>
      </c>
      <c r="U3821" s="20">
        <f>IF(OR(G3821="",AND(I3821&lt;&gt;"Transferencia",I3821&lt;&gt;"Pago tarjeta")),"",IF(IFERROR(INDEX(ctaMon,MATCH(G3821,ctaNom,0))&amp;"","DOP")=N3821,C3821,IF(N3821="USD",C3821*TasaUSD,C3821/TasaUSD)))</f>
        <v/>
      </c>
      <c r="V3821" s="20">
        <f>IF(I3821="","",IF(IFERROR(INDEX(ctaLiq,MATCH(E3821,ctaNom,0))="Sí",FALSE),IF(OR(I3821="Gasto",I3821="Transferencia",I3821="Pago tarjeta"),-1,1)*O3821,0)+IF(AND(U3821&lt;&gt;"",IFERROR(INDEX(ctaLiq,MATCH(G3821,ctaNom,0))="Sí",FALSE)),O3821,0))</f>
        <v/>
      </c>
      <c r="W3821" s="19">
        <f>IF(OR(F3821="",I3821=""),"",IF(COUNTIFS(F$6:F3821,F3821,I$6:I3821,"?*")=1,MAX(W$5:W3820)+1,""))</f>
        <v/>
      </c>
    </row>
    <row r="3822">
      <c r="B3822" s="15" t="n"/>
      <c r="C3822" s="16" t="n"/>
      <c r="D3822" s="17" t="n"/>
      <c r="E3822" s="17" t="n"/>
      <c r="F3822" s="17" t="n"/>
      <c r="G3822" s="17" t="n"/>
      <c r="H3822" s="18">
        <f>IF(AND(B3822="",C3822="",D3822="",E3822=""),"",IF(B3822="","⚠ Falta fecha",IF(C3822="","⚠ Falta monto",IF(D3822="","⚠ Falta categoría",IF(ISNA(MATCH(D3822,catNom,0)),"⚠ Categoría no existe",IF(E3822="","⚠ Falta cuenta",IF(ISNA(MATCH(E3822,ctaNom,0)),"⚠ Cuenta no existe",IF(AND(OR(I3822="Transferencia",I3822="Pago tarjeta"),G3822=""),"⚠ Indica la cuenta «Hacia»",IF(AND(G3822&lt;&gt;"",G3822=E3822),"⚠ «Hacia» igual a la cuenta",IF(AND(G3822&lt;&gt;"",ISNA(MATCH(G3822,ctaNom,0))),"⚠ «Hacia» no existe",IF(AND(I3822="Pago tarjeta",IFERROR(INDEX(ctaTipo,MATCH(G3822,ctaNom,0)),"")&lt;&gt;"Tarjeta de crédito"),"⚠ «Hacia» debe ser la tarjeta",IF(AND(I3822="Trading",IFERROR(INDEX(ctaTipo,MATCH(E3822,ctaNom,0)),"")&lt;&gt;"Cuenta de trading"),"⚠ Usa la cuenta de trading","✓"))))))))))))</f>
        <v/>
      </c>
      <c r="I3822" s="19">
        <f>IF(OR(B3822="",C3822="",D3822=""),"",IFERROR(INDEX(catTipo,MATCH(D3822,catNom,0))&amp;"",""))</f>
        <v/>
      </c>
      <c r="J3822" s="19">
        <f>IF(I3822="","",IFERROR(INDEX(catGrupo,MATCH(D3822,catNom,0))&amp;"",""))</f>
        <v/>
      </c>
      <c r="K3822" s="19">
        <f>IF(I3822="Gasto",IF(IFERROR(INDEX(catClas,MATCH(D3822,catNom,0))&amp;"","")="","Variable",IFERROR(INDEX(catClas,MATCH(D3822,catNom,0))&amp;"","")),"")</f>
        <v/>
      </c>
      <c r="L3822" s="19">
        <f>IF(I3822="","",IFERROR(INDEX(catAlim,MATCH(D3822,catNom,0))&amp;"",""))</f>
        <v/>
      </c>
      <c r="M3822" s="19">
        <f>IF(I3822="","",IFERROR(INDEX(catComida,MATCH(D3822,catNom,0))&amp;"",""))</f>
        <v/>
      </c>
      <c r="N3822" s="19">
        <f>IF(I3822="","",IFERROR(INDEX(ctaMon,MATCH(E3822,ctaNom,0))&amp;"","DOP"))</f>
        <v/>
      </c>
      <c r="O3822" s="20">
        <f>IF(I3822="","",C3822*IF(N3822="USD",TasaUSD,1))</f>
        <v/>
      </c>
      <c r="P3822" s="20">
        <f>IF(I3822="","",IF(I3822="Gasto",O3822,0))</f>
        <v/>
      </c>
      <c r="Q3822" s="20">
        <f>IF(I3822="","",IF(I3822="Ingreso",O3822,0))</f>
        <v/>
      </c>
      <c r="R3822" s="20">
        <f>IF(I3822="","",IF(I3822="Trading",O3822,0))</f>
        <v/>
      </c>
      <c r="S3822" s="19">
        <f>IF(I3822="","",IF(AND(I3822="Gasto",K3822="Variable",J3822&lt;&gt;"Trading",O3822&gt;0,O3822&lt;=Umbral),1,0))</f>
        <v/>
      </c>
      <c r="T3822" s="20">
        <f>IF(OR(I3822="",E3822=""),"",IF(OR(I3822="Gasto",I3822="Transferencia",I3822="Pago tarjeta"),-1,1)*C3822)</f>
        <v/>
      </c>
      <c r="U3822" s="20">
        <f>IF(OR(G3822="",AND(I3822&lt;&gt;"Transferencia",I3822&lt;&gt;"Pago tarjeta")),"",IF(IFERROR(INDEX(ctaMon,MATCH(G3822,ctaNom,0))&amp;"","DOP")=N3822,C3822,IF(N3822="USD",C3822*TasaUSD,C3822/TasaUSD)))</f>
        <v/>
      </c>
      <c r="V3822" s="20">
        <f>IF(I3822="","",IF(IFERROR(INDEX(ctaLiq,MATCH(E3822,ctaNom,0))="Sí",FALSE),IF(OR(I3822="Gasto",I3822="Transferencia",I3822="Pago tarjeta"),-1,1)*O3822,0)+IF(AND(U3822&lt;&gt;"",IFERROR(INDEX(ctaLiq,MATCH(G3822,ctaNom,0))="Sí",FALSE)),O3822,0))</f>
        <v/>
      </c>
      <c r="W3822" s="19">
        <f>IF(OR(F3822="",I3822=""),"",IF(COUNTIFS(F$6:F3822,F3822,I$6:I3822,"?*")=1,MAX(W$5:W3821)+1,""))</f>
        <v/>
      </c>
    </row>
    <row r="3823">
      <c r="B3823" s="15" t="n"/>
      <c r="C3823" s="16" t="n"/>
      <c r="D3823" s="17" t="n"/>
      <c r="E3823" s="17" t="n"/>
      <c r="F3823" s="17" t="n"/>
      <c r="G3823" s="17" t="n"/>
      <c r="H3823" s="18">
        <f>IF(AND(B3823="",C3823="",D3823="",E3823=""),"",IF(B3823="","⚠ Falta fecha",IF(C3823="","⚠ Falta monto",IF(D3823="","⚠ Falta categoría",IF(ISNA(MATCH(D3823,catNom,0)),"⚠ Categoría no existe",IF(E3823="","⚠ Falta cuenta",IF(ISNA(MATCH(E3823,ctaNom,0)),"⚠ Cuenta no existe",IF(AND(OR(I3823="Transferencia",I3823="Pago tarjeta"),G3823=""),"⚠ Indica la cuenta «Hacia»",IF(AND(G3823&lt;&gt;"",G3823=E3823),"⚠ «Hacia» igual a la cuenta",IF(AND(G3823&lt;&gt;"",ISNA(MATCH(G3823,ctaNom,0))),"⚠ «Hacia» no existe",IF(AND(I3823="Pago tarjeta",IFERROR(INDEX(ctaTipo,MATCH(G3823,ctaNom,0)),"")&lt;&gt;"Tarjeta de crédito"),"⚠ «Hacia» debe ser la tarjeta",IF(AND(I3823="Trading",IFERROR(INDEX(ctaTipo,MATCH(E3823,ctaNom,0)),"")&lt;&gt;"Cuenta de trading"),"⚠ Usa la cuenta de trading","✓"))))))))))))</f>
        <v/>
      </c>
      <c r="I3823" s="19">
        <f>IF(OR(B3823="",C3823="",D3823=""),"",IFERROR(INDEX(catTipo,MATCH(D3823,catNom,0))&amp;"",""))</f>
        <v/>
      </c>
      <c r="J3823" s="19">
        <f>IF(I3823="","",IFERROR(INDEX(catGrupo,MATCH(D3823,catNom,0))&amp;"",""))</f>
        <v/>
      </c>
      <c r="K3823" s="19">
        <f>IF(I3823="Gasto",IF(IFERROR(INDEX(catClas,MATCH(D3823,catNom,0))&amp;"","")="","Variable",IFERROR(INDEX(catClas,MATCH(D3823,catNom,0))&amp;"","")),"")</f>
        <v/>
      </c>
      <c r="L3823" s="19">
        <f>IF(I3823="","",IFERROR(INDEX(catAlim,MATCH(D3823,catNom,0))&amp;"",""))</f>
        <v/>
      </c>
      <c r="M3823" s="19">
        <f>IF(I3823="","",IFERROR(INDEX(catComida,MATCH(D3823,catNom,0))&amp;"",""))</f>
        <v/>
      </c>
      <c r="N3823" s="19">
        <f>IF(I3823="","",IFERROR(INDEX(ctaMon,MATCH(E3823,ctaNom,0))&amp;"","DOP"))</f>
        <v/>
      </c>
      <c r="O3823" s="20">
        <f>IF(I3823="","",C3823*IF(N3823="USD",TasaUSD,1))</f>
        <v/>
      </c>
      <c r="P3823" s="20">
        <f>IF(I3823="","",IF(I3823="Gasto",O3823,0))</f>
        <v/>
      </c>
      <c r="Q3823" s="20">
        <f>IF(I3823="","",IF(I3823="Ingreso",O3823,0))</f>
        <v/>
      </c>
      <c r="R3823" s="20">
        <f>IF(I3823="","",IF(I3823="Trading",O3823,0))</f>
        <v/>
      </c>
      <c r="S3823" s="19">
        <f>IF(I3823="","",IF(AND(I3823="Gasto",K3823="Variable",J3823&lt;&gt;"Trading",O3823&gt;0,O3823&lt;=Umbral),1,0))</f>
        <v/>
      </c>
      <c r="T3823" s="20">
        <f>IF(OR(I3823="",E3823=""),"",IF(OR(I3823="Gasto",I3823="Transferencia",I3823="Pago tarjeta"),-1,1)*C3823)</f>
        <v/>
      </c>
      <c r="U3823" s="20">
        <f>IF(OR(G3823="",AND(I3823&lt;&gt;"Transferencia",I3823&lt;&gt;"Pago tarjeta")),"",IF(IFERROR(INDEX(ctaMon,MATCH(G3823,ctaNom,0))&amp;"","DOP")=N3823,C3823,IF(N3823="USD",C3823*TasaUSD,C3823/TasaUSD)))</f>
        <v/>
      </c>
      <c r="V3823" s="20">
        <f>IF(I3823="","",IF(IFERROR(INDEX(ctaLiq,MATCH(E3823,ctaNom,0))="Sí",FALSE),IF(OR(I3823="Gasto",I3823="Transferencia",I3823="Pago tarjeta"),-1,1)*O3823,0)+IF(AND(U3823&lt;&gt;"",IFERROR(INDEX(ctaLiq,MATCH(G3823,ctaNom,0))="Sí",FALSE)),O3823,0))</f>
        <v/>
      </c>
      <c r="W3823" s="19">
        <f>IF(OR(F3823="",I3823=""),"",IF(COUNTIFS(F$6:F3823,F3823,I$6:I3823,"?*")=1,MAX(W$5:W3822)+1,""))</f>
        <v/>
      </c>
    </row>
    <row r="3824">
      <c r="B3824" s="15" t="n"/>
      <c r="C3824" s="16" t="n"/>
      <c r="D3824" s="17" t="n"/>
      <c r="E3824" s="17" t="n"/>
      <c r="F3824" s="17" t="n"/>
      <c r="G3824" s="17" t="n"/>
      <c r="H3824" s="18">
        <f>IF(AND(B3824="",C3824="",D3824="",E3824=""),"",IF(B3824="","⚠ Falta fecha",IF(C3824="","⚠ Falta monto",IF(D3824="","⚠ Falta categoría",IF(ISNA(MATCH(D3824,catNom,0)),"⚠ Categoría no existe",IF(E3824="","⚠ Falta cuenta",IF(ISNA(MATCH(E3824,ctaNom,0)),"⚠ Cuenta no existe",IF(AND(OR(I3824="Transferencia",I3824="Pago tarjeta"),G3824=""),"⚠ Indica la cuenta «Hacia»",IF(AND(G3824&lt;&gt;"",G3824=E3824),"⚠ «Hacia» igual a la cuenta",IF(AND(G3824&lt;&gt;"",ISNA(MATCH(G3824,ctaNom,0))),"⚠ «Hacia» no existe",IF(AND(I3824="Pago tarjeta",IFERROR(INDEX(ctaTipo,MATCH(G3824,ctaNom,0)),"")&lt;&gt;"Tarjeta de crédito"),"⚠ «Hacia» debe ser la tarjeta",IF(AND(I3824="Trading",IFERROR(INDEX(ctaTipo,MATCH(E3824,ctaNom,0)),"")&lt;&gt;"Cuenta de trading"),"⚠ Usa la cuenta de trading","✓"))))))))))))</f>
        <v/>
      </c>
      <c r="I3824" s="19">
        <f>IF(OR(B3824="",C3824="",D3824=""),"",IFERROR(INDEX(catTipo,MATCH(D3824,catNom,0))&amp;"",""))</f>
        <v/>
      </c>
      <c r="J3824" s="19">
        <f>IF(I3824="","",IFERROR(INDEX(catGrupo,MATCH(D3824,catNom,0))&amp;"",""))</f>
        <v/>
      </c>
      <c r="K3824" s="19">
        <f>IF(I3824="Gasto",IF(IFERROR(INDEX(catClas,MATCH(D3824,catNom,0))&amp;"","")="","Variable",IFERROR(INDEX(catClas,MATCH(D3824,catNom,0))&amp;"","")),"")</f>
        <v/>
      </c>
      <c r="L3824" s="19">
        <f>IF(I3824="","",IFERROR(INDEX(catAlim,MATCH(D3824,catNom,0))&amp;"",""))</f>
        <v/>
      </c>
      <c r="M3824" s="19">
        <f>IF(I3824="","",IFERROR(INDEX(catComida,MATCH(D3824,catNom,0))&amp;"",""))</f>
        <v/>
      </c>
      <c r="N3824" s="19">
        <f>IF(I3824="","",IFERROR(INDEX(ctaMon,MATCH(E3824,ctaNom,0))&amp;"","DOP"))</f>
        <v/>
      </c>
      <c r="O3824" s="20">
        <f>IF(I3824="","",C3824*IF(N3824="USD",TasaUSD,1))</f>
        <v/>
      </c>
      <c r="P3824" s="20">
        <f>IF(I3824="","",IF(I3824="Gasto",O3824,0))</f>
        <v/>
      </c>
      <c r="Q3824" s="20">
        <f>IF(I3824="","",IF(I3824="Ingreso",O3824,0))</f>
        <v/>
      </c>
      <c r="R3824" s="20">
        <f>IF(I3824="","",IF(I3824="Trading",O3824,0))</f>
        <v/>
      </c>
      <c r="S3824" s="19">
        <f>IF(I3824="","",IF(AND(I3824="Gasto",K3824="Variable",J3824&lt;&gt;"Trading",O3824&gt;0,O3824&lt;=Umbral),1,0))</f>
        <v/>
      </c>
      <c r="T3824" s="20">
        <f>IF(OR(I3824="",E3824=""),"",IF(OR(I3824="Gasto",I3824="Transferencia",I3824="Pago tarjeta"),-1,1)*C3824)</f>
        <v/>
      </c>
      <c r="U3824" s="20">
        <f>IF(OR(G3824="",AND(I3824&lt;&gt;"Transferencia",I3824&lt;&gt;"Pago tarjeta")),"",IF(IFERROR(INDEX(ctaMon,MATCH(G3824,ctaNom,0))&amp;"","DOP")=N3824,C3824,IF(N3824="USD",C3824*TasaUSD,C3824/TasaUSD)))</f>
        <v/>
      </c>
      <c r="V3824" s="20">
        <f>IF(I3824="","",IF(IFERROR(INDEX(ctaLiq,MATCH(E3824,ctaNom,0))="Sí",FALSE),IF(OR(I3824="Gasto",I3824="Transferencia",I3824="Pago tarjeta"),-1,1)*O3824,0)+IF(AND(U3824&lt;&gt;"",IFERROR(INDEX(ctaLiq,MATCH(G3824,ctaNom,0))="Sí",FALSE)),O3824,0))</f>
        <v/>
      </c>
      <c r="W3824" s="19">
        <f>IF(OR(F3824="",I3824=""),"",IF(COUNTIFS(F$6:F3824,F3824,I$6:I3824,"?*")=1,MAX(W$5:W3823)+1,""))</f>
        <v/>
      </c>
    </row>
    <row r="3825">
      <c r="B3825" s="15" t="n"/>
      <c r="C3825" s="16" t="n"/>
      <c r="D3825" s="17" t="n"/>
      <c r="E3825" s="17" t="n"/>
      <c r="F3825" s="17" t="n"/>
      <c r="G3825" s="17" t="n"/>
      <c r="H3825" s="18">
        <f>IF(AND(B3825="",C3825="",D3825="",E3825=""),"",IF(B3825="","⚠ Falta fecha",IF(C3825="","⚠ Falta monto",IF(D3825="","⚠ Falta categoría",IF(ISNA(MATCH(D3825,catNom,0)),"⚠ Categoría no existe",IF(E3825="","⚠ Falta cuenta",IF(ISNA(MATCH(E3825,ctaNom,0)),"⚠ Cuenta no existe",IF(AND(OR(I3825="Transferencia",I3825="Pago tarjeta"),G3825=""),"⚠ Indica la cuenta «Hacia»",IF(AND(G3825&lt;&gt;"",G3825=E3825),"⚠ «Hacia» igual a la cuenta",IF(AND(G3825&lt;&gt;"",ISNA(MATCH(G3825,ctaNom,0))),"⚠ «Hacia» no existe",IF(AND(I3825="Pago tarjeta",IFERROR(INDEX(ctaTipo,MATCH(G3825,ctaNom,0)),"")&lt;&gt;"Tarjeta de crédito"),"⚠ «Hacia» debe ser la tarjeta",IF(AND(I3825="Trading",IFERROR(INDEX(ctaTipo,MATCH(E3825,ctaNom,0)),"")&lt;&gt;"Cuenta de trading"),"⚠ Usa la cuenta de trading","✓"))))))))))))</f>
        <v/>
      </c>
      <c r="I3825" s="19">
        <f>IF(OR(B3825="",C3825="",D3825=""),"",IFERROR(INDEX(catTipo,MATCH(D3825,catNom,0))&amp;"",""))</f>
        <v/>
      </c>
      <c r="J3825" s="19">
        <f>IF(I3825="","",IFERROR(INDEX(catGrupo,MATCH(D3825,catNom,0))&amp;"",""))</f>
        <v/>
      </c>
      <c r="K3825" s="19">
        <f>IF(I3825="Gasto",IF(IFERROR(INDEX(catClas,MATCH(D3825,catNom,0))&amp;"","")="","Variable",IFERROR(INDEX(catClas,MATCH(D3825,catNom,0))&amp;"","")),"")</f>
        <v/>
      </c>
      <c r="L3825" s="19">
        <f>IF(I3825="","",IFERROR(INDEX(catAlim,MATCH(D3825,catNom,0))&amp;"",""))</f>
        <v/>
      </c>
      <c r="M3825" s="19">
        <f>IF(I3825="","",IFERROR(INDEX(catComida,MATCH(D3825,catNom,0))&amp;"",""))</f>
        <v/>
      </c>
      <c r="N3825" s="19">
        <f>IF(I3825="","",IFERROR(INDEX(ctaMon,MATCH(E3825,ctaNom,0))&amp;"","DOP"))</f>
        <v/>
      </c>
      <c r="O3825" s="20">
        <f>IF(I3825="","",C3825*IF(N3825="USD",TasaUSD,1))</f>
        <v/>
      </c>
      <c r="P3825" s="20">
        <f>IF(I3825="","",IF(I3825="Gasto",O3825,0))</f>
        <v/>
      </c>
      <c r="Q3825" s="20">
        <f>IF(I3825="","",IF(I3825="Ingreso",O3825,0))</f>
        <v/>
      </c>
      <c r="R3825" s="20">
        <f>IF(I3825="","",IF(I3825="Trading",O3825,0))</f>
        <v/>
      </c>
      <c r="S3825" s="19">
        <f>IF(I3825="","",IF(AND(I3825="Gasto",K3825="Variable",J3825&lt;&gt;"Trading",O3825&gt;0,O3825&lt;=Umbral),1,0))</f>
        <v/>
      </c>
      <c r="T3825" s="20">
        <f>IF(OR(I3825="",E3825=""),"",IF(OR(I3825="Gasto",I3825="Transferencia",I3825="Pago tarjeta"),-1,1)*C3825)</f>
        <v/>
      </c>
      <c r="U3825" s="20">
        <f>IF(OR(G3825="",AND(I3825&lt;&gt;"Transferencia",I3825&lt;&gt;"Pago tarjeta")),"",IF(IFERROR(INDEX(ctaMon,MATCH(G3825,ctaNom,0))&amp;"","DOP")=N3825,C3825,IF(N3825="USD",C3825*TasaUSD,C3825/TasaUSD)))</f>
        <v/>
      </c>
      <c r="V3825" s="20">
        <f>IF(I3825="","",IF(IFERROR(INDEX(ctaLiq,MATCH(E3825,ctaNom,0))="Sí",FALSE),IF(OR(I3825="Gasto",I3825="Transferencia",I3825="Pago tarjeta"),-1,1)*O3825,0)+IF(AND(U3825&lt;&gt;"",IFERROR(INDEX(ctaLiq,MATCH(G3825,ctaNom,0))="Sí",FALSE)),O3825,0))</f>
        <v/>
      </c>
      <c r="W3825" s="19">
        <f>IF(OR(F3825="",I3825=""),"",IF(COUNTIFS(F$6:F3825,F3825,I$6:I3825,"?*")=1,MAX(W$5:W3824)+1,""))</f>
        <v/>
      </c>
    </row>
    <row r="3826">
      <c r="B3826" s="15" t="n"/>
      <c r="C3826" s="16" t="n"/>
      <c r="D3826" s="17" t="n"/>
      <c r="E3826" s="17" t="n"/>
      <c r="F3826" s="17" t="n"/>
      <c r="G3826" s="17" t="n"/>
      <c r="H3826" s="18">
        <f>IF(AND(B3826="",C3826="",D3826="",E3826=""),"",IF(B3826="","⚠ Falta fecha",IF(C3826="","⚠ Falta monto",IF(D3826="","⚠ Falta categoría",IF(ISNA(MATCH(D3826,catNom,0)),"⚠ Categoría no existe",IF(E3826="","⚠ Falta cuenta",IF(ISNA(MATCH(E3826,ctaNom,0)),"⚠ Cuenta no existe",IF(AND(OR(I3826="Transferencia",I3826="Pago tarjeta"),G3826=""),"⚠ Indica la cuenta «Hacia»",IF(AND(G3826&lt;&gt;"",G3826=E3826),"⚠ «Hacia» igual a la cuenta",IF(AND(G3826&lt;&gt;"",ISNA(MATCH(G3826,ctaNom,0))),"⚠ «Hacia» no existe",IF(AND(I3826="Pago tarjeta",IFERROR(INDEX(ctaTipo,MATCH(G3826,ctaNom,0)),"")&lt;&gt;"Tarjeta de crédito"),"⚠ «Hacia» debe ser la tarjeta",IF(AND(I3826="Trading",IFERROR(INDEX(ctaTipo,MATCH(E3826,ctaNom,0)),"")&lt;&gt;"Cuenta de trading"),"⚠ Usa la cuenta de trading","✓"))))))))))))</f>
        <v/>
      </c>
      <c r="I3826" s="19">
        <f>IF(OR(B3826="",C3826="",D3826=""),"",IFERROR(INDEX(catTipo,MATCH(D3826,catNom,0))&amp;"",""))</f>
        <v/>
      </c>
      <c r="J3826" s="19">
        <f>IF(I3826="","",IFERROR(INDEX(catGrupo,MATCH(D3826,catNom,0))&amp;"",""))</f>
        <v/>
      </c>
      <c r="K3826" s="19">
        <f>IF(I3826="Gasto",IF(IFERROR(INDEX(catClas,MATCH(D3826,catNom,0))&amp;"","")="","Variable",IFERROR(INDEX(catClas,MATCH(D3826,catNom,0))&amp;"","")),"")</f>
        <v/>
      </c>
      <c r="L3826" s="19">
        <f>IF(I3826="","",IFERROR(INDEX(catAlim,MATCH(D3826,catNom,0))&amp;"",""))</f>
        <v/>
      </c>
      <c r="M3826" s="19">
        <f>IF(I3826="","",IFERROR(INDEX(catComida,MATCH(D3826,catNom,0))&amp;"",""))</f>
        <v/>
      </c>
      <c r="N3826" s="19">
        <f>IF(I3826="","",IFERROR(INDEX(ctaMon,MATCH(E3826,ctaNom,0))&amp;"","DOP"))</f>
        <v/>
      </c>
      <c r="O3826" s="20">
        <f>IF(I3826="","",C3826*IF(N3826="USD",TasaUSD,1))</f>
        <v/>
      </c>
      <c r="P3826" s="20">
        <f>IF(I3826="","",IF(I3826="Gasto",O3826,0))</f>
        <v/>
      </c>
      <c r="Q3826" s="20">
        <f>IF(I3826="","",IF(I3826="Ingreso",O3826,0))</f>
        <v/>
      </c>
      <c r="R3826" s="20">
        <f>IF(I3826="","",IF(I3826="Trading",O3826,0))</f>
        <v/>
      </c>
      <c r="S3826" s="19">
        <f>IF(I3826="","",IF(AND(I3826="Gasto",K3826="Variable",J3826&lt;&gt;"Trading",O3826&gt;0,O3826&lt;=Umbral),1,0))</f>
        <v/>
      </c>
      <c r="T3826" s="20">
        <f>IF(OR(I3826="",E3826=""),"",IF(OR(I3826="Gasto",I3826="Transferencia",I3826="Pago tarjeta"),-1,1)*C3826)</f>
        <v/>
      </c>
      <c r="U3826" s="20">
        <f>IF(OR(G3826="",AND(I3826&lt;&gt;"Transferencia",I3826&lt;&gt;"Pago tarjeta")),"",IF(IFERROR(INDEX(ctaMon,MATCH(G3826,ctaNom,0))&amp;"","DOP")=N3826,C3826,IF(N3826="USD",C3826*TasaUSD,C3826/TasaUSD)))</f>
        <v/>
      </c>
      <c r="V3826" s="20">
        <f>IF(I3826="","",IF(IFERROR(INDEX(ctaLiq,MATCH(E3826,ctaNom,0))="Sí",FALSE),IF(OR(I3826="Gasto",I3826="Transferencia",I3826="Pago tarjeta"),-1,1)*O3826,0)+IF(AND(U3826&lt;&gt;"",IFERROR(INDEX(ctaLiq,MATCH(G3826,ctaNom,0))="Sí",FALSE)),O3826,0))</f>
        <v/>
      </c>
      <c r="W3826" s="19">
        <f>IF(OR(F3826="",I3826=""),"",IF(COUNTIFS(F$6:F3826,F3826,I$6:I3826,"?*")=1,MAX(W$5:W3825)+1,""))</f>
        <v/>
      </c>
    </row>
    <row r="3827">
      <c r="B3827" s="15" t="n"/>
      <c r="C3827" s="16" t="n"/>
      <c r="D3827" s="17" t="n"/>
      <c r="E3827" s="17" t="n"/>
      <c r="F3827" s="17" t="n"/>
      <c r="G3827" s="17" t="n"/>
      <c r="H3827" s="18">
        <f>IF(AND(B3827="",C3827="",D3827="",E3827=""),"",IF(B3827="","⚠ Falta fecha",IF(C3827="","⚠ Falta monto",IF(D3827="","⚠ Falta categoría",IF(ISNA(MATCH(D3827,catNom,0)),"⚠ Categoría no existe",IF(E3827="","⚠ Falta cuenta",IF(ISNA(MATCH(E3827,ctaNom,0)),"⚠ Cuenta no existe",IF(AND(OR(I3827="Transferencia",I3827="Pago tarjeta"),G3827=""),"⚠ Indica la cuenta «Hacia»",IF(AND(G3827&lt;&gt;"",G3827=E3827),"⚠ «Hacia» igual a la cuenta",IF(AND(G3827&lt;&gt;"",ISNA(MATCH(G3827,ctaNom,0))),"⚠ «Hacia» no existe",IF(AND(I3827="Pago tarjeta",IFERROR(INDEX(ctaTipo,MATCH(G3827,ctaNom,0)),"")&lt;&gt;"Tarjeta de crédito"),"⚠ «Hacia» debe ser la tarjeta",IF(AND(I3827="Trading",IFERROR(INDEX(ctaTipo,MATCH(E3827,ctaNom,0)),"")&lt;&gt;"Cuenta de trading"),"⚠ Usa la cuenta de trading","✓"))))))))))))</f>
        <v/>
      </c>
      <c r="I3827" s="19">
        <f>IF(OR(B3827="",C3827="",D3827=""),"",IFERROR(INDEX(catTipo,MATCH(D3827,catNom,0))&amp;"",""))</f>
        <v/>
      </c>
      <c r="J3827" s="19">
        <f>IF(I3827="","",IFERROR(INDEX(catGrupo,MATCH(D3827,catNom,0))&amp;"",""))</f>
        <v/>
      </c>
      <c r="K3827" s="19">
        <f>IF(I3827="Gasto",IF(IFERROR(INDEX(catClas,MATCH(D3827,catNom,0))&amp;"","")="","Variable",IFERROR(INDEX(catClas,MATCH(D3827,catNom,0))&amp;"","")),"")</f>
        <v/>
      </c>
      <c r="L3827" s="19">
        <f>IF(I3827="","",IFERROR(INDEX(catAlim,MATCH(D3827,catNom,0))&amp;"",""))</f>
        <v/>
      </c>
      <c r="M3827" s="19">
        <f>IF(I3827="","",IFERROR(INDEX(catComida,MATCH(D3827,catNom,0))&amp;"",""))</f>
        <v/>
      </c>
      <c r="N3827" s="19">
        <f>IF(I3827="","",IFERROR(INDEX(ctaMon,MATCH(E3827,ctaNom,0))&amp;"","DOP"))</f>
        <v/>
      </c>
      <c r="O3827" s="20">
        <f>IF(I3827="","",C3827*IF(N3827="USD",TasaUSD,1))</f>
        <v/>
      </c>
      <c r="P3827" s="20">
        <f>IF(I3827="","",IF(I3827="Gasto",O3827,0))</f>
        <v/>
      </c>
      <c r="Q3827" s="20">
        <f>IF(I3827="","",IF(I3827="Ingreso",O3827,0))</f>
        <v/>
      </c>
      <c r="R3827" s="20">
        <f>IF(I3827="","",IF(I3827="Trading",O3827,0))</f>
        <v/>
      </c>
      <c r="S3827" s="19">
        <f>IF(I3827="","",IF(AND(I3827="Gasto",K3827="Variable",J3827&lt;&gt;"Trading",O3827&gt;0,O3827&lt;=Umbral),1,0))</f>
        <v/>
      </c>
      <c r="T3827" s="20">
        <f>IF(OR(I3827="",E3827=""),"",IF(OR(I3827="Gasto",I3827="Transferencia",I3827="Pago tarjeta"),-1,1)*C3827)</f>
        <v/>
      </c>
      <c r="U3827" s="20">
        <f>IF(OR(G3827="",AND(I3827&lt;&gt;"Transferencia",I3827&lt;&gt;"Pago tarjeta")),"",IF(IFERROR(INDEX(ctaMon,MATCH(G3827,ctaNom,0))&amp;"","DOP")=N3827,C3827,IF(N3827="USD",C3827*TasaUSD,C3827/TasaUSD)))</f>
        <v/>
      </c>
      <c r="V3827" s="20">
        <f>IF(I3827="","",IF(IFERROR(INDEX(ctaLiq,MATCH(E3827,ctaNom,0))="Sí",FALSE),IF(OR(I3827="Gasto",I3827="Transferencia",I3827="Pago tarjeta"),-1,1)*O3827,0)+IF(AND(U3827&lt;&gt;"",IFERROR(INDEX(ctaLiq,MATCH(G3827,ctaNom,0))="Sí",FALSE)),O3827,0))</f>
        <v/>
      </c>
      <c r="W3827" s="19">
        <f>IF(OR(F3827="",I3827=""),"",IF(COUNTIFS(F$6:F3827,F3827,I$6:I3827,"?*")=1,MAX(W$5:W3826)+1,""))</f>
        <v/>
      </c>
    </row>
    <row r="3828">
      <c r="B3828" s="15" t="n"/>
      <c r="C3828" s="16" t="n"/>
      <c r="D3828" s="17" t="n"/>
      <c r="E3828" s="17" t="n"/>
      <c r="F3828" s="17" t="n"/>
      <c r="G3828" s="17" t="n"/>
      <c r="H3828" s="18">
        <f>IF(AND(B3828="",C3828="",D3828="",E3828=""),"",IF(B3828="","⚠ Falta fecha",IF(C3828="","⚠ Falta monto",IF(D3828="","⚠ Falta categoría",IF(ISNA(MATCH(D3828,catNom,0)),"⚠ Categoría no existe",IF(E3828="","⚠ Falta cuenta",IF(ISNA(MATCH(E3828,ctaNom,0)),"⚠ Cuenta no existe",IF(AND(OR(I3828="Transferencia",I3828="Pago tarjeta"),G3828=""),"⚠ Indica la cuenta «Hacia»",IF(AND(G3828&lt;&gt;"",G3828=E3828),"⚠ «Hacia» igual a la cuenta",IF(AND(G3828&lt;&gt;"",ISNA(MATCH(G3828,ctaNom,0))),"⚠ «Hacia» no existe",IF(AND(I3828="Pago tarjeta",IFERROR(INDEX(ctaTipo,MATCH(G3828,ctaNom,0)),"")&lt;&gt;"Tarjeta de crédito"),"⚠ «Hacia» debe ser la tarjeta",IF(AND(I3828="Trading",IFERROR(INDEX(ctaTipo,MATCH(E3828,ctaNom,0)),"")&lt;&gt;"Cuenta de trading"),"⚠ Usa la cuenta de trading","✓"))))))))))))</f>
        <v/>
      </c>
      <c r="I3828" s="19">
        <f>IF(OR(B3828="",C3828="",D3828=""),"",IFERROR(INDEX(catTipo,MATCH(D3828,catNom,0))&amp;"",""))</f>
        <v/>
      </c>
      <c r="J3828" s="19">
        <f>IF(I3828="","",IFERROR(INDEX(catGrupo,MATCH(D3828,catNom,0))&amp;"",""))</f>
        <v/>
      </c>
      <c r="K3828" s="19">
        <f>IF(I3828="Gasto",IF(IFERROR(INDEX(catClas,MATCH(D3828,catNom,0))&amp;"","")="","Variable",IFERROR(INDEX(catClas,MATCH(D3828,catNom,0))&amp;"","")),"")</f>
        <v/>
      </c>
      <c r="L3828" s="19">
        <f>IF(I3828="","",IFERROR(INDEX(catAlim,MATCH(D3828,catNom,0))&amp;"",""))</f>
        <v/>
      </c>
      <c r="M3828" s="19">
        <f>IF(I3828="","",IFERROR(INDEX(catComida,MATCH(D3828,catNom,0))&amp;"",""))</f>
        <v/>
      </c>
      <c r="N3828" s="19">
        <f>IF(I3828="","",IFERROR(INDEX(ctaMon,MATCH(E3828,ctaNom,0))&amp;"","DOP"))</f>
        <v/>
      </c>
      <c r="O3828" s="20">
        <f>IF(I3828="","",C3828*IF(N3828="USD",TasaUSD,1))</f>
        <v/>
      </c>
      <c r="P3828" s="20">
        <f>IF(I3828="","",IF(I3828="Gasto",O3828,0))</f>
        <v/>
      </c>
      <c r="Q3828" s="20">
        <f>IF(I3828="","",IF(I3828="Ingreso",O3828,0))</f>
        <v/>
      </c>
      <c r="R3828" s="20">
        <f>IF(I3828="","",IF(I3828="Trading",O3828,0))</f>
        <v/>
      </c>
      <c r="S3828" s="19">
        <f>IF(I3828="","",IF(AND(I3828="Gasto",K3828="Variable",J3828&lt;&gt;"Trading",O3828&gt;0,O3828&lt;=Umbral),1,0))</f>
        <v/>
      </c>
      <c r="T3828" s="20">
        <f>IF(OR(I3828="",E3828=""),"",IF(OR(I3828="Gasto",I3828="Transferencia",I3828="Pago tarjeta"),-1,1)*C3828)</f>
        <v/>
      </c>
      <c r="U3828" s="20">
        <f>IF(OR(G3828="",AND(I3828&lt;&gt;"Transferencia",I3828&lt;&gt;"Pago tarjeta")),"",IF(IFERROR(INDEX(ctaMon,MATCH(G3828,ctaNom,0))&amp;"","DOP")=N3828,C3828,IF(N3828="USD",C3828*TasaUSD,C3828/TasaUSD)))</f>
        <v/>
      </c>
      <c r="V3828" s="20">
        <f>IF(I3828="","",IF(IFERROR(INDEX(ctaLiq,MATCH(E3828,ctaNom,0))="Sí",FALSE),IF(OR(I3828="Gasto",I3828="Transferencia",I3828="Pago tarjeta"),-1,1)*O3828,0)+IF(AND(U3828&lt;&gt;"",IFERROR(INDEX(ctaLiq,MATCH(G3828,ctaNom,0))="Sí",FALSE)),O3828,0))</f>
        <v/>
      </c>
      <c r="W3828" s="19">
        <f>IF(OR(F3828="",I3828=""),"",IF(COUNTIFS(F$6:F3828,F3828,I$6:I3828,"?*")=1,MAX(W$5:W3827)+1,""))</f>
        <v/>
      </c>
    </row>
    <row r="3829">
      <c r="B3829" s="15" t="n"/>
      <c r="C3829" s="16" t="n"/>
      <c r="D3829" s="17" t="n"/>
      <c r="E3829" s="17" t="n"/>
      <c r="F3829" s="17" t="n"/>
      <c r="G3829" s="17" t="n"/>
      <c r="H3829" s="18">
        <f>IF(AND(B3829="",C3829="",D3829="",E3829=""),"",IF(B3829="","⚠ Falta fecha",IF(C3829="","⚠ Falta monto",IF(D3829="","⚠ Falta categoría",IF(ISNA(MATCH(D3829,catNom,0)),"⚠ Categoría no existe",IF(E3829="","⚠ Falta cuenta",IF(ISNA(MATCH(E3829,ctaNom,0)),"⚠ Cuenta no existe",IF(AND(OR(I3829="Transferencia",I3829="Pago tarjeta"),G3829=""),"⚠ Indica la cuenta «Hacia»",IF(AND(G3829&lt;&gt;"",G3829=E3829),"⚠ «Hacia» igual a la cuenta",IF(AND(G3829&lt;&gt;"",ISNA(MATCH(G3829,ctaNom,0))),"⚠ «Hacia» no existe",IF(AND(I3829="Pago tarjeta",IFERROR(INDEX(ctaTipo,MATCH(G3829,ctaNom,0)),"")&lt;&gt;"Tarjeta de crédito"),"⚠ «Hacia» debe ser la tarjeta",IF(AND(I3829="Trading",IFERROR(INDEX(ctaTipo,MATCH(E3829,ctaNom,0)),"")&lt;&gt;"Cuenta de trading"),"⚠ Usa la cuenta de trading","✓"))))))))))))</f>
        <v/>
      </c>
      <c r="I3829" s="19">
        <f>IF(OR(B3829="",C3829="",D3829=""),"",IFERROR(INDEX(catTipo,MATCH(D3829,catNom,0))&amp;"",""))</f>
        <v/>
      </c>
      <c r="J3829" s="19">
        <f>IF(I3829="","",IFERROR(INDEX(catGrupo,MATCH(D3829,catNom,0))&amp;"",""))</f>
        <v/>
      </c>
      <c r="K3829" s="19">
        <f>IF(I3829="Gasto",IF(IFERROR(INDEX(catClas,MATCH(D3829,catNom,0))&amp;"","")="","Variable",IFERROR(INDEX(catClas,MATCH(D3829,catNom,0))&amp;"","")),"")</f>
        <v/>
      </c>
      <c r="L3829" s="19">
        <f>IF(I3829="","",IFERROR(INDEX(catAlim,MATCH(D3829,catNom,0))&amp;"",""))</f>
        <v/>
      </c>
      <c r="M3829" s="19">
        <f>IF(I3829="","",IFERROR(INDEX(catComida,MATCH(D3829,catNom,0))&amp;"",""))</f>
        <v/>
      </c>
      <c r="N3829" s="19">
        <f>IF(I3829="","",IFERROR(INDEX(ctaMon,MATCH(E3829,ctaNom,0))&amp;"","DOP"))</f>
        <v/>
      </c>
      <c r="O3829" s="20">
        <f>IF(I3829="","",C3829*IF(N3829="USD",TasaUSD,1))</f>
        <v/>
      </c>
      <c r="P3829" s="20">
        <f>IF(I3829="","",IF(I3829="Gasto",O3829,0))</f>
        <v/>
      </c>
      <c r="Q3829" s="20">
        <f>IF(I3829="","",IF(I3829="Ingreso",O3829,0))</f>
        <v/>
      </c>
      <c r="R3829" s="20">
        <f>IF(I3829="","",IF(I3829="Trading",O3829,0))</f>
        <v/>
      </c>
      <c r="S3829" s="19">
        <f>IF(I3829="","",IF(AND(I3829="Gasto",K3829="Variable",J3829&lt;&gt;"Trading",O3829&gt;0,O3829&lt;=Umbral),1,0))</f>
        <v/>
      </c>
      <c r="T3829" s="20">
        <f>IF(OR(I3829="",E3829=""),"",IF(OR(I3829="Gasto",I3829="Transferencia",I3829="Pago tarjeta"),-1,1)*C3829)</f>
        <v/>
      </c>
      <c r="U3829" s="20">
        <f>IF(OR(G3829="",AND(I3829&lt;&gt;"Transferencia",I3829&lt;&gt;"Pago tarjeta")),"",IF(IFERROR(INDEX(ctaMon,MATCH(G3829,ctaNom,0))&amp;"","DOP")=N3829,C3829,IF(N3829="USD",C3829*TasaUSD,C3829/TasaUSD)))</f>
        <v/>
      </c>
      <c r="V3829" s="20">
        <f>IF(I3829="","",IF(IFERROR(INDEX(ctaLiq,MATCH(E3829,ctaNom,0))="Sí",FALSE),IF(OR(I3829="Gasto",I3829="Transferencia",I3829="Pago tarjeta"),-1,1)*O3829,0)+IF(AND(U3829&lt;&gt;"",IFERROR(INDEX(ctaLiq,MATCH(G3829,ctaNom,0))="Sí",FALSE)),O3829,0))</f>
        <v/>
      </c>
      <c r="W3829" s="19">
        <f>IF(OR(F3829="",I3829=""),"",IF(COUNTIFS(F$6:F3829,F3829,I$6:I3829,"?*")=1,MAX(W$5:W3828)+1,""))</f>
        <v/>
      </c>
    </row>
    <row r="3830">
      <c r="B3830" s="15" t="n"/>
      <c r="C3830" s="16" t="n"/>
      <c r="D3830" s="17" t="n"/>
      <c r="E3830" s="17" t="n"/>
      <c r="F3830" s="17" t="n"/>
      <c r="G3830" s="17" t="n"/>
      <c r="H3830" s="18">
        <f>IF(AND(B3830="",C3830="",D3830="",E3830=""),"",IF(B3830="","⚠ Falta fecha",IF(C3830="","⚠ Falta monto",IF(D3830="","⚠ Falta categoría",IF(ISNA(MATCH(D3830,catNom,0)),"⚠ Categoría no existe",IF(E3830="","⚠ Falta cuenta",IF(ISNA(MATCH(E3830,ctaNom,0)),"⚠ Cuenta no existe",IF(AND(OR(I3830="Transferencia",I3830="Pago tarjeta"),G3830=""),"⚠ Indica la cuenta «Hacia»",IF(AND(G3830&lt;&gt;"",G3830=E3830),"⚠ «Hacia» igual a la cuenta",IF(AND(G3830&lt;&gt;"",ISNA(MATCH(G3830,ctaNom,0))),"⚠ «Hacia» no existe",IF(AND(I3830="Pago tarjeta",IFERROR(INDEX(ctaTipo,MATCH(G3830,ctaNom,0)),"")&lt;&gt;"Tarjeta de crédito"),"⚠ «Hacia» debe ser la tarjeta",IF(AND(I3830="Trading",IFERROR(INDEX(ctaTipo,MATCH(E3830,ctaNom,0)),"")&lt;&gt;"Cuenta de trading"),"⚠ Usa la cuenta de trading","✓"))))))))))))</f>
        <v/>
      </c>
      <c r="I3830" s="19">
        <f>IF(OR(B3830="",C3830="",D3830=""),"",IFERROR(INDEX(catTipo,MATCH(D3830,catNom,0))&amp;"",""))</f>
        <v/>
      </c>
      <c r="J3830" s="19">
        <f>IF(I3830="","",IFERROR(INDEX(catGrupo,MATCH(D3830,catNom,0))&amp;"",""))</f>
        <v/>
      </c>
      <c r="K3830" s="19">
        <f>IF(I3830="Gasto",IF(IFERROR(INDEX(catClas,MATCH(D3830,catNom,0))&amp;"","")="","Variable",IFERROR(INDEX(catClas,MATCH(D3830,catNom,0))&amp;"","")),"")</f>
        <v/>
      </c>
      <c r="L3830" s="19">
        <f>IF(I3830="","",IFERROR(INDEX(catAlim,MATCH(D3830,catNom,0))&amp;"",""))</f>
        <v/>
      </c>
      <c r="M3830" s="19">
        <f>IF(I3830="","",IFERROR(INDEX(catComida,MATCH(D3830,catNom,0))&amp;"",""))</f>
        <v/>
      </c>
      <c r="N3830" s="19">
        <f>IF(I3830="","",IFERROR(INDEX(ctaMon,MATCH(E3830,ctaNom,0))&amp;"","DOP"))</f>
        <v/>
      </c>
      <c r="O3830" s="20">
        <f>IF(I3830="","",C3830*IF(N3830="USD",TasaUSD,1))</f>
        <v/>
      </c>
      <c r="P3830" s="20">
        <f>IF(I3830="","",IF(I3830="Gasto",O3830,0))</f>
        <v/>
      </c>
      <c r="Q3830" s="20">
        <f>IF(I3830="","",IF(I3830="Ingreso",O3830,0))</f>
        <v/>
      </c>
      <c r="R3830" s="20">
        <f>IF(I3830="","",IF(I3830="Trading",O3830,0))</f>
        <v/>
      </c>
      <c r="S3830" s="19">
        <f>IF(I3830="","",IF(AND(I3830="Gasto",K3830="Variable",J3830&lt;&gt;"Trading",O3830&gt;0,O3830&lt;=Umbral),1,0))</f>
        <v/>
      </c>
      <c r="T3830" s="20">
        <f>IF(OR(I3830="",E3830=""),"",IF(OR(I3830="Gasto",I3830="Transferencia",I3830="Pago tarjeta"),-1,1)*C3830)</f>
        <v/>
      </c>
      <c r="U3830" s="20">
        <f>IF(OR(G3830="",AND(I3830&lt;&gt;"Transferencia",I3830&lt;&gt;"Pago tarjeta")),"",IF(IFERROR(INDEX(ctaMon,MATCH(G3830,ctaNom,0))&amp;"","DOP")=N3830,C3830,IF(N3830="USD",C3830*TasaUSD,C3830/TasaUSD)))</f>
        <v/>
      </c>
      <c r="V3830" s="20">
        <f>IF(I3830="","",IF(IFERROR(INDEX(ctaLiq,MATCH(E3830,ctaNom,0))="Sí",FALSE),IF(OR(I3830="Gasto",I3830="Transferencia",I3830="Pago tarjeta"),-1,1)*O3830,0)+IF(AND(U3830&lt;&gt;"",IFERROR(INDEX(ctaLiq,MATCH(G3830,ctaNom,0))="Sí",FALSE)),O3830,0))</f>
        <v/>
      </c>
      <c r="W3830" s="19">
        <f>IF(OR(F3830="",I3830=""),"",IF(COUNTIFS(F$6:F3830,F3830,I$6:I3830,"?*")=1,MAX(W$5:W3829)+1,""))</f>
        <v/>
      </c>
    </row>
    <row r="3831">
      <c r="B3831" s="15" t="n"/>
      <c r="C3831" s="16" t="n"/>
      <c r="D3831" s="17" t="n"/>
      <c r="E3831" s="17" t="n"/>
      <c r="F3831" s="17" t="n"/>
      <c r="G3831" s="17" t="n"/>
      <c r="H3831" s="18">
        <f>IF(AND(B3831="",C3831="",D3831="",E3831=""),"",IF(B3831="","⚠ Falta fecha",IF(C3831="","⚠ Falta monto",IF(D3831="","⚠ Falta categoría",IF(ISNA(MATCH(D3831,catNom,0)),"⚠ Categoría no existe",IF(E3831="","⚠ Falta cuenta",IF(ISNA(MATCH(E3831,ctaNom,0)),"⚠ Cuenta no existe",IF(AND(OR(I3831="Transferencia",I3831="Pago tarjeta"),G3831=""),"⚠ Indica la cuenta «Hacia»",IF(AND(G3831&lt;&gt;"",G3831=E3831),"⚠ «Hacia» igual a la cuenta",IF(AND(G3831&lt;&gt;"",ISNA(MATCH(G3831,ctaNom,0))),"⚠ «Hacia» no existe",IF(AND(I3831="Pago tarjeta",IFERROR(INDEX(ctaTipo,MATCH(G3831,ctaNom,0)),"")&lt;&gt;"Tarjeta de crédito"),"⚠ «Hacia» debe ser la tarjeta",IF(AND(I3831="Trading",IFERROR(INDEX(ctaTipo,MATCH(E3831,ctaNom,0)),"")&lt;&gt;"Cuenta de trading"),"⚠ Usa la cuenta de trading","✓"))))))))))))</f>
        <v/>
      </c>
      <c r="I3831" s="19">
        <f>IF(OR(B3831="",C3831="",D3831=""),"",IFERROR(INDEX(catTipo,MATCH(D3831,catNom,0))&amp;"",""))</f>
        <v/>
      </c>
      <c r="J3831" s="19">
        <f>IF(I3831="","",IFERROR(INDEX(catGrupo,MATCH(D3831,catNom,0))&amp;"",""))</f>
        <v/>
      </c>
      <c r="K3831" s="19">
        <f>IF(I3831="Gasto",IF(IFERROR(INDEX(catClas,MATCH(D3831,catNom,0))&amp;"","")="","Variable",IFERROR(INDEX(catClas,MATCH(D3831,catNom,0))&amp;"","")),"")</f>
        <v/>
      </c>
      <c r="L3831" s="19">
        <f>IF(I3831="","",IFERROR(INDEX(catAlim,MATCH(D3831,catNom,0))&amp;"",""))</f>
        <v/>
      </c>
      <c r="M3831" s="19">
        <f>IF(I3831="","",IFERROR(INDEX(catComida,MATCH(D3831,catNom,0))&amp;"",""))</f>
        <v/>
      </c>
      <c r="N3831" s="19">
        <f>IF(I3831="","",IFERROR(INDEX(ctaMon,MATCH(E3831,ctaNom,0))&amp;"","DOP"))</f>
        <v/>
      </c>
      <c r="O3831" s="20">
        <f>IF(I3831="","",C3831*IF(N3831="USD",TasaUSD,1))</f>
        <v/>
      </c>
      <c r="P3831" s="20">
        <f>IF(I3831="","",IF(I3831="Gasto",O3831,0))</f>
        <v/>
      </c>
      <c r="Q3831" s="20">
        <f>IF(I3831="","",IF(I3831="Ingreso",O3831,0))</f>
        <v/>
      </c>
      <c r="R3831" s="20">
        <f>IF(I3831="","",IF(I3831="Trading",O3831,0))</f>
        <v/>
      </c>
      <c r="S3831" s="19">
        <f>IF(I3831="","",IF(AND(I3831="Gasto",K3831="Variable",J3831&lt;&gt;"Trading",O3831&gt;0,O3831&lt;=Umbral),1,0))</f>
        <v/>
      </c>
      <c r="T3831" s="20">
        <f>IF(OR(I3831="",E3831=""),"",IF(OR(I3831="Gasto",I3831="Transferencia",I3831="Pago tarjeta"),-1,1)*C3831)</f>
        <v/>
      </c>
      <c r="U3831" s="20">
        <f>IF(OR(G3831="",AND(I3831&lt;&gt;"Transferencia",I3831&lt;&gt;"Pago tarjeta")),"",IF(IFERROR(INDEX(ctaMon,MATCH(G3831,ctaNom,0))&amp;"","DOP")=N3831,C3831,IF(N3831="USD",C3831*TasaUSD,C3831/TasaUSD)))</f>
        <v/>
      </c>
      <c r="V3831" s="20">
        <f>IF(I3831="","",IF(IFERROR(INDEX(ctaLiq,MATCH(E3831,ctaNom,0))="Sí",FALSE),IF(OR(I3831="Gasto",I3831="Transferencia",I3831="Pago tarjeta"),-1,1)*O3831,0)+IF(AND(U3831&lt;&gt;"",IFERROR(INDEX(ctaLiq,MATCH(G3831,ctaNom,0))="Sí",FALSE)),O3831,0))</f>
        <v/>
      </c>
      <c r="W3831" s="19">
        <f>IF(OR(F3831="",I3831=""),"",IF(COUNTIFS(F$6:F3831,F3831,I$6:I3831,"?*")=1,MAX(W$5:W3830)+1,""))</f>
        <v/>
      </c>
    </row>
    <row r="3832">
      <c r="B3832" s="15" t="n"/>
      <c r="C3832" s="16" t="n"/>
      <c r="D3832" s="17" t="n"/>
      <c r="E3832" s="17" t="n"/>
      <c r="F3832" s="17" t="n"/>
      <c r="G3832" s="17" t="n"/>
      <c r="H3832" s="18">
        <f>IF(AND(B3832="",C3832="",D3832="",E3832=""),"",IF(B3832="","⚠ Falta fecha",IF(C3832="","⚠ Falta monto",IF(D3832="","⚠ Falta categoría",IF(ISNA(MATCH(D3832,catNom,0)),"⚠ Categoría no existe",IF(E3832="","⚠ Falta cuenta",IF(ISNA(MATCH(E3832,ctaNom,0)),"⚠ Cuenta no existe",IF(AND(OR(I3832="Transferencia",I3832="Pago tarjeta"),G3832=""),"⚠ Indica la cuenta «Hacia»",IF(AND(G3832&lt;&gt;"",G3832=E3832),"⚠ «Hacia» igual a la cuenta",IF(AND(G3832&lt;&gt;"",ISNA(MATCH(G3832,ctaNom,0))),"⚠ «Hacia» no existe",IF(AND(I3832="Pago tarjeta",IFERROR(INDEX(ctaTipo,MATCH(G3832,ctaNom,0)),"")&lt;&gt;"Tarjeta de crédito"),"⚠ «Hacia» debe ser la tarjeta",IF(AND(I3832="Trading",IFERROR(INDEX(ctaTipo,MATCH(E3832,ctaNom,0)),"")&lt;&gt;"Cuenta de trading"),"⚠ Usa la cuenta de trading","✓"))))))))))))</f>
        <v/>
      </c>
      <c r="I3832" s="19">
        <f>IF(OR(B3832="",C3832="",D3832=""),"",IFERROR(INDEX(catTipo,MATCH(D3832,catNom,0))&amp;"",""))</f>
        <v/>
      </c>
      <c r="J3832" s="19">
        <f>IF(I3832="","",IFERROR(INDEX(catGrupo,MATCH(D3832,catNom,0))&amp;"",""))</f>
        <v/>
      </c>
      <c r="K3832" s="19">
        <f>IF(I3832="Gasto",IF(IFERROR(INDEX(catClas,MATCH(D3832,catNom,0))&amp;"","")="","Variable",IFERROR(INDEX(catClas,MATCH(D3832,catNom,0))&amp;"","")),"")</f>
        <v/>
      </c>
      <c r="L3832" s="19">
        <f>IF(I3832="","",IFERROR(INDEX(catAlim,MATCH(D3832,catNom,0))&amp;"",""))</f>
        <v/>
      </c>
      <c r="M3832" s="19">
        <f>IF(I3832="","",IFERROR(INDEX(catComida,MATCH(D3832,catNom,0))&amp;"",""))</f>
        <v/>
      </c>
      <c r="N3832" s="19">
        <f>IF(I3832="","",IFERROR(INDEX(ctaMon,MATCH(E3832,ctaNom,0))&amp;"","DOP"))</f>
        <v/>
      </c>
      <c r="O3832" s="20">
        <f>IF(I3832="","",C3832*IF(N3832="USD",TasaUSD,1))</f>
        <v/>
      </c>
      <c r="P3832" s="20">
        <f>IF(I3832="","",IF(I3832="Gasto",O3832,0))</f>
        <v/>
      </c>
      <c r="Q3832" s="20">
        <f>IF(I3832="","",IF(I3832="Ingreso",O3832,0))</f>
        <v/>
      </c>
      <c r="R3832" s="20">
        <f>IF(I3832="","",IF(I3832="Trading",O3832,0))</f>
        <v/>
      </c>
      <c r="S3832" s="19">
        <f>IF(I3832="","",IF(AND(I3832="Gasto",K3832="Variable",J3832&lt;&gt;"Trading",O3832&gt;0,O3832&lt;=Umbral),1,0))</f>
        <v/>
      </c>
      <c r="T3832" s="20">
        <f>IF(OR(I3832="",E3832=""),"",IF(OR(I3832="Gasto",I3832="Transferencia",I3832="Pago tarjeta"),-1,1)*C3832)</f>
        <v/>
      </c>
      <c r="U3832" s="20">
        <f>IF(OR(G3832="",AND(I3832&lt;&gt;"Transferencia",I3832&lt;&gt;"Pago tarjeta")),"",IF(IFERROR(INDEX(ctaMon,MATCH(G3832,ctaNom,0))&amp;"","DOP")=N3832,C3832,IF(N3832="USD",C3832*TasaUSD,C3832/TasaUSD)))</f>
        <v/>
      </c>
      <c r="V3832" s="20">
        <f>IF(I3832="","",IF(IFERROR(INDEX(ctaLiq,MATCH(E3832,ctaNom,0))="Sí",FALSE),IF(OR(I3832="Gasto",I3832="Transferencia",I3832="Pago tarjeta"),-1,1)*O3832,0)+IF(AND(U3832&lt;&gt;"",IFERROR(INDEX(ctaLiq,MATCH(G3832,ctaNom,0))="Sí",FALSE)),O3832,0))</f>
        <v/>
      </c>
      <c r="W3832" s="19">
        <f>IF(OR(F3832="",I3832=""),"",IF(COUNTIFS(F$6:F3832,F3832,I$6:I3832,"?*")=1,MAX(W$5:W3831)+1,""))</f>
        <v/>
      </c>
    </row>
    <row r="3833">
      <c r="B3833" s="15" t="n"/>
      <c r="C3833" s="16" t="n"/>
      <c r="D3833" s="17" t="n"/>
      <c r="E3833" s="17" t="n"/>
      <c r="F3833" s="17" t="n"/>
      <c r="G3833" s="17" t="n"/>
      <c r="H3833" s="18">
        <f>IF(AND(B3833="",C3833="",D3833="",E3833=""),"",IF(B3833="","⚠ Falta fecha",IF(C3833="","⚠ Falta monto",IF(D3833="","⚠ Falta categoría",IF(ISNA(MATCH(D3833,catNom,0)),"⚠ Categoría no existe",IF(E3833="","⚠ Falta cuenta",IF(ISNA(MATCH(E3833,ctaNom,0)),"⚠ Cuenta no existe",IF(AND(OR(I3833="Transferencia",I3833="Pago tarjeta"),G3833=""),"⚠ Indica la cuenta «Hacia»",IF(AND(G3833&lt;&gt;"",G3833=E3833),"⚠ «Hacia» igual a la cuenta",IF(AND(G3833&lt;&gt;"",ISNA(MATCH(G3833,ctaNom,0))),"⚠ «Hacia» no existe",IF(AND(I3833="Pago tarjeta",IFERROR(INDEX(ctaTipo,MATCH(G3833,ctaNom,0)),"")&lt;&gt;"Tarjeta de crédito"),"⚠ «Hacia» debe ser la tarjeta",IF(AND(I3833="Trading",IFERROR(INDEX(ctaTipo,MATCH(E3833,ctaNom,0)),"")&lt;&gt;"Cuenta de trading"),"⚠ Usa la cuenta de trading","✓"))))))))))))</f>
        <v/>
      </c>
      <c r="I3833" s="19">
        <f>IF(OR(B3833="",C3833="",D3833=""),"",IFERROR(INDEX(catTipo,MATCH(D3833,catNom,0))&amp;"",""))</f>
        <v/>
      </c>
      <c r="J3833" s="19">
        <f>IF(I3833="","",IFERROR(INDEX(catGrupo,MATCH(D3833,catNom,0))&amp;"",""))</f>
        <v/>
      </c>
      <c r="K3833" s="19">
        <f>IF(I3833="Gasto",IF(IFERROR(INDEX(catClas,MATCH(D3833,catNom,0))&amp;"","")="","Variable",IFERROR(INDEX(catClas,MATCH(D3833,catNom,0))&amp;"","")),"")</f>
        <v/>
      </c>
      <c r="L3833" s="19">
        <f>IF(I3833="","",IFERROR(INDEX(catAlim,MATCH(D3833,catNom,0))&amp;"",""))</f>
        <v/>
      </c>
      <c r="M3833" s="19">
        <f>IF(I3833="","",IFERROR(INDEX(catComida,MATCH(D3833,catNom,0))&amp;"",""))</f>
        <v/>
      </c>
      <c r="N3833" s="19">
        <f>IF(I3833="","",IFERROR(INDEX(ctaMon,MATCH(E3833,ctaNom,0))&amp;"","DOP"))</f>
        <v/>
      </c>
      <c r="O3833" s="20">
        <f>IF(I3833="","",C3833*IF(N3833="USD",TasaUSD,1))</f>
        <v/>
      </c>
      <c r="P3833" s="20">
        <f>IF(I3833="","",IF(I3833="Gasto",O3833,0))</f>
        <v/>
      </c>
      <c r="Q3833" s="20">
        <f>IF(I3833="","",IF(I3833="Ingreso",O3833,0))</f>
        <v/>
      </c>
      <c r="R3833" s="20">
        <f>IF(I3833="","",IF(I3833="Trading",O3833,0))</f>
        <v/>
      </c>
      <c r="S3833" s="19">
        <f>IF(I3833="","",IF(AND(I3833="Gasto",K3833="Variable",J3833&lt;&gt;"Trading",O3833&gt;0,O3833&lt;=Umbral),1,0))</f>
        <v/>
      </c>
      <c r="T3833" s="20">
        <f>IF(OR(I3833="",E3833=""),"",IF(OR(I3833="Gasto",I3833="Transferencia",I3833="Pago tarjeta"),-1,1)*C3833)</f>
        <v/>
      </c>
      <c r="U3833" s="20">
        <f>IF(OR(G3833="",AND(I3833&lt;&gt;"Transferencia",I3833&lt;&gt;"Pago tarjeta")),"",IF(IFERROR(INDEX(ctaMon,MATCH(G3833,ctaNom,0))&amp;"","DOP")=N3833,C3833,IF(N3833="USD",C3833*TasaUSD,C3833/TasaUSD)))</f>
        <v/>
      </c>
      <c r="V3833" s="20">
        <f>IF(I3833="","",IF(IFERROR(INDEX(ctaLiq,MATCH(E3833,ctaNom,0))="Sí",FALSE),IF(OR(I3833="Gasto",I3833="Transferencia",I3833="Pago tarjeta"),-1,1)*O3833,0)+IF(AND(U3833&lt;&gt;"",IFERROR(INDEX(ctaLiq,MATCH(G3833,ctaNom,0))="Sí",FALSE)),O3833,0))</f>
        <v/>
      </c>
      <c r="W3833" s="19">
        <f>IF(OR(F3833="",I3833=""),"",IF(COUNTIFS(F$6:F3833,F3833,I$6:I3833,"?*")=1,MAX(W$5:W3832)+1,""))</f>
        <v/>
      </c>
    </row>
    <row r="3834">
      <c r="B3834" s="15" t="n"/>
      <c r="C3834" s="16" t="n"/>
      <c r="D3834" s="17" t="n"/>
      <c r="E3834" s="17" t="n"/>
      <c r="F3834" s="17" t="n"/>
      <c r="G3834" s="17" t="n"/>
      <c r="H3834" s="18">
        <f>IF(AND(B3834="",C3834="",D3834="",E3834=""),"",IF(B3834="","⚠ Falta fecha",IF(C3834="","⚠ Falta monto",IF(D3834="","⚠ Falta categoría",IF(ISNA(MATCH(D3834,catNom,0)),"⚠ Categoría no existe",IF(E3834="","⚠ Falta cuenta",IF(ISNA(MATCH(E3834,ctaNom,0)),"⚠ Cuenta no existe",IF(AND(OR(I3834="Transferencia",I3834="Pago tarjeta"),G3834=""),"⚠ Indica la cuenta «Hacia»",IF(AND(G3834&lt;&gt;"",G3834=E3834),"⚠ «Hacia» igual a la cuenta",IF(AND(G3834&lt;&gt;"",ISNA(MATCH(G3834,ctaNom,0))),"⚠ «Hacia» no existe",IF(AND(I3834="Pago tarjeta",IFERROR(INDEX(ctaTipo,MATCH(G3834,ctaNom,0)),"")&lt;&gt;"Tarjeta de crédito"),"⚠ «Hacia» debe ser la tarjeta",IF(AND(I3834="Trading",IFERROR(INDEX(ctaTipo,MATCH(E3834,ctaNom,0)),"")&lt;&gt;"Cuenta de trading"),"⚠ Usa la cuenta de trading","✓"))))))))))))</f>
        <v/>
      </c>
      <c r="I3834" s="19">
        <f>IF(OR(B3834="",C3834="",D3834=""),"",IFERROR(INDEX(catTipo,MATCH(D3834,catNom,0))&amp;"",""))</f>
        <v/>
      </c>
      <c r="J3834" s="19">
        <f>IF(I3834="","",IFERROR(INDEX(catGrupo,MATCH(D3834,catNom,0))&amp;"",""))</f>
        <v/>
      </c>
      <c r="K3834" s="19">
        <f>IF(I3834="Gasto",IF(IFERROR(INDEX(catClas,MATCH(D3834,catNom,0))&amp;"","")="","Variable",IFERROR(INDEX(catClas,MATCH(D3834,catNom,0))&amp;"","")),"")</f>
        <v/>
      </c>
      <c r="L3834" s="19">
        <f>IF(I3834="","",IFERROR(INDEX(catAlim,MATCH(D3834,catNom,0))&amp;"",""))</f>
        <v/>
      </c>
      <c r="M3834" s="19">
        <f>IF(I3834="","",IFERROR(INDEX(catComida,MATCH(D3834,catNom,0))&amp;"",""))</f>
        <v/>
      </c>
      <c r="N3834" s="19">
        <f>IF(I3834="","",IFERROR(INDEX(ctaMon,MATCH(E3834,ctaNom,0))&amp;"","DOP"))</f>
        <v/>
      </c>
      <c r="O3834" s="20">
        <f>IF(I3834="","",C3834*IF(N3834="USD",TasaUSD,1))</f>
        <v/>
      </c>
      <c r="P3834" s="20">
        <f>IF(I3834="","",IF(I3834="Gasto",O3834,0))</f>
        <v/>
      </c>
      <c r="Q3834" s="20">
        <f>IF(I3834="","",IF(I3834="Ingreso",O3834,0))</f>
        <v/>
      </c>
      <c r="R3834" s="20">
        <f>IF(I3834="","",IF(I3834="Trading",O3834,0))</f>
        <v/>
      </c>
      <c r="S3834" s="19">
        <f>IF(I3834="","",IF(AND(I3834="Gasto",K3834="Variable",J3834&lt;&gt;"Trading",O3834&gt;0,O3834&lt;=Umbral),1,0))</f>
        <v/>
      </c>
      <c r="T3834" s="20">
        <f>IF(OR(I3834="",E3834=""),"",IF(OR(I3834="Gasto",I3834="Transferencia",I3834="Pago tarjeta"),-1,1)*C3834)</f>
        <v/>
      </c>
      <c r="U3834" s="20">
        <f>IF(OR(G3834="",AND(I3834&lt;&gt;"Transferencia",I3834&lt;&gt;"Pago tarjeta")),"",IF(IFERROR(INDEX(ctaMon,MATCH(G3834,ctaNom,0))&amp;"","DOP")=N3834,C3834,IF(N3834="USD",C3834*TasaUSD,C3834/TasaUSD)))</f>
        <v/>
      </c>
      <c r="V3834" s="20">
        <f>IF(I3834="","",IF(IFERROR(INDEX(ctaLiq,MATCH(E3834,ctaNom,0))="Sí",FALSE),IF(OR(I3834="Gasto",I3834="Transferencia",I3834="Pago tarjeta"),-1,1)*O3834,0)+IF(AND(U3834&lt;&gt;"",IFERROR(INDEX(ctaLiq,MATCH(G3834,ctaNom,0))="Sí",FALSE)),O3834,0))</f>
        <v/>
      </c>
      <c r="W3834" s="19">
        <f>IF(OR(F3834="",I3834=""),"",IF(COUNTIFS(F$6:F3834,F3834,I$6:I3834,"?*")=1,MAX(W$5:W3833)+1,""))</f>
        <v/>
      </c>
    </row>
    <row r="3835">
      <c r="B3835" s="15" t="n"/>
      <c r="C3835" s="16" t="n"/>
      <c r="D3835" s="17" t="n"/>
      <c r="E3835" s="17" t="n"/>
      <c r="F3835" s="17" t="n"/>
      <c r="G3835" s="17" t="n"/>
      <c r="H3835" s="18">
        <f>IF(AND(B3835="",C3835="",D3835="",E3835=""),"",IF(B3835="","⚠ Falta fecha",IF(C3835="","⚠ Falta monto",IF(D3835="","⚠ Falta categoría",IF(ISNA(MATCH(D3835,catNom,0)),"⚠ Categoría no existe",IF(E3835="","⚠ Falta cuenta",IF(ISNA(MATCH(E3835,ctaNom,0)),"⚠ Cuenta no existe",IF(AND(OR(I3835="Transferencia",I3835="Pago tarjeta"),G3835=""),"⚠ Indica la cuenta «Hacia»",IF(AND(G3835&lt;&gt;"",G3835=E3835),"⚠ «Hacia» igual a la cuenta",IF(AND(G3835&lt;&gt;"",ISNA(MATCH(G3835,ctaNom,0))),"⚠ «Hacia» no existe",IF(AND(I3835="Pago tarjeta",IFERROR(INDEX(ctaTipo,MATCH(G3835,ctaNom,0)),"")&lt;&gt;"Tarjeta de crédito"),"⚠ «Hacia» debe ser la tarjeta",IF(AND(I3835="Trading",IFERROR(INDEX(ctaTipo,MATCH(E3835,ctaNom,0)),"")&lt;&gt;"Cuenta de trading"),"⚠ Usa la cuenta de trading","✓"))))))))))))</f>
        <v/>
      </c>
      <c r="I3835" s="19">
        <f>IF(OR(B3835="",C3835="",D3835=""),"",IFERROR(INDEX(catTipo,MATCH(D3835,catNom,0))&amp;"",""))</f>
        <v/>
      </c>
      <c r="J3835" s="19">
        <f>IF(I3835="","",IFERROR(INDEX(catGrupo,MATCH(D3835,catNom,0))&amp;"",""))</f>
        <v/>
      </c>
      <c r="K3835" s="19">
        <f>IF(I3835="Gasto",IF(IFERROR(INDEX(catClas,MATCH(D3835,catNom,0))&amp;"","")="","Variable",IFERROR(INDEX(catClas,MATCH(D3835,catNom,0))&amp;"","")),"")</f>
        <v/>
      </c>
      <c r="L3835" s="19">
        <f>IF(I3835="","",IFERROR(INDEX(catAlim,MATCH(D3835,catNom,0))&amp;"",""))</f>
        <v/>
      </c>
      <c r="M3835" s="19">
        <f>IF(I3835="","",IFERROR(INDEX(catComida,MATCH(D3835,catNom,0))&amp;"",""))</f>
        <v/>
      </c>
      <c r="N3835" s="19">
        <f>IF(I3835="","",IFERROR(INDEX(ctaMon,MATCH(E3835,ctaNom,0))&amp;"","DOP"))</f>
        <v/>
      </c>
      <c r="O3835" s="20">
        <f>IF(I3835="","",C3835*IF(N3835="USD",TasaUSD,1))</f>
        <v/>
      </c>
      <c r="P3835" s="20">
        <f>IF(I3835="","",IF(I3835="Gasto",O3835,0))</f>
        <v/>
      </c>
      <c r="Q3835" s="20">
        <f>IF(I3835="","",IF(I3835="Ingreso",O3835,0))</f>
        <v/>
      </c>
      <c r="R3835" s="20">
        <f>IF(I3835="","",IF(I3835="Trading",O3835,0))</f>
        <v/>
      </c>
      <c r="S3835" s="19">
        <f>IF(I3835="","",IF(AND(I3835="Gasto",K3835="Variable",J3835&lt;&gt;"Trading",O3835&gt;0,O3835&lt;=Umbral),1,0))</f>
        <v/>
      </c>
      <c r="T3835" s="20">
        <f>IF(OR(I3835="",E3835=""),"",IF(OR(I3835="Gasto",I3835="Transferencia",I3835="Pago tarjeta"),-1,1)*C3835)</f>
        <v/>
      </c>
      <c r="U3835" s="20">
        <f>IF(OR(G3835="",AND(I3835&lt;&gt;"Transferencia",I3835&lt;&gt;"Pago tarjeta")),"",IF(IFERROR(INDEX(ctaMon,MATCH(G3835,ctaNom,0))&amp;"","DOP")=N3835,C3835,IF(N3835="USD",C3835*TasaUSD,C3835/TasaUSD)))</f>
        <v/>
      </c>
      <c r="V3835" s="20">
        <f>IF(I3835="","",IF(IFERROR(INDEX(ctaLiq,MATCH(E3835,ctaNom,0))="Sí",FALSE),IF(OR(I3835="Gasto",I3835="Transferencia",I3835="Pago tarjeta"),-1,1)*O3835,0)+IF(AND(U3835&lt;&gt;"",IFERROR(INDEX(ctaLiq,MATCH(G3835,ctaNom,0))="Sí",FALSE)),O3835,0))</f>
        <v/>
      </c>
      <c r="W3835" s="19">
        <f>IF(OR(F3835="",I3835=""),"",IF(COUNTIFS(F$6:F3835,F3835,I$6:I3835,"?*")=1,MAX(W$5:W3834)+1,""))</f>
        <v/>
      </c>
    </row>
    <row r="3836">
      <c r="B3836" s="15" t="n"/>
      <c r="C3836" s="16" t="n"/>
      <c r="D3836" s="17" t="n"/>
      <c r="E3836" s="17" t="n"/>
      <c r="F3836" s="17" t="n"/>
      <c r="G3836" s="17" t="n"/>
      <c r="H3836" s="18">
        <f>IF(AND(B3836="",C3836="",D3836="",E3836=""),"",IF(B3836="","⚠ Falta fecha",IF(C3836="","⚠ Falta monto",IF(D3836="","⚠ Falta categoría",IF(ISNA(MATCH(D3836,catNom,0)),"⚠ Categoría no existe",IF(E3836="","⚠ Falta cuenta",IF(ISNA(MATCH(E3836,ctaNom,0)),"⚠ Cuenta no existe",IF(AND(OR(I3836="Transferencia",I3836="Pago tarjeta"),G3836=""),"⚠ Indica la cuenta «Hacia»",IF(AND(G3836&lt;&gt;"",G3836=E3836),"⚠ «Hacia» igual a la cuenta",IF(AND(G3836&lt;&gt;"",ISNA(MATCH(G3836,ctaNom,0))),"⚠ «Hacia» no existe",IF(AND(I3836="Pago tarjeta",IFERROR(INDEX(ctaTipo,MATCH(G3836,ctaNom,0)),"")&lt;&gt;"Tarjeta de crédito"),"⚠ «Hacia» debe ser la tarjeta",IF(AND(I3836="Trading",IFERROR(INDEX(ctaTipo,MATCH(E3836,ctaNom,0)),"")&lt;&gt;"Cuenta de trading"),"⚠ Usa la cuenta de trading","✓"))))))))))))</f>
        <v/>
      </c>
      <c r="I3836" s="19">
        <f>IF(OR(B3836="",C3836="",D3836=""),"",IFERROR(INDEX(catTipo,MATCH(D3836,catNom,0))&amp;"",""))</f>
        <v/>
      </c>
      <c r="J3836" s="19">
        <f>IF(I3836="","",IFERROR(INDEX(catGrupo,MATCH(D3836,catNom,0))&amp;"",""))</f>
        <v/>
      </c>
      <c r="K3836" s="19">
        <f>IF(I3836="Gasto",IF(IFERROR(INDEX(catClas,MATCH(D3836,catNom,0))&amp;"","")="","Variable",IFERROR(INDEX(catClas,MATCH(D3836,catNom,0))&amp;"","")),"")</f>
        <v/>
      </c>
      <c r="L3836" s="19">
        <f>IF(I3836="","",IFERROR(INDEX(catAlim,MATCH(D3836,catNom,0))&amp;"",""))</f>
        <v/>
      </c>
      <c r="M3836" s="19">
        <f>IF(I3836="","",IFERROR(INDEX(catComida,MATCH(D3836,catNom,0))&amp;"",""))</f>
        <v/>
      </c>
      <c r="N3836" s="19">
        <f>IF(I3836="","",IFERROR(INDEX(ctaMon,MATCH(E3836,ctaNom,0))&amp;"","DOP"))</f>
        <v/>
      </c>
      <c r="O3836" s="20">
        <f>IF(I3836="","",C3836*IF(N3836="USD",TasaUSD,1))</f>
        <v/>
      </c>
      <c r="P3836" s="20">
        <f>IF(I3836="","",IF(I3836="Gasto",O3836,0))</f>
        <v/>
      </c>
      <c r="Q3836" s="20">
        <f>IF(I3836="","",IF(I3836="Ingreso",O3836,0))</f>
        <v/>
      </c>
      <c r="R3836" s="20">
        <f>IF(I3836="","",IF(I3836="Trading",O3836,0))</f>
        <v/>
      </c>
      <c r="S3836" s="19">
        <f>IF(I3836="","",IF(AND(I3836="Gasto",K3836="Variable",J3836&lt;&gt;"Trading",O3836&gt;0,O3836&lt;=Umbral),1,0))</f>
        <v/>
      </c>
      <c r="T3836" s="20">
        <f>IF(OR(I3836="",E3836=""),"",IF(OR(I3836="Gasto",I3836="Transferencia",I3836="Pago tarjeta"),-1,1)*C3836)</f>
        <v/>
      </c>
      <c r="U3836" s="20">
        <f>IF(OR(G3836="",AND(I3836&lt;&gt;"Transferencia",I3836&lt;&gt;"Pago tarjeta")),"",IF(IFERROR(INDEX(ctaMon,MATCH(G3836,ctaNom,0))&amp;"","DOP")=N3836,C3836,IF(N3836="USD",C3836*TasaUSD,C3836/TasaUSD)))</f>
        <v/>
      </c>
      <c r="V3836" s="20">
        <f>IF(I3836="","",IF(IFERROR(INDEX(ctaLiq,MATCH(E3836,ctaNom,0))="Sí",FALSE),IF(OR(I3836="Gasto",I3836="Transferencia",I3836="Pago tarjeta"),-1,1)*O3836,0)+IF(AND(U3836&lt;&gt;"",IFERROR(INDEX(ctaLiq,MATCH(G3836,ctaNom,0))="Sí",FALSE)),O3836,0))</f>
        <v/>
      </c>
      <c r="W3836" s="19">
        <f>IF(OR(F3836="",I3836=""),"",IF(COUNTIFS(F$6:F3836,F3836,I$6:I3836,"?*")=1,MAX(W$5:W3835)+1,""))</f>
        <v/>
      </c>
    </row>
    <row r="3837">
      <c r="B3837" s="15" t="n"/>
      <c r="C3837" s="16" t="n"/>
      <c r="D3837" s="17" t="n"/>
      <c r="E3837" s="17" t="n"/>
      <c r="F3837" s="17" t="n"/>
      <c r="G3837" s="17" t="n"/>
      <c r="H3837" s="18">
        <f>IF(AND(B3837="",C3837="",D3837="",E3837=""),"",IF(B3837="","⚠ Falta fecha",IF(C3837="","⚠ Falta monto",IF(D3837="","⚠ Falta categoría",IF(ISNA(MATCH(D3837,catNom,0)),"⚠ Categoría no existe",IF(E3837="","⚠ Falta cuenta",IF(ISNA(MATCH(E3837,ctaNom,0)),"⚠ Cuenta no existe",IF(AND(OR(I3837="Transferencia",I3837="Pago tarjeta"),G3837=""),"⚠ Indica la cuenta «Hacia»",IF(AND(G3837&lt;&gt;"",G3837=E3837),"⚠ «Hacia» igual a la cuenta",IF(AND(G3837&lt;&gt;"",ISNA(MATCH(G3837,ctaNom,0))),"⚠ «Hacia» no existe",IF(AND(I3837="Pago tarjeta",IFERROR(INDEX(ctaTipo,MATCH(G3837,ctaNom,0)),"")&lt;&gt;"Tarjeta de crédito"),"⚠ «Hacia» debe ser la tarjeta",IF(AND(I3837="Trading",IFERROR(INDEX(ctaTipo,MATCH(E3837,ctaNom,0)),"")&lt;&gt;"Cuenta de trading"),"⚠ Usa la cuenta de trading","✓"))))))))))))</f>
        <v/>
      </c>
      <c r="I3837" s="19">
        <f>IF(OR(B3837="",C3837="",D3837=""),"",IFERROR(INDEX(catTipo,MATCH(D3837,catNom,0))&amp;"",""))</f>
        <v/>
      </c>
      <c r="J3837" s="19">
        <f>IF(I3837="","",IFERROR(INDEX(catGrupo,MATCH(D3837,catNom,0))&amp;"",""))</f>
        <v/>
      </c>
      <c r="K3837" s="19">
        <f>IF(I3837="Gasto",IF(IFERROR(INDEX(catClas,MATCH(D3837,catNom,0))&amp;"","")="","Variable",IFERROR(INDEX(catClas,MATCH(D3837,catNom,0))&amp;"","")),"")</f>
        <v/>
      </c>
      <c r="L3837" s="19">
        <f>IF(I3837="","",IFERROR(INDEX(catAlim,MATCH(D3837,catNom,0))&amp;"",""))</f>
        <v/>
      </c>
      <c r="M3837" s="19">
        <f>IF(I3837="","",IFERROR(INDEX(catComida,MATCH(D3837,catNom,0))&amp;"",""))</f>
        <v/>
      </c>
      <c r="N3837" s="19">
        <f>IF(I3837="","",IFERROR(INDEX(ctaMon,MATCH(E3837,ctaNom,0))&amp;"","DOP"))</f>
        <v/>
      </c>
      <c r="O3837" s="20">
        <f>IF(I3837="","",C3837*IF(N3837="USD",TasaUSD,1))</f>
        <v/>
      </c>
      <c r="P3837" s="20">
        <f>IF(I3837="","",IF(I3837="Gasto",O3837,0))</f>
        <v/>
      </c>
      <c r="Q3837" s="20">
        <f>IF(I3837="","",IF(I3837="Ingreso",O3837,0))</f>
        <v/>
      </c>
      <c r="R3837" s="20">
        <f>IF(I3837="","",IF(I3837="Trading",O3837,0))</f>
        <v/>
      </c>
      <c r="S3837" s="19">
        <f>IF(I3837="","",IF(AND(I3837="Gasto",K3837="Variable",J3837&lt;&gt;"Trading",O3837&gt;0,O3837&lt;=Umbral),1,0))</f>
        <v/>
      </c>
      <c r="T3837" s="20">
        <f>IF(OR(I3837="",E3837=""),"",IF(OR(I3837="Gasto",I3837="Transferencia",I3837="Pago tarjeta"),-1,1)*C3837)</f>
        <v/>
      </c>
      <c r="U3837" s="20">
        <f>IF(OR(G3837="",AND(I3837&lt;&gt;"Transferencia",I3837&lt;&gt;"Pago tarjeta")),"",IF(IFERROR(INDEX(ctaMon,MATCH(G3837,ctaNom,0))&amp;"","DOP")=N3837,C3837,IF(N3837="USD",C3837*TasaUSD,C3837/TasaUSD)))</f>
        <v/>
      </c>
      <c r="V3837" s="20">
        <f>IF(I3837="","",IF(IFERROR(INDEX(ctaLiq,MATCH(E3837,ctaNom,0))="Sí",FALSE),IF(OR(I3837="Gasto",I3837="Transferencia",I3837="Pago tarjeta"),-1,1)*O3837,0)+IF(AND(U3837&lt;&gt;"",IFERROR(INDEX(ctaLiq,MATCH(G3837,ctaNom,0))="Sí",FALSE)),O3837,0))</f>
        <v/>
      </c>
      <c r="W3837" s="19">
        <f>IF(OR(F3837="",I3837=""),"",IF(COUNTIFS(F$6:F3837,F3837,I$6:I3837,"?*")=1,MAX(W$5:W3836)+1,""))</f>
        <v/>
      </c>
    </row>
    <row r="3838">
      <c r="B3838" s="15" t="n"/>
      <c r="C3838" s="16" t="n"/>
      <c r="D3838" s="17" t="n"/>
      <c r="E3838" s="17" t="n"/>
      <c r="F3838" s="17" t="n"/>
      <c r="G3838" s="17" t="n"/>
      <c r="H3838" s="18">
        <f>IF(AND(B3838="",C3838="",D3838="",E3838=""),"",IF(B3838="","⚠ Falta fecha",IF(C3838="","⚠ Falta monto",IF(D3838="","⚠ Falta categoría",IF(ISNA(MATCH(D3838,catNom,0)),"⚠ Categoría no existe",IF(E3838="","⚠ Falta cuenta",IF(ISNA(MATCH(E3838,ctaNom,0)),"⚠ Cuenta no existe",IF(AND(OR(I3838="Transferencia",I3838="Pago tarjeta"),G3838=""),"⚠ Indica la cuenta «Hacia»",IF(AND(G3838&lt;&gt;"",G3838=E3838),"⚠ «Hacia» igual a la cuenta",IF(AND(G3838&lt;&gt;"",ISNA(MATCH(G3838,ctaNom,0))),"⚠ «Hacia» no existe",IF(AND(I3838="Pago tarjeta",IFERROR(INDEX(ctaTipo,MATCH(G3838,ctaNom,0)),"")&lt;&gt;"Tarjeta de crédito"),"⚠ «Hacia» debe ser la tarjeta",IF(AND(I3838="Trading",IFERROR(INDEX(ctaTipo,MATCH(E3838,ctaNom,0)),"")&lt;&gt;"Cuenta de trading"),"⚠ Usa la cuenta de trading","✓"))))))))))))</f>
        <v/>
      </c>
      <c r="I3838" s="19">
        <f>IF(OR(B3838="",C3838="",D3838=""),"",IFERROR(INDEX(catTipo,MATCH(D3838,catNom,0))&amp;"",""))</f>
        <v/>
      </c>
      <c r="J3838" s="19">
        <f>IF(I3838="","",IFERROR(INDEX(catGrupo,MATCH(D3838,catNom,0))&amp;"",""))</f>
        <v/>
      </c>
      <c r="K3838" s="19">
        <f>IF(I3838="Gasto",IF(IFERROR(INDEX(catClas,MATCH(D3838,catNom,0))&amp;"","")="","Variable",IFERROR(INDEX(catClas,MATCH(D3838,catNom,0))&amp;"","")),"")</f>
        <v/>
      </c>
      <c r="L3838" s="19">
        <f>IF(I3838="","",IFERROR(INDEX(catAlim,MATCH(D3838,catNom,0))&amp;"",""))</f>
        <v/>
      </c>
      <c r="M3838" s="19">
        <f>IF(I3838="","",IFERROR(INDEX(catComida,MATCH(D3838,catNom,0))&amp;"",""))</f>
        <v/>
      </c>
      <c r="N3838" s="19">
        <f>IF(I3838="","",IFERROR(INDEX(ctaMon,MATCH(E3838,ctaNom,0))&amp;"","DOP"))</f>
        <v/>
      </c>
      <c r="O3838" s="20">
        <f>IF(I3838="","",C3838*IF(N3838="USD",TasaUSD,1))</f>
        <v/>
      </c>
      <c r="P3838" s="20">
        <f>IF(I3838="","",IF(I3838="Gasto",O3838,0))</f>
        <v/>
      </c>
      <c r="Q3838" s="20">
        <f>IF(I3838="","",IF(I3838="Ingreso",O3838,0))</f>
        <v/>
      </c>
      <c r="R3838" s="20">
        <f>IF(I3838="","",IF(I3838="Trading",O3838,0))</f>
        <v/>
      </c>
      <c r="S3838" s="19">
        <f>IF(I3838="","",IF(AND(I3838="Gasto",K3838="Variable",J3838&lt;&gt;"Trading",O3838&gt;0,O3838&lt;=Umbral),1,0))</f>
        <v/>
      </c>
      <c r="T3838" s="20">
        <f>IF(OR(I3838="",E3838=""),"",IF(OR(I3838="Gasto",I3838="Transferencia",I3838="Pago tarjeta"),-1,1)*C3838)</f>
        <v/>
      </c>
      <c r="U3838" s="20">
        <f>IF(OR(G3838="",AND(I3838&lt;&gt;"Transferencia",I3838&lt;&gt;"Pago tarjeta")),"",IF(IFERROR(INDEX(ctaMon,MATCH(G3838,ctaNom,0))&amp;"","DOP")=N3838,C3838,IF(N3838="USD",C3838*TasaUSD,C3838/TasaUSD)))</f>
        <v/>
      </c>
      <c r="V3838" s="20">
        <f>IF(I3838="","",IF(IFERROR(INDEX(ctaLiq,MATCH(E3838,ctaNom,0))="Sí",FALSE),IF(OR(I3838="Gasto",I3838="Transferencia",I3838="Pago tarjeta"),-1,1)*O3838,0)+IF(AND(U3838&lt;&gt;"",IFERROR(INDEX(ctaLiq,MATCH(G3838,ctaNom,0))="Sí",FALSE)),O3838,0))</f>
        <v/>
      </c>
      <c r="W3838" s="19">
        <f>IF(OR(F3838="",I3838=""),"",IF(COUNTIFS(F$6:F3838,F3838,I$6:I3838,"?*")=1,MAX(W$5:W3837)+1,""))</f>
        <v/>
      </c>
    </row>
    <row r="3839">
      <c r="B3839" s="15" t="n"/>
      <c r="C3839" s="16" t="n"/>
      <c r="D3839" s="17" t="n"/>
      <c r="E3839" s="17" t="n"/>
      <c r="F3839" s="17" t="n"/>
      <c r="G3839" s="17" t="n"/>
      <c r="H3839" s="18">
        <f>IF(AND(B3839="",C3839="",D3839="",E3839=""),"",IF(B3839="","⚠ Falta fecha",IF(C3839="","⚠ Falta monto",IF(D3839="","⚠ Falta categoría",IF(ISNA(MATCH(D3839,catNom,0)),"⚠ Categoría no existe",IF(E3839="","⚠ Falta cuenta",IF(ISNA(MATCH(E3839,ctaNom,0)),"⚠ Cuenta no existe",IF(AND(OR(I3839="Transferencia",I3839="Pago tarjeta"),G3839=""),"⚠ Indica la cuenta «Hacia»",IF(AND(G3839&lt;&gt;"",G3839=E3839),"⚠ «Hacia» igual a la cuenta",IF(AND(G3839&lt;&gt;"",ISNA(MATCH(G3839,ctaNom,0))),"⚠ «Hacia» no existe",IF(AND(I3839="Pago tarjeta",IFERROR(INDEX(ctaTipo,MATCH(G3839,ctaNom,0)),"")&lt;&gt;"Tarjeta de crédito"),"⚠ «Hacia» debe ser la tarjeta",IF(AND(I3839="Trading",IFERROR(INDEX(ctaTipo,MATCH(E3839,ctaNom,0)),"")&lt;&gt;"Cuenta de trading"),"⚠ Usa la cuenta de trading","✓"))))))))))))</f>
        <v/>
      </c>
      <c r="I3839" s="19">
        <f>IF(OR(B3839="",C3839="",D3839=""),"",IFERROR(INDEX(catTipo,MATCH(D3839,catNom,0))&amp;"",""))</f>
        <v/>
      </c>
      <c r="J3839" s="19">
        <f>IF(I3839="","",IFERROR(INDEX(catGrupo,MATCH(D3839,catNom,0))&amp;"",""))</f>
        <v/>
      </c>
      <c r="K3839" s="19">
        <f>IF(I3839="Gasto",IF(IFERROR(INDEX(catClas,MATCH(D3839,catNom,0))&amp;"","")="","Variable",IFERROR(INDEX(catClas,MATCH(D3839,catNom,0))&amp;"","")),"")</f>
        <v/>
      </c>
      <c r="L3839" s="19">
        <f>IF(I3839="","",IFERROR(INDEX(catAlim,MATCH(D3839,catNom,0))&amp;"",""))</f>
        <v/>
      </c>
      <c r="M3839" s="19">
        <f>IF(I3839="","",IFERROR(INDEX(catComida,MATCH(D3839,catNom,0))&amp;"",""))</f>
        <v/>
      </c>
      <c r="N3839" s="19">
        <f>IF(I3839="","",IFERROR(INDEX(ctaMon,MATCH(E3839,ctaNom,0))&amp;"","DOP"))</f>
        <v/>
      </c>
      <c r="O3839" s="20">
        <f>IF(I3839="","",C3839*IF(N3839="USD",TasaUSD,1))</f>
        <v/>
      </c>
      <c r="P3839" s="20">
        <f>IF(I3839="","",IF(I3839="Gasto",O3839,0))</f>
        <v/>
      </c>
      <c r="Q3839" s="20">
        <f>IF(I3839="","",IF(I3839="Ingreso",O3839,0))</f>
        <v/>
      </c>
      <c r="R3839" s="20">
        <f>IF(I3839="","",IF(I3839="Trading",O3839,0))</f>
        <v/>
      </c>
      <c r="S3839" s="19">
        <f>IF(I3839="","",IF(AND(I3839="Gasto",K3839="Variable",J3839&lt;&gt;"Trading",O3839&gt;0,O3839&lt;=Umbral),1,0))</f>
        <v/>
      </c>
      <c r="T3839" s="20">
        <f>IF(OR(I3839="",E3839=""),"",IF(OR(I3839="Gasto",I3839="Transferencia",I3839="Pago tarjeta"),-1,1)*C3839)</f>
        <v/>
      </c>
      <c r="U3839" s="20">
        <f>IF(OR(G3839="",AND(I3839&lt;&gt;"Transferencia",I3839&lt;&gt;"Pago tarjeta")),"",IF(IFERROR(INDEX(ctaMon,MATCH(G3839,ctaNom,0))&amp;"","DOP")=N3839,C3839,IF(N3839="USD",C3839*TasaUSD,C3839/TasaUSD)))</f>
        <v/>
      </c>
      <c r="V3839" s="20">
        <f>IF(I3839="","",IF(IFERROR(INDEX(ctaLiq,MATCH(E3839,ctaNom,0))="Sí",FALSE),IF(OR(I3839="Gasto",I3839="Transferencia",I3839="Pago tarjeta"),-1,1)*O3839,0)+IF(AND(U3839&lt;&gt;"",IFERROR(INDEX(ctaLiq,MATCH(G3839,ctaNom,0))="Sí",FALSE)),O3839,0))</f>
        <v/>
      </c>
      <c r="W3839" s="19">
        <f>IF(OR(F3839="",I3839=""),"",IF(COUNTIFS(F$6:F3839,F3839,I$6:I3839,"?*")=1,MAX(W$5:W3838)+1,""))</f>
        <v/>
      </c>
    </row>
    <row r="3840">
      <c r="B3840" s="15" t="n"/>
      <c r="C3840" s="16" t="n"/>
      <c r="D3840" s="17" t="n"/>
      <c r="E3840" s="17" t="n"/>
      <c r="F3840" s="17" t="n"/>
      <c r="G3840" s="17" t="n"/>
      <c r="H3840" s="18">
        <f>IF(AND(B3840="",C3840="",D3840="",E3840=""),"",IF(B3840="","⚠ Falta fecha",IF(C3840="","⚠ Falta monto",IF(D3840="","⚠ Falta categoría",IF(ISNA(MATCH(D3840,catNom,0)),"⚠ Categoría no existe",IF(E3840="","⚠ Falta cuenta",IF(ISNA(MATCH(E3840,ctaNom,0)),"⚠ Cuenta no existe",IF(AND(OR(I3840="Transferencia",I3840="Pago tarjeta"),G3840=""),"⚠ Indica la cuenta «Hacia»",IF(AND(G3840&lt;&gt;"",G3840=E3840),"⚠ «Hacia» igual a la cuenta",IF(AND(G3840&lt;&gt;"",ISNA(MATCH(G3840,ctaNom,0))),"⚠ «Hacia» no existe",IF(AND(I3840="Pago tarjeta",IFERROR(INDEX(ctaTipo,MATCH(G3840,ctaNom,0)),"")&lt;&gt;"Tarjeta de crédito"),"⚠ «Hacia» debe ser la tarjeta",IF(AND(I3840="Trading",IFERROR(INDEX(ctaTipo,MATCH(E3840,ctaNom,0)),"")&lt;&gt;"Cuenta de trading"),"⚠ Usa la cuenta de trading","✓"))))))))))))</f>
        <v/>
      </c>
      <c r="I3840" s="19">
        <f>IF(OR(B3840="",C3840="",D3840=""),"",IFERROR(INDEX(catTipo,MATCH(D3840,catNom,0))&amp;"",""))</f>
        <v/>
      </c>
      <c r="J3840" s="19">
        <f>IF(I3840="","",IFERROR(INDEX(catGrupo,MATCH(D3840,catNom,0))&amp;"",""))</f>
        <v/>
      </c>
      <c r="K3840" s="19">
        <f>IF(I3840="Gasto",IF(IFERROR(INDEX(catClas,MATCH(D3840,catNom,0))&amp;"","")="","Variable",IFERROR(INDEX(catClas,MATCH(D3840,catNom,0))&amp;"","")),"")</f>
        <v/>
      </c>
      <c r="L3840" s="19">
        <f>IF(I3840="","",IFERROR(INDEX(catAlim,MATCH(D3840,catNom,0))&amp;"",""))</f>
        <v/>
      </c>
      <c r="M3840" s="19">
        <f>IF(I3840="","",IFERROR(INDEX(catComida,MATCH(D3840,catNom,0))&amp;"",""))</f>
        <v/>
      </c>
      <c r="N3840" s="19">
        <f>IF(I3840="","",IFERROR(INDEX(ctaMon,MATCH(E3840,ctaNom,0))&amp;"","DOP"))</f>
        <v/>
      </c>
      <c r="O3840" s="20">
        <f>IF(I3840="","",C3840*IF(N3840="USD",TasaUSD,1))</f>
        <v/>
      </c>
      <c r="P3840" s="20">
        <f>IF(I3840="","",IF(I3840="Gasto",O3840,0))</f>
        <v/>
      </c>
      <c r="Q3840" s="20">
        <f>IF(I3840="","",IF(I3840="Ingreso",O3840,0))</f>
        <v/>
      </c>
      <c r="R3840" s="20">
        <f>IF(I3840="","",IF(I3840="Trading",O3840,0))</f>
        <v/>
      </c>
      <c r="S3840" s="19">
        <f>IF(I3840="","",IF(AND(I3840="Gasto",K3840="Variable",J3840&lt;&gt;"Trading",O3840&gt;0,O3840&lt;=Umbral),1,0))</f>
        <v/>
      </c>
      <c r="T3840" s="20">
        <f>IF(OR(I3840="",E3840=""),"",IF(OR(I3840="Gasto",I3840="Transferencia",I3840="Pago tarjeta"),-1,1)*C3840)</f>
        <v/>
      </c>
      <c r="U3840" s="20">
        <f>IF(OR(G3840="",AND(I3840&lt;&gt;"Transferencia",I3840&lt;&gt;"Pago tarjeta")),"",IF(IFERROR(INDEX(ctaMon,MATCH(G3840,ctaNom,0))&amp;"","DOP")=N3840,C3840,IF(N3840="USD",C3840*TasaUSD,C3840/TasaUSD)))</f>
        <v/>
      </c>
      <c r="V3840" s="20">
        <f>IF(I3840="","",IF(IFERROR(INDEX(ctaLiq,MATCH(E3840,ctaNom,0))="Sí",FALSE),IF(OR(I3840="Gasto",I3840="Transferencia",I3840="Pago tarjeta"),-1,1)*O3840,0)+IF(AND(U3840&lt;&gt;"",IFERROR(INDEX(ctaLiq,MATCH(G3840,ctaNom,0))="Sí",FALSE)),O3840,0))</f>
        <v/>
      </c>
      <c r="W3840" s="19">
        <f>IF(OR(F3840="",I3840=""),"",IF(COUNTIFS(F$6:F3840,F3840,I$6:I3840,"?*")=1,MAX(W$5:W3839)+1,""))</f>
        <v/>
      </c>
    </row>
    <row r="3841">
      <c r="B3841" s="15" t="n"/>
      <c r="C3841" s="16" t="n"/>
      <c r="D3841" s="17" t="n"/>
      <c r="E3841" s="17" t="n"/>
      <c r="F3841" s="17" t="n"/>
      <c r="G3841" s="17" t="n"/>
      <c r="H3841" s="18">
        <f>IF(AND(B3841="",C3841="",D3841="",E3841=""),"",IF(B3841="","⚠ Falta fecha",IF(C3841="","⚠ Falta monto",IF(D3841="","⚠ Falta categoría",IF(ISNA(MATCH(D3841,catNom,0)),"⚠ Categoría no existe",IF(E3841="","⚠ Falta cuenta",IF(ISNA(MATCH(E3841,ctaNom,0)),"⚠ Cuenta no existe",IF(AND(OR(I3841="Transferencia",I3841="Pago tarjeta"),G3841=""),"⚠ Indica la cuenta «Hacia»",IF(AND(G3841&lt;&gt;"",G3841=E3841),"⚠ «Hacia» igual a la cuenta",IF(AND(G3841&lt;&gt;"",ISNA(MATCH(G3841,ctaNom,0))),"⚠ «Hacia» no existe",IF(AND(I3841="Pago tarjeta",IFERROR(INDEX(ctaTipo,MATCH(G3841,ctaNom,0)),"")&lt;&gt;"Tarjeta de crédito"),"⚠ «Hacia» debe ser la tarjeta",IF(AND(I3841="Trading",IFERROR(INDEX(ctaTipo,MATCH(E3841,ctaNom,0)),"")&lt;&gt;"Cuenta de trading"),"⚠ Usa la cuenta de trading","✓"))))))))))))</f>
        <v/>
      </c>
      <c r="I3841" s="19">
        <f>IF(OR(B3841="",C3841="",D3841=""),"",IFERROR(INDEX(catTipo,MATCH(D3841,catNom,0))&amp;"",""))</f>
        <v/>
      </c>
      <c r="J3841" s="19">
        <f>IF(I3841="","",IFERROR(INDEX(catGrupo,MATCH(D3841,catNom,0))&amp;"",""))</f>
        <v/>
      </c>
      <c r="K3841" s="19">
        <f>IF(I3841="Gasto",IF(IFERROR(INDEX(catClas,MATCH(D3841,catNom,0))&amp;"","")="","Variable",IFERROR(INDEX(catClas,MATCH(D3841,catNom,0))&amp;"","")),"")</f>
        <v/>
      </c>
      <c r="L3841" s="19">
        <f>IF(I3841="","",IFERROR(INDEX(catAlim,MATCH(D3841,catNom,0))&amp;"",""))</f>
        <v/>
      </c>
      <c r="M3841" s="19">
        <f>IF(I3841="","",IFERROR(INDEX(catComida,MATCH(D3841,catNom,0))&amp;"",""))</f>
        <v/>
      </c>
      <c r="N3841" s="19">
        <f>IF(I3841="","",IFERROR(INDEX(ctaMon,MATCH(E3841,ctaNom,0))&amp;"","DOP"))</f>
        <v/>
      </c>
      <c r="O3841" s="20">
        <f>IF(I3841="","",C3841*IF(N3841="USD",TasaUSD,1))</f>
        <v/>
      </c>
      <c r="P3841" s="20">
        <f>IF(I3841="","",IF(I3841="Gasto",O3841,0))</f>
        <v/>
      </c>
      <c r="Q3841" s="20">
        <f>IF(I3841="","",IF(I3841="Ingreso",O3841,0))</f>
        <v/>
      </c>
      <c r="R3841" s="20">
        <f>IF(I3841="","",IF(I3841="Trading",O3841,0))</f>
        <v/>
      </c>
      <c r="S3841" s="19">
        <f>IF(I3841="","",IF(AND(I3841="Gasto",K3841="Variable",J3841&lt;&gt;"Trading",O3841&gt;0,O3841&lt;=Umbral),1,0))</f>
        <v/>
      </c>
      <c r="T3841" s="20">
        <f>IF(OR(I3841="",E3841=""),"",IF(OR(I3841="Gasto",I3841="Transferencia",I3841="Pago tarjeta"),-1,1)*C3841)</f>
        <v/>
      </c>
      <c r="U3841" s="20">
        <f>IF(OR(G3841="",AND(I3841&lt;&gt;"Transferencia",I3841&lt;&gt;"Pago tarjeta")),"",IF(IFERROR(INDEX(ctaMon,MATCH(G3841,ctaNom,0))&amp;"","DOP")=N3841,C3841,IF(N3841="USD",C3841*TasaUSD,C3841/TasaUSD)))</f>
        <v/>
      </c>
      <c r="V3841" s="20">
        <f>IF(I3841="","",IF(IFERROR(INDEX(ctaLiq,MATCH(E3841,ctaNom,0))="Sí",FALSE),IF(OR(I3841="Gasto",I3841="Transferencia",I3841="Pago tarjeta"),-1,1)*O3841,0)+IF(AND(U3841&lt;&gt;"",IFERROR(INDEX(ctaLiq,MATCH(G3841,ctaNom,0))="Sí",FALSE)),O3841,0))</f>
        <v/>
      </c>
      <c r="W3841" s="19">
        <f>IF(OR(F3841="",I3841=""),"",IF(COUNTIFS(F$6:F3841,F3841,I$6:I3841,"?*")=1,MAX(W$5:W3840)+1,""))</f>
        <v/>
      </c>
    </row>
    <row r="3842">
      <c r="B3842" s="15" t="n"/>
      <c r="C3842" s="16" t="n"/>
      <c r="D3842" s="17" t="n"/>
      <c r="E3842" s="17" t="n"/>
      <c r="F3842" s="17" t="n"/>
      <c r="G3842" s="17" t="n"/>
      <c r="H3842" s="18">
        <f>IF(AND(B3842="",C3842="",D3842="",E3842=""),"",IF(B3842="","⚠ Falta fecha",IF(C3842="","⚠ Falta monto",IF(D3842="","⚠ Falta categoría",IF(ISNA(MATCH(D3842,catNom,0)),"⚠ Categoría no existe",IF(E3842="","⚠ Falta cuenta",IF(ISNA(MATCH(E3842,ctaNom,0)),"⚠ Cuenta no existe",IF(AND(OR(I3842="Transferencia",I3842="Pago tarjeta"),G3842=""),"⚠ Indica la cuenta «Hacia»",IF(AND(G3842&lt;&gt;"",G3842=E3842),"⚠ «Hacia» igual a la cuenta",IF(AND(G3842&lt;&gt;"",ISNA(MATCH(G3842,ctaNom,0))),"⚠ «Hacia» no existe",IF(AND(I3842="Pago tarjeta",IFERROR(INDEX(ctaTipo,MATCH(G3842,ctaNom,0)),"")&lt;&gt;"Tarjeta de crédito"),"⚠ «Hacia» debe ser la tarjeta",IF(AND(I3842="Trading",IFERROR(INDEX(ctaTipo,MATCH(E3842,ctaNom,0)),"")&lt;&gt;"Cuenta de trading"),"⚠ Usa la cuenta de trading","✓"))))))))))))</f>
        <v/>
      </c>
      <c r="I3842" s="19">
        <f>IF(OR(B3842="",C3842="",D3842=""),"",IFERROR(INDEX(catTipo,MATCH(D3842,catNom,0))&amp;"",""))</f>
        <v/>
      </c>
      <c r="J3842" s="19">
        <f>IF(I3842="","",IFERROR(INDEX(catGrupo,MATCH(D3842,catNom,0))&amp;"",""))</f>
        <v/>
      </c>
      <c r="K3842" s="19">
        <f>IF(I3842="Gasto",IF(IFERROR(INDEX(catClas,MATCH(D3842,catNom,0))&amp;"","")="","Variable",IFERROR(INDEX(catClas,MATCH(D3842,catNom,0))&amp;"","")),"")</f>
        <v/>
      </c>
      <c r="L3842" s="19">
        <f>IF(I3842="","",IFERROR(INDEX(catAlim,MATCH(D3842,catNom,0))&amp;"",""))</f>
        <v/>
      </c>
      <c r="M3842" s="19">
        <f>IF(I3842="","",IFERROR(INDEX(catComida,MATCH(D3842,catNom,0))&amp;"",""))</f>
        <v/>
      </c>
      <c r="N3842" s="19">
        <f>IF(I3842="","",IFERROR(INDEX(ctaMon,MATCH(E3842,ctaNom,0))&amp;"","DOP"))</f>
        <v/>
      </c>
      <c r="O3842" s="20">
        <f>IF(I3842="","",C3842*IF(N3842="USD",TasaUSD,1))</f>
        <v/>
      </c>
      <c r="P3842" s="20">
        <f>IF(I3842="","",IF(I3842="Gasto",O3842,0))</f>
        <v/>
      </c>
      <c r="Q3842" s="20">
        <f>IF(I3842="","",IF(I3842="Ingreso",O3842,0))</f>
        <v/>
      </c>
      <c r="R3842" s="20">
        <f>IF(I3842="","",IF(I3842="Trading",O3842,0))</f>
        <v/>
      </c>
      <c r="S3842" s="19">
        <f>IF(I3842="","",IF(AND(I3842="Gasto",K3842="Variable",J3842&lt;&gt;"Trading",O3842&gt;0,O3842&lt;=Umbral),1,0))</f>
        <v/>
      </c>
      <c r="T3842" s="20">
        <f>IF(OR(I3842="",E3842=""),"",IF(OR(I3842="Gasto",I3842="Transferencia",I3842="Pago tarjeta"),-1,1)*C3842)</f>
        <v/>
      </c>
      <c r="U3842" s="20">
        <f>IF(OR(G3842="",AND(I3842&lt;&gt;"Transferencia",I3842&lt;&gt;"Pago tarjeta")),"",IF(IFERROR(INDEX(ctaMon,MATCH(G3842,ctaNom,0))&amp;"","DOP")=N3842,C3842,IF(N3842="USD",C3842*TasaUSD,C3842/TasaUSD)))</f>
        <v/>
      </c>
      <c r="V3842" s="20">
        <f>IF(I3842="","",IF(IFERROR(INDEX(ctaLiq,MATCH(E3842,ctaNom,0))="Sí",FALSE),IF(OR(I3842="Gasto",I3842="Transferencia",I3842="Pago tarjeta"),-1,1)*O3842,0)+IF(AND(U3842&lt;&gt;"",IFERROR(INDEX(ctaLiq,MATCH(G3842,ctaNom,0))="Sí",FALSE)),O3842,0))</f>
        <v/>
      </c>
      <c r="W3842" s="19">
        <f>IF(OR(F3842="",I3842=""),"",IF(COUNTIFS(F$6:F3842,F3842,I$6:I3842,"?*")=1,MAX(W$5:W3841)+1,""))</f>
        <v/>
      </c>
    </row>
    <row r="3843">
      <c r="B3843" s="15" t="n"/>
      <c r="C3843" s="16" t="n"/>
      <c r="D3843" s="17" t="n"/>
      <c r="E3843" s="17" t="n"/>
      <c r="F3843" s="17" t="n"/>
      <c r="G3843" s="17" t="n"/>
      <c r="H3843" s="18">
        <f>IF(AND(B3843="",C3843="",D3843="",E3843=""),"",IF(B3843="","⚠ Falta fecha",IF(C3843="","⚠ Falta monto",IF(D3843="","⚠ Falta categoría",IF(ISNA(MATCH(D3843,catNom,0)),"⚠ Categoría no existe",IF(E3843="","⚠ Falta cuenta",IF(ISNA(MATCH(E3843,ctaNom,0)),"⚠ Cuenta no existe",IF(AND(OR(I3843="Transferencia",I3843="Pago tarjeta"),G3843=""),"⚠ Indica la cuenta «Hacia»",IF(AND(G3843&lt;&gt;"",G3843=E3843),"⚠ «Hacia» igual a la cuenta",IF(AND(G3843&lt;&gt;"",ISNA(MATCH(G3843,ctaNom,0))),"⚠ «Hacia» no existe",IF(AND(I3843="Pago tarjeta",IFERROR(INDEX(ctaTipo,MATCH(G3843,ctaNom,0)),"")&lt;&gt;"Tarjeta de crédito"),"⚠ «Hacia» debe ser la tarjeta",IF(AND(I3843="Trading",IFERROR(INDEX(ctaTipo,MATCH(E3843,ctaNom,0)),"")&lt;&gt;"Cuenta de trading"),"⚠ Usa la cuenta de trading","✓"))))))))))))</f>
        <v/>
      </c>
      <c r="I3843" s="19">
        <f>IF(OR(B3843="",C3843="",D3843=""),"",IFERROR(INDEX(catTipo,MATCH(D3843,catNom,0))&amp;"",""))</f>
        <v/>
      </c>
      <c r="J3843" s="19">
        <f>IF(I3843="","",IFERROR(INDEX(catGrupo,MATCH(D3843,catNom,0))&amp;"",""))</f>
        <v/>
      </c>
      <c r="K3843" s="19">
        <f>IF(I3843="Gasto",IF(IFERROR(INDEX(catClas,MATCH(D3843,catNom,0))&amp;"","")="","Variable",IFERROR(INDEX(catClas,MATCH(D3843,catNom,0))&amp;"","")),"")</f>
        <v/>
      </c>
      <c r="L3843" s="19">
        <f>IF(I3843="","",IFERROR(INDEX(catAlim,MATCH(D3843,catNom,0))&amp;"",""))</f>
        <v/>
      </c>
      <c r="M3843" s="19">
        <f>IF(I3843="","",IFERROR(INDEX(catComida,MATCH(D3843,catNom,0))&amp;"",""))</f>
        <v/>
      </c>
      <c r="N3843" s="19">
        <f>IF(I3843="","",IFERROR(INDEX(ctaMon,MATCH(E3843,ctaNom,0))&amp;"","DOP"))</f>
        <v/>
      </c>
      <c r="O3843" s="20">
        <f>IF(I3843="","",C3843*IF(N3843="USD",TasaUSD,1))</f>
        <v/>
      </c>
      <c r="P3843" s="20">
        <f>IF(I3843="","",IF(I3843="Gasto",O3843,0))</f>
        <v/>
      </c>
      <c r="Q3843" s="20">
        <f>IF(I3843="","",IF(I3843="Ingreso",O3843,0))</f>
        <v/>
      </c>
      <c r="R3843" s="20">
        <f>IF(I3843="","",IF(I3843="Trading",O3843,0))</f>
        <v/>
      </c>
      <c r="S3843" s="19">
        <f>IF(I3843="","",IF(AND(I3843="Gasto",K3843="Variable",J3843&lt;&gt;"Trading",O3843&gt;0,O3843&lt;=Umbral),1,0))</f>
        <v/>
      </c>
      <c r="T3843" s="20">
        <f>IF(OR(I3843="",E3843=""),"",IF(OR(I3843="Gasto",I3843="Transferencia",I3843="Pago tarjeta"),-1,1)*C3843)</f>
        <v/>
      </c>
      <c r="U3843" s="20">
        <f>IF(OR(G3843="",AND(I3843&lt;&gt;"Transferencia",I3843&lt;&gt;"Pago tarjeta")),"",IF(IFERROR(INDEX(ctaMon,MATCH(G3843,ctaNom,0))&amp;"","DOP")=N3843,C3843,IF(N3843="USD",C3843*TasaUSD,C3843/TasaUSD)))</f>
        <v/>
      </c>
      <c r="V3843" s="20">
        <f>IF(I3843="","",IF(IFERROR(INDEX(ctaLiq,MATCH(E3843,ctaNom,0))="Sí",FALSE),IF(OR(I3843="Gasto",I3843="Transferencia",I3843="Pago tarjeta"),-1,1)*O3843,0)+IF(AND(U3843&lt;&gt;"",IFERROR(INDEX(ctaLiq,MATCH(G3843,ctaNom,0))="Sí",FALSE)),O3843,0))</f>
        <v/>
      </c>
      <c r="W3843" s="19">
        <f>IF(OR(F3843="",I3843=""),"",IF(COUNTIFS(F$6:F3843,F3843,I$6:I3843,"?*")=1,MAX(W$5:W3842)+1,""))</f>
        <v/>
      </c>
    </row>
    <row r="3844">
      <c r="B3844" s="15" t="n"/>
      <c r="C3844" s="16" t="n"/>
      <c r="D3844" s="17" t="n"/>
      <c r="E3844" s="17" t="n"/>
      <c r="F3844" s="17" t="n"/>
      <c r="G3844" s="17" t="n"/>
      <c r="H3844" s="18">
        <f>IF(AND(B3844="",C3844="",D3844="",E3844=""),"",IF(B3844="","⚠ Falta fecha",IF(C3844="","⚠ Falta monto",IF(D3844="","⚠ Falta categoría",IF(ISNA(MATCH(D3844,catNom,0)),"⚠ Categoría no existe",IF(E3844="","⚠ Falta cuenta",IF(ISNA(MATCH(E3844,ctaNom,0)),"⚠ Cuenta no existe",IF(AND(OR(I3844="Transferencia",I3844="Pago tarjeta"),G3844=""),"⚠ Indica la cuenta «Hacia»",IF(AND(G3844&lt;&gt;"",G3844=E3844),"⚠ «Hacia» igual a la cuenta",IF(AND(G3844&lt;&gt;"",ISNA(MATCH(G3844,ctaNom,0))),"⚠ «Hacia» no existe",IF(AND(I3844="Pago tarjeta",IFERROR(INDEX(ctaTipo,MATCH(G3844,ctaNom,0)),"")&lt;&gt;"Tarjeta de crédito"),"⚠ «Hacia» debe ser la tarjeta",IF(AND(I3844="Trading",IFERROR(INDEX(ctaTipo,MATCH(E3844,ctaNom,0)),"")&lt;&gt;"Cuenta de trading"),"⚠ Usa la cuenta de trading","✓"))))))))))))</f>
        <v/>
      </c>
      <c r="I3844" s="19">
        <f>IF(OR(B3844="",C3844="",D3844=""),"",IFERROR(INDEX(catTipo,MATCH(D3844,catNom,0))&amp;"",""))</f>
        <v/>
      </c>
      <c r="J3844" s="19">
        <f>IF(I3844="","",IFERROR(INDEX(catGrupo,MATCH(D3844,catNom,0))&amp;"",""))</f>
        <v/>
      </c>
      <c r="K3844" s="19">
        <f>IF(I3844="Gasto",IF(IFERROR(INDEX(catClas,MATCH(D3844,catNom,0))&amp;"","")="","Variable",IFERROR(INDEX(catClas,MATCH(D3844,catNom,0))&amp;"","")),"")</f>
        <v/>
      </c>
      <c r="L3844" s="19">
        <f>IF(I3844="","",IFERROR(INDEX(catAlim,MATCH(D3844,catNom,0))&amp;"",""))</f>
        <v/>
      </c>
      <c r="M3844" s="19">
        <f>IF(I3844="","",IFERROR(INDEX(catComida,MATCH(D3844,catNom,0))&amp;"",""))</f>
        <v/>
      </c>
      <c r="N3844" s="19">
        <f>IF(I3844="","",IFERROR(INDEX(ctaMon,MATCH(E3844,ctaNom,0))&amp;"","DOP"))</f>
        <v/>
      </c>
      <c r="O3844" s="20">
        <f>IF(I3844="","",C3844*IF(N3844="USD",TasaUSD,1))</f>
        <v/>
      </c>
      <c r="P3844" s="20">
        <f>IF(I3844="","",IF(I3844="Gasto",O3844,0))</f>
        <v/>
      </c>
      <c r="Q3844" s="20">
        <f>IF(I3844="","",IF(I3844="Ingreso",O3844,0))</f>
        <v/>
      </c>
      <c r="R3844" s="20">
        <f>IF(I3844="","",IF(I3844="Trading",O3844,0))</f>
        <v/>
      </c>
      <c r="S3844" s="19">
        <f>IF(I3844="","",IF(AND(I3844="Gasto",K3844="Variable",J3844&lt;&gt;"Trading",O3844&gt;0,O3844&lt;=Umbral),1,0))</f>
        <v/>
      </c>
      <c r="T3844" s="20">
        <f>IF(OR(I3844="",E3844=""),"",IF(OR(I3844="Gasto",I3844="Transferencia",I3844="Pago tarjeta"),-1,1)*C3844)</f>
        <v/>
      </c>
      <c r="U3844" s="20">
        <f>IF(OR(G3844="",AND(I3844&lt;&gt;"Transferencia",I3844&lt;&gt;"Pago tarjeta")),"",IF(IFERROR(INDEX(ctaMon,MATCH(G3844,ctaNom,0))&amp;"","DOP")=N3844,C3844,IF(N3844="USD",C3844*TasaUSD,C3844/TasaUSD)))</f>
        <v/>
      </c>
      <c r="V3844" s="20">
        <f>IF(I3844="","",IF(IFERROR(INDEX(ctaLiq,MATCH(E3844,ctaNom,0))="Sí",FALSE),IF(OR(I3844="Gasto",I3844="Transferencia",I3844="Pago tarjeta"),-1,1)*O3844,0)+IF(AND(U3844&lt;&gt;"",IFERROR(INDEX(ctaLiq,MATCH(G3844,ctaNom,0))="Sí",FALSE)),O3844,0))</f>
        <v/>
      </c>
      <c r="W3844" s="19">
        <f>IF(OR(F3844="",I3844=""),"",IF(COUNTIFS(F$6:F3844,F3844,I$6:I3844,"?*")=1,MAX(W$5:W3843)+1,""))</f>
        <v/>
      </c>
    </row>
    <row r="3845">
      <c r="B3845" s="15" t="n"/>
      <c r="C3845" s="16" t="n"/>
      <c r="D3845" s="17" t="n"/>
      <c r="E3845" s="17" t="n"/>
      <c r="F3845" s="17" t="n"/>
      <c r="G3845" s="17" t="n"/>
      <c r="H3845" s="18">
        <f>IF(AND(B3845="",C3845="",D3845="",E3845=""),"",IF(B3845="","⚠ Falta fecha",IF(C3845="","⚠ Falta monto",IF(D3845="","⚠ Falta categoría",IF(ISNA(MATCH(D3845,catNom,0)),"⚠ Categoría no existe",IF(E3845="","⚠ Falta cuenta",IF(ISNA(MATCH(E3845,ctaNom,0)),"⚠ Cuenta no existe",IF(AND(OR(I3845="Transferencia",I3845="Pago tarjeta"),G3845=""),"⚠ Indica la cuenta «Hacia»",IF(AND(G3845&lt;&gt;"",G3845=E3845),"⚠ «Hacia» igual a la cuenta",IF(AND(G3845&lt;&gt;"",ISNA(MATCH(G3845,ctaNom,0))),"⚠ «Hacia» no existe",IF(AND(I3845="Pago tarjeta",IFERROR(INDEX(ctaTipo,MATCH(G3845,ctaNom,0)),"")&lt;&gt;"Tarjeta de crédito"),"⚠ «Hacia» debe ser la tarjeta",IF(AND(I3845="Trading",IFERROR(INDEX(ctaTipo,MATCH(E3845,ctaNom,0)),"")&lt;&gt;"Cuenta de trading"),"⚠ Usa la cuenta de trading","✓"))))))))))))</f>
        <v/>
      </c>
      <c r="I3845" s="19">
        <f>IF(OR(B3845="",C3845="",D3845=""),"",IFERROR(INDEX(catTipo,MATCH(D3845,catNom,0))&amp;"",""))</f>
        <v/>
      </c>
      <c r="J3845" s="19">
        <f>IF(I3845="","",IFERROR(INDEX(catGrupo,MATCH(D3845,catNom,0))&amp;"",""))</f>
        <v/>
      </c>
      <c r="K3845" s="19">
        <f>IF(I3845="Gasto",IF(IFERROR(INDEX(catClas,MATCH(D3845,catNom,0))&amp;"","")="","Variable",IFERROR(INDEX(catClas,MATCH(D3845,catNom,0))&amp;"","")),"")</f>
        <v/>
      </c>
      <c r="L3845" s="19">
        <f>IF(I3845="","",IFERROR(INDEX(catAlim,MATCH(D3845,catNom,0))&amp;"",""))</f>
        <v/>
      </c>
      <c r="M3845" s="19">
        <f>IF(I3845="","",IFERROR(INDEX(catComida,MATCH(D3845,catNom,0))&amp;"",""))</f>
        <v/>
      </c>
      <c r="N3845" s="19">
        <f>IF(I3845="","",IFERROR(INDEX(ctaMon,MATCH(E3845,ctaNom,0))&amp;"","DOP"))</f>
        <v/>
      </c>
      <c r="O3845" s="20">
        <f>IF(I3845="","",C3845*IF(N3845="USD",TasaUSD,1))</f>
        <v/>
      </c>
      <c r="P3845" s="20">
        <f>IF(I3845="","",IF(I3845="Gasto",O3845,0))</f>
        <v/>
      </c>
      <c r="Q3845" s="20">
        <f>IF(I3845="","",IF(I3845="Ingreso",O3845,0))</f>
        <v/>
      </c>
      <c r="R3845" s="20">
        <f>IF(I3845="","",IF(I3845="Trading",O3845,0))</f>
        <v/>
      </c>
      <c r="S3845" s="19">
        <f>IF(I3845="","",IF(AND(I3845="Gasto",K3845="Variable",J3845&lt;&gt;"Trading",O3845&gt;0,O3845&lt;=Umbral),1,0))</f>
        <v/>
      </c>
      <c r="T3845" s="20">
        <f>IF(OR(I3845="",E3845=""),"",IF(OR(I3845="Gasto",I3845="Transferencia",I3845="Pago tarjeta"),-1,1)*C3845)</f>
        <v/>
      </c>
      <c r="U3845" s="20">
        <f>IF(OR(G3845="",AND(I3845&lt;&gt;"Transferencia",I3845&lt;&gt;"Pago tarjeta")),"",IF(IFERROR(INDEX(ctaMon,MATCH(G3845,ctaNom,0))&amp;"","DOP")=N3845,C3845,IF(N3845="USD",C3845*TasaUSD,C3845/TasaUSD)))</f>
        <v/>
      </c>
      <c r="V3845" s="20">
        <f>IF(I3845="","",IF(IFERROR(INDEX(ctaLiq,MATCH(E3845,ctaNom,0))="Sí",FALSE),IF(OR(I3845="Gasto",I3845="Transferencia",I3845="Pago tarjeta"),-1,1)*O3845,0)+IF(AND(U3845&lt;&gt;"",IFERROR(INDEX(ctaLiq,MATCH(G3845,ctaNom,0))="Sí",FALSE)),O3845,0))</f>
        <v/>
      </c>
      <c r="W3845" s="19">
        <f>IF(OR(F3845="",I3845=""),"",IF(COUNTIFS(F$6:F3845,F3845,I$6:I3845,"?*")=1,MAX(W$5:W3844)+1,""))</f>
        <v/>
      </c>
    </row>
    <row r="3846">
      <c r="B3846" s="15" t="n"/>
      <c r="C3846" s="16" t="n"/>
      <c r="D3846" s="17" t="n"/>
      <c r="E3846" s="17" t="n"/>
      <c r="F3846" s="17" t="n"/>
      <c r="G3846" s="17" t="n"/>
      <c r="H3846" s="18">
        <f>IF(AND(B3846="",C3846="",D3846="",E3846=""),"",IF(B3846="","⚠ Falta fecha",IF(C3846="","⚠ Falta monto",IF(D3846="","⚠ Falta categoría",IF(ISNA(MATCH(D3846,catNom,0)),"⚠ Categoría no existe",IF(E3846="","⚠ Falta cuenta",IF(ISNA(MATCH(E3846,ctaNom,0)),"⚠ Cuenta no existe",IF(AND(OR(I3846="Transferencia",I3846="Pago tarjeta"),G3846=""),"⚠ Indica la cuenta «Hacia»",IF(AND(G3846&lt;&gt;"",G3846=E3846),"⚠ «Hacia» igual a la cuenta",IF(AND(G3846&lt;&gt;"",ISNA(MATCH(G3846,ctaNom,0))),"⚠ «Hacia» no existe",IF(AND(I3846="Pago tarjeta",IFERROR(INDEX(ctaTipo,MATCH(G3846,ctaNom,0)),"")&lt;&gt;"Tarjeta de crédito"),"⚠ «Hacia» debe ser la tarjeta",IF(AND(I3846="Trading",IFERROR(INDEX(ctaTipo,MATCH(E3846,ctaNom,0)),"")&lt;&gt;"Cuenta de trading"),"⚠ Usa la cuenta de trading","✓"))))))))))))</f>
        <v/>
      </c>
      <c r="I3846" s="19">
        <f>IF(OR(B3846="",C3846="",D3846=""),"",IFERROR(INDEX(catTipo,MATCH(D3846,catNom,0))&amp;"",""))</f>
        <v/>
      </c>
      <c r="J3846" s="19">
        <f>IF(I3846="","",IFERROR(INDEX(catGrupo,MATCH(D3846,catNom,0))&amp;"",""))</f>
        <v/>
      </c>
      <c r="K3846" s="19">
        <f>IF(I3846="Gasto",IF(IFERROR(INDEX(catClas,MATCH(D3846,catNom,0))&amp;"","")="","Variable",IFERROR(INDEX(catClas,MATCH(D3846,catNom,0))&amp;"","")),"")</f>
        <v/>
      </c>
      <c r="L3846" s="19">
        <f>IF(I3846="","",IFERROR(INDEX(catAlim,MATCH(D3846,catNom,0))&amp;"",""))</f>
        <v/>
      </c>
      <c r="M3846" s="19">
        <f>IF(I3846="","",IFERROR(INDEX(catComida,MATCH(D3846,catNom,0))&amp;"",""))</f>
        <v/>
      </c>
      <c r="N3846" s="19">
        <f>IF(I3846="","",IFERROR(INDEX(ctaMon,MATCH(E3846,ctaNom,0))&amp;"","DOP"))</f>
        <v/>
      </c>
      <c r="O3846" s="20">
        <f>IF(I3846="","",C3846*IF(N3846="USD",TasaUSD,1))</f>
        <v/>
      </c>
      <c r="P3846" s="20">
        <f>IF(I3846="","",IF(I3846="Gasto",O3846,0))</f>
        <v/>
      </c>
      <c r="Q3846" s="20">
        <f>IF(I3846="","",IF(I3846="Ingreso",O3846,0))</f>
        <v/>
      </c>
      <c r="R3846" s="20">
        <f>IF(I3846="","",IF(I3846="Trading",O3846,0))</f>
        <v/>
      </c>
      <c r="S3846" s="19">
        <f>IF(I3846="","",IF(AND(I3846="Gasto",K3846="Variable",J3846&lt;&gt;"Trading",O3846&gt;0,O3846&lt;=Umbral),1,0))</f>
        <v/>
      </c>
      <c r="T3846" s="20">
        <f>IF(OR(I3846="",E3846=""),"",IF(OR(I3846="Gasto",I3846="Transferencia",I3846="Pago tarjeta"),-1,1)*C3846)</f>
        <v/>
      </c>
      <c r="U3846" s="20">
        <f>IF(OR(G3846="",AND(I3846&lt;&gt;"Transferencia",I3846&lt;&gt;"Pago tarjeta")),"",IF(IFERROR(INDEX(ctaMon,MATCH(G3846,ctaNom,0))&amp;"","DOP")=N3846,C3846,IF(N3846="USD",C3846*TasaUSD,C3846/TasaUSD)))</f>
        <v/>
      </c>
      <c r="V3846" s="20">
        <f>IF(I3846="","",IF(IFERROR(INDEX(ctaLiq,MATCH(E3846,ctaNom,0))="Sí",FALSE),IF(OR(I3846="Gasto",I3846="Transferencia",I3846="Pago tarjeta"),-1,1)*O3846,0)+IF(AND(U3846&lt;&gt;"",IFERROR(INDEX(ctaLiq,MATCH(G3846,ctaNom,0))="Sí",FALSE)),O3846,0))</f>
        <v/>
      </c>
      <c r="W3846" s="19">
        <f>IF(OR(F3846="",I3846=""),"",IF(COUNTIFS(F$6:F3846,F3846,I$6:I3846,"?*")=1,MAX(W$5:W3845)+1,""))</f>
        <v/>
      </c>
    </row>
    <row r="3847">
      <c r="B3847" s="15" t="n"/>
      <c r="C3847" s="16" t="n"/>
      <c r="D3847" s="17" t="n"/>
      <c r="E3847" s="17" t="n"/>
      <c r="F3847" s="17" t="n"/>
      <c r="G3847" s="17" t="n"/>
      <c r="H3847" s="18">
        <f>IF(AND(B3847="",C3847="",D3847="",E3847=""),"",IF(B3847="","⚠ Falta fecha",IF(C3847="","⚠ Falta monto",IF(D3847="","⚠ Falta categoría",IF(ISNA(MATCH(D3847,catNom,0)),"⚠ Categoría no existe",IF(E3847="","⚠ Falta cuenta",IF(ISNA(MATCH(E3847,ctaNom,0)),"⚠ Cuenta no existe",IF(AND(OR(I3847="Transferencia",I3847="Pago tarjeta"),G3847=""),"⚠ Indica la cuenta «Hacia»",IF(AND(G3847&lt;&gt;"",G3847=E3847),"⚠ «Hacia» igual a la cuenta",IF(AND(G3847&lt;&gt;"",ISNA(MATCH(G3847,ctaNom,0))),"⚠ «Hacia» no existe",IF(AND(I3847="Pago tarjeta",IFERROR(INDEX(ctaTipo,MATCH(G3847,ctaNom,0)),"")&lt;&gt;"Tarjeta de crédito"),"⚠ «Hacia» debe ser la tarjeta",IF(AND(I3847="Trading",IFERROR(INDEX(ctaTipo,MATCH(E3847,ctaNom,0)),"")&lt;&gt;"Cuenta de trading"),"⚠ Usa la cuenta de trading","✓"))))))))))))</f>
        <v/>
      </c>
      <c r="I3847" s="19">
        <f>IF(OR(B3847="",C3847="",D3847=""),"",IFERROR(INDEX(catTipo,MATCH(D3847,catNom,0))&amp;"",""))</f>
        <v/>
      </c>
      <c r="J3847" s="19">
        <f>IF(I3847="","",IFERROR(INDEX(catGrupo,MATCH(D3847,catNom,0))&amp;"",""))</f>
        <v/>
      </c>
      <c r="K3847" s="19">
        <f>IF(I3847="Gasto",IF(IFERROR(INDEX(catClas,MATCH(D3847,catNom,0))&amp;"","")="","Variable",IFERROR(INDEX(catClas,MATCH(D3847,catNom,0))&amp;"","")),"")</f>
        <v/>
      </c>
      <c r="L3847" s="19">
        <f>IF(I3847="","",IFERROR(INDEX(catAlim,MATCH(D3847,catNom,0))&amp;"",""))</f>
        <v/>
      </c>
      <c r="M3847" s="19">
        <f>IF(I3847="","",IFERROR(INDEX(catComida,MATCH(D3847,catNom,0))&amp;"",""))</f>
        <v/>
      </c>
      <c r="N3847" s="19">
        <f>IF(I3847="","",IFERROR(INDEX(ctaMon,MATCH(E3847,ctaNom,0))&amp;"","DOP"))</f>
        <v/>
      </c>
      <c r="O3847" s="20">
        <f>IF(I3847="","",C3847*IF(N3847="USD",TasaUSD,1))</f>
        <v/>
      </c>
      <c r="P3847" s="20">
        <f>IF(I3847="","",IF(I3847="Gasto",O3847,0))</f>
        <v/>
      </c>
      <c r="Q3847" s="20">
        <f>IF(I3847="","",IF(I3847="Ingreso",O3847,0))</f>
        <v/>
      </c>
      <c r="R3847" s="20">
        <f>IF(I3847="","",IF(I3847="Trading",O3847,0))</f>
        <v/>
      </c>
      <c r="S3847" s="19">
        <f>IF(I3847="","",IF(AND(I3847="Gasto",K3847="Variable",J3847&lt;&gt;"Trading",O3847&gt;0,O3847&lt;=Umbral),1,0))</f>
        <v/>
      </c>
      <c r="T3847" s="20">
        <f>IF(OR(I3847="",E3847=""),"",IF(OR(I3847="Gasto",I3847="Transferencia",I3847="Pago tarjeta"),-1,1)*C3847)</f>
        <v/>
      </c>
      <c r="U3847" s="20">
        <f>IF(OR(G3847="",AND(I3847&lt;&gt;"Transferencia",I3847&lt;&gt;"Pago tarjeta")),"",IF(IFERROR(INDEX(ctaMon,MATCH(G3847,ctaNom,0))&amp;"","DOP")=N3847,C3847,IF(N3847="USD",C3847*TasaUSD,C3847/TasaUSD)))</f>
        <v/>
      </c>
      <c r="V3847" s="20">
        <f>IF(I3847="","",IF(IFERROR(INDEX(ctaLiq,MATCH(E3847,ctaNom,0))="Sí",FALSE),IF(OR(I3847="Gasto",I3847="Transferencia",I3847="Pago tarjeta"),-1,1)*O3847,0)+IF(AND(U3847&lt;&gt;"",IFERROR(INDEX(ctaLiq,MATCH(G3847,ctaNom,0))="Sí",FALSE)),O3847,0))</f>
        <v/>
      </c>
      <c r="W3847" s="19">
        <f>IF(OR(F3847="",I3847=""),"",IF(COUNTIFS(F$6:F3847,F3847,I$6:I3847,"?*")=1,MAX(W$5:W3846)+1,""))</f>
        <v/>
      </c>
    </row>
    <row r="3848">
      <c r="B3848" s="15" t="n"/>
      <c r="C3848" s="16" t="n"/>
      <c r="D3848" s="17" t="n"/>
      <c r="E3848" s="17" t="n"/>
      <c r="F3848" s="17" t="n"/>
      <c r="G3848" s="17" t="n"/>
      <c r="H3848" s="18">
        <f>IF(AND(B3848="",C3848="",D3848="",E3848=""),"",IF(B3848="","⚠ Falta fecha",IF(C3848="","⚠ Falta monto",IF(D3848="","⚠ Falta categoría",IF(ISNA(MATCH(D3848,catNom,0)),"⚠ Categoría no existe",IF(E3848="","⚠ Falta cuenta",IF(ISNA(MATCH(E3848,ctaNom,0)),"⚠ Cuenta no existe",IF(AND(OR(I3848="Transferencia",I3848="Pago tarjeta"),G3848=""),"⚠ Indica la cuenta «Hacia»",IF(AND(G3848&lt;&gt;"",G3848=E3848),"⚠ «Hacia» igual a la cuenta",IF(AND(G3848&lt;&gt;"",ISNA(MATCH(G3848,ctaNom,0))),"⚠ «Hacia» no existe",IF(AND(I3848="Pago tarjeta",IFERROR(INDEX(ctaTipo,MATCH(G3848,ctaNom,0)),"")&lt;&gt;"Tarjeta de crédito"),"⚠ «Hacia» debe ser la tarjeta",IF(AND(I3848="Trading",IFERROR(INDEX(ctaTipo,MATCH(E3848,ctaNom,0)),"")&lt;&gt;"Cuenta de trading"),"⚠ Usa la cuenta de trading","✓"))))))))))))</f>
        <v/>
      </c>
      <c r="I3848" s="19">
        <f>IF(OR(B3848="",C3848="",D3848=""),"",IFERROR(INDEX(catTipo,MATCH(D3848,catNom,0))&amp;"",""))</f>
        <v/>
      </c>
      <c r="J3848" s="19">
        <f>IF(I3848="","",IFERROR(INDEX(catGrupo,MATCH(D3848,catNom,0))&amp;"",""))</f>
        <v/>
      </c>
      <c r="K3848" s="19">
        <f>IF(I3848="Gasto",IF(IFERROR(INDEX(catClas,MATCH(D3848,catNom,0))&amp;"","")="","Variable",IFERROR(INDEX(catClas,MATCH(D3848,catNom,0))&amp;"","")),"")</f>
        <v/>
      </c>
      <c r="L3848" s="19">
        <f>IF(I3848="","",IFERROR(INDEX(catAlim,MATCH(D3848,catNom,0))&amp;"",""))</f>
        <v/>
      </c>
      <c r="M3848" s="19">
        <f>IF(I3848="","",IFERROR(INDEX(catComida,MATCH(D3848,catNom,0))&amp;"",""))</f>
        <v/>
      </c>
      <c r="N3848" s="19">
        <f>IF(I3848="","",IFERROR(INDEX(ctaMon,MATCH(E3848,ctaNom,0))&amp;"","DOP"))</f>
        <v/>
      </c>
      <c r="O3848" s="20">
        <f>IF(I3848="","",C3848*IF(N3848="USD",TasaUSD,1))</f>
        <v/>
      </c>
      <c r="P3848" s="20">
        <f>IF(I3848="","",IF(I3848="Gasto",O3848,0))</f>
        <v/>
      </c>
      <c r="Q3848" s="20">
        <f>IF(I3848="","",IF(I3848="Ingreso",O3848,0))</f>
        <v/>
      </c>
      <c r="R3848" s="20">
        <f>IF(I3848="","",IF(I3848="Trading",O3848,0))</f>
        <v/>
      </c>
      <c r="S3848" s="19">
        <f>IF(I3848="","",IF(AND(I3848="Gasto",K3848="Variable",J3848&lt;&gt;"Trading",O3848&gt;0,O3848&lt;=Umbral),1,0))</f>
        <v/>
      </c>
      <c r="T3848" s="20">
        <f>IF(OR(I3848="",E3848=""),"",IF(OR(I3848="Gasto",I3848="Transferencia",I3848="Pago tarjeta"),-1,1)*C3848)</f>
        <v/>
      </c>
      <c r="U3848" s="20">
        <f>IF(OR(G3848="",AND(I3848&lt;&gt;"Transferencia",I3848&lt;&gt;"Pago tarjeta")),"",IF(IFERROR(INDEX(ctaMon,MATCH(G3848,ctaNom,0))&amp;"","DOP")=N3848,C3848,IF(N3848="USD",C3848*TasaUSD,C3848/TasaUSD)))</f>
        <v/>
      </c>
      <c r="V3848" s="20">
        <f>IF(I3848="","",IF(IFERROR(INDEX(ctaLiq,MATCH(E3848,ctaNom,0))="Sí",FALSE),IF(OR(I3848="Gasto",I3848="Transferencia",I3848="Pago tarjeta"),-1,1)*O3848,0)+IF(AND(U3848&lt;&gt;"",IFERROR(INDEX(ctaLiq,MATCH(G3848,ctaNom,0))="Sí",FALSE)),O3848,0))</f>
        <v/>
      </c>
      <c r="W3848" s="19">
        <f>IF(OR(F3848="",I3848=""),"",IF(COUNTIFS(F$6:F3848,F3848,I$6:I3848,"?*")=1,MAX(W$5:W3847)+1,""))</f>
        <v/>
      </c>
    </row>
    <row r="3849">
      <c r="B3849" s="15" t="n"/>
      <c r="C3849" s="16" t="n"/>
      <c r="D3849" s="17" t="n"/>
      <c r="E3849" s="17" t="n"/>
      <c r="F3849" s="17" t="n"/>
      <c r="G3849" s="17" t="n"/>
      <c r="H3849" s="18">
        <f>IF(AND(B3849="",C3849="",D3849="",E3849=""),"",IF(B3849="","⚠ Falta fecha",IF(C3849="","⚠ Falta monto",IF(D3849="","⚠ Falta categoría",IF(ISNA(MATCH(D3849,catNom,0)),"⚠ Categoría no existe",IF(E3849="","⚠ Falta cuenta",IF(ISNA(MATCH(E3849,ctaNom,0)),"⚠ Cuenta no existe",IF(AND(OR(I3849="Transferencia",I3849="Pago tarjeta"),G3849=""),"⚠ Indica la cuenta «Hacia»",IF(AND(G3849&lt;&gt;"",G3849=E3849),"⚠ «Hacia» igual a la cuenta",IF(AND(G3849&lt;&gt;"",ISNA(MATCH(G3849,ctaNom,0))),"⚠ «Hacia» no existe",IF(AND(I3849="Pago tarjeta",IFERROR(INDEX(ctaTipo,MATCH(G3849,ctaNom,0)),"")&lt;&gt;"Tarjeta de crédito"),"⚠ «Hacia» debe ser la tarjeta",IF(AND(I3849="Trading",IFERROR(INDEX(ctaTipo,MATCH(E3849,ctaNom,0)),"")&lt;&gt;"Cuenta de trading"),"⚠ Usa la cuenta de trading","✓"))))))))))))</f>
        <v/>
      </c>
      <c r="I3849" s="19">
        <f>IF(OR(B3849="",C3849="",D3849=""),"",IFERROR(INDEX(catTipo,MATCH(D3849,catNom,0))&amp;"",""))</f>
        <v/>
      </c>
      <c r="J3849" s="19">
        <f>IF(I3849="","",IFERROR(INDEX(catGrupo,MATCH(D3849,catNom,0))&amp;"",""))</f>
        <v/>
      </c>
      <c r="K3849" s="19">
        <f>IF(I3849="Gasto",IF(IFERROR(INDEX(catClas,MATCH(D3849,catNom,0))&amp;"","")="","Variable",IFERROR(INDEX(catClas,MATCH(D3849,catNom,0))&amp;"","")),"")</f>
        <v/>
      </c>
      <c r="L3849" s="19">
        <f>IF(I3849="","",IFERROR(INDEX(catAlim,MATCH(D3849,catNom,0))&amp;"",""))</f>
        <v/>
      </c>
      <c r="M3849" s="19">
        <f>IF(I3849="","",IFERROR(INDEX(catComida,MATCH(D3849,catNom,0))&amp;"",""))</f>
        <v/>
      </c>
      <c r="N3849" s="19">
        <f>IF(I3849="","",IFERROR(INDEX(ctaMon,MATCH(E3849,ctaNom,0))&amp;"","DOP"))</f>
        <v/>
      </c>
      <c r="O3849" s="20">
        <f>IF(I3849="","",C3849*IF(N3849="USD",TasaUSD,1))</f>
        <v/>
      </c>
      <c r="P3849" s="20">
        <f>IF(I3849="","",IF(I3849="Gasto",O3849,0))</f>
        <v/>
      </c>
      <c r="Q3849" s="20">
        <f>IF(I3849="","",IF(I3849="Ingreso",O3849,0))</f>
        <v/>
      </c>
      <c r="R3849" s="20">
        <f>IF(I3849="","",IF(I3849="Trading",O3849,0))</f>
        <v/>
      </c>
      <c r="S3849" s="19">
        <f>IF(I3849="","",IF(AND(I3849="Gasto",K3849="Variable",J3849&lt;&gt;"Trading",O3849&gt;0,O3849&lt;=Umbral),1,0))</f>
        <v/>
      </c>
      <c r="T3849" s="20">
        <f>IF(OR(I3849="",E3849=""),"",IF(OR(I3849="Gasto",I3849="Transferencia",I3849="Pago tarjeta"),-1,1)*C3849)</f>
        <v/>
      </c>
      <c r="U3849" s="20">
        <f>IF(OR(G3849="",AND(I3849&lt;&gt;"Transferencia",I3849&lt;&gt;"Pago tarjeta")),"",IF(IFERROR(INDEX(ctaMon,MATCH(G3849,ctaNom,0))&amp;"","DOP")=N3849,C3849,IF(N3849="USD",C3849*TasaUSD,C3849/TasaUSD)))</f>
        <v/>
      </c>
      <c r="V3849" s="20">
        <f>IF(I3849="","",IF(IFERROR(INDEX(ctaLiq,MATCH(E3849,ctaNom,0))="Sí",FALSE),IF(OR(I3849="Gasto",I3849="Transferencia",I3849="Pago tarjeta"),-1,1)*O3849,0)+IF(AND(U3849&lt;&gt;"",IFERROR(INDEX(ctaLiq,MATCH(G3849,ctaNom,0))="Sí",FALSE)),O3849,0))</f>
        <v/>
      </c>
      <c r="W3849" s="19">
        <f>IF(OR(F3849="",I3849=""),"",IF(COUNTIFS(F$6:F3849,F3849,I$6:I3849,"?*")=1,MAX(W$5:W3848)+1,""))</f>
        <v/>
      </c>
    </row>
    <row r="3850">
      <c r="B3850" s="15" t="n"/>
      <c r="C3850" s="16" t="n"/>
      <c r="D3850" s="17" t="n"/>
      <c r="E3850" s="17" t="n"/>
      <c r="F3850" s="17" t="n"/>
      <c r="G3850" s="17" t="n"/>
      <c r="H3850" s="18">
        <f>IF(AND(B3850="",C3850="",D3850="",E3850=""),"",IF(B3850="","⚠ Falta fecha",IF(C3850="","⚠ Falta monto",IF(D3850="","⚠ Falta categoría",IF(ISNA(MATCH(D3850,catNom,0)),"⚠ Categoría no existe",IF(E3850="","⚠ Falta cuenta",IF(ISNA(MATCH(E3850,ctaNom,0)),"⚠ Cuenta no existe",IF(AND(OR(I3850="Transferencia",I3850="Pago tarjeta"),G3850=""),"⚠ Indica la cuenta «Hacia»",IF(AND(G3850&lt;&gt;"",G3850=E3850),"⚠ «Hacia» igual a la cuenta",IF(AND(G3850&lt;&gt;"",ISNA(MATCH(G3850,ctaNom,0))),"⚠ «Hacia» no existe",IF(AND(I3850="Pago tarjeta",IFERROR(INDEX(ctaTipo,MATCH(G3850,ctaNom,0)),"")&lt;&gt;"Tarjeta de crédito"),"⚠ «Hacia» debe ser la tarjeta",IF(AND(I3850="Trading",IFERROR(INDEX(ctaTipo,MATCH(E3850,ctaNom,0)),"")&lt;&gt;"Cuenta de trading"),"⚠ Usa la cuenta de trading","✓"))))))))))))</f>
        <v/>
      </c>
      <c r="I3850" s="19">
        <f>IF(OR(B3850="",C3850="",D3850=""),"",IFERROR(INDEX(catTipo,MATCH(D3850,catNom,0))&amp;"",""))</f>
        <v/>
      </c>
      <c r="J3850" s="19">
        <f>IF(I3850="","",IFERROR(INDEX(catGrupo,MATCH(D3850,catNom,0))&amp;"",""))</f>
        <v/>
      </c>
      <c r="K3850" s="19">
        <f>IF(I3850="Gasto",IF(IFERROR(INDEX(catClas,MATCH(D3850,catNom,0))&amp;"","")="","Variable",IFERROR(INDEX(catClas,MATCH(D3850,catNom,0))&amp;"","")),"")</f>
        <v/>
      </c>
      <c r="L3850" s="19">
        <f>IF(I3850="","",IFERROR(INDEX(catAlim,MATCH(D3850,catNom,0))&amp;"",""))</f>
        <v/>
      </c>
      <c r="M3850" s="19">
        <f>IF(I3850="","",IFERROR(INDEX(catComida,MATCH(D3850,catNom,0))&amp;"",""))</f>
        <v/>
      </c>
      <c r="N3850" s="19">
        <f>IF(I3850="","",IFERROR(INDEX(ctaMon,MATCH(E3850,ctaNom,0))&amp;"","DOP"))</f>
        <v/>
      </c>
      <c r="O3850" s="20">
        <f>IF(I3850="","",C3850*IF(N3850="USD",TasaUSD,1))</f>
        <v/>
      </c>
      <c r="P3850" s="20">
        <f>IF(I3850="","",IF(I3850="Gasto",O3850,0))</f>
        <v/>
      </c>
      <c r="Q3850" s="20">
        <f>IF(I3850="","",IF(I3850="Ingreso",O3850,0))</f>
        <v/>
      </c>
      <c r="R3850" s="20">
        <f>IF(I3850="","",IF(I3850="Trading",O3850,0))</f>
        <v/>
      </c>
      <c r="S3850" s="19">
        <f>IF(I3850="","",IF(AND(I3850="Gasto",K3850="Variable",J3850&lt;&gt;"Trading",O3850&gt;0,O3850&lt;=Umbral),1,0))</f>
        <v/>
      </c>
      <c r="T3850" s="20">
        <f>IF(OR(I3850="",E3850=""),"",IF(OR(I3850="Gasto",I3850="Transferencia",I3850="Pago tarjeta"),-1,1)*C3850)</f>
        <v/>
      </c>
      <c r="U3850" s="20">
        <f>IF(OR(G3850="",AND(I3850&lt;&gt;"Transferencia",I3850&lt;&gt;"Pago tarjeta")),"",IF(IFERROR(INDEX(ctaMon,MATCH(G3850,ctaNom,0))&amp;"","DOP")=N3850,C3850,IF(N3850="USD",C3850*TasaUSD,C3850/TasaUSD)))</f>
        <v/>
      </c>
      <c r="V3850" s="20">
        <f>IF(I3850="","",IF(IFERROR(INDEX(ctaLiq,MATCH(E3850,ctaNom,0))="Sí",FALSE),IF(OR(I3850="Gasto",I3850="Transferencia",I3850="Pago tarjeta"),-1,1)*O3850,0)+IF(AND(U3850&lt;&gt;"",IFERROR(INDEX(ctaLiq,MATCH(G3850,ctaNom,0))="Sí",FALSE)),O3850,0))</f>
        <v/>
      </c>
      <c r="W3850" s="19">
        <f>IF(OR(F3850="",I3850=""),"",IF(COUNTIFS(F$6:F3850,F3850,I$6:I3850,"?*")=1,MAX(W$5:W3849)+1,""))</f>
        <v/>
      </c>
    </row>
    <row r="3851">
      <c r="B3851" s="15" t="n"/>
      <c r="C3851" s="16" t="n"/>
      <c r="D3851" s="17" t="n"/>
      <c r="E3851" s="17" t="n"/>
      <c r="F3851" s="17" t="n"/>
      <c r="G3851" s="17" t="n"/>
      <c r="H3851" s="18">
        <f>IF(AND(B3851="",C3851="",D3851="",E3851=""),"",IF(B3851="","⚠ Falta fecha",IF(C3851="","⚠ Falta monto",IF(D3851="","⚠ Falta categoría",IF(ISNA(MATCH(D3851,catNom,0)),"⚠ Categoría no existe",IF(E3851="","⚠ Falta cuenta",IF(ISNA(MATCH(E3851,ctaNom,0)),"⚠ Cuenta no existe",IF(AND(OR(I3851="Transferencia",I3851="Pago tarjeta"),G3851=""),"⚠ Indica la cuenta «Hacia»",IF(AND(G3851&lt;&gt;"",G3851=E3851),"⚠ «Hacia» igual a la cuenta",IF(AND(G3851&lt;&gt;"",ISNA(MATCH(G3851,ctaNom,0))),"⚠ «Hacia» no existe",IF(AND(I3851="Pago tarjeta",IFERROR(INDEX(ctaTipo,MATCH(G3851,ctaNom,0)),"")&lt;&gt;"Tarjeta de crédito"),"⚠ «Hacia» debe ser la tarjeta",IF(AND(I3851="Trading",IFERROR(INDEX(ctaTipo,MATCH(E3851,ctaNom,0)),"")&lt;&gt;"Cuenta de trading"),"⚠ Usa la cuenta de trading","✓"))))))))))))</f>
        <v/>
      </c>
      <c r="I3851" s="19">
        <f>IF(OR(B3851="",C3851="",D3851=""),"",IFERROR(INDEX(catTipo,MATCH(D3851,catNom,0))&amp;"",""))</f>
        <v/>
      </c>
      <c r="J3851" s="19">
        <f>IF(I3851="","",IFERROR(INDEX(catGrupo,MATCH(D3851,catNom,0))&amp;"",""))</f>
        <v/>
      </c>
      <c r="K3851" s="19">
        <f>IF(I3851="Gasto",IF(IFERROR(INDEX(catClas,MATCH(D3851,catNom,0))&amp;"","")="","Variable",IFERROR(INDEX(catClas,MATCH(D3851,catNom,0))&amp;"","")),"")</f>
        <v/>
      </c>
      <c r="L3851" s="19">
        <f>IF(I3851="","",IFERROR(INDEX(catAlim,MATCH(D3851,catNom,0))&amp;"",""))</f>
        <v/>
      </c>
      <c r="M3851" s="19">
        <f>IF(I3851="","",IFERROR(INDEX(catComida,MATCH(D3851,catNom,0))&amp;"",""))</f>
        <v/>
      </c>
      <c r="N3851" s="19">
        <f>IF(I3851="","",IFERROR(INDEX(ctaMon,MATCH(E3851,ctaNom,0))&amp;"","DOP"))</f>
        <v/>
      </c>
      <c r="O3851" s="20">
        <f>IF(I3851="","",C3851*IF(N3851="USD",TasaUSD,1))</f>
        <v/>
      </c>
      <c r="P3851" s="20">
        <f>IF(I3851="","",IF(I3851="Gasto",O3851,0))</f>
        <v/>
      </c>
      <c r="Q3851" s="20">
        <f>IF(I3851="","",IF(I3851="Ingreso",O3851,0))</f>
        <v/>
      </c>
      <c r="R3851" s="20">
        <f>IF(I3851="","",IF(I3851="Trading",O3851,0))</f>
        <v/>
      </c>
      <c r="S3851" s="19">
        <f>IF(I3851="","",IF(AND(I3851="Gasto",K3851="Variable",J3851&lt;&gt;"Trading",O3851&gt;0,O3851&lt;=Umbral),1,0))</f>
        <v/>
      </c>
      <c r="T3851" s="20">
        <f>IF(OR(I3851="",E3851=""),"",IF(OR(I3851="Gasto",I3851="Transferencia",I3851="Pago tarjeta"),-1,1)*C3851)</f>
        <v/>
      </c>
      <c r="U3851" s="20">
        <f>IF(OR(G3851="",AND(I3851&lt;&gt;"Transferencia",I3851&lt;&gt;"Pago tarjeta")),"",IF(IFERROR(INDEX(ctaMon,MATCH(G3851,ctaNom,0))&amp;"","DOP")=N3851,C3851,IF(N3851="USD",C3851*TasaUSD,C3851/TasaUSD)))</f>
        <v/>
      </c>
      <c r="V3851" s="20">
        <f>IF(I3851="","",IF(IFERROR(INDEX(ctaLiq,MATCH(E3851,ctaNom,0))="Sí",FALSE),IF(OR(I3851="Gasto",I3851="Transferencia",I3851="Pago tarjeta"),-1,1)*O3851,0)+IF(AND(U3851&lt;&gt;"",IFERROR(INDEX(ctaLiq,MATCH(G3851,ctaNom,0))="Sí",FALSE)),O3851,0))</f>
        <v/>
      </c>
      <c r="W3851" s="19">
        <f>IF(OR(F3851="",I3851=""),"",IF(COUNTIFS(F$6:F3851,F3851,I$6:I3851,"?*")=1,MAX(W$5:W3850)+1,""))</f>
        <v/>
      </c>
    </row>
    <row r="3852">
      <c r="B3852" s="15" t="n"/>
      <c r="C3852" s="16" t="n"/>
      <c r="D3852" s="17" t="n"/>
      <c r="E3852" s="17" t="n"/>
      <c r="F3852" s="17" t="n"/>
      <c r="G3852" s="17" t="n"/>
      <c r="H3852" s="18">
        <f>IF(AND(B3852="",C3852="",D3852="",E3852=""),"",IF(B3852="","⚠ Falta fecha",IF(C3852="","⚠ Falta monto",IF(D3852="","⚠ Falta categoría",IF(ISNA(MATCH(D3852,catNom,0)),"⚠ Categoría no existe",IF(E3852="","⚠ Falta cuenta",IF(ISNA(MATCH(E3852,ctaNom,0)),"⚠ Cuenta no existe",IF(AND(OR(I3852="Transferencia",I3852="Pago tarjeta"),G3852=""),"⚠ Indica la cuenta «Hacia»",IF(AND(G3852&lt;&gt;"",G3852=E3852),"⚠ «Hacia» igual a la cuenta",IF(AND(G3852&lt;&gt;"",ISNA(MATCH(G3852,ctaNom,0))),"⚠ «Hacia» no existe",IF(AND(I3852="Pago tarjeta",IFERROR(INDEX(ctaTipo,MATCH(G3852,ctaNom,0)),"")&lt;&gt;"Tarjeta de crédito"),"⚠ «Hacia» debe ser la tarjeta",IF(AND(I3852="Trading",IFERROR(INDEX(ctaTipo,MATCH(E3852,ctaNom,0)),"")&lt;&gt;"Cuenta de trading"),"⚠ Usa la cuenta de trading","✓"))))))))))))</f>
        <v/>
      </c>
      <c r="I3852" s="19">
        <f>IF(OR(B3852="",C3852="",D3852=""),"",IFERROR(INDEX(catTipo,MATCH(D3852,catNom,0))&amp;"",""))</f>
        <v/>
      </c>
      <c r="J3852" s="19">
        <f>IF(I3852="","",IFERROR(INDEX(catGrupo,MATCH(D3852,catNom,0))&amp;"",""))</f>
        <v/>
      </c>
      <c r="K3852" s="19">
        <f>IF(I3852="Gasto",IF(IFERROR(INDEX(catClas,MATCH(D3852,catNom,0))&amp;"","")="","Variable",IFERROR(INDEX(catClas,MATCH(D3852,catNom,0))&amp;"","")),"")</f>
        <v/>
      </c>
      <c r="L3852" s="19">
        <f>IF(I3852="","",IFERROR(INDEX(catAlim,MATCH(D3852,catNom,0))&amp;"",""))</f>
        <v/>
      </c>
      <c r="M3852" s="19">
        <f>IF(I3852="","",IFERROR(INDEX(catComida,MATCH(D3852,catNom,0))&amp;"",""))</f>
        <v/>
      </c>
      <c r="N3852" s="19">
        <f>IF(I3852="","",IFERROR(INDEX(ctaMon,MATCH(E3852,ctaNom,0))&amp;"","DOP"))</f>
        <v/>
      </c>
      <c r="O3852" s="20">
        <f>IF(I3852="","",C3852*IF(N3852="USD",TasaUSD,1))</f>
        <v/>
      </c>
      <c r="P3852" s="20">
        <f>IF(I3852="","",IF(I3852="Gasto",O3852,0))</f>
        <v/>
      </c>
      <c r="Q3852" s="20">
        <f>IF(I3852="","",IF(I3852="Ingreso",O3852,0))</f>
        <v/>
      </c>
      <c r="R3852" s="20">
        <f>IF(I3852="","",IF(I3852="Trading",O3852,0))</f>
        <v/>
      </c>
      <c r="S3852" s="19">
        <f>IF(I3852="","",IF(AND(I3852="Gasto",K3852="Variable",J3852&lt;&gt;"Trading",O3852&gt;0,O3852&lt;=Umbral),1,0))</f>
        <v/>
      </c>
      <c r="T3852" s="20">
        <f>IF(OR(I3852="",E3852=""),"",IF(OR(I3852="Gasto",I3852="Transferencia",I3852="Pago tarjeta"),-1,1)*C3852)</f>
        <v/>
      </c>
      <c r="U3852" s="20">
        <f>IF(OR(G3852="",AND(I3852&lt;&gt;"Transferencia",I3852&lt;&gt;"Pago tarjeta")),"",IF(IFERROR(INDEX(ctaMon,MATCH(G3852,ctaNom,0))&amp;"","DOP")=N3852,C3852,IF(N3852="USD",C3852*TasaUSD,C3852/TasaUSD)))</f>
        <v/>
      </c>
      <c r="V3852" s="20">
        <f>IF(I3852="","",IF(IFERROR(INDEX(ctaLiq,MATCH(E3852,ctaNom,0))="Sí",FALSE),IF(OR(I3852="Gasto",I3852="Transferencia",I3852="Pago tarjeta"),-1,1)*O3852,0)+IF(AND(U3852&lt;&gt;"",IFERROR(INDEX(ctaLiq,MATCH(G3852,ctaNom,0))="Sí",FALSE)),O3852,0))</f>
        <v/>
      </c>
      <c r="W3852" s="19">
        <f>IF(OR(F3852="",I3852=""),"",IF(COUNTIFS(F$6:F3852,F3852,I$6:I3852,"?*")=1,MAX(W$5:W3851)+1,""))</f>
        <v/>
      </c>
    </row>
    <row r="3853">
      <c r="B3853" s="15" t="n"/>
      <c r="C3853" s="16" t="n"/>
      <c r="D3853" s="17" t="n"/>
      <c r="E3853" s="17" t="n"/>
      <c r="F3853" s="17" t="n"/>
      <c r="G3853" s="17" t="n"/>
      <c r="H3853" s="18">
        <f>IF(AND(B3853="",C3853="",D3853="",E3853=""),"",IF(B3853="","⚠ Falta fecha",IF(C3853="","⚠ Falta monto",IF(D3853="","⚠ Falta categoría",IF(ISNA(MATCH(D3853,catNom,0)),"⚠ Categoría no existe",IF(E3853="","⚠ Falta cuenta",IF(ISNA(MATCH(E3853,ctaNom,0)),"⚠ Cuenta no existe",IF(AND(OR(I3853="Transferencia",I3853="Pago tarjeta"),G3853=""),"⚠ Indica la cuenta «Hacia»",IF(AND(G3853&lt;&gt;"",G3853=E3853),"⚠ «Hacia» igual a la cuenta",IF(AND(G3853&lt;&gt;"",ISNA(MATCH(G3853,ctaNom,0))),"⚠ «Hacia» no existe",IF(AND(I3853="Pago tarjeta",IFERROR(INDEX(ctaTipo,MATCH(G3853,ctaNom,0)),"")&lt;&gt;"Tarjeta de crédito"),"⚠ «Hacia» debe ser la tarjeta",IF(AND(I3853="Trading",IFERROR(INDEX(ctaTipo,MATCH(E3853,ctaNom,0)),"")&lt;&gt;"Cuenta de trading"),"⚠ Usa la cuenta de trading","✓"))))))))))))</f>
        <v/>
      </c>
      <c r="I3853" s="19">
        <f>IF(OR(B3853="",C3853="",D3853=""),"",IFERROR(INDEX(catTipo,MATCH(D3853,catNom,0))&amp;"",""))</f>
        <v/>
      </c>
      <c r="J3853" s="19">
        <f>IF(I3853="","",IFERROR(INDEX(catGrupo,MATCH(D3853,catNom,0))&amp;"",""))</f>
        <v/>
      </c>
      <c r="K3853" s="19">
        <f>IF(I3853="Gasto",IF(IFERROR(INDEX(catClas,MATCH(D3853,catNom,0))&amp;"","")="","Variable",IFERROR(INDEX(catClas,MATCH(D3853,catNom,0))&amp;"","")),"")</f>
        <v/>
      </c>
      <c r="L3853" s="19">
        <f>IF(I3853="","",IFERROR(INDEX(catAlim,MATCH(D3853,catNom,0))&amp;"",""))</f>
        <v/>
      </c>
      <c r="M3853" s="19">
        <f>IF(I3853="","",IFERROR(INDEX(catComida,MATCH(D3853,catNom,0))&amp;"",""))</f>
        <v/>
      </c>
      <c r="N3853" s="19">
        <f>IF(I3853="","",IFERROR(INDEX(ctaMon,MATCH(E3853,ctaNom,0))&amp;"","DOP"))</f>
        <v/>
      </c>
      <c r="O3853" s="20">
        <f>IF(I3853="","",C3853*IF(N3853="USD",TasaUSD,1))</f>
        <v/>
      </c>
      <c r="P3853" s="20">
        <f>IF(I3853="","",IF(I3853="Gasto",O3853,0))</f>
        <v/>
      </c>
      <c r="Q3853" s="20">
        <f>IF(I3853="","",IF(I3853="Ingreso",O3853,0))</f>
        <v/>
      </c>
      <c r="R3853" s="20">
        <f>IF(I3853="","",IF(I3853="Trading",O3853,0))</f>
        <v/>
      </c>
      <c r="S3853" s="19">
        <f>IF(I3853="","",IF(AND(I3853="Gasto",K3853="Variable",J3853&lt;&gt;"Trading",O3853&gt;0,O3853&lt;=Umbral),1,0))</f>
        <v/>
      </c>
      <c r="T3853" s="20">
        <f>IF(OR(I3853="",E3853=""),"",IF(OR(I3853="Gasto",I3853="Transferencia",I3853="Pago tarjeta"),-1,1)*C3853)</f>
        <v/>
      </c>
      <c r="U3853" s="20">
        <f>IF(OR(G3853="",AND(I3853&lt;&gt;"Transferencia",I3853&lt;&gt;"Pago tarjeta")),"",IF(IFERROR(INDEX(ctaMon,MATCH(G3853,ctaNom,0))&amp;"","DOP")=N3853,C3853,IF(N3853="USD",C3853*TasaUSD,C3853/TasaUSD)))</f>
        <v/>
      </c>
      <c r="V3853" s="20">
        <f>IF(I3853="","",IF(IFERROR(INDEX(ctaLiq,MATCH(E3853,ctaNom,0))="Sí",FALSE),IF(OR(I3853="Gasto",I3853="Transferencia",I3853="Pago tarjeta"),-1,1)*O3853,0)+IF(AND(U3853&lt;&gt;"",IFERROR(INDEX(ctaLiq,MATCH(G3853,ctaNom,0))="Sí",FALSE)),O3853,0))</f>
        <v/>
      </c>
      <c r="W3853" s="19">
        <f>IF(OR(F3853="",I3853=""),"",IF(COUNTIFS(F$6:F3853,F3853,I$6:I3853,"?*")=1,MAX(W$5:W3852)+1,""))</f>
        <v/>
      </c>
    </row>
    <row r="3854">
      <c r="B3854" s="15" t="n"/>
      <c r="C3854" s="16" t="n"/>
      <c r="D3854" s="17" t="n"/>
      <c r="E3854" s="17" t="n"/>
      <c r="F3854" s="17" t="n"/>
      <c r="G3854" s="17" t="n"/>
      <c r="H3854" s="18">
        <f>IF(AND(B3854="",C3854="",D3854="",E3854=""),"",IF(B3854="","⚠ Falta fecha",IF(C3854="","⚠ Falta monto",IF(D3854="","⚠ Falta categoría",IF(ISNA(MATCH(D3854,catNom,0)),"⚠ Categoría no existe",IF(E3854="","⚠ Falta cuenta",IF(ISNA(MATCH(E3854,ctaNom,0)),"⚠ Cuenta no existe",IF(AND(OR(I3854="Transferencia",I3854="Pago tarjeta"),G3854=""),"⚠ Indica la cuenta «Hacia»",IF(AND(G3854&lt;&gt;"",G3854=E3854),"⚠ «Hacia» igual a la cuenta",IF(AND(G3854&lt;&gt;"",ISNA(MATCH(G3854,ctaNom,0))),"⚠ «Hacia» no existe",IF(AND(I3854="Pago tarjeta",IFERROR(INDEX(ctaTipo,MATCH(G3854,ctaNom,0)),"")&lt;&gt;"Tarjeta de crédito"),"⚠ «Hacia» debe ser la tarjeta",IF(AND(I3854="Trading",IFERROR(INDEX(ctaTipo,MATCH(E3854,ctaNom,0)),"")&lt;&gt;"Cuenta de trading"),"⚠ Usa la cuenta de trading","✓"))))))))))))</f>
        <v/>
      </c>
      <c r="I3854" s="19">
        <f>IF(OR(B3854="",C3854="",D3854=""),"",IFERROR(INDEX(catTipo,MATCH(D3854,catNom,0))&amp;"",""))</f>
        <v/>
      </c>
      <c r="J3854" s="19">
        <f>IF(I3854="","",IFERROR(INDEX(catGrupo,MATCH(D3854,catNom,0))&amp;"",""))</f>
        <v/>
      </c>
      <c r="K3854" s="19">
        <f>IF(I3854="Gasto",IF(IFERROR(INDEX(catClas,MATCH(D3854,catNom,0))&amp;"","")="","Variable",IFERROR(INDEX(catClas,MATCH(D3854,catNom,0))&amp;"","")),"")</f>
        <v/>
      </c>
      <c r="L3854" s="19">
        <f>IF(I3854="","",IFERROR(INDEX(catAlim,MATCH(D3854,catNom,0))&amp;"",""))</f>
        <v/>
      </c>
      <c r="M3854" s="19">
        <f>IF(I3854="","",IFERROR(INDEX(catComida,MATCH(D3854,catNom,0))&amp;"",""))</f>
        <v/>
      </c>
      <c r="N3854" s="19">
        <f>IF(I3854="","",IFERROR(INDEX(ctaMon,MATCH(E3854,ctaNom,0))&amp;"","DOP"))</f>
        <v/>
      </c>
      <c r="O3854" s="20">
        <f>IF(I3854="","",C3854*IF(N3854="USD",TasaUSD,1))</f>
        <v/>
      </c>
      <c r="P3854" s="20">
        <f>IF(I3854="","",IF(I3854="Gasto",O3854,0))</f>
        <v/>
      </c>
      <c r="Q3854" s="20">
        <f>IF(I3854="","",IF(I3854="Ingreso",O3854,0))</f>
        <v/>
      </c>
      <c r="R3854" s="20">
        <f>IF(I3854="","",IF(I3854="Trading",O3854,0))</f>
        <v/>
      </c>
      <c r="S3854" s="19">
        <f>IF(I3854="","",IF(AND(I3854="Gasto",K3854="Variable",J3854&lt;&gt;"Trading",O3854&gt;0,O3854&lt;=Umbral),1,0))</f>
        <v/>
      </c>
      <c r="T3854" s="20">
        <f>IF(OR(I3854="",E3854=""),"",IF(OR(I3854="Gasto",I3854="Transferencia",I3854="Pago tarjeta"),-1,1)*C3854)</f>
        <v/>
      </c>
      <c r="U3854" s="20">
        <f>IF(OR(G3854="",AND(I3854&lt;&gt;"Transferencia",I3854&lt;&gt;"Pago tarjeta")),"",IF(IFERROR(INDEX(ctaMon,MATCH(G3854,ctaNom,0))&amp;"","DOP")=N3854,C3854,IF(N3854="USD",C3854*TasaUSD,C3854/TasaUSD)))</f>
        <v/>
      </c>
      <c r="V3854" s="20">
        <f>IF(I3854="","",IF(IFERROR(INDEX(ctaLiq,MATCH(E3854,ctaNom,0))="Sí",FALSE),IF(OR(I3854="Gasto",I3854="Transferencia",I3854="Pago tarjeta"),-1,1)*O3854,0)+IF(AND(U3854&lt;&gt;"",IFERROR(INDEX(ctaLiq,MATCH(G3854,ctaNom,0))="Sí",FALSE)),O3854,0))</f>
        <v/>
      </c>
      <c r="W3854" s="19">
        <f>IF(OR(F3854="",I3854=""),"",IF(COUNTIFS(F$6:F3854,F3854,I$6:I3854,"?*")=1,MAX(W$5:W3853)+1,""))</f>
        <v/>
      </c>
    </row>
    <row r="3855">
      <c r="B3855" s="15" t="n"/>
      <c r="C3855" s="16" t="n"/>
      <c r="D3855" s="17" t="n"/>
      <c r="E3855" s="17" t="n"/>
      <c r="F3855" s="17" t="n"/>
      <c r="G3855" s="17" t="n"/>
      <c r="H3855" s="18">
        <f>IF(AND(B3855="",C3855="",D3855="",E3855=""),"",IF(B3855="","⚠ Falta fecha",IF(C3855="","⚠ Falta monto",IF(D3855="","⚠ Falta categoría",IF(ISNA(MATCH(D3855,catNom,0)),"⚠ Categoría no existe",IF(E3855="","⚠ Falta cuenta",IF(ISNA(MATCH(E3855,ctaNom,0)),"⚠ Cuenta no existe",IF(AND(OR(I3855="Transferencia",I3855="Pago tarjeta"),G3855=""),"⚠ Indica la cuenta «Hacia»",IF(AND(G3855&lt;&gt;"",G3855=E3855),"⚠ «Hacia» igual a la cuenta",IF(AND(G3855&lt;&gt;"",ISNA(MATCH(G3855,ctaNom,0))),"⚠ «Hacia» no existe",IF(AND(I3855="Pago tarjeta",IFERROR(INDEX(ctaTipo,MATCH(G3855,ctaNom,0)),"")&lt;&gt;"Tarjeta de crédito"),"⚠ «Hacia» debe ser la tarjeta",IF(AND(I3855="Trading",IFERROR(INDEX(ctaTipo,MATCH(E3855,ctaNom,0)),"")&lt;&gt;"Cuenta de trading"),"⚠ Usa la cuenta de trading","✓"))))))))))))</f>
        <v/>
      </c>
      <c r="I3855" s="19">
        <f>IF(OR(B3855="",C3855="",D3855=""),"",IFERROR(INDEX(catTipo,MATCH(D3855,catNom,0))&amp;"",""))</f>
        <v/>
      </c>
      <c r="J3855" s="19">
        <f>IF(I3855="","",IFERROR(INDEX(catGrupo,MATCH(D3855,catNom,0))&amp;"",""))</f>
        <v/>
      </c>
      <c r="K3855" s="19">
        <f>IF(I3855="Gasto",IF(IFERROR(INDEX(catClas,MATCH(D3855,catNom,0))&amp;"","")="","Variable",IFERROR(INDEX(catClas,MATCH(D3855,catNom,0))&amp;"","")),"")</f>
        <v/>
      </c>
      <c r="L3855" s="19">
        <f>IF(I3855="","",IFERROR(INDEX(catAlim,MATCH(D3855,catNom,0))&amp;"",""))</f>
        <v/>
      </c>
      <c r="M3855" s="19">
        <f>IF(I3855="","",IFERROR(INDEX(catComida,MATCH(D3855,catNom,0))&amp;"",""))</f>
        <v/>
      </c>
      <c r="N3855" s="19">
        <f>IF(I3855="","",IFERROR(INDEX(ctaMon,MATCH(E3855,ctaNom,0))&amp;"","DOP"))</f>
        <v/>
      </c>
      <c r="O3855" s="20">
        <f>IF(I3855="","",C3855*IF(N3855="USD",TasaUSD,1))</f>
        <v/>
      </c>
      <c r="P3855" s="20">
        <f>IF(I3855="","",IF(I3855="Gasto",O3855,0))</f>
        <v/>
      </c>
      <c r="Q3855" s="20">
        <f>IF(I3855="","",IF(I3855="Ingreso",O3855,0))</f>
        <v/>
      </c>
      <c r="R3855" s="20">
        <f>IF(I3855="","",IF(I3855="Trading",O3855,0))</f>
        <v/>
      </c>
      <c r="S3855" s="19">
        <f>IF(I3855="","",IF(AND(I3855="Gasto",K3855="Variable",J3855&lt;&gt;"Trading",O3855&gt;0,O3855&lt;=Umbral),1,0))</f>
        <v/>
      </c>
      <c r="T3855" s="20">
        <f>IF(OR(I3855="",E3855=""),"",IF(OR(I3855="Gasto",I3855="Transferencia",I3855="Pago tarjeta"),-1,1)*C3855)</f>
        <v/>
      </c>
      <c r="U3855" s="20">
        <f>IF(OR(G3855="",AND(I3855&lt;&gt;"Transferencia",I3855&lt;&gt;"Pago tarjeta")),"",IF(IFERROR(INDEX(ctaMon,MATCH(G3855,ctaNom,0))&amp;"","DOP")=N3855,C3855,IF(N3855="USD",C3855*TasaUSD,C3855/TasaUSD)))</f>
        <v/>
      </c>
      <c r="V3855" s="20">
        <f>IF(I3855="","",IF(IFERROR(INDEX(ctaLiq,MATCH(E3855,ctaNom,0))="Sí",FALSE),IF(OR(I3855="Gasto",I3855="Transferencia",I3855="Pago tarjeta"),-1,1)*O3855,0)+IF(AND(U3855&lt;&gt;"",IFERROR(INDEX(ctaLiq,MATCH(G3855,ctaNom,0))="Sí",FALSE)),O3855,0))</f>
        <v/>
      </c>
      <c r="W3855" s="19">
        <f>IF(OR(F3855="",I3855=""),"",IF(COUNTIFS(F$6:F3855,F3855,I$6:I3855,"?*")=1,MAX(W$5:W3854)+1,""))</f>
        <v/>
      </c>
    </row>
    <row r="3856">
      <c r="B3856" s="15" t="n"/>
      <c r="C3856" s="16" t="n"/>
      <c r="D3856" s="17" t="n"/>
      <c r="E3856" s="17" t="n"/>
      <c r="F3856" s="17" t="n"/>
      <c r="G3856" s="17" t="n"/>
      <c r="H3856" s="18">
        <f>IF(AND(B3856="",C3856="",D3856="",E3856=""),"",IF(B3856="","⚠ Falta fecha",IF(C3856="","⚠ Falta monto",IF(D3856="","⚠ Falta categoría",IF(ISNA(MATCH(D3856,catNom,0)),"⚠ Categoría no existe",IF(E3856="","⚠ Falta cuenta",IF(ISNA(MATCH(E3856,ctaNom,0)),"⚠ Cuenta no existe",IF(AND(OR(I3856="Transferencia",I3856="Pago tarjeta"),G3856=""),"⚠ Indica la cuenta «Hacia»",IF(AND(G3856&lt;&gt;"",G3856=E3856),"⚠ «Hacia» igual a la cuenta",IF(AND(G3856&lt;&gt;"",ISNA(MATCH(G3856,ctaNom,0))),"⚠ «Hacia» no existe",IF(AND(I3856="Pago tarjeta",IFERROR(INDEX(ctaTipo,MATCH(G3856,ctaNom,0)),"")&lt;&gt;"Tarjeta de crédito"),"⚠ «Hacia» debe ser la tarjeta",IF(AND(I3856="Trading",IFERROR(INDEX(ctaTipo,MATCH(E3856,ctaNom,0)),"")&lt;&gt;"Cuenta de trading"),"⚠ Usa la cuenta de trading","✓"))))))))))))</f>
        <v/>
      </c>
      <c r="I3856" s="19">
        <f>IF(OR(B3856="",C3856="",D3856=""),"",IFERROR(INDEX(catTipo,MATCH(D3856,catNom,0))&amp;"",""))</f>
        <v/>
      </c>
      <c r="J3856" s="19">
        <f>IF(I3856="","",IFERROR(INDEX(catGrupo,MATCH(D3856,catNom,0))&amp;"",""))</f>
        <v/>
      </c>
      <c r="K3856" s="19">
        <f>IF(I3856="Gasto",IF(IFERROR(INDEX(catClas,MATCH(D3856,catNom,0))&amp;"","")="","Variable",IFERROR(INDEX(catClas,MATCH(D3856,catNom,0))&amp;"","")),"")</f>
        <v/>
      </c>
      <c r="L3856" s="19">
        <f>IF(I3856="","",IFERROR(INDEX(catAlim,MATCH(D3856,catNom,0))&amp;"",""))</f>
        <v/>
      </c>
      <c r="M3856" s="19">
        <f>IF(I3856="","",IFERROR(INDEX(catComida,MATCH(D3856,catNom,0))&amp;"",""))</f>
        <v/>
      </c>
      <c r="N3856" s="19">
        <f>IF(I3856="","",IFERROR(INDEX(ctaMon,MATCH(E3856,ctaNom,0))&amp;"","DOP"))</f>
        <v/>
      </c>
      <c r="O3856" s="20">
        <f>IF(I3856="","",C3856*IF(N3856="USD",TasaUSD,1))</f>
        <v/>
      </c>
      <c r="P3856" s="20">
        <f>IF(I3856="","",IF(I3856="Gasto",O3856,0))</f>
        <v/>
      </c>
      <c r="Q3856" s="20">
        <f>IF(I3856="","",IF(I3856="Ingreso",O3856,0))</f>
        <v/>
      </c>
      <c r="R3856" s="20">
        <f>IF(I3856="","",IF(I3856="Trading",O3856,0))</f>
        <v/>
      </c>
      <c r="S3856" s="19">
        <f>IF(I3856="","",IF(AND(I3856="Gasto",K3856="Variable",J3856&lt;&gt;"Trading",O3856&gt;0,O3856&lt;=Umbral),1,0))</f>
        <v/>
      </c>
      <c r="T3856" s="20">
        <f>IF(OR(I3856="",E3856=""),"",IF(OR(I3856="Gasto",I3856="Transferencia",I3856="Pago tarjeta"),-1,1)*C3856)</f>
        <v/>
      </c>
      <c r="U3856" s="20">
        <f>IF(OR(G3856="",AND(I3856&lt;&gt;"Transferencia",I3856&lt;&gt;"Pago tarjeta")),"",IF(IFERROR(INDEX(ctaMon,MATCH(G3856,ctaNom,0))&amp;"","DOP")=N3856,C3856,IF(N3856="USD",C3856*TasaUSD,C3856/TasaUSD)))</f>
        <v/>
      </c>
      <c r="V3856" s="20">
        <f>IF(I3856="","",IF(IFERROR(INDEX(ctaLiq,MATCH(E3856,ctaNom,0))="Sí",FALSE),IF(OR(I3856="Gasto",I3856="Transferencia",I3856="Pago tarjeta"),-1,1)*O3856,0)+IF(AND(U3856&lt;&gt;"",IFERROR(INDEX(ctaLiq,MATCH(G3856,ctaNom,0))="Sí",FALSE)),O3856,0))</f>
        <v/>
      </c>
      <c r="W3856" s="19">
        <f>IF(OR(F3856="",I3856=""),"",IF(COUNTIFS(F$6:F3856,F3856,I$6:I3856,"?*")=1,MAX(W$5:W3855)+1,""))</f>
        <v/>
      </c>
    </row>
    <row r="3857">
      <c r="B3857" s="15" t="n"/>
      <c r="C3857" s="16" t="n"/>
      <c r="D3857" s="17" t="n"/>
      <c r="E3857" s="17" t="n"/>
      <c r="F3857" s="17" t="n"/>
      <c r="G3857" s="17" t="n"/>
      <c r="H3857" s="18">
        <f>IF(AND(B3857="",C3857="",D3857="",E3857=""),"",IF(B3857="","⚠ Falta fecha",IF(C3857="","⚠ Falta monto",IF(D3857="","⚠ Falta categoría",IF(ISNA(MATCH(D3857,catNom,0)),"⚠ Categoría no existe",IF(E3857="","⚠ Falta cuenta",IF(ISNA(MATCH(E3857,ctaNom,0)),"⚠ Cuenta no existe",IF(AND(OR(I3857="Transferencia",I3857="Pago tarjeta"),G3857=""),"⚠ Indica la cuenta «Hacia»",IF(AND(G3857&lt;&gt;"",G3857=E3857),"⚠ «Hacia» igual a la cuenta",IF(AND(G3857&lt;&gt;"",ISNA(MATCH(G3857,ctaNom,0))),"⚠ «Hacia» no existe",IF(AND(I3857="Pago tarjeta",IFERROR(INDEX(ctaTipo,MATCH(G3857,ctaNom,0)),"")&lt;&gt;"Tarjeta de crédito"),"⚠ «Hacia» debe ser la tarjeta",IF(AND(I3857="Trading",IFERROR(INDEX(ctaTipo,MATCH(E3857,ctaNom,0)),"")&lt;&gt;"Cuenta de trading"),"⚠ Usa la cuenta de trading","✓"))))))))))))</f>
        <v/>
      </c>
      <c r="I3857" s="19">
        <f>IF(OR(B3857="",C3857="",D3857=""),"",IFERROR(INDEX(catTipo,MATCH(D3857,catNom,0))&amp;"",""))</f>
        <v/>
      </c>
      <c r="J3857" s="19">
        <f>IF(I3857="","",IFERROR(INDEX(catGrupo,MATCH(D3857,catNom,0))&amp;"",""))</f>
        <v/>
      </c>
      <c r="K3857" s="19">
        <f>IF(I3857="Gasto",IF(IFERROR(INDEX(catClas,MATCH(D3857,catNom,0))&amp;"","")="","Variable",IFERROR(INDEX(catClas,MATCH(D3857,catNom,0))&amp;"","")),"")</f>
        <v/>
      </c>
      <c r="L3857" s="19">
        <f>IF(I3857="","",IFERROR(INDEX(catAlim,MATCH(D3857,catNom,0))&amp;"",""))</f>
        <v/>
      </c>
      <c r="M3857" s="19">
        <f>IF(I3857="","",IFERROR(INDEX(catComida,MATCH(D3857,catNom,0))&amp;"",""))</f>
        <v/>
      </c>
      <c r="N3857" s="19">
        <f>IF(I3857="","",IFERROR(INDEX(ctaMon,MATCH(E3857,ctaNom,0))&amp;"","DOP"))</f>
        <v/>
      </c>
      <c r="O3857" s="20">
        <f>IF(I3857="","",C3857*IF(N3857="USD",TasaUSD,1))</f>
        <v/>
      </c>
      <c r="P3857" s="20">
        <f>IF(I3857="","",IF(I3857="Gasto",O3857,0))</f>
        <v/>
      </c>
      <c r="Q3857" s="20">
        <f>IF(I3857="","",IF(I3857="Ingreso",O3857,0))</f>
        <v/>
      </c>
      <c r="R3857" s="20">
        <f>IF(I3857="","",IF(I3857="Trading",O3857,0))</f>
        <v/>
      </c>
      <c r="S3857" s="19">
        <f>IF(I3857="","",IF(AND(I3857="Gasto",K3857="Variable",J3857&lt;&gt;"Trading",O3857&gt;0,O3857&lt;=Umbral),1,0))</f>
        <v/>
      </c>
      <c r="T3857" s="20">
        <f>IF(OR(I3857="",E3857=""),"",IF(OR(I3857="Gasto",I3857="Transferencia",I3857="Pago tarjeta"),-1,1)*C3857)</f>
        <v/>
      </c>
      <c r="U3857" s="20">
        <f>IF(OR(G3857="",AND(I3857&lt;&gt;"Transferencia",I3857&lt;&gt;"Pago tarjeta")),"",IF(IFERROR(INDEX(ctaMon,MATCH(G3857,ctaNom,0))&amp;"","DOP")=N3857,C3857,IF(N3857="USD",C3857*TasaUSD,C3857/TasaUSD)))</f>
        <v/>
      </c>
      <c r="V3857" s="20">
        <f>IF(I3857="","",IF(IFERROR(INDEX(ctaLiq,MATCH(E3857,ctaNom,0))="Sí",FALSE),IF(OR(I3857="Gasto",I3857="Transferencia",I3857="Pago tarjeta"),-1,1)*O3857,0)+IF(AND(U3857&lt;&gt;"",IFERROR(INDEX(ctaLiq,MATCH(G3857,ctaNom,0))="Sí",FALSE)),O3857,0))</f>
        <v/>
      </c>
      <c r="W3857" s="19">
        <f>IF(OR(F3857="",I3857=""),"",IF(COUNTIFS(F$6:F3857,F3857,I$6:I3857,"?*")=1,MAX(W$5:W3856)+1,""))</f>
        <v/>
      </c>
    </row>
    <row r="3858">
      <c r="B3858" s="15" t="n"/>
      <c r="C3858" s="16" t="n"/>
      <c r="D3858" s="17" t="n"/>
      <c r="E3858" s="17" t="n"/>
      <c r="F3858" s="17" t="n"/>
      <c r="G3858" s="17" t="n"/>
      <c r="H3858" s="18">
        <f>IF(AND(B3858="",C3858="",D3858="",E3858=""),"",IF(B3858="","⚠ Falta fecha",IF(C3858="","⚠ Falta monto",IF(D3858="","⚠ Falta categoría",IF(ISNA(MATCH(D3858,catNom,0)),"⚠ Categoría no existe",IF(E3858="","⚠ Falta cuenta",IF(ISNA(MATCH(E3858,ctaNom,0)),"⚠ Cuenta no existe",IF(AND(OR(I3858="Transferencia",I3858="Pago tarjeta"),G3858=""),"⚠ Indica la cuenta «Hacia»",IF(AND(G3858&lt;&gt;"",G3858=E3858),"⚠ «Hacia» igual a la cuenta",IF(AND(G3858&lt;&gt;"",ISNA(MATCH(G3858,ctaNom,0))),"⚠ «Hacia» no existe",IF(AND(I3858="Pago tarjeta",IFERROR(INDEX(ctaTipo,MATCH(G3858,ctaNom,0)),"")&lt;&gt;"Tarjeta de crédito"),"⚠ «Hacia» debe ser la tarjeta",IF(AND(I3858="Trading",IFERROR(INDEX(ctaTipo,MATCH(E3858,ctaNom,0)),"")&lt;&gt;"Cuenta de trading"),"⚠ Usa la cuenta de trading","✓"))))))))))))</f>
        <v/>
      </c>
      <c r="I3858" s="19">
        <f>IF(OR(B3858="",C3858="",D3858=""),"",IFERROR(INDEX(catTipo,MATCH(D3858,catNom,0))&amp;"",""))</f>
        <v/>
      </c>
      <c r="J3858" s="19">
        <f>IF(I3858="","",IFERROR(INDEX(catGrupo,MATCH(D3858,catNom,0))&amp;"",""))</f>
        <v/>
      </c>
      <c r="K3858" s="19">
        <f>IF(I3858="Gasto",IF(IFERROR(INDEX(catClas,MATCH(D3858,catNom,0))&amp;"","")="","Variable",IFERROR(INDEX(catClas,MATCH(D3858,catNom,0))&amp;"","")),"")</f>
        <v/>
      </c>
      <c r="L3858" s="19">
        <f>IF(I3858="","",IFERROR(INDEX(catAlim,MATCH(D3858,catNom,0))&amp;"",""))</f>
        <v/>
      </c>
      <c r="M3858" s="19">
        <f>IF(I3858="","",IFERROR(INDEX(catComida,MATCH(D3858,catNom,0))&amp;"",""))</f>
        <v/>
      </c>
      <c r="N3858" s="19">
        <f>IF(I3858="","",IFERROR(INDEX(ctaMon,MATCH(E3858,ctaNom,0))&amp;"","DOP"))</f>
        <v/>
      </c>
      <c r="O3858" s="20">
        <f>IF(I3858="","",C3858*IF(N3858="USD",TasaUSD,1))</f>
        <v/>
      </c>
      <c r="P3858" s="20">
        <f>IF(I3858="","",IF(I3858="Gasto",O3858,0))</f>
        <v/>
      </c>
      <c r="Q3858" s="20">
        <f>IF(I3858="","",IF(I3858="Ingreso",O3858,0))</f>
        <v/>
      </c>
      <c r="R3858" s="20">
        <f>IF(I3858="","",IF(I3858="Trading",O3858,0))</f>
        <v/>
      </c>
      <c r="S3858" s="19">
        <f>IF(I3858="","",IF(AND(I3858="Gasto",K3858="Variable",J3858&lt;&gt;"Trading",O3858&gt;0,O3858&lt;=Umbral),1,0))</f>
        <v/>
      </c>
      <c r="T3858" s="20">
        <f>IF(OR(I3858="",E3858=""),"",IF(OR(I3858="Gasto",I3858="Transferencia",I3858="Pago tarjeta"),-1,1)*C3858)</f>
        <v/>
      </c>
      <c r="U3858" s="20">
        <f>IF(OR(G3858="",AND(I3858&lt;&gt;"Transferencia",I3858&lt;&gt;"Pago tarjeta")),"",IF(IFERROR(INDEX(ctaMon,MATCH(G3858,ctaNom,0))&amp;"","DOP")=N3858,C3858,IF(N3858="USD",C3858*TasaUSD,C3858/TasaUSD)))</f>
        <v/>
      </c>
      <c r="V3858" s="20">
        <f>IF(I3858="","",IF(IFERROR(INDEX(ctaLiq,MATCH(E3858,ctaNom,0))="Sí",FALSE),IF(OR(I3858="Gasto",I3858="Transferencia",I3858="Pago tarjeta"),-1,1)*O3858,0)+IF(AND(U3858&lt;&gt;"",IFERROR(INDEX(ctaLiq,MATCH(G3858,ctaNom,0))="Sí",FALSE)),O3858,0))</f>
        <v/>
      </c>
      <c r="W3858" s="19">
        <f>IF(OR(F3858="",I3858=""),"",IF(COUNTIFS(F$6:F3858,F3858,I$6:I3858,"?*")=1,MAX(W$5:W3857)+1,""))</f>
        <v/>
      </c>
    </row>
    <row r="3859">
      <c r="B3859" s="15" t="n"/>
      <c r="C3859" s="16" t="n"/>
      <c r="D3859" s="17" t="n"/>
      <c r="E3859" s="17" t="n"/>
      <c r="F3859" s="17" t="n"/>
      <c r="G3859" s="17" t="n"/>
      <c r="H3859" s="18">
        <f>IF(AND(B3859="",C3859="",D3859="",E3859=""),"",IF(B3859="","⚠ Falta fecha",IF(C3859="","⚠ Falta monto",IF(D3859="","⚠ Falta categoría",IF(ISNA(MATCH(D3859,catNom,0)),"⚠ Categoría no existe",IF(E3859="","⚠ Falta cuenta",IF(ISNA(MATCH(E3859,ctaNom,0)),"⚠ Cuenta no existe",IF(AND(OR(I3859="Transferencia",I3859="Pago tarjeta"),G3859=""),"⚠ Indica la cuenta «Hacia»",IF(AND(G3859&lt;&gt;"",G3859=E3859),"⚠ «Hacia» igual a la cuenta",IF(AND(G3859&lt;&gt;"",ISNA(MATCH(G3859,ctaNom,0))),"⚠ «Hacia» no existe",IF(AND(I3859="Pago tarjeta",IFERROR(INDEX(ctaTipo,MATCH(G3859,ctaNom,0)),"")&lt;&gt;"Tarjeta de crédito"),"⚠ «Hacia» debe ser la tarjeta",IF(AND(I3859="Trading",IFERROR(INDEX(ctaTipo,MATCH(E3859,ctaNom,0)),"")&lt;&gt;"Cuenta de trading"),"⚠ Usa la cuenta de trading","✓"))))))))))))</f>
        <v/>
      </c>
      <c r="I3859" s="19">
        <f>IF(OR(B3859="",C3859="",D3859=""),"",IFERROR(INDEX(catTipo,MATCH(D3859,catNom,0))&amp;"",""))</f>
        <v/>
      </c>
      <c r="J3859" s="19">
        <f>IF(I3859="","",IFERROR(INDEX(catGrupo,MATCH(D3859,catNom,0))&amp;"",""))</f>
        <v/>
      </c>
      <c r="K3859" s="19">
        <f>IF(I3859="Gasto",IF(IFERROR(INDEX(catClas,MATCH(D3859,catNom,0))&amp;"","")="","Variable",IFERROR(INDEX(catClas,MATCH(D3859,catNom,0))&amp;"","")),"")</f>
        <v/>
      </c>
      <c r="L3859" s="19">
        <f>IF(I3859="","",IFERROR(INDEX(catAlim,MATCH(D3859,catNom,0))&amp;"",""))</f>
        <v/>
      </c>
      <c r="M3859" s="19">
        <f>IF(I3859="","",IFERROR(INDEX(catComida,MATCH(D3859,catNom,0))&amp;"",""))</f>
        <v/>
      </c>
      <c r="N3859" s="19">
        <f>IF(I3859="","",IFERROR(INDEX(ctaMon,MATCH(E3859,ctaNom,0))&amp;"","DOP"))</f>
        <v/>
      </c>
      <c r="O3859" s="20">
        <f>IF(I3859="","",C3859*IF(N3859="USD",TasaUSD,1))</f>
        <v/>
      </c>
      <c r="P3859" s="20">
        <f>IF(I3859="","",IF(I3859="Gasto",O3859,0))</f>
        <v/>
      </c>
      <c r="Q3859" s="20">
        <f>IF(I3859="","",IF(I3859="Ingreso",O3859,0))</f>
        <v/>
      </c>
      <c r="R3859" s="20">
        <f>IF(I3859="","",IF(I3859="Trading",O3859,0))</f>
        <v/>
      </c>
      <c r="S3859" s="19">
        <f>IF(I3859="","",IF(AND(I3859="Gasto",K3859="Variable",J3859&lt;&gt;"Trading",O3859&gt;0,O3859&lt;=Umbral),1,0))</f>
        <v/>
      </c>
      <c r="T3859" s="20">
        <f>IF(OR(I3859="",E3859=""),"",IF(OR(I3859="Gasto",I3859="Transferencia",I3859="Pago tarjeta"),-1,1)*C3859)</f>
        <v/>
      </c>
      <c r="U3859" s="20">
        <f>IF(OR(G3859="",AND(I3859&lt;&gt;"Transferencia",I3859&lt;&gt;"Pago tarjeta")),"",IF(IFERROR(INDEX(ctaMon,MATCH(G3859,ctaNom,0))&amp;"","DOP")=N3859,C3859,IF(N3859="USD",C3859*TasaUSD,C3859/TasaUSD)))</f>
        <v/>
      </c>
      <c r="V3859" s="20">
        <f>IF(I3859="","",IF(IFERROR(INDEX(ctaLiq,MATCH(E3859,ctaNom,0))="Sí",FALSE),IF(OR(I3859="Gasto",I3859="Transferencia",I3859="Pago tarjeta"),-1,1)*O3859,0)+IF(AND(U3859&lt;&gt;"",IFERROR(INDEX(ctaLiq,MATCH(G3859,ctaNom,0))="Sí",FALSE)),O3859,0))</f>
        <v/>
      </c>
      <c r="W3859" s="19">
        <f>IF(OR(F3859="",I3859=""),"",IF(COUNTIFS(F$6:F3859,F3859,I$6:I3859,"?*")=1,MAX(W$5:W3858)+1,""))</f>
        <v/>
      </c>
    </row>
    <row r="3860">
      <c r="B3860" s="15" t="n"/>
      <c r="C3860" s="16" t="n"/>
      <c r="D3860" s="17" t="n"/>
      <c r="E3860" s="17" t="n"/>
      <c r="F3860" s="17" t="n"/>
      <c r="G3860" s="17" t="n"/>
      <c r="H3860" s="18">
        <f>IF(AND(B3860="",C3860="",D3860="",E3860=""),"",IF(B3860="","⚠ Falta fecha",IF(C3860="","⚠ Falta monto",IF(D3860="","⚠ Falta categoría",IF(ISNA(MATCH(D3860,catNom,0)),"⚠ Categoría no existe",IF(E3860="","⚠ Falta cuenta",IF(ISNA(MATCH(E3860,ctaNom,0)),"⚠ Cuenta no existe",IF(AND(OR(I3860="Transferencia",I3860="Pago tarjeta"),G3860=""),"⚠ Indica la cuenta «Hacia»",IF(AND(G3860&lt;&gt;"",G3860=E3860),"⚠ «Hacia» igual a la cuenta",IF(AND(G3860&lt;&gt;"",ISNA(MATCH(G3860,ctaNom,0))),"⚠ «Hacia» no existe",IF(AND(I3860="Pago tarjeta",IFERROR(INDEX(ctaTipo,MATCH(G3860,ctaNom,0)),"")&lt;&gt;"Tarjeta de crédito"),"⚠ «Hacia» debe ser la tarjeta",IF(AND(I3860="Trading",IFERROR(INDEX(ctaTipo,MATCH(E3860,ctaNom,0)),"")&lt;&gt;"Cuenta de trading"),"⚠ Usa la cuenta de trading","✓"))))))))))))</f>
        <v/>
      </c>
      <c r="I3860" s="19">
        <f>IF(OR(B3860="",C3860="",D3860=""),"",IFERROR(INDEX(catTipo,MATCH(D3860,catNom,0))&amp;"",""))</f>
        <v/>
      </c>
      <c r="J3860" s="19">
        <f>IF(I3860="","",IFERROR(INDEX(catGrupo,MATCH(D3860,catNom,0))&amp;"",""))</f>
        <v/>
      </c>
      <c r="K3860" s="19">
        <f>IF(I3860="Gasto",IF(IFERROR(INDEX(catClas,MATCH(D3860,catNom,0))&amp;"","")="","Variable",IFERROR(INDEX(catClas,MATCH(D3860,catNom,0))&amp;"","")),"")</f>
        <v/>
      </c>
      <c r="L3860" s="19">
        <f>IF(I3860="","",IFERROR(INDEX(catAlim,MATCH(D3860,catNom,0))&amp;"",""))</f>
        <v/>
      </c>
      <c r="M3860" s="19">
        <f>IF(I3860="","",IFERROR(INDEX(catComida,MATCH(D3860,catNom,0))&amp;"",""))</f>
        <v/>
      </c>
      <c r="N3860" s="19">
        <f>IF(I3860="","",IFERROR(INDEX(ctaMon,MATCH(E3860,ctaNom,0))&amp;"","DOP"))</f>
        <v/>
      </c>
      <c r="O3860" s="20">
        <f>IF(I3860="","",C3860*IF(N3860="USD",TasaUSD,1))</f>
        <v/>
      </c>
      <c r="P3860" s="20">
        <f>IF(I3860="","",IF(I3860="Gasto",O3860,0))</f>
        <v/>
      </c>
      <c r="Q3860" s="20">
        <f>IF(I3860="","",IF(I3860="Ingreso",O3860,0))</f>
        <v/>
      </c>
      <c r="R3860" s="20">
        <f>IF(I3860="","",IF(I3860="Trading",O3860,0))</f>
        <v/>
      </c>
      <c r="S3860" s="19">
        <f>IF(I3860="","",IF(AND(I3860="Gasto",K3860="Variable",J3860&lt;&gt;"Trading",O3860&gt;0,O3860&lt;=Umbral),1,0))</f>
        <v/>
      </c>
      <c r="T3860" s="20">
        <f>IF(OR(I3860="",E3860=""),"",IF(OR(I3860="Gasto",I3860="Transferencia",I3860="Pago tarjeta"),-1,1)*C3860)</f>
        <v/>
      </c>
      <c r="U3860" s="20">
        <f>IF(OR(G3860="",AND(I3860&lt;&gt;"Transferencia",I3860&lt;&gt;"Pago tarjeta")),"",IF(IFERROR(INDEX(ctaMon,MATCH(G3860,ctaNom,0))&amp;"","DOP")=N3860,C3860,IF(N3860="USD",C3860*TasaUSD,C3860/TasaUSD)))</f>
        <v/>
      </c>
      <c r="V3860" s="20">
        <f>IF(I3860="","",IF(IFERROR(INDEX(ctaLiq,MATCH(E3860,ctaNom,0))="Sí",FALSE),IF(OR(I3860="Gasto",I3860="Transferencia",I3860="Pago tarjeta"),-1,1)*O3860,0)+IF(AND(U3860&lt;&gt;"",IFERROR(INDEX(ctaLiq,MATCH(G3860,ctaNom,0))="Sí",FALSE)),O3860,0))</f>
        <v/>
      </c>
      <c r="W3860" s="19">
        <f>IF(OR(F3860="",I3860=""),"",IF(COUNTIFS(F$6:F3860,F3860,I$6:I3860,"?*")=1,MAX(W$5:W3859)+1,""))</f>
        <v/>
      </c>
    </row>
    <row r="3861">
      <c r="B3861" s="15" t="n"/>
      <c r="C3861" s="16" t="n"/>
      <c r="D3861" s="17" t="n"/>
      <c r="E3861" s="17" t="n"/>
      <c r="F3861" s="17" t="n"/>
      <c r="G3861" s="17" t="n"/>
      <c r="H3861" s="18">
        <f>IF(AND(B3861="",C3861="",D3861="",E3861=""),"",IF(B3861="","⚠ Falta fecha",IF(C3861="","⚠ Falta monto",IF(D3861="","⚠ Falta categoría",IF(ISNA(MATCH(D3861,catNom,0)),"⚠ Categoría no existe",IF(E3861="","⚠ Falta cuenta",IF(ISNA(MATCH(E3861,ctaNom,0)),"⚠ Cuenta no existe",IF(AND(OR(I3861="Transferencia",I3861="Pago tarjeta"),G3861=""),"⚠ Indica la cuenta «Hacia»",IF(AND(G3861&lt;&gt;"",G3861=E3861),"⚠ «Hacia» igual a la cuenta",IF(AND(G3861&lt;&gt;"",ISNA(MATCH(G3861,ctaNom,0))),"⚠ «Hacia» no existe",IF(AND(I3861="Pago tarjeta",IFERROR(INDEX(ctaTipo,MATCH(G3861,ctaNom,0)),"")&lt;&gt;"Tarjeta de crédito"),"⚠ «Hacia» debe ser la tarjeta",IF(AND(I3861="Trading",IFERROR(INDEX(ctaTipo,MATCH(E3861,ctaNom,0)),"")&lt;&gt;"Cuenta de trading"),"⚠ Usa la cuenta de trading","✓"))))))))))))</f>
        <v/>
      </c>
      <c r="I3861" s="19">
        <f>IF(OR(B3861="",C3861="",D3861=""),"",IFERROR(INDEX(catTipo,MATCH(D3861,catNom,0))&amp;"",""))</f>
        <v/>
      </c>
      <c r="J3861" s="19">
        <f>IF(I3861="","",IFERROR(INDEX(catGrupo,MATCH(D3861,catNom,0))&amp;"",""))</f>
        <v/>
      </c>
      <c r="K3861" s="19">
        <f>IF(I3861="Gasto",IF(IFERROR(INDEX(catClas,MATCH(D3861,catNom,0))&amp;"","")="","Variable",IFERROR(INDEX(catClas,MATCH(D3861,catNom,0))&amp;"","")),"")</f>
        <v/>
      </c>
      <c r="L3861" s="19">
        <f>IF(I3861="","",IFERROR(INDEX(catAlim,MATCH(D3861,catNom,0))&amp;"",""))</f>
        <v/>
      </c>
      <c r="M3861" s="19">
        <f>IF(I3861="","",IFERROR(INDEX(catComida,MATCH(D3861,catNom,0))&amp;"",""))</f>
        <v/>
      </c>
      <c r="N3861" s="19">
        <f>IF(I3861="","",IFERROR(INDEX(ctaMon,MATCH(E3861,ctaNom,0))&amp;"","DOP"))</f>
        <v/>
      </c>
      <c r="O3861" s="20">
        <f>IF(I3861="","",C3861*IF(N3861="USD",TasaUSD,1))</f>
        <v/>
      </c>
      <c r="P3861" s="20">
        <f>IF(I3861="","",IF(I3861="Gasto",O3861,0))</f>
        <v/>
      </c>
      <c r="Q3861" s="20">
        <f>IF(I3861="","",IF(I3861="Ingreso",O3861,0))</f>
        <v/>
      </c>
      <c r="R3861" s="20">
        <f>IF(I3861="","",IF(I3861="Trading",O3861,0))</f>
        <v/>
      </c>
      <c r="S3861" s="19">
        <f>IF(I3861="","",IF(AND(I3861="Gasto",K3861="Variable",J3861&lt;&gt;"Trading",O3861&gt;0,O3861&lt;=Umbral),1,0))</f>
        <v/>
      </c>
      <c r="T3861" s="20">
        <f>IF(OR(I3861="",E3861=""),"",IF(OR(I3861="Gasto",I3861="Transferencia",I3861="Pago tarjeta"),-1,1)*C3861)</f>
        <v/>
      </c>
      <c r="U3861" s="20">
        <f>IF(OR(G3861="",AND(I3861&lt;&gt;"Transferencia",I3861&lt;&gt;"Pago tarjeta")),"",IF(IFERROR(INDEX(ctaMon,MATCH(G3861,ctaNom,0))&amp;"","DOP")=N3861,C3861,IF(N3861="USD",C3861*TasaUSD,C3861/TasaUSD)))</f>
        <v/>
      </c>
      <c r="V3861" s="20">
        <f>IF(I3861="","",IF(IFERROR(INDEX(ctaLiq,MATCH(E3861,ctaNom,0))="Sí",FALSE),IF(OR(I3861="Gasto",I3861="Transferencia",I3861="Pago tarjeta"),-1,1)*O3861,0)+IF(AND(U3861&lt;&gt;"",IFERROR(INDEX(ctaLiq,MATCH(G3861,ctaNom,0))="Sí",FALSE)),O3861,0))</f>
        <v/>
      </c>
      <c r="W3861" s="19">
        <f>IF(OR(F3861="",I3861=""),"",IF(COUNTIFS(F$6:F3861,F3861,I$6:I3861,"?*")=1,MAX(W$5:W3860)+1,""))</f>
        <v/>
      </c>
    </row>
    <row r="3862">
      <c r="B3862" s="15" t="n"/>
      <c r="C3862" s="16" t="n"/>
      <c r="D3862" s="17" t="n"/>
      <c r="E3862" s="17" t="n"/>
      <c r="F3862" s="17" t="n"/>
      <c r="G3862" s="17" t="n"/>
      <c r="H3862" s="18">
        <f>IF(AND(B3862="",C3862="",D3862="",E3862=""),"",IF(B3862="","⚠ Falta fecha",IF(C3862="","⚠ Falta monto",IF(D3862="","⚠ Falta categoría",IF(ISNA(MATCH(D3862,catNom,0)),"⚠ Categoría no existe",IF(E3862="","⚠ Falta cuenta",IF(ISNA(MATCH(E3862,ctaNom,0)),"⚠ Cuenta no existe",IF(AND(OR(I3862="Transferencia",I3862="Pago tarjeta"),G3862=""),"⚠ Indica la cuenta «Hacia»",IF(AND(G3862&lt;&gt;"",G3862=E3862),"⚠ «Hacia» igual a la cuenta",IF(AND(G3862&lt;&gt;"",ISNA(MATCH(G3862,ctaNom,0))),"⚠ «Hacia» no existe",IF(AND(I3862="Pago tarjeta",IFERROR(INDEX(ctaTipo,MATCH(G3862,ctaNom,0)),"")&lt;&gt;"Tarjeta de crédito"),"⚠ «Hacia» debe ser la tarjeta",IF(AND(I3862="Trading",IFERROR(INDEX(ctaTipo,MATCH(E3862,ctaNom,0)),"")&lt;&gt;"Cuenta de trading"),"⚠ Usa la cuenta de trading","✓"))))))))))))</f>
        <v/>
      </c>
      <c r="I3862" s="19">
        <f>IF(OR(B3862="",C3862="",D3862=""),"",IFERROR(INDEX(catTipo,MATCH(D3862,catNom,0))&amp;"",""))</f>
        <v/>
      </c>
      <c r="J3862" s="19">
        <f>IF(I3862="","",IFERROR(INDEX(catGrupo,MATCH(D3862,catNom,0))&amp;"",""))</f>
        <v/>
      </c>
      <c r="K3862" s="19">
        <f>IF(I3862="Gasto",IF(IFERROR(INDEX(catClas,MATCH(D3862,catNom,0))&amp;"","")="","Variable",IFERROR(INDEX(catClas,MATCH(D3862,catNom,0))&amp;"","")),"")</f>
        <v/>
      </c>
      <c r="L3862" s="19">
        <f>IF(I3862="","",IFERROR(INDEX(catAlim,MATCH(D3862,catNom,0))&amp;"",""))</f>
        <v/>
      </c>
      <c r="M3862" s="19">
        <f>IF(I3862="","",IFERROR(INDEX(catComida,MATCH(D3862,catNom,0))&amp;"",""))</f>
        <v/>
      </c>
      <c r="N3862" s="19">
        <f>IF(I3862="","",IFERROR(INDEX(ctaMon,MATCH(E3862,ctaNom,0))&amp;"","DOP"))</f>
        <v/>
      </c>
      <c r="O3862" s="20">
        <f>IF(I3862="","",C3862*IF(N3862="USD",TasaUSD,1))</f>
        <v/>
      </c>
      <c r="P3862" s="20">
        <f>IF(I3862="","",IF(I3862="Gasto",O3862,0))</f>
        <v/>
      </c>
      <c r="Q3862" s="20">
        <f>IF(I3862="","",IF(I3862="Ingreso",O3862,0))</f>
        <v/>
      </c>
      <c r="R3862" s="20">
        <f>IF(I3862="","",IF(I3862="Trading",O3862,0))</f>
        <v/>
      </c>
      <c r="S3862" s="19">
        <f>IF(I3862="","",IF(AND(I3862="Gasto",K3862="Variable",J3862&lt;&gt;"Trading",O3862&gt;0,O3862&lt;=Umbral),1,0))</f>
        <v/>
      </c>
      <c r="T3862" s="20">
        <f>IF(OR(I3862="",E3862=""),"",IF(OR(I3862="Gasto",I3862="Transferencia",I3862="Pago tarjeta"),-1,1)*C3862)</f>
        <v/>
      </c>
      <c r="U3862" s="20">
        <f>IF(OR(G3862="",AND(I3862&lt;&gt;"Transferencia",I3862&lt;&gt;"Pago tarjeta")),"",IF(IFERROR(INDEX(ctaMon,MATCH(G3862,ctaNom,0))&amp;"","DOP")=N3862,C3862,IF(N3862="USD",C3862*TasaUSD,C3862/TasaUSD)))</f>
        <v/>
      </c>
      <c r="V3862" s="20">
        <f>IF(I3862="","",IF(IFERROR(INDEX(ctaLiq,MATCH(E3862,ctaNom,0))="Sí",FALSE),IF(OR(I3862="Gasto",I3862="Transferencia",I3862="Pago tarjeta"),-1,1)*O3862,0)+IF(AND(U3862&lt;&gt;"",IFERROR(INDEX(ctaLiq,MATCH(G3862,ctaNom,0))="Sí",FALSE)),O3862,0))</f>
        <v/>
      </c>
      <c r="W3862" s="19">
        <f>IF(OR(F3862="",I3862=""),"",IF(COUNTIFS(F$6:F3862,F3862,I$6:I3862,"?*")=1,MAX(W$5:W3861)+1,""))</f>
        <v/>
      </c>
    </row>
    <row r="3863">
      <c r="B3863" s="15" t="n"/>
      <c r="C3863" s="16" t="n"/>
      <c r="D3863" s="17" t="n"/>
      <c r="E3863" s="17" t="n"/>
      <c r="F3863" s="17" t="n"/>
      <c r="G3863" s="17" t="n"/>
      <c r="H3863" s="18">
        <f>IF(AND(B3863="",C3863="",D3863="",E3863=""),"",IF(B3863="","⚠ Falta fecha",IF(C3863="","⚠ Falta monto",IF(D3863="","⚠ Falta categoría",IF(ISNA(MATCH(D3863,catNom,0)),"⚠ Categoría no existe",IF(E3863="","⚠ Falta cuenta",IF(ISNA(MATCH(E3863,ctaNom,0)),"⚠ Cuenta no existe",IF(AND(OR(I3863="Transferencia",I3863="Pago tarjeta"),G3863=""),"⚠ Indica la cuenta «Hacia»",IF(AND(G3863&lt;&gt;"",G3863=E3863),"⚠ «Hacia» igual a la cuenta",IF(AND(G3863&lt;&gt;"",ISNA(MATCH(G3863,ctaNom,0))),"⚠ «Hacia» no existe",IF(AND(I3863="Pago tarjeta",IFERROR(INDEX(ctaTipo,MATCH(G3863,ctaNom,0)),"")&lt;&gt;"Tarjeta de crédito"),"⚠ «Hacia» debe ser la tarjeta",IF(AND(I3863="Trading",IFERROR(INDEX(ctaTipo,MATCH(E3863,ctaNom,0)),"")&lt;&gt;"Cuenta de trading"),"⚠ Usa la cuenta de trading","✓"))))))))))))</f>
        <v/>
      </c>
      <c r="I3863" s="19">
        <f>IF(OR(B3863="",C3863="",D3863=""),"",IFERROR(INDEX(catTipo,MATCH(D3863,catNom,0))&amp;"",""))</f>
        <v/>
      </c>
      <c r="J3863" s="19">
        <f>IF(I3863="","",IFERROR(INDEX(catGrupo,MATCH(D3863,catNom,0))&amp;"",""))</f>
        <v/>
      </c>
      <c r="K3863" s="19">
        <f>IF(I3863="Gasto",IF(IFERROR(INDEX(catClas,MATCH(D3863,catNom,0))&amp;"","")="","Variable",IFERROR(INDEX(catClas,MATCH(D3863,catNom,0))&amp;"","")),"")</f>
        <v/>
      </c>
      <c r="L3863" s="19">
        <f>IF(I3863="","",IFERROR(INDEX(catAlim,MATCH(D3863,catNom,0))&amp;"",""))</f>
        <v/>
      </c>
      <c r="M3863" s="19">
        <f>IF(I3863="","",IFERROR(INDEX(catComida,MATCH(D3863,catNom,0))&amp;"",""))</f>
        <v/>
      </c>
      <c r="N3863" s="19">
        <f>IF(I3863="","",IFERROR(INDEX(ctaMon,MATCH(E3863,ctaNom,0))&amp;"","DOP"))</f>
        <v/>
      </c>
      <c r="O3863" s="20">
        <f>IF(I3863="","",C3863*IF(N3863="USD",TasaUSD,1))</f>
        <v/>
      </c>
      <c r="P3863" s="20">
        <f>IF(I3863="","",IF(I3863="Gasto",O3863,0))</f>
        <v/>
      </c>
      <c r="Q3863" s="20">
        <f>IF(I3863="","",IF(I3863="Ingreso",O3863,0))</f>
        <v/>
      </c>
      <c r="R3863" s="20">
        <f>IF(I3863="","",IF(I3863="Trading",O3863,0))</f>
        <v/>
      </c>
      <c r="S3863" s="19">
        <f>IF(I3863="","",IF(AND(I3863="Gasto",K3863="Variable",J3863&lt;&gt;"Trading",O3863&gt;0,O3863&lt;=Umbral),1,0))</f>
        <v/>
      </c>
      <c r="T3863" s="20">
        <f>IF(OR(I3863="",E3863=""),"",IF(OR(I3863="Gasto",I3863="Transferencia",I3863="Pago tarjeta"),-1,1)*C3863)</f>
        <v/>
      </c>
      <c r="U3863" s="20">
        <f>IF(OR(G3863="",AND(I3863&lt;&gt;"Transferencia",I3863&lt;&gt;"Pago tarjeta")),"",IF(IFERROR(INDEX(ctaMon,MATCH(G3863,ctaNom,0))&amp;"","DOP")=N3863,C3863,IF(N3863="USD",C3863*TasaUSD,C3863/TasaUSD)))</f>
        <v/>
      </c>
      <c r="V3863" s="20">
        <f>IF(I3863="","",IF(IFERROR(INDEX(ctaLiq,MATCH(E3863,ctaNom,0))="Sí",FALSE),IF(OR(I3863="Gasto",I3863="Transferencia",I3863="Pago tarjeta"),-1,1)*O3863,0)+IF(AND(U3863&lt;&gt;"",IFERROR(INDEX(ctaLiq,MATCH(G3863,ctaNom,0))="Sí",FALSE)),O3863,0))</f>
        <v/>
      </c>
      <c r="W3863" s="19">
        <f>IF(OR(F3863="",I3863=""),"",IF(COUNTIFS(F$6:F3863,F3863,I$6:I3863,"?*")=1,MAX(W$5:W3862)+1,""))</f>
        <v/>
      </c>
    </row>
    <row r="3864">
      <c r="B3864" s="15" t="n"/>
      <c r="C3864" s="16" t="n"/>
      <c r="D3864" s="17" t="n"/>
      <c r="E3864" s="17" t="n"/>
      <c r="F3864" s="17" t="n"/>
      <c r="G3864" s="17" t="n"/>
      <c r="H3864" s="18">
        <f>IF(AND(B3864="",C3864="",D3864="",E3864=""),"",IF(B3864="","⚠ Falta fecha",IF(C3864="","⚠ Falta monto",IF(D3864="","⚠ Falta categoría",IF(ISNA(MATCH(D3864,catNom,0)),"⚠ Categoría no existe",IF(E3864="","⚠ Falta cuenta",IF(ISNA(MATCH(E3864,ctaNom,0)),"⚠ Cuenta no existe",IF(AND(OR(I3864="Transferencia",I3864="Pago tarjeta"),G3864=""),"⚠ Indica la cuenta «Hacia»",IF(AND(G3864&lt;&gt;"",G3864=E3864),"⚠ «Hacia» igual a la cuenta",IF(AND(G3864&lt;&gt;"",ISNA(MATCH(G3864,ctaNom,0))),"⚠ «Hacia» no existe",IF(AND(I3864="Pago tarjeta",IFERROR(INDEX(ctaTipo,MATCH(G3864,ctaNom,0)),"")&lt;&gt;"Tarjeta de crédito"),"⚠ «Hacia» debe ser la tarjeta",IF(AND(I3864="Trading",IFERROR(INDEX(ctaTipo,MATCH(E3864,ctaNom,0)),"")&lt;&gt;"Cuenta de trading"),"⚠ Usa la cuenta de trading","✓"))))))))))))</f>
        <v/>
      </c>
      <c r="I3864" s="19">
        <f>IF(OR(B3864="",C3864="",D3864=""),"",IFERROR(INDEX(catTipo,MATCH(D3864,catNom,0))&amp;"",""))</f>
        <v/>
      </c>
      <c r="J3864" s="19">
        <f>IF(I3864="","",IFERROR(INDEX(catGrupo,MATCH(D3864,catNom,0))&amp;"",""))</f>
        <v/>
      </c>
      <c r="K3864" s="19">
        <f>IF(I3864="Gasto",IF(IFERROR(INDEX(catClas,MATCH(D3864,catNom,0))&amp;"","")="","Variable",IFERROR(INDEX(catClas,MATCH(D3864,catNom,0))&amp;"","")),"")</f>
        <v/>
      </c>
      <c r="L3864" s="19">
        <f>IF(I3864="","",IFERROR(INDEX(catAlim,MATCH(D3864,catNom,0))&amp;"",""))</f>
        <v/>
      </c>
      <c r="M3864" s="19">
        <f>IF(I3864="","",IFERROR(INDEX(catComida,MATCH(D3864,catNom,0))&amp;"",""))</f>
        <v/>
      </c>
      <c r="N3864" s="19">
        <f>IF(I3864="","",IFERROR(INDEX(ctaMon,MATCH(E3864,ctaNom,0))&amp;"","DOP"))</f>
        <v/>
      </c>
      <c r="O3864" s="20">
        <f>IF(I3864="","",C3864*IF(N3864="USD",TasaUSD,1))</f>
        <v/>
      </c>
      <c r="P3864" s="20">
        <f>IF(I3864="","",IF(I3864="Gasto",O3864,0))</f>
        <v/>
      </c>
      <c r="Q3864" s="20">
        <f>IF(I3864="","",IF(I3864="Ingreso",O3864,0))</f>
        <v/>
      </c>
      <c r="R3864" s="20">
        <f>IF(I3864="","",IF(I3864="Trading",O3864,0))</f>
        <v/>
      </c>
      <c r="S3864" s="19">
        <f>IF(I3864="","",IF(AND(I3864="Gasto",K3864="Variable",J3864&lt;&gt;"Trading",O3864&gt;0,O3864&lt;=Umbral),1,0))</f>
        <v/>
      </c>
      <c r="T3864" s="20">
        <f>IF(OR(I3864="",E3864=""),"",IF(OR(I3864="Gasto",I3864="Transferencia",I3864="Pago tarjeta"),-1,1)*C3864)</f>
        <v/>
      </c>
      <c r="U3864" s="20">
        <f>IF(OR(G3864="",AND(I3864&lt;&gt;"Transferencia",I3864&lt;&gt;"Pago tarjeta")),"",IF(IFERROR(INDEX(ctaMon,MATCH(G3864,ctaNom,0))&amp;"","DOP")=N3864,C3864,IF(N3864="USD",C3864*TasaUSD,C3864/TasaUSD)))</f>
        <v/>
      </c>
      <c r="V3864" s="20">
        <f>IF(I3864="","",IF(IFERROR(INDEX(ctaLiq,MATCH(E3864,ctaNom,0))="Sí",FALSE),IF(OR(I3864="Gasto",I3864="Transferencia",I3864="Pago tarjeta"),-1,1)*O3864,0)+IF(AND(U3864&lt;&gt;"",IFERROR(INDEX(ctaLiq,MATCH(G3864,ctaNom,0))="Sí",FALSE)),O3864,0))</f>
        <v/>
      </c>
      <c r="W3864" s="19">
        <f>IF(OR(F3864="",I3864=""),"",IF(COUNTIFS(F$6:F3864,F3864,I$6:I3864,"?*")=1,MAX(W$5:W3863)+1,""))</f>
        <v/>
      </c>
    </row>
    <row r="3865">
      <c r="B3865" s="15" t="n"/>
      <c r="C3865" s="16" t="n"/>
      <c r="D3865" s="17" t="n"/>
      <c r="E3865" s="17" t="n"/>
      <c r="F3865" s="17" t="n"/>
      <c r="G3865" s="17" t="n"/>
      <c r="H3865" s="18">
        <f>IF(AND(B3865="",C3865="",D3865="",E3865=""),"",IF(B3865="","⚠ Falta fecha",IF(C3865="","⚠ Falta monto",IF(D3865="","⚠ Falta categoría",IF(ISNA(MATCH(D3865,catNom,0)),"⚠ Categoría no existe",IF(E3865="","⚠ Falta cuenta",IF(ISNA(MATCH(E3865,ctaNom,0)),"⚠ Cuenta no existe",IF(AND(OR(I3865="Transferencia",I3865="Pago tarjeta"),G3865=""),"⚠ Indica la cuenta «Hacia»",IF(AND(G3865&lt;&gt;"",G3865=E3865),"⚠ «Hacia» igual a la cuenta",IF(AND(G3865&lt;&gt;"",ISNA(MATCH(G3865,ctaNom,0))),"⚠ «Hacia» no existe",IF(AND(I3865="Pago tarjeta",IFERROR(INDEX(ctaTipo,MATCH(G3865,ctaNom,0)),"")&lt;&gt;"Tarjeta de crédito"),"⚠ «Hacia» debe ser la tarjeta",IF(AND(I3865="Trading",IFERROR(INDEX(ctaTipo,MATCH(E3865,ctaNom,0)),"")&lt;&gt;"Cuenta de trading"),"⚠ Usa la cuenta de trading","✓"))))))))))))</f>
        <v/>
      </c>
      <c r="I3865" s="19">
        <f>IF(OR(B3865="",C3865="",D3865=""),"",IFERROR(INDEX(catTipo,MATCH(D3865,catNom,0))&amp;"",""))</f>
        <v/>
      </c>
      <c r="J3865" s="19">
        <f>IF(I3865="","",IFERROR(INDEX(catGrupo,MATCH(D3865,catNom,0))&amp;"",""))</f>
        <v/>
      </c>
      <c r="K3865" s="19">
        <f>IF(I3865="Gasto",IF(IFERROR(INDEX(catClas,MATCH(D3865,catNom,0))&amp;"","")="","Variable",IFERROR(INDEX(catClas,MATCH(D3865,catNom,0))&amp;"","")),"")</f>
        <v/>
      </c>
      <c r="L3865" s="19">
        <f>IF(I3865="","",IFERROR(INDEX(catAlim,MATCH(D3865,catNom,0))&amp;"",""))</f>
        <v/>
      </c>
      <c r="M3865" s="19">
        <f>IF(I3865="","",IFERROR(INDEX(catComida,MATCH(D3865,catNom,0))&amp;"",""))</f>
        <v/>
      </c>
      <c r="N3865" s="19">
        <f>IF(I3865="","",IFERROR(INDEX(ctaMon,MATCH(E3865,ctaNom,0))&amp;"","DOP"))</f>
        <v/>
      </c>
      <c r="O3865" s="20">
        <f>IF(I3865="","",C3865*IF(N3865="USD",TasaUSD,1))</f>
        <v/>
      </c>
      <c r="P3865" s="20">
        <f>IF(I3865="","",IF(I3865="Gasto",O3865,0))</f>
        <v/>
      </c>
      <c r="Q3865" s="20">
        <f>IF(I3865="","",IF(I3865="Ingreso",O3865,0))</f>
        <v/>
      </c>
      <c r="R3865" s="20">
        <f>IF(I3865="","",IF(I3865="Trading",O3865,0))</f>
        <v/>
      </c>
      <c r="S3865" s="19">
        <f>IF(I3865="","",IF(AND(I3865="Gasto",K3865="Variable",J3865&lt;&gt;"Trading",O3865&gt;0,O3865&lt;=Umbral),1,0))</f>
        <v/>
      </c>
      <c r="T3865" s="20">
        <f>IF(OR(I3865="",E3865=""),"",IF(OR(I3865="Gasto",I3865="Transferencia",I3865="Pago tarjeta"),-1,1)*C3865)</f>
        <v/>
      </c>
      <c r="U3865" s="20">
        <f>IF(OR(G3865="",AND(I3865&lt;&gt;"Transferencia",I3865&lt;&gt;"Pago tarjeta")),"",IF(IFERROR(INDEX(ctaMon,MATCH(G3865,ctaNom,0))&amp;"","DOP")=N3865,C3865,IF(N3865="USD",C3865*TasaUSD,C3865/TasaUSD)))</f>
        <v/>
      </c>
      <c r="V3865" s="20">
        <f>IF(I3865="","",IF(IFERROR(INDEX(ctaLiq,MATCH(E3865,ctaNom,0))="Sí",FALSE),IF(OR(I3865="Gasto",I3865="Transferencia",I3865="Pago tarjeta"),-1,1)*O3865,0)+IF(AND(U3865&lt;&gt;"",IFERROR(INDEX(ctaLiq,MATCH(G3865,ctaNom,0))="Sí",FALSE)),O3865,0))</f>
        <v/>
      </c>
      <c r="W3865" s="19">
        <f>IF(OR(F3865="",I3865=""),"",IF(COUNTIFS(F$6:F3865,F3865,I$6:I3865,"?*")=1,MAX(W$5:W3864)+1,""))</f>
        <v/>
      </c>
    </row>
    <row r="3866">
      <c r="B3866" s="15" t="n"/>
      <c r="C3866" s="16" t="n"/>
      <c r="D3866" s="17" t="n"/>
      <c r="E3866" s="17" t="n"/>
      <c r="F3866" s="17" t="n"/>
      <c r="G3866" s="17" t="n"/>
      <c r="H3866" s="18">
        <f>IF(AND(B3866="",C3866="",D3866="",E3866=""),"",IF(B3866="","⚠ Falta fecha",IF(C3866="","⚠ Falta monto",IF(D3866="","⚠ Falta categoría",IF(ISNA(MATCH(D3866,catNom,0)),"⚠ Categoría no existe",IF(E3866="","⚠ Falta cuenta",IF(ISNA(MATCH(E3866,ctaNom,0)),"⚠ Cuenta no existe",IF(AND(OR(I3866="Transferencia",I3866="Pago tarjeta"),G3866=""),"⚠ Indica la cuenta «Hacia»",IF(AND(G3866&lt;&gt;"",G3866=E3866),"⚠ «Hacia» igual a la cuenta",IF(AND(G3866&lt;&gt;"",ISNA(MATCH(G3866,ctaNom,0))),"⚠ «Hacia» no existe",IF(AND(I3866="Pago tarjeta",IFERROR(INDEX(ctaTipo,MATCH(G3866,ctaNom,0)),"")&lt;&gt;"Tarjeta de crédito"),"⚠ «Hacia» debe ser la tarjeta",IF(AND(I3866="Trading",IFERROR(INDEX(ctaTipo,MATCH(E3866,ctaNom,0)),"")&lt;&gt;"Cuenta de trading"),"⚠ Usa la cuenta de trading","✓"))))))))))))</f>
        <v/>
      </c>
      <c r="I3866" s="19">
        <f>IF(OR(B3866="",C3866="",D3866=""),"",IFERROR(INDEX(catTipo,MATCH(D3866,catNom,0))&amp;"",""))</f>
        <v/>
      </c>
      <c r="J3866" s="19">
        <f>IF(I3866="","",IFERROR(INDEX(catGrupo,MATCH(D3866,catNom,0))&amp;"",""))</f>
        <v/>
      </c>
      <c r="K3866" s="19">
        <f>IF(I3866="Gasto",IF(IFERROR(INDEX(catClas,MATCH(D3866,catNom,0))&amp;"","")="","Variable",IFERROR(INDEX(catClas,MATCH(D3866,catNom,0))&amp;"","")),"")</f>
        <v/>
      </c>
      <c r="L3866" s="19">
        <f>IF(I3866="","",IFERROR(INDEX(catAlim,MATCH(D3866,catNom,0))&amp;"",""))</f>
        <v/>
      </c>
      <c r="M3866" s="19">
        <f>IF(I3866="","",IFERROR(INDEX(catComida,MATCH(D3866,catNom,0))&amp;"",""))</f>
        <v/>
      </c>
      <c r="N3866" s="19">
        <f>IF(I3866="","",IFERROR(INDEX(ctaMon,MATCH(E3866,ctaNom,0))&amp;"","DOP"))</f>
        <v/>
      </c>
      <c r="O3866" s="20">
        <f>IF(I3866="","",C3866*IF(N3866="USD",TasaUSD,1))</f>
        <v/>
      </c>
      <c r="P3866" s="20">
        <f>IF(I3866="","",IF(I3866="Gasto",O3866,0))</f>
        <v/>
      </c>
      <c r="Q3866" s="20">
        <f>IF(I3866="","",IF(I3866="Ingreso",O3866,0))</f>
        <v/>
      </c>
      <c r="R3866" s="20">
        <f>IF(I3866="","",IF(I3866="Trading",O3866,0))</f>
        <v/>
      </c>
      <c r="S3866" s="19">
        <f>IF(I3866="","",IF(AND(I3866="Gasto",K3866="Variable",J3866&lt;&gt;"Trading",O3866&gt;0,O3866&lt;=Umbral),1,0))</f>
        <v/>
      </c>
      <c r="T3866" s="20">
        <f>IF(OR(I3866="",E3866=""),"",IF(OR(I3866="Gasto",I3866="Transferencia",I3866="Pago tarjeta"),-1,1)*C3866)</f>
        <v/>
      </c>
      <c r="U3866" s="20">
        <f>IF(OR(G3866="",AND(I3866&lt;&gt;"Transferencia",I3866&lt;&gt;"Pago tarjeta")),"",IF(IFERROR(INDEX(ctaMon,MATCH(G3866,ctaNom,0))&amp;"","DOP")=N3866,C3866,IF(N3866="USD",C3866*TasaUSD,C3866/TasaUSD)))</f>
        <v/>
      </c>
      <c r="V3866" s="20">
        <f>IF(I3866="","",IF(IFERROR(INDEX(ctaLiq,MATCH(E3866,ctaNom,0))="Sí",FALSE),IF(OR(I3866="Gasto",I3866="Transferencia",I3866="Pago tarjeta"),-1,1)*O3866,0)+IF(AND(U3866&lt;&gt;"",IFERROR(INDEX(ctaLiq,MATCH(G3866,ctaNom,0))="Sí",FALSE)),O3866,0))</f>
        <v/>
      </c>
      <c r="W3866" s="19">
        <f>IF(OR(F3866="",I3866=""),"",IF(COUNTIFS(F$6:F3866,F3866,I$6:I3866,"?*")=1,MAX(W$5:W3865)+1,""))</f>
        <v/>
      </c>
    </row>
    <row r="3867">
      <c r="B3867" s="15" t="n"/>
      <c r="C3867" s="16" t="n"/>
      <c r="D3867" s="17" t="n"/>
      <c r="E3867" s="17" t="n"/>
      <c r="F3867" s="17" t="n"/>
      <c r="G3867" s="17" t="n"/>
      <c r="H3867" s="18">
        <f>IF(AND(B3867="",C3867="",D3867="",E3867=""),"",IF(B3867="","⚠ Falta fecha",IF(C3867="","⚠ Falta monto",IF(D3867="","⚠ Falta categoría",IF(ISNA(MATCH(D3867,catNom,0)),"⚠ Categoría no existe",IF(E3867="","⚠ Falta cuenta",IF(ISNA(MATCH(E3867,ctaNom,0)),"⚠ Cuenta no existe",IF(AND(OR(I3867="Transferencia",I3867="Pago tarjeta"),G3867=""),"⚠ Indica la cuenta «Hacia»",IF(AND(G3867&lt;&gt;"",G3867=E3867),"⚠ «Hacia» igual a la cuenta",IF(AND(G3867&lt;&gt;"",ISNA(MATCH(G3867,ctaNom,0))),"⚠ «Hacia» no existe",IF(AND(I3867="Pago tarjeta",IFERROR(INDEX(ctaTipo,MATCH(G3867,ctaNom,0)),"")&lt;&gt;"Tarjeta de crédito"),"⚠ «Hacia» debe ser la tarjeta",IF(AND(I3867="Trading",IFERROR(INDEX(ctaTipo,MATCH(E3867,ctaNom,0)),"")&lt;&gt;"Cuenta de trading"),"⚠ Usa la cuenta de trading","✓"))))))))))))</f>
        <v/>
      </c>
      <c r="I3867" s="19">
        <f>IF(OR(B3867="",C3867="",D3867=""),"",IFERROR(INDEX(catTipo,MATCH(D3867,catNom,0))&amp;"",""))</f>
        <v/>
      </c>
      <c r="J3867" s="19">
        <f>IF(I3867="","",IFERROR(INDEX(catGrupo,MATCH(D3867,catNom,0))&amp;"",""))</f>
        <v/>
      </c>
      <c r="K3867" s="19">
        <f>IF(I3867="Gasto",IF(IFERROR(INDEX(catClas,MATCH(D3867,catNom,0))&amp;"","")="","Variable",IFERROR(INDEX(catClas,MATCH(D3867,catNom,0))&amp;"","")),"")</f>
        <v/>
      </c>
      <c r="L3867" s="19">
        <f>IF(I3867="","",IFERROR(INDEX(catAlim,MATCH(D3867,catNom,0))&amp;"",""))</f>
        <v/>
      </c>
      <c r="M3867" s="19">
        <f>IF(I3867="","",IFERROR(INDEX(catComida,MATCH(D3867,catNom,0))&amp;"",""))</f>
        <v/>
      </c>
      <c r="N3867" s="19">
        <f>IF(I3867="","",IFERROR(INDEX(ctaMon,MATCH(E3867,ctaNom,0))&amp;"","DOP"))</f>
        <v/>
      </c>
      <c r="O3867" s="20">
        <f>IF(I3867="","",C3867*IF(N3867="USD",TasaUSD,1))</f>
        <v/>
      </c>
      <c r="P3867" s="20">
        <f>IF(I3867="","",IF(I3867="Gasto",O3867,0))</f>
        <v/>
      </c>
      <c r="Q3867" s="20">
        <f>IF(I3867="","",IF(I3867="Ingreso",O3867,0))</f>
        <v/>
      </c>
      <c r="R3867" s="20">
        <f>IF(I3867="","",IF(I3867="Trading",O3867,0))</f>
        <v/>
      </c>
      <c r="S3867" s="19">
        <f>IF(I3867="","",IF(AND(I3867="Gasto",K3867="Variable",J3867&lt;&gt;"Trading",O3867&gt;0,O3867&lt;=Umbral),1,0))</f>
        <v/>
      </c>
      <c r="T3867" s="20">
        <f>IF(OR(I3867="",E3867=""),"",IF(OR(I3867="Gasto",I3867="Transferencia",I3867="Pago tarjeta"),-1,1)*C3867)</f>
        <v/>
      </c>
      <c r="U3867" s="20">
        <f>IF(OR(G3867="",AND(I3867&lt;&gt;"Transferencia",I3867&lt;&gt;"Pago tarjeta")),"",IF(IFERROR(INDEX(ctaMon,MATCH(G3867,ctaNom,0))&amp;"","DOP")=N3867,C3867,IF(N3867="USD",C3867*TasaUSD,C3867/TasaUSD)))</f>
        <v/>
      </c>
      <c r="V3867" s="20">
        <f>IF(I3867="","",IF(IFERROR(INDEX(ctaLiq,MATCH(E3867,ctaNom,0))="Sí",FALSE),IF(OR(I3867="Gasto",I3867="Transferencia",I3867="Pago tarjeta"),-1,1)*O3867,0)+IF(AND(U3867&lt;&gt;"",IFERROR(INDEX(ctaLiq,MATCH(G3867,ctaNom,0))="Sí",FALSE)),O3867,0))</f>
        <v/>
      </c>
      <c r="W3867" s="19">
        <f>IF(OR(F3867="",I3867=""),"",IF(COUNTIFS(F$6:F3867,F3867,I$6:I3867,"?*")=1,MAX(W$5:W3866)+1,""))</f>
        <v/>
      </c>
    </row>
    <row r="3868">
      <c r="B3868" s="15" t="n"/>
      <c r="C3868" s="16" t="n"/>
      <c r="D3868" s="17" t="n"/>
      <c r="E3868" s="17" t="n"/>
      <c r="F3868" s="17" t="n"/>
      <c r="G3868" s="17" t="n"/>
      <c r="H3868" s="18">
        <f>IF(AND(B3868="",C3868="",D3868="",E3868=""),"",IF(B3868="","⚠ Falta fecha",IF(C3868="","⚠ Falta monto",IF(D3868="","⚠ Falta categoría",IF(ISNA(MATCH(D3868,catNom,0)),"⚠ Categoría no existe",IF(E3868="","⚠ Falta cuenta",IF(ISNA(MATCH(E3868,ctaNom,0)),"⚠ Cuenta no existe",IF(AND(OR(I3868="Transferencia",I3868="Pago tarjeta"),G3868=""),"⚠ Indica la cuenta «Hacia»",IF(AND(G3868&lt;&gt;"",G3868=E3868),"⚠ «Hacia» igual a la cuenta",IF(AND(G3868&lt;&gt;"",ISNA(MATCH(G3868,ctaNom,0))),"⚠ «Hacia» no existe",IF(AND(I3868="Pago tarjeta",IFERROR(INDEX(ctaTipo,MATCH(G3868,ctaNom,0)),"")&lt;&gt;"Tarjeta de crédito"),"⚠ «Hacia» debe ser la tarjeta",IF(AND(I3868="Trading",IFERROR(INDEX(ctaTipo,MATCH(E3868,ctaNom,0)),"")&lt;&gt;"Cuenta de trading"),"⚠ Usa la cuenta de trading","✓"))))))))))))</f>
        <v/>
      </c>
      <c r="I3868" s="19">
        <f>IF(OR(B3868="",C3868="",D3868=""),"",IFERROR(INDEX(catTipo,MATCH(D3868,catNom,0))&amp;"",""))</f>
        <v/>
      </c>
      <c r="J3868" s="19">
        <f>IF(I3868="","",IFERROR(INDEX(catGrupo,MATCH(D3868,catNom,0))&amp;"",""))</f>
        <v/>
      </c>
      <c r="K3868" s="19">
        <f>IF(I3868="Gasto",IF(IFERROR(INDEX(catClas,MATCH(D3868,catNom,0))&amp;"","")="","Variable",IFERROR(INDEX(catClas,MATCH(D3868,catNom,0))&amp;"","")),"")</f>
        <v/>
      </c>
      <c r="L3868" s="19">
        <f>IF(I3868="","",IFERROR(INDEX(catAlim,MATCH(D3868,catNom,0))&amp;"",""))</f>
        <v/>
      </c>
      <c r="M3868" s="19">
        <f>IF(I3868="","",IFERROR(INDEX(catComida,MATCH(D3868,catNom,0))&amp;"",""))</f>
        <v/>
      </c>
      <c r="N3868" s="19">
        <f>IF(I3868="","",IFERROR(INDEX(ctaMon,MATCH(E3868,ctaNom,0))&amp;"","DOP"))</f>
        <v/>
      </c>
      <c r="O3868" s="20">
        <f>IF(I3868="","",C3868*IF(N3868="USD",TasaUSD,1))</f>
        <v/>
      </c>
      <c r="P3868" s="20">
        <f>IF(I3868="","",IF(I3868="Gasto",O3868,0))</f>
        <v/>
      </c>
      <c r="Q3868" s="20">
        <f>IF(I3868="","",IF(I3868="Ingreso",O3868,0))</f>
        <v/>
      </c>
      <c r="R3868" s="20">
        <f>IF(I3868="","",IF(I3868="Trading",O3868,0))</f>
        <v/>
      </c>
      <c r="S3868" s="19">
        <f>IF(I3868="","",IF(AND(I3868="Gasto",K3868="Variable",J3868&lt;&gt;"Trading",O3868&gt;0,O3868&lt;=Umbral),1,0))</f>
        <v/>
      </c>
      <c r="T3868" s="20">
        <f>IF(OR(I3868="",E3868=""),"",IF(OR(I3868="Gasto",I3868="Transferencia",I3868="Pago tarjeta"),-1,1)*C3868)</f>
        <v/>
      </c>
      <c r="U3868" s="20">
        <f>IF(OR(G3868="",AND(I3868&lt;&gt;"Transferencia",I3868&lt;&gt;"Pago tarjeta")),"",IF(IFERROR(INDEX(ctaMon,MATCH(G3868,ctaNom,0))&amp;"","DOP")=N3868,C3868,IF(N3868="USD",C3868*TasaUSD,C3868/TasaUSD)))</f>
        <v/>
      </c>
      <c r="V3868" s="20">
        <f>IF(I3868="","",IF(IFERROR(INDEX(ctaLiq,MATCH(E3868,ctaNom,0))="Sí",FALSE),IF(OR(I3868="Gasto",I3868="Transferencia",I3868="Pago tarjeta"),-1,1)*O3868,0)+IF(AND(U3868&lt;&gt;"",IFERROR(INDEX(ctaLiq,MATCH(G3868,ctaNom,0))="Sí",FALSE)),O3868,0))</f>
        <v/>
      </c>
      <c r="W3868" s="19">
        <f>IF(OR(F3868="",I3868=""),"",IF(COUNTIFS(F$6:F3868,F3868,I$6:I3868,"?*")=1,MAX(W$5:W3867)+1,""))</f>
        <v/>
      </c>
    </row>
    <row r="3869">
      <c r="B3869" s="15" t="n"/>
      <c r="C3869" s="16" t="n"/>
      <c r="D3869" s="17" t="n"/>
      <c r="E3869" s="17" t="n"/>
      <c r="F3869" s="17" t="n"/>
      <c r="G3869" s="17" t="n"/>
      <c r="H3869" s="18">
        <f>IF(AND(B3869="",C3869="",D3869="",E3869=""),"",IF(B3869="","⚠ Falta fecha",IF(C3869="","⚠ Falta monto",IF(D3869="","⚠ Falta categoría",IF(ISNA(MATCH(D3869,catNom,0)),"⚠ Categoría no existe",IF(E3869="","⚠ Falta cuenta",IF(ISNA(MATCH(E3869,ctaNom,0)),"⚠ Cuenta no existe",IF(AND(OR(I3869="Transferencia",I3869="Pago tarjeta"),G3869=""),"⚠ Indica la cuenta «Hacia»",IF(AND(G3869&lt;&gt;"",G3869=E3869),"⚠ «Hacia» igual a la cuenta",IF(AND(G3869&lt;&gt;"",ISNA(MATCH(G3869,ctaNom,0))),"⚠ «Hacia» no existe",IF(AND(I3869="Pago tarjeta",IFERROR(INDEX(ctaTipo,MATCH(G3869,ctaNom,0)),"")&lt;&gt;"Tarjeta de crédito"),"⚠ «Hacia» debe ser la tarjeta",IF(AND(I3869="Trading",IFERROR(INDEX(ctaTipo,MATCH(E3869,ctaNom,0)),"")&lt;&gt;"Cuenta de trading"),"⚠ Usa la cuenta de trading","✓"))))))))))))</f>
        <v/>
      </c>
      <c r="I3869" s="19">
        <f>IF(OR(B3869="",C3869="",D3869=""),"",IFERROR(INDEX(catTipo,MATCH(D3869,catNom,0))&amp;"",""))</f>
        <v/>
      </c>
      <c r="J3869" s="19">
        <f>IF(I3869="","",IFERROR(INDEX(catGrupo,MATCH(D3869,catNom,0))&amp;"",""))</f>
        <v/>
      </c>
      <c r="K3869" s="19">
        <f>IF(I3869="Gasto",IF(IFERROR(INDEX(catClas,MATCH(D3869,catNom,0))&amp;"","")="","Variable",IFERROR(INDEX(catClas,MATCH(D3869,catNom,0))&amp;"","")),"")</f>
        <v/>
      </c>
      <c r="L3869" s="19">
        <f>IF(I3869="","",IFERROR(INDEX(catAlim,MATCH(D3869,catNom,0))&amp;"",""))</f>
        <v/>
      </c>
      <c r="M3869" s="19">
        <f>IF(I3869="","",IFERROR(INDEX(catComida,MATCH(D3869,catNom,0))&amp;"",""))</f>
        <v/>
      </c>
      <c r="N3869" s="19">
        <f>IF(I3869="","",IFERROR(INDEX(ctaMon,MATCH(E3869,ctaNom,0))&amp;"","DOP"))</f>
        <v/>
      </c>
      <c r="O3869" s="20">
        <f>IF(I3869="","",C3869*IF(N3869="USD",TasaUSD,1))</f>
        <v/>
      </c>
      <c r="P3869" s="20">
        <f>IF(I3869="","",IF(I3869="Gasto",O3869,0))</f>
        <v/>
      </c>
      <c r="Q3869" s="20">
        <f>IF(I3869="","",IF(I3869="Ingreso",O3869,0))</f>
        <v/>
      </c>
      <c r="R3869" s="20">
        <f>IF(I3869="","",IF(I3869="Trading",O3869,0))</f>
        <v/>
      </c>
      <c r="S3869" s="19">
        <f>IF(I3869="","",IF(AND(I3869="Gasto",K3869="Variable",J3869&lt;&gt;"Trading",O3869&gt;0,O3869&lt;=Umbral),1,0))</f>
        <v/>
      </c>
      <c r="T3869" s="20">
        <f>IF(OR(I3869="",E3869=""),"",IF(OR(I3869="Gasto",I3869="Transferencia",I3869="Pago tarjeta"),-1,1)*C3869)</f>
        <v/>
      </c>
      <c r="U3869" s="20">
        <f>IF(OR(G3869="",AND(I3869&lt;&gt;"Transferencia",I3869&lt;&gt;"Pago tarjeta")),"",IF(IFERROR(INDEX(ctaMon,MATCH(G3869,ctaNom,0))&amp;"","DOP")=N3869,C3869,IF(N3869="USD",C3869*TasaUSD,C3869/TasaUSD)))</f>
        <v/>
      </c>
      <c r="V3869" s="20">
        <f>IF(I3869="","",IF(IFERROR(INDEX(ctaLiq,MATCH(E3869,ctaNom,0))="Sí",FALSE),IF(OR(I3869="Gasto",I3869="Transferencia",I3869="Pago tarjeta"),-1,1)*O3869,0)+IF(AND(U3869&lt;&gt;"",IFERROR(INDEX(ctaLiq,MATCH(G3869,ctaNom,0))="Sí",FALSE)),O3869,0))</f>
        <v/>
      </c>
      <c r="W3869" s="19">
        <f>IF(OR(F3869="",I3869=""),"",IF(COUNTIFS(F$6:F3869,F3869,I$6:I3869,"?*")=1,MAX(W$5:W3868)+1,""))</f>
        <v/>
      </c>
    </row>
    <row r="3870">
      <c r="B3870" s="15" t="n"/>
      <c r="C3870" s="16" t="n"/>
      <c r="D3870" s="17" t="n"/>
      <c r="E3870" s="17" t="n"/>
      <c r="F3870" s="17" t="n"/>
      <c r="G3870" s="17" t="n"/>
      <c r="H3870" s="18">
        <f>IF(AND(B3870="",C3870="",D3870="",E3870=""),"",IF(B3870="","⚠ Falta fecha",IF(C3870="","⚠ Falta monto",IF(D3870="","⚠ Falta categoría",IF(ISNA(MATCH(D3870,catNom,0)),"⚠ Categoría no existe",IF(E3870="","⚠ Falta cuenta",IF(ISNA(MATCH(E3870,ctaNom,0)),"⚠ Cuenta no existe",IF(AND(OR(I3870="Transferencia",I3870="Pago tarjeta"),G3870=""),"⚠ Indica la cuenta «Hacia»",IF(AND(G3870&lt;&gt;"",G3870=E3870),"⚠ «Hacia» igual a la cuenta",IF(AND(G3870&lt;&gt;"",ISNA(MATCH(G3870,ctaNom,0))),"⚠ «Hacia» no existe",IF(AND(I3870="Pago tarjeta",IFERROR(INDEX(ctaTipo,MATCH(G3870,ctaNom,0)),"")&lt;&gt;"Tarjeta de crédito"),"⚠ «Hacia» debe ser la tarjeta",IF(AND(I3870="Trading",IFERROR(INDEX(ctaTipo,MATCH(E3870,ctaNom,0)),"")&lt;&gt;"Cuenta de trading"),"⚠ Usa la cuenta de trading","✓"))))))))))))</f>
        <v/>
      </c>
      <c r="I3870" s="19">
        <f>IF(OR(B3870="",C3870="",D3870=""),"",IFERROR(INDEX(catTipo,MATCH(D3870,catNom,0))&amp;"",""))</f>
        <v/>
      </c>
      <c r="J3870" s="19">
        <f>IF(I3870="","",IFERROR(INDEX(catGrupo,MATCH(D3870,catNom,0))&amp;"",""))</f>
        <v/>
      </c>
      <c r="K3870" s="19">
        <f>IF(I3870="Gasto",IF(IFERROR(INDEX(catClas,MATCH(D3870,catNom,0))&amp;"","")="","Variable",IFERROR(INDEX(catClas,MATCH(D3870,catNom,0))&amp;"","")),"")</f>
        <v/>
      </c>
      <c r="L3870" s="19">
        <f>IF(I3870="","",IFERROR(INDEX(catAlim,MATCH(D3870,catNom,0))&amp;"",""))</f>
        <v/>
      </c>
      <c r="M3870" s="19">
        <f>IF(I3870="","",IFERROR(INDEX(catComida,MATCH(D3870,catNom,0))&amp;"",""))</f>
        <v/>
      </c>
      <c r="N3870" s="19">
        <f>IF(I3870="","",IFERROR(INDEX(ctaMon,MATCH(E3870,ctaNom,0))&amp;"","DOP"))</f>
        <v/>
      </c>
      <c r="O3870" s="20">
        <f>IF(I3870="","",C3870*IF(N3870="USD",TasaUSD,1))</f>
        <v/>
      </c>
      <c r="P3870" s="20">
        <f>IF(I3870="","",IF(I3870="Gasto",O3870,0))</f>
        <v/>
      </c>
      <c r="Q3870" s="20">
        <f>IF(I3870="","",IF(I3870="Ingreso",O3870,0))</f>
        <v/>
      </c>
      <c r="R3870" s="20">
        <f>IF(I3870="","",IF(I3870="Trading",O3870,0))</f>
        <v/>
      </c>
      <c r="S3870" s="19">
        <f>IF(I3870="","",IF(AND(I3870="Gasto",K3870="Variable",J3870&lt;&gt;"Trading",O3870&gt;0,O3870&lt;=Umbral),1,0))</f>
        <v/>
      </c>
      <c r="T3870" s="20">
        <f>IF(OR(I3870="",E3870=""),"",IF(OR(I3870="Gasto",I3870="Transferencia",I3870="Pago tarjeta"),-1,1)*C3870)</f>
        <v/>
      </c>
      <c r="U3870" s="20">
        <f>IF(OR(G3870="",AND(I3870&lt;&gt;"Transferencia",I3870&lt;&gt;"Pago tarjeta")),"",IF(IFERROR(INDEX(ctaMon,MATCH(G3870,ctaNom,0))&amp;"","DOP")=N3870,C3870,IF(N3870="USD",C3870*TasaUSD,C3870/TasaUSD)))</f>
        <v/>
      </c>
      <c r="V3870" s="20">
        <f>IF(I3870="","",IF(IFERROR(INDEX(ctaLiq,MATCH(E3870,ctaNom,0))="Sí",FALSE),IF(OR(I3870="Gasto",I3870="Transferencia",I3870="Pago tarjeta"),-1,1)*O3870,0)+IF(AND(U3870&lt;&gt;"",IFERROR(INDEX(ctaLiq,MATCH(G3870,ctaNom,0))="Sí",FALSE)),O3870,0))</f>
        <v/>
      </c>
      <c r="W3870" s="19">
        <f>IF(OR(F3870="",I3870=""),"",IF(COUNTIFS(F$6:F3870,F3870,I$6:I3870,"?*")=1,MAX(W$5:W3869)+1,""))</f>
        <v/>
      </c>
    </row>
    <row r="3871">
      <c r="B3871" s="15" t="n"/>
      <c r="C3871" s="16" t="n"/>
      <c r="D3871" s="17" t="n"/>
      <c r="E3871" s="17" t="n"/>
      <c r="F3871" s="17" t="n"/>
      <c r="G3871" s="17" t="n"/>
      <c r="H3871" s="18">
        <f>IF(AND(B3871="",C3871="",D3871="",E3871=""),"",IF(B3871="","⚠ Falta fecha",IF(C3871="","⚠ Falta monto",IF(D3871="","⚠ Falta categoría",IF(ISNA(MATCH(D3871,catNom,0)),"⚠ Categoría no existe",IF(E3871="","⚠ Falta cuenta",IF(ISNA(MATCH(E3871,ctaNom,0)),"⚠ Cuenta no existe",IF(AND(OR(I3871="Transferencia",I3871="Pago tarjeta"),G3871=""),"⚠ Indica la cuenta «Hacia»",IF(AND(G3871&lt;&gt;"",G3871=E3871),"⚠ «Hacia» igual a la cuenta",IF(AND(G3871&lt;&gt;"",ISNA(MATCH(G3871,ctaNom,0))),"⚠ «Hacia» no existe",IF(AND(I3871="Pago tarjeta",IFERROR(INDEX(ctaTipo,MATCH(G3871,ctaNom,0)),"")&lt;&gt;"Tarjeta de crédito"),"⚠ «Hacia» debe ser la tarjeta",IF(AND(I3871="Trading",IFERROR(INDEX(ctaTipo,MATCH(E3871,ctaNom,0)),"")&lt;&gt;"Cuenta de trading"),"⚠ Usa la cuenta de trading","✓"))))))))))))</f>
        <v/>
      </c>
      <c r="I3871" s="19">
        <f>IF(OR(B3871="",C3871="",D3871=""),"",IFERROR(INDEX(catTipo,MATCH(D3871,catNom,0))&amp;"",""))</f>
        <v/>
      </c>
      <c r="J3871" s="19">
        <f>IF(I3871="","",IFERROR(INDEX(catGrupo,MATCH(D3871,catNom,0))&amp;"",""))</f>
        <v/>
      </c>
      <c r="K3871" s="19">
        <f>IF(I3871="Gasto",IF(IFERROR(INDEX(catClas,MATCH(D3871,catNom,0))&amp;"","")="","Variable",IFERROR(INDEX(catClas,MATCH(D3871,catNom,0))&amp;"","")),"")</f>
        <v/>
      </c>
      <c r="L3871" s="19">
        <f>IF(I3871="","",IFERROR(INDEX(catAlim,MATCH(D3871,catNom,0))&amp;"",""))</f>
        <v/>
      </c>
      <c r="M3871" s="19">
        <f>IF(I3871="","",IFERROR(INDEX(catComida,MATCH(D3871,catNom,0))&amp;"",""))</f>
        <v/>
      </c>
      <c r="N3871" s="19">
        <f>IF(I3871="","",IFERROR(INDEX(ctaMon,MATCH(E3871,ctaNom,0))&amp;"","DOP"))</f>
        <v/>
      </c>
      <c r="O3871" s="20">
        <f>IF(I3871="","",C3871*IF(N3871="USD",TasaUSD,1))</f>
        <v/>
      </c>
      <c r="P3871" s="20">
        <f>IF(I3871="","",IF(I3871="Gasto",O3871,0))</f>
        <v/>
      </c>
      <c r="Q3871" s="20">
        <f>IF(I3871="","",IF(I3871="Ingreso",O3871,0))</f>
        <v/>
      </c>
      <c r="R3871" s="20">
        <f>IF(I3871="","",IF(I3871="Trading",O3871,0))</f>
        <v/>
      </c>
      <c r="S3871" s="19">
        <f>IF(I3871="","",IF(AND(I3871="Gasto",K3871="Variable",J3871&lt;&gt;"Trading",O3871&gt;0,O3871&lt;=Umbral),1,0))</f>
        <v/>
      </c>
      <c r="T3871" s="20">
        <f>IF(OR(I3871="",E3871=""),"",IF(OR(I3871="Gasto",I3871="Transferencia",I3871="Pago tarjeta"),-1,1)*C3871)</f>
        <v/>
      </c>
      <c r="U3871" s="20">
        <f>IF(OR(G3871="",AND(I3871&lt;&gt;"Transferencia",I3871&lt;&gt;"Pago tarjeta")),"",IF(IFERROR(INDEX(ctaMon,MATCH(G3871,ctaNom,0))&amp;"","DOP")=N3871,C3871,IF(N3871="USD",C3871*TasaUSD,C3871/TasaUSD)))</f>
        <v/>
      </c>
      <c r="V3871" s="20">
        <f>IF(I3871="","",IF(IFERROR(INDEX(ctaLiq,MATCH(E3871,ctaNom,0))="Sí",FALSE),IF(OR(I3871="Gasto",I3871="Transferencia",I3871="Pago tarjeta"),-1,1)*O3871,0)+IF(AND(U3871&lt;&gt;"",IFERROR(INDEX(ctaLiq,MATCH(G3871,ctaNom,0))="Sí",FALSE)),O3871,0))</f>
        <v/>
      </c>
      <c r="W3871" s="19">
        <f>IF(OR(F3871="",I3871=""),"",IF(COUNTIFS(F$6:F3871,F3871,I$6:I3871,"?*")=1,MAX(W$5:W3870)+1,""))</f>
        <v/>
      </c>
    </row>
    <row r="3872">
      <c r="B3872" s="15" t="n"/>
      <c r="C3872" s="16" t="n"/>
      <c r="D3872" s="17" t="n"/>
      <c r="E3872" s="17" t="n"/>
      <c r="F3872" s="17" t="n"/>
      <c r="G3872" s="17" t="n"/>
      <c r="H3872" s="18">
        <f>IF(AND(B3872="",C3872="",D3872="",E3872=""),"",IF(B3872="","⚠ Falta fecha",IF(C3872="","⚠ Falta monto",IF(D3872="","⚠ Falta categoría",IF(ISNA(MATCH(D3872,catNom,0)),"⚠ Categoría no existe",IF(E3872="","⚠ Falta cuenta",IF(ISNA(MATCH(E3872,ctaNom,0)),"⚠ Cuenta no existe",IF(AND(OR(I3872="Transferencia",I3872="Pago tarjeta"),G3872=""),"⚠ Indica la cuenta «Hacia»",IF(AND(G3872&lt;&gt;"",G3872=E3872),"⚠ «Hacia» igual a la cuenta",IF(AND(G3872&lt;&gt;"",ISNA(MATCH(G3872,ctaNom,0))),"⚠ «Hacia» no existe",IF(AND(I3872="Pago tarjeta",IFERROR(INDEX(ctaTipo,MATCH(G3872,ctaNom,0)),"")&lt;&gt;"Tarjeta de crédito"),"⚠ «Hacia» debe ser la tarjeta",IF(AND(I3872="Trading",IFERROR(INDEX(ctaTipo,MATCH(E3872,ctaNom,0)),"")&lt;&gt;"Cuenta de trading"),"⚠ Usa la cuenta de trading","✓"))))))))))))</f>
        <v/>
      </c>
      <c r="I3872" s="19">
        <f>IF(OR(B3872="",C3872="",D3872=""),"",IFERROR(INDEX(catTipo,MATCH(D3872,catNom,0))&amp;"",""))</f>
        <v/>
      </c>
      <c r="J3872" s="19">
        <f>IF(I3872="","",IFERROR(INDEX(catGrupo,MATCH(D3872,catNom,0))&amp;"",""))</f>
        <v/>
      </c>
      <c r="K3872" s="19">
        <f>IF(I3872="Gasto",IF(IFERROR(INDEX(catClas,MATCH(D3872,catNom,0))&amp;"","")="","Variable",IFERROR(INDEX(catClas,MATCH(D3872,catNom,0))&amp;"","")),"")</f>
        <v/>
      </c>
      <c r="L3872" s="19">
        <f>IF(I3872="","",IFERROR(INDEX(catAlim,MATCH(D3872,catNom,0))&amp;"",""))</f>
        <v/>
      </c>
      <c r="M3872" s="19">
        <f>IF(I3872="","",IFERROR(INDEX(catComida,MATCH(D3872,catNom,0))&amp;"",""))</f>
        <v/>
      </c>
      <c r="N3872" s="19">
        <f>IF(I3872="","",IFERROR(INDEX(ctaMon,MATCH(E3872,ctaNom,0))&amp;"","DOP"))</f>
        <v/>
      </c>
      <c r="O3872" s="20">
        <f>IF(I3872="","",C3872*IF(N3872="USD",TasaUSD,1))</f>
        <v/>
      </c>
      <c r="P3872" s="20">
        <f>IF(I3872="","",IF(I3872="Gasto",O3872,0))</f>
        <v/>
      </c>
      <c r="Q3872" s="20">
        <f>IF(I3872="","",IF(I3872="Ingreso",O3872,0))</f>
        <v/>
      </c>
      <c r="R3872" s="20">
        <f>IF(I3872="","",IF(I3872="Trading",O3872,0))</f>
        <v/>
      </c>
      <c r="S3872" s="19">
        <f>IF(I3872="","",IF(AND(I3872="Gasto",K3872="Variable",J3872&lt;&gt;"Trading",O3872&gt;0,O3872&lt;=Umbral),1,0))</f>
        <v/>
      </c>
      <c r="T3872" s="20">
        <f>IF(OR(I3872="",E3872=""),"",IF(OR(I3872="Gasto",I3872="Transferencia",I3872="Pago tarjeta"),-1,1)*C3872)</f>
        <v/>
      </c>
      <c r="U3872" s="20">
        <f>IF(OR(G3872="",AND(I3872&lt;&gt;"Transferencia",I3872&lt;&gt;"Pago tarjeta")),"",IF(IFERROR(INDEX(ctaMon,MATCH(G3872,ctaNom,0))&amp;"","DOP")=N3872,C3872,IF(N3872="USD",C3872*TasaUSD,C3872/TasaUSD)))</f>
        <v/>
      </c>
      <c r="V3872" s="20">
        <f>IF(I3872="","",IF(IFERROR(INDEX(ctaLiq,MATCH(E3872,ctaNom,0))="Sí",FALSE),IF(OR(I3872="Gasto",I3872="Transferencia",I3872="Pago tarjeta"),-1,1)*O3872,0)+IF(AND(U3872&lt;&gt;"",IFERROR(INDEX(ctaLiq,MATCH(G3872,ctaNom,0))="Sí",FALSE)),O3872,0))</f>
        <v/>
      </c>
      <c r="W3872" s="19">
        <f>IF(OR(F3872="",I3872=""),"",IF(COUNTIFS(F$6:F3872,F3872,I$6:I3872,"?*")=1,MAX(W$5:W3871)+1,""))</f>
        <v/>
      </c>
    </row>
    <row r="3873">
      <c r="B3873" s="15" t="n"/>
      <c r="C3873" s="16" t="n"/>
      <c r="D3873" s="17" t="n"/>
      <c r="E3873" s="17" t="n"/>
      <c r="F3873" s="17" t="n"/>
      <c r="G3873" s="17" t="n"/>
      <c r="H3873" s="18">
        <f>IF(AND(B3873="",C3873="",D3873="",E3873=""),"",IF(B3873="","⚠ Falta fecha",IF(C3873="","⚠ Falta monto",IF(D3873="","⚠ Falta categoría",IF(ISNA(MATCH(D3873,catNom,0)),"⚠ Categoría no existe",IF(E3873="","⚠ Falta cuenta",IF(ISNA(MATCH(E3873,ctaNom,0)),"⚠ Cuenta no existe",IF(AND(OR(I3873="Transferencia",I3873="Pago tarjeta"),G3873=""),"⚠ Indica la cuenta «Hacia»",IF(AND(G3873&lt;&gt;"",G3873=E3873),"⚠ «Hacia» igual a la cuenta",IF(AND(G3873&lt;&gt;"",ISNA(MATCH(G3873,ctaNom,0))),"⚠ «Hacia» no existe",IF(AND(I3873="Pago tarjeta",IFERROR(INDEX(ctaTipo,MATCH(G3873,ctaNom,0)),"")&lt;&gt;"Tarjeta de crédito"),"⚠ «Hacia» debe ser la tarjeta",IF(AND(I3873="Trading",IFERROR(INDEX(ctaTipo,MATCH(E3873,ctaNom,0)),"")&lt;&gt;"Cuenta de trading"),"⚠ Usa la cuenta de trading","✓"))))))))))))</f>
        <v/>
      </c>
      <c r="I3873" s="19">
        <f>IF(OR(B3873="",C3873="",D3873=""),"",IFERROR(INDEX(catTipo,MATCH(D3873,catNom,0))&amp;"",""))</f>
        <v/>
      </c>
      <c r="J3873" s="19">
        <f>IF(I3873="","",IFERROR(INDEX(catGrupo,MATCH(D3873,catNom,0))&amp;"",""))</f>
        <v/>
      </c>
      <c r="K3873" s="19">
        <f>IF(I3873="Gasto",IF(IFERROR(INDEX(catClas,MATCH(D3873,catNom,0))&amp;"","")="","Variable",IFERROR(INDEX(catClas,MATCH(D3873,catNom,0))&amp;"","")),"")</f>
        <v/>
      </c>
      <c r="L3873" s="19">
        <f>IF(I3873="","",IFERROR(INDEX(catAlim,MATCH(D3873,catNom,0))&amp;"",""))</f>
        <v/>
      </c>
      <c r="M3873" s="19">
        <f>IF(I3873="","",IFERROR(INDEX(catComida,MATCH(D3873,catNom,0))&amp;"",""))</f>
        <v/>
      </c>
      <c r="N3873" s="19">
        <f>IF(I3873="","",IFERROR(INDEX(ctaMon,MATCH(E3873,ctaNom,0))&amp;"","DOP"))</f>
        <v/>
      </c>
      <c r="O3873" s="20">
        <f>IF(I3873="","",C3873*IF(N3873="USD",TasaUSD,1))</f>
        <v/>
      </c>
      <c r="P3873" s="20">
        <f>IF(I3873="","",IF(I3873="Gasto",O3873,0))</f>
        <v/>
      </c>
      <c r="Q3873" s="20">
        <f>IF(I3873="","",IF(I3873="Ingreso",O3873,0))</f>
        <v/>
      </c>
      <c r="R3873" s="20">
        <f>IF(I3873="","",IF(I3873="Trading",O3873,0))</f>
        <v/>
      </c>
      <c r="S3873" s="19">
        <f>IF(I3873="","",IF(AND(I3873="Gasto",K3873="Variable",J3873&lt;&gt;"Trading",O3873&gt;0,O3873&lt;=Umbral),1,0))</f>
        <v/>
      </c>
      <c r="T3873" s="20">
        <f>IF(OR(I3873="",E3873=""),"",IF(OR(I3873="Gasto",I3873="Transferencia",I3873="Pago tarjeta"),-1,1)*C3873)</f>
        <v/>
      </c>
      <c r="U3873" s="20">
        <f>IF(OR(G3873="",AND(I3873&lt;&gt;"Transferencia",I3873&lt;&gt;"Pago tarjeta")),"",IF(IFERROR(INDEX(ctaMon,MATCH(G3873,ctaNom,0))&amp;"","DOP")=N3873,C3873,IF(N3873="USD",C3873*TasaUSD,C3873/TasaUSD)))</f>
        <v/>
      </c>
      <c r="V3873" s="20">
        <f>IF(I3873="","",IF(IFERROR(INDEX(ctaLiq,MATCH(E3873,ctaNom,0))="Sí",FALSE),IF(OR(I3873="Gasto",I3873="Transferencia",I3873="Pago tarjeta"),-1,1)*O3873,0)+IF(AND(U3873&lt;&gt;"",IFERROR(INDEX(ctaLiq,MATCH(G3873,ctaNom,0))="Sí",FALSE)),O3873,0))</f>
        <v/>
      </c>
      <c r="W3873" s="19">
        <f>IF(OR(F3873="",I3873=""),"",IF(COUNTIFS(F$6:F3873,F3873,I$6:I3873,"?*")=1,MAX(W$5:W3872)+1,""))</f>
        <v/>
      </c>
    </row>
    <row r="3874">
      <c r="B3874" s="15" t="n"/>
      <c r="C3874" s="16" t="n"/>
      <c r="D3874" s="17" t="n"/>
      <c r="E3874" s="17" t="n"/>
      <c r="F3874" s="17" t="n"/>
      <c r="G3874" s="17" t="n"/>
      <c r="H3874" s="18">
        <f>IF(AND(B3874="",C3874="",D3874="",E3874=""),"",IF(B3874="","⚠ Falta fecha",IF(C3874="","⚠ Falta monto",IF(D3874="","⚠ Falta categoría",IF(ISNA(MATCH(D3874,catNom,0)),"⚠ Categoría no existe",IF(E3874="","⚠ Falta cuenta",IF(ISNA(MATCH(E3874,ctaNom,0)),"⚠ Cuenta no existe",IF(AND(OR(I3874="Transferencia",I3874="Pago tarjeta"),G3874=""),"⚠ Indica la cuenta «Hacia»",IF(AND(G3874&lt;&gt;"",G3874=E3874),"⚠ «Hacia» igual a la cuenta",IF(AND(G3874&lt;&gt;"",ISNA(MATCH(G3874,ctaNom,0))),"⚠ «Hacia» no existe",IF(AND(I3874="Pago tarjeta",IFERROR(INDEX(ctaTipo,MATCH(G3874,ctaNom,0)),"")&lt;&gt;"Tarjeta de crédito"),"⚠ «Hacia» debe ser la tarjeta",IF(AND(I3874="Trading",IFERROR(INDEX(ctaTipo,MATCH(E3874,ctaNom,0)),"")&lt;&gt;"Cuenta de trading"),"⚠ Usa la cuenta de trading","✓"))))))))))))</f>
        <v/>
      </c>
      <c r="I3874" s="19">
        <f>IF(OR(B3874="",C3874="",D3874=""),"",IFERROR(INDEX(catTipo,MATCH(D3874,catNom,0))&amp;"",""))</f>
        <v/>
      </c>
      <c r="J3874" s="19">
        <f>IF(I3874="","",IFERROR(INDEX(catGrupo,MATCH(D3874,catNom,0))&amp;"",""))</f>
        <v/>
      </c>
      <c r="K3874" s="19">
        <f>IF(I3874="Gasto",IF(IFERROR(INDEX(catClas,MATCH(D3874,catNom,0))&amp;"","")="","Variable",IFERROR(INDEX(catClas,MATCH(D3874,catNom,0))&amp;"","")),"")</f>
        <v/>
      </c>
      <c r="L3874" s="19">
        <f>IF(I3874="","",IFERROR(INDEX(catAlim,MATCH(D3874,catNom,0))&amp;"",""))</f>
        <v/>
      </c>
      <c r="M3874" s="19">
        <f>IF(I3874="","",IFERROR(INDEX(catComida,MATCH(D3874,catNom,0))&amp;"",""))</f>
        <v/>
      </c>
      <c r="N3874" s="19">
        <f>IF(I3874="","",IFERROR(INDEX(ctaMon,MATCH(E3874,ctaNom,0))&amp;"","DOP"))</f>
        <v/>
      </c>
      <c r="O3874" s="20">
        <f>IF(I3874="","",C3874*IF(N3874="USD",TasaUSD,1))</f>
        <v/>
      </c>
      <c r="P3874" s="20">
        <f>IF(I3874="","",IF(I3874="Gasto",O3874,0))</f>
        <v/>
      </c>
      <c r="Q3874" s="20">
        <f>IF(I3874="","",IF(I3874="Ingreso",O3874,0))</f>
        <v/>
      </c>
      <c r="R3874" s="20">
        <f>IF(I3874="","",IF(I3874="Trading",O3874,0))</f>
        <v/>
      </c>
      <c r="S3874" s="19">
        <f>IF(I3874="","",IF(AND(I3874="Gasto",K3874="Variable",J3874&lt;&gt;"Trading",O3874&gt;0,O3874&lt;=Umbral),1,0))</f>
        <v/>
      </c>
      <c r="T3874" s="20">
        <f>IF(OR(I3874="",E3874=""),"",IF(OR(I3874="Gasto",I3874="Transferencia",I3874="Pago tarjeta"),-1,1)*C3874)</f>
        <v/>
      </c>
      <c r="U3874" s="20">
        <f>IF(OR(G3874="",AND(I3874&lt;&gt;"Transferencia",I3874&lt;&gt;"Pago tarjeta")),"",IF(IFERROR(INDEX(ctaMon,MATCH(G3874,ctaNom,0))&amp;"","DOP")=N3874,C3874,IF(N3874="USD",C3874*TasaUSD,C3874/TasaUSD)))</f>
        <v/>
      </c>
      <c r="V3874" s="20">
        <f>IF(I3874="","",IF(IFERROR(INDEX(ctaLiq,MATCH(E3874,ctaNom,0))="Sí",FALSE),IF(OR(I3874="Gasto",I3874="Transferencia",I3874="Pago tarjeta"),-1,1)*O3874,0)+IF(AND(U3874&lt;&gt;"",IFERROR(INDEX(ctaLiq,MATCH(G3874,ctaNom,0))="Sí",FALSE)),O3874,0))</f>
        <v/>
      </c>
      <c r="W3874" s="19">
        <f>IF(OR(F3874="",I3874=""),"",IF(COUNTIFS(F$6:F3874,F3874,I$6:I3874,"?*")=1,MAX(W$5:W3873)+1,""))</f>
        <v/>
      </c>
    </row>
    <row r="3875">
      <c r="B3875" s="15" t="n"/>
      <c r="C3875" s="16" t="n"/>
      <c r="D3875" s="17" t="n"/>
      <c r="E3875" s="17" t="n"/>
      <c r="F3875" s="17" t="n"/>
      <c r="G3875" s="17" t="n"/>
      <c r="H3875" s="18">
        <f>IF(AND(B3875="",C3875="",D3875="",E3875=""),"",IF(B3875="","⚠ Falta fecha",IF(C3875="","⚠ Falta monto",IF(D3875="","⚠ Falta categoría",IF(ISNA(MATCH(D3875,catNom,0)),"⚠ Categoría no existe",IF(E3875="","⚠ Falta cuenta",IF(ISNA(MATCH(E3875,ctaNom,0)),"⚠ Cuenta no existe",IF(AND(OR(I3875="Transferencia",I3875="Pago tarjeta"),G3875=""),"⚠ Indica la cuenta «Hacia»",IF(AND(G3875&lt;&gt;"",G3875=E3875),"⚠ «Hacia» igual a la cuenta",IF(AND(G3875&lt;&gt;"",ISNA(MATCH(G3875,ctaNom,0))),"⚠ «Hacia» no existe",IF(AND(I3875="Pago tarjeta",IFERROR(INDEX(ctaTipo,MATCH(G3875,ctaNom,0)),"")&lt;&gt;"Tarjeta de crédito"),"⚠ «Hacia» debe ser la tarjeta",IF(AND(I3875="Trading",IFERROR(INDEX(ctaTipo,MATCH(E3875,ctaNom,0)),"")&lt;&gt;"Cuenta de trading"),"⚠ Usa la cuenta de trading","✓"))))))))))))</f>
        <v/>
      </c>
      <c r="I3875" s="19">
        <f>IF(OR(B3875="",C3875="",D3875=""),"",IFERROR(INDEX(catTipo,MATCH(D3875,catNom,0))&amp;"",""))</f>
        <v/>
      </c>
      <c r="J3875" s="19">
        <f>IF(I3875="","",IFERROR(INDEX(catGrupo,MATCH(D3875,catNom,0))&amp;"",""))</f>
        <v/>
      </c>
      <c r="K3875" s="19">
        <f>IF(I3875="Gasto",IF(IFERROR(INDEX(catClas,MATCH(D3875,catNom,0))&amp;"","")="","Variable",IFERROR(INDEX(catClas,MATCH(D3875,catNom,0))&amp;"","")),"")</f>
        <v/>
      </c>
      <c r="L3875" s="19">
        <f>IF(I3875="","",IFERROR(INDEX(catAlim,MATCH(D3875,catNom,0))&amp;"",""))</f>
        <v/>
      </c>
      <c r="M3875" s="19">
        <f>IF(I3875="","",IFERROR(INDEX(catComida,MATCH(D3875,catNom,0))&amp;"",""))</f>
        <v/>
      </c>
      <c r="N3875" s="19">
        <f>IF(I3875="","",IFERROR(INDEX(ctaMon,MATCH(E3875,ctaNom,0))&amp;"","DOP"))</f>
        <v/>
      </c>
      <c r="O3875" s="20">
        <f>IF(I3875="","",C3875*IF(N3875="USD",TasaUSD,1))</f>
        <v/>
      </c>
      <c r="P3875" s="20">
        <f>IF(I3875="","",IF(I3875="Gasto",O3875,0))</f>
        <v/>
      </c>
      <c r="Q3875" s="20">
        <f>IF(I3875="","",IF(I3875="Ingreso",O3875,0))</f>
        <v/>
      </c>
      <c r="R3875" s="20">
        <f>IF(I3875="","",IF(I3875="Trading",O3875,0))</f>
        <v/>
      </c>
      <c r="S3875" s="19">
        <f>IF(I3875="","",IF(AND(I3875="Gasto",K3875="Variable",J3875&lt;&gt;"Trading",O3875&gt;0,O3875&lt;=Umbral),1,0))</f>
        <v/>
      </c>
      <c r="T3875" s="20">
        <f>IF(OR(I3875="",E3875=""),"",IF(OR(I3875="Gasto",I3875="Transferencia",I3875="Pago tarjeta"),-1,1)*C3875)</f>
        <v/>
      </c>
      <c r="U3875" s="20">
        <f>IF(OR(G3875="",AND(I3875&lt;&gt;"Transferencia",I3875&lt;&gt;"Pago tarjeta")),"",IF(IFERROR(INDEX(ctaMon,MATCH(G3875,ctaNom,0))&amp;"","DOP")=N3875,C3875,IF(N3875="USD",C3875*TasaUSD,C3875/TasaUSD)))</f>
        <v/>
      </c>
      <c r="V3875" s="20">
        <f>IF(I3875="","",IF(IFERROR(INDEX(ctaLiq,MATCH(E3875,ctaNom,0))="Sí",FALSE),IF(OR(I3875="Gasto",I3875="Transferencia",I3875="Pago tarjeta"),-1,1)*O3875,0)+IF(AND(U3875&lt;&gt;"",IFERROR(INDEX(ctaLiq,MATCH(G3875,ctaNom,0))="Sí",FALSE)),O3875,0))</f>
        <v/>
      </c>
      <c r="W3875" s="19">
        <f>IF(OR(F3875="",I3875=""),"",IF(COUNTIFS(F$6:F3875,F3875,I$6:I3875,"?*")=1,MAX(W$5:W3874)+1,""))</f>
        <v/>
      </c>
    </row>
    <row r="3876">
      <c r="B3876" s="15" t="n"/>
      <c r="C3876" s="16" t="n"/>
      <c r="D3876" s="17" t="n"/>
      <c r="E3876" s="17" t="n"/>
      <c r="F3876" s="17" t="n"/>
      <c r="G3876" s="17" t="n"/>
      <c r="H3876" s="18">
        <f>IF(AND(B3876="",C3876="",D3876="",E3876=""),"",IF(B3876="","⚠ Falta fecha",IF(C3876="","⚠ Falta monto",IF(D3876="","⚠ Falta categoría",IF(ISNA(MATCH(D3876,catNom,0)),"⚠ Categoría no existe",IF(E3876="","⚠ Falta cuenta",IF(ISNA(MATCH(E3876,ctaNom,0)),"⚠ Cuenta no existe",IF(AND(OR(I3876="Transferencia",I3876="Pago tarjeta"),G3876=""),"⚠ Indica la cuenta «Hacia»",IF(AND(G3876&lt;&gt;"",G3876=E3876),"⚠ «Hacia» igual a la cuenta",IF(AND(G3876&lt;&gt;"",ISNA(MATCH(G3876,ctaNom,0))),"⚠ «Hacia» no existe",IF(AND(I3876="Pago tarjeta",IFERROR(INDEX(ctaTipo,MATCH(G3876,ctaNom,0)),"")&lt;&gt;"Tarjeta de crédito"),"⚠ «Hacia» debe ser la tarjeta",IF(AND(I3876="Trading",IFERROR(INDEX(ctaTipo,MATCH(E3876,ctaNom,0)),"")&lt;&gt;"Cuenta de trading"),"⚠ Usa la cuenta de trading","✓"))))))))))))</f>
        <v/>
      </c>
      <c r="I3876" s="19">
        <f>IF(OR(B3876="",C3876="",D3876=""),"",IFERROR(INDEX(catTipo,MATCH(D3876,catNom,0))&amp;"",""))</f>
        <v/>
      </c>
      <c r="J3876" s="19">
        <f>IF(I3876="","",IFERROR(INDEX(catGrupo,MATCH(D3876,catNom,0))&amp;"",""))</f>
        <v/>
      </c>
      <c r="K3876" s="19">
        <f>IF(I3876="Gasto",IF(IFERROR(INDEX(catClas,MATCH(D3876,catNom,0))&amp;"","")="","Variable",IFERROR(INDEX(catClas,MATCH(D3876,catNom,0))&amp;"","")),"")</f>
        <v/>
      </c>
      <c r="L3876" s="19">
        <f>IF(I3876="","",IFERROR(INDEX(catAlim,MATCH(D3876,catNom,0))&amp;"",""))</f>
        <v/>
      </c>
      <c r="M3876" s="19">
        <f>IF(I3876="","",IFERROR(INDEX(catComida,MATCH(D3876,catNom,0))&amp;"",""))</f>
        <v/>
      </c>
      <c r="N3876" s="19">
        <f>IF(I3876="","",IFERROR(INDEX(ctaMon,MATCH(E3876,ctaNom,0))&amp;"","DOP"))</f>
        <v/>
      </c>
      <c r="O3876" s="20">
        <f>IF(I3876="","",C3876*IF(N3876="USD",TasaUSD,1))</f>
        <v/>
      </c>
      <c r="P3876" s="20">
        <f>IF(I3876="","",IF(I3876="Gasto",O3876,0))</f>
        <v/>
      </c>
      <c r="Q3876" s="20">
        <f>IF(I3876="","",IF(I3876="Ingreso",O3876,0))</f>
        <v/>
      </c>
      <c r="R3876" s="20">
        <f>IF(I3876="","",IF(I3876="Trading",O3876,0))</f>
        <v/>
      </c>
      <c r="S3876" s="19">
        <f>IF(I3876="","",IF(AND(I3876="Gasto",K3876="Variable",J3876&lt;&gt;"Trading",O3876&gt;0,O3876&lt;=Umbral),1,0))</f>
        <v/>
      </c>
      <c r="T3876" s="20">
        <f>IF(OR(I3876="",E3876=""),"",IF(OR(I3876="Gasto",I3876="Transferencia",I3876="Pago tarjeta"),-1,1)*C3876)</f>
        <v/>
      </c>
      <c r="U3876" s="20">
        <f>IF(OR(G3876="",AND(I3876&lt;&gt;"Transferencia",I3876&lt;&gt;"Pago tarjeta")),"",IF(IFERROR(INDEX(ctaMon,MATCH(G3876,ctaNom,0))&amp;"","DOP")=N3876,C3876,IF(N3876="USD",C3876*TasaUSD,C3876/TasaUSD)))</f>
        <v/>
      </c>
      <c r="V3876" s="20">
        <f>IF(I3876="","",IF(IFERROR(INDEX(ctaLiq,MATCH(E3876,ctaNom,0))="Sí",FALSE),IF(OR(I3876="Gasto",I3876="Transferencia",I3876="Pago tarjeta"),-1,1)*O3876,0)+IF(AND(U3876&lt;&gt;"",IFERROR(INDEX(ctaLiq,MATCH(G3876,ctaNom,0))="Sí",FALSE)),O3876,0))</f>
        <v/>
      </c>
      <c r="W3876" s="19">
        <f>IF(OR(F3876="",I3876=""),"",IF(COUNTIFS(F$6:F3876,F3876,I$6:I3876,"?*")=1,MAX(W$5:W3875)+1,""))</f>
        <v/>
      </c>
    </row>
    <row r="3877">
      <c r="B3877" s="15" t="n"/>
      <c r="C3877" s="16" t="n"/>
      <c r="D3877" s="17" t="n"/>
      <c r="E3877" s="17" t="n"/>
      <c r="F3877" s="17" t="n"/>
      <c r="G3877" s="17" t="n"/>
      <c r="H3877" s="18">
        <f>IF(AND(B3877="",C3877="",D3877="",E3877=""),"",IF(B3877="","⚠ Falta fecha",IF(C3877="","⚠ Falta monto",IF(D3877="","⚠ Falta categoría",IF(ISNA(MATCH(D3877,catNom,0)),"⚠ Categoría no existe",IF(E3877="","⚠ Falta cuenta",IF(ISNA(MATCH(E3877,ctaNom,0)),"⚠ Cuenta no existe",IF(AND(OR(I3877="Transferencia",I3877="Pago tarjeta"),G3877=""),"⚠ Indica la cuenta «Hacia»",IF(AND(G3877&lt;&gt;"",G3877=E3877),"⚠ «Hacia» igual a la cuenta",IF(AND(G3877&lt;&gt;"",ISNA(MATCH(G3877,ctaNom,0))),"⚠ «Hacia» no existe",IF(AND(I3877="Pago tarjeta",IFERROR(INDEX(ctaTipo,MATCH(G3877,ctaNom,0)),"")&lt;&gt;"Tarjeta de crédito"),"⚠ «Hacia» debe ser la tarjeta",IF(AND(I3877="Trading",IFERROR(INDEX(ctaTipo,MATCH(E3877,ctaNom,0)),"")&lt;&gt;"Cuenta de trading"),"⚠ Usa la cuenta de trading","✓"))))))))))))</f>
        <v/>
      </c>
      <c r="I3877" s="19">
        <f>IF(OR(B3877="",C3877="",D3877=""),"",IFERROR(INDEX(catTipo,MATCH(D3877,catNom,0))&amp;"",""))</f>
        <v/>
      </c>
      <c r="J3877" s="19">
        <f>IF(I3877="","",IFERROR(INDEX(catGrupo,MATCH(D3877,catNom,0))&amp;"",""))</f>
        <v/>
      </c>
      <c r="K3877" s="19">
        <f>IF(I3877="Gasto",IF(IFERROR(INDEX(catClas,MATCH(D3877,catNom,0))&amp;"","")="","Variable",IFERROR(INDEX(catClas,MATCH(D3877,catNom,0))&amp;"","")),"")</f>
        <v/>
      </c>
      <c r="L3877" s="19">
        <f>IF(I3877="","",IFERROR(INDEX(catAlim,MATCH(D3877,catNom,0))&amp;"",""))</f>
        <v/>
      </c>
      <c r="M3877" s="19">
        <f>IF(I3877="","",IFERROR(INDEX(catComida,MATCH(D3877,catNom,0))&amp;"",""))</f>
        <v/>
      </c>
      <c r="N3877" s="19">
        <f>IF(I3877="","",IFERROR(INDEX(ctaMon,MATCH(E3877,ctaNom,0))&amp;"","DOP"))</f>
        <v/>
      </c>
      <c r="O3877" s="20">
        <f>IF(I3877="","",C3877*IF(N3877="USD",TasaUSD,1))</f>
        <v/>
      </c>
      <c r="P3877" s="20">
        <f>IF(I3877="","",IF(I3877="Gasto",O3877,0))</f>
        <v/>
      </c>
      <c r="Q3877" s="20">
        <f>IF(I3877="","",IF(I3877="Ingreso",O3877,0))</f>
        <v/>
      </c>
      <c r="R3877" s="20">
        <f>IF(I3877="","",IF(I3877="Trading",O3877,0))</f>
        <v/>
      </c>
      <c r="S3877" s="19">
        <f>IF(I3877="","",IF(AND(I3877="Gasto",K3877="Variable",J3877&lt;&gt;"Trading",O3877&gt;0,O3877&lt;=Umbral),1,0))</f>
        <v/>
      </c>
      <c r="T3877" s="20">
        <f>IF(OR(I3877="",E3877=""),"",IF(OR(I3877="Gasto",I3877="Transferencia",I3877="Pago tarjeta"),-1,1)*C3877)</f>
        <v/>
      </c>
      <c r="U3877" s="20">
        <f>IF(OR(G3877="",AND(I3877&lt;&gt;"Transferencia",I3877&lt;&gt;"Pago tarjeta")),"",IF(IFERROR(INDEX(ctaMon,MATCH(G3877,ctaNom,0))&amp;"","DOP")=N3877,C3877,IF(N3877="USD",C3877*TasaUSD,C3877/TasaUSD)))</f>
        <v/>
      </c>
      <c r="V3877" s="20">
        <f>IF(I3877="","",IF(IFERROR(INDEX(ctaLiq,MATCH(E3877,ctaNom,0))="Sí",FALSE),IF(OR(I3877="Gasto",I3877="Transferencia",I3877="Pago tarjeta"),-1,1)*O3877,0)+IF(AND(U3877&lt;&gt;"",IFERROR(INDEX(ctaLiq,MATCH(G3877,ctaNom,0))="Sí",FALSE)),O3877,0))</f>
        <v/>
      </c>
      <c r="W3877" s="19">
        <f>IF(OR(F3877="",I3877=""),"",IF(COUNTIFS(F$6:F3877,F3877,I$6:I3877,"?*")=1,MAX(W$5:W3876)+1,""))</f>
        <v/>
      </c>
    </row>
    <row r="3878">
      <c r="B3878" s="15" t="n"/>
      <c r="C3878" s="16" t="n"/>
      <c r="D3878" s="17" t="n"/>
      <c r="E3878" s="17" t="n"/>
      <c r="F3878" s="17" t="n"/>
      <c r="G3878" s="17" t="n"/>
      <c r="H3878" s="18">
        <f>IF(AND(B3878="",C3878="",D3878="",E3878=""),"",IF(B3878="","⚠ Falta fecha",IF(C3878="","⚠ Falta monto",IF(D3878="","⚠ Falta categoría",IF(ISNA(MATCH(D3878,catNom,0)),"⚠ Categoría no existe",IF(E3878="","⚠ Falta cuenta",IF(ISNA(MATCH(E3878,ctaNom,0)),"⚠ Cuenta no existe",IF(AND(OR(I3878="Transferencia",I3878="Pago tarjeta"),G3878=""),"⚠ Indica la cuenta «Hacia»",IF(AND(G3878&lt;&gt;"",G3878=E3878),"⚠ «Hacia» igual a la cuenta",IF(AND(G3878&lt;&gt;"",ISNA(MATCH(G3878,ctaNom,0))),"⚠ «Hacia» no existe",IF(AND(I3878="Pago tarjeta",IFERROR(INDEX(ctaTipo,MATCH(G3878,ctaNom,0)),"")&lt;&gt;"Tarjeta de crédito"),"⚠ «Hacia» debe ser la tarjeta",IF(AND(I3878="Trading",IFERROR(INDEX(ctaTipo,MATCH(E3878,ctaNom,0)),"")&lt;&gt;"Cuenta de trading"),"⚠ Usa la cuenta de trading","✓"))))))))))))</f>
        <v/>
      </c>
      <c r="I3878" s="19">
        <f>IF(OR(B3878="",C3878="",D3878=""),"",IFERROR(INDEX(catTipo,MATCH(D3878,catNom,0))&amp;"",""))</f>
        <v/>
      </c>
      <c r="J3878" s="19">
        <f>IF(I3878="","",IFERROR(INDEX(catGrupo,MATCH(D3878,catNom,0))&amp;"",""))</f>
        <v/>
      </c>
      <c r="K3878" s="19">
        <f>IF(I3878="Gasto",IF(IFERROR(INDEX(catClas,MATCH(D3878,catNom,0))&amp;"","")="","Variable",IFERROR(INDEX(catClas,MATCH(D3878,catNom,0))&amp;"","")),"")</f>
        <v/>
      </c>
      <c r="L3878" s="19">
        <f>IF(I3878="","",IFERROR(INDEX(catAlim,MATCH(D3878,catNom,0))&amp;"",""))</f>
        <v/>
      </c>
      <c r="M3878" s="19">
        <f>IF(I3878="","",IFERROR(INDEX(catComida,MATCH(D3878,catNom,0))&amp;"",""))</f>
        <v/>
      </c>
      <c r="N3878" s="19">
        <f>IF(I3878="","",IFERROR(INDEX(ctaMon,MATCH(E3878,ctaNom,0))&amp;"","DOP"))</f>
        <v/>
      </c>
      <c r="O3878" s="20">
        <f>IF(I3878="","",C3878*IF(N3878="USD",TasaUSD,1))</f>
        <v/>
      </c>
      <c r="P3878" s="20">
        <f>IF(I3878="","",IF(I3878="Gasto",O3878,0))</f>
        <v/>
      </c>
      <c r="Q3878" s="20">
        <f>IF(I3878="","",IF(I3878="Ingreso",O3878,0))</f>
        <v/>
      </c>
      <c r="R3878" s="20">
        <f>IF(I3878="","",IF(I3878="Trading",O3878,0))</f>
        <v/>
      </c>
      <c r="S3878" s="19">
        <f>IF(I3878="","",IF(AND(I3878="Gasto",K3878="Variable",J3878&lt;&gt;"Trading",O3878&gt;0,O3878&lt;=Umbral),1,0))</f>
        <v/>
      </c>
      <c r="T3878" s="20">
        <f>IF(OR(I3878="",E3878=""),"",IF(OR(I3878="Gasto",I3878="Transferencia",I3878="Pago tarjeta"),-1,1)*C3878)</f>
        <v/>
      </c>
      <c r="U3878" s="20">
        <f>IF(OR(G3878="",AND(I3878&lt;&gt;"Transferencia",I3878&lt;&gt;"Pago tarjeta")),"",IF(IFERROR(INDEX(ctaMon,MATCH(G3878,ctaNom,0))&amp;"","DOP")=N3878,C3878,IF(N3878="USD",C3878*TasaUSD,C3878/TasaUSD)))</f>
        <v/>
      </c>
      <c r="V3878" s="20">
        <f>IF(I3878="","",IF(IFERROR(INDEX(ctaLiq,MATCH(E3878,ctaNom,0))="Sí",FALSE),IF(OR(I3878="Gasto",I3878="Transferencia",I3878="Pago tarjeta"),-1,1)*O3878,0)+IF(AND(U3878&lt;&gt;"",IFERROR(INDEX(ctaLiq,MATCH(G3878,ctaNom,0))="Sí",FALSE)),O3878,0))</f>
        <v/>
      </c>
      <c r="W3878" s="19">
        <f>IF(OR(F3878="",I3878=""),"",IF(COUNTIFS(F$6:F3878,F3878,I$6:I3878,"?*")=1,MAX(W$5:W3877)+1,""))</f>
        <v/>
      </c>
    </row>
    <row r="3879">
      <c r="B3879" s="15" t="n"/>
      <c r="C3879" s="16" t="n"/>
      <c r="D3879" s="17" t="n"/>
      <c r="E3879" s="17" t="n"/>
      <c r="F3879" s="17" t="n"/>
      <c r="G3879" s="17" t="n"/>
      <c r="H3879" s="18">
        <f>IF(AND(B3879="",C3879="",D3879="",E3879=""),"",IF(B3879="","⚠ Falta fecha",IF(C3879="","⚠ Falta monto",IF(D3879="","⚠ Falta categoría",IF(ISNA(MATCH(D3879,catNom,0)),"⚠ Categoría no existe",IF(E3879="","⚠ Falta cuenta",IF(ISNA(MATCH(E3879,ctaNom,0)),"⚠ Cuenta no existe",IF(AND(OR(I3879="Transferencia",I3879="Pago tarjeta"),G3879=""),"⚠ Indica la cuenta «Hacia»",IF(AND(G3879&lt;&gt;"",G3879=E3879),"⚠ «Hacia» igual a la cuenta",IF(AND(G3879&lt;&gt;"",ISNA(MATCH(G3879,ctaNom,0))),"⚠ «Hacia» no existe",IF(AND(I3879="Pago tarjeta",IFERROR(INDEX(ctaTipo,MATCH(G3879,ctaNom,0)),"")&lt;&gt;"Tarjeta de crédito"),"⚠ «Hacia» debe ser la tarjeta",IF(AND(I3879="Trading",IFERROR(INDEX(ctaTipo,MATCH(E3879,ctaNom,0)),"")&lt;&gt;"Cuenta de trading"),"⚠ Usa la cuenta de trading","✓"))))))))))))</f>
        <v/>
      </c>
      <c r="I3879" s="19">
        <f>IF(OR(B3879="",C3879="",D3879=""),"",IFERROR(INDEX(catTipo,MATCH(D3879,catNom,0))&amp;"",""))</f>
        <v/>
      </c>
      <c r="J3879" s="19">
        <f>IF(I3879="","",IFERROR(INDEX(catGrupo,MATCH(D3879,catNom,0))&amp;"",""))</f>
        <v/>
      </c>
      <c r="K3879" s="19">
        <f>IF(I3879="Gasto",IF(IFERROR(INDEX(catClas,MATCH(D3879,catNom,0))&amp;"","")="","Variable",IFERROR(INDEX(catClas,MATCH(D3879,catNom,0))&amp;"","")),"")</f>
        <v/>
      </c>
      <c r="L3879" s="19">
        <f>IF(I3879="","",IFERROR(INDEX(catAlim,MATCH(D3879,catNom,0))&amp;"",""))</f>
        <v/>
      </c>
      <c r="M3879" s="19">
        <f>IF(I3879="","",IFERROR(INDEX(catComida,MATCH(D3879,catNom,0))&amp;"",""))</f>
        <v/>
      </c>
      <c r="N3879" s="19">
        <f>IF(I3879="","",IFERROR(INDEX(ctaMon,MATCH(E3879,ctaNom,0))&amp;"","DOP"))</f>
        <v/>
      </c>
      <c r="O3879" s="20">
        <f>IF(I3879="","",C3879*IF(N3879="USD",TasaUSD,1))</f>
        <v/>
      </c>
      <c r="P3879" s="20">
        <f>IF(I3879="","",IF(I3879="Gasto",O3879,0))</f>
        <v/>
      </c>
      <c r="Q3879" s="20">
        <f>IF(I3879="","",IF(I3879="Ingreso",O3879,0))</f>
        <v/>
      </c>
      <c r="R3879" s="20">
        <f>IF(I3879="","",IF(I3879="Trading",O3879,0))</f>
        <v/>
      </c>
      <c r="S3879" s="19">
        <f>IF(I3879="","",IF(AND(I3879="Gasto",K3879="Variable",J3879&lt;&gt;"Trading",O3879&gt;0,O3879&lt;=Umbral),1,0))</f>
        <v/>
      </c>
      <c r="T3879" s="20">
        <f>IF(OR(I3879="",E3879=""),"",IF(OR(I3879="Gasto",I3879="Transferencia",I3879="Pago tarjeta"),-1,1)*C3879)</f>
        <v/>
      </c>
      <c r="U3879" s="20">
        <f>IF(OR(G3879="",AND(I3879&lt;&gt;"Transferencia",I3879&lt;&gt;"Pago tarjeta")),"",IF(IFERROR(INDEX(ctaMon,MATCH(G3879,ctaNom,0))&amp;"","DOP")=N3879,C3879,IF(N3879="USD",C3879*TasaUSD,C3879/TasaUSD)))</f>
        <v/>
      </c>
      <c r="V3879" s="20">
        <f>IF(I3879="","",IF(IFERROR(INDEX(ctaLiq,MATCH(E3879,ctaNom,0))="Sí",FALSE),IF(OR(I3879="Gasto",I3879="Transferencia",I3879="Pago tarjeta"),-1,1)*O3879,0)+IF(AND(U3879&lt;&gt;"",IFERROR(INDEX(ctaLiq,MATCH(G3879,ctaNom,0))="Sí",FALSE)),O3879,0))</f>
        <v/>
      </c>
      <c r="W3879" s="19">
        <f>IF(OR(F3879="",I3879=""),"",IF(COUNTIFS(F$6:F3879,F3879,I$6:I3879,"?*")=1,MAX(W$5:W3878)+1,""))</f>
        <v/>
      </c>
    </row>
    <row r="3880">
      <c r="B3880" s="15" t="n"/>
      <c r="C3880" s="16" t="n"/>
      <c r="D3880" s="17" t="n"/>
      <c r="E3880" s="17" t="n"/>
      <c r="F3880" s="17" t="n"/>
      <c r="G3880" s="17" t="n"/>
      <c r="H3880" s="18">
        <f>IF(AND(B3880="",C3880="",D3880="",E3880=""),"",IF(B3880="","⚠ Falta fecha",IF(C3880="","⚠ Falta monto",IF(D3880="","⚠ Falta categoría",IF(ISNA(MATCH(D3880,catNom,0)),"⚠ Categoría no existe",IF(E3880="","⚠ Falta cuenta",IF(ISNA(MATCH(E3880,ctaNom,0)),"⚠ Cuenta no existe",IF(AND(OR(I3880="Transferencia",I3880="Pago tarjeta"),G3880=""),"⚠ Indica la cuenta «Hacia»",IF(AND(G3880&lt;&gt;"",G3880=E3880),"⚠ «Hacia» igual a la cuenta",IF(AND(G3880&lt;&gt;"",ISNA(MATCH(G3880,ctaNom,0))),"⚠ «Hacia» no existe",IF(AND(I3880="Pago tarjeta",IFERROR(INDEX(ctaTipo,MATCH(G3880,ctaNom,0)),"")&lt;&gt;"Tarjeta de crédito"),"⚠ «Hacia» debe ser la tarjeta",IF(AND(I3880="Trading",IFERROR(INDEX(ctaTipo,MATCH(E3880,ctaNom,0)),"")&lt;&gt;"Cuenta de trading"),"⚠ Usa la cuenta de trading","✓"))))))))))))</f>
        <v/>
      </c>
      <c r="I3880" s="19">
        <f>IF(OR(B3880="",C3880="",D3880=""),"",IFERROR(INDEX(catTipo,MATCH(D3880,catNom,0))&amp;"",""))</f>
        <v/>
      </c>
      <c r="J3880" s="19">
        <f>IF(I3880="","",IFERROR(INDEX(catGrupo,MATCH(D3880,catNom,0))&amp;"",""))</f>
        <v/>
      </c>
      <c r="K3880" s="19">
        <f>IF(I3880="Gasto",IF(IFERROR(INDEX(catClas,MATCH(D3880,catNom,0))&amp;"","")="","Variable",IFERROR(INDEX(catClas,MATCH(D3880,catNom,0))&amp;"","")),"")</f>
        <v/>
      </c>
      <c r="L3880" s="19">
        <f>IF(I3880="","",IFERROR(INDEX(catAlim,MATCH(D3880,catNom,0))&amp;"",""))</f>
        <v/>
      </c>
      <c r="M3880" s="19">
        <f>IF(I3880="","",IFERROR(INDEX(catComida,MATCH(D3880,catNom,0))&amp;"",""))</f>
        <v/>
      </c>
      <c r="N3880" s="19">
        <f>IF(I3880="","",IFERROR(INDEX(ctaMon,MATCH(E3880,ctaNom,0))&amp;"","DOP"))</f>
        <v/>
      </c>
      <c r="O3880" s="20">
        <f>IF(I3880="","",C3880*IF(N3880="USD",TasaUSD,1))</f>
        <v/>
      </c>
      <c r="P3880" s="20">
        <f>IF(I3880="","",IF(I3880="Gasto",O3880,0))</f>
        <v/>
      </c>
      <c r="Q3880" s="20">
        <f>IF(I3880="","",IF(I3880="Ingreso",O3880,0))</f>
        <v/>
      </c>
      <c r="R3880" s="20">
        <f>IF(I3880="","",IF(I3880="Trading",O3880,0))</f>
        <v/>
      </c>
      <c r="S3880" s="19">
        <f>IF(I3880="","",IF(AND(I3880="Gasto",K3880="Variable",J3880&lt;&gt;"Trading",O3880&gt;0,O3880&lt;=Umbral),1,0))</f>
        <v/>
      </c>
      <c r="T3880" s="20">
        <f>IF(OR(I3880="",E3880=""),"",IF(OR(I3880="Gasto",I3880="Transferencia",I3880="Pago tarjeta"),-1,1)*C3880)</f>
        <v/>
      </c>
      <c r="U3880" s="20">
        <f>IF(OR(G3880="",AND(I3880&lt;&gt;"Transferencia",I3880&lt;&gt;"Pago tarjeta")),"",IF(IFERROR(INDEX(ctaMon,MATCH(G3880,ctaNom,0))&amp;"","DOP")=N3880,C3880,IF(N3880="USD",C3880*TasaUSD,C3880/TasaUSD)))</f>
        <v/>
      </c>
      <c r="V3880" s="20">
        <f>IF(I3880="","",IF(IFERROR(INDEX(ctaLiq,MATCH(E3880,ctaNom,0))="Sí",FALSE),IF(OR(I3880="Gasto",I3880="Transferencia",I3880="Pago tarjeta"),-1,1)*O3880,0)+IF(AND(U3880&lt;&gt;"",IFERROR(INDEX(ctaLiq,MATCH(G3880,ctaNom,0))="Sí",FALSE)),O3880,0))</f>
        <v/>
      </c>
      <c r="W3880" s="19">
        <f>IF(OR(F3880="",I3880=""),"",IF(COUNTIFS(F$6:F3880,F3880,I$6:I3880,"?*")=1,MAX(W$5:W3879)+1,""))</f>
        <v/>
      </c>
    </row>
    <row r="3881">
      <c r="B3881" s="15" t="n"/>
      <c r="C3881" s="16" t="n"/>
      <c r="D3881" s="17" t="n"/>
      <c r="E3881" s="17" t="n"/>
      <c r="F3881" s="17" t="n"/>
      <c r="G3881" s="17" t="n"/>
      <c r="H3881" s="18">
        <f>IF(AND(B3881="",C3881="",D3881="",E3881=""),"",IF(B3881="","⚠ Falta fecha",IF(C3881="","⚠ Falta monto",IF(D3881="","⚠ Falta categoría",IF(ISNA(MATCH(D3881,catNom,0)),"⚠ Categoría no existe",IF(E3881="","⚠ Falta cuenta",IF(ISNA(MATCH(E3881,ctaNom,0)),"⚠ Cuenta no existe",IF(AND(OR(I3881="Transferencia",I3881="Pago tarjeta"),G3881=""),"⚠ Indica la cuenta «Hacia»",IF(AND(G3881&lt;&gt;"",G3881=E3881),"⚠ «Hacia» igual a la cuenta",IF(AND(G3881&lt;&gt;"",ISNA(MATCH(G3881,ctaNom,0))),"⚠ «Hacia» no existe",IF(AND(I3881="Pago tarjeta",IFERROR(INDEX(ctaTipo,MATCH(G3881,ctaNom,0)),"")&lt;&gt;"Tarjeta de crédito"),"⚠ «Hacia» debe ser la tarjeta",IF(AND(I3881="Trading",IFERROR(INDEX(ctaTipo,MATCH(E3881,ctaNom,0)),"")&lt;&gt;"Cuenta de trading"),"⚠ Usa la cuenta de trading","✓"))))))))))))</f>
        <v/>
      </c>
      <c r="I3881" s="19">
        <f>IF(OR(B3881="",C3881="",D3881=""),"",IFERROR(INDEX(catTipo,MATCH(D3881,catNom,0))&amp;"",""))</f>
        <v/>
      </c>
      <c r="J3881" s="19">
        <f>IF(I3881="","",IFERROR(INDEX(catGrupo,MATCH(D3881,catNom,0))&amp;"",""))</f>
        <v/>
      </c>
      <c r="K3881" s="19">
        <f>IF(I3881="Gasto",IF(IFERROR(INDEX(catClas,MATCH(D3881,catNom,0))&amp;"","")="","Variable",IFERROR(INDEX(catClas,MATCH(D3881,catNom,0))&amp;"","")),"")</f>
        <v/>
      </c>
      <c r="L3881" s="19">
        <f>IF(I3881="","",IFERROR(INDEX(catAlim,MATCH(D3881,catNom,0))&amp;"",""))</f>
        <v/>
      </c>
      <c r="M3881" s="19">
        <f>IF(I3881="","",IFERROR(INDEX(catComida,MATCH(D3881,catNom,0))&amp;"",""))</f>
        <v/>
      </c>
      <c r="N3881" s="19">
        <f>IF(I3881="","",IFERROR(INDEX(ctaMon,MATCH(E3881,ctaNom,0))&amp;"","DOP"))</f>
        <v/>
      </c>
      <c r="O3881" s="20">
        <f>IF(I3881="","",C3881*IF(N3881="USD",TasaUSD,1))</f>
        <v/>
      </c>
      <c r="P3881" s="20">
        <f>IF(I3881="","",IF(I3881="Gasto",O3881,0))</f>
        <v/>
      </c>
      <c r="Q3881" s="20">
        <f>IF(I3881="","",IF(I3881="Ingreso",O3881,0))</f>
        <v/>
      </c>
      <c r="R3881" s="20">
        <f>IF(I3881="","",IF(I3881="Trading",O3881,0))</f>
        <v/>
      </c>
      <c r="S3881" s="19">
        <f>IF(I3881="","",IF(AND(I3881="Gasto",K3881="Variable",J3881&lt;&gt;"Trading",O3881&gt;0,O3881&lt;=Umbral),1,0))</f>
        <v/>
      </c>
      <c r="T3881" s="20">
        <f>IF(OR(I3881="",E3881=""),"",IF(OR(I3881="Gasto",I3881="Transferencia",I3881="Pago tarjeta"),-1,1)*C3881)</f>
        <v/>
      </c>
      <c r="U3881" s="20">
        <f>IF(OR(G3881="",AND(I3881&lt;&gt;"Transferencia",I3881&lt;&gt;"Pago tarjeta")),"",IF(IFERROR(INDEX(ctaMon,MATCH(G3881,ctaNom,0))&amp;"","DOP")=N3881,C3881,IF(N3881="USD",C3881*TasaUSD,C3881/TasaUSD)))</f>
        <v/>
      </c>
      <c r="V3881" s="20">
        <f>IF(I3881="","",IF(IFERROR(INDEX(ctaLiq,MATCH(E3881,ctaNom,0))="Sí",FALSE),IF(OR(I3881="Gasto",I3881="Transferencia",I3881="Pago tarjeta"),-1,1)*O3881,0)+IF(AND(U3881&lt;&gt;"",IFERROR(INDEX(ctaLiq,MATCH(G3881,ctaNom,0))="Sí",FALSE)),O3881,0))</f>
        <v/>
      </c>
      <c r="W3881" s="19">
        <f>IF(OR(F3881="",I3881=""),"",IF(COUNTIFS(F$6:F3881,F3881,I$6:I3881,"?*")=1,MAX(W$5:W3880)+1,""))</f>
        <v/>
      </c>
    </row>
    <row r="3882">
      <c r="B3882" s="15" t="n"/>
      <c r="C3882" s="16" t="n"/>
      <c r="D3882" s="17" t="n"/>
      <c r="E3882" s="17" t="n"/>
      <c r="F3882" s="17" t="n"/>
      <c r="G3882" s="17" t="n"/>
      <c r="H3882" s="18">
        <f>IF(AND(B3882="",C3882="",D3882="",E3882=""),"",IF(B3882="","⚠ Falta fecha",IF(C3882="","⚠ Falta monto",IF(D3882="","⚠ Falta categoría",IF(ISNA(MATCH(D3882,catNom,0)),"⚠ Categoría no existe",IF(E3882="","⚠ Falta cuenta",IF(ISNA(MATCH(E3882,ctaNom,0)),"⚠ Cuenta no existe",IF(AND(OR(I3882="Transferencia",I3882="Pago tarjeta"),G3882=""),"⚠ Indica la cuenta «Hacia»",IF(AND(G3882&lt;&gt;"",G3882=E3882),"⚠ «Hacia» igual a la cuenta",IF(AND(G3882&lt;&gt;"",ISNA(MATCH(G3882,ctaNom,0))),"⚠ «Hacia» no existe",IF(AND(I3882="Pago tarjeta",IFERROR(INDEX(ctaTipo,MATCH(G3882,ctaNom,0)),"")&lt;&gt;"Tarjeta de crédito"),"⚠ «Hacia» debe ser la tarjeta",IF(AND(I3882="Trading",IFERROR(INDEX(ctaTipo,MATCH(E3882,ctaNom,0)),"")&lt;&gt;"Cuenta de trading"),"⚠ Usa la cuenta de trading","✓"))))))))))))</f>
        <v/>
      </c>
      <c r="I3882" s="19">
        <f>IF(OR(B3882="",C3882="",D3882=""),"",IFERROR(INDEX(catTipo,MATCH(D3882,catNom,0))&amp;"",""))</f>
        <v/>
      </c>
      <c r="J3882" s="19">
        <f>IF(I3882="","",IFERROR(INDEX(catGrupo,MATCH(D3882,catNom,0))&amp;"",""))</f>
        <v/>
      </c>
      <c r="K3882" s="19">
        <f>IF(I3882="Gasto",IF(IFERROR(INDEX(catClas,MATCH(D3882,catNom,0))&amp;"","")="","Variable",IFERROR(INDEX(catClas,MATCH(D3882,catNom,0))&amp;"","")),"")</f>
        <v/>
      </c>
      <c r="L3882" s="19">
        <f>IF(I3882="","",IFERROR(INDEX(catAlim,MATCH(D3882,catNom,0))&amp;"",""))</f>
        <v/>
      </c>
      <c r="M3882" s="19">
        <f>IF(I3882="","",IFERROR(INDEX(catComida,MATCH(D3882,catNom,0))&amp;"",""))</f>
        <v/>
      </c>
      <c r="N3882" s="19">
        <f>IF(I3882="","",IFERROR(INDEX(ctaMon,MATCH(E3882,ctaNom,0))&amp;"","DOP"))</f>
        <v/>
      </c>
      <c r="O3882" s="20">
        <f>IF(I3882="","",C3882*IF(N3882="USD",TasaUSD,1))</f>
        <v/>
      </c>
      <c r="P3882" s="20">
        <f>IF(I3882="","",IF(I3882="Gasto",O3882,0))</f>
        <v/>
      </c>
      <c r="Q3882" s="20">
        <f>IF(I3882="","",IF(I3882="Ingreso",O3882,0))</f>
        <v/>
      </c>
      <c r="R3882" s="20">
        <f>IF(I3882="","",IF(I3882="Trading",O3882,0))</f>
        <v/>
      </c>
      <c r="S3882" s="19">
        <f>IF(I3882="","",IF(AND(I3882="Gasto",K3882="Variable",J3882&lt;&gt;"Trading",O3882&gt;0,O3882&lt;=Umbral),1,0))</f>
        <v/>
      </c>
      <c r="T3882" s="20">
        <f>IF(OR(I3882="",E3882=""),"",IF(OR(I3882="Gasto",I3882="Transferencia",I3882="Pago tarjeta"),-1,1)*C3882)</f>
        <v/>
      </c>
      <c r="U3882" s="20">
        <f>IF(OR(G3882="",AND(I3882&lt;&gt;"Transferencia",I3882&lt;&gt;"Pago tarjeta")),"",IF(IFERROR(INDEX(ctaMon,MATCH(G3882,ctaNom,0))&amp;"","DOP")=N3882,C3882,IF(N3882="USD",C3882*TasaUSD,C3882/TasaUSD)))</f>
        <v/>
      </c>
      <c r="V3882" s="20">
        <f>IF(I3882="","",IF(IFERROR(INDEX(ctaLiq,MATCH(E3882,ctaNom,0))="Sí",FALSE),IF(OR(I3882="Gasto",I3882="Transferencia",I3882="Pago tarjeta"),-1,1)*O3882,0)+IF(AND(U3882&lt;&gt;"",IFERROR(INDEX(ctaLiq,MATCH(G3882,ctaNom,0))="Sí",FALSE)),O3882,0))</f>
        <v/>
      </c>
      <c r="W3882" s="19">
        <f>IF(OR(F3882="",I3882=""),"",IF(COUNTIFS(F$6:F3882,F3882,I$6:I3882,"?*")=1,MAX(W$5:W3881)+1,""))</f>
        <v/>
      </c>
    </row>
    <row r="3883">
      <c r="B3883" s="15" t="n"/>
      <c r="C3883" s="16" t="n"/>
      <c r="D3883" s="17" t="n"/>
      <c r="E3883" s="17" t="n"/>
      <c r="F3883" s="17" t="n"/>
      <c r="G3883" s="17" t="n"/>
      <c r="H3883" s="18">
        <f>IF(AND(B3883="",C3883="",D3883="",E3883=""),"",IF(B3883="","⚠ Falta fecha",IF(C3883="","⚠ Falta monto",IF(D3883="","⚠ Falta categoría",IF(ISNA(MATCH(D3883,catNom,0)),"⚠ Categoría no existe",IF(E3883="","⚠ Falta cuenta",IF(ISNA(MATCH(E3883,ctaNom,0)),"⚠ Cuenta no existe",IF(AND(OR(I3883="Transferencia",I3883="Pago tarjeta"),G3883=""),"⚠ Indica la cuenta «Hacia»",IF(AND(G3883&lt;&gt;"",G3883=E3883),"⚠ «Hacia» igual a la cuenta",IF(AND(G3883&lt;&gt;"",ISNA(MATCH(G3883,ctaNom,0))),"⚠ «Hacia» no existe",IF(AND(I3883="Pago tarjeta",IFERROR(INDEX(ctaTipo,MATCH(G3883,ctaNom,0)),"")&lt;&gt;"Tarjeta de crédito"),"⚠ «Hacia» debe ser la tarjeta",IF(AND(I3883="Trading",IFERROR(INDEX(ctaTipo,MATCH(E3883,ctaNom,0)),"")&lt;&gt;"Cuenta de trading"),"⚠ Usa la cuenta de trading","✓"))))))))))))</f>
        <v/>
      </c>
      <c r="I3883" s="19">
        <f>IF(OR(B3883="",C3883="",D3883=""),"",IFERROR(INDEX(catTipo,MATCH(D3883,catNom,0))&amp;"",""))</f>
        <v/>
      </c>
      <c r="J3883" s="19">
        <f>IF(I3883="","",IFERROR(INDEX(catGrupo,MATCH(D3883,catNom,0))&amp;"",""))</f>
        <v/>
      </c>
      <c r="K3883" s="19">
        <f>IF(I3883="Gasto",IF(IFERROR(INDEX(catClas,MATCH(D3883,catNom,0))&amp;"","")="","Variable",IFERROR(INDEX(catClas,MATCH(D3883,catNom,0))&amp;"","")),"")</f>
        <v/>
      </c>
      <c r="L3883" s="19">
        <f>IF(I3883="","",IFERROR(INDEX(catAlim,MATCH(D3883,catNom,0))&amp;"",""))</f>
        <v/>
      </c>
      <c r="M3883" s="19">
        <f>IF(I3883="","",IFERROR(INDEX(catComida,MATCH(D3883,catNom,0))&amp;"",""))</f>
        <v/>
      </c>
      <c r="N3883" s="19">
        <f>IF(I3883="","",IFERROR(INDEX(ctaMon,MATCH(E3883,ctaNom,0))&amp;"","DOP"))</f>
        <v/>
      </c>
      <c r="O3883" s="20">
        <f>IF(I3883="","",C3883*IF(N3883="USD",TasaUSD,1))</f>
        <v/>
      </c>
      <c r="P3883" s="20">
        <f>IF(I3883="","",IF(I3883="Gasto",O3883,0))</f>
        <v/>
      </c>
      <c r="Q3883" s="20">
        <f>IF(I3883="","",IF(I3883="Ingreso",O3883,0))</f>
        <v/>
      </c>
      <c r="R3883" s="20">
        <f>IF(I3883="","",IF(I3883="Trading",O3883,0))</f>
        <v/>
      </c>
      <c r="S3883" s="19">
        <f>IF(I3883="","",IF(AND(I3883="Gasto",K3883="Variable",J3883&lt;&gt;"Trading",O3883&gt;0,O3883&lt;=Umbral),1,0))</f>
        <v/>
      </c>
      <c r="T3883" s="20">
        <f>IF(OR(I3883="",E3883=""),"",IF(OR(I3883="Gasto",I3883="Transferencia",I3883="Pago tarjeta"),-1,1)*C3883)</f>
        <v/>
      </c>
      <c r="U3883" s="20">
        <f>IF(OR(G3883="",AND(I3883&lt;&gt;"Transferencia",I3883&lt;&gt;"Pago tarjeta")),"",IF(IFERROR(INDEX(ctaMon,MATCH(G3883,ctaNom,0))&amp;"","DOP")=N3883,C3883,IF(N3883="USD",C3883*TasaUSD,C3883/TasaUSD)))</f>
        <v/>
      </c>
      <c r="V3883" s="20">
        <f>IF(I3883="","",IF(IFERROR(INDEX(ctaLiq,MATCH(E3883,ctaNom,0))="Sí",FALSE),IF(OR(I3883="Gasto",I3883="Transferencia",I3883="Pago tarjeta"),-1,1)*O3883,0)+IF(AND(U3883&lt;&gt;"",IFERROR(INDEX(ctaLiq,MATCH(G3883,ctaNom,0))="Sí",FALSE)),O3883,0))</f>
        <v/>
      </c>
      <c r="W3883" s="19">
        <f>IF(OR(F3883="",I3883=""),"",IF(COUNTIFS(F$6:F3883,F3883,I$6:I3883,"?*")=1,MAX(W$5:W3882)+1,""))</f>
        <v/>
      </c>
    </row>
    <row r="3884">
      <c r="B3884" s="15" t="n"/>
      <c r="C3884" s="16" t="n"/>
      <c r="D3884" s="17" t="n"/>
      <c r="E3884" s="17" t="n"/>
      <c r="F3884" s="17" t="n"/>
      <c r="G3884" s="17" t="n"/>
      <c r="H3884" s="18">
        <f>IF(AND(B3884="",C3884="",D3884="",E3884=""),"",IF(B3884="","⚠ Falta fecha",IF(C3884="","⚠ Falta monto",IF(D3884="","⚠ Falta categoría",IF(ISNA(MATCH(D3884,catNom,0)),"⚠ Categoría no existe",IF(E3884="","⚠ Falta cuenta",IF(ISNA(MATCH(E3884,ctaNom,0)),"⚠ Cuenta no existe",IF(AND(OR(I3884="Transferencia",I3884="Pago tarjeta"),G3884=""),"⚠ Indica la cuenta «Hacia»",IF(AND(G3884&lt;&gt;"",G3884=E3884),"⚠ «Hacia» igual a la cuenta",IF(AND(G3884&lt;&gt;"",ISNA(MATCH(G3884,ctaNom,0))),"⚠ «Hacia» no existe",IF(AND(I3884="Pago tarjeta",IFERROR(INDEX(ctaTipo,MATCH(G3884,ctaNom,0)),"")&lt;&gt;"Tarjeta de crédito"),"⚠ «Hacia» debe ser la tarjeta",IF(AND(I3884="Trading",IFERROR(INDEX(ctaTipo,MATCH(E3884,ctaNom,0)),"")&lt;&gt;"Cuenta de trading"),"⚠ Usa la cuenta de trading","✓"))))))))))))</f>
        <v/>
      </c>
      <c r="I3884" s="19">
        <f>IF(OR(B3884="",C3884="",D3884=""),"",IFERROR(INDEX(catTipo,MATCH(D3884,catNom,0))&amp;"",""))</f>
        <v/>
      </c>
      <c r="J3884" s="19">
        <f>IF(I3884="","",IFERROR(INDEX(catGrupo,MATCH(D3884,catNom,0))&amp;"",""))</f>
        <v/>
      </c>
      <c r="K3884" s="19">
        <f>IF(I3884="Gasto",IF(IFERROR(INDEX(catClas,MATCH(D3884,catNom,0))&amp;"","")="","Variable",IFERROR(INDEX(catClas,MATCH(D3884,catNom,0))&amp;"","")),"")</f>
        <v/>
      </c>
      <c r="L3884" s="19">
        <f>IF(I3884="","",IFERROR(INDEX(catAlim,MATCH(D3884,catNom,0))&amp;"",""))</f>
        <v/>
      </c>
      <c r="M3884" s="19">
        <f>IF(I3884="","",IFERROR(INDEX(catComida,MATCH(D3884,catNom,0))&amp;"",""))</f>
        <v/>
      </c>
      <c r="N3884" s="19">
        <f>IF(I3884="","",IFERROR(INDEX(ctaMon,MATCH(E3884,ctaNom,0))&amp;"","DOP"))</f>
        <v/>
      </c>
      <c r="O3884" s="20">
        <f>IF(I3884="","",C3884*IF(N3884="USD",TasaUSD,1))</f>
        <v/>
      </c>
      <c r="P3884" s="20">
        <f>IF(I3884="","",IF(I3884="Gasto",O3884,0))</f>
        <v/>
      </c>
      <c r="Q3884" s="20">
        <f>IF(I3884="","",IF(I3884="Ingreso",O3884,0))</f>
        <v/>
      </c>
      <c r="R3884" s="20">
        <f>IF(I3884="","",IF(I3884="Trading",O3884,0))</f>
        <v/>
      </c>
      <c r="S3884" s="19">
        <f>IF(I3884="","",IF(AND(I3884="Gasto",K3884="Variable",J3884&lt;&gt;"Trading",O3884&gt;0,O3884&lt;=Umbral),1,0))</f>
        <v/>
      </c>
      <c r="T3884" s="20">
        <f>IF(OR(I3884="",E3884=""),"",IF(OR(I3884="Gasto",I3884="Transferencia",I3884="Pago tarjeta"),-1,1)*C3884)</f>
        <v/>
      </c>
      <c r="U3884" s="20">
        <f>IF(OR(G3884="",AND(I3884&lt;&gt;"Transferencia",I3884&lt;&gt;"Pago tarjeta")),"",IF(IFERROR(INDEX(ctaMon,MATCH(G3884,ctaNom,0))&amp;"","DOP")=N3884,C3884,IF(N3884="USD",C3884*TasaUSD,C3884/TasaUSD)))</f>
        <v/>
      </c>
      <c r="V3884" s="20">
        <f>IF(I3884="","",IF(IFERROR(INDEX(ctaLiq,MATCH(E3884,ctaNom,0))="Sí",FALSE),IF(OR(I3884="Gasto",I3884="Transferencia",I3884="Pago tarjeta"),-1,1)*O3884,0)+IF(AND(U3884&lt;&gt;"",IFERROR(INDEX(ctaLiq,MATCH(G3884,ctaNom,0))="Sí",FALSE)),O3884,0))</f>
        <v/>
      </c>
      <c r="W3884" s="19">
        <f>IF(OR(F3884="",I3884=""),"",IF(COUNTIFS(F$6:F3884,F3884,I$6:I3884,"?*")=1,MAX(W$5:W3883)+1,""))</f>
        <v/>
      </c>
    </row>
    <row r="3885">
      <c r="B3885" s="15" t="n"/>
      <c r="C3885" s="16" t="n"/>
      <c r="D3885" s="17" t="n"/>
      <c r="E3885" s="17" t="n"/>
      <c r="F3885" s="17" t="n"/>
      <c r="G3885" s="17" t="n"/>
      <c r="H3885" s="18">
        <f>IF(AND(B3885="",C3885="",D3885="",E3885=""),"",IF(B3885="","⚠ Falta fecha",IF(C3885="","⚠ Falta monto",IF(D3885="","⚠ Falta categoría",IF(ISNA(MATCH(D3885,catNom,0)),"⚠ Categoría no existe",IF(E3885="","⚠ Falta cuenta",IF(ISNA(MATCH(E3885,ctaNom,0)),"⚠ Cuenta no existe",IF(AND(OR(I3885="Transferencia",I3885="Pago tarjeta"),G3885=""),"⚠ Indica la cuenta «Hacia»",IF(AND(G3885&lt;&gt;"",G3885=E3885),"⚠ «Hacia» igual a la cuenta",IF(AND(G3885&lt;&gt;"",ISNA(MATCH(G3885,ctaNom,0))),"⚠ «Hacia» no existe",IF(AND(I3885="Pago tarjeta",IFERROR(INDEX(ctaTipo,MATCH(G3885,ctaNom,0)),"")&lt;&gt;"Tarjeta de crédito"),"⚠ «Hacia» debe ser la tarjeta",IF(AND(I3885="Trading",IFERROR(INDEX(ctaTipo,MATCH(E3885,ctaNom,0)),"")&lt;&gt;"Cuenta de trading"),"⚠ Usa la cuenta de trading","✓"))))))))))))</f>
        <v/>
      </c>
      <c r="I3885" s="19">
        <f>IF(OR(B3885="",C3885="",D3885=""),"",IFERROR(INDEX(catTipo,MATCH(D3885,catNom,0))&amp;"",""))</f>
        <v/>
      </c>
      <c r="J3885" s="19">
        <f>IF(I3885="","",IFERROR(INDEX(catGrupo,MATCH(D3885,catNom,0))&amp;"",""))</f>
        <v/>
      </c>
      <c r="K3885" s="19">
        <f>IF(I3885="Gasto",IF(IFERROR(INDEX(catClas,MATCH(D3885,catNom,0))&amp;"","")="","Variable",IFERROR(INDEX(catClas,MATCH(D3885,catNom,0))&amp;"","")),"")</f>
        <v/>
      </c>
      <c r="L3885" s="19">
        <f>IF(I3885="","",IFERROR(INDEX(catAlim,MATCH(D3885,catNom,0))&amp;"",""))</f>
        <v/>
      </c>
      <c r="M3885" s="19">
        <f>IF(I3885="","",IFERROR(INDEX(catComida,MATCH(D3885,catNom,0))&amp;"",""))</f>
        <v/>
      </c>
      <c r="N3885" s="19">
        <f>IF(I3885="","",IFERROR(INDEX(ctaMon,MATCH(E3885,ctaNom,0))&amp;"","DOP"))</f>
        <v/>
      </c>
      <c r="O3885" s="20">
        <f>IF(I3885="","",C3885*IF(N3885="USD",TasaUSD,1))</f>
        <v/>
      </c>
      <c r="P3885" s="20">
        <f>IF(I3885="","",IF(I3885="Gasto",O3885,0))</f>
        <v/>
      </c>
      <c r="Q3885" s="20">
        <f>IF(I3885="","",IF(I3885="Ingreso",O3885,0))</f>
        <v/>
      </c>
      <c r="R3885" s="20">
        <f>IF(I3885="","",IF(I3885="Trading",O3885,0))</f>
        <v/>
      </c>
      <c r="S3885" s="19">
        <f>IF(I3885="","",IF(AND(I3885="Gasto",K3885="Variable",J3885&lt;&gt;"Trading",O3885&gt;0,O3885&lt;=Umbral),1,0))</f>
        <v/>
      </c>
      <c r="T3885" s="20">
        <f>IF(OR(I3885="",E3885=""),"",IF(OR(I3885="Gasto",I3885="Transferencia",I3885="Pago tarjeta"),-1,1)*C3885)</f>
        <v/>
      </c>
      <c r="U3885" s="20">
        <f>IF(OR(G3885="",AND(I3885&lt;&gt;"Transferencia",I3885&lt;&gt;"Pago tarjeta")),"",IF(IFERROR(INDEX(ctaMon,MATCH(G3885,ctaNom,0))&amp;"","DOP")=N3885,C3885,IF(N3885="USD",C3885*TasaUSD,C3885/TasaUSD)))</f>
        <v/>
      </c>
      <c r="V3885" s="20">
        <f>IF(I3885="","",IF(IFERROR(INDEX(ctaLiq,MATCH(E3885,ctaNom,0))="Sí",FALSE),IF(OR(I3885="Gasto",I3885="Transferencia",I3885="Pago tarjeta"),-1,1)*O3885,0)+IF(AND(U3885&lt;&gt;"",IFERROR(INDEX(ctaLiq,MATCH(G3885,ctaNom,0))="Sí",FALSE)),O3885,0))</f>
        <v/>
      </c>
      <c r="W3885" s="19">
        <f>IF(OR(F3885="",I3885=""),"",IF(COUNTIFS(F$6:F3885,F3885,I$6:I3885,"?*")=1,MAX(W$5:W3884)+1,""))</f>
        <v/>
      </c>
    </row>
    <row r="3886">
      <c r="B3886" s="15" t="n"/>
      <c r="C3886" s="16" t="n"/>
      <c r="D3886" s="17" t="n"/>
      <c r="E3886" s="17" t="n"/>
      <c r="F3886" s="17" t="n"/>
      <c r="G3886" s="17" t="n"/>
      <c r="H3886" s="18">
        <f>IF(AND(B3886="",C3886="",D3886="",E3886=""),"",IF(B3886="","⚠ Falta fecha",IF(C3886="","⚠ Falta monto",IF(D3886="","⚠ Falta categoría",IF(ISNA(MATCH(D3886,catNom,0)),"⚠ Categoría no existe",IF(E3886="","⚠ Falta cuenta",IF(ISNA(MATCH(E3886,ctaNom,0)),"⚠ Cuenta no existe",IF(AND(OR(I3886="Transferencia",I3886="Pago tarjeta"),G3886=""),"⚠ Indica la cuenta «Hacia»",IF(AND(G3886&lt;&gt;"",G3886=E3886),"⚠ «Hacia» igual a la cuenta",IF(AND(G3886&lt;&gt;"",ISNA(MATCH(G3886,ctaNom,0))),"⚠ «Hacia» no existe",IF(AND(I3886="Pago tarjeta",IFERROR(INDEX(ctaTipo,MATCH(G3886,ctaNom,0)),"")&lt;&gt;"Tarjeta de crédito"),"⚠ «Hacia» debe ser la tarjeta",IF(AND(I3886="Trading",IFERROR(INDEX(ctaTipo,MATCH(E3886,ctaNom,0)),"")&lt;&gt;"Cuenta de trading"),"⚠ Usa la cuenta de trading","✓"))))))))))))</f>
        <v/>
      </c>
      <c r="I3886" s="19">
        <f>IF(OR(B3886="",C3886="",D3886=""),"",IFERROR(INDEX(catTipo,MATCH(D3886,catNom,0))&amp;"",""))</f>
        <v/>
      </c>
      <c r="J3886" s="19">
        <f>IF(I3886="","",IFERROR(INDEX(catGrupo,MATCH(D3886,catNom,0))&amp;"",""))</f>
        <v/>
      </c>
      <c r="K3886" s="19">
        <f>IF(I3886="Gasto",IF(IFERROR(INDEX(catClas,MATCH(D3886,catNom,0))&amp;"","")="","Variable",IFERROR(INDEX(catClas,MATCH(D3886,catNom,0))&amp;"","")),"")</f>
        <v/>
      </c>
      <c r="L3886" s="19">
        <f>IF(I3886="","",IFERROR(INDEX(catAlim,MATCH(D3886,catNom,0))&amp;"",""))</f>
        <v/>
      </c>
      <c r="M3886" s="19">
        <f>IF(I3886="","",IFERROR(INDEX(catComida,MATCH(D3886,catNom,0))&amp;"",""))</f>
        <v/>
      </c>
      <c r="N3886" s="19">
        <f>IF(I3886="","",IFERROR(INDEX(ctaMon,MATCH(E3886,ctaNom,0))&amp;"","DOP"))</f>
        <v/>
      </c>
      <c r="O3886" s="20">
        <f>IF(I3886="","",C3886*IF(N3886="USD",TasaUSD,1))</f>
        <v/>
      </c>
      <c r="P3886" s="20">
        <f>IF(I3886="","",IF(I3886="Gasto",O3886,0))</f>
        <v/>
      </c>
      <c r="Q3886" s="20">
        <f>IF(I3886="","",IF(I3886="Ingreso",O3886,0))</f>
        <v/>
      </c>
      <c r="R3886" s="20">
        <f>IF(I3886="","",IF(I3886="Trading",O3886,0))</f>
        <v/>
      </c>
      <c r="S3886" s="19">
        <f>IF(I3886="","",IF(AND(I3886="Gasto",K3886="Variable",J3886&lt;&gt;"Trading",O3886&gt;0,O3886&lt;=Umbral),1,0))</f>
        <v/>
      </c>
      <c r="T3886" s="20">
        <f>IF(OR(I3886="",E3886=""),"",IF(OR(I3886="Gasto",I3886="Transferencia",I3886="Pago tarjeta"),-1,1)*C3886)</f>
        <v/>
      </c>
      <c r="U3886" s="20">
        <f>IF(OR(G3886="",AND(I3886&lt;&gt;"Transferencia",I3886&lt;&gt;"Pago tarjeta")),"",IF(IFERROR(INDEX(ctaMon,MATCH(G3886,ctaNom,0))&amp;"","DOP")=N3886,C3886,IF(N3886="USD",C3886*TasaUSD,C3886/TasaUSD)))</f>
        <v/>
      </c>
      <c r="V3886" s="20">
        <f>IF(I3886="","",IF(IFERROR(INDEX(ctaLiq,MATCH(E3886,ctaNom,0))="Sí",FALSE),IF(OR(I3886="Gasto",I3886="Transferencia",I3886="Pago tarjeta"),-1,1)*O3886,0)+IF(AND(U3886&lt;&gt;"",IFERROR(INDEX(ctaLiq,MATCH(G3886,ctaNom,0))="Sí",FALSE)),O3886,0))</f>
        <v/>
      </c>
      <c r="W3886" s="19">
        <f>IF(OR(F3886="",I3886=""),"",IF(COUNTIFS(F$6:F3886,F3886,I$6:I3886,"?*")=1,MAX(W$5:W3885)+1,""))</f>
        <v/>
      </c>
    </row>
    <row r="3887">
      <c r="B3887" s="15" t="n"/>
      <c r="C3887" s="16" t="n"/>
      <c r="D3887" s="17" t="n"/>
      <c r="E3887" s="17" t="n"/>
      <c r="F3887" s="17" t="n"/>
      <c r="G3887" s="17" t="n"/>
      <c r="H3887" s="18">
        <f>IF(AND(B3887="",C3887="",D3887="",E3887=""),"",IF(B3887="","⚠ Falta fecha",IF(C3887="","⚠ Falta monto",IF(D3887="","⚠ Falta categoría",IF(ISNA(MATCH(D3887,catNom,0)),"⚠ Categoría no existe",IF(E3887="","⚠ Falta cuenta",IF(ISNA(MATCH(E3887,ctaNom,0)),"⚠ Cuenta no existe",IF(AND(OR(I3887="Transferencia",I3887="Pago tarjeta"),G3887=""),"⚠ Indica la cuenta «Hacia»",IF(AND(G3887&lt;&gt;"",G3887=E3887),"⚠ «Hacia» igual a la cuenta",IF(AND(G3887&lt;&gt;"",ISNA(MATCH(G3887,ctaNom,0))),"⚠ «Hacia» no existe",IF(AND(I3887="Pago tarjeta",IFERROR(INDEX(ctaTipo,MATCH(G3887,ctaNom,0)),"")&lt;&gt;"Tarjeta de crédito"),"⚠ «Hacia» debe ser la tarjeta",IF(AND(I3887="Trading",IFERROR(INDEX(ctaTipo,MATCH(E3887,ctaNom,0)),"")&lt;&gt;"Cuenta de trading"),"⚠ Usa la cuenta de trading","✓"))))))))))))</f>
        <v/>
      </c>
      <c r="I3887" s="19">
        <f>IF(OR(B3887="",C3887="",D3887=""),"",IFERROR(INDEX(catTipo,MATCH(D3887,catNom,0))&amp;"",""))</f>
        <v/>
      </c>
      <c r="J3887" s="19">
        <f>IF(I3887="","",IFERROR(INDEX(catGrupo,MATCH(D3887,catNom,0))&amp;"",""))</f>
        <v/>
      </c>
      <c r="K3887" s="19">
        <f>IF(I3887="Gasto",IF(IFERROR(INDEX(catClas,MATCH(D3887,catNom,0))&amp;"","")="","Variable",IFERROR(INDEX(catClas,MATCH(D3887,catNom,0))&amp;"","")),"")</f>
        <v/>
      </c>
      <c r="L3887" s="19">
        <f>IF(I3887="","",IFERROR(INDEX(catAlim,MATCH(D3887,catNom,0))&amp;"",""))</f>
        <v/>
      </c>
      <c r="M3887" s="19">
        <f>IF(I3887="","",IFERROR(INDEX(catComida,MATCH(D3887,catNom,0))&amp;"",""))</f>
        <v/>
      </c>
      <c r="N3887" s="19">
        <f>IF(I3887="","",IFERROR(INDEX(ctaMon,MATCH(E3887,ctaNom,0))&amp;"","DOP"))</f>
        <v/>
      </c>
      <c r="O3887" s="20">
        <f>IF(I3887="","",C3887*IF(N3887="USD",TasaUSD,1))</f>
        <v/>
      </c>
      <c r="P3887" s="20">
        <f>IF(I3887="","",IF(I3887="Gasto",O3887,0))</f>
        <v/>
      </c>
      <c r="Q3887" s="20">
        <f>IF(I3887="","",IF(I3887="Ingreso",O3887,0))</f>
        <v/>
      </c>
      <c r="R3887" s="20">
        <f>IF(I3887="","",IF(I3887="Trading",O3887,0))</f>
        <v/>
      </c>
      <c r="S3887" s="19">
        <f>IF(I3887="","",IF(AND(I3887="Gasto",K3887="Variable",J3887&lt;&gt;"Trading",O3887&gt;0,O3887&lt;=Umbral),1,0))</f>
        <v/>
      </c>
      <c r="T3887" s="20">
        <f>IF(OR(I3887="",E3887=""),"",IF(OR(I3887="Gasto",I3887="Transferencia",I3887="Pago tarjeta"),-1,1)*C3887)</f>
        <v/>
      </c>
      <c r="U3887" s="20">
        <f>IF(OR(G3887="",AND(I3887&lt;&gt;"Transferencia",I3887&lt;&gt;"Pago tarjeta")),"",IF(IFERROR(INDEX(ctaMon,MATCH(G3887,ctaNom,0))&amp;"","DOP")=N3887,C3887,IF(N3887="USD",C3887*TasaUSD,C3887/TasaUSD)))</f>
        <v/>
      </c>
      <c r="V3887" s="20">
        <f>IF(I3887="","",IF(IFERROR(INDEX(ctaLiq,MATCH(E3887,ctaNom,0))="Sí",FALSE),IF(OR(I3887="Gasto",I3887="Transferencia",I3887="Pago tarjeta"),-1,1)*O3887,0)+IF(AND(U3887&lt;&gt;"",IFERROR(INDEX(ctaLiq,MATCH(G3887,ctaNom,0))="Sí",FALSE)),O3887,0))</f>
        <v/>
      </c>
      <c r="W3887" s="19">
        <f>IF(OR(F3887="",I3887=""),"",IF(COUNTIFS(F$6:F3887,F3887,I$6:I3887,"?*")=1,MAX(W$5:W3886)+1,""))</f>
        <v/>
      </c>
    </row>
    <row r="3888">
      <c r="B3888" s="15" t="n"/>
      <c r="C3888" s="16" t="n"/>
      <c r="D3888" s="17" t="n"/>
      <c r="E3888" s="17" t="n"/>
      <c r="F3888" s="17" t="n"/>
      <c r="G3888" s="17" t="n"/>
      <c r="H3888" s="18">
        <f>IF(AND(B3888="",C3888="",D3888="",E3888=""),"",IF(B3888="","⚠ Falta fecha",IF(C3888="","⚠ Falta monto",IF(D3888="","⚠ Falta categoría",IF(ISNA(MATCH(D3888,catNom,0)),"⚠ Categoría no existe",IF(E3888="","⚠ Falta cuenta",IF(ISNA(MATCH(E3888,ctaNom,0)),"⚠ Cuenta no existe",IF(AND(OR(I3888="Transferencia",I3888="Pago tarjeta"),G3888=""),"⚠ Indica la cuenta «Hacia»",IF(AND(G3888&lt;&gt;"",G3888=E3888),"⚠ «Hacia» igual a la cuenta",IF(AND(G3888&lt;&gt;"",ISNA(MATCH(G3888,ctaNom,0))),"⚠ «Hacia» no existe",IF(AND(I3888="Pago tarjeta",IFERROR(INDEX(ctaTipo,MATCH(G3888,ctaNom,0)),"")&lt;&gt;"Tarjeta de crédito"),"⚠ «Hacia» debe ser la tarjeta",IF(AND(I3888="Trading",IFERROR(INDEX(ctaTipo,MATCH(E3888,ctaNom,0)),"")&lt;&gt;"Cuenta de trading"),"⚠ Usa la cuenta de trading","✓"))))))))))))</f>
        <v/>
      </c>
      <c r="I3888" s="19">
        <f>IF(OR(B3888="",C3888="",D3888=""),"",IFERROR(INDEX(catTipo,MATCH(D3888,catNom,0))&amp;"",""))</f>
        <v/>
      </c>
      <c r="J3888" s="19">
        <f>IF(I3888="","",IFERROR(INDEX(catGrupo,MATCH(D3888,catNom,0))&amp;"",""))</f>
        <v/>
      </c>
      <c r="K3888" s="19">
        <f>IF(I3888="Gasto",IF(IFERROR(INDEX(catClas,MATCH(D3888,catNom,0))&amp;"","")="","Variable",IFERROR(INDEX(catClas,MATCH(D3888,catNom,0))&amp;"","")),"")</f>
        <v/>
      </c>
      <c r="L3888" s="19">
        <f>IF(I3888="","",IFERROR(INDEX(catAlim,MATCH(D3888,catNom,0))&amp;"",""))</f>
        <v/>
      </c>
      <c r="M3888" s="19">
        <f>IF(I3888="","",IFERROR(INDEX(catComida,MATCH(D3888,catNom,0))&amp;"",""))</f>
        <v/>
      </c>
      <c r="N3888" s="19">
        <f>IF(I3888="","",IFERROR(INDEX(ctaMon,MATCH(E3888,ctaNom,0))&amp;"","DOP"))</f>
        <v/>
      </c>
      <c r="O3888" s="20">
        <f>IF(I3888="","",C3888*IF(N3888="USD",TasaUSD,1))</f>
        <v/>
      </c>
      <c r="P3888" s="20">
        <f>IF(I3888="","",IF(I3888="Gasto",O3888,0))</f>
        <v/>
      </c>
      <c r="Q3888" s="20">
        <f>IF(I3888="","",IF(I3888="Ingreso",O3888,0))</f>
        <v/>
      </c>
      <c r="R3888" s="20">
        <f>IF(I3888="","",IF(I3888="Trading",O3888,0))</f>
        <v/>
      </c>
      <c r="S3888" s="19">
        <f>IF(I3888="","",IF(AND(I3888="Gasto",K3888="Variable",J3888&lt;&gt;"Trading",O3888&gt;0,O3888&lt;=Umbral),1,0))</f>
        <v/>
      </c>
      <c r="T3888" s="20">
        <f>IF(OR(I3888="",E3888=""),"",IF(OR(I3888="Gasto",I3888="Transferencia",I3888="Pago tarjeta"),-1,1)*C3888)</f>
        <v/>
      </c>
      <c r="U3888" s="20">
        <f>IF(OR(G3888="",AND(I3888&lt;&gt;"Transferencia",I3888&lt;&gt;"Pago tarjeta")),"",IF(IFERROR(INDEX(ctaMon,MATCH(G3888,ctaNom,0))&amp;"","DOP")=N3888,C3888,IF(N3888="USD",C3888*TasaUSD,C3888/TasaUSD)))</f>
        <v/>
      </c>
      <c r="V3888" s="20">
        <f>IF(I3888="","",IF(IFERROR(INDEX(ctaLiq,MATCH(E3888,ctaNom,0))="Sí",FALSE),IF(OR(I3888="Gasto",I3888="Transferencia",I3888="Pago tarjeta"),-1,1)*O3888,0)+IF(AND(U3888&lt;&gt;"",IFERROR(INDEX(ctaLiq,MATCH(G3888,ctaNom,0))="Sí",FALSE)),O3888,0))</f>
        <v/>
      </c>
      <c r="W3888" s="19">
        <f>IF(OR(F3888="",I3888=""),"",IF(COUNTIFS(F$6:F3888,F3888,I$6:I3888,"?*")=1,MAX(W$5:W3887)+1,""))</f>
        <v/>
      </c>
    </row>
    <row r="3889">
      <c r="B3889" s="15" t="n"/>
      <c r="C3889" s="16" t="n"/>
      <c r="D3889" s="17" t="n"/>
      <c r="E3889" s="17" t="n"/>
      <c r="F3889" s="17" t="n"/>
      <c r="G3889" s="17" t="n"/>
      <c r="H3889" s="18">
        <f>IF(AND(B3889="",C3889="",D3889="",E3889=""),"",IF(B3889="","⚠ Falta fecha",IF(C3889="","⚠ Falta monto",IF(D3889="","⚠ Falta categoría",IF(ISNA(MATCH(D3889,catNom,0)),"⚠ Categoría no existe",IF(E3889="","⚠ Falta cuenta",IF(ISNA(MATCH(E3889,ctaNom,0)),"⚠ Cuenta no existe",IF(AND(OR(I3889="Transferencia",I3889="Pago tarjeta"),G3889=""),"⚠ Indica la cuenta «Hacia»",IF(AND(G3889&lt;&gt;"",G3889=E3889),"⚠ «Hacia» igual a la cuenta",IF(AND(G3889&lt;&gt;"",ISNA(MATCH(G3889,ctaNom,0))),"⚠ «Hacia» no existe",IF(AND(I3889="Pago tarjeta",IFERROR(INDEX(ctaTipo,MATCH(G3889,ctaNom,0)),"")&lt;&gt;"Tarjeta de crédito"),"⚠ «Hacia» debe ser la tarjeta",IF(AND(I3889="Trading",IFERROR(INDEX(ctaTipo,MATCH(E3889,ctaNom,0)),"")&lt;&gt;"Cuenta de trading"),"⚠ Usa la cuenta de trading","✓"))))))))))))</f>
        <v/>
      </c>
      <c r="I3889" s="19">
        <f>IF(OR(B3889="",C3889="",D3889=""),"",IFERROR(INDEX(catTipo,MATCH(D3889,catNom,0))&amp;"",""))</f>
        <v/>
      </c>
      <c r="J3889" s="19">
        <f>IF(I3889="","",IFERROR(INDEX(catGrupo,MATCH(D3889,catNom,0))&amp;"",""))</f>
        <v/>
      </c>
      <c r="K3889" s="19">
        <f>IF(I3889="Gasto",IF(IFERROR(INDEX(catClas,MATCH(D3889,catNom,0))&amp;"","")="","Variable",IFERROR(INDEX(catClas,MATCH(D3889,catNom,0))&amp;"","")),"")</f>
        <v/>
      </c>
      <c r="L3889" s="19">
        <f>IF(I3889="","",IFERROR(INDEX(catAlim,MATCH(D3889,catNom,0))&amp;"",""))</f>
        <v/>
      </c>
      <c r="M3889" s="19">
        <f>IF(I3889="","",IFERROR(INDEX(catComida,MATCH(D3889,catNom,0))&amp;"",""))</f>
        <v/>
      </c>
      <c r="N3889" s="19">
        <f>IF(I3889="","",IFERROR(INDEX(ctaMon,MATCH(E3889,ctaNom,0))&amp;"","DOP"))</f>
        <v/>
      </c>
      <c r="O3889" s="20">
        <f>IF(I3889="","",C3889*IF(N3889="USD",TasaUSD,1))</f>
        <v/>
      </c>
      <c r="P3889" s="20">
        <f>IF(I3889="","",IF(I3889="Gasto",O3889,0))</f>
        <v/>
      </c>
      <c r="Q3889" s="20">
        <f>IF(I3889="","",IF(I3889="Ingreso",O3889,0))</f>
        <v/>
      </c>
      <c r="R3889" s="20">
        <f>IF(I3889="","",IF(I3889="Trading",O3889,0))</f>
        <v/>
      </c>
      <c r="S3889" s="19">
        <f>IF(I3889="","",IF(AND(I3889="Gasto",K3889="Variable",J3889&lt;&gt;"Trading",O3889&gt;0,O3889&lt;=Umbral),1,0))</f>
        <v/>
      </c>
      <c r="T3889" s="20">
        <f>IF(OR(I3889="",E3889=""),"",IF(OR(I3889="Gasto",I3889="Transferencia",I3889="Pago tarjeta"),-1,1)*C3889)</f>
        <v/>
      </c>
      <c r="U3889" s="20">
        <f>IF(OR(G3889="",AND(I3889&lt;&gt;"Transferencia",I3889&lt;&gt;"Pago tarjeta")),"",IF(IFERROR(INDEX(ctaMon,MATCH(G3889,ctaNom,0))&amp;"","DOP")=N3889,C3889,IF(N3889="USD",C3889*TasaUSD,C3889/TasaUSD)))</f>
        <v/>
      </c>
      <c r="V3889" s="20">
        <f>IF(I3889="","",IF(IFERROR(INDEX(ctaLiq,MATCH(E3889,ctaNom,0))="Sí",FALSE),IF(OR(I3889="Gasto",I3889="Transferencia",I3889="Pago tarjeta"),-1,1)*O3889,0)+IF(AND(U3889&lt;&gt;"",IFERROR(INDEX(ctaLiq,MATCH(G3889,ctaNom,0))="Sí",FALSE)),O3889,0))</f>
        <v/>
      </c>
      <c r="W3889" s="19">
        <f>IF(OR(F3889="",I3889=""),"",IF(COUNTIFS(F$6:F3889,F3889,I$6:I3889,"?*")=1,MAX(W$5:W3888)+1,""))</f>
        <v/>
      </c>
    </row>
    <row r="3890">
      <c r="B3890" s="15" t="n"/>
      <c r="C3890" s="16" t="n"/>
      <c r="D3890" s="17" t="n"/>
      <c r="E3890" s="17" t="n"/>
      <c r="F3890" s="17" t="n"/>
      <c r="G3890" s="17" t="n"/>
      <c r="H3890" s="18">
        <f>IF(AND(B3890="",C3890="",D3890="",E3890=""),"",IF(B3890="","⚠ Falta fecha",IF(C3890="","⚠ Falta monto",IF(D3890="","⚠ Falta categoría",IF(ISNA(MATCH(D3890,catNom,0)),"⚠ Categoría no existe",IF(E3890="","⚠ Falta cuenta",IF(ISNA(MATCH(E3890,ctaNom,0)),"⚠ Cuenta no existe",IF(AND(OR(I3890="Transferencia",I3890="Pago tarjeta"),G3890=""),"⚠ Indica la cuenta «Hacia»",IF(AND(G3890&lt;&gt;"",G3890=E3890),"⚠ «Hacia» igual a la cuenta",IF(AND(G3890&lt;&gt;"",ISNA(MATCH(G3890,ctaNom,0))),"⚠ «Hacia» no existe",IF(AND(I3890="Pago tarjeta",IFERROR(INDEX(ctaTipo,MATCH(G3890,ctaNom,0)),"")&lt;&gt;"Tarjeta de crédito"),"⚠ «Hacia» debe ser la tarjeta",IF(AND(I3890="Trading",IFERROR(INDEX(ctaTipo,MATCH(E3890,ctaNom,0)),"")&lt;&gt;"Cuenta de trading"),"⚠ Usa la cuenta de trading","✓"))))))))))))</f>
        <v/>
      </c>
      <c r="I3890" s="19">
        <f>IF(OR(B3890="",C3890="",D3890=""),"",IFERROR(INDEX(catTipo,MATCH(D3890,catNom,0))&amp;"",""))</f>
        <v/>
      </c>
      <c r="J3890" s="19">
        <f>IF(I3890="","",IFERROR(INDEX(catGrupo,MATCH(D3890,catNom,0))&amp;"",""))</f>
        <v/>
      </c>
      <c r="K3890" s="19">
        <f>IF(I3890="Gasto",IF(IFERROR(INDEX(catClas,MATCH(D3890,catNom,0))&amp;"","")="","Variable",IFERROR(INDEX(catClas,MATCH(D3890,catNom,0))&amp;"","")),"")</f>
        <v/>
      </c>
      <c r="L3890" s="19">
        <f>IF(I3890="","",IFERROR(INDEX(catAlim,MATCH(D3890,catNom,0))&amp;"",""))</f>
        <v/>
      </c>
      <c r="M3890" s="19">
        <f>IF(I3890="","",IFERROR(INDEX(catComida,MATCH(D3890,catNom,0))&amp;"",""))</f>
        <v/>
      </c>
      <c r="N3890" s="19">
        <f>IF(I3890="","",IFERROR(INDEX(ctaMon,MATCH(E3890,ctaNom,0))&amp;"","DOP"))</f>
        <v/>
      </c>
      <c r="O3890" s="20">
        <f>IF(I3890="","",C3890*IF(N3890="USD",TasaUSD,1))</f>
        <v/>
      </c>
      <c r="P3890" s="20">
        <f>IF(I3890="","",IF(I3890="Gasto",O3890,0))</f>
        <v/>
      </c>
      <c r="Q3890" s="20">
        <f>IF(I3890="","",IF(I3890="Ingreso",O3890,0))</f>
        <v/>
      </c>
      <c r="R3890" s="20">
        <f>IF(I3890="","",IF(I3890="Trading",O3890,0))</f>
        <v/>
      </c>
      <c r="S3890" s="19">
        <f>IF(I3890="","",IF(AND(I3890="Gasto",K3890="Variable",J3890&lt;&gt;"Trading",O3890&gt;0,O3890&lt;=Umbral),1,0))</f>
        <v/>
      </c>
      <c r="T3890" s="20">
        <f>IF(OR(I3890="",E3890=""),"",IF(OR(I3890="Gasto",I3890="Transferencia",I3890="Pago tarjeta"),-1,1)*C3890)</f>
        <v/>
      </c>
      <c r="U3890" s="20">
        <f>IF(OR(G3890="",AND(I3890&lt;&gt;"Transferencia",I3890&lt;&gt;"Pago tarjeta")),"",IF(IFERROR(INDEX(ctaMon,MATCH(G3890,ctaNom,0))&amp;"","DOP")=N3890,C3890,IF(N3890="USD",C3890*TasaUSD,C3890/TasaUSD)))</f>
        <v/>
      </c>
      <c r="V3890" s="20">
        <f>IF(I3890="","",IF(IFERROR(INDEX(ctaLiq,MATCH(E3890,ctaNom,0))="Sí",FALSE),IF(OR(I3890="Gasto",I3890="Transferencia",I3890="Pago tarjeta"),-1,1)*O3890,0)+IF(AND(U3890&lt;&gt;"",IFERROR(INDEX(ctaLiq,MATCH(G3890,ctaNom,0))="Sí",FALSE)),O3890,0))</f>
        <v/>
      </c>
      <c r="W3890" s="19">
        <f>IF(OR(F3890="",I3890=""),"",IF(COUNTIFS(F$6:F3890,F3890,I$6:I3890,"?*")=1,MAX(W$5:W3889)+1,""))</f>
        <v/>
      </c>
    </row>
    <row r="3891">
      <c r="B3891" s="15" t="n"/>
      <c r="C3891" s="16" t="n"/>
      <c r="D3891" s="17" t="n"/>
      <c r="E3891" s="17" t="n"/>
      <c r="F3891" s="17" t="n"/>
      <c r="G3891" s="17" t="n"/>
      <c r="H3891" s="18">
        <f>IF(AND(B3891="",C3891="",D3891="",E3891=""),"",IF(B3891="","⚠ Falta fecha",IF(C3891="","⚠ Falta monto",IF(D3891="","⚠ Falta categoría",IF(ISNA(MATCH(D3891,catNom,0)),"⚠ Categoría no existe",IF(E3891="","⚠ Falta cuenta",IF(ISNA(MATCH(E3891,ctaNom,0)),"⚠ Cuenta no existe",IF(AND(OR(I3891="Transferencia",I3891="Pago tarjeta"),G3891=""),"⚠ Indica la cuenta «Hacia»",IF(AND(G3891&lt;&gt;"",G3891=E3891),"⚠ «Hacia» igual a la cuenta",IF(AND(G3891&lt;&gt;"",ISNA(MATCH(G3891,ctaNom,0))),"⚠ «Hacia» no existe",IF(AND(I3891="Pago tarjeta",IFERROR(INDEX(ctaTipo,MATCH(G3891,ctaNom,0)),"")&lt;&gt;"Tarjeta de crédito"),"⚠ «Hacia» debe ser la tarjeta",IF(AND(I3891="Trading",IFERROR(INDEX(ctaTipo,MATCH(E3891,ctaNom,0)),"")&lt;&gt;"Cuenta de trading"),"⚠ Usa la cuenta de trading","✓"))))))))))))</f>
        <v/>
      </c>
      <c r="I3891" s="19">
        <f>IF(OR(B3891="",C3891="",D3891=""),"",IFERROR(INDEX(catTipo,MATCH(D3891,catNom,0))&amp;"",""))</f>
        <v/>
      </c>
      <c r="J3891" s="19">
        <f>IF(I3891="","",IFERROR(INDEX(catGrupo,MATCH(D3891,catNom,0))&amp;"",""))</f>
        <v/>
      </c>
      <c r="K3891" s="19">
        <f>IF(I3891="Gasto",IF(IFERROR(INDEX(catClas,MATCH(D3891,catNom,0))&amp;"","")="","Variable",IFERROR(INDEX(catClas,MATCH(D3891,catNom,0))&amp;"","")),"")</f>
        <v/>
      </c>
      <c r="L3891" s="19">
        <f>IF(I3891="","",IFERROR(INDEX(catAlim,MATCH(D3891,catNom,0))&amp;"",""))</f>
        <v/>
      </c>
      <c r="M3891" s="19">
        <f>IF(I3891="","",IFERROR(INDEX(catComida,MATCH(D3891,catNom,0))&amp;"",""))</f>
        <v/>
      </c>
      <c r="N3891" s="19">
        <f>IF(I3891="","",IFERROR(INDEX(ctaMon,MATCH(E3891,ctaNom,0))&amp;"","DOP"))</f>
        <v/>
      </c>
      <c r="O3891" s="20">
        <f>IF(I3891="","",C3891*IF(N3891="USD",TasaUSD,1))</f>
        <v/>
      </c>
      <c r="P3891" s="20">
        <f>IF(I3891="","",IF(I3891="Gasto",O3891,0))</f>
        <v/>
      </c>
      <c r="Q3891" s="20">
        <f>IF(I3891="","",IF(I3891="Ingreso",O3891,0))</f>
        <v/>
      </c>
      <c r="R3891" s="20">
        <f>IF(I3891="","",IF(I3891="Trading",O3891,0))</f>
        <v/>
      </c>
      <c r="S3891" s="19">
        <f>IF(I3891="","",IF(AND(I3891="Gasto",K3891="Variable",J3891&lt;&gt;"Trading",O3891&gt;0,O3891&lt;=Umbral),1,0))</f>
        <v/>
      </c>
      <c r="T3891" s="20">
        <f>IF(OR(I3891="",E3891=""),"",IF(OR(I3891="Gasto",I3891="Transferencia",I3891="Pago tarjeta"),-1,1)*C3891)</f>
        <v/>
      </c>
      <c r="U3891" s="20">
        <f>IF(OR(G3891="",AND(I3891&lt;&gt;"Transferencia",I3891&lt;&gt;"Pago tarjeta")),"",IF(IFERROR(INDEX(ctaMon,MATCH(G3891,ctaNom,0))&amp;"","DOP")=N3891,C3891,IF(N3891="USD",C3891*TasaUSD,C3891/TasaUSD)))</f>
        <v/>
      </c>
      <c r="V3891" s="20">
        <f>IF(I3891="","",IF(IFERROR(INDEX(ctaLiq,MATCH(E3891,ctaNom,0))="Sí",FALSE),IF(OR(I3891="Gasto",I3891="Transferencia",I3891="Pago tarjeta"),-1,1)*O3891,0)+IF(AND(U3891&lt;&gt;"",IFERROR(INDEX(ctaLiq,MATCH(G3891,ctaNom,0))="Sí",FALSE)),O3891,0))</f>
        <v/>
      </c>
      <c r="W3891" s="19">
        <f>IF(OR(F3891="",I3891=""),"",IF(COUNTIFS(F$6:F3891,F3891,I$6:I3891,"?*")=1,MAX(W$5:W3890)+1,""))</f>
        <v/>
      </c>
    </row>
    <row r="3892">
      <c r="B3892" s="15" t="n"/>
      <c r="C3892" s="16" t="n"/>
      <c r="D3892" s="17" t="n"/>
      <c r="E3892" s="17" t="n"/>
      <c r="F3892" s="17" t="n"/>
      <c r="G3892" s="17" t="n"/>
      <c r="H3892" s="18">
        <f>IF(AND(B3892="",C3892="",D3892="",E3892=""),"",IF(B3892="","⚠ Falta fecha",IF(C3892="","⚠ Falta monto",IF(D3892="","⚠ Falta categoría",IF(ISNA(MATCH(D3892,catNom,0)),"⚠ Categoría no existe",IF(E3892="","⚠ Falta cuenta",IF(ISNA(MATCH(E3892,ctaNom,0)),"⚠ Cuenta no existe",IF(AND(OR(I3892="Transferencia",I3892="Pago tarjeta"),G3892=""),"⚠ Indica la cuenta «Hacia»",IF(AND(G3892&lt;&gt;"",G3892=E3892),"⚠ «Hacia» igual a la cuenta",IF(AND(G3892&lt;&gt;"",ISNA(MATCH(G3892,ctaNom,0))),"⚠ «Hacia» no existe",IF(AND(I3892="Pago tarjeta",IFERROR(INDEX(ctaTipo,MATCH(G3892,ctaNom,0)),"")&lt;&gt;"Tarjeta de crédito"),"⚠ «Hacia» debe ser la tarjeta",IF(AND(I3892="Trading",IFERROR(INDEX(ctaTipo,MATCH(E3892,ctaNom,0)),"")&lt;&gt;"Cuenta de trading"),"⚠ Usa la cuenta de trading","✓"))))))))))))</f>
        <v/>
      </c>
      <c r="I3892" s="19">
        <f>IF(OR(B3892="",C3892="",D3892=""),"",IFERROR(INDEX(catTipo,MATCH(D3892,catNom,0))&amp;"",""))</f>
        <v/>
      </c>
      <c r="J3892" s="19">
        <f>IF(I3892="","",IFERROR(INDEX(catGrupo,MATCH(D3892,catNom,0))&amp;"",""))</f>
        <v/>
      </c>
      <c r="K3892" s="19">
        <f>IF(I3892="Gasto",IF(IFERROR(INDEX(catClas,MATCH(D3892,catNom,0))&amp;"","")="","Variable",IFERROR(INDEX(catClas,MATCH(D3892,catNom,0))&amp;"","")),"")</f>
        <v/>
      </c>
      <c r="L3892" s="19">
        <f>IF(I3892="","",IFERROR(INDEX(catAlim,MATCH(D3892,catNom,0))&amp;"",""))</f>
        <v/>
      </c>
      <c r="M3892" s="19">
        <f>IF(I3892="","",IFERROR(INDEX(catComida,MATCH(D3892,catNom,0))&amp;"",""))</f>
        <v/>
      </c>
      <c r="N3892" s="19">
        <f>IF(I3892="","",IFERROR(INDEX(ctaMon,MATCH(E3892,ctaNom,0))&amp;"","DOP"))</f>
        <v/>
      </c>
      <c r="O3892" s="20">
        <f>IF(I3892="","",C3892*IF(N3892="USD",TasaUSD,1))</f>
        <v/>
      </c>
      <c r="P3892" s="20">
        <f>IF(I3892="","",IF(I3892="Gasto",O3892,0))</f>
        <v/>
      </c>
      <c r="Q3892" s="20">
        <f>IF(I3892="","",IF(I3892="Ingreso",O3892,0))</f>
        <v/>
      </c>
      <c r="R3892" s="20">
        <f>IF(I3892="","",IF(I3892="Trading",O3892,0))</f>
        <v/>
      </c>
      <c r="S3892" s="19">
        <f>IF(I3892="","",IF(AND(I3892="Gasto",K3892="Variable",J3892&lt;&gt;"Trading",O3892&gt;0,O3892&lt;=Umbral),1,0))</f>
        <v/>
      </c>
      <c r="T3892" s="20">
        <f>IF(OR(I3892="",E3892=""),"",IF(OR(I3892="Gasto",I3892="Transferencia",I3892="Pago tarjeta"),-1,1)*C3892)</f>
        <v/>
      </c>
      <c r="U3892" s="20">
        <f>IF(OR(G3892="",AND(I3892&lt;&gt;"Transferencia",I3892&lt;&gt;"Pago tarjeta")),"",IF(IFERROR(INDEX(ctaMon,MATCH(G3892,ctaNom,0))&amp;"","DOP")=N3892,C3892,IF(N3892="USD",C3892*TasaUSD,C3892/TasaUSD)))</f>
        <v/>
      </c>
      <c r="V3892" s="20">
        <f>IF(I3892="","",IF(IFERROR(INDEX(ctaLiq,MATCH(E3892,ctaNom,0))="Sí",FALSE),IF(OR(I3892="Gasto",I3892="Transferencia",I3892="Pago tarjeta"),-1,1)*O3892,0)+IF(AND(U3892&lt;&gt;"",IFERROR(INDEX(ctaLiq,MATCH(G3892,ctaNom,0))="Sí",FALSE)),O3892,0))</f>
        <v/>
      </c>
      <c r="W3892" s="19">
        <f>IF(OR(F3892="",I3892=""),"",IF(COUNTIFS(F$6:F3892,F3892,I$6:I3892,"?*")=1,MAX(W$5:W3891)+1,""))</f>
        <v/>
      </c>
    </row>
    <row r="3893">
      <c r="B3893" s="15" t="n"/>
      <c r="C3893" s="16" t="n"/>
      <c r="D3893" s="17" t="n"/>
      <c r="E3893" s="17" t="n"/>
      <c r="F3893" s="17" t="n"/>
      <c r="G3893" s="17" t="n"/>
      <c r="H3893" s="18">
        <f>IF(AND(B3893="",C3893="",D3893="",E3893=""),"",IF(B3893="","⚠ Falta fecha",IF(C3893="","⚠ Falta monto",IF(D3893="","⚠ Falta categoría",IF(ISNA(MATCH(D3893,catNom,0)),"⚠ Categoría no existe",IF(E3893="","⚠ Falta cuenta",IF(ISNA(MATCH(E3893,ctaNom,0)),"⚠ Cuenta no existe",IF(AND(OR(I3893="Transferencia",I3893="Pago tarjeta"),G3893=""),"⚠ Indica la cuenta «Hacia»",IF(AND(G3893&lt;&gt;"",G3893=E3893),"⚠ «Hacia» igual a la cuenta",IF(AND(G3893&lt;&gt;"",ISNA(MATCH(G3893,ctaNom,0))),"⚠ «Hacia» no existe",IF(AND(I3893="Pago tarjeta",IFERROR(INDEX(ctaTipo,MATCH(G3893,ctaNom,0)),"")&lt;&gt;"Tarjeta de crédito"),"⚠ «Hacia» debe ser la tarjeta",IF(AND(I3893="Trading",IFERROR(INDEX(ctaTipo,MATCH(E3893,ctaNom,0)),"")&lt;&gt;"Cuenta de trading"),"⚠ Usa la cuenta de trading","✓"))))))))))))</f>
        <v/>
      </c>
      <c r="I3893" s="19">
        <f>IF(OR(B3893="",C3893="",D3893=""),"",IFERROR(INDEX(catTipo,MATCH(D3893,catNom,0))&amp;"",""))</f>
        <v/>
      </c>
      <c r="J3893" s="19">
        <f>IF(I3893="","",IFERROR(INDEX(catGrupo,MATCH(D3893,catNom,0))&amp;"",""))</f>
        <v/>
      </c>
      <c r="K3893" s="19">
        <f>IF(I3893="Gasto",IF(IFERROR(INDEX(catClas,MATCH(D3893,catNom,0))&amp;"","")="","Variable",IFERROR(INDEX(catClas,MATCH(D3893,catNom,0))&amp;"","")),"")</f>
        <v/>
      </c>
      <c r="L3893" s="19">
        <f>IF(I3893="","",IFERROR(INDEX(catAlim,MATCH(D3893,catNom,0))&amp;"",""))</f>
        <v/>
      </c>
      <c r="M3893" s="19">
        <f>IF(I3893="","",IFERROR(INDEX(catComida,MATCH(D3893,catNom,0))&amp;"",""))</f>
        <v/>
      </c>
      <c r="N3893" s="19">
        <f>IF(I3893="","",IFERROR(INDEX(ctaMon,MATCH(E3893,ctaNom,0))&amp;"","DOP"))</f>
        <v/>
      </c>
      <c r="O3893" s="20">
        <f>IF(I3893="","",C3893*IF(N3893="USD",TasaUSD,1))</f>
        <v/>
      </c>
      <c r="P3893" s="20">
        <f>IF(I3893="","",IF(I3893="Gasto",O3893,0))</f>
        <v/>
      </c>
      <c r="Q3893" s="20">
        <f>IF(I3893="","",IF(I3893="Ingreso",O3893,0))</f>
        <v/>
      </c>
      <c r="R3893" s="20">
        <f>IF(I3893="","",IF(I3893="Trading",O3893,0))</f>
        <v/>
      </c>
      <c r="S3893" s="19">
        <f>IF(I3893="","",IF(AND(I3893="Gasto",K3893="Variable",J3893&lt;&gt;"Trading",O3893&gt;0,O3893&lt;=Umbral),1,0))</f>
        <v/>
      </c>
      <c r="T3893" s="20">
        <f>IF(OR(I3893="",E3893=""),"",IF(OR(I3893="Gasto",I3893="Transferencia",I3893="Pago tarjeta"),-1,1)*C3893)</f>
        <v/>
      </c>
      <c r="U3893" s="20">
        <f>IF(OR(G3893="",AND(I3893&lt;&gt;"Transferencia",I3893&lt;&gt;"Pago tarjeta")),"",IF(IFERROR(INDEX(ctaMon,MATCH(G3893,ctaNom,0))&amp;"","DOP")=N3893,C3893,IF(N3893="USD",C3893*TasaUSD,C3893/TasaUSD)))</f>
        <v/>
      </c>
      <c r="V3893" s="20">
        <f>IF(I3893="","",IF(IFERROR(INDEX(ctaLiq,MATCH(E3893,ctaNom,0))="Sí",FALSE),IF(OR(I3893="Gasto",I3893="Transferencia",I3893="Pago tarjeta"),-1,1)*O3893,0)+IF(AND(U3893&lt;&gt;"",IFERROR(INDEX(ctaLiq,MATCH(G3893,ctaNom,0))="Sí",FALSE)),O3893,0))</f>
        <v/>
      </c>
      <c r="W3893" s="19">
        <f>IF(OR(F3893="",I3893=""),"",IF(COUNTIFS(F$6:F3893,F3893,I$6:I3893,"?*")=1,MAX(W$5:W3892)+1,""))</f>
        <v/>
      </c>
    </row>
    <row r="3894">
      <c r="B3894" s="15" t="n"/>
      <c r="C3894" s="16" t="n"/>
      <c r="D3894" s="17" t="n"/>
      <c r="E3894" s="17" t="n"/>
      <c r="F3894" s="17" t="n"/>
      <c r="G3894" s="17" t="n"/>
      <c r="H3894" s="18">
        <f>IF(AND(B3894="",C3894="",D3894="",E3894=""),"",IF(B3894="","⚠ Falta fecha",IF(C3894="","⚠ Falta monto",IF(D3894="","⚠ Falta categoría",IF(ISNA(MATCH(D3894,catNom,0)),"⚠ Categoría no existe",IF(E3894="","⚠ Falta cuenta",IF(ISNA(MATCH(E3894,ctaNom,0)),"⚠ Cuenta no existe",IF(AND(OR(I3894="Transferencia",I3894="Pago tarjeta"),G3894=""),"⚠ Indica la cuenta «Hacia»",IF(AND(G3894&lt;&gt;"",G3894=E3894),"⚠ «Hacia» igual a la cuenta",IF(AND(G3894&lt;&gt;"",ISNA(MATCH(G3894,ctaNom,0))),"⚠ «Hacia» no existe",IF(AND(I3894="Pago tarjeta",IFERROR(INDEX(ctaTipo,MATCH(G3894,ctaNom,0)),"")&lt;&gt;"Tarjeta de crédito"),"⚠ «Hacia» debe ser la tarjeta",IF(AND(I3894="Trading",IFERROR(INDEX(ctaTipo,MATCH(E3894,ctaNom,0)),"")&lt;&gt;"Cuenta de trading"),"⚠ Usa la cuenta de trading","✓"))))))))))))</f>
        <v/>
      </c>
      <c r="I3894" s="19">
        <f>IF(OR(B3894="",C3894="",D3894=""),"",IFERROR(INDEX(catTipo,MATCH(D3894,catNom,0))&amp;"",""))</f>
        <v/>
      </c>
      <c r="J3894" s="19">
        <f>IF(I3894="","",IFERROR(INDEX(catGrupo,MATCH(D3894,catNom,0))&amp;"",""))</f>
        <v/>
      </c>
      <c r="K3894" s="19">
        <f>IF(I3894="Gasto",IF(IFERROR(INDEX(catClas,MATCH(D3894,catNom,0))&amp;"","")="","Variable",IFERROR(INDEX(catClas,MATCH(D3894,catNom,0))&amp;"","")),"")</f>
        <v/>
      </c>
      <c r="L3894" s="19">
        <f>IF(I3894="","",IFERROR(INDEX(catAlim,MATCH(D3894,catNom,0))&amp;"",""))</f>
        <v/>
      </c>
      <c r="M3894" s="19">
        <f>IF(I3894="","",IFERROR(INDEX(catComida,MATCH(D3894,catNom,0))&amp;"",""))</f>
        <v/>
      </c>
      <c r="N3894" s="19">
        <f>IF(I3894="","",IFERROR(INDEX(ctaMon,MATCH(E3894,ctaNom,0))&amp;"","DOP"))</f>
        <v/>
      </c>
      <c r="O3894" s="20">
        <f>IF(I3894="","",C3894*IF(N3894="USD",TasaUSD,1))</f>
        <v/>
      </c>
      <c r="P3894" s="20">
        <f>IF(I3894="","",IF(I3894="Gasto",O3894,0))</f>
        <v/>
      </c>
      <c r="Q3894" s="20">
        <f>IF(I3894="","",IF(I3894="Ingreso",O3894,0))</f>
        <v/>
      </c>
      <c r="R3894" s="20">
        <f>IF(I3894="","",IF(I3894="Trading",O3894,0))</f>
        <v/>
      </c>
      <c r="S3894" s="19">
        <f>IF(I3894="","",IF(AND(I3894="Gasto",K3894="Variable",J3894&lt;&gt;"Trading",O3894&gt;0,O3894&lt;=Umbral),1,0))</f>
        <v/>
      </c>
      <c r="T3894" s="20">
        <f>IF(OR(I3894="",E3894=""),"",IF(OR(I3894="Gasto",I3894="Transferencia",I3894="Pago tarjeta"),-1,1)*C3894)</f>
        <v/>
      </c>
      <c r="U3894" s="20">
        <f>IF(OR(G3894="",AND(I3894&lt;&gt;"Transferencia",I3894&lt;&gt;"Pago tarjeta")),"",IF(IFERROR(INDEX(ctaMon,MATCH(G3894,ctaNom,0))&amp;"","DOP")=N3894,C3894,IF(N3894="USD",C3894*TasaUSD,C3894/TasaUSD)))</f>
        <v/>
      </c>
      <c r="V3894" s="20">
        <f>IF(I3894="","",IF(IFERROR(INDEX(ctaLiq,MATCH(E3894,ctaNom,0))="Sí",FALSE),IF(OR(I3894="Gasto",I3894="Transferencia",I3894="Pago tarjeta"),-1,1)*O3894,0)+IF(AND(U3894&lt;&gt;"",IFERROR(INDEX(ctaLiq,MATCH(G3894,ctaNom,0))="Sí",FALSE)),O3894,0))</f>
        <v/>
      </c>
      <c r="W3894" s="19">
        <f>IF(OR(F3894="",I3894=""),"",IF(COUNTIFS(F$6:F3894,F3894,I$6:I3894,"?*")=1,MAX(W$5:W3893)+1,""))</f>
        <v/>
      </c>
    </row>
    <row r="3895">
      <c r="B3895" s="15" t="n"/>
      <c r="C3895" s="16" t="n"/>
      <c r="D3895" s="17" t="n"/>
      <c r="E3895" s="17" t="n"/>
      <c r="F3895" s="17" t="n"/>
      <c r="G3895" s="17" t="n"/>
      <c r="H3895" s="18">
        <f>IF(AND(B3895="",C3895="",D3895="",E3895=""),"",IF(B3895="","⚠ Falta fecha",IF(C3895="","⚠ Falta monto",IF(D3895="","⚠ Falta categoría",IF(ISNA(MATCH(D3895,catNom,0)),"⚠ Categoría no existe",IF(E3895="","⚠ Falta cuenta",IF(ISNA(MATCH(E3895,ctaNom,0)),"⚠ Cuenta no existe",IF(AND(OR(I3895="Transferencia",I3895="Pago tarjeta"),G3895=""),"⚠ Indica la cuenta «Hacia»",IF(AND(G3895&lt;&gt;"",G3895=E3895),"⚠ «Hacia» igual a la cuenta",IF(AND(G3895&lt;&gt;"",ISNA(MATCH(G3895,ctaNom,0))),"⚠ «Hacia» no existe",IF(AND(I3895="Pago tarjeta",IFERROR(INDEX(ctaTipo,MATCH(G3895,ctaNom,0)),"")&lt;&gt;"Tarjeta de crédito"),"⚠ «Hacia» debe ser la tarjeta",IF(AND(I3895="Trading",IFERROR(INDEX(ctaTipo,MATCH(E3895,ctaNom,0)),"")&lt;&gt;"Cuenta de trading"),"⚠ Usa la cuenta de trading","✓"))))))))))))</f>
        <v/>
      </c>
      <c r="I3895" s="19">
        <f>IF(OR(B3895="",C3895="",D3895=""),"",IFERROR(INDEX(catTipo,MATCH(D3895,catNom,0))&amp;"",""))</f>
        <v/>
      </c>
      <c r="J3895" s="19">
        <f>IF(I3895="","",IFERROR(INDEX(catGrupo,MATCH(D3895,catNom,0))&amp;"",""))</f>
        <v/>
      </c>
      <c r="K3895" s="19">
        <f>IF(I3895="Gasto",IF(IFERROR(INDEX(catClas,MATCH(D3895,catNom,0))&amp;"","")="","Variable",IFERROR(INDEX(catClas,MATCH(D3895,catNom,0))&amp;"","")),"")</f>
        <v/>
      </c>
      <c r="L3895" s="19">
        <f>IF(I3895="","",IFERROR(INDEX(catAlim,MATCH(D3895,catNom,0))&amp;"",""))</f>
        <v/>
      </c>
      <c r="M3895" s="19">
        <f>IF(I3895="","",IFERROR(INDEX(catComida,MATCH(D3895,catNom,0))&amp;"",""))</f>
        <v/>
      </c>
      <c r="N3895" s="19">
        <f>IF(I3895="","",IFERROR(INDEX(ctaMon,MATCH(E3895,ctaNom,0))&amp;"","DOP"))</f>
        <v/>
      </c>
      <c r="O3895" s="20">
        <f>IF(I3895="","",C3895*IF(N3895="USD",TasaUSD,1))</f>
        <v/>
      </c>
      <c r="P3895" s="20">
        <f>IF(I3895="","",IF(I3895="Gasto",O3895,0))</f>
        <v/>
      </c>
      <c r="Q3895" s="20">
        <f>IF(I3895="","",IF(I3895="Ingreso",O3895,0))</f>
        <v/>
      </c>
      <c r="R3895" s="20">
        <f>IF(I3895="","",IF(I3895="Trading",O3895,0))</f>
        <v/>
      </c>
      <c r="S3895" s="19">
        <f>IF(I3895="","",IF(AND(I3895="Gasto",K3895="Variable",J3895&lt;&gt;"Trading",O3895&gt;0,O3895&lt;=Umbral),1,0))</f>
        <v/>
      </c>
      <c r="T3895" s="20">
        <f>IF(OR(I3895="",E3895=""),"",IF(OR(I3895="Gasto",I3895="Transferencia",I3895="Pago tarjeta"),-1,1)*C3895)</f>
        <v/>
      </c>
      <c r="U3895" s="20">
        <f>IF(OR(G3895="",AND(I3895&lt;&gt;"Transferencia",I3895&lt;&gt;"Pago tarjeta")),"",IF(IFERROR(INDEX(ctaMon,MATCH(G3895,ctaNom,0))&amp;"","DOP")=N3895,C3895,IF(N3895="USD",C3895*TasaUSD,C3895/TasaUSD)))</f>
        <v/>
      </c>
      <c r="V3895" s="20">
        <f>IF(I3895="","",IF(IFERROR(INDEX(ctaLiq,MATCH(E3895,ctaNom,0))="Sí",FALSE),IF(OR(I3895="Gasto",I3895="Transferencia",I3895="Pago tarjeta"),-1,1)*O3895,0)+IF(AND(U3895&lt;&gt;"",IFERROR(INDEX(ctaLiq,MATCH(G3895,ctaNom,0))="Sí",FALSE)),O3895,0))</f>
        <v/>
      </c>
      <c r="W3895" s="19">
        <f>IF(OR(F3895="",I3895=""),"",IF(COUNTIFS(F$6:F3895,F3895,I$6:I3895,"?*")=1,MAX(W$5:W3894)+1,""))</f>
        <v/>
      </c>
    </row>
    <row r="3896">
      <c r="B3896" s="15" t="n"/>
      <c r="C3896" s="16" t="n"/>
      <c r="D3896" s="17" t="n"/>
      <c r="E3896" s="17" t="n"/>
      <c r="F3896" s="17" t="n"/>
      <c r="G3896" s="17" t="n"/>
      <c r="H3896" s="18">
        <f>IF(AND(B3896="",C3896="",D3896="",E3896=""),"",IF(B3896="","⚠ Falta fecha",IF(C3896="","⚠ Falta monto",IF(D3896="","⚠ Falta categoría",IF(ISNA(MATCH(D3896,catNom,0)),"⚠ Categoría no existe",IF(E3896="","⚠ Falta cuenta",IF(ISNA(MATCH(E3896,ctaNom,0)),"⚠ Cuenta no existe",IF(AND(OR(I3896="Transferencia",I3896="Pago tarjeta"),G3896=""),"⚠ Indica la cuenta «Hacia»",IF(AND(G3896&lt;&gt;"",G3896=E3896),"⚠ «Hacia» igual a la cuenta",IF(AND(G3896&lt;&gt;"",ISNA(MATCH(G3896,ctaNom,0))),"⚠ «Hacia» no existe",IF(AND(I3896="Pago tarjeta",IFERROR(INDEX(ctaTipo,MATCH(G3896,ctaNom,0)),"")&lt;&gt;"Tarjeta de crédito"),"⚠ «Hacia» debe ser la tarjeta",IF(AND(I3896="Trading",IFERROR(INDEX(ctaTipo,MATCH(E3896,ctaNom,0)),"")&lt;&gt;"Cuenta de trading"),"⚠ Usa la cuenta de trading","✓"))))))))))))</f>
        <v/>
      </c>
      <c r="I3896" s="19">
        <f>IF(OR(B3896="",C3896="",D3896=""),"",IFERROR(INDEX(catTipo,MATCH(D3896,catNom,0))&amp;"",""))</f>
        <v/>
      </c>
      <c r="J3896" s="19">
        <f>IF(I3896="","",IFERROR(INDEX(catGrupo,MATCH(D3896,catNom,0))&amp;"",""))</f>
        <v/>
      </c>
      <c r="K3896" s="19">
        <f>IF(I3896="Gasto",IF(IFERROR(INDEX(catClas,MATCH(D3896,catNom,0))&amp;"","")="","Variable",IFERROR(INDEX(catClas,MATCH(D3896,catNom,0))&amp;"","")),"")</f>
        <v/>
      </c>
      <c r="L3896" s="19">
        <f>IF(I3896="","",IFERROR(INDEX(catAlim,MATCH(D3896,catNom,0))&amp;"",""))</f>
        <v/>
      </c>
      <c r="M3896" s="19">
        <f>IF(I3896="","",IFERROR(INDEX(catComida,MATCH(D3896,catNom,0))&amp;"",""))</f>
        <v/>
      </c>
      <c r="N3896" s="19">
        <f>IF(I3896="","",IFERROR(INDEX(ctaMon,MATCH(E3896,ctaNom,0))&amp;"","DOP"))</f>
        <v/>
      </c>
      <c r="O3896" s="20">
        <f>IF(I3896="","",C3896*IF(N3896="USD",TasaUSD,1))</f>
        <v/>
      </c>
      <c r="P3896" s="20">
        <f>IF(I3896="","",IF(I3896="Gasto",O3896,0))</f>
        <v/>
      </c>
      <c r="Q3896" s="20">
        <f>IF(I3896="","",IF(I3896="Ingreso",O3896,0))</f>
        <v/>
      </c>
      <c r="R3896" s="20">
        <f>IF(I3896="","",IF(I3896="Trading",O3896,0))</f>
        <v/>
      </c>
      <c r="S3896" s="19">
        <f>IF(I3896="","",IF(AND(I3896="Gasto",K3896="Variable",J3896&lt;&gt;"Trading",O3896&gt;0,O3896&lt;=Umbral),1,0))</f>
        <v/>
      </c>
      <c r="T3896" s="20">
        <f>IF(OR(I3896="",E3896=""),"",IF(OR(I3896="Gasto",I3896="Transferencia",I3896="Pago tarjeta"),-1,1)*C3896)</f>
        <v/>
      </c>
      <c r="U3896" s="20">
        <f>IF(OR(G3896="",AND(I3896&lt;&gt;"Transferencia",I3896&lt;&gt;"Pago tarjeta")),"",IF(IFERROR(INDEX(ctaMon,MATCH(G3896,ctaNom,0))&amp;"","DOP")=N3896,C3896,IF(N3896="USD",C3896*TasaUSD,C3896/TasaUSD)))</f>
        <v/>
      </c>
      <c r="V3896" s="20">
        <f>IF(I3896="","",IF(IFERROR(INDEX(ctaLiq,MATCH(E3896,ctaNom,0))="Sí",FALSE),IF(OR(I3896="Gasto",I3896="Transferencia",I3896="Pago tarjeta"),-1,1)*O3896,0)+IF(AND(U3896&lt;&gt;"",IFERROR(INDEX(ctaLiq,MATCH(G3896,ctaNom,0))="Sí",FALSE)),O3896,0))</f>
        <v/>
      </c>
      <c r="W3896" s="19">
        <f>IF(OR(F3896="",I3896=""),"",IF(COUNTIFS(F$6:F3896,F3896,I$6:I3896,"?*")=1,MAX(W$5:W3895)+1,""))</f>
        <v/>
      </c>
    </row>
    <row r="3897">
      <c r="B3897" s="15" t="n"/>
      <c r="C3897" s="16" t="n"/>
      <c r="D3897" s="17" t="n"/>
      <c r="E3897" s="17" t="n"/>
      <c r="F3897" s="17" t="n"/>
      <c r="G3897" s="17" t="n"/>
      <c r="H3897" s="18">
        <f>IF(AND(B3897="",C3897="",D3897="",E3897=""),"",IF(B3897="","⚠ Falta fecha",IF(C3897="","⚠ Falta monto",IF(D3897="","⚠ Falta categoría",IF(ISNA(MATCH(D3897,catNom,0)),"⚠ Categoría no existe",IF(E3897="","⚠ Falta cuenta",IF(ISNA(MATCH(E3897,ctaNom,0)),"⚠ Cuenta no existe",IF(AND(OR(I3897="Transferencia",I3897="Pago tarjeta"),G3897=""),"⚠ Indica la cuenta «Hacia»",IF(AND(G3897&lt;&gt;"",G3897=E3897),"⚠ «Hacia» igual a la cuenta",IF(AND(G3897&lt;&gt;"",ISNA(MATCH(G3897,ctaNom,0))),"⚠ «Hacia» no existe",IF(AND(I3897="Pago tarjeta",IFERROR(INDEX(ctaTipo,MATCH(G3897,ctaNom,0)),"")&lt;&gt;"Tarjeta de crédito"),"⚠ «Hacia» debe ser la tarjeta",IF(AND(I3897="Trading",IFERROR(INDEX(ctaTipo,MATCH(E3897,ctaNom,0)),"")&lt;&gt;"Cuenta de trading"),"⚠ Usa la cuenta de trading","✓"))))))))))))</f>
        <v/>
      </c>
      <c r="I3897" s="19">
        <f>IF(OR(B3897="",C3897="",D3897=""),"",IFERROR(INDEX(catTipo,MATCH(D3897,catNom,0))&amp;"",""))</f>
        <v/>
      </c>
      <c r="J3897" s="19">
        <f>IF(I3897="","",IFERROR(INDEX(catGrupo,MATCH(D3897,catNom,0))&amp;"",""))</f>
        <v/>
      </c>
      <c r="K3897" s="19">
        <f>IF(I3897="Gasto",IF(IFERROR(INDEX(catClas,MATCH(D3897,catNom,0))&amp;"","")="","Variable",IFERROR(INDEX(catClas,MATCH(D3897,catNom,0))&amp;"","")),"")</f>
        <v/>
      </c>
      <c r="L3897" s="19">
        <f>IF(I3897="","",IFERROR(INDEX(catAlim,MATCH(D3897,catNom,0))&amp;"",""))</f>
        <v/>
      </c>
      <c r="M3897" s="19">
        <f>IF(I3897="","",IFERROR(INDEX(catComida,MATCH(D3897,catNom,0))&amp;"",""))</f>
        <v/>
      </c>
      <c r="N3897" s="19">
        <f>IF(I3897="","",IFERROR(INDEX(ctaMon,MATCH(E3897,ctaNom,0))&amp;"","DOP"))</f>
        <v/>
      </c>
      <c r="O3897" s="20">
        <f>IF(I3897="","",C3897*IF(N3897="USD",TasaUSD,1))</f>
        <v/>
      </c>
      <c r="P3897" s="20">
        <f>IF(I3897="","",IF(I3897="Gasto",O3897,0))</f>
        <v/>
      </c>
      <c r="Q3897" s="20">
        <f>IF(I3897="","",IF(I3897="Ingreso",O3897,0))</f>
        <v/>
      </c>
      <c r="R3897" s="20">
        <f>IF(I3897="","",IF(I3897="Trading",O3897,0))</f>
        <v/>
      </c>
      <c r="S3897" s="19">
        <f>IF(I3897="","",IF(AND(I3897="Gasto",K3897="Variable",J3897&lt;&gt;"Trading",O3897&gt;0,O3897&lt;=Umbral),1,0))</f>
        <v/>
      </c>
      <c r="T3897" s="20">
        <f>IF(OR(I3897="",E3897=""),"",IF(OR(I3897="Gasto",I3897="Transferencia",I3897="Pago tarjeta"),-1,1)*C3897)</f>
        <v/>
      </c>
      <c r="U3897" s="20">
        <f>IF(OR(G3897="",AND(I3897&lt;&gt;"Transferencia",I3897&lt;&gt;"Pago tarjeta")),"",IF(IFERROR(INDEX(ctaMon,MATCH(G3897,ctaNom,0))&amp;"","DOP")=N3897,C3897,IF(N3897="USD",C3897*TasaUSD,C3897/TasaUSD)))</f>
        <v/>
      </c>
      <c r="V3897" s="20">
        <f>IF(I3897="","",IF(IFERROR(INDEX(ctaLiq,MATCH(E3897,ctaNom,0))="Sí",FALSE),IF(OR(I3897="Gasto",I3897="Transferencia",I3897="Pago tarjeta"),-1,1)*O3897,0)+IF(AND(U3897&lt;&gt;"",IFERROR(INDEX(ctaLiq,MATCH(G3897,ctaNom,0))="Sí",FALSE)),O3897,0))</f>
        <v/>
      </c>
      <c r="W3897" s="19">
        <f>IF(OR(F3897="",I3897=""),"",IF(COUNTIFS(F$6:F3897,F3897,I$6:I3897,"?*")=1,MAX(W$5:W3896)+1,""))</f>
        <v/>
      </c>
    </row>
    <row r="3898">
      <c r="B3898" s="15" t="n"/>
      <c r="C3898" s="16" t="n"/>
      <c r="D3898" s="17" t="n"/>
      <c r="E3898" s="17" t="n"/>
      <c r="F3898" s="17" t="n"/>
      <c r="G3898" s="17" t="n"/>
      <c r="H3898" s="18">
        <f>IF(AND(B3898="",C3898="",D3898="",E3898=""),"",IF(B3898="","⚠ Falta fecha",IF(C3898="","⚠ Falta monto",IF(D3898="","⚠ Falta categoría",IF(ISNA(MATCH(D3898,catNom,0)),"⚠ Categoría no existe",IF(E3898="","⚠ Falta cuenta",IF(ISNA(MATCH(E3898,ctaNom,0)),"⚠ Cuenta no existe",IF(AND(OR(I3898="Transferencia",I3898="Pago tarjeta"),G3898=""),"⚠ Indica la cuenta «Hacia»",IF(AND(G3898&lt;&gt;"",G3898=E3898),"⚠ «Hacia» igual a la cuenta",IF(AND(G3898&lt;&gt;"",ISNA(MATCH(G3898,ctaNom,0))),"⚠ «Hacia» no existe",IF(AND(I3898="Pago tarjeta",IFERROR(INDEX(ctaTipo,MATCH(G3898,ctaNom,0)),"")&lt;&gt;"Tarjeta de crédito"),"⚠ «Hacia» debe ser la tarjeta",IF(AND(I3898="Trading",IFERROR(INDEX(ctaTipo,MATCH(E3898,ctaNom,0)),"")&lt;&gt;"Cuenta de trading"),"⚠ Usa la cuenta de trading","✓"))))))))))))</f>
        <v/>
      </c>
      <c r="I3898" s="19">
        <f>IF(OR(B3898="",C3898="",D3898=""),"",IFERROR(INDEX(catTipo,MATCH(D3898,catNom,0))&amp;"",""))</f>
        <v/>
      </c>
      <c r="J3898" s="19">
        <f>IF(I3898="","",IFERROR(INDEX(catGrupo,MATCH(D3898,catNom,0))&amp;"",""))</f>
        <v/>
      </c>
      <c r="K3898" s="19">
        <f>IF(I3898="Gasto",IF(IFERROR(INDEX(catClas,MATCH(D3898,catNom,0))&amp;"","")="","Variable",IFERROR(INDEX(catClas,MATCH(D3898,catNom,0))&amp;"","")),"")</f>
        <v/>
      </c>
      <c r="L3898" s="19">
        <f>IF(I3898="","",IFERROR(INDEX(catAlim,MATCH(D3898,catNom,0))&amp;"",""))</f>
        <v/>
      </c>
      <c r="M3898" s="19">
        <f>IF(I3898="","",IFERROR(INDEX(catComida,MATCH(D3898,catNom,0))&amp;"",""))</f>
        <v/>
      </c>
      <c r="N3898" s="19">
        <f>IF(I3898="","",IFERROR(INDEX(ctaMon,MATCH(E3898,ctaNom,0))&amp;"","DOP"))</f>
        <v/>
      </c>
      <c r="O3898" s="20">
        <f>IF(I3898="","",C3898*IF(N3898="USD",TasaUSD,1))</f>
        <v/>
      </c>
      <c r="P3898" s="20">
        <f>IF(I3898="","",IF(I3898="Gasto",O3898,0))</f>
        <v/>
      </c>
      <c r="Q3898" s="20">
        <f>IF(I3898="","",IF(I3898="Ingreso",O3898,0))</f>
        <v/>
      </c>
      <c r="R3898" s="20">
        <f>IF(I3898="","",IF(I3898="Trading",O3898,0))</f>
        <v/>
      </c>
      <c r="S3898" s="19">
        <f>IF(I3898="","",IF(AND(I3898="Gasto",K3898="Variable",J3898&lt;&gt;"Trading",O3898&gt;0,O3898&lt;=Umbral),1,0))</f>
        <v/>
      </c>
      <c r="T3898" s="20">
        <f>IF(OR(I3898="",E3898=""),"",IF(OR(I3898="Gasto",I3898="Transferencia",I3898="Pago tarjeta"),-1,1)*C3898)</f>
        <v/>
      </c>
      <c r="U3898" s="20">
        <f>IF(OR(G3898="",AND(I3898&lt;&gt;"Transferencia",I3898&lt;&gt;"Pago tarjeta")),"",IF(IFERROR(INDEX(ctaMon,MATCH(G3898,ctaNom,0))&amp;"","DOP")=N3898,C3898,IF(N3898="USD",C3898*TasaUSD,C3898/TasaUSD)))</f>
        <v/>
      </c>
      <c r="V3898" s="20">
        <f>IF(I3898="","",IF(IFERROR(INDEX(ctaLiq,MATCH(E3898,ctaNom,0))="Sí",FALSE),IF(OR(I3898="Gasto",I3898="Transferencia",I3898="Pago tarjeta"),-1,1)*O3898,0)+IF(AND(U3898&lt;&gt;"",IFERROR(INDEX(ctaLiq,MATCH(G3898,ctaNom,0))="Sí",FALSE)),O3898,0))</f>
        <v/>
      </c>
      <c r="W3898" s="19">
        <f>IF(OR(F3898="",I3898=""),"",IF(COUNTIFS(F$6:F3898,F3898,I$6:I3898,"?*")=1,MAX(W$5:W3897)+1,""))</f>
        <v/>
      </c>
    </row>
    <row r="3899">
      <c r="B3899" s="15" t="n"/>
      <c r="C3899" s="16" t="n"/>
      <c r="D3899" s="17" t="n"/>
      <c r="E3899" s="17" t="n"/>
      <c r="F3899" s="17" t="n"/>
      <c r="G3899" s="17" t="n"/>
      <c r="H3899" s="18">
        <f>IF(AND(B3899="",C3899="",D3899="",E3899=""),"",IF(B3899="","⚠ Falta fecha",IF(C3899="","⚠ Falta monto",IF(D3899="","⚠ Falta categoría",IF(ISNA(MATCH(D3899,catNom,0)),"⚠ Categoría no existe",IF(E3899="","⚠ Falta cuenta",IF(ISNA(MATCH(E3899,ctaNom,0)),"⚠ Cuenta no existe",IF(AND(OR(I3899="Transferencia",I3899="Pago tarjeta"),G3899=""),"⚠ Indica la cuenta «Hacia»",IF(AND(G3899&lt;&gt;"",G3899=E3899),"⚠ «Hacia» igual a la cuenta",IF(AND(G3899&lt;&gt;"",ISNA(MATCH(G3899,ctaNom,0))),"⚠ «Hacia» no existe",IF(AND(I3899="Pago tarjeta",IFERROR(INDEX(ctaTipo,MATCH(G3899,ctaNom,0)),"")&lt;&gt;"Tarjeta de crédito"),"⚠ «Hacia» debe ser la tarjeta",IF(AND(I3899="Trading",IFERROR(INDEX(ctaTipo,MATCH(E3899,ctaNom,0)),"")&lt;&gt;"Cuenta de trading"),"⚠ Usa la cuenta de trading","✓"))))))))))))</f>
        <v/>
      </c>
      <c r="I3899" s="19">
        <f>IF(OR(B3899="",C3899="",D3899=""),"",IFERROR(INDEX(catTipo,MATCH(D3899,catNom,0))&amp;"",""))</f>
        <v/>
      </c>
      <c r="J3899" s="19">
        <f>IF(I3899="","",IFERROR(INDEX(catGrupo,MATCH(D3899,catNom,0))&amp;"",""))</f>
        <v/>
      </c>
      <c r="K3899" s="19">
        <f>IF(I3899="Gasto",IF(IFERROR(INDEX(catClas,MATCH(D3899,catNom,0))&amp;"","")="","Variable",IFERROR(INDEX(catClas,MATCH(D3899,catNom,0))&amp;"","")),"")</f>
        <v/>
      </c>
      <c r="L3899" s="19">
        <f>IF(I3899="","",IFERROR(INDEX(catAlim,MATCH(D3899,catNom,0))&amp;"",""))</f>
        <v/>
      </c>
      <c r="M3899" s="19">
        <f>IF(I3899="","",IFERROR(INDEX(catComida,MATCH(D3899,catNom,0))&amp;"",""))</f>
        <v/>
      </c>
      <c r="N3899" s="19">
        <f>IF(I3899="","",IFERROR(INDEX(ctaMon,MATCH(E3899,ctaNom,0))&amp;"","DOP"))</f>
        <v/>
      </c>
      <c r="O3899" s="20">
        <f>IF(I3899="","",C3899*IF(N3899="USD",TasaUSD,1))</f>
        <v/>
      </c>
      <c r="P3899" s="20">
        <f>IF(I3899="","",IF(I3899="Gasto",O3899,0))</f>
        <v/>
      </c>
      <c r="Q3899" s="20">
        <f>IF(I3899="","",IF(I3899="Ingreso",O3899,0))</f>
        <v/>
      </c>
      <c r="R3899" s="20">
        <f>IF(I3899="","",IF(I3899="Trading",O3899,0))</f>
        <v/>
      </c>
      <c r="S3899" s="19">
        <f>IF(I3899="","",IF(AND(I3899="Gasto",K3899="Variable",J3899&lt;&gt;"Trading",O3899&gt;0,O3899&lt;=Umbral),1,0))</f>
        <v/>
      </c>
      <c r="T3899" s="20">
        <f>IF(OR(I3899="",E3899=""),"",IF(OR(I3899="Gasto",I3899="Transferencia",I3899="Pago tarjeta"),-1,1)*C3899)</f>
        <v/>
      </c>
      <c r="U3899" s="20">
        <f>IF(OR(G3899="",AND(I3899&lt;&gt;"Transferencia",I3899&lt;&gt;"Pago tarjeta")),"",IF(IFERROR(INDEX(ctaMon,MATCH(G3899,ctaNom,0))&amp;"","DOP")=N3899,C3899,IF(N3899="USD",C3899*TasaUSD,C3899/TasaUSD)))</f>
        <v/>
      </c>
      <c r="V3899" s="20">
        <f>IF(I3899="","",IF(IFERROR(INDEX(ctaLiq,MATCH(E3899,ctaNom,0))="Sí",FALSE),IF(OR(I3899="Gasto",I3899="Transferencia",I3899="Pago tarjeta"),-1,1)*O3899,0)+IF(AND(U3899&lt;&gt;"",IFERROR(INDEX(ctaLiq,MATCH(G3899,ctaNom,0))="Sí",FALSE)),O3899,0))</f>
        <v/>
      </c>
      <c r="W3899" s="19">
        <f>IF(OR(F3899="",I3899=""),"",IF(COUNTIFS(F$6:F3899,F3899,I$6:I3899,"?*")=1,MAX(W$5:W3898)+1,""))</f>
        <v/>
      </c>
    </row>
    <row r="3900">
      <c r="B3900" s="15" t="n"/>
      <c r="C3900" s="16" t="n"/>
      <c r="D3900" s="17" t="n"/>
      <c r="E3900" s="17" t="n"/>
      <c r="F3900" s="17" t="n"/>
      <c r="G3900" s="17" t="n"/>
      <c r="H3900" s="18">
        <f>IF(AND(B3900="",C3900="",D3900="",E3900=""),"",IF(B3900="","⚠ Falta fecha",IF(C3900="","⚠ Falta monto",IF(D3900="","⚠ Falta categoría",IF(ISNA(MATCH(D3900,catNom,0)),"⚠ Categoría no existe",IF(E3900="","⚠ Falta cuenta",IF(ISNA(MATCH(E3900,ctaNom,0)),"⚠ Cuenta no existe",IF(AND(OR(I3900="Transferencia",I3900="Pago tarjeta"),G3900=""),"⚠ Indica la cuenta «Hacia»",IF(AND(G3900&lt;&gt;"",G3900=E3900),"⚠ «Hacia» igual a la cuenta",IF(AND(G3900&lt;&gt;"",ISNA(MATCH(G3900,ctaNom,0))),"⚠ «Hacia» no existe",IF(AND(I3900="Pago tarjeta",IFERROR(INDEX(ctaTipo,MATCH(G3900,ctaNom,0)),"")&lt;&gt;"Tarjeta de crédito"),"⚠ «Hacia» debe ser la tarjeta",IF(AND(I3900="Trading",IFERROR(INDEX(ctaTipo,MATCH(E3900,ctaNom,0)),"")&lt;&gt;"Cuenta de trading"),"⚠ Usa la cuenta de trading","✓"))))))))))))</f>
        <v/>
      </c>
      <c r="I3900" s="19">
        <f>IF(OR(B3900="",C3900="",D3900=""),"",IFERROR(INDEX(catTipo,MATCH(D3900,catNom,0))&amp;"",""))</f>
        <v/>
      </c>
      <c r="J3900" s="19">
        <f>IF(I3900="","",IFERROR(INDEX(catGrupo,MATCH(D3900,catNom,0))&amp;"",""))</f>
        <v/>
      </c>
      <c r="K3900" s="19">
        <f>IF(I3900="Gasto",IF(IFERROR(INDEX(catClas,MATCH(D3900,catNom,0))&amp;"","")="","Variable",IFERROR(INDEX(catClas,MATCH(D3900,catNom,0))&amp;"","")),"")</f>
        <v/>
      </c>
      <c r="L3900" s="19">
        <f>IF(I3900="","",IFERROR(INDEX(catAlim,MATCH(D3900,catNom,0))&amp;"",""))</f>
        <v/>
      </c>
      <c r="M3900" s="19">
        <f>IF(I3900="","",IFERROR(INDEX(catComida,MATCH(D3900,catNom,0))&amp;"",""))</f>
        <v/>
      </c>
      <c r="N3900" s="19">
        <f>IF(I3900="","",IFERROR(INDEX(ctaMon,MATCH(E3900,ctaNom,0))&amp;"","DOP"))</f>
        <v/>
      </c>
      <c r="O3900" s="20">
        <f>IF(I3900="","",C3900*IF(N3900="USD",TasaUSD,1))</f>
        <v/>
      </c>
      <c r="P3900" s="20">
        <f>IF(I3900="","",IF(I3900="Gasto",O3900,0))</f>
        <v/>
      </c>
      <c r="Q3900" s="20">
        <f>IF(I3900="","",IF(I3900="Ingreso",O3900,0))</f>
        <v/>
      </c>
      <c r="R3900" s="20">
        <f>IF(I3900="","",IF(I3900="Trading",O3900,0))</f>
        <v/>
      </c>
      <c r="S3900" s="19">
        <f>IF(I3900="","",IF(AND(I3900="Gasto",K3900="Variable",J3900&lt;&gt;"Trading",O3900&gt;0,O3900&lt;=Umbral),1,0))</f>
        <v/>
      </c>
      <c r="T3900" s="20">
        <f>IF(OR(I3900="",E3900=""),"",IF(OR(I3900="Gasto",I3900="Transferencia",I3900="Pago tarjeta"),-1,1)*C3900)</f>
        <v/>
      </c>
      <c r="U3900" s="20">
        <f>IF(OR(G3900="",AND(I3900&lt;&gt;"Transferencia",I3900&lt;&gt;"Pago tarjeta")),"",IF(IFERROR(INDEX(ctaMon,MATCH(G3900,ctaNom,0))&amp;"","DOP")=N3900,C3900,IF(N3900="USD",C3900*TasaUSD,C3900/TasaUSD)))</f>
        <v/>
      </c>
      <c r="V3900" s="20">
        <f>IF(I3900="","",IF(IFERROR(INDEX(ctaLiq,MATCH(E3900,ctaNom,0))="Sí",FALSE),IF(OR(I3900="Gasto",I3900="Transferencia",I3900="Pago tarjeta"),-1,1)*O3900,0)+IF(AND(U3900&lt;&gt;"",IFERROR(INDEX(ctaLiq,MATCH(G3900,ctaNom,0))="Sí",FALSE)),O3900,0))</f>
        <v/>
      </c>
      <c r="W3900" s="19">
        <f>IF(OR(F3900="",I3900=""),"",IF(COUNTIFS(F$6:F3900,F3900,I$6:I3900,"?*")=1,MAX(W$5:W3899)+1,""))</f>
        <v/>
      </c>
    </row>
    <row r="3901">
      <c r="B3901" s="15" t="n"/>
      <c r="C3901" s="16" t="n"/>
      <c r="D3901" s="17" t="n"/>
      <c r="E3901" s="17" t="n"/>
      <c r="F3901" s="17" t="n"/>
      <c r="G3901" s="17" t="n"/>
      <c r="H3901" s="18">
        <f>IF(AND(B3901="",C3901="",D3901="",E3901=""),"",IF(B3901="","⚠ Falta fecha",IF(C3901="","⚠ Falta monto",IF(D3901="","⚠ Falta categoría",IF(ISNA(MATCH(D3901,catNom,0)),"⚠ Categoría no existe",IF(E3901="","⚠ Falta cuenta",IF(ISNA(MATCH(E3901,ctaNom,0)),"⚠ Cuenta no existe",IF(AND(OR(I3901="Transferencia",I3901="Pago tarjeta"),G3901=""),"⚠ Indica la cuenta «Hacia»",IF(AND(G3901&lt;&gt;"",G3901=E3901),"⚠ «Hacia» igual a la cuenta",IF(AND(G3901&lt;&gt;"",ISNA(MATCH(G3901,ctaNom,0))),"⚠ «Hacia» no existe",IF(AND(I3901="Pago tarjeta",IFERROR(INDEX(ctaTipo,MATCH(G3901,ctaNom,0)),"")&lt;&gt;"Tarjeta de crédito"),"⚠ «Hacia» debe ser la tarjeta",IF(AND(I3901="Trading",IFERROR(INDEX(ctaTipo,MATCH(E3901,ctaNom,0)),"")&lt;&gt;"Cuenta de trading"),"⚠ Usa la cuenta de trading","✓"))))))))))))</f>
        <v/>
      </c>
      <c r="I3901" s="19">
        <f>IF(OR(B3901="",C3901="",D3901=""),"",IFERROR(INDEX(catTipo,MATCH(D3901,catNom,0))&amp;"",""))</f>
        <v/>
      </c>
      <c r="J3901" s="19">
        <f>IF(I3901="","",IFERROR(INDEX(catGrupo,MATCH(D3901,catNom,0))&amp;"",""))</f>
        <v/>
      </c>
      <c r="K3901" s="19">
        <f>IF(I3901="Gasto",IF(IFERROR(INDEX(catClas,MATCH(D3901,catNom,0))&amp;"","")="","Variable",IFERROR(INDEX(catClas,MATCH(D3901,catNom,0))&amp;"","")),"")</f>
        <v/>
      </c>
      <c r="L3901" s="19">
        <f>IF(I3901="","",IFERROR(INDEX(catAlim,MATCH(D3901,catNom,0))&amp;"",""))</f>
        <v/>
      </c>
      <c r="M3901" s="19">
        <f>IF(I3901="","",IFERROR(INDEX(catComida,MATCH(D3901,catNom,0))&amp;"",""))</f>
        <v/>
      </c>
      <c r="N3901" s="19">
        <f>IF(I3901="","",IFERROR(INDEX(ctaMon,MATCH(E3901,ctaNom,0))&amp;"","DOP"))</f>
        <v/>
      </c>
      <c r="O3901" s="20">
        <f>IF(I3901="","",C3901*IF(N3901="USD",TasaUSD,1))</f>
        <v/>
      </c>
      <c r="P3901" s="20">
        <f>IF(I3901="","",IF(I3901="Gasto",O3901,0))</f>
        <v/>
      </c>
      <c r="Q3901" s="20">
        <f>IF(I3901="","",IF(I3901="Ingreso",O3901,0))</f>
        <v/>
      </c>
      <c r="R3901" s="20">
        <f>IF(I3901="","",IF(I3901="Trading",O3901,0))</f>
        <v/>
      </c>
      <c r="S3901" s="19">
        <f>IF(I3901="","",IF(AND(I3901="Gasto",K3901="Variable",J3901&lt;&gt;"Trading",O3901&gt;0,O3901&lt;=Umbral),1,0))</f>
        <v/>
      </c>
      <c r="T3901" s="20">
        <f>IF(OR(I3901="",E3901=""),"",IF(OR(I3901="Gasto",I3901="Transferencia",I3901="Pago tarjeta"),-1,1)*C3901)</f>
        <v/>
      </c>
      <c r="U3901" s="20">
        <f>IF(OR(G3901="",AND(I3901&lt;&gt;"Transferencia",I3901&lt;&gt;"Pago tarjeta")),"",IF(IFERROR(INDEX(ctaMon,MATCH(G3901,ctaNom,0))&amp;"","DOP")=N3901,C3901,IF(N3901="USD",C3901*TasaUSD,C3901/TasaUSD)))</f>
        <v/>
      </c>
      <c r="V3901" s="20">
        <f>IF(I3901="","",IF(IFERROR(INDEX(ctaLiq,MATCH(E3901,ctaNom,0))="Sí",FALSE),IF(OR(I3901="Gasto",I3901="Transferencia",I3901="Pago tarjeta"),-1,1)*O3901,0)+IF(AND(U3901&lt;&gt;"",IFERROR(INDEX(ctaLiq,MATCH(G3901,ctaNom,0))="Sí",FALSE)),O3901,0))</f>
        <v/>
      </c>
      <c r="W3901" s="19">
        <f>IF(OR(F3901="",I3901=""),"",IF(COUNTIFS(F$6:F3901,F3901,I$6:I3901,"?*")=1,MAX(W$5:W3900)+1,""))</f>
        <v/>
      </c>
    </row>
    <row r="3902">
      <c r="B3902" s="15" t="n"/>
      <c r="C3902" s="16" t="n"/>
      <c r="D3902" s="17" t="n"/>
      <c r="E3902" s="17" t="n"/>
      <c r="F3902" s="17" t="n"/>
      <c r="G3902" s="17" t="n"/>
      <c r="H3902" s="18">
        <f>IF(AND(B3902="",C3902="",D3902="",E3902=""),"",IF(B3902="","⚠ Falta fecha",IF(C3902="","⚠ Falta monto",IF(D3902="","⚠ Falta categoría",IF(ISNA(MATCH(D3902,catNom,0)),"⚠ Categoría no existe",IF(E3902="","⚠ Falta cuenta",IF(ISNA(MATCH(E3902,ctaNom,0)),"⚠ Cuenta no existe",IF(AND(OR(I3902="Transferencia",I3902="Pago tarjeta"),G3902=""),"⚠ Indica la cuenta «Hacia»",IF(AND(G3902&lt;&gt;"",G3902=E3902),"⚠ «Hacia» igual a la cuenta",IF(AND(G3902&lt;&gt;"",ISNA(MATCH(G3902,ctaNom,0))),"⚠ «Hacia» no existe",IF(AND(I3902="Pago tarjeta",IFERROR(INDEX(ctaTipo,MATCH(G3902,ctaNom,0)),"")&lt;&gt;"Tarjeta de crédito"),"⚠ «Hacia» debe ser la tarjeta",IF(AND(I3902="Trading",IFERROR(INDEX(ctaTipo,MATCH(E3902,ctaNom,0)),"")&lt;&gt;"Cuenta de trading"),"⚠ Usa la cuenta de trading","✓"))))))))))))</f>
        <v/>
      </c>
      <c r="I3902" s="19">
        <f>IF(OR(B3902="",C3902="",D3902=""),"",IFERROR(INDEX(catTipo,MATCH(D3902,catNom,0))&amp;"",""))</f>
        <v/>
      </c>
      <c r="J3902" s="19">
        <f>IF(I3902="","",IFERROR(INDEX(catGrupo,MATCH(D3902,catNom,0))&amp;"",""))</f>
        <v/>
      </c>
      <c r="K3902" s="19">
        <f>IF(I3902="Gasto",IF(IFERROR(INDEX(catClas,MATCH(D3902,catNom,0))&amp;"","")="","Variable",IFERROR(INDEX(catClas,MATCH(D3902,catNom,0))&amp;"","")),"")</f>
        <v/>
      </c>
      <c r="L3902" s="19">
        <f>IF(I3902="","",IFERROR(INDEX(catAlim,MATCH(D3902,catNom,0))&amp;"",""))</f>
        <v/>
      </c>
      <c r="M3902" s="19">
        <f>IF(I3902="","",IFERROR(INDEX(catComida,MATCH(D3902,catNom,0))&amp;"",""))</f>
        <v/>
      </c>
      <c r="N3902" s="19">
        <f>IF(I3902="","",IFERROR(INDEX(ctaMon,MATCH(E3902,ctaNom,0))&amp;"","DOP"))</f>
        <v/>
      </c>
      <c r="O3902" s="20">
        <f>IF(I3902="","",C3902*IF(N3902="USD",TasaUSD,1))</f>
        <v/>
      </c>
      <c r="P3902" s="20">
        <f>IF(I3902="","",IF(I3902="Gasto",O3902,0))</f>
        <v/>
      </c>
      <c r="Q3902" s="20">
        <f>IF(I3902="","",IF(I3902="Ingreso",O3902,0))</f>
        <v/>
      </c>
      <c r="R3902" s="20">
        <f>IF(I3902="","",IF(I3902="Trading",O3902,0))</f>
        <v/>
      </c>
      <c r="S3902" s="19">
        <f>IF(I3902="","",IF(AND(I3902="Gasto",K3902="Variable",J3902&lt;&gt;"Trading",O3902&gt;0,O3902&lt;=Umbral),1,0))</f>
        <v/>
      </c>
      <c r="T3902" s="20">
        <f>IF(OR(I3902="",E3902=""),"",IF(OR(I3902="Gasto",I3902="Transferencia",I3902="Pago tarjeta"),-1,1)*C3902)</f>
        <v/>
      </c>
      <c r="U3902" s="20">
        <f>IF(OR(G3902="",AND(I3902&lt;&gt;"Transferencia",I3902&lt;&gt;"Pago tarjeta")),"",IF(IFERROR(INDEX(ctaMon,MATCH(G3902,ctaNom,0))&amp;"","DOP")=N3902,C3902,IF(N3902="USD",C3902*TasaUSD,C3902/TasaUSD)))</f>
        <v/>
      </c>
      <c r="V3902" s="20">
        <f>IF(I3902="","",IF(IFERROR(INDEX(ctaLiq,MATCH(E3902,ctaNom,0))="Sí",FALSE),IF(OR(I3902="Gasto",I3902="Transferencia",I3902="Pago tarjeta"),-1,1)*O3902,0)+IF(AND(U3902&lt;&gt;"",IFERROR(INDEX(ctaLiq,MATCH(G3902,ctaNom,0))="Sí",FALSE)),O3902,0))</f>
        <v/>
      </c>
      <c r="W3902" s="19">
        <f>IF(OR(F3902="",I3902=""),"",IF(COUNTIFS(F$6:F3902,F3902,I$6:I3902,"?*")=1,MAX(W$5:W3901)+1,""))</f>
        <v/>
      </c>
    </row>
    <row r="3903">
      <c r="B3903" s="15" t="n"/>
      <c r="C3903" s="16" t="n"/>
      <c r="D3903" s="17" t="n"/>
      <c r="E3903" s="17" t="n"/>
      <c r="F3903" s="17" t="n"/>
      <c r="G3903" s="17" t="n"/>
      <c r="H3903" s="18">
        <f>IF(AND(B3903="",C3903="",D3903="",E3903=""),"",IF(B3903="","⚠ Falta fecha",IF(C3903="","⚠ Falta monto",IF(D3903="","⚠ Falta categoría",IF(ISNA(MATCH(D3903,catNom,0)),"⚠ Categoría no existe",IF(E3903="","⚠ Falta cuenta",IF(ISNA(MATCH(E3903,ctaNom,0)),"⚠ Cuenta no existe",IF(AND(OR(I3903="Transferencia",I3903="Pago tarjeta"),G3903=""),"⚠ Indica la cuenta «Hacia»",IF(AND(G3903&lt;&gt;"",G3903=E3903),"⚠ «Hacia» igual a la cuenta",IF(AND(G3903&lt;&gt;"",ISNA(MATCH(G3903,ctaNom,0))),"⚠ «Hacia» no existe",IF(AND(I3903="Pago tarjeta",IFERROR(INDEX(ctaTipo,MATCH(G3903,ctaNom,0)),"")&lt;&gt;"Tarjeta de crédito"),"⚠ «Hacia» debe ser la tarjeta",IF(AND(I3903="Trading",IFERROR(INDEX(ctaTipo,MATCH(E3903,ctaNom,0)),"")&lt;&gt;"Cuenta de trading"),"⚠ Usa la cuenta de trading","✓"))))))))))))</f>
        <v/>
      </c>
      <c r="I3903" s="19">
        <f>IF(OR(B3903="",C3903="",D3903=""),"",IFERROR(INDEX(catTipo,MATCH(D3903,catNom,0))&amp;"",""))</f>
        <v/>
      </c>
      <c r="J3903" s="19">
        <f>IF(I3903="","",IFERROR(INDEX(catGrupo,MATCH(D3903,catNom,0))&amp;"",""))</f>
        <v/>
      </c>
      <c r="K3903" s="19">
        <f>IF(I3903="Gasto",IF(IFERROR(INDEX(catClas,MATCH(D3903,catNom,0))&amp;"","")="","Variable",IFERROR(INDEX(catClas,MATCH(D3903,catNom,0))&amp;"","")),"")</f>
        <v/>
      </c>
      <c r="L3903" s="19">
        <f>IF(I3903="","",IFERROR(INDEX(catAlim,MATCH(D3903,catNom,0))&amp;"",""))</f>
        <v/>
      </c>
      <c r="M3903" s="19">
        <f>IF(I3903="","",IFERROR(INDEX(catComida,MATCH(D3903,catNom,0))&amp;"",""))</f>
        <v/>
      </c>
      <c r="N3903" s="19">
        <f>IF(I3903="","",IFERROR(INDEX(ctaMon,MATCH(E3903,ctaNom,0))&amp;"","DOP"))</f>
        <v/>
      </c>
      <c r="O3903" s="20">
        <f>IF(I3903="","",C3903*IF(N3903="USD",TasaUSD,1))</f>
        <v/>
      </c>
      <c r="P3903" s="20">
        <f>IF(I3903="","",IF(I3903="Gasto",O3903,0))</f>
        <v/>
      </c>
      <c r="Q3903" s="20">
        <f>IF(I3903="","",IF(I3903="Ingreso",O3903,0))</f>
        <v/>
      </c>
      <c r="R3903" s="20">
        <f>IF(I3903="","",IF(I3903="Trading",O3903,0))</f>
        <v/>
      </c>
      <c r="S3903" s="19">
        <f>IF(I3903="","",IF(AND(I3903="Gasto",K3903="Variable",J3903&lt;&gt;"Trading",O3903&gt;0,O3903&lt;=Umbral),1,0))</f>
        <v/>
      </c>
      <c r="T3903" s="20">
        <f>IF(OR(I3903="",E3903=""),"",IF(OR(I3903="Gasto",I3903="Transferencia",I3903="Pago tarjeta"),-1,1)*C3903)</f>
        <v/>
      </c>
      <c r="U3903" s="20">
        <f>IF(OR(G3903="",AND(I3903&lt;&gt;"Transferencia",I3903&lt;&gt;"Pago tarjeta")),"",IF(IFERROR(INDEX(ctaMon,MATCH(G3903,ctaNom,0))&amp;"","DOP")=N3903,C3903,IF(N3903="USD",C3903*TasaUSD,C3903/TasaUSD)))</f>
        <v/>
      </c>
      <c r="V3903" s="20">
        <f>IF(I3903="","",IF(IFERROR(INDEX(ctaLiq,MATCH(E3903,ctaNom,0))="Sí",FALSE),IF(OR(I3903="Gasto",I3903="Transferencia",I3903="Pago tarjeta"),-1,1)*O3903,0)+IF(AND(U3903&lt;&gt;"",IFERROR(INDEX(ctaLiq,MATCH(G3903,ctaNom,0))="Sí",FALSE)),O3903,0))</f>
        <v/>
      </c>
      <c r="W3903" s="19">
        <f>IF(OR(F3903="",I3903=""),"",IF(COUNTIFS(F$6:F3903,F3903,I$6:I3903,"?*")=1,MAX(W$5:W3902)+1,""))</f>
        <v/>
      </c>
    </row>
    <row r="3904">
      <c r="B3904" s="15" t="n"/>
      <c r="C3904" s="16" t="n"/>
      <c r="D3904" s="17" t="n"/>
      <c r="E3904" s="17" t="n"/>
      <c r="F3904" s="17" t="n"/>
      <c r="G3904" s="17" t="n"/>
      <c r="H3904" s="18">
        <f>IF(AND(B3904="",C3904="",D3904="",E3904=""),"",IF(B3904="","⚠ Falta fecha",IF(C3904="","⚠ Falta monto",IF(D3904="","⚠ Falta categoría",IF(ISNA(MATCH(D3904,catNom,0)),"⚠ Categoría no existe",IF(E3904="","⚠ Falta cuenta",IF(ISNA(MATCH(E3904,ctaNom,0)),"⚠ Cuenta no existe",IF(AND(OR(I3904="Transferencia",I3904="Pago tarjeta"),G3904=""),"⚠ Indica la cuenta «Hacia»",IF(AND(G3904&lt;&gt;"",G3904=E3904),"⚠ «Hacia» igual a la cuenta",IF(AND(G3904&lt;&gt;"",ISNA(MATCH(G3904,ctaNom,0))),"⚠ «Hacia» no existe",IF(AND(I3904="Pago tarjeta",IFERROR(INDEX(ctaTipo,MATCH(G3904,ctaNom,0)),"")&lt;&gt;"Tarjeta de crédito"),"⚠ «Hacia» debe ser la tarjeta",IF(AND(I3904="Trading",IFERROR(INDEX(ctaTipo,MATCH(E3904,ctaNom,0)),"")&lt;&gt;"Cuenta de trading"),"⚠ Usa la cuenta de trading","✓"))))))))))))</f>
        <v/>
      </c>
      <c r="I3904" s="19">
        <f>IF(OR(B3904="",C3904="",D3904=""),"",IFERROR(INDEX(catTipo,MATCH(D3904,catNom,0))&amp;"",""))</f>
        <v/>
      </c>
      <c r="J3904" s="19">
        <f>IF(I3904="","",IFERROR(INDEX(catGrupo,MATCH(D3904,catNom,0))&amp;"",""))</f>
        <v/>
      </c>
      <c r="K3904" s="19">
        <f>IF(I3904="Gasto",IF(IFERROR(INDEX(catClas,MATCH(D3904,catNom,0))&amp;"","")="","Variable",IFERROR(INDEX(catClas,MATCH(D3904,catNom,0))&amp;"","")),"")</f>
        <v/>
      </c>
      <c r="L3904" s="19">
        <f>IF(I3904="","",IFERROR(INDEX(catAlim,MATCH(D3904,catNom,0))&amp;"",""))</f>
        <v/>
      </c>
      <c r="M3904" s="19">
        <f>IF(I3904="","",IFERROR(INDEX(catComida,MATCH(D3904,catNom,0))&amp;"",""))</f>
        <v/>
      </c>
      <c r="N3904" s="19">
        <f>IF(I3904="","",IFERROR(INDEX(ctaMon,MATCH(E3904,ctaNom,0))&amp;"","DOP"))</f>
        <v/>
      </c>
      <c r="O3904" s="20">
        <f>IF(I3904="","",C3904*IF(N3904="USD",TasaUSD,1))</f>
        <v/>
      </c>
      <c r="P3904" s="20">
        <f>IF(I3904="","",IF(I3904="Gasto",O3904,0))</f>
        <v/>
      </c>
      <c r="Q3904" s="20">
        <f>IF(I3904="","",IF(I3904="Ingreso",O3904,0))</f>
        <v/>
      </c>
      <c r="R3904" s="20">
        <f>IF(I3904="","",IF(I3904="Trading",O3904,0))</f>
        <v/>
      </c>
      <c r="S3904" s="19">
        <f>IF(I3904="","",IF(AND(I3904="Gasto",K3904="Variable",J3904&lt;&gt;"Trading",O3904&gt;0,O3904&lt;=Umbral),1,0))</f>
        <v/>
      </c>
      <c r="T3904" s="20">
        <f>IF(OR(I3904="",E3904=""),"",IF(OR(I3904="Gasto",I3904="Transferencia",I3904="Pago tarjeta"),-1,1)*C3904)</f>
        <v/>
      </c>
      <c r="U3904" s="20">
        <f>IF(OR(G3904="",AND(I3904&lt;&gt;"Transferencia",I3904&lt;&gt;"Pago tarjeta")),"",IF(IFERROR(INDEX(ctaMon,MATCH(G3904,ctaNom,0))&amp;"","DOP")=N3904,C3904,IF(N3904="USD",C3904*TasaUSD,C3904/TasaUSD)))</f>
        <v/>
      </c>
      <c r="V3904" s="20">
        <f>IF(I3904="","",IF(IFERROR(INDEX(ctaLiq,MATCH(E3904,ctaNom,0))="Sí",FALSE),IF(OR(I3904="Gasto",I3904="Transferencia",I3904="Pago tarjeta"),-1,1)*O3904,0)+IF(AND(U3904&lt;&gt;"",IFERROR(INDEX(ctaLiq,MATCH(G3904,ctaNom,0))="Sí",FALSE)),O3904,0))</f>
        <v/>
      </c>
      <c r="W3904" s="19">
        <f>IF(OR(F3904="",I3904=""),"",IF(COUNTIFS(F$6:F3904,F3904,I$6:I3904,"?*")=1,MAX(W$5:W3903)+1,""))</f>
        <v/>
      </c>
    </row>
    <row r="3905">
      <c r="B3905" s="15" t="n"/>
      <c r="C3905" s="16" t="n"/>
      <c r="D3905" s="17" t="n"/>
      <c r="E3905" s="17" t="n"/>
      <c r="F3905" s="17" t="n"/>
      <c r="G3905" s="17" t="n"/>
      <c r="H3905" s="18">
        <f>IF(AND(B3905="",C3905="",D3905="",E3905=""),"",IF(B3905="","⚠ Falta fecha",IF(C3905="","⚠ Falta monto",IF(D3905="","⚠ Falta categoría",IF(ISNA(MATCH(D3905,catNom,0)),"⚠ Categoría no existe",IF(E3905="","⚠ Falta cuenta",IF(ISNA(MATCH(E3905,ctaNom,0)),"⚠ Cuenta no existe",IF(AND(OR(I3905="Transferencia",I3905="Pago tarjeta"),G3905=""),"⚠ Indica la cuenta «Hacia»",IF(AND(G3905&lt;&gt;"",G3905=E3905),"⚠ «Hacia» igual a la cuenta",IF(AND(G3905&lt;&gt;"",ISNA(MATCH(G3905,ctaNom,0))),"⚠ «Hacia» no existe",IF(AND(I3905="Pago tarjeta",IFERROR(INDEX(ctaTipo,MATCH(G3905,ctaNom,0)),"")&lt;&gt;"Tarjeta de crédito"),"⚠ «Hacia» debe ser la tarjeta",IF(AND(I3905="Trading",IFERROR(INDEX(ctaTipo,MATCH(E3905,ctaNom,0)),"")&lt;&gt;"Cuenta de trading"),"⚠ Usa la cuenta de trading","✓"))))))))))))</f>
        <v/>
      </c>
      <c r="I3905" s="19">
        <f>IF(OR(B3905="",C3905="",D3905=""),"",IFERROR(INDEX(catTipo,MATCH(D3905,catNom,0))&amp;"",""))</f>
        <v/>
      </c>
      <c r="J3905" s="19">
        <f>IF(I3905="","",IFERROR(INDEX(catGrupo,MATCH(D3905,catNom,0))&amp;"",""))</f>
        <v/>
      </c>
      <c r="K3905" s="19">
        <f>IF(I3905="Gasto",IF(IFERROR(INDEX(catClas,MATCH(D3905,catNom,0))&amp;"","")="","Variable",IFERROR(INDEX(catClas,MATCH(D3905,catNom,0))&amp;"","")),"")</f>
        <v/>
      </c>
      <c r="L3905" s="19">
        <f>IF(I3905="","",IFERROR(INDEX(catAlim,MATCH(D3905,catNom,0))&amp;"",""))</f>
        <v/>
      </c>
      <c r="M3905" s="19">
        <f>IF(I3905="","",IFERROR(INDEX(catComida,MATCH(D3905,catNom,0))&amp;"",""))</f>
        <v/>
      </c>
      <c r="N3905" s="19">
        <f>IF(I3905="","",IFERROR(INDEX(ctaMon,MATCH(E3905,ctaNom,0))&amp;"","DOP"))</f>
        <v/>
      </c>
      <c r="O3905" s="20">
        <f>IF(I3905="","",C3905*IF(N3905="USD",TasaUSD,1))</f>
        <v/>
      </c>
      <c r="P3905" s="20">
        <f>IF(I3905="","",IF(I3905="Gasto",O3905,0))</f>
        <v/>
      </c>
      <c r="Q3905" s="20">
        <f>IF(I3905="","",IF(I3905="Ingreso",O3905,0))</f>
        <v/>
      </c>
      <c r="R3905" s="20">
        <f>IF(I3905="","",IF(I3905="Trading",O3905,0))</f>
        <v/>
      </c>
      <c r="S3905" s="19">
        <f>IF(I3905="","",IF(AND(I3905="Gasto",K3905="Variable",J3905&lt;&gt;"Trading",O3905&gt;0,O3905&lt;=Umbral),1,0))</f>
        <v/>
      </c>
      <c r="T3905" s="20">
        <f>IF(OR(I3905="",E3905=""),"",IF(OR(I3905="Gasto",I3905="Transferencia",I3905="Pago tarjeta"),-1,1)*C3905)</f>
        <v/>
      </c>
      <c r="U3905" s="20">
        <f>IF(OR(G3905="",AND(I3905&lt;&gt;"Transferencia",I3905&lt;&gt;"Pago tarjeta")),"",IF(IFERROR(INDEX(ctaMon,MATCH(G3905,ctaNom,0))&amp;"","DOP")=N3905,C3905,IF(N3905="USD",C3905*TasaUSD,C3905/TasaUSD)))</f>
        <v/>
      </c>
      <c r="V3905" s="20">
        <f>IF(I3905="","",IF(IFERROR(INDEX(ctaLiq,MATCH(E3905,ctaNom,0))="Sí",FALSE),IF(OR(I3905="Gasto",I3905="Transferencia",I3905="Pago tarjeta"),-1,1)*O3905,0)+IF(AND(U3905&lt;&gt;"",IFERROR(INDEX(ctaLiq,MATCH(G3905,ctaNom,0))="Sí",FALSE)),O3905,0))</f>
        <v/>
      </c>
      <c r="W3905" s="19">
        <f>IF(OR(F3905="",I3905=""),"",IF(COUNTIFS(F$6:F3905,F3905,I$6:I3905,"?*")=1,MAX(W$5:W3904)+1,""))</f>
        <v/>
      </c>
    </row>
    <row r="3906">
      <c r="B3906" s="15" t="n"/>
      <c r="C3906" s="16" t="n"/>
      <c r="D3906" s="17" t="n"/>
      <c r="E3906" s="17" t="n"/>
      <c r="F3906" s="17" t="n"/>
      <c r="G3906" s="17" t="n"/>
      <c r="H3906" s="18">
        <f>IF(AND(B3906="",C3906="",D3906="",E3906=""),"",IF(B3906="","⚠ Falta fecha",IF(C3906="","⚠ Falta monto",IF(D3906="","⚠ Falta categoría",IF(ISNA(MATCH(D3906,catNom,0)),"⚠ Categoría no existe",IF(E3906="","⚠ Falta cuenta",IF(ISNA(MATCH(E3906,ctaNom,0)),"⚠ Cuenta no existe",IF(AND(OR(I3906="Transferencia",I3906="Pago tarjeta"),G3906=""),"⚠ Indica la cuenta «Hacia»",IF(AND(G3906&lt;&gt;"",G3906=E3906),"⚠ «Hacia» igual a la cuenta",IF(AND(G3906&lt;&gt;"",ISNA(MATCH(G3906,ctaNom,0))),"⚠ «Hacia» no existe",IF(AND(I3906="Pago tarjeta",IFERROR(INDEX(ctaTipo,MATCH(G3906,ctaNom,0)),"")&lt;&gt;"Tarjeta de crédito"),"⚠ «Hacia» debe ser la tarjeta",IF(AND(I3906="Trading",IFERROR(INDEX(ctaTipo,MATCH(E3906,ctaNom,0)),"")&lt;&gt;"Cuenta de trading"),"⚠ Usa la cuenta de trading","✓"))))))))))))</f>
        <v/>
      </c>
      <c r="I3906" s="19">
        <f>IF(OR(B3906="",C3906="",D3906=""),"",IFERROR(INDEX(catTipo,MATCH(D3906,catNom,0))&amp;"",""))</f>
        <v/>
      </c>
      <c r="J3906" s="19">
        <f>IF(I3906="","",IFERROR(INDEX(catGrupo,MATCH(D3906,catNom,0))&amp;"",""))</f>
        <v/>
      </c>
      <c r="K3906" s="19">
        <f>IF(I3906="Gasto",IF(IFERROR(INDEX(catClas,MATCH(D3906,catNom,0))&amp;"","")="","Variable",IFERROR(INDEX(catClas,MATCH(D3906,catNom,0))&amp;"","")),"")</f>
        <v/>
      </c>
      <c r="L3906" s="19">
        <f>IF(I3906="","",IFERROR(INDEX(catAlim,MATCH(D3906,catNom,0))&amp;"",""))</f>
        <v/>
      </c>
      <c r="M3906" s="19">
        <f>IF(I3906="","",IFERROR(INDEX(catComida,MATCH(D3906,catNom,0))&amp;"",""))</f>
        <v/>
      </c>
      <c r="N3906" s="19">
        <f>IF(I3906="","",IFERROR(INDEX(ctaMon,MATCH(E3906,ctaNom,0))&amp;"","DOP"))</f>
        <v/>
      </c>
      <c r="O3906" s="20">
        <f>IF(I3906="","",C3906*IF(N3906="USD",TasaUSD,1))</f>
        <v/>
      </c>
      <c r="P3906" s="20">
        <f>IF(I3906="","",IF(I3906="Gasto",O3906,0))</f>
        <v/>
      </c>
      <c r="Q3906" s="20">
        <f>IF(I3906="","",IF(I3906="Ingreso",O3906,0))</f>
        <v/>
      </c>
      <c r="R3906" s="20">
        <f>IF(I3906="","",IF(I3906="Trading",O3906,0))</f>
        <v/>
      </c>
      <c r="S3906" s="19">
        <f>IF(I3906="","",IF(AND(I3906="Gasto",K3906="Variable",J3906&lt;&gt;"Trading",O3906&gt;0,O3906&lt;=Umbral),1,0))</f>
        <v/>
      </c>
      <c r="T3906" s="20">
        <f>IF(OR(I3906="",E3906=""),"",IF(OR(I3906="Gasto",I3906="Transferencia",I3906="Pago tarjeta"),-1,1)*C3906)</f>
        <v/>
      </c>
      <c r="U3906" s="20">
        <f>IF(OR(G3906="",AND(I3906&lt;&gt;"Transferencia",I3906&lt;&gt;"Pago tarjeta")),"",IF(IFERROR(INDEX(ctaMon,MATCH(G3906,ctaNom,0))&amp;"","DOP")=N3906,C3906,IF(N3906="USD",C3906*TasaUSD,C3906/TasaUSD)))</f>
        <v/>
      </c>
      <c r="V3906" s="20">
        <f>IF(I3906="","",IF(IFERROR(INDEX(ctaLiq,MATCH(E3906,ctaNom,0))="Sí",FALSE),IF(OR(I3906="Gasto",I3906="Transferencia",I3906="Pago tarjeta"),-1,1)*O3906,0)+IF(AND(U3906&lt;&gt;"",IFERROR(INDEX(ctaLiq,MATCH(G3906,ctaNom,0))="Sí",FALSE)),O3906,0))</f>
        <v/>
      </c>
      <c r="W3906" s="19">
        <f>IF(OR(F3906="",I3906=""),"",IF(COUNTIFS(F$6:F3906,F3906,I$6:I3906,"?*")=1,MAX(W$5:W3905)+1,""))</f>
        <v/>
      </c>
    </row>
    <row r="3907">
      <c r="B3907" s="15" t="n"/>
      <c r="C3907" s="16" t="n"/>
      <c r="D3907" s="17" t="n"/>
      <c r="E3907" s="17" t="n"/>
      <c r="F3907" s="17" t="n"/>
      <c r="G3907" s="17" t="n"/>
      <c r="H3907" s="18">
        <f>IF(AND(B3907="",C3907="",D3907="",E3907=""),"",IF(B3907="","⚠ Falta fecha",IF(C3907="","⚠ Falta monto",IF(D3907="","⚠ Falta categoría",IF(ISNA(MATCH(D3907,catNom,0)),"⚠ Categoría no existe",IF(E3907="","⚠ Falta cuenta",IF(ISNA(MATCH(E3907,ctaNom,0)),"⚠ Cuenta no existe",IF(AND(OR(I3907="Transferencia",I3907="Pago tarjeta"),G3907=""),"⚠ Indica la cuenta «Hacia»",IF(AND(G3907&lt;&gt;"",G3907=E3907),"⚠ «Hacia» igual a la cuenta",IF(AND(G3907&lt;&gt;"",ISNA(MATCH(G3907,ctaNom,0))),"⚠ «Hacia» no existe",IF(AND(I3907="Pago tarjeta",IFERROR(INDEX(ctaTipo,MATCH(G3907,ctaNom,0)),"")&lt;&gt;"Tarjeta de crédito"),"⚠ «Hacia» debe ser la tarjeta",IF(AND(I3907="Trading",IFERROR(INDEX(ctaTipo,MATCH(E3907,ctaNom,0)),"")&lt;&gt;"Cuenta de trading"),"⚠ Usa la cuenta de trading","✓"))))))))))))</f>
        <v/>
      </c>
      <c r="I3907" s="19">
        <f>IF(OR(B3907="",C3907="",D3907=""),"",IFERROR(INDEX(catTipo,MATCH(D3907,catNom,0))&amp;"",""))</f>
        <v/>
      </c>
      <c r="J3907" s="19">
        <f>IF(I3907="","",IFERROR(INDEX(catGrupo,MATCH(D3907,catNom,0))&amp;"",""))</f>
        <v/>
      </c>
      <c r="K3907" s="19">
        <f>IF(I3907="Gasto",IF(IFERROR(INDEX(catClas,MATCH(D3907,catNom,0))&amp;"","")="","Variable",IFERROR(INDEX(catClas,MATCH(D3907,catNom,0))&amp;"","")),"")</f>
        <v/>
      </c>
      <c r="L3907" s="19">
        <f>IF(I3907="","",IFERROR(INDEX(catAlim,MATCH(D3907,catNom,0))&amp;"",""))</f>
        <v/>
      </c>
      <c r="M3907" s="19">
        <f>IF(I3907="","",IFERROR(INDEX(catComida,MATCH(D3907,catNom,0))&amp;"",""))</f>
        <v/>
      </c>
      <c r="N3907" s="19">
        <f>IF(I3907="","",IFERROR(INDEX(ctaMon,MATCH(E3907,ctaNom,0))&amp;"","DOP"))</f>
        <v/>
      </c>
      <c r="O3907" s="20">
        <f>IF(I3907="","",C3907*IF(N3907="USD",TasaUSD,1))</f>
        <v/>
      </c>
      <c r="P3907" s="20">
        <f>IF(I3907="","",IF(I3907="Gasto",O3907,0))</f>
        <v/>
      </c>
      <c r="Q3907" s="20">
        <f>IF(I3907="","",IF(I3907="Ingreso",O3907,0))</f>
        <v/>
      </c>
      <c r="R3907" s="20">
        <f>IF(I3907="","",IF(I3907="Trading",O3907,0))</f>
        <v/>
      </c>
      <c r="S3907" s="19">
        <f>IF(I3907="","",IF(AND(I3907="Gasto",K3907="Variable",J3907&lt;&gt;"Trading",O3907&gt;0,O3907&lt;=Umbral),1,0))</f>
        <v/>
      </c>
      <c r="T3907" s="20">
        <f>IF(OR(I3907="",E3907=""),"",IF(OR(I3907="Gasto",I3907="Transferencia",I3907="Pago tarjeta"),-1,1)*C3907)</f>
        <v/>
      </c>
      <c r="U3907" s="20">
        <f>IF(OR(G3907="",AND(I3907&lt;&gt;"Transferencia",I3907&lt;&gt;"Pago tarjeta")),"",IF(IFERROR(INDEX(ctaMon,MATCH(G3907,ctaNom,0))&amp;"","DOP")=N3907,C3907,IF(N3907="USD",C3907*TasaUSD,C3907/TasaUSD)))</f>
        <v/>
      </c>
      <c r="V3907" s="20">
        <f>IF(I3907="","",IF(IFERROR(INDEX(ctaLiq,MATCH(E3907,ctaNom,0))="Sí",FALSE),IF(OR(I3907="Gasto",I3907="Transferencia",I3907="Pago tarjeta"),-1,1)*O3907,0)+IF(AND(U3907&lt;&gt;"",IFERROR(INDEX(ctaLiq,MATCH(G3907,ctaNom,0))="Sí",FALSE)),O3907,0))</f>
        <v/>
      </c>
      <c r="W3907" s="19">
        <f>IF(OR(F3907="",I3907=""),"",IF(COUNTIFS(F$6:F3907,F3907,I$6:I3907,"?*")=1,MAX(W$5:W3906)+1,""))</f>
        <v/>
      </c>
    </row>
    <row r="3908">
      <c r="B3908" s="15" t="n"/>
      <c r="C3908" s="16" t="n"/>
      <c r="D3908" s="17" t="n"/>
      <c r="E3908" s="17" t="n"/>
      <c r="F3908" s="17" t="n"/>
      <c r="G3908" s="17" t="n"/>
      <c r="H3908" s="18">
        <f>IF(AND(B3908="",C3908="",D3908="",E3908=""),"",IF(B3908="","⚠ Falta fecha",IF(C3908="","⚠ Falta monto",IF(D3908="","⚠ Falta categoría",IF(ISNA(MATCH(D3908,catNom,0)),"⚠ Categoría no existe",IF(E3908="","⚠ Falta cuenta",IF(ISNA(MATCH(E3908,ctaNom,0)),"⚠ Cuenta no existe",IF(AND(OR(I3908="Transferencia",I3908="Pago tarjeta"),G3908=""),"⚠ Indica la cuenta «Hacia»",IF(AND(G3908&lt;&gt;"",G3908=E3908),"⚠ «Hacia» igual a la cuenta",IF(AND(G3908&lt;&gt;"",ISNA(MATCH(G3908,ctaNom,0))),"⚠ «Hacia» no existe",IF(AND(I3908="Pago tarjeta",IFERROR(INDEX(ctaTipo,MATCH(G3908,ctaNom,0)),"")&lt;&gt;"Tarjeta de crédito"),"⚠ «Hacia» debe ser la tarjeta",IF(AND(I3908="Trading",IFERROR(INDEX(ctaTipo,MATCH(E3908,ctaNom,0)),"")&lt;&gt;"Cuenta de trading"),"⚠ Usa la cuenta de trading","✓"))))))))))))</f>
        <v/>
      </c>
      <c r="I3908" s="19">
        <f>IF(OR(B3908="",C3908="",D3908=""),"",IFERROR(INDEX(catTipo,MATCH(D3908,catNom,0))&amp;"",""))</f>
        <v/>
      </c>
      <c r="J3908" s="19">
        <f>IF(I3908="","",IFERROR(INDEX(catGrupo,MATCH(D3908,catNom,0))&amp;"",""))</f>
        <v/>
      </c>
      <c r="K3908" s="19">
        <f>IF(I3908="Gasto",IF(IFERROR(INDEX(catClas,MATCH(D3908,catNom,0))&amp;"","")="","Variable",IFERROR(INDEX(catClas,MATCH(D3908,catNom,0))&amp;"","")),"")</f>
        <v/>
      </c>
      <c r="L3908" s="19">
        <f>IF(I3908="","",IFERROR(INDEX(catAlim,MATCH(D3908,catNom,0))&amp;"",""))</f>
        <v/>
      </c>
      <c r="M3908" s="19">
        <f>IF(I3908="","",IFERROR(INDEX(catComida,MATCH(D3908,catNom,0))&amp;"",""))</f>
        <v/>
      </c>
      <c r="N3908" s="19">
        <f>IF(I3908="","",IFERROR(INDEX(ctaMon,MATCH(E3908,ctaNom,0))&amp;"","DOP"))</f>
        <v/>
      </c>
      <c r="O3908" s="20">
        <f>IF(I3908="","",C3908*IF(N3908="USD",TasaUSD,1))</f>
        <v/>
      </c>
      <c r="P3908" s="20">
        <f>IF(I3908="","",IF(I3908="Gasto",O3908,0))</f>
        <v/>
      </c>
      <c r="Q3908" s="20">
        <f>IF(I3908="","",IF(I3908="Ingreso",O3908,0))</f>
        <v/>
      </c>
      <c r="R3908" s="20">
        <f>IF(I3908="","",IF(I3908="Trading",O3908,0))</f>
        <v/>
      </c>
      <c r="S3908" s="19">
        <f>IF(I3908="","",IF(AND(I3908="Gasto",K3908="Variable",J3908&lt;&gt;"Trading",O3908&gt;0,O3908&lt;=Umbral),1,0))</f>
        <v/>
      </c>
      <c r="T3908" s="20">
        <f>IF(OR(I3908="",E3908=""),"",IF(OR(I3908="Gasto",I3908="Transferencia",I3908="Pago tarjeta"),-1,1)*C3908)</f>
        <v/>
      </c>
      <c r="U3908" s="20">
        <f>IF(OR(G3908="",AND(I3908&lt;&gt;"Transferencia",I3908&lt;&gt;"Pago tarjeta")),"",IF(IFERROR(INDEX(ctaMon,MATCH(G3908,ctaNom,0))&amp;"","DOP")=N3908,C3908,IF(N3908="USD",C3908*TasaUSD,C3908/TasaUSD)))</f>
        <v/>
      </c>
      <c r="V3908" s="20">
        <f>IF(I3908="","",IF(IFERROR(INDEX(ctaLiq,MATCH(E3908,ctaNom,0))="Sí",FALSE),IF(OR(I3908="Gasto",I3908="Transferencia",I3908="Pago tarjeta"),-1,1)*O3908,0)+IF(AND(U3908&lt;&gt;"",IFERROR(INDEX(ctaLiq,MATCH(G3908,ctaNom,0))="Sí",FALSE)),O3908,0))</f>
        <v/>
      </c>
      <c r="W3908" s="19">
        <f>IF(OR(F3908="",I3908=""),"",IF(COUNTIFS(F$6:F3908,F3908,I$6:I3908,"?*")=1,MAX(W$5:W3907)+1,""))</f>
        <v/>
      </c>
    </row>
    <row r="3909">
      <c r="B3909" s="15" t="n"/>
      <c r="C3909" s="16" t="n"/>
      <c r="D3909" s="17" t="n"/>
      <c r="E3909" s="17" t="n"/>
      <c r="F3909" s="17" t="n"/>
      <c r="G3909" s="17" t="n"/>
      <c r="H3909" s="18">
        <f>IF(AND(B3909="",C3909="",D3909="",E3909=""),"",IF(B3909="","⚠ Falta fecha",IF(C3909="","⚠ Falta monto",IF(D3909="","⚠ Falta categoría",IF(ISNA(MATCH(D3909,catNom,0)),"⚠ Categoría no existe",IF(E3909="","⚠ Falta cuenta",IF(ISNA(MATCH(E3909,ctaNom,0)),"⚠ Cuenta no existe",IF(AND(OR(I3909="Transferencia",I3909="Pago tarjeta"),G3909=""),"⚠ Indica la cuenta «Hacia»",IF(AND(G3909&lt;&gt;"",G3909=E3909),"⚠ «Hacia» igual a la cuenta",IF(AND(G3909&lt;&gt;"",ISNA(MATCH(G3909,ctaNom,0))),"⚠ «Hacia» no existe",IF(AND(I3909="Pago tarjeta",IFERROR(INDEX(ctaTipo,MATCH(G3909,ctaNom,0)),"")&lt;&gt;"Tarjeta de crédito"),"⚠ «Hacia» debe ser la tarjeta",IF(AND(I3909="Trading",IFERROR(INDEX(ctaTipo,MATCH(E3909,ctaNom,0)),"")&lt;&gt;"Cuenta de trading"),"⚠ Usa la cuenta de trading","✓"))))))))))))</f>
        <v/>
      </c>
      <c r="I3909" s="19">
        <f>IF(OR(B3909="",C3909="",D3909=""),"",IFERROR(INDEX(catTipo,MATCH(D3909,catNom,0))&amp;"",""))</f>
        <v/>
      </c>
      <c r="J3909" s="19">
        <f>IF(I3909="","",IFERROR(INDEX(catGrupo,MATCH(D3909,catNom,0))&amp;"",""))</f>
        <v/>
      </c>
      <c r="K3909" s="19">
        <f>IF(I3909="Gasto",IF(IFERROR(INDEX(catClas,MATCH(D3909,catNom,0))&amp;"","")="","Variable",IFERROR(INDEX(catClas,MATCH(D3909,catNom,0))&amp;"","")),"")</f>
        <v/>
      </c>
      <c r="L3909" s="19">
        <f>IF(I3909="","",IFERROR(INDEX(catAlim,MATCH(D3909,catNom,0))&amp;"",""))</f>
        <v/>
      </c>
      <c r="M3909" s="19">
        <f>IF(I3909="","",IFERROR(INDEX(catComida,MATCH(D3909,catNom,0))&amp;"",""))</f>
        <v/>
      </c>
      <c r="N3909" s="19">
        <f>IF(I3909="","",IFERROR(INDEX(ctaMon,MATCH(E3909,ctaNom,0))&amp;"","DOP"))</f>
        <v/>
      </c>
      <c r="O3909" s="20">
        <f>IF(I3909="","",C3909*IF(N3909="USD",TasaUSD,1))</f>
        <v/>
      </c>
      <c r="P3909" s="20">
        <f>IF(I3909="","",IF(I3909="Gasto",O3909,0))</f>
        <v/>
      </c>
      <c r="Q3909" s="20">
        <f>IF(I3909="","",IF(I3909="Ingreso",O3909,0))</f>
        <v/>
      </c>
      <c r="R3909" s="20">
        <f>IF(I3909="","",IF(I3909="Trading",O3909,0))</f>
        <v/>
      </c>
      <c r="S3909" s="19">
        <f>IF(I3909="","",IF(AND(I3909="Gasto",K3909="Variable",J3909&lt;&gt;"Trading",O3909&gt;0,O3909&lt;=Umbral),1,0))</f>
        <v/>
      </c>
      <c r="T3909" s="20">
        <f>IF(OR(I3909="",E3909=""),"",IF(OR(I3909="Gasto",I3909="Transferencia",I3909="Pago tarjeta"),-1,1)*C3909)</f>
        <v/>
      </c>
      <c r="U3909" s="20">
        <f>IF(OR(G3909="",AND(I3909&lt;&gt;"Transferencia",I3909&lt;&gt;"Pago tarjeta")),"",IF(IFERROR(INDEX(ctaMon,MATCH(G3909,ctaNom,0))&amp;"","DOP")=N3909,C3909,IF(N3909="USD",C3909*TasaUSD,C3909/TasaUSD)))</f>
        <v/>
      </c>
      <c r="V3909" s="20">
        <f>IF(I3909="","",IF(IFERROR(INDEX(ctaLiq,MATCH(E3909,ctaNom,0))="Sí",FALSE),IF(OR(I3909="Gasto",I3909="Transferencia",I3909="Pago tarjeta"),-1,1)*O3909,0)+IF(AND(U3909&lt;&gt;"",IFERROR(INDEX(ctaLiq,MATCH(G3909,ctaNom,0))="Sí",FALSE)),O3909,0))</f>
        <v/>
      </c>
      <c r="W3909" s="19">
        <f>IF(OR(F3909="",I3909=""),"",IF(COUNTIFS(F$6:F3909,F3909,I$6:I3909,"?*")=1,MAX(W$5:W3908)+1,""))</f>
        <v/>
      </c>
    </row>
    <row r="3910">
      <c r="B3910" s="15" t="n"/>
      <c r="C3910" s="16" t="n"/>
      <c r="D3910" s="17" t="n"/>
      <c r="E3910" s="17" t="n"/>
      <c r="F3910" s="17" t="n"/>
      <c r="G3910" s="17" t="n"/>
      <c r="H3910" s="18">
        <f>IF(AND(B3910="",C3910="",D3910="",E3910=""),"",IF(B3910="","⚠ Falta fecha",IF(C3910="","⚠ Falta monto",IF(D3910="","⚠ Falta categoría",IF(ISNA(MATCH(D3910,catNom,0)),"⚠ Categoría no existe",IF(E3910="","⚠ Falta cuenta",IF(ISNA(MATCH(E3910,ctaNom,0)),"⚠ Cuenta no existe",IF(AND(OR(I3910="Transferencia",I3910="Pago tarjeta"),G3910=""),"⚠ Indica la cuenta «Hacia»",IF(AND(G3910&lt;&gt;"",G3910=E3910),"⚠ «Hacia» igual a la cuenta",IF(AND(G3910&lt;&gt;"",ISNA(MATCH(G3910,ctaNom,0))),"⚠ «Hacia» no existe",IF(AND(I3910="Pago tarjeta",IFERROR(INDEX(ctaTipo,MATCH(G3910,ctaNom,0)),"")&lt;&gt;"Tarjeta de crédito"),"⚠ «Hacia» debe ser la tarjeta",IF(AND(I3910="Trading",IFERROR(INDEX(ctaTipo,MATCH(E3910,ctaNom,0)),"")&lt;&gt;"Cuenta de trading"),"⚠ Usa la cuenta de trading","✓"))))))))))))</f>
        <v/>
      </c>
      <c r="I3910" s="19">
        <f>IF(OR(B3910="",C3910="",D3910=""),"",IFERROR(INDEX(catTipo,MATCH(D3910,catNom,0))&amp;"",""))</f>
        <v/>
      </c>
      <c r="J3910" s="19">
        <f>IF(I3910="","",IFERROR(INDEX(catGrupo,MATCH(D3910,catNom,0))&amp;"",""))</f>
        <v/>
      </c>
      <c r="K3910" s="19">
        <f>IF(I3910="Gasto",IF(IFERROR(INDEX(catClas,MATCH(D3910,catNom,0))&amp;"","")="","Variable",IFERROR(INDEX(catClas,MATCH(D3910,catNom,0))&amp;"","")),"")</f>
        <v/>
      </c>
      <c r="L3910" s="19">
        <f>IF(I3910="","",IFERROR(INDEX(catAlim,MATCH(D3910,catNom,0))&amp;"",""))</f>
        <v/>
      </c>
      <c r="M3910" s="19">
        <f>IF(I3910="","",IFERROR(INDEX(catComida,MATCH(D3910,catNom,0))&amp;"",""))</f>
        <v/>
      </c>
      <c r="N3910" s="19">
        <f>IF(I3910="","",IFERROR(INDEX(ctaMon,MATCH(E3910,ctaNom,0))&amp;"","DOP"))</f>
        <v/>
      </c>
      <c r="O3910" s="20">
        <f>IF(I3910="","",C3910*IF(N3910="USD",TasaUSD,1))</f>
        <v/>
      </c>
      <c r="P3910" s="20">
        <f>IF(I3910="","",IF(I3910="Gasto",O3910,0))</f>
        <v/>
      </c>
      <c r="Q3910" s="20">
        <f>IF(I3910="","",IF(I3910="Ingreso",O3910,0))</f>
        <v/>
      </c>
      <c r="R3910" s="20">
        <f>IF(I3910="","",IF(I3910="Trading",O3910,0))</f>
        <v/>
      </c>
      <c r="S3910" s="19">
        <f>IF(I3910="","",IF(AND(I3910="Gasto",K3910="Variable",J3910&lt;&gt;"Trading",O3910&gt;0,O3910&lt;=Umbral),1,0))</f>
        <v/>
      </c>
      <c r="T3910" s="20">
        <f>IF(OR(I3910="",E3910=""),"",IF(OR(I3910="Gasto",I3910="Transferencia",I3910="Pago tarjeta"),-1,1)*C3910)</f>
        <v/>
      </c>
      <c r="U3910" s="20">
        <f>IF(OR(G3910="",AND(I3910&lt;&gt;"Transferencia",I3910&lt;&gt;"Pago tarjeta")),"",IF(IFERROR(INDEX(ctaMon,MATCH(G3910,ctaNom,0))&amp;"","DOP")=N3910,C3910,IF(N3910="USD",C3910*TasaUSD,C3910/TasaUSD)))</f>
        <v/>
      </c>
      <c r="V3910" s="20">
        <f>IF(I3910="","",IF(IFERROR(INDEX(ctaLiq,MATCH(E3910,ctaNom,0))="Sí",FALSE),IF(OR(I3910="Gasto",I3910="Transferencia",I3910="Pago tarjeta"),-1,1)*O3910,0)+IF(AND(U3910&lt;&gt;"",IFERROR(INDEX(ctaLiq,MATCH(G3910,ctaNom,0))="Sí",FALSE)),O3910,0))</f>
        <v/>
      </c>
      <c r="W3910" s="19">
        <f>IF(OR(F3910="",I3910=""),"",IF(COUNTIFS(F$6:F3910,F3910,I$6:I3910,"?*")=1,MAX(W$5:W3909)+1,""))</f>
        <v/>
      </c>
    </row>
    <row r="3911">
      <c r="B3911" s="15" t="n"/>
      <c r="C3911" s="16" t="n"/>
      <c r="D3911" s="17" t="n"/>
      <c r="E3911" s="17" t="n"/>
      <c r="F3911" s="17" t="n"/>
      <c r="G3911" s="17" t="n"/>
      <c r="H3911" s="18">
        <f>IF(AND(B3911="",C3911="",D3911="",E3911=""),"",IF(B3911="","⚠ Falta fecha",IF(C3911="","⚠ Falta monto",IF(D3911="","⚠ Falta categoría",IF(ISNA(MATCH(D3911,catNom,0)),"⚠ Categoría no existe",IF(E3911="","⚠ Falta cuenta",IF(ISNA(MATCH(E3911,ctaNom,0)),"⚠ Cuenta no existe",IF(AND(OR(I3911="Transferencia",I3911="Pago tarjeta"),G3911=""),"⚠ Indica la cuenta «Hacia»",IF(AND(G3911&lt;&gt;"",G3911=E3911),"⚠ «Hacia» igual a la cuenta",IF(AND(G3911&lt;&gt;"",ISNA(MATCH(G3911,ctaNom,0))),"⚠ «Hacia» no existe",IF(AND(I3911="Pago tarjeta",IFERROR(INDEX(ctaTipo,MATCH(G3911,ctaNom,0)),"")&lt;&gt;"Tarjeta de crédito"),"⚠ «Hacia» debe ser la tarjeta",IF(AND(I3911="Trading",IFERROR(INDEX(ctaTipo,MATCH(E3911,ctaNom,0)),"")&lt;&gt;"Cuenta de trading"),"⚠ Usa la cuenta de trading","✓"))))))))))))</f>
        <v/>
      </c>
      <c r="I3911" s="19">
        <f>IF(OR(B3911="",C3911="",D3911=""),"",IFERROR(INDEX(catTipo,MATCH(D3911,catNom,0))&amp;"",""))</f>
        <v/>
      </c>
      <c r="J3911" s="19">
        <f>IF(I3911="","",IFERROR(INDEX(catGrupo,MATCH(D3911,catNom,0))&amp;"",""))</f>
        <v/>
      </c>
      <c r="K3911" s="19">
        <f>IF(I3911="Gasto",IF(IFERROR(INDEX(catClas,MATCH(D3911,catNom,0))&amp;"","")="","Variable",IFERROR(INDEX(catClas,MATCH(D3911,catNom,0))&amp;"","")),"")</f>
        <v/>
      </c>
      <c r="L3911" s="19">
        <f>IF(I3911="","",IFERROR(INDEX(catAlim,MATCH(D3911,catNom,0))&amp;"",""))</f>
        <v/>
      </c>
      <c r="M3911" s="19">
        <f>IF(I3911="","",IFERROR(INDEX(catComida,MATCH(D3911,catNom,0))&amp;"",""))</f>
        <v/>
      </c>
      <c r="N3911" s="19">
        <f>IF(I3911="","",IFERROR(INDEX(ctaMon,MATCH(E3911,ctaNom,0))&amp;"","DOP"))</f>
        <v/>
      </c>
      <c r="O3911" s="20">
        <f>IF(I3911="","",C3911*IF(N3911="USD",TasaUSD,1))</f>
        <v/>
      </c>
      <c r="P3911" s="20">
        <f>IF(I3911="","",IF(I3911="Gasto",O3911,0))</f>
        <v/>
      </c>
      <c r="Q3911" s="20">
        <f>IF(I3911="","",IF(I3911="Ingreso",O3911,0))</f>
        <v/>
      </c>
      <c r="R3911" s="20">
        <f>IF(I3911="","",IF(I3911="Trading",O3911,0))</f>
        <v/>
      </c>
      <c r="S3911" s="19">
        <f>IF(I3911="","",IF(AND(I3911="Gasto",K3911="Variable",J3911&lt;&gt;"Trading",O3911&gt;0,O3911&lt;=Umbral),1,0))</f>
        <v/>
      </c>
      <c r="T3911" s="20">
        <f>IF(OR(I3911="",E3911=""),"",IF(OR(I3911="Gasto",I3911="Transferencia",I3911="Pago tarjeta"),-1,1)*C3911)</f>
        <v/>
      </c>
      <c r="U3911" s="20">
        <f>IF(OR(G3911="",AND(I3911&lt;&gt;"Transferencia",I3911&lt;&gt;"Pago tarjeta")),"",IF(IFERROR(INDEX(ctaMon,MATCH(G3911,ctaNom,0))&amp;"","DOP")=N3911,C3911,IF(N3911="USD",C3911*TasaUSD,C3911/TasaUSD)))</f>
        <v/>
      </c>
      <c r="V3911" s="20">
        <f>IF(I3911="","",IF(IFERROR(INDEX(ctaLiq,MATCH(E3911,ctaNom,0))="Sí",FALSE),IF(OR(I3911="Gasto",I3911="Transferencia",I3911="Pago tarjeta"),-1,1)*O3911,0)+IF(AND(U3911&lt;&gt;"",IFERROR(INDEX(ctaLiq,MATCH(G3911,ctaNom,0))="Sí",FALSE)),O3911,0))</f>
        <v/>
      </c>
      <c r="W3911" s="19">
        <f>IF(OR(F3911="",I3911=""),"",IF(COUNTIFS(F$6:F3911,F3911,I$6:I3911,"?*")=1,MAX(W$5:W3910)+1,""))</f>
        <v/>
      </c>
    </row>
    <row r="3912">
      <c r="B3912" s="15" t="n"/>
      <c r="C3912" s="16" t="n"/>
      <c r="D3912" s="17" t="n"/>
      <c r="E3912" s="17" t="n"/>
      <c r="F3912" s="17" t="n"/>
      <c r="G3912" s="17" t="n"/>
      <c r="H3912" s="18">
        <f>IF(AND(B3912="",C3912="",D3912="",E3912=""),"",IF(B3912="","⚠ Falta fecha",IF(C3912="","⚠ Falta monto",IF(D3912="","⚠ Falta categoría",IF(ISNA(MATCH(D3912,catNom,0)),"⚠ Categoría no existe",IF(E3912="","⚠ Falta cuenta",IF(ISNA(MATCH(E3912,ctaNom,0)),"⚠ Cuenta no existe",IF(AND(OR(I3912="Transferencia",I3912="Pago tarjeta"),G3912=""),"⚠ Indica la cuenta «Hacia»",IF(AND(G3912&lt;&gt;"",G3912=E3912),"⚠ «Hacia» igual a la cuenta",IF(AND(G3912&lt;&gt;"",ISNA(MATCH(G3912,ctaNom,0))),"⚠ «Hacia» no existe",IF(AND(I3912="Pago tarjeta",IFERROR(INDEX(ctaTipo,MATCH(G3912,ctaNom,0)),"")&lt;&gt;"Tarjeta de crédito"),"⚠ «Hacia» debe ser la tarjeta",IF(AND(I3912="Trading",IFERROR(INDEX(ctaTipo,MATCH(E3912,ctaNom,0)),"")&lt;&gt;"Cuenta de trading"),"⚠ Usa la cuenta de trading","✓"))))))))))))</f>
        <v/>
      </c>
      <c r="I3912" s="19">
        <f>IF(OR(B3912="",C3912="",D3912=""),"",IFERROR(INDEX(catTipo,MATCH(D3912,catNom,0))&amp;"",""))</f>
        <v/>
      </c>
      <c r="J3912" s="19">
        <f>IF(I3912="","",IFERROR(INDEX(catGrupo,MATCH(D3912,catNom,0))&amp;"",""))</f>
        <v/>
      </c>
      <c r="K3912" s="19">
        <f>IF(I3912="Gasto",IF(IFERROR(INDEX(catClas,MATCH(D3912,catNom,0))&amp;"","")="","Variable",IFERROR(INDEX(catClas,MATCH(D3912,catNom,0))&amp;"","")),"")</f>
        <v/>
      </c>
      <c r="L3912" s="19">
        <f>IF(I3912="","",IFERROR(INDEX(catAlim,MATCH(D3912,catNom,0))&amp;"",""))</f>
        <v/>
      </c>
      <c r="M3912" s="19">
        <f>IF(I3912="","",IFERROR(INDEX(catComida,MATCH(D3912,catNom,0))&amp;"",""))</f>
        <v/>
      </c>
      <c r="N3912" s="19">
        <f>IF(I3912="","",IFERROR(INDEX(ctaMon,MATCH(E3912,ctaNom,0))&amp;"","DOP"))</f>
        <v/>
      </c>
      <c r="O3912" s="20">
        <f>IF(I3912="","",C3912*IF(N3912="USD",TasaUSD,1))</f>
        <v/>
      </c>
      <c r="P3912" s="20">
        <f>IF(I3912="","",IF(I3912="Gasto",O3912,0))</f>
        <v/>
      </c>
      <c r="Q3912" s="20">
        <f>IF(I3912="","",IF(I3912="Ingreso",O3912,0))</f>
        <v/>
      </c>
      <c r="R3912" s="20">
        <f>IF(I3912="","",IF(I3912="Trading",O3912,0))</f>
        <v/>
      </c>
      <c r="S3912" s="19">
        <f>IF(I3912="","",IF(AND(I3912="Gasto",K3912="Variable",J3912&lt;&gt;"Trading",O3912&gt;0,O3912&lt;=Umbral),1,0))</f>
        <v/>
      </c>
      <c r="T3912" s="20">
        <f>IF(OR(I3912="",E3912=""),"",IF(OR(I3912="Gasto",I3912="Transferencia",I3912="Pago tarjeta"),-1,1)*C3912)</f>
        <v/>
      </c>
      <c r="U3912" s="20">
        <f>IF(OR(G3912="",AND(I3912&lt;&gt;"Transferencia",I3912&lt;&gt;"Pago tarjeta")),"",IF(IFERROR(INDEX(ctaMon,MATCH(G3912,ctaNom,0))&amp;"","DOP")=N3912,C3912,IF(N3912="USD",C3912*TasaUSD,C3912/TasaUSD)))</f>
        <v/>
      </c>
      <c r="V3912" s="20">
        <f>IF(I3912="","",IF(IFERROR(INDEX(ctaLiq,MATCH(E3912,ctaNom,0))="Sí",FALSE),IF(OR(I3912="Gasto",I3912="Transferencia",I3912="Pago tarjeta"),-1,1)*O3912,0)+IF(AND(U3912&lt;&gt;"",IFERROR(INDEX(ctaLiq,MATCH(G3912,ctaNom,0))="Sí",FALSE)),O3912,0))</f>
        <v/>
      </c>
      <c r="W3912" s="19">
        <f>IF(OR(F3912="",I3912=""),"",IF(COUNTIFS(F$6:F3912,F3912,I$6:I3912,"?*")=1,MAX(W$5:W3911)+1,""))</f>
        <v/>
      </c>
    </row>
    <row r="3913">
      <c r="B3913" s="15" t="n"/>
      <c r="C3913" s="16" t="n"/>
      <c r="D3913" s="17" t="n"/>
      <c r="E3913" s="17" t="n"/>
      <c r="F3913" s="17" t="n"/>
      <c r="G3913" s="17" t="n"/>
      <c r="H3913" s="18">
        <f>IF(AND(B3913="",C3913="",D3913="",E3913=""),"",IF(B3913="","⚠ Falta fecha",IF(C3913="","⚠ Falta monto",IF(D3913="","⚠ Falta categoría",IF(ISNA(MATCH(D3913,catNom,0)),"⚠ Categoría no existe",IF(E3913="","⚠ Falta cuenta",IF(ISNA(MATCH(E3913,ctaNom,0)),"⚠ Cuenta no existe",IF(AND(OR(I3913="Transferencia",I3913="Pago tarjeta"),G3913=""),"⚠ Indica la cuenta «Hacia»",IF(AND(G3913&lt;&gt;"",G3913=E3913),"⚠ «Hacia» igual a la cuenta",IF(AND(G3913&lt;&gt;"",ISNA(MATCH(G3913,ctaNom,0))),"⚠ «Hacia» no existe",IF(AND(I3913="Pago tarjeta",IFERROR(INDEX(ctaTipo,MATCH(G3913,ctaNom,0)),"")&lt;&gt;"Tarjeta de crédito"),"⚠ «Hacia» debe ser la tarjeta",IF(AND(I3913="Trading",IFERROR(INDEX(ctaTipo,MATCH(E3913,ctaNom,0)),"")&lt;&gt;"Cuenta de trading"),"⚠ Usa la cuenta de trading","✓"))))))))))))</f>
        <v/>
      </c>
      <c r="I3913" s="19">
        <f>IF(OR(B3913="",C3913="",D3913=""),"",IFERROR(INDEX(catTipo,MATCH(D3913,catNom,0))&amp;"",""))</f>
        <v/>
      </c>
      <c r="J3913" s="19">
        <f>IF(I3913="","",IFERROR(INDEX(catGrupo,MATCH(D3913,catNom,0))&amp;"",""))</f>
        <v/>
      </c>
      <c r="K3913" s="19">
        <f>IF(I3913="Gasto",IF(IFERROR(INDEX(catClas,MATCH(D3913,catNom,0))&amp;"","")="","Variable",IFERROR(INDEX(catClas,MATCH(D3913,catNom,0))&amp;"","")),"")</f>
        <v/>
      </c>
      <c r="L3913" s="19">
        <f>IF(I3913="","",IFERROR(INDEX(catAlim,MATCH(D3913,catNom,0))&amp;"",""))</f>
        <v/>
      </c>
      <c r="M3913" s="19">
        <f>IF(I3913="","",IFERROR(INDEX(catComida,MATCH(D3913,catNom,0))&amp;"",""))</f>
        <v/>
      </c>
      <c r="N3913" s="19">
        <f>IF(I3913="","",IFERROR(INDEX(ctaMon,MATCH(E3913,ctaNom,0))&amp;"","DOP"))</f>
        <v/>
      </c>
      <c r="O3913" s="20">
        <f>IF(I3913="","",C3913*IF(N3913="USD",TasaUSD,1))</f>
        <v/>
      </c>
      <c r="P3913" s="20">
        <f>IF(I3913="","",IF(I3913="Gasto",O3913,0))</f>
        <v/>
      </c>
      <c r="Q3913" s="20">
        <f>IF(I3913="","",IF(I3913="Ingreso",O3913,0))</f>
        <v/>
      </c>
      <c r="R3913" s="20">
        <f>IF(I3913="","",IF(I3913="Trading",O3913,0))</f>
        <v/>
      </c>
      <c r="S3913" s="19">
        <f>IF(I3913="","",IF(AND(I3913="Gasto",K3913="Variable",J3913&lt;&gt;"Trading",O3913&gt;0,O3913&lt;=Umbral),1,0))</f>
        <v/>
      </c>
      <c r="T3913" s="20">
        <f>IF(OR(I3913="",E3913=""),"",IF(OR(I3913="Gasto",I3913="Transferencia",I3913="Pago tarjeta"),-1,1)*C3913)</f>
        <v/>
      </c>
      <c r="U3913" s="20">
        <f>IF(OR(G3913="",AND(I3913&lt;&gt;"Transferencia",I3913&lt;&gt;"Pago tarjeta")),"",IF(IFERROR(INDEX(ctaMon,MATCH(G3913,ctaNom,0))&amp;"","DOP")=N3913,C3913,IF(N3913="USD",C3913*TasaUSD,C3913/TasaUSD)))</f>
        <v/>
      </c>
      <c r="V3913" s="20">
        <f>IF(I3913="","",IF(IFERROR(INDEX(ctaLiq,MATCH(E3913,ctaNom,0))="Sí",FALSE),IF(OR(I3913="Gasto",I3913="Transferencia",I3913="Pago tarjeta"),-1,1)*O3913,0)+IF(AND(U3913&lt;&gt;"",IFERROR(INDEX(ctaLiq,MATCH(G3913,ctaNom,0))="Sí",FALSE)),O3913,0))</f>
        <v/>
      </c>
      <c r="W3913" s="19">
        <f>IF(OR(F3913="",I3913=""),"",IF(COUNTIFS(F$6:F3913,F3913,I$6:I3913,"?*")=1,MAX(W$5:W3912)+1,""))</f>
        <v/>
      </c>
    </row>
    <row r="3914">
      <c r="B3914" s="15" t="n"/>
      <c r="C3914" s="16" t="n"/>
      <c r="D3914" s="17" t="n"/>
      <c r="E3914" s="17" t="n"/>
      <c r="F3914" s="17" t="n"/>
      <c r="G3914" s="17" t="n"/>
      <c r="H3914" s="18">
        <f>IF(AND(B3914="",C3914="",D3914="",E3914=""),"",IF(B3914="","⚠ Falta fecha",IF(C3914="","⚠ Falta monto",IF(D3914="","⚠ Falta categoría",IF(ISNA(MATCH(D3914,catNom,0)),"⚠ Categoría no existe",IF(E3914="","⚠ Falta cuenta",IF(ISNA(MATCH(E3914,ctaNom,0)),"⚠ Cuenta no existe",IF(AND(OR(I3914="Transferencia",I3914="Pago tarjeta"),G3914=""),"⚠ Indica la cuenta «Hacia»",IF(AND(G3914&lt;&gt;"",G3914=E3914),"⚠ «Hacia» igual a la cuenta",IF(AND(G3914&lt;&gt;"",ISNA(MATCH(G3914,ctaNom,0))),"⚠ «Hacia» no existe",IF(AND(I3914="Pago tarjeta",IFERROR(INDEX(ctaTipo,MATCH(G3914,ctaNom,0)),"")&lt;&gt;"Tarjeta de crédito"),"⚠ «Hacia» debe ser la tarjeta",IF(AND(I3914="Trading",IFERROR(INDEX(ctaTipo,MATCH(E3914,ctaNom,0)),"")&lt;&gt;"Cuenta de trading"),"⚠ Usa la cuenta de trading","✓"))))))))))))</f>
        <v/>
      </c>
      <c r="I3914" s="19">
        <f>IF(OR(B3914="",C3914="",D3914=""),"",IFERROR(INDEX(catTipo,MATCH(D3914,catNom,0))&amp;"",""))</f>
        <v/>
      </c>
      <c r="J3914" s="19">
        <f>IF(I3914="","",IFERROR(INDEX(catGrupo,MATCH(D3914,catNom,0))&amp;"",""))</f>
        <v/>
      </c>
      <c r="K3914" s="19">
        <f>IF(I3914="Gasto",IF(IFERROR(INDEX(catClas,MATCH(D3914,catNom,0))&amp;"","")="","Variable",IFERROR(INDEX(catClas,MATCH(D3914,catNom,0))&amp;"","")),"")</f>
        <v/>
      </c>
      <c r="L3914" s="19">
        <f>IF(I3914="","",IFERROR(INDEX(catAlim,MATCH(D3914,catNom,0))&amp;"",""))</f>
        <v/>
      </c>
      <c r="M3914" s="19">
        <f>IF(I3914="","",IFERROR(INDEX(catComida,MATCH(D3914,catNom,0))&amp;"",""))</f>
        <v/>
      </c>
      <c r="N3914" s="19">
        <f>IF(I3914="","",IFERROR(INDEX(ctaMon,MATCH(E3914,ctaNom,0))&amp;"","DOP"))</f>
        <v/>
      </c>
      <c r="O3914" s="20">
        <f>IF(I3914="","",C3914*IF(N3914="USD",TasaUSD,1))</f>
        <v/>
      </c>
      <c r="P3914" s="20">
        <f>IF(I3914="","",IF(I3914="Gasto",O3914,0))</f>
        <v/>
      </c>
      <c r="Q3914" s="20">
        <f>IF(I3914="","",IF(I3914="Ingreso",O3914,0))</f>
        <v/>
      </c>
      <c r="R3914" s="20">
        <f>IF(I3914="","",IF(I3914="Trading",O3914,0))</f>
        <v/>
      </c>
      <c r="S3914" s="19">
        <f>IF(I3914="","",IF(AND(I3914="Gasto",K3914="Variable",J3914&lt;&gt;"Trading",O3914&gt;0,O3914&lt;=Umbral),1,0))</f>
        <v/>
      </c>
      <c r="T3914" s="20">
        <f>IF(OR(I3914="",E3914=""),"",IF(OR(I3914="Gasto",I3914="Transferencia",I3914="Pago tarjeta"),-1,1)*C3914)</f>
        <v/>
      </c>
      <c r="U3914" s="20">
        <f>IF(OR(G3914="",AND(I3914&lt;&gt;"Transferencia",I3914&lt;&gt;"Pago tarjeta")),"",IF(IFERROR(INDEX(ctaMon,MATCH(G3914,ctaNom,0))&amp;"","DOP")=N3914,C3914,IF(N3914="USD",C3914*TasaUSD,C3914/TasaUSD)))</f>
        <v/>
      </c>
      <c r="V3914" s="20">
        <f>IF(I3914="","",IF(IFERROR(INDEX(ctaLiq,MATCH(E3914,ctaNom,0))="Sí",FALSE),IF(OR(I3914="Gasto",I3914="Transferencia",I3914="Pago tarjeta"),-1,1)*O3914,0)+IF(AND(U3914&lt;&gt;"",IFERROR(INDEX(ctaLiq,MATCH(G3914,ctaNom,0))="Sí",FALSE)),O3914,0))</f>
        <v/>
      </c>
      <c r="W3914" s="19">
        <f>IF(OR(F3914="",I3914=""),"",IF(COUNTIFS(F$6:F3914,F3914,I$6:I3914,"?*")=1,MAX(W$5:W3913)+1,""))</f>
        <v/>
      </c>
    </row>
    <row r="3915">
      <c r="B3915" s="15" t="n"/>
      <c r="C3915" s="16" t="n"/>
      <c r="D3915" s="17" t="n"/>
      <c r="E3915" s="17" t="n"/>
      <c r="F3915" s="17" t="n"/>
      <c r="G3915" s="17" t="n"/>
      <c r="H3915" s="18">
        <f>IF(AND(B3915="",C3915="",D3915="",E3915=""),"",IF(B3915="","⚠ Falta fecha",IF(C3915="","⚠ Falta monto",IF(D3915="","⚠ Falta categoría",IF(ISNA(MATCH(D3915,catNom,0)),"⚠ Categoría no existe",IF(E3915="","⚠ Falta cuenta",IF(ISNA(MATCH(E3915,ctaNom,0)),"⚠ Cuenta no existe",IF(AND(OR(I3915="Transferencia",I3915="Pago tarjeta"),G3915=""),"⚠ Indica la cuenta «Hacia»",IF(AND(G3915&lt;&gt;"",G3915=E3915),"⚠ «Hacia» igual a la cuenta",IF(AND(G3915&lt;&gt;"",ISNA(MATCH(G3915,ctaNom,0))),"⚠ «Hacia» no existe",IF(AND(I3915="Pago tarjeta",IFERROR(INDEX(ctaTipo,MATCH(G3915,ctaNom,0)),"")&lt;&gt;"Tarjeta de crédito"),"⚠ «Hacia» debe ser la tarjeta",IF(AND(I3915="Trading",IFERROR(INDEX(ctaTipo,MATCH(E3915,ctaNom,0)),"")&lt;&gt;"Cuenta de trading"),"⚠ Usa la cuenta de trading","✓"))))))))))))</f>
        <v/>
      </c>
      <c r="I3915" s="19">
        <f>IF(OR(B3915="",C3915="",D3915=""),"",IFERROR(INDEX(catTipo,MATCH(D3915,catNom,0))&amp;"",""))</f>
        <v/>
      </c>
      <c r="J3915" s="19">
        <f>IF(I3915="","",IFERROR(INDEX(catGrupo,MATCH(D3915,catNom,0))&amp;"",""))</f>
        <v/>
      </c>
      <c r="K3915" s="19">
        <f>IF(I3915="Gasto",IF(IFERROR(INDEX(catClas,MATCH(D3915,catNom,0))&amp;"","")="","Variable",IFERROR(INDEX(catClas,MATCH(D3915,catNom,0))&amp;"","")),"")</f>
        <v/>
      </c>
      <c r="L3915" s="19">
        <f>IF(I3915="","",IFERROR(INDEX(catAlim,MATCH(D3915,catNom,0))&amp;"",""))</f>
        <v/>
      </c>
      <c r="M3915" s="19">
        <f>IF(I3915="","",IFERROR(INDEX(catComida,MATCH(D3915,catNom,0))&amp;"",""))</f>
        <v/>
      </c>
      <c r="N3915" s="19">
        <f>IF(I3915="","",IFERROR(INDEX(ctaMon,MATCH(E3915,ctaNom,0))&amp;"","DOP"))</f>
        <v/>
      </c>
      <c r="O3915" s="20">
        <f>IF(I3915="","",C3915*IF(N3915="USD",TasaUSD,1))</f>
        <v/>
      </c>
      <c r="P3915" s="20">
        <f>IF(I3915="","",IF(I3915="Gasto",O3915,0))</f>
        <v/>
      </c>
      <c r="Q3915" s="20">
        <f>IF(I3915="","",IF(I3915="Ingreso",O3915,0))</f>
        <v/>
      </c>
      <c r="R3915" s="20">
        <f>IF(I3915="","",IF(I3915="Trading",O3915,0))</f>
        <v/>
      </c>
      <c r="S3915" s="19">
        <f>IF(I3915="","",IF(AND(I3915="Gasto",K3915="Variable",J3915&lt;&gt;"Trading",O3915&gt;0,O3915&lt;=Umbral),1,0))</f>
        <v/>
      </c>
      <c r="T3915" s="20">
        <f>IF(OR(I3915="",E3915=""),"",IF(OR(I3915="Gasto",I3915="Transferencia",I3915="Pago tarjeta"),-1,1)*C3915)</f>
        <v/>
      </c>
      <c r="U3915" s="20">
        <f>IF(OR(G3915="",AND(I3915&lt;&gt;"Transferencia",I3915&lt;&gt;"Pago tarjeta")),"",IF(IFERROR(INDEX(ctaMon,MATCH(G3915,ctaNom,0))&amp;"","DOP")=N3915,C3915,IF(N3915="USD",C3915*TasaUSD,C3915/TasaUSD)))</f>
        <v/>
      </c>
      <c r="V3915" s="20">
        <f>IF(I3915="","",IF(IFERROR(INDEX(ctaLiq,MATCH(E3915,ctaNom,0))="Sí",FALSE),IF(OR(I3915="Gasto",I3915="Transferencia",I3915="Pago tarjeta"),-1,1)*O3915,0)+IF(AND(U3915&lt;&gt;"",IFERROR(INDEX(ctaLiq,MATCH(G3915,ctaNom,0))="Sí",FALSE)),O3915,0))</f>
        <v/>
      </c>
      <c r="W3915" s="19">
        <f>IF(OR(F3915="",I3915=""),"",IF(COUNTIFS(F$6:F3915,F3915,I$6:I3915,"?*")=1,MAX(W$5:W3914)+1,""))</f>
        <v/>
      </c>
    </row>
    <row r="3916">
      <c r="B3916" s="15" t="n"/>
      <c r="C3916" s="16" t="n"/>
      <c r="D3916" s="17" t="n"/>
      <c r="E3916" s="17" t="n"/>
      <c r="F3916" s="17" t="n"/>
      <c r="G3916" s="17" t="n"/>
      <c r="H3916" s="18">
        <f>IF(AND(B3916="",C3916="",D3916="",E3916=""),"",IF(B3916="","⚠ Falta fecha",IF(C3916="","⚠ Falta monto",IF(D3916="","⚠ Falta categoría",IF(ISNA(MATCH(D3916,catNom,0)),"⚠ Categoría no existe",IF(E3916="","⚠ Falta cuenta",IF(ISNA(MATCH(E3916,ctaNom,0)),"⚠ Cuenta no existe",IF(AND(OR(I3916="Transferencia",I3916="Pago tarjeta"),G3916=""),"⚠ Indica la cuenta «Hacia»",IF(AND(G3916&lt;&gt;"",G3916=E3916),"⚠ «Hacia» igual a la cuenta",IF(AND(G3916&lt;&gt;"",ISNA(MATCH(G3916,ctaNom,0))),"⚠ «Hacia» no existe",IF(AND(I3916="Pago tarjeta",IFERROR(INDEX(ctaTipo,MATCH(G3916,ctaNom,0)),"")&lt;&gt;"Tarjeta de crédito"),"⚠ «Hacia» debe ser la tarjeta",IF(AND(I3916="Trading",IFERROR(INDEX(ctaTipo,MATCH(E3916,ctaNom,0)),"")&lt;&gt;"Cuenta de trading"),"⚠ Usa la cuenta de trading","✓"))))))))))))</f>
        <v/>
      </c>
      <c r="I3916" s="19">
        <f>IF(OR(B3916="",C3916="",D3916=""),"",IFERROR(INDEX(catTipo,MATCH(D3916,catNom,0))&amp;"",""))</f>
        <v/>
      </c>
      <c r="J3916" s="19">
        <f>IF(I3916="","",IFERROR(INDEX(catGrupo,MATCH(D3916,catNom,0))&amp;"",""))</f>
        <v/>
      </c>
      <c r="K3916" s="19">
        <f>IF(I3916="Gasto",IF(IFERROR(INDEX(catClas,MATCH(D3916,catNom,0))&amp;"","")="","Variable",IFERROR(INDEX(catClas,MATCH(D3916,catNom,0))&amp;"","")),"")</f>
        <v/>
      </c>
      <c r="L3916" s="19">
        <f>IF(I3916="","",IFERROR(INDEX(catAlim,MATCH(D3916,catNom,0))&amp;"",""))</f>
        <v/>
      </c>
      <c r="M3916" s="19">
        <f>IF(I3916="","",IFERROR(INDEX(catComida,MATCH(D3916,catNom,0))&amp;"",""))</f>
        <v/>
      </c>
      <c r="N3916" s="19">
        <f>IF(I3916="","",IFERROR(INDEX(ctaMon,MATCH(E3916,ctaNom,0))&amp;"","DOP"))</f>
        <v/>
      </c>
      <c r="O3916" s="20">
        <f>IF(I3916="","",C3916*IF(N3916="USD",TasaUSD,1))</f>
        <v/>
      </c>
      <c r="P3916" s="20">
        <f>IF(I3916="","",IF(I3916="Gasto",O3916,0))</f>
        <v/>
      </c>
      <c r="Q3916" s="20">
        <f>IF(I3916="","",IF(I3916="Ingreso",O3916,0))</f>
        <v/>
      </c>
      <c r="R3916" s="20">
        <f>IF(I3916="","",IF(I3916="Trading",O3916,0))</f>
        <v/>
      </c>
      <c r="S3916" s="19">
        <f>IF(I3916="","",IF(AND(I3916="Gasto",K3916="Variable",J3916&lt;&gt;"Trading",O3916&gt;0,O3916&lt;=Umbral),1,0))</f>
        <v/>
      </c>
      <c r="T3916" s="20">
        <f>IF(OR(I3916="",E3916=""),"",IF(OR(I3916="Gasto",I3916="Transferencia",I3916="Pago tarjeta"),-1,1)*C3916)</f>
        <v/>
      </c>
      <c r="U3916" s="20">
        <f>IF(OR(G3916="",AND(I3916&lt;&gt;"Transferencia",I3916&lt;&gt;"Pago tarjeta")),"",IF(IFERROR(INDEX(ctaMon,MATCH(G3916,ctaNom,0))&amp;"","DOP")=N3916,C3916,IF(N3916="USD",C3916*TasaUSD,C3916/TasaUSD)))</f>
        <v/>
      </c>
      <c r="V3916" s="20">
        <f>IF(I3916="","",IF(IFERROR(INDEX(ctaLiq,MATCH(E3916,ctaNom,0))="Sí",FALSE),IF(OR(I3916="Gasto",I3916="Transferencia",I3916="Pago tarjeta"),-1,1)*O3916,0)+IF(AND(U3916&lt;&gt;"",IFERROR(INDEX(ctaLiq,MATCH(G3916,ctaNom,0))="Sí",FALSE)),O3916,0))</f>
        <v/>
      </c>
      <c r="W3916" s="19">
        <f>IF(OR(F3916="",I3916=""),"",IF(COUNTIFS(F$6:F3916,F3916,I$6:I3916,"?*")=1,MAX(W$5:W3915)+1,""))</f>
        <v/>
      </c>
    </row>
    <row r="3917">
      <c r="B3917" s="15" t="n"/>
      <c r="C3917" s="16" t="n"/>
      <c r="D3917" s="17" t="n"/>
      <c r="E3917" s="17" t="n"/>
      <c r="F3917" s="17" t="n"/>
      <c r="G3917" s="17" t="n"/>
      <c r="H3917" s="18">
        <f>IF(AND(B3917="",C3917="",D3917="",E3917=""),"",IF(B3917="","⚠ Falta fecha",IF(C3917="","⚠ Falta monto",IF(D3917="","⚠ Falta categoría",IF(ISNA(MATCH(D3917,catNom,0)),"⚠ Categoría no existe",IF(E3917="","⚠ Falta cuenta",IF(ISNA(MATCH(E3917,ctaNom,0)),"⚠ Cuenta no existe",IF(AND(OR(I3917="Transferencia",I3917="Pago tarjeta"),G3917=""),"⚠ Indica la cuenta «Hacia»",IF(AND(G3917&lt;&gt;"",G3917=E3917),"⚠ «Hacia» igual a la cuenta",IF(AND(G3917&lt;&gt;"",ISNA(MATCH(G3917,ctaNom,0))),"⚠ «Hacia» no existe",IF(AND(I3917="Pago tarjeta",IFERROR(INDEX(ctaTipo,MATCH(G3917,ctaNom,0)),"")&lt;&gt;"Tarjeta de crédito"),"⚠ «Hacia» debe ser la tarjeta",IF(AND(I3917="Trading",IFERROR(INDEX(ctaTipo,MATCH(E3917,ctaNom,0)),"")&lt;&gt;"Cuenta de trading"),"⚠ Usa la cuenta de trading","✓"))))))))))))</f>
        <v/>
      </c>
      <c r="I3917" s="19">
        <f>IF(OR(B3917="",C3917="",D3917=""),"",IFERROR(INDEX(catTipo,MATCH(D3917,catNom,0))&amp;"",""))</f>
        <v/>
      </c>
      <c r="J3917" s="19">
        <f>IF(I3917="","",IFERROR(INDEX(catGrupo,MATCH(D3917,catNom,0))&amp;"",""))</f>
        <v/>
      </c>
      <c r="K3917" s="19">
        <f>IF(I3917="Gasto",IF(IFERROR(INDEX(catClas,MATCH(D3917,catNom,0))&amp;"","")="","Variable",IFERROR(INDEX(catClas,MATCH(D3917,catNom,0))&amp;"","")),"")</f>
        <v/>
      </c>
      <c r="L3917" s="19">
        <f>IF(I3917="","",IFERROR(INDEX(catAlim,MATCH(D3917,catNom,0))&amp;"",""))</f>
        <v/>
      </c>
      <c r="M3917" s="19">
        <f>IF(I3917="","",IFERROR(INDEX(catComida,MATCH(D3917,catNom,0))&amp;"",""))</f>
        <v/>
      </c>
      <c r="N3917" s="19">
        <f>IF(I3917="","",IFERROR(INDEX(ctaMon,MATCH(E3917,ctaNom,0))&amp;"","DOP"))</f>
        <v/>
      </c>
      <c r="O3917" s="20">
        <f>IF(I3917="","",C3917*IF(N3917="USD",TasaUSD,1))</f>
        <v/>
      </c>
      <c r="P3917" s="20">
        <f>IF(I3917="","",IF(I3917="Gasto",O3917,0))</f>
        <v/>
      </c>
      <c r="Q3917" s="20">
        <f>IF(I3917="","",IF(I3917="Ingreso",O3917,0))</f>
        <v/>
      </c>
      <c r="R3917" s="20">
        <f>IF(I3917="","",IF(I3917="Trading",O3917,0))</f>
        <v/>
      </c>
      <c r="S3917" s="19">
        <f>IF(I3917="","",IF(AND(I3917="Gasto",K3917="Variable",J3917&lt;&gt;"Trading",O3917&gt;0,O3917&lt;=Umbral),1,0))</f>
        <v/>
      </c>
      <c r="T3917" s="20">
        <f>IF(OR(I3917="",E3917=""),"",IF(OR(I3917="Gasto",I3917="Transferencia",I3917="Pago tarjeta"),-1,1)*C3917)</f>
        <v/>
      </c>
      <c r="U3917" s="20">
        <f>IF(OR(G3917="",AND(I3917&lt;&gt;"Transferencia",I3917&lt;&gt;"Pago tarjeta")),"",IF(IFERROR(INDEX(ctaMon,MATCH(G3917,ctaNom,0))&amp;"","DOP")=N3917,C3917,IF(N3917="USD",C3917*TasaUSD,C3917/TasaUSD)))</f>
        <v/>
      </c>
      <c r="V3917" s="20">
        <f>IF(I3917="","",IF(IFERROR(INDEX(ctaLiq,MATCH(E3917,ctaNom,0))="Sí",FALSE),IF(OR(I3917="Gasto",I3917="Transferencia",I3917="Pago tarjeta"),-1,1)*O3917,0)+IF(AND(U3917&lt;&gt;"",IFERROR(INDEX(ctaLiq,MATCH(G3917,ctaNom,0))="Sí",FALSE)),O3917,0))</f>
        <v/>
      </c>
      <c r="W3917" s="19">
        <f>IF(OR(F3917="",I3917=""),"",IF(COUNTIFS(F$6:F3917,F3917,I$6:I3917,"?*")=1,MAX(W$5:W3916)+1,""))</f>
        <v/>
      </c>
    </row>
    <row r="3918">
      <c r="B3918" s="15" t="n"/>
      <c r="C3918" s="16" t="n"/>
      <c r="D3918" s="17" t="n"/>
      <c r="E3918" s="17" t="n"/>
      <c r="F3918" s="17" t="n"/>
      <c r="G3918" s="17" t="n"/>
      <c r="H3918" s="18">
        <f>IF(AND(B3918="",C3918="",D3918="",E3918=""),"",IF(B3918="","⚠ Falta fecha",IF(C3918="","⚠ Falta monto",IF(D3918="","⚠ Falta categoría",IF(ISNA(MATCH(D3918,catNom,0)),"⚠ Categoría no existe",IF(E3918="","⚠ Falta cuenta",IF(ISNA(MATCH(E3918,ctaNom,0)),"⚠ Cuenta no existe",IF(AND(OR(I3918="Transferencia",I3918="Pago tarjeta"),G3918=""),"⚠ Indica la cuenta «Hacia»",IF(AND(G3918&lt;&gt;"",G3918=E3918),"⚠ «Hacia» igual a la cuenta",IF(AND(G3918&lt;&gt;"",ISNA(MATCH(G3918,ctaNom,0))),"⚠ «Hacia» no existe",IF(AND(I3918="Pago tarjeta",IFERROR(INDEX(ctaTipo,MATCH(G3918,ctaNom,0)),"")&lt;&gt;"Tarjeta de crédito"),"⚠ «Hacia» debe ser la tarjeta",IF(AND(I3918="Trading",IFERROR(INDEX(ctaTipo,MATCH(E3918,ctaNom,0)),"")&lt;&gt;"Cuenta de trading"),"⚠ Usa la cuenta de trading","✓"))))))))))))</f>
        <v/>
      </c>
      <c r="I3918" s="19">
        <f>IF(OR(B3918="",C3918="",D3918=""),"",IFERROR(INDEX(catTipo,MATCH(D3918,catNom,0))&amp;"",""))</f>
        <v/>
      </c>
      <c r="J3918" s="19">
        <f>IF(I3918="","",IFERROR(INDEX(catGrupo,MATCH(D3918,catNom,0))&amp;"",""))</f>
        <v/>
      </c>
      <c r="K3918" s="19">
        <f>IF(I3918="Gasto",IF(IFERROR(INDEX(catClas,MATCH(D3918,catNom,0))&amp;"","")="","Variable",IFERROR(INDEX(catClas,MATCH(D3918,catNom,0))&amp;"","")),"")</f>
        <v/>
      </c>
      <c r="L3918" s="19">
        <f>IF(I3918="","",IFERROR(INDEX(catAlim,MATCH(D3918,catNom,0))&amp;"",""))</f>
        <v/>
      </c>
      <c r="M3918" s="19">
        <f>IF(I3918="","",IFERROR(INDEX(catComida,MATCH(D3918,catNom,0))&amp;"",""))</f>
        <v/>
      </c>
      <c r="N3918" s="19">
        <f>IF(I3918="","",IFERROR(INDEX(ctaMon,MATCH(E3918,ctaNom,0))&amp;"","DOP"))</f>
        <v/>
      </c>
      <c r="O3918" s="20">
        <f>IF(I3918="","",C3918*IF(N3918="USD",TasaUSD,1))</f>
        <v/>
      </c>
      <c r="P3918" s="20">
        <f>IF(I3918="","",IF(I3918="Gasto",O3918,0))</f>
        <v/>
      </c>
      <c r="Q3918" s="20">
        <f>IF(I3918="","",IF(I3918="Ingreso",O3918,0))</f>
        <v/>
      </c>
      <c r="R3918" s="20">
        <f>IF(I3918="","",IF(I3918="Trading",O3918,0))</f>
        <v/>
      </c>
      <c r="S3918" s="19">
        <f>IF(I3918="","",IF(AND(I3918="Gasto",K3918="Variable",J3918&lt;&gt;"Trading",O3918&gt;0,O3918&lt;=Umbral),1,0))</f>
        <v/>
      </c>
      <c r="T3918" s="20">
        <f>IF(OR(I3918="",E3918=""),"",IF(OR(I3918="Gasto",I3918="Transferencia",I3918="Pago tarjeta"),-1,1)*C3918)</f>
        <v/>
      </c>
      <c r="U3918" s="20">
        <f>IF(OR(G3918="",AND(I3918&lt;&gt;"Transferencia",I3918&lt;&gt;"Pago tarjeta")),"",IF(IFERROR(INDEX(ctaMon,MATCH(G3918,ctaNom,0))&amp;"","DOP")=N3918,C3918,IF(N3918="USD",C3918*TasaUSD,C3918/TasaUSD)))</f>
        <v/>
      </c>
      <c r="V3918" s="20">
        <f>IF(I3918="","",IF(IFERROR(INDEX(ctaLiq,MATCH(E3918,ctaNom,0))="Sí",FALSE),IF(OR(I3918="Gasto",I3918="Transferencia",I3918="Pago tarjeta"),-1,1)*O3918,0)+IF(AND(U3918&lt;&gt;"",IFERROR(INDEX(ctaLiq,MATCH(G3918,ctaNom,0))="Sí",FALSE)),O3918,0))</f>
        <v/>
      </c>
      <c r="W3918" s="19">
        <f>IF(OR(F3918="",I3918=""),"",IF(COUNTIFS(F$6:F3918,F3918,I$6:I3918,"?*")=1,MAX(W$5:W3917)+1,""))</f>
        <v/>
      </c>
    </row>
    <row r="3919">
      <c r="B3919" s="15" t="n"/>
      <c r="C3919" s="16" t="n"/>
      <c r="D3919" s="17" t="n"/>
      <c r="E3919" s="17" t="n"/>
      <c r="F3919" s="17" t="n"/>
      <c r="G3919" s="17" t="n"/>
      <c r="H3919" s="18">
        <f>IF(AND(B3919="",C3919="",D3919="",E3919=""),"",IF(B3919="","⚠ Falta fecha",IF(C3919="","⚠ Falta monto",IF(D3919="","⚠ Falta categoría",IF(ISNA(MATCH(D3919,catNom,0)),"⚠ Categoría no existe",IF(E3919="","⚠ Falta cuenta",IF(ISNA(MATCH(E3919,ctaNom,0)),"⚠ Cuenta no existe",IF(AND(OR(I3919="Transferencia",I3919="Pago tarjeta"),G3919=""),"⚠ Indica la cuenta «Hacia»",IF(AND(G3919&lt;&gt;"",G3919=E3919),"⚠ «Hacia» igual a la cuenta",IF(AND(G3919&lt;&gt;"",ISNA(MATCH(G3919,ctaNom,0))),"⚠ «Hacia» no existe",IF(AND(I3919="Pago tarjeta",IFERROR(INDEX(ctaTipo,MATCH(G3919,ctaNom,0)),"")&lt;&gt;"Tarjeta de crédito"),"⚠ «Hacia» debe ser la tarjeta",IF(AND(I3919="Trading",IFERROR(INDEX(ctaTipo,MATCH(E3919,ctaNom,0)),"")&lt;&gt;"Cuenta de trading"),"⚠ Usa la cuenta de trading","✓"))))))))))))</f>
        <v/>
      </c>
      <c r="I3919" s="19">
        <f>IF(OR(B3919="",C3919="",D3919=""),"",IFERROR(INDEX(catTipo,MATCH(D3919,catNom,0))&amp;"",""))</f>
        <v/>
      </c>
      <c r="J3919" s="19">
        <f>IF(I3919="","",IFERROR(INDEX(catGrupo,MATCH(D3919,catNom,0))&amp;"",""))</f>
        <v/>
      </c>
      <c r="K3919" s="19">
        <f>IF(I3919="Gasto",IF(IFERROR(INDEX(catClas,MATCH(D3919,catNom,0))&amp;"","")="","Variable",IFERROR(INDEX(catClas,MATCH(D3919,catNom,0))&amp;"","")),"")</f>
        <v/>
      </c>
      <c r="L3919" s="19">
        <f>IF(I3919="","",IFERROR(INDEX(catAlim,MATCH(D3919,catNom,0))&amp;"",""))</f>
        <v/>
      </c>
      <c r="M3919" s="19">
        <f>IF(I3919="","",IFERROR(INDEX(catComida,MATCH(D3919,catNom,0))&amp;"",""))</f>
        <v/>
      </c>
      <c r="N3919" s="19">
        <f>IF(I3919="","",IFERROR(INDEX(ctaMon,MATCH(E3919,ctaNom,0))&amp;"","DOP"))</f>
        <v/>
      </c>
      <c r="O3919" s="20">
        <f>IF(I3919="","",C3919*IF(N3919="USD",TasaUSD,1))</f>
        <v/>
      </c>
      <c r="P3919" s="20">
        <f>IF(I3919="","",IF(I3919="Gasto",O3919,0))</f>
        <v/>
      </c>
      <c r="Q3919" s="20">
        <f>IF(I3919="","",IF(I3919="Ingreso",O3919,0))</f>
        <v/>
      </c>
      <c r="R3919" s="20">
        <f>IF(I3919="","",IF(I3919="Trading",O3919,0))</f>
        <v/>
      </c>
      <c r="S3919" s="19">
        <f>IF(I3919="","",IF(AND(I3919="Gasto",K3919="Variable",J3919&lt;&gt;"Trading",O3919&gt;0,O3919&lt;=Umbral),1,0))</f>
        <v/>
      </c>
      <c r="T3919" s="20">
        <f>IF(OR(I3919="",E3919=""),"",IF(OR(I3919="Gasto",I3919="Transferencia",I3919="Pago tarjeta"),-1,1)*C3919)</f>
        <v/>
      </c>
      <c r="U3919" s="20">
        <f>IF(OR(G3919="",AND(I3919&lt;&gt;"Transferencia",I3919&lt;&gt;"Pago tarjeta")),"",IF(IFERROR(INDEX(ctaMon,MATCH(G3919,ctaNom,0))&amp;"","DOP")=N3919,C3919,IF(N3919="USD",C3919*TasaUSD,C3919/TasaUSD)))</f>
        <v/>
      </c>
      <c r="V3919" s="20">
        <f>IF(I3919="","",IF(IFERROR(INDEX(ctaLiq,MATCH(E3919,ctaNom,0))="Sí",FALSE),IF(OR(I3919="Gasto",I3919="Transferencia",I3919="Pago tarjeta"),-1,1)*O3919,0)+IF(AND(U3919&lt;&gt;"",IFERROR(INDEX(ctaLiq,MATCH(G3919,ctaNom,0))="Sí",FALSE)),O3919,0))</f>
        <v/>
      </c>
      <c r="W3919" s="19">
        <f>IF(OR(F3919="",I3919=""),"",IF(COUNTIFS(F$6:F3919,F3919,I$6:I3919,"?*")=1,MAX(W$5:W3918)+1,""))</f>
        <v/>
      </c>
    </row>
    <row r="3920">
      <c r="B3920" s="15" t="n"/>
      <c r="C3920" s="16" t="n"/>
      <c r="D3920" s="17" t="n"/>
      <c r="E3920" s="17" t="n"/>
      <c r="F3920" s="17" t="n"/>
      <c r="G3920" s="17" t="n"/>
      <c r="H3920" s="18">
        <f>IF(AND(B3920="",C3920="",D3920="",E3920=""),"",IF(B3920="","⚠ Falta fecha",IF(C3920="","⚠ Falta monto",IF(D3920="","⚠ Falta categoría",IF(ISNA(MATCH(D3920,catNom,0)),"⚠ Categoría no existe",IF(E3920="","⚠ Falta cuenta",IF(ISNA(MATCH(E3920,ctaNom,0)),"⚠ Cuenta no existe",IF(AND(OR(I3920="Transferencia",I3920="Pago tarjeta"),G3920=""),"⚠ Indica la cuenta «Hacia»",IF(AND(G3920&lt;&gt;"",G3920=E3920),"⚠ «Hacia» igual a la cuenta",IF(AND(G3920&lt;&gt;"",ISNA(MATCH(G3920,ctaNom,0))),"⚠ «Hacia» no existe",IF(AND(I3920="Pago tarjeta",IFERROR(INDEX(ctaTipo,MATCH(G3920,ctaNom,0)),"")&lt;&gt;"Tarjeta de crédito"),"⚠ «Hacia» debe ser la tarjeta",IF(AND(I3920="Trading",IFERROR(INDEX(ctaTipo,MATCH(E3920,ctaNom,0)),"")&lt;&gt;"Cuenta de trading"),"⚠ Usa la cuenta de trading","✓"))))))))))))</f>
        <v/>
      </c>
      <c r="I3920" s="19">
        <f>IF(OR(B3920="",C3920="",D3920=""),"",IFERROR(INDEX(catTipo,MATCH(D3920,catNom,0))&amp;"",""))</f>
        <v/>
      </c>
      <c r="J3920" s="19">
        <f>IF(I3920="","",IFERROR(INDEX(catGrupo,MATCH(D3920,catNom,0))&amp;"",""))</f>
        <v/>
      </c>
      <c r="K3920" s="19">
        <f>IF(I3920="Gasto",IF(IFERROR(INDEX(catClas,MATCH(D3920,catNom,0))&amp;"","")="","Variable",IFERROR(INDEX(catClas,MATCH(D3920,catNom,0))&amp;"","")),"")</f>
        <v/>
      </c>
      <c r="L3920" s="19">
        <f>IF(I3920="","",IFERROR(INDEX(catAlim,MATCH(D3920,catNom,0))&amp;"",""))</f>
        <v/>
      </c>
      <c r="M3920" s="19">
        <f>IF(I3920="","",IFERROR(INDEX(catComida,MATCH(D3920,catNom,0))&amp;"",""))</f>
        <v/>
      </c>
      <c r="N3920" s="19">
        <f>IF(I3920="","",IFERROR(INDEX(ctaMon,MATCH(E3920,ctaNom,0))&amp;"","DOP"))</f>
        <v/>
      </c>
      <c r="O3920" s="20">
        <f>IF(I3920="","",C3920*IF(N3920="USD",TasaUSD,1))</f>
        <v/>
      </c>
      <c r="P3920" s="20">
        <f>IF(I3920="","",IF(I3920="Gasto",O3920,0))</f>
        <v/>
      </c>
      <c r="Q3920" s="20">
        <f>IF(I3920="","",IF(I3920="Ingreso",O3920,0))</f>
        <v/>
      </c>
      <c r="R3920" s="20">
        <f>IF(I3920="","",IF(I3920="Trading",O3920,0))</f>
        <v/>
      </c>
      <c r="S3920" s="19">
        <f>IF(I3920="","",IF(AND(I3920="Gasto",K3920="Variable",J3920&lt;&gt;"Trading",O3920&gt;0,O3920&lt;=Umbral),1,0))</f>
        <v/>
      </c>
      <c r="T3920" s="20">
        <f>IF(OR(I3920="",E3920=""),"",IF(OR(I3920="Gasto",I3920="Transferencia",I3920="Pago tarjeta"),-1,1)*C3920)</f>
        <v/>
      </c>
      <c r="U3920" s="20">
        <f>IF(OR(G3920="",AND(I3920&lt;&gt;"Transferencia",I3920&lt;&gt;"Pago tarjeta")),"",IF(IFERROR(INDEX(ctaMon,MATCH(G3920,ctaNom,0))&amp;"","DOP")=N3920,C3920,IF(N3920="USD",C3920*TasaUSD,C3920/TasaUSD)))</f>
        <v/>
      </c>
      <c r="V3920" s="20">
        <f>IF(I3920="","",IF(IFERROR(INDEX(ctaLiq,MATCH(E3920,ctaNom,0))="Sí",FALSE),IF(OR(I3920="Gasto",I3920="Transferencia",I3920="Pago tarjeta"),-1,1)*O3920,0)+IF(AND(U3920&lt;&gt;"",IFERROR(INDEX(ctaLiq,MATCH(G3920,ctaNom,0))="Sí",FALSE)),O3920,0))</f>
        <v/>
      </c>
      <c r="W3920" s="19">
        <f>IF(OR(F3920="",I3920=""),"",IF(COUNTIFS(F$6:F3920,F3920,I$6:I3920,"?*")=1,MAX(W$5:W3919)+1,""))</f>
        <v/>
      </c>
    </row>
    <row r="3921">
      <c r="B3921" s="15" t="n"/>
      <c r="C3921" s="16" t="n"/>
      <c r="D3921" s="17" t="n"/>
      <c r="E3921" s="17" t="n"/>
      <c r="F3921" s="17" t="n"/>
      <c r="G3921" s="17" t="n"/>
      <c r="H3921" s="18">
        <f>IF(AND(B3921="",C3921="",D3921="",E3921=""),"",IF(B3921="","⚠ Falta fecha",IF(C3921="","⚠ Falta monto",IF(D3921="","⚠ Falta categoría",IF(ISNA(MATCH(D3921,catNom,0)),"⚠ Categoría no existe",IF(E3921="","⚠ Falta cuenta",IF(ISNA(MATCH(E3921,ctaNom,0)),"⚠ Cuenta no existe",IF(AND(OR(I3921="Transferencia",I3921="Pago tarjeta"),G3921=""),"⚠ Indica la cuenta «Hacia»",IF(AND(G3921&lt;&gt;"",G3921=E3921),"⚠ «Hacia» igual a la cuenta",IF(AND(G3921&lt;&gt;"",ISNA(MATCH(G3921,ctaNom,0))),"⚠ «Hacia» no existe",IF(AND(I3921="Pago tarjeta",IFERROR(INDEX(ctaTipo,MATCH(G3921,ctaNom,0)),"")&lt;&gt;"Tarjeta de crédito"),"⚠ «Hacia» debe ser la tarjeta",IF(AND(I3921="Trading",IFERROR(INDEX(ctaTipo,MATCH(E3921,ctaNom,0)),"")&lt;&gt;"Cuenta de trading"),"⚠ Usa la cuenta de trading","✓"))))))))))))</f>
        <v/>
      </c>
      <c r="I3921" s="19">
        <f>IF(OR(B3921="",C3921="",D3921=""),"",IFERROR(INDEX(catTipo,MATCH(D3921,catNom,0))&amp;"",""))</f>
        <v/>
      </c>
      <c r="J3921" s="19">
        <f>IF(I3921="","",IFERROR(INDEX(catGrupo,MATCH(D3921,catNom,0))&amp;"",""))</f>
        <v/>
      </c>
      <c r="K3921" s="19">
        <f>IF(I3921="Gasto",IF(IFERROR(INDEX(catClas,MATCH(D3921,catNom,0))&amp;"","")="","Variable",IFERROR(INDEX(catClas,MATCH(D3921,catNom,0))&amp;"","")),"")</f>
        <v/>
      </c>
      <c r="L3921" s="19">
        <f>IF(I3921="","",IFERROR(INDEX(catAlim,MATCH(D3921,catNom,0))&amp;"",""))</f>
        <v/>
      </c>
      <c r="M3921" s="19">
        <f>IF(I3921="","",IFERROR(INDEX(catComida,MATCH(D3921,catNom,0))&amp;"",""))</f>
        <v/>
      </c>
      <c r="N3921" s="19">
        <f>IF(I3921="","",IFERROR(INDEX(ctaMon,MATCH(E3921,ctaNom,0))&amp;"","DOP"))</f>
        <v/>
      </c>
      <c r="O3921" s="20">
        <f>IF(I3921="","",C3921*IF(N3921="USD",TasaUSD,1))</f>
        <v/>
      </c>
      <c r="P3921" s="20">
        <f>IF(I3921="","",IF(I3921="Gasto",O3921,0))</f>
        <v/>
      </c>
      <c r="Q3921" s="20">
        <f>IF(I3921="","",IF(I3921="Ingreso",O3921,0))</f>
        <v/>
      </c>
      <c r="R3921" s="20">
        <f>IF(I3921="","",IF(I3921="Trading",O3921,0))</f>
        <v/>
      </c>
      <c r="S3921" s="19">
        <f>IF(I3921="","",IF(AND(I3921="Gasto",K3921="Variable",J3921&lt;&gt;"Trading",O3921&gt;0,O3921&lt;=Umbral),1,0))</f>
        <v/>
      </c>
      <c r="T3921" s="20">
        <f>IF(OR(I3921="",E3921=""),"",IF(OR(I3921="Gasto",I3921="Transferencia",I3921="Pago tarjeta"),-1,1)*C3921)</f>
        <v/>
      </c>
      <c r="U3921" s="20">
        <f>IF(OR(G3921="",AND(I3921&lt;&gt;"Transferencia",I3921&lt;&gt;"Pago tarjeta")),"",IF(IFERROR(INDEX(ctaMon,MATCH(G3921,ctaNom,0))&amp;"","DOP")=N3921,C3921,IF(N3921="USD",C3921*TasaUSD,C3921/TasaUSD)))</f>
        <v/>
      </c>
      <c r="V3921" s="20">
        <f>IF(I3921="","",IF(IFERROR(INDEX(ctaLiq,MATCH(E3921,ctaNom,0))="Sí",FALSE),IF(OR(I3921="Gasto",I3921="Transferencia",I3921="Pago tarjeta"),-1,1)*O3921,0)+IF(AND(U3921&lt;&gt;"",IFERROR(INDEX(ctaLiq,MATCH(G3921,ctaNom,0))="Sí",FALSE)),O3921,0))</f>
        <v/>
      </c>
      <c r="W3921" s="19">
        <f>IF(OR(F3921="",I3921=""),"",IF(COUNTIFS(F$6:F3921,F3921,I$6:I3921,"?*")=1,MAX(W$5:W3920)+1,""))</f>
        <v/>
      </c>
    </row>
    <row r="3922">
      <c r="B3922" s="15" t="n"/>
      <c r="C3922" s="16" t="n"/>
      <c r="D3922" s="17" t="n"/>
      <c r="E3922" s="17" t="n"/>
      <c r="F3922" s="17" t="n"/>
      <c r="G3922" s="17" t="n"/>
      <c r="H3922" s="18">
        <f>IF(AND(B3922="",C3922="",D3922="",E3922=""),"",IF(B3922="","⚠ Falta fecha",IF(C3922="","⚠ Falta monto",IF(D3922="","⚠ Falta categoría",IF(ISNA(MATCH(D3922,catNom,0)),"⚠ Categoría no existe",IF(E3922="","⚠ Falta cuenta",IF(ISNA(MATCH(E3922,ctaNom,0)),"⚠ Cuenta no existe",IF(AND(OR(I3922="Transferencia",I3922="Pago tarjeta"),G3922=""),"⚠ Indica la cuenta «Hacia»",IF(AND(G3922&lt;&gt;"",G3922=E3922),"⚠ «Hacia» igual a la cuenta",IF(AND(G3922&lt;&gt;"",ISNA(MATCH(G3922,ctaNom,0))),"⚠ «Hacia» no existe",IF(AND(I3922="Pago tarjeta",IFERROR(INDEX(ctaTipo,MATCH(G3922,ctaNom,0)),"")&lt;&gt;"Tarjeta de crédito"),"⚠ «Hacia» debe ser la tarjeta",IF(AND(I3922="Trading",IFERROR(INDEX(ctaTipo,MATCH(E3922,ctaNom,0)),"")&lt;&gt;"Cuenta de trading"),"⚠ Usa la cuenta de trading","✓"))))))))))))</f>
        <v/>
      </c>
      <c r="I3922" s="19">
        <f>IF(OR(B3922="",C3922="",D3922=""),"",IFERROR(INDEX(catTipo,MATCH(D3922,catNom,0))&amp;"",""))</f>
        <v/>
      </c>
      <c r="J3922" s="19">
        <f>IF(I3922="","",IFERROR(INDEX(catGrupo,MATCH(D3922,catNom,0))&amp;"",""))</f>
        <v/>
      </c>
      <c r="K3922" s="19">
        <f>IF(I3922="Gasto",IF(IFERROR(INDEX(catClas,MATCH(D3922,catNom,0))&amp;"","")="","Variable",IFERROR(INDEX(catClas,MATCH(D3922,catNom,0))&amp;"","")),"")</f>
        <v/>
      </c>
      <c r="L3922" s="19">
        <f>IF(I3922="","",IFERROR(INDEX(catAlim,MATCH(D3922,catNom,0))&amp;"",""))</f>
        <v/>
      </c>
      <c r="M3922" s="19">
        <f>IF(I3922="","",IFERROR(INDEX(catComida,MATCH(D3922,catNom,0))&amp;"",""))</f>
        <v/>
      </c>
      <c r="N3922" s="19">
        <f>IF(I3922="","",IFERROR(INDEX(ctaMon,MATCH(E3922,ctaNom,0))&amp;"","DOP"))</f>
        <v/>
      </c>
      <c r="O3922" s="20">
        <f>IF(I3922="","",C3922*IF(N3922="USD",TasaUSD,1))</f>
        <v/>
      </c>
      <c r="P3922" s="20">
        <f>IF(I3922="","",IF(I3922="Gasto",O3922,0))</f>
        <v/>
      </c>
      <c r="Q3922" s="20">
        <f>IF(I3922="","",IF(I3922="Ingreso",O3922,0))</f>
        <v/>
      </c>
      <c r="R3922" s="20">
        <f>IF(I3922="","",IF(I3922="Trading",O3922,0))</f>
        <v/>
      </c>
      <c r="S3922" s="19">
        <f>IF(I3922="","",IF(AND(I3922="Gasto",K3922="Variable",J3922&lt;&gt;"Trading",O3922&gt;0,O3922&lt;=Umbral),1,0))</f>
        <v/>
      </c>
      <c r="T3922" s="20">
        <f>IF(OR(I3922="",E3922=""),"",IF(OR(I3922="Gasto",I3922="Transferencia",I3922="Pago tarjeta"),-1,1)*C3922)</f>
        <v/>
      </c>
      <c r="U3922" s="20">
        <f>IF(OR(G3922="",AND(I3922&lt;&gt;"Transferencia",I3922&lt;&gt;"Pago tarjeta")),"",IF(IFERROR(INDEX(ctaMon,MATCH(G3922,ctaNom,0))&amp;"","DOP")=N3922,C3922,IF(N3922="USD",C3922*TasaUSD,C3922/TasaUSD)))</f>
        <v/>
      </c>
      <c r="V3922" s="20">
        <f>IF(I3922="","",IF(IFERROR(INDEX(ctaLiq,MATCH(E3922,ctaNom,0))="Sí",FALSE),IF(OR(I3922="Gasto",I3922="Transferencia",I3922="Pago tarjeta"),-1,1)*O3922,0)+IF(AND(U3922&lt;&gt;"",IFERROR(INDEX(ctaLiq,MATCH(G3922,ctaNom,0))="Sí",FALSE)),O3922,0))</f>
        <v/>
      </c>
      <c r="W3922" s="19">
        <f>IF(OR(F3922="",I3922=""),"",IF(COUNTIFS(F$6:F3922,F3922,I$6:I3922,"?*")=1,MAX(W$5:W3921)+1,""))</f>
        <v/>
      </c>
    </row>
    <row r="3923">
      <c r="B3923" s="15" t="n"/>
      <c r="C3923" s="16" t="n"/>
      <c r="D3923" s="17" t="n"/>
      <c r="E3923" s="17" t="n"/>
      <c r="F3923" s="17" t="n"/>
      <c r="G3923" s="17" t="n"/>
      <c r="H3923" s="18">
        <f>IF(AND(B3923="",C3923="",D3923="",E3923=""),"",IF(B3923="","⚠ Falta fecha",IF(C3923="","⚠ Falta monto",IF(D3923="","⚠ Falta categoría",IF(ISNA(MATCH(D3923,catNom,0)),"⚠ Categoría no existe",IF(E3923="","⚠ Falta cuenta",IF(ISNA(MATCH(E3923,ctaNom,0)),"⚠ Cuenta no existe",IF(AND(OR(I3923="Transferencia",I3923="Pago tarjeta"),G3923=""),"⚠ Indica la cuenta «Hacia»",IF(AND(G3923&lt;&gt;"",G3923=E3923),"⚠ «Hacia» igual a la cuenta",IF(AND(G3923&lt;&gt;"",ISNA(MATCH(G3923,ctaNom,0))),"⚠ «Hacia» no existe",IF(AND(I3923="Pago tarjeta",IFERROR(INDEX(ctaTipo,MATCH(G3923,ctaNom,0)),"")&lt;&gt;"Tarjeta de crédito"),"⚠ «Hacia» debe ser la tarjeta",IF(AND(I3923="Trading",IFERROR(INDEX(ctaTipo,MATCH(E3923,ctaNom,0)),"")&lt;&gt;"Cuenta de trading"),"⚠ Usa la cuenta de trading","✓"))))))))))))</f>
        <v/>
      </c>
      <c r="I3923" s="19">
        <f>IF(OR(B3923="",C3923="",D3923=""),"",IFERROR(INDEX(catTipo,MATCH(D3923,catNom,0))&amp;"",""))</f>
        <v/>
      </c>
      <c r="J3923" s="19">
        <f>IF(I3923="","",IFERROR(INDEX(catGrupo,MATCH(D3923,catNom,0))&amp;"",""))</f>
        <v/>
      </c>
      <c r="K3923" s="19">
        <f>IF(I3923="Gasto",IF(IFERROR(INDEX(catClas,MATCH(D3923,catNom,0))&amp;"","")="","Variable",IFERROR(INDEX(catClas,MATCH(D3923,catNom,0))&amp;"","")),"")</f>
        <v/>
      </c>
      <c r="L3923" s="19">
        <f>IF(I3923="","",IFERROR(INDEX(catAlim,MATCH(D3923,catNom,0))&amp;"",""))</f>
        <v/>
      </c>
      <c r="M3923" s="19">
        <f>IF(I3923="","",IFERROR(INDEX(catComida,MATCH(D3923,catNom,0))&amp;"",""))</f>
        <v/>
      </c>
      <c r="N3923" s="19">
        <f>IF(I3923="","",IFERROR(INDEX(ctaMon,MATCH(E3923,ctaNom,0))&amp;"","DOP"))</f>
        <v/>
      </c>
      <c r="O3923" s="20">
        <f>IF(I3923="","",C3923*IF(N3923="USD",TasaUSD,1))</f>
        <v/>
      </c>
      <c r="P3923" s="20">
        <f>IF(I3923="","",IF(I3923="Gasto",O3923,0))</f>
        <v/>
      </c>
      <c r="Q3923" s="20">
        <f>IF(I3923="","",IF(I3923="Ingreso",O3923,0))</f>
        <v/>
      </c>
      <c r="R3923" s="20">
        <f>IF(I3923="","",IF(I3923="Trading",O3923,0))</f>
        <v/>
      </c>
      <c r="S3923" s="19">
        <f>IF(I3923="","",IF(AND(I3923="Gasto",K3923="Variable",J3923&lt;&gt;"Trading",O3923&gt;0,O3923&lt;=Umbral),1,0))</f>
        <v/>
      </c>
      <c r="T3923" s="20">
        <f>IF(OR(I3923="",E3923=""),"",IF(OR(I3923="Gasto",I3923="Transferencia",I3923="Pago tarjeta"),-1,1)*C3923)</f>
        <v/>
      </c>
      <c r="U3923" s="20">
        <f>IF(OR(G3923="",AND(I3923&lt;&gt;"Transferencia",I3923&lt;&gt;"Pago tarjeta")),"",IF(IFERROR(INDEX(ctaMon,MATCH(G3923,ctaNom,0))&amp;"","DOP")=N3923,C3923,IF(N3923="USD",C3923*TasaUSD,C3923/TasaUSD)))</f>
        <v/>
      </c>
      <c r="V3923" s="20">
        <f>IF(I3923="","",IF(IFERROR(INDEX(ctaLiq,MATCH(E3923,ctaNom,0))="Sí",FALSE),IF(OR(I3923="Gasto",I3923="Transferencia",I3923="Pago tarjeta"),-1,1)*O3923,0)+IF(AND(U3923&lt;&gt;"",IFERROR(INDEX(ctaLiq,MATCH(G3923,ctaNom,0))="Sí",FALSE)),O3923,0))</f>
        <v/>
      </c>
      <c r="W3923" s="19">
        <f>IF(OR(F3923="",I3923=""),"",IF(COUNTIFS(F$6:F3923,F3923,I$6:I3923,"?*")=1,MAX(W$5:W3922)+1,""))</f>
        <v/>
      </c>
    </row>
    <row r="3924">
      <c r="B3924" s="15" t="n"/>
      <c r="C3924" s="16" t="n"/>
      <c r="D3924" s="17" t="n"/>
      <c r="E3924" s="17" t="n"/>
      <c r="F3924" s="17" t="n"/>
      <c r="G3924" s="17" t="n"/>
      <c r="H3924" s="18">
        <f>IF(AND(B3924="",C3924="",D3924="",E3924=""),"",IF(B3924="","⚠ Falta fecha",IF(C3924="","⚠ Falta monto",IF(D3924="","⚠ Falta categoría",IF(ISNA(MATCH(D3924,catNom,0)),"⚠ Categoría no existe",IF(E3924="","⚠ Falta cuenta",IF(ISNA(MATCH(E3924,ctaNom,0)),"⚠ Cuenta no existe",IF(AND(OR(I3924="Transferencia",I3924="Pago tarjeta"),G3924=""),"⚠ Indica la cuenta «Hacia»",IF(AND(G3924&lt;&gt;"",G3924=E3924),"⚠ «Hacia» igual a la cuenta",IF(AND(G3924&lt;&gt;"",ISNA(MATCH(G3924,ctaNom,0))),"⚠ «Hacia» no existe",IF(AND(I3924="Pago tarjeta",IFERROR(INDEX(ctaTipo,MATCH(G3924,ctaNom,0)),"")&lt;&gt;"Tarjeta de crédito"),"⚠ «Hacia» debe ser la tarjeta",IF(AND(I3924="Trading",IFERROR(INDEX(ctaTipo,MATCH(E3924,ctaNom,0)),"")&lt;&gt;"Cuenta de trading"),"⚠ Usa la cuenta de trading","✓"))))))))))))</f>
        <v/>
      </c>
      <c r="I3924" s="19">
        <f>IF(OR(B3924="",C3924="",D3924=""),"",IFERROR(INDEX(catTipo,MATCH(D3924,catNom,0))&amp;"",""))</f>
        <v/>
      </c>
      <c r="J3924" s="19">
        <f>IF(I3924="","",IFERROR(INDEX(catGrupo,MATCH(D3924,catNom,0))&amp;"",""))</f>
        <v/>
      </c>
      <c r="K3924" s="19">
        <f>IF(I3924="Gasto",IF(IFERROR(INDEX(catClas,MATCH(D3924,catNom,0))&amp;"","")="","Variable",IFERROR(INDEX(catClas,MATCH(D3924,catNom,0))&amp;"","")),"")</f>
        <v/>
      </c>
      <c r="L3924" s="19">
        <f>IF(I3924="","",IFERROR(INDEX(catAlim,MATCH(D3924,catNom,0))&amp;"",""))</f>
        <v/>
      </c>
      <c r="M3924" s="19">
        <f>IF(I3924="","",IFERROR(INDEX(catComida,MATCH(D3924,catNom,0))&amp;"",""))</f>
        <v/>
      </c>
      <c r="N3924" s="19">
        <f>IF(I3924="","",IFERROR(INDEX(ctaMon,MATCH(E3924,ctaNom,0))&amp;"","DOP"))</f>
        <v/>
      </c>
      <c r="O3924" s="20">
        <f>IF(I3924="","",C3924*IF(N3924="USD",TasaUSD,1))</f>
        <v/>
      </c>
      <c r="P3924" s="20">
        <f>IF(I3924="","",IF(I3924="Gasto",O3924,0))</f>
        <v/>
      </c>
      <c r="Q3924" s="20">
        <f>IF(I3924="","",IF(I3924="Ingreso",O3924,0))</f>
        <v/>
      </c>
      <c r="R3924" s="20">
        <f>IF(I3924="","",IF(I3924="Trading",O3924,0))</f>
        <v/>
      </c>
      <c r="S3924" s="19">
        <f>IF(I3924="","",IF(AND(I3924="Gasto",K3924="Variable",J3924&lt;&gt;"Trading",O3924&gt;0,O3924&lt;=Umbral),1,0))</f>
        <v/>
      </c>
      <c r="T3924" s="20">
        <f>IF(OR(I3924="",E3924=""),"",IF(OR(I3924="Gasto",I3924="Transferencia",I3924="Pago tarjeta"),-1,1)*C3924)</f>
        <v/>
      </c>
      <c r="U3924" s="20">
        <f>IF(OR(G3924="",AND(I3924&lt;&gt;"Transferencia",I3924&lt;&gt;"Pago tarjeta")),"",IF(IFERROR(INDEX(ctaMon,MATCH(G3924,ctaNom,0))&amp;"","DOP")=N3924,C3924,IF(N3924="USD",C3924*TasaUSD,C3924/TasaUSD)))</f>
        <v/>
      </c>
      <c r="V3924" s="20">
        <f>IF(I3924="","",IF(IFERROR(INDEX(ctaLiq,MATCH(E3924,ctaNom,0))="Sí",FALSE),IF(OR(I3924="Gasto",I3924="Transferencia",I3924="Pago tarjeta"),-1,1)*O3924,0)+IF(AND(U3924&lt;&gt;"",IFERROR(INDEX(ctaLiq,MATCH(G3924,ctaNom,0))="Sí",FALSE)),O3924,0))</f>
        <v/>
      </c>
      <c r="W3924" s="19">
        <f>IF(OR(F3924="",I3924=""),"",IF(COUNTIFS(F$6:F3924,F3924,I$6:I3924,"?*")=1,MAX(W$5:W3923)+1,""))</f>
        <v/>
      </c>
    </row>
    <row r="3925">
      <c r="B3925" s="15" t="n"/>
      <c r="C3925" s="16" t="n"/>
      <c r="D3925" s="17" t="n"/>
      <c r="E3925" s="17" t="n"/>
      <c r="F3925" s="17" t="n"/>
      <c r="G3925" s="17" t="n"/>
      <c r="H3925" s="18">
        <f>IF(AND(B3925="",C3925="",D3925="",E3925=""),"",IF(B3925="","⚠ Falta fecha",IF(C3925="","⚠ Falta monto",IF(D3925="","⚠ Falta categoría",IF(ISNA(MATCH(D3925,catNom,0)),"⚠ Categoría no existe",IF(E3925="","⚠ Falta cuenta",IF(ISNA(MATCH(E3925,ctaNom,0)),"⚠ Cuenta no existe",IF(AND(OR(I3925="Transferencia",I3925="Pago tarjeta"),G3925=""),"⚠ Indica la cuenta «Hacia»",IF(AND(G3925&lt;&gt;"",G3925=E3925),"⚠ «Hacia» igual a la cuenta",IF(AND(G3925&lt;&gt;"",ISNA(MATCH(G3925,ctaNom,0))),"⚠ «Hacia» no existe",IF(AND(I3925="Pago tarjeta",IFERROR(INDEX(ctaTipo,MATCH(G3925,ctaNom,0)),"")&lt;&gt;"Tarjeta de crédito"),"⚠ «Hacia» debe ser la tarjeta",IF(AND(I3925="Trading",IFERROR(INDEX(ctaTipo,MATCH(E3925,ctaNom,0)),"")&lt;&gt;"Cuenta de trading"),"⚠ Usa la cuenta de trading","✓"))))))))))))</f>
        <v/>
      </c>
      <c r="I3925" s="19">
        <f>IF(OR(B3925="",C3925="",D3925=""),"",IFERROR(INDEX(catTipo,MATCH(D3925,catNom,0))&amp;"",""))</f>
        <v/>
      </c>
      <c r="J3925" s="19">
        <f>IF(I3925="","",IFERROR(INDEX(catGrupo,MATCH(D3925,catNom,0))&amp;"",""))</f>
        <v/>
      </c>
      <c r="K3925" s="19">
        <f>IF(I3925="Gasto",IF(IFERROR(INDEX(catClas,MATCH(D3925,catNom,0))&amp;"","")="","Variable",IFERROR(INDEX(catClas,MATCH(D3925,catNom,0))&amp;"","")),"")</f>
        <v/>
      </c>
      <c r="L3925" s="19">
        <f>IF(I3925="","",IFERROR(INDEX(catAlim,MATCH(D3925,catNom,0))&amp;"",""))</f>
        <v/>
      </c>
      <c r="M3925" s="19">
        <f>IF(I3925="","",IFERROR(INDEX(catComida,MATCH(D3925,catNom,0))&amp;"",""))</f>
        <v/>
      </c>
      <c r="N3925" s="19">
        <f>IF(I3925="","",IFERROR(INDEX(ctaMon,MATCH(E3925,ctaNom,0))&amp;"","DOP"))</f>
        <v/>
      </c>
      <c r="O3925" s="20">
        <f>IF(I3925="","",C3925*IF(N3925="USD",TasaUSD,1))</f>
        <v/>
      </c>
      <c r="P3925" s="20">
        <f>IF(I3925="","",IF(I3925="Gasto",O3925,0))</f>
        <v/>
      </c>
      <c r="Q3925" s="20">
        <f>IF(I3925="","",IF(I3925="Ingreso",O3925,0))</f>
        <v/>
      </c>
      <c r="R3925" s="20">
        <f>IF(I3925="","",IF(I3925="Trading",O3925,0))</f>
        <v/>
      </c>
      <c r="S3925" s="19">
        <f>IF(I3925="","",IF(AND(I3925="Gasto",K3925="Variable",J3925&lt;&gt;"Trading",O3925&gt;0,O3925&lt;=Umbral),1,0))</f>
        <v/>
      </c>
      <c r="T3925" s="20">
        <f>IF(OR(I3925="",E3925=""),"",IF(OR(I3925="Gasto",I3925="Transferencia",I3925="Pago tarjeta"),-1,1)*C3925)</f>
        <v/>
      </c>
      <c r="U3925" s="20">
        <f>IF(OR(G3925="",AND(I3925&lt;&gt;"Transferencia",I3925&lt;&gt;"Pago tarjeta")),"",IF(IFERROR(INDEX(ctaMon,MATCH(G3925,ctaNom,0))&amp;"","DOP")=N3925,C3925,IF(N3925="USD",C3925*TasaUSD,C3925/TasaUSD)))</f>
        <v/>
      </c>
      <c r="V3925" s="20">
        <f>IF(I3925="","",IF(IFERROR(INDEX(ctaLiq,MATCH(E3925,ctaNom,0))="Sí",FALSE),IF(OR(I3925="Gasto",I3925="Transferencia",I3925="Pago tarjeta"),-1,1)*O3925,0)+IF(AND(U3925&lt;&gt;"",IFERROR(INDEX(ctaLiq,MATCH(G3925,ctaNom,0))="Sí",FALSE)),O3925,0))</f>
        <v/>
      </c>
      <c r="W3925" s="19">
        <f>IF(OR(F3925="",I3925=""),"",IF(COUNTIFS(F$6:F3925,F3925,I$6:I3925,"?*")=1,MAX(W$5:W3924)+1,""))</f>
        <v/>
      </c>
    </row>
    <row r="3926">
      <c r="B3926" s="15" t="n"/>
      <c r="C3926" s="16" t="n"/>
      <c r="D3926" s="17" t="n"/>
      <c r="E3926" s="17" t="n"/>
      <c r="F3926" s="17" t="n"/>
      <c r="G3926" s="17" t="n"/>
      <c r="H3926" s="18">
        <f>IF(AND(B3926="",C3926="",D3926="",E3926=""),"",IF(B3926="","⚠ Falta fecha",IF(C3926="","⚠ Falta monto",IF(D3926="","⚠ Falta categoría",IF(ISNA(MATCH(D3926,catNom,0)),"⚠ Categoría no existe",IF(E3926="","⚠ Falta cuenta",IF(ISNA(MATCH(E3926,ctaNom,0)),"⚠ Cuenta no existe",IF(AND(OR(I3926="Transferencia",I3926="Pago tarjeta"),G3926=""),"⚠ Indica la cuenta «Hacia»",IF(AND(G3926&lt;&gt;"",G3926=E3926),"⚠ «Hacia» igual a la cuenta",IF(AND(G3926&lt;&gt;"",ISNA(MATCH(G3926,ctaNom,0))),"⚠ «Hacia» no existe",IF(AND(I3926="Pago tarjeta",IFERROR(INDEX(ctaTipo,MATCH(G3926,ctaNom,0)),"")&lt;&gt;"Tarjeta de crédito"),"⚠ «Hacia» debe ser la tarjeta",IF(AND(I3926="Trading",IFERROR(INDEX(ctaTipo,MATCH(E3926,ctaNom,0)),"")&lt;&gt;"Cuenta de trading"),"⚠ Usa la cuenta de trading","✓"))))))))))))</f>
        <v/>
      </c>
      <c r="I3926" s="19">
        <f>IF(OR(B3926="",C3926="",D3926=""),"",IFERROR(INDEX(catTipo,MATCH(D3926,catNom,0))&amp;"",""))</f>
        <v/>
      </c>
      <c r="J3926" s="19">
        <f>IF(I3926="","",IFERROR(INDEX(catGrupo,MATCH(D3926,catNom,0))&amp;"",""))</f>
        <v/>
      </c>
      <c r="K3926" s="19">
        <f>IF(I3926="Gasto",IF(IFERROR(INDEX(catClas,MATCH(D3926,catNom,0))&amp;"","")="","Variable",IFERROR(INDEX(catClas,MATCH(D3926,catNom,0))&amp;"","")),"")</f>
        <v/>
      </c>
      <c r="L3926" s="19">
        <f>IF(I3926="","",IFERROR(INDEX(catAlim,MATCH(D3926,catNom,0))&amp;"",""))</f>
        <v/>
      </c>
      <c r="M3926" s="19">
        <f>IF(I3926="","",IFERROR(INDEX(catComida,MATCH(D3926,catNom,0))&amp;"",""))</f>
        <v/>
      </c>
      <c r="N3926" s="19">
        <f>IF(I3926="","",IFERROR(INDEX(ctaMon,MATCH(E3926,ctaNom,0))&amp;"","DOP"))</f>
        <v/>
      </c>
      <c r="O3926" s="20">
        <f>IF(I3926="","",C3926*IF(N3926="USD",TasaUSD,1))</f>
        <v/>
      </c>
      <c r="P3926" s="20">
        <f>IF(I3926="","",IF(I3926="Gasto",O3926,0))</f>
        <v/>
      </c>
      <c r="Q3926" s="20">
        <f>IF(I3926="","",IF(I3926="Ingreso",O3926,0))</f>
        <v/>
      </c>
      <c r="R3926" s="20">
        <f>IF(I3926="","",IF(I3926="Trading",O3926,0))</f>
        <v/>
      </c>
      <c r="S3926" s="19">
        <f>IF(I3926="","",IF(AND(I3926="Gasto",K3926="Variable",J3926&lt;&gt;"Trading",O3926&gt;0,O3926&lt;=Umbral),1,0))</f>
        <v/>
      </c>
      <c r="T3926" s="20">
        <f>IF(OR(I3926="",E3926=""),"",IF(OR(I3926="Gasto",I3926="Transferencia",I3926="Pago tarjeta"),-1,1)*C3926)</f>
        <v/>
      </c>
      <c r="U3926" s="20">
        <f>IF(OR(G3926="",AND(I3926&lt;&gt;"Transferencia",I3926&lt;&gt;"Pago tarjeta")),"",IF(IFERROR(INDEX(ctaMon,MATCH(G3926,ctaNom,0))&amp;"","DOP")=N3926,C3926,IF(N3926="USD",C3926*TasaUSD,C3926/TasaUSD)))</f>
        <v/>
      </c>
      <c r="V3926" s="20">
        <f>IF(I3926="","",IF(IFERROR(INDEX(ctaLiq,MATCH(E3926,ctaNom,0))="Sí",FALSE),IF(OR(I3926="Gasto",I3926="Transferencia",I3926="Pago tarjeta"),-1,1)*O3926,0)+IF(AND(U3926&lt;&gt;"",IFERROR(INDEX(ctaLiq,MATCH(G3926,ctaNom,0))="Sí",FALSE)),O3926,0))</f>
        <v/>
      </c>
      <c r="W3926" s="19">
        <f>IF(OR(F3926="",I3926=""),"",IF(COUNTIFS(F$6:F3926,F3926,I$6:I3926,"?*")=1,MAX(W$5:W3925)+1,""))</f>
        <v/>
      </c>
    </row>
    <row r="3927">
      <c r="B3927" s="15" t="n"/>
      <c r="C3927" s="16" t="n"/>
      <c r="D3927" s="17" t="n"/>
      <c r="E3927" s="17" t="n"/>
      <c r="F3927" s="17" t="n"/>
      <c r="G3927" s="17" t="n"/>
      <c r="H3927" s="18">
        <f>IF(AND(B3927="",C3927="",D3927="",E3927=""),"",IF(B3927="","⚠ Falta fecha",IF(C3927="","⚠ Falta monto",IF(D3927="","⚠ Falta categoría",IF(ISNA(MATCH(D3927,catNom,0)),"⚠ Categoría no existe",IF(E3927="","⚠ Falta cuenta",IF(ISNA(MATCH(E3927,ctaNom,0)),"⚠ Cuenta no existe",IF(AND(OR(I3927="Transferencia",I3927="Pago tarjeta"),G3927=""),"⚠ Indica la cuenta «Hacia»",IF(AND(G3927&lt;&gt;"",G3927=E3927),"⚠ «Hacia» igual a la cuenta",IF(AND(G3927&lt;&gt;"",ISNA(MATCH(G3927,ctaNom,0))),"⚠ «Hacia» no existe",IF(AND(I3927="Pago tarjeta",IFERROR(INDEX(ctaTipo,MATCH(G3927,ctaNom,0)),"")&lt;&gt;"Tarjeta de crédito"),"⚠ «Hacia» debe ser la tarjeta",IF(AND(I3927="Trading",IFERROR(INDEX(ctaTipo,MATCH(E3927,ctaNom,0)),"")&lt;&gt;"Cuenta de trading"),"⚠ Usa la cuenta de trading","✓"))))))))))))</f>
        <v/>
      </c>
      <c r="I3927" s="19">
        <f>IF(OR(B3927="",C3927="",D3927=""),"",IFERROR(INDEX(catTipo,MATCH(D3927,catNom,0))&amp;"",""))</f>
        <v/>
      </c>
      <c r="J3927" s="19">
        <f>IF(I3927="","",IFERROR(INDEX(catGrupo,MATCH(D3927,catNom,0))&amp;"",""))</f>
        <v/>
      </c>
      <c r="K3927" s="19">
        <f>IF(I3927="Gasto",IF(IFERROR(INDEX(catClas,MATCH(D3927,catNom,0))&amp;"","")="","Variable",IFERROR(INDEX(catClas,MATCH(D3927,catNom,0))&amp;"","")),"")</f>
        <v/>
      </c>
      <c r="L3927" s="19">
        <f>IF(I3927="","",IFERROR(INDEX(catAlim,MATCH(D3927,catNom,0))&amp;"",""))</f>
        <v/>
      </c>
      <c r="M3927" s="19">
        <f>IF(I3927="","",IFERROR(INDEX(catComida,MATCH(D3927,catNom,0))&amp;"",""))</f>
        <v/>
      </c>
      <c r="N3927" s="19">
        <f>IF(I3927="","",IFERROR(INDEX(ctaMon,MATCH(E3927,ctaNom,0))&amp;"","DOP"))</f>
        <v/>
      </c>
      <c r="O3927" s="20">
        <f>IF(I3927="","",C3927*IF(N3927="USD",TasaUSD,1))</f>
        <v/>
      </c>
      <c r="P3927" s="20">
        <f>IF(I3927="","",IF(I3927="Gasto",O3927,0))</f>
        <v/>
      </c>
      <c r="Q3927" s="20">
        <f>IF(I3927="","",IF(I3927="Ingreso",O3927,0))</f>
        <v/>
      </c>
      <c r="R3927" s="20">
        <f>IF(I3927="","",IF(I3927="Trading",O3927,0))</f>
        <v/>
      </c>
      <c r="S3927" s="19">
        <f>IF(I3927="","",IF(AND(I3927="Gasto",K3927="Variable",J3927&lt;&gt;"Trading",O3927&gt;0,O3927&lt;=Umbral),1,0))</f>
        <v/>
      </c>
      <c r="T3927" s="20">
        <f>IF(OR(I3927="",E3927=""),"",IF(OR(I3927="Gasto",I3927="Transferencia",I3927="Pago tarjeta"),-1,1)*C3927)</f>
        <v/>
      </c>
      <c r="U3927" s="20">
        <f>IF(OR(G3927="",AND(I3927&lt;&gt;"Transferencia",I3927&lt;&gt;"Pago tarjeta")),"",IF(IFERROR(INDEX(ctaMon,MATCH(G3927,ctaNom,0))&amp;"","DOP")=N3927,C3927,IF(N3927="USD",C3927*TasaUSD,C3927/TasaUSD)))</f>
        <v/>
      </c>
      <c r="V3927" s="20">
        <f>IF(I3927="","",IF(IFERROR(INDEX(ctaLiq,MATCH(E3927,ctaNom,0))="Sí",FALSE),IF(OR(I3927="Gasto",I3927="Transferencia",I3927="Pago tarjeta"),-1,1)*O3927,0)+IF(AND(U3927&lt;&gt;"",IFERROR(INDEX(ctaLiq,MATCH(G3927,ctaNom,0))="Sí",FALSE)),O3927,0))</f>
        <v/>
      </c>
      <c r="W3927" s="19">
        <f>IF(OR(F3927="",I3927=""),"",IF(COUNTIFS(F$6:F3927,F3927,I$6:I3927,"?*")=1,MAX(W$5:W3926)+1,""))</f>
        <v/>
      </c>
    </row>
    <row r="3928">
      <c r="B3928" s="15" t="n"/>
      <c r="C3928" s="16" t="n"/>
      <c r="D3928" s="17" t="n"/>
      <c r="E3928" s="17" t="n"/>
      <c r="F3928" s="17" t="n"/>
      <c r="G3928" s="17" t="n"/>
      <c r="H3928" s="18">
        <f>IF(AND(B3928="",C3928="",D3928="",E3928=""),"",IF(B3928="","⚠ Falta fecha",IF(C3928="","⚠ Falta monto",IF(D3928="","⚠ Falta categoría",IF(ISNA(MATCH(D3928,catNom,0)),"⚠ Categoría no existe",IF(E3928="","⚠ Falta cuenta",IF(ISNA(MATCH(E3928,ctaNom,0)),"⚠ Cuenta no existe",IF(AND(OR(I3928="Transferencia",I3928="Pago tarjeta"),G3928=""),"⚠ Indica la cuenta «Hacia»",IF(AND(G3928&lt;&gt;"",G3928=E3928),"⚠ «Hacia» igual a la cuenta",IF(AND(G3928&lt;&gt;"",ISNA(MATCH(G3928,ctaNom,0))),"⚠ «Hacia» no existe",IF(AND(I3928="Pago tarjeta",IFERROR(INDEX(ctaTipo,MATCH(G3928,ctaNom,0)),"")&lt;&gt;"Tarjeta de crédito"),"⚠ «Hacia» debe ser la tarjeta",IF(AND(I3928="Trading",IFERROR(INDEX(ctaTipo,MATCH(E3928,ctaNom,0)),"")&lt;&gt;"Cuenta de trading"),"⚠ Usa la cuenta de trading","✓"))))))))))))</f>
        <v/>
      </c>
      <c r="I3928" s="19">
        <f>IF(OR(B3928="",C3928="",D3928=""),"",IFERROR(INDEX(catTipo,MATCH(D3928,catNom,0))&amp;"",""))</f>
        <v/>
      </c>
      <c r="J3928" s="19">
        <f>IF(I3928="","",IFERROR(INDEX(catGrupo,MATCH(D3928,catNom,0))&amp;"",""))</f>
        <v/>
      </c>
      <c r="K3928" s="19">
        <f>IF(I3928="Gasto",IF(IFERROR(INDEX(catClas,MATCH(D3928,catNom,0))&amp;"","")="","Variable",IFERROR(INDEX(catClas,MATCH(D3928,catNom,0))&amp;"","")),"")</f>
        <v/>
      </c>
      <c r="L3928" s="19">
        <f>IF(I3928="","",IFERROR(INDEX(catAlim,MATCH(D3928,catNom,0))&amp;"",""))</f>
        <v/>
      </c>
      <c r="M3928" s="19">
        <f>IF(I3928="","",IFERROR(INDEX(catComida,MATCH(D3928,catNom,0))&amp;"",""))</f>
        <v/>
      </c>
      <c r="N3928" s="19">
        <f>IF(I3928="","",IFERROR(INDEX(ctaMon,MATCH(E3928,ctaNom,0))&amp;"","DOP"))</f>
        <v/>
      </c>
      <c r="O3928" s="20">
        <f>IF(I3928="","",C3928*IF(N3928="USD",TasaUSD,1))</f>
        <v/>
      </c>
      <c r="P3928" s="20">
        <f>IF(I3928="","",IF(I3928="Gasto",O3928,0))</f>
        <v/>
      </c>
      <c r="Q3928" s="20">
        <f>IF(I3928="","",IF(I3928="Ingreso",O3928,0))</f>
        <v/>
      </c>
      <c r="R3928" s="20">
        <f>IF(I3928="","",IF(I3928="Trading",O3928,0))</f>
        <v/>
      </c>
      <c r="S3928" s="19">
        <f>IF(I3928="","",IF(AND(I3928="Gasto",K3928="Variable",J3928&lt;&gt;"Trading",O3928&gt;0,O3928&lt;=Umbral),1,0))</f>
        <v/>
      </c>
      <c r="T3928" s="20">
        <f>IF(OR(I3928="",E3928=""),"",IF(OR(I3928="Gasto",I3928="Transferencia",I3928="Pago tarjeta"),-1,1)*C3928)</f>
        <v/>
      </c>
      <c r="U3928" s="20">
        <f>IF(OR(G3928="",AND(I3928&lt;&gt;"Transferencia",I3928&lt;&gt;"Pago tarjeta")),"",IF(IFERROR(INDEX(ctaMon,MATCH(G3928,ctaNom,0))&amp;"","DOP")=N3928,C3928,IF(N3928="USD",C3928*TasaUSD,C3928/TasaUSD)))</f>
        <v/>
      </c>
      <c r="V3928" s="20">
        <f>IF(I3928="","",IF(IFERROR(INDEX(ctaLiq,MATCH(E3928,ctaNom,0))="Sí",FALSE),IF(OR(I3928="Gasto",I3928="Transferencia",I3928="Pago tarjeta"),-1,1)*O3928,0)+IF(AND(U3928&lt;&gt;"",IFERROR(INDEX(ctaLiq,MATCH(G3928,ctaNom,0))="Sí",FALSE)),O3928,0))</f>
        <v/>
      </c>
      <c r="W3928" s="19">
        <f>IF(OR(F3928="",I3928=""),"",IF(COUNTIFS(F$6:F3928,F3928,I$6:I3928,"?*")=1,MAX(W$5:W3927)+1,""))</f>
        <v/>
      </c>
    </row>
    <row r="3929">
      <c r="B3929" s="15" t="n"/>
      <c r="C3929" s="16" t="n"/>
      <c r="D3929" s="17" t="n"/>
      <c r="E3929" s="17" t="n"/>
      <c r="F3929" s="17" t="n"/>
      <c r="G3929" s="17" t="n"/>
      <c r="H3929" s="18">
        <f>IF(AND(B3929="",C3929="",D3929="",E3929=""),"",IF(B3929="","⚠ Falta fecha",IF(C3929="","⚠ Falta monto",IF(D3929="","⚠ Falta categoría",IF(ISNA(MATCH(D3929,catNom,0)),"⚠ Categoría no existe",IF(E3929="","⚠ Falta cuenta",IF(ISNA(MATCH(E3929,ctaNom,0)),"⚠ Cuenta no existe",IF(AND(OR(I3929="Transferencia",I3929="Pago tarjeta"),G3929=""),"⚠ Indica la cuenta «Hacia»",IF(AND(G3929&lt;&gt;"",G3929=E3929),"⚠ «Hacia» igual a la cuenta",IF(AND(G3929&lt;&gt;"",ISNA(MATCH(G3929,ctaNom,0))),"⚠ «Hacia» no existe",IF(AND(I3929="Pago tarjeta",IFERROR(INDEX(ctaTipo,MATCH(G3929,ctaNom,0)),"")&lt;&gt;"Tarjeta de crédito"),"⚠ «Hacia» debe ser la tarjeta",IF(AND(I3929="Trading",IFERROR(INDEX(ctaTipo,MATCH(E3929,ctaNom,0)),"")&lt;&gt;"Cuenta de trading"),"⚠ Usa la cuenta de trading","✓"))))))))))))</f>
        <v/>
      </c>
      <c r="I3929" s="19">
        <f>IF(OR(B3929="",C3929="",D3929=""),"",IFERROR(INDEX(catTipo,MATCH(D3929,catNom,0))&amp;"",""))</f>
        <v/>
      </c>
      <c r="J3929" s="19">
        <f>IF(I3929="","",IFERROR(INDEX(catGrupo,MATCH(D3929,catNom,0))&amp;"",""))</f>
        <v/>
      </c>
      <c r="K3929" s="19">
        <f>IF(I3929="Gasto",IF(IFERROR(INDEX(catClas,MATCH(D3929,catNom,0))&amp;"","")="","Variable",IFERROR(INDEX(catClas,MATCH(D3929,catNom,0))&amp;"","")),"")</f>
        <v/>
      </c>
      <c r="L3929" s="19">
        <f>IF(I3929="","",IFERROR(INDEX(catAlim,MATCH(D3929,catNom,0))&amp;"",""))</f>
        <v/>
      </c>
      <c r="M3929" s="19">
        <f>IF(I3929="","",IFERROR(INDEX(catComida,MATCH(D3929,catNom,0))&amp;"",""))</f>
        <v/>
      </c>
      <c r="N3929" s="19">
        <f>IF(I3929="","",IFERROR(INDEX(ctaMon,MATCH(E3929,ctaNom,0))&amp;"","DOP"))</f>
        <v/>
      </c>
      <c r="O3929" s="20">
        <f>IF(I3929="","",C3929*IF(N3929="USD",TasaUSD,1))</f>
        <v/>
      </c>
      <c r="P3929" s="20">
        <f>IF(I3929="","",IF(I3929="Gasto",O3929,0))</f>
        <v/>
      </c>
      <c r="Q3929" s="20">
        <f>IF(I3929="","",IF(I3929="Ingreso",O3929,0))</f>
        <v/>
      </c>
      <c r="R3929" s="20">
        <f>IF(I3929="","",IF(I3929="Trading",O3929,0))</f>
        <v/>
      </c>
      <c r="S3929" s="19">
        <f>IF(I3929="","",IF(AND(I3929="Gasto",K3929="Variable",J3929&lt;&gt;"Trading",O3929&gt;0,O3929&lt;=Umbral),1,0))</f>
        <v/>
      </c>
      <c r="T3929" s="20">
        <f>IF(OR(I3929="",E3929=""),"",IF(OR(I3929="Gasto",I3929="Transferencia",I3929="Pago tarjeta"),-1,1)*C3929)</f>
        <v/>
      </c>
      <c r="U3929" s="20">
        <f>IF(OR(G3929="",AND(I3929&lt;&gt;"Transferencia",I3929&lt;&gt;"Pago tarjeta")),"",IF(IFERROR(INDEX(ctaMon,MATCH(G3929,ctaNom,0))&amp;"","DOP")=N3929,C3929,IF(N3929="USD",C3929*TasaUSD,C3929/TasaUSD)))</f>
        <v/>
      </c>
      <c r="V3929" s="20">
        <f>IF(I3929="","",IF(IFERROR(INDEX(ctaLiq,MATCH(E3929,ctaNom,0))="Sí",FALSE),IF(OR(I3929="Gasto",I3929="Transferencia",I3929="Pago tarjeta"),-1,1)*O3929,0)+IF(AND(U3929&lt;&gt;"",IFERROR(INDEX(ctaLiq,MATCH(G3929,ctaNom,0))="Sí",FALSE)),O3929,0))</f>
        <v/>
      </c>
      <c r="W3929" s="19">
        <f>IF(OR(F3929="",I3929=""),"",IF(COUNTIFS(F$6:F3929,F3929,I$6:I3929,"?*")=1,MAX(W$5:W3928)+1,""))</f>
        <v/>
      </c>
    </row>
    <row r="3930">
      <c r="B3930" s="15" t="n"/>
      <c r="C3930" s="16" t="n"/>
      <c r="D3930" s="17" t="n"/>
      <c r="E3930" s="17" t="n"/>
      <c r="F3930" s="17" t="n"/>
      <c r="G3930" s="17" t="n"/>
      <c r="H3930" s="18">
        <f>IF(AND(B3930="",C3930="",D3930="",E3930=""),"",IF(B3930="","⚠ Falta fecha",IF(C3930="","⚠ Falta monto",IF(D3930="","⚠ Falta categoría",IF(ISNA(MATCH(D3930,catNom,0)),"⚠ Categoría no existe",IF(E3930="","⚠ Falta cuenta",IF(ISNA(MATCH(E3930,ctaNom,0)),"⚠ Cuenta no existe",IF(AND(OR(I3930="Transferencia",I3930="Pago tarjeta"),G3930=""),"⚠ Indica la cuenta «Hacia»",IF(AND(G3930&lt;&gt;"",G3930=E3930),"⚠ «Hacia» igual a la cuenta",IF(AND(G3930&lt;&gt;"",ISNA(MATCH(G3930,ctaNom,0))),"⚠ «Hacia» no existe",IF(AND(I3930="Pago tarjeta",IFERROR(INDEX(ctaTipo,MATCH(G3930,ctaNom,0)),"")&lt;&gt;"Tarjeta de crédito"),"⚠ «Hacia» debe ser la tarjeta",IF(AND(I3930="Trading",IFERROR(INDEX(ctaTipo,MATCH(E3930,ctaNom,0)),"")&lt;&gt;"Cuenta de trading"),"⚠ Usa la cuenta de trading","✓"))))))))))))</f>
        <v/>
      </c>
      <c r="I3930" s="19">
        <f>IF(OR(B3930="",C3930="",D3930=""),"",IFERROR(INDEX(catTipo,MATCH(D3930,catNom,0))&amp;"",""))</f>
        <v/>
      </c>
      <c r="J3930" s="19">
        <f>IF(I3930="","",IFERROR(INDEX(catGrupo,MATCH(D3930,catNom,0))&amp;"",""))</f>
        <v/>
      </c>
      <c r="K3930" s="19">
        <f>IF(I3930="Gasto",IF(IFERROR(INDEX(catClas,MATCH(D3930,catNom,0))&amp;"","")="","Variable",IFERROR(INDEX(catClas,MATCH(D3930,catNom,0))&amp;"","")),"")</f>
        <v/>
      </c>
      <c r="L3930" s="19">
        <f>IF(I3930="","",IFERROR(INDEX(catAlim,MATCH(D3930,catNom,0))&amp;"",""))</f>
        <v/>
      </c>
      <c r="M3930" s="19">
        <f>IF(I3930="","",IFERROR(INDEX(catComida,MATCH(D3930,catNom,0))&amp;"",""))</f>
        <v/>
      </c>
      <c r="N3930" s="19">
        <f>IF(I3930="","",IFERROR(INDEX(ctaMon,MATCH(E3930,ctaNom,0))&amp;"","DOP"))</f>
        <v/>
      </c>
      <c r="O3930" s="20">
        <f>IF(I3930="","",C3930*IF(N3930="USD",TasaUSD,1))</f>
        <v/>
      </c>
      <c r="P3930" s="20">
        <f>IF(I3930="","",IF(I3930="Gasto",O3930,0))</f>
        <v/>
      </c>
      <c r="Q3930" s="20">
        <f>IF(I3930="","",IF(I3930="Ingreso",O3930,0))</f>
        <v/>
      </c>
      <c r="R3930" s="20">
        <f>IF(I3930="","",IF(I3930="Trading",O3930,0))</f>
        <v/>
      </c>
      <c r="S3930" s="19">
        <f>IF(I3930="","",IF(AND(I3930="Gasto",K3930="Variable",J3930&lt;&gt;"Trading",O3930&gt;0,O3930&lt;=Umbral),1,0))</f>
        <v/>
      </c>
      <c r="T3930" s="20">
        <f>IF(OR(I3930="",E3930=""),"",IF(OR(I3930="Gasto",I3930="Transferencia",I3930="Pago tarjeta"),-1,1)*C3930)</f>
        <v/>
      </c>
      <c r="U3930" s="20">
        <f>IF(OR(G3930="",AND(I3930&lt;&gt;"Transferencia",I3930&lt;&gt;"Pago tarjeta")),"",IF(IFERROR(INDEX(ctaMon,MATCH(G3930,ctaNom,0))&amp;"","DOP")=N3930,C3930,IF(N3930="USD",C3930*TasaUSD,C3930/TasaUSD)))</f>
        <v/>
      </c>
      <c r="V3930" s="20">
        <f>IF(I3930="","",IF(IFERROR(INDEX(ctaLiq,MATCH(E3930,ctaNom,0))="Sí",FALSE),IF(OR(I3930="Gasto",I3930="Transferencia",I3930="Pago tarjeta"),-1,1)*O3930,0)+IF(AND(U3930&lt;&gt;"",IFERROR(INDEX(ctaLiq,MATCH(G3930,ctaNom,0))="Sí",FALSE)),O3930,0))</f>
        <v/>
      </c>
      <c r="W3930" s="19">
        <f>IF(OR(F3930="",I3930=""),"",IF(COUNTIFS(F$6:F3930,F3930,I$6:I3930,"?*")=1,MAX(W$5:W3929)+1,""))</f>
        <v/>
      </c>
    </row>
    <row r="3931">
      <c r="B3931" s="15" t="n"/>
      <c r="C3931" s="16" t="n"/>
      <c r="D3931" s="17" t="n"/>
      <c r="E3931" s="17" t="n"/>
      <c r="F3931" s="17" t="n"/>
      <c r="G3931" s="17" t="n"/>
      <c r="H3931" s="18">
        <f>IF(AND(B3931="",C3931="",D3931="",E3931=""),"",IF(B3931="","⚠ Falta fecha",IF(C3931="","⚠ Falta monto",IF(D3931="","⚠ Falta categoría",IF(ISNA(MATCH(D3931,catNom,0)),"⚠ Categoría no existe",IF(E3931="","⚠ Falta cuenta",IF(ISNA(MATCH(E3931,ctaNom,0)),"⚠ Cuenta no existe",IF(AND(OR(I3931="Transferencia",I3931="Pago tarjeta"),G3931=""),"⚠ Indica la cuenta «Hacia»",IF(AND(G3931&lt;&gt;"",G3931=E3931),"⚠ «Hacia» igual a la cuenta",IF(AND(G3931&lt;&gt;"",ISNA(MATCH(G3931,ctaNom,0))),"⚠ «Hacia» no existe",IF(AND(I3931="Pago tarjeta",IFERROR(INDEX(ctaTipo,MATCH(G3931,ctaNom,0)),"")&lt;&gt;"Tarjeta de crédito"),"⚠ «Hacia» debe ser la tarjeta",IF(AND(I3931="Trading",IFERROR(INDEX(ctaTipo,MATCH(E3931,ctaNom,0)),"")&lt;&gt;"Cuenta de trading"),"⚠ Usa la cuenta de trading","✓"))))))))))))</f>
        <v/>
      </c>
      <c r="I3931" s="19">
        <f>IF(OR(B3931="",C3931="",D3931=""),"",IFERROR(INDEX(catTipo,MATCH(D3931,catNom,0))&amp;"",""))</f>
        <v/>
      </c>
      <c r="J3931" s="19">
        <f>IF(I3931="","",IFERROR(INDEX(catGrupo,MATCH(D3931,catNom,0))&amp;"",""))</f>
        <v/>
      </c>
      <c r="K3931" s="19">
        <f>IF(I3931="Gasto",IF(IFERROR(INDEX(catClas,MATCH(D3931,catNom,0))&amp;"","")="","Variable",IFERROR(INDEX(catClas,MATCH(D3931,catNom,0))&amp;"","")),"")</f>
        <v/>
      </c>
      <c r="L3931" s="19">
        <f>IF(I3931="","",IFERROR(INDEX(catAlim,MATCH(D3931,catNom,0))&amp;"",""))</f>
        <v/>
      </c>
      <c r="M3931" s="19">
        <f>IF(I3931="","",IFERROR(INDEX(catComida,MATCH(D3931,catNom,0))&amp;"",""))</f>
        <v/>
      </c>
      <c r="N3931" s="19">
        <f>IF(I3931="","",IFERROR(INDEX(ctaMon,MATCH(E3931,ctaNom,0))&amp;"","DOP"))</f>
        <v/>
      </c>
      <c r="O3931" s="20">
        <f>IF(I3931="","",C3931*IF(N3931="USD",TasaUSD,1))</f>
        <v/>
      </c>
      <c r="P3931" s="20">
        <f>IF(I3931="","",IF(I3931="Gasto",O3931,0))</f>
        <v/>
      </c>
      <c r="Q3931" s="20">
        <f>IF(I3931="","",IF(I3931="Ingreso",O3931,0))</f>
        <v/>
      </c>
      <c r="R3931" s="20">
        <f>IF(I3931="","",IF(I3931="Trading",O3931,0))</f>
        <v/>
      </c>
      <c r="S3931" s="19">
        <f>IF(I3931="","",IF(AND(I3931="Gasto",K3931="Variable",J3931&lt;&gt;"Trading",O3931&gt;0,O3931&lt;=Umbral),1,0))</f>
        <v/>
      </c>
      <c r="T3931" s="20">
        <f>IF(OR(I3931="",E3931=""),"",IF(OR(I3931="Gasto",I3931="Transferencia",I3931="Pago tarjeta"),-1,1)*C3931)</f>
        <v/>
      </c>
      <c r="U3931" s="20">
        <f>IF(OR(G3931="",AND(I3931&lt;&gt;"Transferencia",I3931&lt;&gt;"Pago tarjeta")),"",IF(IFERROR(INDEX(ctaMon,MATCH(G3931,ctaNom,0))&amp;"","DOP")=N3931,C3931,IF(N3931="USD",C3931*TasaUSD,C3931/TasaUSD)))</f>
        <v/>
      </c>
      <c r="V3931" s="20">
        <f>IF(I3931="","",IF(IFERROR(INDEX(ctaLiq,MATCH(E3931,ctaNom,0))="Sí",FALSE),IF(OR(I3931="Gasto",I3931="Transferencia",I3931="Pago tarjeta"),-1,1)*O3931,0)+IF(AND(U3931&lt;&gt;"",IFERROR(INDEX(ctaLiq,MATCH(G3931,ctaNom,0))="Sí",FALSE)),O3931,0))</f>
        <v/>
      </c>
      <c r="W3931" s="19">
        <f>IF(OR(F3931="",I3931=""),"",IF(COUNTIFS(F$6:F3931,F3931,I$6:I3931,"?*")=1,MAX(W$5:W3930)+1,""))</f>
        <v/>
      </c>
    </row>
    <row r="3932">
      <c r="B3932" s="15" t="n"/>
      <c r="C3932" s="16" t="n"/>
      <c r="D3932" s="17" t="n"/>
      <c r="E3932" s="17" t="n"/>
      <c r="F3932" s="17" t="n"/>
      <c r="G3932" s="17" t="n"/>
      <c r="H3932" s="18">
        <f>IF(AND(B3932="",C3932="",D3932="",E3932=""),"",IF(B3932="","⚠ Falta fecha",IF(C3932="","⚠ Falta monto",IF(D3932="","⚠ Falta categoría",IF(ISNA(MATCH(D3932,catNom,0)),"⚠ Categoría no existe",IF(E3932="","⚠ Falta cuenta",IF(ISNA(MATCH(E3932,ctaNom,0)),"⚠ Cuenta no existe",IF(AND(OR(I3932="Transferencia",I3932="Pago tarjeta"),G3932=""),"⚠ Indica la cuenta «Hacia»",IF(AND(G3932&lt;&gt;"",G3932=E3932),"⚠ «Hacia» igual a la cuenta",IF(AND(G3932&lt;&gt;"",ISNA(MATCH(G3932,ctaNom,0))),"⚠ «Hacia» no existe",IF(AND(I3932="Pago tarjeta",IFERROR(INDEX(ctaTipo,MATCH(G3932,ctaNom,0)),"")&lt;&gt;"Tarjeta de crédito"),"⚠ «Hacia» debe ser la tarjeta",IF(AND(I3932="Trading",IFERROR(INDEX(ctaTipo,MATCH(E3932,ctaNom,0)),"")&lt;&gt;"Cuenta de trading"),"⚠ Usa la cuenta de trading","✓"))))))))))))</f>
        <v/>
      </c>
      <c r="I3932" s="19">
        <f>IF(OR(B3932="",C3932="",D3932=""),"",IFERROR(INDEX(catTipo,MATCH(D3932,catNom,0))&amp;"",""))</f>
        <v/>
      </c>
      <c r="J3932" s="19">
        <f>IF(I3932="","",IFERROR(INDEX(catGrupo,MATCH(D3932,catNom,0))&amp;"",""))</f>
        <v/>
      </c>
      <c r="K3932" s="19">
        <f>IF(I3932="Gasto",IF(IFERROR(INDEX(catClas,MATCH(D3932,catNom,0))&amp;"","")="","Variable",IFERROR(INDEX(catClas,MATCH(D3932,catNom,0))&amp;"","")),"")</f>
        <v/>
      </c>
      <c r="L3932" s="19">
        <f>IF(I3932="","",IFERROR(INDEX(catAlim,MATCH(D3932,catNom,0))&amp;"",""))</f>
        <v/>
      </c>
      <c r="M3932" s="19">
        <f>IF(I3932="","",IFERROR(INDEX(catComida,MATCH(D3932,catNom,0))&amp;"",""))</f>
        <v/>
      </c>
      <c r="N3932" s="19">
        <f>IF(I3932="","",IFERROR(INDEX(ctaMon,MATCH(E3932,ctaNom,0))&amp;"","DOP"))</f>
        <v/>
      </c>
      <c r="O3932" s="20">
        <f>IF(I3932="","",C3932*IF(N3932="USD",TasaUSD,1))</f>
        <v/>
      </c>
      <c r="P3932" s="20">
        <f>IF(I3932="","",IF(I3932="Gasto",O3932,0))</f>
        <v/>
      </c>
      <c r="Q3932" s="20">
        <f>IF(I3932="","",IF(I3932="Ingreso",O3932,0))</f>
        <v/>
      </c>
      <c r="R3932" s="20">
        <f>IF(I3932="","",IF(I3932="Trading",O3932,0))</f>
        <v/>
      </c>
      <c r="S3932" s="19">
        <f>IF(I3932="","",IF(AND(I3932="Gasto",K3932="Variable",J3932&lt;&gt;"Trading",O3932&gt;0,O3932&lt;=Umbral),1,0))</f>
        <v/>
      </c>
      <c r="T3932" s="20">
        <f>IF(OR(I3932="",E3932=""),"",IF(OR(I3932="Gasto",I3932="Transferencia",I3932="Pago tarjeta"),-1,1)*C3932)</f>
        <v/>
      </c>
      <c r="U3932" s="20">
        <f>IF(OR(G3932="",AND(I3932&lt;&gt;"Transferencia",I3932&lt;&gt;"Pago tarjeta")),"",IF(IFERROR(INDEX(ctaMon,MATCH(G3932,ctaNom,0))&amp;"","DOP")=N3932,C3932,IF(N3932="USD",C3932*TasaUSD,C3932/TasaUSD)))</f>
        <v/>
      </c>
      <c r="V3932" s="20">
        <f>IF(I3932="","",IF(IFERROR(INDEX(ctaLiq,MATCH(E3932,ctaNom,0))="Sí",FALSE),IF(OR(I3932="Gasto",I3932="Transferencia",I3932="Pago tarjeta"),-1,1)*O3932,0)+IF(AND(U3932&lt;&gt;"",IFERROR(INDEX(ctaLiq,MATCH(G3932,ctaNom,0))="Sí",FALSE)),O3932,0))</f>
        <v/>
      </c>
      <c r="W3932" s="19">
        <f>IF(OR(F3932="",I3932=""),"",IF(COUNTIFS(F$6:F3932,F3932,I$6:I3932,"?*")=1,MAX(W$5:W3931)+1,""))</f>
        <v/>
      </c>
    </row>
    <row r="3933">
      <c r="B3933" s="15" t="n"/>
      <c r="C3933" s="16" t="n"/>
      <c r="D3933" s="17" t="n"/>
      <c r="E3933" s="17" t="n"/>
      <c r="F3933" s="17" t="n"/>
      <c r="G3933" s="17" t="n"/>
      <c r="H3933" s="18">
        <f>IF(AND(B3933="",C3933="",D3933="",E3933=""),"",IF(B3933="","⚠ Falta fecha",IF(C3933="","⚠ Falta monto",IF(D3933="","⚠ Falta categoría",IF(ISNA(MATCH(D3933,catNom,0)),"⚠ Categoría no existe",IF(E3933="","⚠ Falta cuenta",IF(ISNA(MATCH(E3933,ctaNom,0)),"⚠ Cuenta no existe",IF(AND(OR(I3933="Transferencia",I3933="Pago tarjeta"),G3933=""),"⚠ Indica la cuenta «Hacia»",IF(AND(G3933&lt;&gt;"",G3933=E3933),"⚠ «Hacia» igual a la cuenta",IF(AND(G3933&lt;&gt;"",ISNA(MATCH(G3933,ctaNom,0))),"⚠ «Hacia» no existe",IF(AND(I3933="Pago tarjeta",IFERROR(INDEX(ctaTipo,MATCH(G3933,ctaNom,0)),"")&lt;&gt;"Tarjeta de crédito"),"⚠ «Hacia» debe ser la tarjeta",IF(AND(I3933="Trading",IFERROR(INDEX(ctaTipo,MATCH(E3933,ctaNom,0)),"")&lt;&gt;"Cuenta de trading"),"⚠ Usa la cuenta de trading","✓"))))))))))))</f>
        <v/>
      </c>
      <c r="I3933" s="19">
        <f>IF(OR(B3933="",C3933="",D3933=""),"",IFERROR(INDEX(catTipo,MATCH(D3933,catNom,0))&amp;"",""))</f>
        <v/>
      </c>
      <c r="J3933" s="19">
        <f>IF(I3933="","",IFERROR(INDEX(catGrupo,MATCH(D3933,catNom,0))&amp;"",""))</f>
        <v/>
      </c>
      <c r="K3933" s="19">
        <f>IF(I3933="Gasto",IF(IFERROR(INDEX(catClas,MATCH(D3933,catNom,0))&amp;"","")="","Variable",IFERROR(INDEX(catClas,MATCH(D3933,catNom,0))&amp;"","")),"")</f>
        <v/>
      </c>
      <c r="L3933" s="19">
        <f>IF(I3933="","",IFERROR(INDEX(catAlim,MATCH(D3933,catNom,0))&amp;"",""))</f>
        <v/>
      </c>
      <c r="M3933" s="19">
        <f>IF(I3933="","",IFERROR(INDEX(catComida,MATCH(D3933,catNom,0))&amp;"",""))</f>
        <v/>
      </c>
      <c r="N3933" s="19">
        <f>IF(I3933="","",IFERROR(INDEX(ctaMon,MATCH(E3933,ctaNom,0))&amp;"","DOP"))</f>
        <v/>
      </c>
      <c r="O3933" s="20">
        <f>IF(I3933="","",C3933*IF(N3933="USD",TasaUSD,1))</f>
        <v/>
      </c>
      <c r="P3933" s="20">
        <f>IF(I3933="","",IF(I3933="Gasto",O3933,0))</f>
        <v/>
      </c>
      <c r="Q3933" s="20">
        <f>IF(I3933="","",IF(I3933="Ingreso",O3933,0))</f>
        <v/>
      </c>
      <c r="R3933" s="20">
        <f>IF(I3933="","",IF(I3933="Trading",O3933,0))</f>
        <v/>
      </c>
      <c r="S3933" s="19">
        <f>IF(I3933="","",IF(AND(I3933="Gasto",K3933="Variable",J3933&lt;&gt;"Trading",O3933&gt;0,O3933&lt;=Umbral),1,0))</f>
        <v/>
      </c>
      <c r="T3933" s="20">
        <f>IF(OR(I3933="",E3933=""),"",IF(OR(I3933="Gasto",I3933="Transferencia",I3933="Pago tarjeta"),-1,1)*C3933)</f>
        <v/>
      </c>
      <c r="U3933" s="20">
        <f>IF(OR(G3933="",AND(I3933&lt;&gt;"Transferencia",I3933&lt;&gt;"Pago tarjeta")),"",IF(IFERROR(INDEX(ctaMon,MATCH(G3933,ctaNom,0))&amp;"","DOP")=N3933,C3933,IF(N3933="USD",C3933*TasaUSD,C3933/TasaUSD)))</f>
        <v/>
      </c>
      <c r="V3933" s="20">
        <f>IF(I3933="","",IF(IFERROR(INDEX(ctaLiq,MATCH(E3933,ctaNom,0))="Sí",FALSE),IF(OR(I3933="Gasto",I3933="Transferencia",I3933="Pago tarjeta"),-1,1)*O3933,0)+IF(AND(U3933&lt;&gt;"",IFERROR(INDEX(ctaLiq,MATCH(G3933,ctaNom,0))="Sí",FALSE)),O3933,0))</f>
        <v/>
      </c>
      <c r="W3933" s="19">
        <f>IF(OR(F3933="",I3933=""),"",IF(COUNTIFS(F$6:F3933,F3933,I$6:I3933,"?*")=1,MAX(W$5:W3932)+1,""))</f>
        <v/>
      </c>
    </row>
    <row r="3934">
      <c r="B3934" s="15" t="n"/>
      <c r="C3934" s="16" t="n"/>
      <c r="D3934" s="17" t="n"/>
      <c r="E3934" s="17" t="n"/>
      <c r="F3934" s="17" t="n"/>
      <c r="G3934" s="17" t="n"/>
      <c r="H3934" s="18">
        <f>IF(AND(B3934="",C3934="",D3934="",E3934=""),"",IF(B3934="","⚠ Falta fecha",IF(C3934="","⚠ Falta monto",IF(D3934="","⚠ Falta categoría",IF(ISNA(MATCH(D3934,catNom,0)),"⚠ Categoría no existe",IF(E3934="","⚠ Falta cuenta",IF(ISNA(MATCH(E3934,ctaNom,0)),"⚠ Cuenta no existe",IF(AND(OR(I3934="Transferencia",I3934="Pago tarjeta"),G3934=""),"⚠ Indica la cuenta «Hacia»",IF(AND(G3934&lt;&gt;"",G3934=E3934),"⚠ «Hacia» igual a la cuenta",IF(AND(G3934&lt;&gt;"",ISNA(MATCH(G3934,ctaNom,0))),"⚠ «Hacia» no existe",IF(AND(I3934="Pago tarjeta",IFERROR(INDEX(ctaTipo,MATCH(G3934,ctaNom,0)),"")&lt;&gt;"Tarjeta de crédito"),"⚠ «Hacia» debe ser la tarjeta",IF(AND(I3934="Trading",IFERROR(INDEX(ctaTipo,MATCH(E3934,ctaNom,0)),"")&lt;&gt;"Cuenta de trading"),"⚠ Usa la cuenta de trading","✓"))))))))))))</f>
        <v/>
      </c>
      <c r="I3934" s="19">
        <f>IF(OR(B3934="",C3934="",D3934=""),"",IFERROR(INDEX(catTipo,MATCH(D3934,catNom,0))&amp;"",""))</f>
        <v/>
      </c>
      <c r="J3934" s="19">
        <f>IF(I3934="","",IFERROR(INDEX(catGrupo,MATCH(D3934,catNom,0))&amp;"",""))</f>
        <v/>
      </c>
      <c r="K3934" s="19">
        <f>IF(I3934="Gasto",IF(IFERROR(INDEX(catClas,MATCH(D3934,catNom,0))&amp;"","")="","Variable",IFERROR(INDEX(catClas,MATCH(D3934,catNom,0))&amp;"","")),"")</f>
        <v/>
      </c>
      <c r="L3934" s="19">
        <f>IF(I3934="","",IFERROR(INDEX(catAlim,MATCH(D3934,catNom,0))&amp;"",""))</f>
        <v/>
      </c>
      <c r="M3934" s="19">
        <f>IF(I3934="","",IFERROR(INDEX(catComida,MATCH(D3934,catNom,0))&amp;"",""))</f>
        <v/>
      </c>
      <c r="N3934" s="19">
        <f>IF(I3934="","",IFERROR(INDEX(ctaMon,MATCH(E3934,ctaNom,0))&amp;"","DOP"))</f>
        <v/>
      </c>
      <c r="O3934" s="20">
        <f>IF(I3934="","",C3934*IF(N3934="USD",TasaUSD,1))</f>
        <v/>
      </c>
      <c r="P3934" s="20">
        <f>IF(I3934="","",IF(I3934="Gasto",O3934,0))</f>
        <v/>
      </c>
      <c r="Q3934" s="20">
        <f>IF(I3934="","",IF(I3934="Ingreso",O3934,0))</f>
        <v/>
      </c>
      <c r="R3934" s="20">
        <f>IF(I3934="","",IF(I3934="Trading",O3934,0))</f>
        <v/>
      </c>
      <c r="S3934" s="19">
        <f>IF(I3934="","",IF(AND(I3934="Gasto",K3934="Variable",J3934&lt;&gt;"Trading",O3934&gt;0,O3934&lt;=Umbral),1,0))</f>
        <v/>
      </c>
      <c r="T3934" s="20">
        <f>IF(OR(I3934="",E3934=""),"",IF(OR(I3934="Gasto",I3934="Transferencia",I3934="Pago tarjeta"),-1,1)*C3934)</f>
        <v/>
      </c>
      <c r="U3934" s="20">
        <f>IF(OR(G3934="",AND(I3934&lt;&gt;"Transferencia",I3934&lt;&gt;"Pago tarjeta")),"",IF(IFERROR(INDEX(ctaMon,MATCH(G3934,ctaNom,0))&amp;"","DOP")=N3934,C3934,IF(N3934="USD",C3934*TasaUSD,C3934/TasaUSD)))</f>
        <v/>
      </c>
      <c r="V3934" s="20">
        <f>IF(I3934="","",IF(IFERROR(INDEX(ctaLiq,MATCH(E3934,ctaNom,0))="Sí",FALSE),IF(OR(I3934="Gasto",I3934="Transferencia",I3934="Pago tarjeta"),-1,1)*O3934,0)+IF(AND(U3934&lt;&gt;"",IFERROR(INDEX(ctaLiq,MATCH(G3934,ctaNom,0))="Sí",FALSE)),O3934,0))</f>
        <v/>
      </c>
      <c r="W3934" s="19">
        <f>IF(OR(F3934="",I3934=""),"",IF(COUNTIFS(F$6:F3934,F3934,I$6:I3934,"?*")=1,MAX(W$5:W3933)+1,""))</f>
        <v/>
      </c>
    </row>
    <row r="3935">
      <c r="B3935" s="15" t="n"/>
      <c r="C3935" s="16" t="n"/>
      <c r="D3935" s="17" t="n"/>
      <c r="E3935" s="17" t="n"/>
      <c r="F3935" s="17" t="n"/>
      <c r="G3935" s="17" t="n"/>
      <c r="H3935" s="18">
        <f>IF(AND(B3935="",C3935="",D3935="",E3935=""),"",IF(B3935="","⚠ Falta fecha",IF(C3935="","⚠ Falta monto",IF(D3935="","⚠ Falta categoría",IF(ISNA(MATCH(D3935,catNom,0)),"⚠ Categoría no existe",IF(E3935="","⚠ Falta cuenta",IF(ISNA(MATCH(E3935,ctaNom,0)),"⚠ Cuenta no existe",IF(AND(OR(I3935="Transferencia",I3935="Pago tarjeta"),G3935=""),"⚠ Indica la cuenta «Hacia»",IF(AND(G3935&lt;&gt;"",G3935=E3935),"⚠ «Hacia» igual a la cuenta",IF(AND(G3935&lt;&gt;"",ISNA(MATCH(G3935,ctaNom,0))),"⚠ «Hacia» no existe",IF(AND(I3935="Pago tarjeta",IFERROR(INDEX(ctaTipo,MATCH(G3935,ctaNom,0)),"")&lt;&gt;"Tarjeta de crédito"),"⚠ «Hacia» debe ser la tarjeta",IF(AND(I3935="Trading",IFERROR(INDEX(ctaTipo,MATCH(E3935,ctaNom,0)),"")&lt;&gt;"Cuenta de trading"),"⚠ Usa la cuenta de trading","✓"))))))))))))</f>
        <v/>
      </c>
      <c r="I3935" s="19">
        <f>IF(OR(B3935="",C3935="",D3935=""),"",IFERROR(INDEX(catTipo,MATCH(D3935,catNom,0))&amp;"",""))</f>
        <v/>
      </c>
      <c r="J3935" s="19">
        <f>IF(I3935="","",IFERROR(INDEX(catGrupo,MATCH(D3935,catNom,0))&amp;"",""))</f>
        <v/>
      </c>
      <c r="K3935" s="19">
        <f>IF(I3935="Gasto",IF(IFERROR(INDEX(catClas,MATCH(D3935,catNom,0))&amp;"","")="","Variable",IFERROR(INDEX(catClas,MATCH(D3935,catNom,0))&amp;"","")),"")</f>
        <v/>
      </c>
      <c r="L3935" s="19">
        <f>IF(I3935="","",IFERROR(INDEX(catAlim,MATCH(D3935,catNom,0))&amp;"",""))</f>
        <v/>
      </c>
      <c r="M3935" s="19">
        <f>IF(I3935="","",IFERROR(INDEX(catComida,MATCH(D3935,catNom,0))&amp;"",""))</f>
        <v/>
      </c>
      <c r="N3935" s="19">
        <f>IF(I3935="","",IFERROR(INDEX(ctaMon,MATCH(E3935,ctaNom,0))&amp;"","DOP"))</f>
        <v/>
      </c>
      <c r="O3935" s="20">
        <f>IF(I3935="","",C3935*IF(N3935="USD",TasaUSD,1))</f>
        <v/>
      </c>
      <c r="P3935" s="20">
        <f>IF(I3935="","",IF(I3935="Gasto",O3935,0))</f>
        <v/>
      </c>
      <c r="Q3935" s="20">
        <f>IF(I3935="","",IF(I3935="Ingreso",O3935,0))</f>
        <v/>
      </c>
      <c r="R3935" s="20">
        <f>IF(I3935="","",IF(I3935="Trading",O3935,0))</f>
        <v/>
      </c>
      <c r="S3935" s="19">
        <f>IF(I3935="","",IF(AND(I3935="Gasto",K3935="Variable",J3935&lt;&gt;"Trading",O3935&gt;0,O3935&lt;=Umbral),1,0))</f>
        <v/>
      </c>
      <c r="T3935" s="20">
        <f>IF(OR(I3935="",E3935=""),"",IF(OR(I3935="Gasto",I3935="Transferencia",I3935="Pago tarjeta"),-1,1)*C3935)</f>
        <v/>
      </c>
      <c r="U3935" s="20">
        <f>IF(OR(G3935="",AND(I3935&lt;&gt;"Transferencia",I3935&lt;&gt;"Pago tarjeta")),"",IF(IFERROR(INDEX(ctaMon,MATCH(G3935,ctaNom,0))&amp;"","DOP")=N3935,C3935,IF(N3935="USD",C3935*TasaUSD,C3935/TasaUSD)))</f>
        <v/>
      </c>
      <c r="V3935" s="20">
        <f>IF(I3935="","",IF(IFERROR(INDEX(ctaLiq,MATCH(E3935,ctaNom,0))="Sí",FALSE),IF(OR(I3935="Gasto",I3935="Transferencia",I3935="Pago tarjeta"),-1,1)*O3935,0)+IF(AND(U3935&lt;&gt;"",IFERROR(INDEX(ctaLiq,MATCH(G3935,ctaNom,0))="Sí",FALSE)),O3935,0))</f>
        <v/>
      </c>
      <c r="W3935" s="19">
        <f>IF(OR(F3935="",I3935=""),"",IF(COUNTIFS(F$6:F3935,F3935,I$6:I3935,"?*")=1,MAX(W$5:W3934)+1,""))</f>
        <v/>
      </c>
    </row>
    <row r="3936">
      <c r="B3936" s="15" t="n"/>
      <c r="C3936" s="16" t="n"/>
      <c r="D3936" s="17" t="n"/>
      <c r="E3936" s="17" t="n"/>
      <c r="F3936" s="17" t="n"/>
      <c r="G3936" s="17" t="n"/>
      <c r="H3936" s="18">
        <f>IF(AND(B3936="",C3936="",D3936="",E3936=""),"",IF(B3936="","⚠ Falta fecha",IF(C3936="","⚠ Falta monto",IF(D3936="","⚠ Falta categoría",IF(ISNA(MATCH(D3936,catNom,0)),"⚠ Categoría no existe",IF(E3936="","⚠ Falta cuenta",IF(ISNA(MATCH(E3936,ctaNom,0)),"⚠ Cuenta no existe",IF(AND(OR(I3936="Transferencia",I3936="Pago tarjeta"),G3936=""),"⚠ Indica la cuenta «Hacia»",IF(AND(G3936&lt;&gt;"",G3936=E3936),"⚠ «Hacia» igual a la cuenta",IF(AND(G3936&lt;&gt;"",ISNA(MATCH(G3936,ctaNom,0))),"⚠ «Hacia» no existe",IF(AND(I3936="Pago tarjeta",IFERROR(INDEX(ctaTipo,MATCH(G3936,ctaNom,0)),"")&lt;&gt;"Tarjeta de crédito"),"⚠ «Hacia» debe ser la tarjeta",IF(AND(I3936="Trading",IFERROR(INDEX(ctaTipo,MATCH(E3936,ctaNom,0)),"")&lt;&gt;"Cuenta de trading"),"⚠ Usa la cuenta de trading","✓"))))))))))))</f>
        <v/>
      </c>
      <c r="I3936" s="19">
        <f>IF(OR(B3936="",C3936="",D3936=""),"",IFERROR(INDEX(catTipo,MATCH(D3936,catNom,0))&amp;"",""))</f>
        <v/>
      </c>
      <c r="J3936" s="19">
        <f>IF(I3936="","",IFERROR(INDEX(catGrupo,MATCH(D3936,catNom,0))&amp;"",""))</f>
        <v/>
      </c>
      <c r="K3936" s="19">
        <f>IF(I3936="Gasto",IF(IFERROR(INDEX(catClas,MATCH(D3936,catNom,0))&amp;"","")="","Variable",IFERROR(INDEX(catClas,MATCH(D3936,catNom,0))&amp;"","")),"")</f>
        <v/>
      </c>
      <c r="L3936" s="19">
        <f>IF(I3936="","",IFERROR(INDEX(catAlim,MATCH(D3936,catNom,0))&amp;"",""))</f>
        <v/>
      </c>
      <c r="M3936" s="19">
        <f>IF(I3936="","",IFERROR(INDEX(catComida,MATCH(D3936,catNom,0))&amp;"",""))</f>
        <v/>
      </c>
      <c r="N3936" s="19">
        <f>IF(I3936="","",IFERROR(INDEX(ctaMon,MATCH(E3936,ctaNom,0))&amp;"","DOP"))</f>
        <v/>
      </c>
      <c r="O3936" s="20">
        <f>IF(I3936="","",C3936*IF(N3936="USD",TasaUSD,1))</f>
        <v/>
      </c>
      <c r="P3936" s="20">
        <f>IF(I3936="","",IF(I3936="Gasto",O3936,0))</f>
        <v/>
      </c>
      <c r="Q3936" s="20">
        <f>IF(I3936="","",IF(I3936="Ingreso",O3936,0))</f>
        <v/>
      </c>
      <c r="R3936" s="20">
        <f>IF(I3936="","",IF(I3936="Trading",O3936,0))</f>
        <v/>
      </c>
      <c r="S3936" s="19">
        <f>IF(I3936="","",IF(AND(I3936="Gasto",K3936="Variable",J3936&lt;&gt;"Trading",O3936&gt;0,O3936&lt;=Umbral),1,0))</f>
        <v/>
      </c>
      <c r="T3936" s="20">
        <f>IF(OR(I3936="",E3936=""),"",IF(OR(I3936="Gasto",I3936="Transferencia",I3936="Pago tarjeta"),-1,1)*C3936)</f>
        <v/>
      </c>
      <c r="U3936" s="20">
        <f>IF(OR(G3936="",AND(I3936&lt;&gt;"Transferencia",I3936&lt;&gt;"Pago tarjeta")),"",IF(IFERROR(INDEX(ctaMon,MATCH(G3936,ctaNom,0))&amp;"","DOP")=N3936,C3936,IF(N3936="USD",C3936*TasaUSD,C3936/TasaUSD)))</f>
        <v/>
      </c>
      <c r="V3936" s="20">
        <f>IF(I3936="","",IF(IFERROR(INDEX(ctaLiq,MATCH(E3936,ctaNom,0))="Sí",FALSE),IF(OR(I3936="Gasto",I3936="Transferencia",I3936="Pago tarjeta"),-1,1)*O3936,0)+IF(AND(U3936&lt;&gt;"",IFERROR(INDEX(ctaLiq,MATCH(G3936,ctaNom,0))="Sí",FALSE)),O3936,0))</f>
        <v/>
      </c>
      <c r="W3936" s="19">
        <f>IF(OR(F3936="",I3936=""),"",IF(COUNTIFS(F$6:F3936,F3936,I$6:I3936,"?*")=1,MAX(W$5:W3935)+1,""))</f>
        <v/>
      </c>
    </row>
    <row r="3937">
      <c r="B3937" s="15" t="n"/>
      <c r="C3937" s="16" t="n"/>
      <c r="D3937" s="17" t="n"/>
      <c r="E3937" s="17" t="n"/>
      <c r="F3937" s="17" t="n"/>
      <c r="G3937" s="17" t="n"/>
      <c r="H3937" s="18">
        <f>IF(AND(B3937="",C3937="",D3937="",E3937=""),"",IF(B3937="","⚠ Falta fecha",IF(C3937="","⚠ Falta monto",IF(D3937="","⚠ Falta categoría",IF(ISNA(MATCH(D3937,catNom,0)),"⚠ Categoría no existe",IF(E3937="","⚠ Falta cuenta",IF(ISNA(MATCH(E3937,ctaNom,0)),"⚠ Cuenta no existe",IF(AND(OR(I3937="Transferencia",I3937="Pago tarjeta"),G3937=""),"⚠ Indica la cuenta «Hacia»",IF(AND(G3937&lt;&gt;"",G3937=E3937),"⚠ «Hacia» igual a la cuenta",IF(AND(G3937&lt;&gt;"",ISNA(MATCH(G3937,ctaNom,0))),"⚠ «Hacia» no existe",IF(AND(I3937="Pago tarjeta",IFERROR(INDEX(ctaTipo,MATCH(G3937,ctaNom,0)),"")&lt;&gt;"Tarjeta de crédito"),"⚠ «Hacia» debe ser la tarjeta",IF(AND(I3937="Trading",IFERROR(INDEX(ctaTipo,MATCH(E3937,ctaNom,0)),"")&lt;&gt;"Cuenta de trading"),"⚠ Usa la cuenta de trading","✓"))))))))))))</f>
        <v/>
      </c>
      <c r="I3937" s="19">
        <f>IF(OR(B3937="",C3937="",D3937=""),"",IFERROR(INDEX(catTipo,MATCH(D3937,catNom,0))&amp;"",""))</f>
        <v/>
      </c>
      <c r="J3937" s="19">
        <f>IF(I3937="","",IFERROR(INDEX(catGrupo,MATCH(D3937,catNom,0))&amp;"",""))</f>
        <v/>
      </c>
      <c r="K3937" s="19">
        <f>IF(I3937="Gasto",IF(IFERROR(INDEX(catClas,MATCH(D3937,catNom,0))&amp;"","")="","Variable",IFERROR(INDEX(catClas,MATCH(D3937,catNom,0))&amp;"","")),"")</f>
        <v/>
      </c>
      <c r="L3937" s="19">
        <f>IF(I3937="","",IFERROR(INDEX(catAlim,MATCH(D3937,catNom,0))&amp;"",""))</f>
        <v/>
      </c>
      <c r="M3937" s="19">
        <f>IF(I3937="","",IFERROR(INDEX(catComida,MATCH(D3937,catNom,0))&amp;"",""))</f>
        <v/>
      </c>
      <c r="N3937" s="19">
        <f>IF(I3937="","",IFERROR(INDEX(ctaMon,MATCH(E3937,ctaNom,0))&amp;"","DOP"))</f>
        <v/>
      </c>
      <c r="O3937" s="20">
        <f>IF(I3937="","",C3937*IF(N3937="USD",TasaUSD,1))</f>
        <v/>
      </c>
      <c r="P3937" s="20">
        <f>IF(I3937="","",IF(I3937="Gasto",O3937,0))</f>
        <v/>
      </c>
      <c r="Q3937" s="20">
        <f>IF(I3937="","",IF(I3937="Ingreso",O3937,0))</f>
        <v/>
      </c>
      <c r="R3937" s="20">
        <f>IF(I3937="","",IF(I3937="Trading",O3937,0))</f>
        <v/>
      </c>
      <c r="S3937" s="19">
        <f>IF(I3937="","",IF(AND(I3937="Gasto",K3937="Variable",J3937&lt;&gt;"Trading",O3937&gt;0,O3937&lt;=Umbral),1,0))</f>
        <v/>
      </c>
      <c r="T3937" s="20">
        <f>IF(OR(I3937="",E3937=""),"",IF(OR(I3937="Gasto",I3937="Transferencia",I3937="Pago tarjeta"),-1,1)*C3937)</f>
        <v/>
      </c>
      <c r="U3937" s="20">
        <f>IF(OR(G3937="",AND(I3937&lt;&gt;"Transferencia",I3937&lt;&gt;"Pago tarjeta")),"",IF(IFERROR(INDEX(ctaMon,MATCH(G3937,ctaNom,0))&amp;"","DOP")=N3937,C3937,IF(N3937="USD",C3937*TasaUSD,C3937/TasaUSD)))</f>
        <v/>
      </c>
      <c r="V3937" s="20">
        <f>IF(I3937="","",IF(IFERROR(INDEX(ctaLiq,MATCH(E3937,ctaNom,0))="Sí",FALSE),IF(OR(I3937="Gasto",I3937="Transferencia",I3937="Pago tarjeta"),-1,1)*O3937,0)+IF(AND(U3937&lt;&gt;"",IFERROR(INDEX(ctaLiq,MATCH(G3937,ctaNom,0))="Sí",FALSE)),O3937,0))</f>
        <v/>
      </c>
      <c r="W3937" s="19">
        <f>IF(OR(F3937="",I3937=""),"",IF(COUNTIFS(F$6:F3937,F3937,I$6:I3937,"?*")=1,MAX(W$5:W3936)+1,""))</f>
        <v/>
      </c>
    </row>
    <row r="3938">
      <c r="B3938" s="15" t="n"/>
      <c r="C3938" s="16" t="n"/>
      <c r="D3938" s="17" t="n"/>
      <c r="E3938" s="17" t="n"/>
      <c r="F3938" s="17" t="n"/>
      <c r="G3938" s="17" t="n"/>
      <c r="H3938" s="18">
        <f>IF(AND(B3938="",C3938="",D3938="",E3938=""),"",IF(B3938="","⚠ Falta fecha",IF(C3938="","⚠ Falta monto",IF(D3938="","⚠ Falta categoría",IF(ISNA(MATCH(D3938,catNom,0)),"⚠ Categoría no existe",IF(E3938="","⚠ Falta cuenta",IF(ISNA(MATCH(E3938,ctaNom,0)),"⚠ Cuenta no existe",IF(AND(OR(I3938="Transferencia",I3938="Pago tarjeta"),G3938=""),"⚠ Indica la cuenta «Hacia»",IF(AND(G3938&lt;&gt;"",G3938=E3938),"⚠ «Hacia» igual a la cuenta",IF(AND(G3938&lt;&gt;"",ISNA(MATCH(G3938,ctaNom,0))),"⚠ «Hacia» no existe",IF(AND(I3938="Pago tarjeta",IFERROR(INDEX(ctaTipo,MATCH(G3938,ctaNom,0)),"")&lt;&gt;"Tarjeta de crédito"),"⚠ «Hacia» debe ser la tarjeta",IF(AND(I3938="Trading",IFERROR(INDEX(ctaTipo,MATCH(E3938,ctaNom,0)),"")&lt;&gt;"Cuenta de trading"),"⚠ Usa la cuenta de trading","✓"))))))))))))</f>
        <v/>
      </c>
      <c r="I3938" s="19">
        <f>IF(OR(B3938="",C3938="",D3938=""),"",IFERROR(INDEX(catTipo,MATCH(D3938,catNom,0))&amp;"",""))</f>
        <v/>
      </c>
      <c r="J3938" s="19">
        <f>IF(I3938="","",IFERROR(INDEX(catGrupo,MATCH(D3938,catNom,0))&amp;"",""))</f>
        <v/>
      </c>
      <c r="K3938" s="19">
        <f>IF(I3938="Gasto",IF(IFERROR(INDEX(catClas,MATCH(D3938,catNom,0))&amp;"","")="","Variable",IFERROR(INDEX(catClas,MATCH(D3938,catNom,0))&amp;"","")),"")</f>
        <v/>
      </c>
      <c r="L3938" s="19">
        <f>IF(I3938="","",IFERROR(INDEX(catAlim,MATCH(D3938,catNom,0))&amp;"",""))</f>
        <v/>
      </c>
      <c r="M3938" s="19">
        <f>IF(I3938="","",IFERROR(INDEX(catComida,MATCH(D3938,catNom,0))&amp;"",""))</f>
        <v/>
      </c>
      <c r="N3938" s="19">
        <f>IF(I3938="","",IFERROR(INDEX(ctaMon,MATCH(E3938,ctaNom,0))&amp;"","DOP"))</f>
        <v/>
      </c>
      <c r="O3938" s="20">
        <f>IF(I3938="","",C3938*IF(N3938="USD",TasaUSD,1))</f>
        <v/>
      </c>
      <c r="P3938" s="20">
        <f>IF(I3938="","",IF(I3938="Gasto",O3938,0))</f>
        <v/>
      </c>
      <c r="Q3938" s="20">
        <f>IF(I3938="","",IF(I3938="Ingreso",O3938,0))</f>
        <v/>
      </c>
      <c r="R3938" s="20">
        <f>IF(I3938="","",IF(I3938="Trading",O3938,0))</f>
        <v/>
      </c>
      <c r="S3938" s="19">
        <f>IF(I3938="","",IF(AND(I3938="Gasto",K3938="Variable",J3938&lt;&gt;"Trading",O3938&gt;0,O3938&lt;=Umbral),1,0))</f>
        <v/>
      </c>
      <c r="T3938" s="20">
        <f>IF(OR(I3938="",E3938=""),"",IF(OR(I3938="Gasto",I3938="Transferencia",I3938="Pago tarjeta"),-1,1)*C3938)</f>
        <v/>
      </c>
      <c r="U3938" s="20">
        <f>IF(OR(G3938="",AND(I3938&lt;&gt;"Transferencia",I3938&lt;&gt;"Pago tarjeta")),"",IF(IFERROR(INDEX(ctaMon,MATCH(G3938,ctaNom,0))&amp;"","DOP")=N3938,C3938,IF(N3938="USD",C3938*TasaUSD,C3938/TasaUSD)))</f>
        <v/>
      </c>
      <c r="V3938" s="20">
        <f>IF(I3938="","",IF(IFERROR(INDEX(ctaLiq,MATCH(E3938,ctaNom,0))="Sí",FALSE),IF(OR(I3938="Gasto",I3938="Transferencia",I3938="Pago tarjeta"),-1,1)*O3938,0)+IF(AND(U3938&lt;&gt;"",IFERROR(INDEX(ctaLiq,MATCH(G3938,ctaNom,0))="Sí",FALSE)),O3938,0))</f>
        <v/>
      </c>
      <c r="W3938" s="19">
        <f>IF(OR(F3938="",I3938=""),"",IF(COUNTIFS(F$6:F3938,F3938,I$6:I3938,"?*")=1,MAX(W$5:W3937)+1,""))</f>
        <v/>
      </c>
    </row>
    <row r="3939">
      <c r="B3939" s="15" t="n"/>
      <c r="C3939" s="16" t="n"/>
      <c r="D3939" s="17" t="n"/>
      <c r="E3939" s="17" t="n"/>
      <c r="F3939" s="17" t="n"/>
      <c r="G3939" s="17" t="n"/>
      <c r="H3939" s="18">
        <f>IF(AND(B3939="",C3939="",D3939="",E3939=""),"",IF(B3939="","⚠ Falta fecha",IF(C3939="","⚠ Falta monto",IF(D3939="","⚠ Falta categoría",IF(ISNA(MATCH(D3939,catNom,0)),"⚠ Categoría no existe",IF(E3939="","⚠ Falta cuenta",IF(ISNA(MATCH(E3939,ctaNom,0)),"⚠ Cuenta no existe",IF(AND(OR(I3939="Transferencia",I3939="Pago tarjeta"),G3939=""),"⚠ Indica la cuenta «Hacia»",IF(AND(G3939&lt;&gt;"",G3939=E3939),"⚠ «Hacia» igual a la cuenta",IF(AND(G3939&lt;&gt;"",ISNA(MATCH(G3939,ctaNom,0))),"⚠ «Hacia» no existe",IF(AND(I3939="Pago tarjeta",IFERROR(INDEX(ctaTipo,MATCH(G3939,ctaNom,0)),"")&lt;&gt;"Tarjeta de crédito"),"⚠ «Hacia» debe ser la tarjeta",IF(AND(I3939="Trading",IFERROR(INDEX(ctaTipo,MATCH(E3939,ctaNom,0)),"")&lt;&gt;"Cuenta de trading"),"⚠ Usa la cuenta de trading","✓"))))))))))))</f>
        <v/>
      </c>
      <c r="I3939" s="19">
        <f>IF(OR(B3939="",C3939="",D3939=""),"",IFERROR(INDEX(catTipo,MATCH(D3939,catNom,0))&amp;"",""))</f>
        <v/>
      </c>
      <c r="J3939" s="19">
        <f>IF(I3939="","",IFERROR(INDEX(catGrupo,MATCH(D3939,catNom,0))&amp;"",""))</f>
        <v/>
      </c>
      <c r="K3939" s="19">
        <f>IF(I3939="Gasto",IF(IFERROR(INDEX(catClas,MATCH(D3939,catNom,0))&amp;"","")="","Variable",IFERROR(INDEX(catClas,MATCH(D3939,catNom,0))&amp;"","")),"")</f>
        <v/>
      </c>
      <c r="L3939" s="19">
        <f>IF(I3939="","",IFERROR(INDEX(catAlim,MATCH(D3939,catNom,0))&amp;"",""))</f>
        <v/>
      </c>
      <c r="M3939" s="19">
        <f>IF(I3939="","",IFERROR(INDEX(catComida,MATCH(D3939,catNom,0))&amp;"",""))</f>
        <v/>
      </c>
      <c r="N3939" s="19">
        <f>IF(I3939="","",IFERROR(INDEX(ctaMon,MATCH(E3939,ctaNom,0))&amp;"","DOP"))</f>
        <v/>
      </c>
      <c r="O3939" s="20">
        <f>IF(I3939="","",C3939*IF(N3939="USD",TasaUSD,1))</f>
        <v/>
      </c>
      <c r="P3939" s="20">
        <f>IF(I3939="","",IF(I3939="Gasto",O3939,0))</f>
        <v/>
      </c>
      <c r="Q3939" s="20">
        <f>IF(I3939="","",IF(I3939="Ingreso",O3939,0))</f>
        <v/>
      </c>
      <c r="R3939" s="20">
        <f>IF(I3939="","",IF(I3939="Trading",O3939,0))</f>
        <v/>
      </c>
      <c r="S3939" s="19">
        <f>IF(I3939="","",IF(AND(I3939="Gasto",K3939="Variable",J3939&lt;&gt;"Trading",O3939&gt;0,O3939&lt;=Umbral),1,0))</f>
        <v/>
      </c>
      <c r="T3939" s="20">
        <f>IF(OR(I3939="",E3939=""),"",IF(OR(I3939="Gasto",I3939="Transferencia",I3939="Pago tarjeta"),-1,1)*C3939)</f>
        <v/>
      </c>
      <c r="U3939" s="20">
        <f>IF(OR(G3939="",AND(I3939&lt;&gt;"Transferencia",I3939&lt;&gt;"Pago tarjeta")),"",IF(IFERROR(INDEX(ctaMon,MATCH(G3939,ctaNom,0))&amp;"","DOP")=N3939,C3939,IF(N3939="USD",C3939*TasaUSD,C3939/TasaUSD)))</f>
        <v/>
      </c>
      <c r="V3939" s="20">
        <f>IF(I3939="","",IF(IFERROR(INDEX(ctaLiq,MATCH(E3939,ctaNom,0))="Sí",FALSE),IF(OR(I3939="Gasto",I3939="Transferencia",I3939="Pago tarjeta"),-1,1)*O3939,0)+IF(AND(U3939&lt;&gt;"",IFERROR(INDEX(ctaLiq,MATCH(G3939,ctaNom,0))="Sí",FALSE)),O3939,0))</f>
        <v/>
      </c>
      <c r="W3939" s="19">
        <f>IF(OR(F3939="",I3939=""),"",IF(COUNTIFS(F$6:F3939,F3939,I$6:I3939,"?*")=1,MAX(W$5:W3938)+1,""))</f>
        <v/>
      </c>
    </row>
    <row r="3940">
      <c r="B3940" s="15" t="n"/>
      <c r="C3940" s="16" t="n"/>
      <c r="D3940" s="17" t="n"/>
      <c r="E3940" s="17" t="n"/>
      <c r="F3940" s="17" t="n"/>
      <c r="G3940" s="17" t="n"/>
      <c r="H3940" s="18">
        <f>IF(AND(B3940="",C3940="",D3940="",E3940=""),"",IF(B3940="","⚠ Falta fecha",IF(C3940="","⚠ Falta monto",IF(D3940="","⚠ Falta categoría",IF(ISNA(MATCH(D3940,catNom,0)),"⚠ Categoría no existe",IF(E3940="","⚠ Falta cuenta",IF(ISNA(MATCH(E3940,ctaNom,0)),"⚠ Cuenta no existe",IF(AND(OR(I3940="Transferencia",I3940="Pago tarjeta"),G3940=""),"⚠ Indica la cuenta «Hacia»",IF(AND(G3940&lt;&gt;"",G3940=E3940),"⚠ «Hacia» igual a la cuenta",IF(AND(G3940&lt;&gt;"",ISNA(MATCH(G3940,ctaNom,0))),"⚠ «Hacia» no existe",IF(AND(I3940="Pago tarjeta",IFERROR(INDEX(ctaTipo,MATCH(G3940,ctaNom,0)),"")&lt;&gt;"Tarjeta de crédito"),"⚠ «Hacia» debe ser la tarjeta",IF(AND(I3940="Trading",IFERROR(INDEX(ctaTipo,MATCH(E3940,ctaNom,0)),"")&lt;&gt;"Cuenta de trading"),"⚠ Usa la cuenta de trading","✓"))))))))))))</f>
        <v/>
      </c>
      <c r="I3940" s="19">
        <f>IF(OR(B3940="",C3940="",D3940=""),"",IFERROR(INDEX(catTipo,MATCH(D3940,catNom,0))&amp;"",""))</f>
        <v/>
      </c>
      <c r="J3940" s="19">
        <f>IF(I3940="","",IFERROR(INDEX(catGrupo,MATCH(D3940,catNom,0))&amp;"",""))</f>
        <v/>
      </c>
      <c r="K3940" s="19">
        <f>IF(I3940="Gasto",IF(IFERROR(INDEX(catClas,MATCH(D3940,catNom,0))&amp;"","")="","Variable",IFERROR(INDEX(catClas,MATCH(D3940,catNom,0))&amp;"","")),"")</f>
        <v/>
      </c>
      <c r="L3940" s="19">
        <f>IF(I3940="","",IFERROR(INDEX(catAlim,MATCH(D3940,catNom,0))&amp;"",""))</f>
        <v/>
      </c>
      <c r="M3940" s="19">
        <f>IF(I3940="","",IFERROR(INDEX(catComida,MATCH(D3940,catNom,0))&amp;"",""))</f>
        <v/>
      </c>
      <c r="N3940" s="19">
        <f>IF(I3940="","",IFERROR(INDEX(ctaMon,MATCH(E3940,ctaNom,0))&amp;"","DOP"))</f>
        <v/>
      </c>
      <c r="O3940" s="20">
        <f>IF(I3940="","",C3940*IF(N3940="USD",TasaUSD,1))</f>
        <v/>
      </c>
      <c r="P3940" s="20">
        <f>IF(I3940="","",IF(I3940="Gasto",O3940,0))</f>
        <v/>
      </c>
      <c r="Q3940" s="20">
        <f>IF(I3940="","",IF(I3940="Ingreso",O3940,0))</f>
        <v/>
      </c>
      <c r="R3940" s="20">
        <f>IF(I3940="","",IF(I3940="Trading",O3940,0))</f>
        <v/>
      </c>
      <c r="S3940" s="19">
        <f>IF(I3940="","",IF(AND(I3940="Gasto",K3940="Variable",J3940&lt;&gt;"Trading",O3940&gt;0,O3940&lt;=Umbral),1,0))</f>
        <v/>
      </c>
      <c r="T3940" s="20">
        <f>IF(OR(I3940="",E3940=""),"",IF(OR(I3940="Gasto",I3940="Transferencia",I3940="Pago tarjeta"),-1,1)*C3940)</f>
        <v/>
      </c>
      <c r="U3940" s="20">
        <f>IF(OR(G3940="",AND(I3940&lt;&gt;"Transferencia",I3940&lt;&gt;"Pago tarjeta")),"",IF(IFERROR(INDEX(ctaMon,MATCH(G3940,ctaNom,0))&amp;"","DOP")=N3940,C3940,IF(N3940="USD",C3940*TasaUSD,C3940/TasaUSD)))</f>
        <v/>
      </c>
      <c r="V3940" s="20">
        <f>IF(I3940="","",IF(IFERROR(INDEX(ctaLiq,MATCH(E3940,ctaNom,0))="Sí",FALSE),IF(OR(I3940="Gasto",I3940="Transferencia",I3940="Pago tarjeta"),-1,1)*O3940,0)+IF(AND(U3940&lt;&gt;"",IFERROR(INDEX(ctaLiq,MATCH(G3940,ctaNom,0))="Sí",FALSE)),O3940,0))</f>
        <v/>
      </c>
      <c r="W3940" s="19">
        <f>IF(OR(F3940="",I3940=""),"",IF(COUNTIFS(F$6:F3940,F3940,I$6:I3940,"?*")=1,MAX(W$5:W3939)+1,""))</f>
        <v/>
      </c>
    </row>
    <row r="3941">
      <c r="B3941" s="15" t="n"/>
      <c r="C3941" s="16" t="n"/>
      <c r="D3941" s="17" t="n"/>
      <c r="E3941" s="17" t="n"/>
      <c r="F3941" s="17" t="n"/>
      <c r="G3941" s="17" t="n"/>
      <c r="H3941" s="18">
        <f>IF(AND(B3941="",C3941="",D3941="",E3941=""),"",IF(B3941="","⚠ Falta fecha",IF(C3941="","⚠ Falta monto",IF(D3941="","⚠ Falta categoría",IF(ISNA(MATCH(D3941,catNom,0)),"⚠ Categoría no existe",IF(E3941="","⚠ Falta cuenta",IF(ISNA(MATCH(E3941,ctaNom,0)),"⚠ Cuenta no existe",IF(AND(OR(I3941="Transferencia",I3941="Pago tarjeta"),G3941=""),"⚠ Indica la cuenta «Hacia»",IF(AND(G3941&lt;&gt;"",G3941=E3941),"⚠ «Hacia» igual a la cuenta",IF(AND(G3941&lt;&gt;"",ISNA(MATCH(G3941,ctaNom,0))),"⚠ «Hacia» no existe",IF(AND(I3941="Pago tarjeta",IFERROR(INDEX(ctaTipo,MATCH(G3941,ctaNom,0)),"")&lt;&gt;"Tarjeta de crédito"),"⚠ «Hacia» debe ser la tarjeta",IF(AND(I3941="Trading",IFERROR(INDEX(ctaTipo,MATCH(E3941,ctaNom,0)),"")&lt;&gt;"Cuenta de trading"),"⚠ Usa la cuenta de trading","✓"))))))))))))</f>
        <v/>
      </c>
      <c r="I3941" s="19">
        <f>IF(OR(B3941="",C3941="",D3941=""),"",IFERROR(INDEX(catTipo,MATCH(D3941,catNom,0))&amp;"",""))</f>
        <v/>
      </c>
      <c r="J3941" s="19">
        <f>IF(I3941="","",IFERROR(INDEX(catGrupo,MATCH(D3941,catNom,0))&amp;"",""))</f>
        <v/>
      </c>
      <c r="K3941" s="19">
        <f>IF(I3941="Gasto",IF(IFERROR(INDEX(catClas,MATCH(D3941,catNom,0))&amp;"","")="","Variable",IFERROR(INDEX(catClas,MATCH(D3941,catNom,0))&amp;"","")),"")</f>
        <v/>
      </c>
      <c r="L3941" s="19">
        <f>IF(I3941="","",IFERROR(INDEX(catAlim,MATCH(D3941,catNom,0))&amp;"",""))</f>
        <v/>
      </c>
      <c r="M3941" s="19">
        <f>IF(I3941="","",IFERROR(INDEX(catComida,MATCH(D3941,catNom,0))&amp;"",""))</f>
        <v/>
      </c>
      <c r="N3941" s="19">
        <f>IF(I3941="","",IFERROR(INDEX(ctaMon,MATCH(E3941,ctaNom,0))&amp;"","DOP"))</f>
        <v/>
      </c>
      <c r="O3941" s="20">
        <f>IF(I3941="","",C3941*IF(N3941="USD",TasaUSD,1))</f>
        <v/>
      </c>
      <c r="P3941" s="20">
        <f>IF(I3941="","",IF(I3941="Gasto",O3941,0))</f>
        <v/>
      </c>
      <c r="Q3941" s="20">
        <f>IF(I3941="","",IF(I3941="Ingreso",O3941,0))</f>
        <v/>
      </c>
      <c r="R3941" s="20">
        <f>IF(I3941="","",IF(I3941="Trading",O3941,0))</f>
        <v/>
      </c>
      <c r="S3941" s="19">
        <f>IF(I3941="","",IF(AND(I3941="Gasto",K3941="Variable",J3941&lt;&gt;"Trading",O3941&gt;0,O3941&lt;=Umbral),1,0))</f>
        <v/>
      </c>
      <c r="T3941" s="20">
        <f>IF(OR(I3941="",E3941=""),"",IF(OR(I3941="Gasto",I3941="Transferencia",I3941="Pago tarjeta"),-1,1)*C3941)</f>
        <v/>
      </c>
      <c r="U3941" s="20">
        <f>IF(OR(G3941="",AND(I3941&lt;&gt;"Transferencia",I3941&lt;&gt;"Pago tarjeta")),"",IF(IFERROR(INDEX(ctaMon,MATCH(G3941,ctaNom,0))&amp;"","DOP")=N3941,C3941,IF(N3941="USD",C3941*TasaUSD,C3941/TasaUSD)))</f>
        <v/>
      </c>
      <c r="V3941" s="20">
        <f>IF(I3941="","",IF(IFERROR(INDEX(ctaLiq,MATCH(E3941,ctaNom,0))="Sí",FALSE),IF(OR(I3941="Gasto",I3941="Transferencia",I3941="Pago tarjeta"),-1,1)*O3941,0)+IF(AND(U3941&lt;&gt;"",IFERROR(INDEX(ctaLiq,MATCH(G3941,ctaNom,0))="Sí",FALSE)),O3941,0))</f>
        <v/>
      </c>
      <c r="W3941" s="19">
        <f>IF(OR(F3941="",I3941=""),"",IF(COUNTIFS(F$6:F3941,F3941,I$6:I3941,"?*")=1,MAX(W$5:W3940)+1,""))</f>
        <v/>
      </c>
    </row>
    <row r="3942">
      <c r="B3942" s="15" t="n"/>
      <c r="C3942" s="16" t="n"/>
      <c r="D3942" s="17" t="n"/>
      <c r="E3942" s="17" t="n"/>
      <c r="F3942" s="17" t="n"/>
      <c r="G3942" s="17" t="n"/>
      <c r="H3942" s="18">
        <f>IF(AND(B3942="",C3942="",D3942="",E3942=""),"",IF(B3942="","⚠ Falta fecha",IF(C3942="","⚠ Falta monto",IF(D3942="","⚠ Falta categoría",IF(ISNA(MATCH(D3942,catNom,0)),"⚠ Categoría no existe",IF(E3942="","⚠ Falta cuenta",IF(ISNA(MATCH(E3942,ctaNom,0)),"⚠ Cuenta no existe",IF(AND(OR(I3942="Transferencia",I3942="Pago tarjeta"),G3942=""),"⚠ Indica la cuenta «Hacia»",IF(AND(G3942&lt;&gt;"",G3942=E3942),"⚠ «Hacia» igual a la cuenta",IF(AND(G3942&lt;&gt;"",ISNA(MATCH(G3942,ctaNom,0))),"⚠ «Hacia» no existe",IF(AND(I3942="Pago tarjeta",IFERROR(INDEX(ctaTipo,MATCH(G3942,ctaNom,0)),"")&lt;&gt;"Tarjeta de crédito"),"⚠ «Hacia» debe ser la tarjeta",IF(AND(I3942="Trading",IFERROR(INDEX(ctaTipo,MATCH(E3942,ctaNom,0)),"")&lt;&gt;"Cuenta de trading"),"⚠ Usa la cuenta de trading","✓"))))))))))))</f>
        <v/>
      </c>
      <c r="I3942" s="19">
        <f>IF(OR(B3942="",C3942="",D3942=""),"",IFERROR(INDEX(catTipo,MATCH(D3942,catNom,0))&amp;"",""))</f>
        <v/>
      </c>
      <c r="J3942" s="19">
        <f>IF(I3942="","",IFERROR(INDEX(catGrupo,MATCH(D3942,catNom,0))&amp;"",""))</f>
        <v/>
      </c>
      <c r="K3942" s="19">
        <f>IF(I3942="Gasto",IF(IFERROR(INDEX(catClas,MATCH(D3942,catNom,0))&amp;"","")="","Variable",IFERROR(INDEX(catClas,MATCH(D3942,catNom,0))&amp;"","")),"")</f>
        <v/>
      </c>
      <c r="L3942" s="19">
        <f>IF(I3942="","",IFERROR(INDEX(catAlim,MATCH(D3942,catNom,0))&amp;"",""))</f>
        <v/>
      </c>
      <c r="M3942" s="19">
        <f>IF(I3942="","",IFERROR(INDEX(catComida,MATCH(D3942,catNom,0))&amp;"",""))</f>
        <v/>
      </c>
      <c r="N3942" s="19">
        <f>IF(I3942="","",IFERROR(INDEX(ctaMon,MATCH(E3942,ctaNom,0))&amp;"","DOP"))</f>
        <v/>
      </c>
      <c r="O3942" s="20">
        <f>IF(I3942="","",C3942*IF(N3942="USD",TasaUSD,1))</f>
        <v/>
      </c>
      <c r="P3942" s="20">
        <f>IF(I3942="","",IF(I3942="Gasto",O3942,0))</f>
        <v/>
      </c>
      <c r="Q3942" s="20">
        <f>IF(I3942="","",IF(I3942="Ingreso",O3942,0))</f>
        <v/>
      </c>
      <c r="R3942" s="20">
        <f>IF(I3942="","",IF(I3942="Trading",O3942,0))</f>
        <v/>
      </c>
      <c r="S3942" s="19">
        <f>IF(I3942="","",IF(AND(I3942="Gasto",K3942="Variable",J3942&lt;&gt;"Trading",O3942&gt;0,O3942&lt;=Umbral),1,0))</f>
        <v/>
      </c>
      <c r="T3942" s="20">
        <f>IF(OR(I3942="",E3942=""),"",IF(OR(I3942="Gasto",I3942="Transferencia",I3942="Pago tarjeta"),-1,1)*C3942)</f>
        <v/>
      </c>
      <c r="U3942" s="20">
        <f>IF(OR(G3942="",AND(I3942&lt;&gt;"Transferencia",I3942&lt;&gt;"Pago tarjeta")),"",IF(IFERROR(INDEX(ctaMon,MATCH(G3942,ctaNom,0))&amp;"","DOP")=N3942,C3942,IF(N3942="USD",C3942*TasaUSD,C3942/TasaUSD)))</f>
        <v/>
      </c>
      <c r="V3942" s="20">
        <f>IF(I3942="","",IF(IFERROR(INDEX(ctaLiq,MATCH(E3942,ctaNom,0))="Sí",FALSE),IF(OR(I3942="Gasto",I3942="Transferencia",I3942="Pago tarjeta"),-1,1)*O3942,0)+IF(AND(U3942&lt;&gt;"",IFERROR(INDEX(ctaLiq,MATCH(G3942,ctaNom,0))="Sí",FALSE)),O3942,0))</f>
        <v/>
      </c>
      <c r="W3942" s="19">
        <f>IF(OR(F3942="",I3942=""),"",IF(COUNTIFS(F$6:F3942,F3942,I$6:I3942,"?*")=1,MAX(W$5:W3941)+1,""))</f>
        <v/>
      </c>
    </row>
    <row r="3943">
      <c r="B3943" s="15" t="n"/>
      <c r="C3943" s="16" t="n"/>
      <c r="D3943" s="17" t="n"/>
      <c r="E3943" s="17" t="n"/>
      <c r="F3943" s="17" t="n"/>
      <c r="G3943" s="17" t="n"/>
      <c r="H3943" s="18">
        <f>IF(AND(B3943="",C3943="",D3943="",E3943=""),"",IF(B3943="","⚠ Falta fecha",IF(C3943="","⚠ Falta monto",IF(D3943="","⚠ Falta categoría",IF(ISNA(MATCH(D3943,catNom,0)),"⚠ Categoría no existe",IF(E3943="","⚠ Falta cuenta",IF(ISNA(MATCH(E3943,ctaNom,0)),"⚠ Cuenta no existe",IF(AND(OR(I3943="Transferencia",I3943="Pago tarjeta"),G3943=""),"⚠ Indica la cuenta «Hacia»",IF(AND(G3943&lt;&gt;"",G3943=E3943),"⚠ «Hacia» igual a la cuenta",IF(AND(G3943&lt;&gt;"",ISNA(MATCH(G3943,ctaNom,0))),"⚠ «Hacia» no existe",IF(AND(I3943="Pago tarjeta",IFERROR(INDEX(ctaTipo,MATCH(G3943,ctaNom,0)),"")&lt;&gt;"Tarjeta de crédito"),"⚠ «Hacia» debe ser la tarjeta",IF(AND(I3943="Trading",IFERROR(INDEX(ctaTipo,MATCH(E3943,ctaNom,0)),"")&lt;&gt;"Cuenta de trading"),"⚠ Usa la cuenta de trading","✓"))))))))))))</f>
        <v/>
      </c>
      <c r="I3943" s="19">
        <f>IF(OR(B3943="",C3943="",D3943=""),"",IFERROR(INDEX(catTipo,MATCH(D3943,catNom,0))&amp;"",""))</f>
        <v/>
      </c>
      <c r="J3943" s="19">
        <f>IF(I3943="","",IFERROR(INDEX(catGrupo,MATCH(D3943,catNom,0))&amp;"",""))</f>
        <v/>
      </c>
      <c r="K3943" s="19">
        <f>IF(I3943="Gasto",IF(IFERROR(INDEX(catClas,MATCH(D3943,catNom,0))&amp;"","")="","Variable",IFERROR(INDEX(catClas,MATCH(D3943,catNom,0))&amp;"","")),"")</f>
        <v/>
      </c>
      <c r="L3943" s="19">
        <f>IF(I3943="","",IFERROR(INDEX(catAlim,MATCH(D3943,catNom,0))&amp;"",""))</f>
        <v/>
      </c>
      <c r="M3943" s="19">
        <f>IF(I3943="","",IFERROR(INDEX(catComida,MATCH(D3943,catNom,0))&amp;"",""))</f>
        <v/>
      </c>
      <c r="N3943" s="19">
        <f>IF(I3943="","",IFERROR(INDEX(ctaMon,MATCH(E3943,ctaNom,0))&amp;"","DOP"))</f>
        <v/>
      </c>
      <c r="O3943" s="20">
        <f>IF(I3943="","",C3943*IF(N3943="USD",TasaUSD,1))</f>
        <v/>
      </c>
      <c r="P3943" s="20">
        <f>IF(I3943="","",IF(I3943="Gasto",O3943,0))</f>
        <v/>
      </c>
      <c r="Q3943" s="20">
        <f>IF(I3943="","",IF(I3943="Ingreso",O3943,0))</f>
        <v/>
      </c>
      <c r="R3943" s="20">
        <f>IF(I3943="","",IF(I3943="Trading",O3943,0))</f>
        <v/>
      </c>
      <c r="S3943" s="19">
        <f>IF(I3943="","",IF(AND(I3943="Gasto",K3943="Variable",J3943&lt;&gt;"Trading",O3943&gt;0,O3943&lt;=Umbral),1,0))</f>
        <v/>
      </c>
      <c r="T3943" s="20">
        <f>IF(OR(I3943="",E3943=""),"",IF(OR(I3943="Gasto",I3943="Transferencia",I3943="Pago tarjeta"),-1,1)*C3943)</f>
        <v/>
      </c>
      <c r="U3943" s="20">
        <f>IF(OR(G3943="",AND(I3943&lt;&gt;"Transferencia",I3943&lt;&gt;"Pago tarjeta")),"",IF(IFERROR(INDEX(ctaMon,MATCH(G3943,ctaNom,0))&amp;"","DOP")=N3943,C3943,IF(N3943="USD",C3943*TasaUSD,C3943/TasaUSD)))</f>
        <v/>
      </c>
      <c r="V3943" s="20">
        <f>IF(I3943="","",IF(IFERROR(INDEX(ctaLiq,MATCH(E3943,ctaNom,0))="Sí",FALSE),IF(OR(I3943="Gasto",I3943="Transferencia",I3943="Pago tarjeta"),-1,1)*O3943,0)+IF(AND(U3943&lt;&gt;"",IFERROR(INDEX(ctaLiq,MATCH(G3943,ctaNom,0))="Sí",FALSE)),O3943,0))</f>
        <v/>
      </c>
      <c r="W3943" s="19">
        <f>IF(OR(F3943="",I3943=""),"",IF(COUNTIFS(F$6:F3943,F3943,I$6:I3943,"?*")=1,MAX(W$5:W3942)+1,""))</f>
        <v/>
      </c>
    </row>
    <row r="3944">
      <c r="B3944" s="15" t="n"/>
      <c r="C3944" s="16" t="n"/>
      <c r="D3944" s="17" t="n"/>
      <c r="E3944" s="17" t="n"/>
      <c r="F3944" s="17" t="n"/>
      <c r="G3944" s="17" t="n"/>
      <c r="H3944" s="18">
        <f>IF(AND(B3944="",C3944="",D3944="",E3944=""),"",IF(B3944="","⚠ Falta fecha",IF(C3944="","⚠ Falta monto",IF(D3944="","⚠ Falta categoría",IF(ISNA(MATCH(D3944,catNom,0)),"⚠ Categoría no existe",IF(E3944="","⚠ Falta cuenta",IF(ISNA(MATCH(E3944,ctaNom,0)),"⚠ Cuenta no existe",IF(AND(OR(I3944="Transferencia",I3944="Pago tarjeta"),G3944=""),"⚠ Indica la cuenta «Hacia»",IF(AND(G3944&lt;&gt;"",G3944=E3944),"⚠ «Hacia» igual a la cuenta",IF(AND(G3944&lt;&gt;"",ISNA(MATCH(G3944,ctaNom,0))),"⚠ «Hacia» no existe",IF(AND(I3944="Pago tarjeta",IFERROR(INDEX(ctaTipo,MATCH(G3944,ctaNom,0)),"")&lt;&gt;"Tarjeta de crédito"),"⚠ «Hacia» debe ser la tarjeta",IF(AND(I3944="Trading",IFERROR(INDEX(ctaTipo,MATCH(E3944,ctaNom,0)),"")&lt;&gt;"Cuenta de trading"),"⚠ Usa la cuenta de trading","✓"))))))))))))</f>
        <v/>
      </c>
      <c r="I3944" s="19">
        <f>IF(OR(B3944="",C3944="",D3944=""),"",IFERROR(INDEX(catTipo,MATCH(D3944,catNom,0))&amp;"",""))</f>
        <v/>
      </c>
      <c r="J3944" s="19">
        <f>IF(I3944="","",IFERROR(INDEX(catGrupo,MATCH(D3944,catNom,0))&amp;"",""))</f>
        <v/>
      </c>
      <c r="K3944" s="19">
        <f>IF(I3944="Gasto",IF(IFERROR(INDEX(catClas,MATCH(D3944,catNom,0))&amp;"","")="","Variable",IFERROR(INDEX(catClas,MATCH(D3944,catNom,0))&amp;"","")),"")</f>
        <v/>
      </c>
      <c r="L3944" s="19">
        <f>IF(I3944="","",IFERROR(INDEX(catAlim,MATCH(D3944,catNom,0))&amp;"",""))</f>
        <v/>
      </c>
      <c r="M3944" s="19">
        <f>IF(I3944="","",IFERROR(INDEX(catComida,MATCH(D3944,catNom,0))&amp;"",""))</f>
        <v/>
      </c>
      <c r="N3944" s="19">
        <f>IF(I3944="","",IFERROR(INDEX(ctaMon,MATCH(E3944,ctaNom,0))&amp;"","DOP"))</f>
        <v/>
      </c>
      <c r="O3944" s="20">
        <f>IF(I3944="","",C3944*IF(N3944="USD",TasaUSD,1))</f>
        <v/>
      </c>
      <c r="P3944" s="20">
        <f>IF(I3944="","",IF(I3944="Gasto",O3944,0))</f>
        <v/>
      </c>
      <c r="Q3944" s="20">
        <f>IF(I3944="","",IF(I3944="Ingreso",O3944,0))</f>
        <v/>
      </c>
      <c r="R3944" s="20">
        <f>IF(I3944="","",IF(I3944="Trading",O3944,0))</f>
        <v/>
      </c>
      <c r="S3944" s="19">
        <f>IF(I3944="","",IF(AND(I3944="Gasto",K3944="Variable",J3944&lt;&gt;"Trading",O3944&gt;0,O3944&lt;=Umbral),1,0))</f>
        <v/>
      </c>
      <c r="T3944" s="20">
        <f>IF(OR(I3944="",E3944=""),"",IF(OR(I3944="Gasto",I3944="Transferencia",I3944="Pago tarjeta"),-1,1)*C3944)</f>
        <v/>
      </c>
      <c r="U3944" s="20">
        <f>IF(OR(G3944="",AND(I3944&lt;&gt;"Transferencia",I3944&lt;&gt;"Pago tarjeta")),"",IF(IFERROR(INDEX(ctaMon,MATCH(G3944,ctaNom,0))&amp;"","DOP")=N3944,C3944,IF(N3944="USD",C3944*TasaUSD,C3944/TasaUSD)))</f>
        <v/>
      </c>
      <c r="V3944" s="20">
        <f>IF(I3944="","",IF(IFERROR(INDEX(ctaLiq,MATCH(E3944,ctaNom,0))="Sí",FALSE),IF(OR(I3944="Gasto",I3944="Transferencia",I3944="Pago tarjeta"),-1,1)*O3944,0)+IF(AND(U3944&lt;&gt;"",IFERROR(INDEX(ctaLiq,MATCH(G3944,ctaNom,0))="Sí",FALSE)),O3944,0))</f>
        <v/>
      </c>
      <c r="W3944" s="19">
        <f>IF(OR(F3944="",I3944=""),"",IF(COUNTIFS(F$6:F3944,F3944,I$6:I3944,"?*")=1,MAX(W$5:W3943)+1,""))</f>
        <v/>
      </c>
    </row>
    <row r="3945">
      <c r="B3945" s="15" t="n"/>
      <c r="C3945" s="16" t="n"/>
      <c r="D3945" s="17" t="n"/>
      <c r="E3945" s="17" t="n"/>
      <c r="F3945" s="17" t="n"/>
      <c r="G3945" s="17" t="n"/>
      <c r="H3945" s="18">
        <f>IF(AND(B3945="",C3945="",D3945="",E3945=""),"",IF(B3945="","⚠ Falta fecha",IF(C3945="","⚠ Falta monto",IF(D3945="","⚠ Falta categoría",IF(ISNA(MATCH(D3945,catNom,0)),"⚠ Categoría no existe",IF(E3945="","⚠ Falta cuenta",IF(ISNA(MATCH(E3945,ctaNom,0)),"⚠ Cuenta no existe",IF(AND(OR(I3945="Transferencia",I3945="Pago tarjeta"),G3945=""),"⚠ Indica la cuenta «Hacia»",IF(AND(G3945&lt;&gt;"",G3945=E3945),"⚠ «Hacia» igual a la cuenta",IF(AND(G3945&lt;&gt;"",ISNA(MATCH(G3945,ctaNom,0))),"⚠ «Hacia» no existe",IF(AND(I3945="Pago tarjeta",IFERROR(INDEX(ctaTipo,MATCH(G3945,ctaNom,0)),"")&lt;&gt;"Tarjeta de crédito"),"⚠ «Hacia» debe ser la tarjeta",IF(AND(I3945="Trading",IFERROR(INDEX(ctaTipo,MATCH(E3945,ctaNom,0)),"")&lt;&gt;"Cuenta de trading"),"⚠ Usa la cuenta de trading","✓"))))))))))))</f>
        <v/>
      </c>
      <c r="I3945" s="19">
        <f>IF(OR(B3945="",C3945="",D3945=""),"",IFERROR(INDEX(catTipo,MATCH(D3945,catNom,0))&amp;"",""))</f>
        <v/>
      </c>
      <c r="J3945" s="19">
        <f>IF(I3945="","",IFERROR(INDEX(catGrupo,MATCH(D3945,catNom,0))&amp;"",""))</f>
        <v/>
      </c>
      <c r="K3945" s="19">
        <f>IF(I3945="Gasto",IF(IFERROR(INDEX(catClas,MATCH(D3945,catNom,0))&amp;"","")="","Variable",IFERROR(INDEX(catClas,MATCH(D3945,catNom,0))&amp;"","")),"")</f>
        <v/>
      </c>
      <c r="L3945" s="19">
        <f>IF(I3945="","",IFERROR(INDEX(catAlim,MATCH(D3945,catNom,0))&amp;"",""))</f>
        <v/>
      </c>
      <c r="M3945" s="19">
        <f>IF(I3945="","",IFERROR(INDEX(catComida,MATCH(D3945,catNom,0))&amp;"",""))</f>
        <v/>
      </c>
      <c r="N3945" s="19">
        <f>IF(I3945="","",IFERROR(INDEX(ctaMon,MATCH(E3945,ctaNom,0))&amp;"","DOP"))</f>
        <v/>
      </c>
      <c r="O3945" s="20">
        <f>IF(I3945="","",C3945*IF(N3945="USD",TasaUSD,1))</f>
        <v/>
      </c>
      <c r="P3945" s="20">
        <f>IF(I3945="","",IF(I3945="Gasto",O3945,0))</f>
        <v/>
      </c>
      <c r="Q3945" s="20">
        <f>IF(I3945="","",IF(I3945="Ingreso",O3945,0))</f>
        <v/>
      </c>
      <c r="R3945" s="20">
        <f>IF(I3945="","",IF(I3945="Trading",O3945,0))</f>
        <v/>
      </c>
      <c r="S3945" s="19">
        <f>IF(I3945="","",IF(AND(I3945="Gasto",K3945="Variable",J3945&lt;&gt;"Trading",O3945&gt;0,O3945&lt;=Umbral),1,0))</f>
        <v/>
      </c>
      <c r="T3945" s="20">
        <f>IF(OR(I3945="",E3945=""),"",IF(OR(I3945="Gasto",I3945="Transferencia",I3945="Pago tarjeta"),-1,1)*C3945)</f>
        <v/>
      </c>
      <c r="U3945" s="20">
        <f>IF(OR(G3945="",AND(I3945&lt;&gt;"Transferencia",I3945&lt;&gt;"Pago tarjeta")),"",IF(IFERROR(INDEX(ctaMon,MATCH(G3945,ctaNom,0))&amp;"","DOP")=N3945,C3945,IF(N3945="USD",C3945*TasaUSD,C3945/TasaUSD)))</f>
        <v/>
      </c>
      <c r="V3945" s="20">
        <f>IF(I3945="","",IF(IFERROR(INDEX(ctaLiq,MATCH(E3945,ctaNom,0))="Sí",FALSE),IF(OR(I3945="Gasto",I3945="Transferencia",I3945="Pago tarjeta"),-1,1)*O3945,0)+IF(AND(U3945&lt;&gt;"",IFERROR(INDEX(ctaLiq,MATCH(G3945,ctaNom,0))="Sí",FALSE)),O3945,0))</f>
        <v/>
      </c>
      <c r="W3945" s="19">
        <f>IF(OR(F3945="",I3945=""),"",IF(COUNTIFS(F$6:F3945,F3945,I$6:I3945,"?*")=1,MAX(W$5:W3944)+1,""))</f>
        <v/>
      </c>
    </row>
    <row r="3946">
      <c r="B3946" s="15" t="n"/>
      <c r="C3946" s="16" t="n"/>
      <c r="D3946" s="17" t="n"/>
      <c r="E3946" s="17" t="n"/>
      <c r="F3946" s="17" t="n"/>
      <c r="G3946" s="17" t="n"/>
      <c r="H3946" s="18">
        <f>IF(AND(B3946="",C3946="",D3946="",E3946=""),"",IF(B3946="","⚠ Falta fecha",IF(C3946="","⚠ Falta monto",IF(D3946="","⚠ Falta categoría",IF(ISNA(MATCH(D3946,catNom,0)),"⚠ Categoría no existe",IF(E3946="","⚠ Falta cuenta",IF(ISNA(MATCH(E3946,ctaNom,0)),"⚠ Cuenta no existe",IF(AND(OR(I3946="Transferencia",I3946="Pago tarjeta"),G3946=""),"⚠ Indica la cuenta «Hacia»",IF(AND(G3946&lt;&gt;"",G3946=E3946),"⚠ «Hacia» igual a la cuenta",IF(AND(G3946&lt;&gt;"",ISNA(MATCH(G3946,ctaNom,0))),"⚠ «Hacia» no existe",IF(AND(I3946="Pago tarjeta",IFERROR(INDEX(ctaTipo,MATCH(G3946,ctaNom,0)),"")&lt;&gt;"Tarjeta de crédito"),"⚠ «Hacia» debe ser la tarjeta",IF(AND(I3946="Trading",IFERROR(INDEX(ctaTipo,MATCH(E3946,ctaNom,0)),"")&lt;&gt;"Cuenta de trading"),"⚠ Usa la cuenta de trading","✓"))))))))))))</f>
        <v/>
      </c>
      <c r="I3946" s="19">
        <f>IF(OR(B3946="",C3946="",D3946=""),"",IFERROR(INDEX(catTipo,MATCH(D3946,catNom,0))&amp;"",""))</f>
        <v/>
      </c>
      <c r="J3946" s="19">
        <f>IF(I3946="","",IFERROR(INDEX(catGrupo,MATCH(D3946,catNom,0))&amp;"",""))</f>
        <v/>
      </c>
      <c r="K3946" s="19">
        <f>IF(I3946="Gasto",IF(IFERROR(INDEX(catClas,MATCH(D3946,catNom,0))&amp;"","")="","Variable",IFERROR(INDEX(catClas,MATCH(D3946,catNom,0))&amp;"","")),"")</f>
        <v/>
      </c>
      <c r="L3946" s="19">
        <f>IF(I3946="","",IFERROR(INDEX(catAlim,MATCH(D3946,catNom,0))&amp;"",""))</f>
        <v/>
      </c>
      <c r="M3946" s="19">
        <f>IF(I3946="","",IFERROR(INDEX(catComida,MATCH(D3946,catNom,0))&amp;"",""))</f>
        <v/>
      </c>
      <c r="N3946" s="19">
        <f>IF(I3946="","",IFERROR(INDEX(ctaMon,MATCH(E3946,ctaNom,0))&amp;"","DOP"))</f>
        <v/>
      </c>
      <c r="O3946" s="20">
        <f>IF(I3946="","",C3946*IF(N3946="USD",TasaUSD,1))</f>
        <v/>
      </c>
      <c r="P3946" s="20">
        <f>IF(I3946="","",IF(I3946="Gasto",O3946,0))</f>
        <v/>
      </c>
      <c r="Q3946" s="20">
        <f>IF(I3946="","",IF(I3946="Ingreso",O3946,0))</f>
        <v/>
      </c>
      <c r="R3946" s="20">
        <f>IF(I3946="","",IF(I3946="Trading",O3946,0))</f>
        <v/>
      </c>
      <c r="S3946" s="19">
        <f>IF(I3946="","",IF(AND(I3946="Gasto",K3946="Variable",J3946&lt;&gt;"Trading",O3946&gt;0,O3946&lt;=Umbral),1,0))</f>
        <v/>
      </c>
      <c r="T3946" s="20">
        <f>IF(OR(I3946="",E3946=""),"",IF(OR(I3946="Gasto",I3946="Transferencia",I3946="Pago tarjeta"),-1,1)*C3946)</f>
        <v/>
      </c>
      <c r="U3946" s="20">
        <f>IF(OR(G3946="",AND(I3946&lt;&gt;"Transferencia",I3946&lt;&gt;"Pago tarjeta")),"",IF(IFERROR(INDEX(ctaMon,MATCH(G3946,ctaNom,0))&amp;"","DOP")=N3946,C3946,IF(N3946="USD",C3946*TasaUSD,C3946/TasaUSD)))</f>
        <v/>
      </c>
      <c r="V3946" s="20">
        <f>IF(I3946="","",IF(IFERROR(INDEX(ctaLiq,MATCH(E3946,ctaNom,0))="Sí",FALSE),IF(OR(I3946="Gasto",I3946="Transferencia",I3946="Pago tarjeta"),-1,1)*O3946,0)+IF(AND(U3946&lt;&gt;"",IFERROR(INDEX(ctaLiq,MATCH(G3946,ctaNom,0))="Sí",FALSE)),O3946,0))</f>
        <v/>
      </c>
      <c r="W3946" s="19">
        <f>IF(OR(F3946="",I3946=""),"",IF(COUNTIFS(F$6:F3946,F3946,I$6:I3946,"?*")=1,MAX(W$5:W3945)+1,""))</f>
        <v/>
      </c>
    </row>
    <row r="3947">
      <c r="B3947" s="15" t="n"/>
      <c r="C3947" s="16" t="n"/>
      <c r="D3947" s="17" t="n"/>
      <c r="E3947" s="17" t="n"/>
      <c r="F3947" s="17" t="n"/>
      <c r="G3947" s="17" t="n"/>
      <c r="H3947" s="18">
        <f>IF(AND(B3947="",C3947="",D3947="",E3947=""),"",IF(B3947="","⚠ Falta fecha",IF(C3947="","⚠ Falta monto",IF(D3947="","⚠ Falta categoría",IF(ISNA(MATCH(D3947,catNom,0)),"⚠ Categoría no existe",IF(E3947="","⚠ Falta cuenta",IF(ISNA(MATCH(E3947,ctaNom,0)),"⚠ Cuenta no existe",IF(AND(OR(I3947="Transferencia",I3947="Pago tarjeta"),G3947=""),"⚠ Indica la cuenta «Hacia»",IF(AND(G3947&lt;&gt;"",G3947=E3947),"⚠ «Hacia» igual a la cuenta",IF(AND(G3947&lt;&gt;"",ISNA(MATCH(G3947,ctaNom,0))),"⚠ «Hacia» no existe",IF(AND(I3947="Pago tarjeta",IFERROR(INDEX(ctaTipo,MATCH(G3947,ctaNom,0)),"")&lt;&gt;"Tarjeta de crédito"),"⚠ «Hacia» debe ser la tarjeta",IF(AND(I3947="Trading",IFERROR(INDEX(ctaTipo,MATCH(E3947,ctaNom,0)),"")&lt;&gt;"Cuenta de trading"),"⚠ Usa la cuenta de trading","✓"))))))))))))</f>
        <v/>
      </c>
      <c r="I3947" s="19">
        <f>IF(OR(B3947="",C3947="",D3947=""),"",IFERROR(INDEX(catTipo,MATCH(D3947,catNom,0))&amp;"",""))</f>
        <v/>
      </c>
      <c r="J3947" s="19">
        <f>IF(I3947="","",IFERROR(INDEX(catGrupo,MATCH(D3947,catNom,0))&amp;"",""))</f>
        <v/>
      </c>
      <c r="K3947" s="19">
        <f>IF(I3947="Gasto",IF(IFERROR(INDEX(catClas,MATCH(D3947,catNom,0))&amp;"","")="","Variable",IFERROR(INDEX(catClas,MATCH(D3947,catNom,0))&amp;"","")),"")</f>
        <v/>
      </c>
      <c r="L3947" s="19">
        <f>IF(I3947="","",IFERROR(INDEX(catAlim,MATCH(D3947,catNom,0))&amp;"",""))</f>
        <v/>
      </c>
      <c r="M3947" s="19">
        <f>IF(I3947="","",IFERROR(INDEX(catComida,MATCH(D3947,catNom,0))&amp;"",""))</f>
        <v/>
      </c>
      <c r="N3947" s="19">
        <f>IF(I3947="","",IFERROR(INDEX(ctaMon,MATCH(E3947,ctaNom,0))&amp;"","DOP"))</f>
        <v/>
      </c>
      <c r="O3947" s="20">
        <f>IF(I3947="","",C3947*IF(N3947="USD",TasaUSD,1))</f>
        <v/>
      </c>
      <c r="P3947" s="20">
        <f>IF(I3947="","",IF(I3947="Gasto",O3947,0))</f>
        <v/>
      </c>
      <c r="Q3947" s="20">
        <f>IF(I3947="","",IF(I3947="Ingreso",O3947,0))</f>
        <v/>
      </c>
      <c r="R3947" s="20">
        <f>IF(I3947="","",IF(I3947="Trading",O3947,0))</f>
        <v/>
      </c>
      <c r="S3947" s="19">
        <f>IF(I3947="","",IF(AND(I3947="Gasto",K3947="Variable",J3947&lt;&gt;"Trading",O3947&gt;0,O3947&lt;=Umbral),1,0))</f>
        <v/>
      </c>
      <c r="T3947" s="20">
        <f>IF(OR(I3947="",E3947=""),"",IF(OR(I3947="Gasto",I3947="Transferencia",I3947="Pago tarjeta"),-1,1)*C3947)</f>
        <v/>
      </c>
      <c r="U3947" s="20">
        <f>IF(OR(G3947="",AND(I3947&lt;&gt;"Transferencia",I3947&lt;&gt;"Pago tarjeta")),"",IF(IFERROR(INDEX(ctaMon,MATCH(G3947,ctaNom,0))&amp;"","DOP")=N3947,C3947,IF(N3947="USD",C3947*TasaUSD,C3947/TasaUSD)))</f>
        <v/>
      </c>
      <c r="V3947" s="20">
        <f>IF(I3947="","",IF(IFERROR(INDEX(ctaLiq,MATCH(E3947,ctaNom,0))="Sí",FALSE),IF(OR(I3947="Gasto",I3947="Transferencia",I3947="Pago tarjeta"),-1,1)*O3947,0)+IF(AND(U3947&lt;&gt;"",IFERROR(INDEX(ctaLiq,MATCH(G3947,ctaNom,0))="Sí",FALSE)),O3947,0))</f>
        <v/>
      </c>
      <c r="W3947" s="19">
        <f>IF(OR(F3947="",I3947=""),"",IF(COUNTIFS(F$6:F3947,F3947,I$6:I3947,"?*")=1,MAX(W$5:W3946)+1,""))</f>
        <v/>
      </c>
    </row>
    <row r="3948">
      <c r="B3948" s="15" t="n"/>
      <c r="C3948" s="16" t="n"/>
      <c r="D3948" s="17" t="n"/>
      <c r="E3948" s="17" t="n"/>
      <c r="F3948" s="17" t="n"/>
      <c r="G3948" s="17" t="n"/>
      <c r="H3948" s="18">
        <f>IF(AND(B3948="",C3948="",D3948="",E3948=""),"",IF(B3948="","⚠ Falta fecha",IF(C3948="","⚠ Falta monto",IF(D3948="","⚠ Falta categoría",IF(ISNA(MATCH(D3948,catNom,0)),"⚠ Categoría no existe",IF(E3948="","⚠ Falta cuenta",IF(ISNA(MATCH(E3948,ctaNom,0)),"⚠ Cuenta no existe",IF(AND(OR(I3948="Transferencia",I3948="Pago tarjeta"),G3948=""),"⚠ Indica la cuenta «Hacia»",IF(AND(G3948&lt;&gt;"",G3948=E3948),"⚠ «Hacia» igual a la cuenta",IF(AND(G3948&lt;&gt;"",ISNA(MATCH(G3948,ctaNom,0))),"⚠ «Hacia» no existe",IF(AND(I3948="Pago tarjeta",IFERROR(INDEX(ctaTipo,MATCH(G3948,ctaNom,0)),"")&lt;&gt;"Tarjeta de crédito"),"⚠ «Hacia» debe ser la tarjeta",IF(AND(I3948="Trading",IFERROR(INDEX(ctaTipo,MATCH(E3948,ctaNom,0)),"")&lt;&gt;"Cuenta de trading"),"⚠ Usa la cuenta de trading","✓"))))))))))))</f>
        <v/>
      </c>
      <c r="I3948" s="19">
        <f>IF(OR(B3948="",C3948="",D3948=""),"",IFERROR(INDEX(catTipo,MATCH(D3948,catNom,0))&amp;"",""))</f>
        <v/>
      </c>
      <c r="J3948" s="19">
        <f>IF(I3948="","",IFERROR(INDEX(catGrupo,MATCH(D3948,catNom,0))&amp;"",""))</f>
        <v/>
      </c>
      <c r="K3948" s="19">
        <f>IF(I3948="Gasto",IF(IFERROR(INDEX(catClas,MATCH(D3948,catNom,0))&amp;"","")="","Variable",IFERROR(INDEX(catClas,MATCH(D3948,catNom,0))&amp;"","")),"")</f>
        <v/>
      </c>
      <c r="L3948" s="19">
        <f>IF(I3948="","",IFERROR(INDEX(catAlim,MATCH(D3948,catNom,0))&amp;"",""))</f>
        <v/>
      </c>
      <c r="M3948" s="19">
        <f>IF(I3948="","",IFERROR(INDEX(catComida,MATCH(D3948,catNom,0))&amp;"",""))</f>
        <v/>
      </c>
      <c r="N3948" s="19">
        <f>IF(I3948="","",IFERROR(INDEX(ctaMon,MATCH(E3948,ctaNom,0))&amp;"","DOP"))</f>
        <v/>
      </c>
      <c r="O3948" s="20">
        <f>IF(I3948="","",C3948*IF(N3948="USD",TasaUSD,1))</f>
        <v/>
      </c>
      <c r="P3948" s="20">
        <f>IF(I3948="","",IF(I3948="Gasto",O3948,0))</f>
        <v/>
      </c>
      <c r="Q3948" s="20">
        <f>IF(I3948="","",IF(I3948="Ingreso",O3948,0))</f>
        <v/>
      </c>
      <c r="R3948" s="20">
        <f>IF(I3948="","",IF(I3948="Trading",O3948,0))</f>
        <v/>
      </c>
      <c r="S3948" s="19">
        <f>IF(I3948="","",IF(AND(I3948="Gasto",K3948="Variable",J3948&lt;&gt;"Trading",O3948&gt;0,O3948&lt;=Umbral),1,0))</f>
        <v/>
      </c>
      <c r="T3948" s="20">
        <f>IF(OR(I3948="",E3948=""),"",IF(OR(I3948="Gasto",I3948="Transferencia",I3948="Pago tarjeta"),-1,1)*C3948)</f>
        <v/>
      </c>
      <c r="U3948" s="20">
        <f>IF(OR(G3948="",AND(I3948&lt;&gt;"Transferencia",I3948&lt;&gt;"Pago tarjeta")),"",IF(IFERROR(INDEX(ctaMon,MATCH(G3948,ctaNom,0))&amp;"","DOP")=N3948,C3948,IF(N3948="USD",C3948*TasaUSD,C3948/TasaUSD)))</f>
        <v/>
      </c>
      <c r="V3948" s="20">
        <f>IF(I3948="","",IF(IFERROR(INDEX(ctaLiq,MATCH(E3948,ctaNom,0))="Sí",FALSE),IF(OR(I3948="Gasto",I3948="Transferencia",I3948="Pago tarjeta"),-1,1)*O3948,0)+IF(AND(U3948&lt;&gt;"",IFERROR(INDEX(ctaLiq,MATCH(G3948,ctaNom,0))="Sí",FALSE)),O3948,0))</f>
        <v/>
      </c>
      <c r="W3948" s="19">
        <f>IF(OR(F3948="",I3948=""),"",IF(COUNTIFS(F$6:F3948,F3948,I$6:I3948,"?*")=1,MAX(W$5:W3947)+1,""))</f>
        <v/>
      </c>
    </row>
    <row r="3949">
      <c r="B3949" s="15" t="n"/>
      <c r="C3949" s="16" t="n"/>
      <c r="D3949" s="17" t="n"/>
      <c r="E3949" s="17" t="n"/>
      <c r="F3949" s="17" t="n"/>
      <c r="G3949" s="17" t="n"/>
      <c r="H3949" s="18">
        <f>IF(AND(B3949="",C3949="",D3949="",E3949=""),"",IF(B3949="","⚠ Falta fecha",IF(C3949="","⚠ Falta monto",IF(D3949="","⚠ Falta categoría",IF(ISNA(MATCH(D3949,catNom,0)),"⚠ Categoría no existe",IF(E3949="","⚠ Falta cuenta",IF(ISNA(MATCH(E3949,ctaNom,0)),"⚠ Cuenta no existe",IF(AND(OR(I3949="Transferencia",I3949="Pago tarjeta"),G3949=""),"⚠ Indica la cuenta «Hacia»",IF(AND(G3949&lt;&gt;"",G3949=E3949),"⚠ «Hacia» igual a la cuenta",IF(AND(G3949&lt;&gt;"",ISNA(MATCH(G3949,ctaNom,0))),"⚠ «Hacia» no existe",IF(AND(I3949="Pago tarjeta",IFERROR(INDEX(ctaTipo,MATCH(G3949,ctaNom,0)),"")&lt;&gt;"Tarjeta de crédito"),"⚠ «Hacia» debe ser la tarjeta",IF(AND(I3949="Trading",IFERROR(INDEX(ctaTipo,MATCH(E3949,ctaNom,0)),"")&lt;&gt;"Cuenta de trading"),"⚠ Usa la cuenta de trading","✓"))))))))))))</f>
        <v/>
      </c>
      <c r="I3949" s="19">
        <f>IF(OR(B3949="",C3949="",D3949=""),"",IFERROR(INDEX(catTipo,MATCH(D3949,catNom,0))&amp;"",""))</f>
        <v/>
      </c>
      <c r="J3949" s="19">
        <f>IF(I3949="","",IFERROR(INDEX(catGrupo,MATCH(D3949,catNom,0))&amp;"",""))</f>
        <v/>
      </c>
      <c r="K3949" s="19">
        <f>IF(I3949="Gasto",IF(IFERROR(INDEX(catClas,MATCH(D3949,catNom,0))&amp;"","")="","Variable",IFERROR(INDEX(catClas,MATCH(D3949,catNom,0))&amp;"","")),"")</f>
        <v/>
      </c>
      <c r="L3949" s="19">
        <f>IF(I3949="","",IFERROR(INDEX(catAlim,MATCH(D3949,catNom,0))&amp;"",""))</f>
        <v/>
      </c>
      <c r="M3949" s="19">
        <f>IF(I3949="","",IFERROR(INDEX(catComida,MATCH(D3949,catNom,0))&amp;"",""))</f>
        <v/>
      </c>
      <c r="N3949" s="19">
        <f>IF(I3949="","",IFERROR(INDEX(ctaMon,MATCH(E3949,ctaNom,0))&amp;"","DOP"))</f>
        <v/>
      </c>
      <c r="O3949" s="20">
        <f>IF(I3949="","",C3949*IF(N3949="USD",TasaUSD,1))</f>
        <v/>
      </c>
      <c r="P3949" s="20">
        <f>IF(I3949="","",IF(I3949="Gasto",O3949,0))</f>
        <v/>
      </c>
      <c r="Q3949" s="20">
        <f>IF(I3949="","",IF(I3949="Ingreso",O3949,0))</f>
        <v/>
      </c>
      <c r="R3949" s="20">
        <f>IF(I3949="","",IF(I3949="Trading",O3949,0))</f>
        <v/>
      </c>
      <c r="S3949" s="19">
        <f>IF(I3949="","",IF(AND(I3949="Gasto",K3949="Variable",J3949&lt;&gt;"Trading",O3949&gt;0,O3949&lt;=Umbral),1,0))</f>
        <v/>
      </c>
      <c r="T3949" s="20">
        <f>IF(OR(I3949="",E3949=""),"",IF(OR(I3949="Gasto",I3949="Transferencia",I3949="Pago tarjeta"),-1,1)*C3949)</f>
        <v/>
      </c>
      <c r="U3949" s="20">
        <f>IF(OR(G3949="",AND(I3949&lt;&gt;"Transferencia",I3949&lt;&gt;"Pago tarjeta")),"",IF(IFERROR(INDEX(ctaMon,MATCH(G3949,ctaNom,0))&amp;"","DOP")=N3949,C3949,IF(N3949="USD",C3949*TasaUSD,C3949/TasaUSD)))</f>
        <v/>
      </c>
      <c r="V3949" s="20">
        <f>IF(I3949="","",IF(IFERROR(INDEX(ctaLiq,MATCH(E3949,ctaNom,0))="Sí",FALSE),IF(OR(I3949="Gasto",I3949="Transferencia",I3949="Pago tarjeta"),-1,1)*O3949,0)+IF(AND(U3949&lt;&gt;"",IFERROR(INDEX(ctaLiq,MATCH(G3949,ctaNom,0))="Sí",FALSE)),O3949,0))</f>
        <v/>
      </c>
      <c r="W3949" s="19">
        <f>IF(OR(F3949="",I3949=""),"",IF(COUNTIFS(F$6:F3949,F3949,I$6:I3949,"?*")=1,MAX(W$5:W3948)+1,""))</f>
        <v/>
      </c>
    </row>
    <row r="3950">
      <c r="B3950" s="15" t="n"/>
      <c r="C3950" s="16" t="n"/>
      <c r="D3950" s="17" t="n"/>
      <c r="E3950" s="17" t="n"/>
      <c r="F3950" s="17" t="n"/>
      <c r="G3950" s="17" t="n"/>
      <c r="H3950" s="18">
        <f>IF(AND(B3950="",C3950="",D3950="",E3950=""),"",IF(B3950="","⚠ Falta fecha",IF(C3950="","⚠ Falta monto",IF(D3950="","⚠ Falta categoría",IF(ISNA(MATCH(D3950,catNom,0)),"⚠ Categoría no existe",IF(E3950="","⚠ Falta cuenta",IF(ISNA(MATCH(E3950,ctaNom,0)),"⚠ Cuenta no existe",IF(AND(OR(I3950="Transferencia",I3950="Pago tarjeta"),G3950=""),"⚠ Indica la cuenta «Hacia»",IF(AND(G3950&lt;&gt;"",G3950=E3950),"⚠ «Hacia» igual a la cuenta",IF(AND(G3950&lt;&gt;"",ISNA(MATCH(G3950,ctaNom,0))),"⚠ «Hacia» no existe",IF(AND(I3950="Pago tarjeta",IFERROR(INDEX(ctaTipo,MATCH(G3950,ctaNom,0)),"")&lt;&gt;"Tarjeta de crédito"),"⚠ «Hacia» debe ser la tarjeta",IF(AND(I3950="Trading",IFERROR(INDEX(ctaTipo,MATCH(E3950,ctaNom,0)),"")&lt;&gt;"Cuenta de trading"),"⚠ Usa la cuenta de trading","✓"))))))))))))</f>
        <v/>
      </c>
      <c r="I3950" s="19">
        <f>IF(OR(B3950="",C3950="",D3950=""),"",IFERROR(INDEX(catTipo,MATCH(D3950,catNom,0))&amp;"",""))</f>
        <v/>
      </c>
      <c r="J3950" s="19">
        <f>IF(I3950="","",IFERROR(INDEX(catGrupo,MATCH(D3950,catNom,0))&amp;"",""))</f>
        <v/>
      </c>
      <c r="K3950" s="19">
        <f>IF(I3950="Gasto",IF(IFERROR(INDEX(catClas,MATCH(D3950,catNom,0))&amp;"","")="","Variable",IFERROR(INDEX(catClas,MATCH(D3950,catNom,0))&amp;"","")),"")</f>
        <v/>
      </c>
      <c r="L3950" s="19">
        <f>IF(I3950="","",IFERROR(INDEX(catAlim,MATCH(D3950,catNom,0))&amp;"",""))</f>
        <v/>
      </c>
      <c r="M3950" s="19">
        <f>IF(I3950="","",IFERROR(INDEX(catComida,MATCH(D3950,catNom,0))&amp;"",""))</f>
        <v/>
      </c>
      <c r="N3950" s="19">
        <f>IF(I3950="","",IFERROR(INDEX(ctaMon,MATCH(E3950,ctaNom,0))&amp;"","DOP"))</f>
        <v/>
      </c>
      <c r="O3950" s="20">
        <f>IF(I3950="","",C3950*IF(N3950="USD",TasaUSD,1))</f>
        <v/>
      </c>
      <c r="P3950" s="20">
        <f>IF(I3950="","",IF(I3950="Gasto",O3950,0))</f>
        <v/>
      </c>
      <c r="Q3950" s="20">
        <f>IF(I3950="","",IF(I3950="Ingreso",O3950,0))</f>
        <v/>
      </c>
      <c r="R3950" s="20">
        <f>IF(I3950="","",IF(I3950="Trading",O3950,0))</f>
        <v/>
      </c>
      <c r="S3950" s="19">
        <f>IF(I3950="","",IF(AND(I3950="Gasto",K3950="Variable",J3950&lt;&gt;"Trading",O3950&gt;0,O3950&lt;=Umbral),1,0))</f>
        <v/>
      </c>
      <c r="T3950" s="20">
        <f>IF(OR(I3950="",E3950=""),"",IF(OR(I3950="Gasto",I3950="Transferencia",I3950="Pago tarjeta"),-1,1)*C3950)</f>
        <v/>
      </c>
      <c r="U3950" s="20">
        <f>IF(OR(G3950="",AND(I3950&lt;&gt;"Transferencia",I3950&lt;&gt;"Pago tarjeta")),"",IF(IFERROR(INDEX(ctaMon,MATCH(G3950,ctaNom,0))&amp;"","DOP")=N3950,C3950,IF(N3950="USD",C3950*TasaUSD,C3950/TasaUSD)))</f>
        <v/>
      </c>
      <c r="V3950" s="20">
        <f>IF(I3950="","",IF(IFERROR(INDEX(ctaLiq,MATCH(E3950,ctaNom,0))="Sí",FALSE),IF(OR(I3950="Gasto",I3950="Transferencia",I3950="Pago tarjeta"),-1,1)*O3950,0)+IF(AND(U3950&lt;&gt;"",IFERROR(INDEX(ctaLiq,MATCH(G3950,ctaNom,0))="Sí",FALSE)),O3950,0))</f>
        <v/>
      </c>
      <c r="W3950" s="19">
        <f>IF(OR(F3950="",I3950=""),"",IF(COUNTIFS(F$6:F3950,F3950,I$6:I3950,"?*")=1,MAX(W$5:W3949)+1,""))</f>
        <v/>
      </c>
    </row>
    <row r="3951">
      <c r="B3951" s="15" t="n"/>
      <c r="C3951" s="16" t="n"/>
      <c r="D3951" s="17" t="n"/>
      <c r="E3951" s="17" t="n"/>
      <c r="F3951" s="17" t="n"/>
      <c r="G3951" s="17" t="n"/>
      <c r="H3951" s="18">
        <f>IF(AND(B3951="",C3951="",D3951="",E3951=""),"",IF(B3951="","⚠ Falta fecha",IF(C3951="","⚠ Falta monto",IF(D3951="","⚠ Falta categoría",IF(ISNA(MATCH(D3951,catNom,0)),"⚠ Categoría no existe",IF(E3951="","⚠ Falta cuenta",IF(ISNA(MATCH(E3951,ctaNom,0)),"⚠ Cuenta no existe",IF(AND(OR(I3951="Transferencia",I3951="Pago tarjeta"),G3951=""),"⚠ Indica la cuenta «Hacia»",IF(AND(G3951&lt;&gt;"",G3951=E3951),"⚠ «Hacia» igual a la cuenta",IF(AND(G3951&lt;&gt;"",ISNA(MATCH(G3951,ctaNom,0))),"⚠ «Hacia» no existe",IF(AND(I3951="Pago tarjeta",IFERROR(INDEX(ctaTipo,MATCH(G3951,ctaNom,0)),"")&lt;&gt;"Tarjeta de crédito"),"⚠ «Hacia» debe ser la tarjeta",IF(AND(I3951="Trading",IFERROR(INDEX(ctaTipo,MATCH(E3951,ctaNom,0)),"")&lt;&gt;"Cuenta de trading"),"⚠ Usa la cuenta de trading","✓"))))))))))))</f>
        <v/>
      </c>
      <c r="I3951" s="19">
        <f>IF(OR(B3951="",C3951="",D3951=""),"",IFERROR(INDEX(catTipo,MATCH(D3951,catNom,0))&amp;"",""))</f>
        <v/>
      </c>
      <c r="J3951" s="19">
        <f>IF(I3951="","",IFERROR(INDEX(catGrupo,MATCH(D3951,catNom,0))&amp;"",""))</f>
        <v/>
      </c>
      <c r="K3951" s="19">
        <f>IF(I3951="Gasto",IF(IFERROR(INDEX(catClas,MATCH(D3951,catNom,0))&amp;"","")="","Variable",IFERROR(INDEX(catClas,MATCH(D3951,catNom,0))&amp;"","")),"")</f>
        <v/>
      </c>
      <c r="L3951" s="19">
        <f>IF(I3951="","",IFERROR(INDEX(catAlim,MATCH(D3951,catNom,0))&amp;"",""))</f>
        <v/>
      </c>
      <c r="M3951" s="19">
        <f>IF(I3951="","",IFERROR(INDEX(catComida,MATCH(D3951,catNom,0))&amp;"",""))</f>
        <v/>
      </c>
      <c r="N3951" s="19">
        <f>IF(I3951="","",IFERROR(INDEX(ctaMon,MATCH(E3951,ctaNom,0))&amp;"","DOP"))</f>
        <v/>
      </c>
      <c r="O3951" s="20">
        <f>IF(I3951="","",C3951*IF(N3951="USD",TasaUSD,1))</f>
        <v/>
      </c>
      <c r="P3951" s="20">
        <f>IF(I3951="","",IF(I3951="Gasto",O3951,0))</f>
        <v/>
      </c>
      <c r="Q3951" s="20">
        <f>IF(I3951="","",IF(I3951="Ingreso",O3951,0))</f>
        <v/>
      </c>
      <c r="R3951" s="20">
        <f>IF(I3951="","",IF(I3951="Trading",O3951,0))</f>
        <v/>
      </c>
      <c r="S3951" s="19">
        <f>IF(I3951="","",IF(AND(I3951="Gasto",K3951="Variable",J3951&lt;&gt;"Trading",O3951&gt;0,O3951&lt;=Umbral),1,0))</f>
        <v/>
      </c>
      <c r="T3951" s="20">
        <f>IF(OR(I3951="",E3951=""),"",IF(OR(I3951="Gasto",I3951="Transferencia",I3951="Pago tarjeta"),-1,1)*C3951)</f>
        <v/>
      </c>
      <c r="U3951" s="20">
        <f>IF(OR(G3951="",AND(I3951&lt;&gt;"Transferencia",I3951&lt;&gt;"Pago tarjeta")),"",IF(IFERROR(INDEX(ctaMon,MATCH(G3951,ctaNom,0))&amp;"","DOP")=N3951,C3951,IF(N3951="USD",C3951*TasaUSD,C3951/TasaUSD)))</f>
        <v/>
      </c>
      <c r="V3951" s="20">
        <f>IF(I3951="","",IF(IFERROR(INDEX(ctaLiq,MATCH(E3951,ctaNom,0))="Sí",FALSE),IF(OR(I3951="Gasto",I3951="Transferencia",I3951="Pago tarjeta"),-1,1)*O3951,0)+IF(AND(U3951&lt;&gt;"",IFERROR(INDEX(ctaLiq,MATCH(G3951,ctaNom,0))="Sí",FALSE)),O3951,0))</f>
        <v/>
      </c>
      <c r="W3951" s="19">
        <f>IF(OR(F3951="",I3951=""),"",IF(COUNTIFS(F$6:F3951,F3951,I$6:I3951,"?*")=1,MAX(W$5:W3950)+1,""))</f>
        <v/>
      </c>
    </row>
    <row r="3952">
      <c r="B3952" s="15" t="n"/>
      <c r="C3952" s="16" t="n"/>
      <c r="D3952" s="17" t="n"/>
      <c r="E3952" s="17" t="n"/>
      <c r="F3952" s="17" t="n"/>
      <c r="G3952" s="17" t="n"/>
      <c r="H3952" s="18">
        <f>IF(AND(B3952="",C3952="",D3952="",E3952=""),"",IF(B3952="","⚠ Falta fecha",IF(C3952="","⚠ Falta monto",IF(D3952="","⚠ Falta categoría",IF(ISNA(MATCH(D3952,catNom,0)),"⚠ Categoría no existe",IF(E3952="","⚠ Falta cuenta",IF(ISNA(MATCH(E3952,ctaNom,0)),"⚠ Cuenta no existe",IF(AND(OR(I3952="Transferencia",I3952="Pago tarjeta"),G3952=""),"⚠ Indica la cuenta «Hacia»",IF(AND(G3952&lt;&gt;"",G3952=E3952),"⚠ «Hacia» igual a la cuenta",IF(AND(G3952&lt;&gt;"",ISNA(MATCH(G3952,ctaNom,0))),"⚠ «Hacia» no existe",IF(AND(I3952="Pago tarjeta",IFERROR(INDEX(ctaTipo,MATCH(G3952,ctaNom,0)),"")&lt;&gt;"Tarjeta de crédito"),"⚠ «Hacia» debe ser la tarjeta",IF(AND(I3952="Trading",IFERROR(INDEX(ctaTipo,MATCH(E3952,ctaNom,0)),"")&lt;&gt;"Cuenta de trading"),"⚠ Usa la cuenta de trading","✓"))))))))))))</f>
        <v/>
      </c>
      <c r="I3952" s="19">
        <f>IF(OR(B3952="",C3952="",D3952=""),"",IFERROR(INDEX(catTipo,MATCH(D3952,catNom,0))&amp;"",""))</f>
        <v/>
      </c>
      <c r="J3952" s="19">
        <f>IF(I3952="","",IFERROR(INDEX(catGrupo,MATCH(D3952,catNom,0))&amp;"",""))</f>
        <v/>
      </c>
      <c r="K3952" s="19">
        <f>IF(I3952="Gasto",IF(IFERROR(INDEX(catClas,MATCH(D3952,catNom,0))&amp;"","")="","Variable",IFERROR(INDEX(catClas,MATCH(D3952,catNom,0))&amp;"","")),"")</f>
        <v/>
      </c>
      <c r="L3952" s="19">
        <f>IF(I3952="","",IFERROR(INDEX(catAlim,MATCH(D3952,catNom,0))&amp;"",""))</f>
        <v/>
      </c>
      <c r="M3952" s="19">
        <f>IF(I3952="","",IFERROR(INDEX(catComida,MATCH(D3952,catNom,0))&amp;"",""))</f>
        <v/>
      </c>
      <c r="N3952" s="19">
        <f>IF(I3952="","",IFERROR(INDEX(ctaMon,MATCH(E3952,ctaNom,0))&amp;"","DOP"))</f>
        <v/>
      </c>
      <c r="O3952" s="20">
        <f>IF(I3952="","",C3952*IF(N3952="USD",TasaUSD,1))</f>
        <v/>
      </c>
      <c r="P3952" s="20">
        <f>IF(I3952="","",IF(I3952="Gasto",O3952,0))</f>
        <v/>
      </c>
      <c r="Q3952" s="20">
        <f>IF(I3952="","",IF(I3952="Ingreso",O3952,0))</f>
        <v/>
      </c>
      <c r="R3952" s="20">
        <f>IF(I3952="","",IF(I3952="Trading",O3952,0))</f>
        <v/>
      </c>
      <c r="S3952" s="19">
        <f>IF(I3952="","",IF(AND(I3952="Gasto",K3952="Variable",J3952&lt;&gt;"Trading",O3952&gt;0,O3952&lt;=Umbral),1,0))</f>
        <v/>
      </c>
      <c r="T3952" s="20">
        <f>IF(OR(I3952="",E3952=""),"",IF(OR(I3952="Gasto",I3952="Transferencia",I3952="Pago tarjeta"),-1,1)*C3952)</f>
        <v/>
      </c>
      <c r="U3952" s="20">
        <f>IF(OR(G3952="",AND(I3952&lt;&gt;"Transferencia",I3952&lt;&gt;"Pago tarjeta")),"",IF(IFERROR(INDEX(ctaMon,MATCH(G3952,ctaNom,0))&amp;"","DOP")=N3952,C3952,IF(N3952="USD",C3952*TasaUSD,C3952/TasaUSD)))</f>
        <v/>
      </c>
      <c r="V3952" s="20">
        <f>IF(I3952="","",IF(IFERROR(INDEX(ctaLiq,MATCH(E3952,ctaNom,0))="Sí",FALSE),IF(OR(I3952="Gasto",I3952="Transferencia",I3952="Pago tarjeta"),-1,1)*O3952,0)+IF(AND(U3952&lt;&gt;"",IFERROR(INDEX(ctaLiq,MATCH(G3952,ctaNom,0))="Sí",FALSE)),O3952,0))</f>
        <v/>
      </c>
      <c r="W3952" s="19">
        <f>IF(OR(F3952="",I3952=""),"",IF(COUNTIFS(F$6:F3952,F3952,I$6:I3952,"?*")=1,MAX(W$5:W3951)+1,""))</f>
        <v/>
      </c>
    </row>
    <row r="3953">
      <c r="B3953" s="15" t="n"/>
      <c r="C3953" s="16" t="n"/>
      <c r="D3953" s="17" t="n"/>
      <c r="E3953" s="17" t="n"/>
      <c r="F3953" s="17" t="n"/>
      <c r="G3953" s="17" t="n"/>
      <c r="H3953" s="18">
        <f>IF(AND(B3953="",C3953="",D3953="",E3953=""),"",IF(B3953="","⚠ Falta fecha",IF(C3953="","⚠ Falta monto",IF(D3953="","⚠ Falta categoría",IF(ISNA(MATCH(D3953,catNom,0)),"⚠ Categoría no existe",IF(E3953="","⚠ Falta cuenta",IF(ISNA(MATCH(E3953,ctaNom,0)),"⚠ Cuenta no existe",IF(AND(OR(I3953="Transferencia",I3953="Pago tarjeta"),G3953=""),"⚠ Indica la cuenta «Hacia»",IF(AND(G3953&lt;&gt;"",G3953=E3953),"⚠ «Hacia» igual a la cuenta",IF(AND(G3953&lt;&gt;"",ISNA(MATCH(G3953,ctaNom,0))),"⚠ «Hacia» no existe",IF(AND(I3953="Pago tarjeta",IFERROR(INDEX(ctaTipo,MATCH(G3953,ctaNom,0)),"")&lt;&gt;"Tarjeta de crédito"),"⚠ «Hacia» debe ser la tarjeta",IF(AND(I3953="Trading",IFERROR(INDEX(ctaTipo,MATCH(E3953,ctaNom,0)),"")&lt;&gt;"Cuenta de trading"),"⚠ Usa la cuenta de trading","✓"))))))))))))</f>
        <v/>
      </c>
      <c r="I3953" s="19">
        <f>IF(OR(B3953="",C3953="",D3953=""),"",IFERROR(INDEX(catTipo,MATCH(D3953,catNom,0))&amp;"",""))</f>
        <v/>
      </c>
      <c r="J3953" s="19">
        <f>IF(I3953="","",IFERROR(INDEX(catGrupo,MATCH(D3953,catNom,0))&amp;"",""))</f>
        <v/>
      </c>
      <c r="K3953" s="19">
        <f>IF(I3953="Gasto",IF(IFERROR(INDEX(catClas,MATCH(D3953,catNom,0))&amp;"","")="","Variable",IFERROR(INDEX(catClas,MATCH(D3953,catNom,0))&amp;"","")),"")</f>
        <v/>
      </c>
      <c r="L3953" s="19">
        <f>IF(I3953="","",IFERROR(INDEX(catAlim,MATCH(D3953,catNom,0))&amp;"",""))</f>
        <v/>
      </c>
      <c r="M3953" s="19">
        <f>IF(I3953="","",IFERROR(INDEX(catComida,MATCH(D3953,catNom,0))&amp;"",""))</f>
        <v/>
      </c>
      <c r="N3953" s="19">
        <f>IF(I3953="","",IFERROR(INDEX(ctaMon,MATCH(E3953,ctaNom,0))&amp;"","DOP"))</f>
        <v/>
      </c>
      <c r="O3953" s="20">
        <f>IF(I3953="","",C3953*IF(N3953="USD",TasaUSD,1))</f>
        <v/>
      </c>
      <c r="P3953" s="20">
        <f>IF(I3953="","",IF(I3953="Gasto",O3953,0))</f>
        <v/>
      </c>
      <c r="Q3953" s="20">
        <f>IF(I3953="","",IF(I3953="Ingreso",O3953,0))</f>
        <v/>
      </c>
      <c r="R3953" s="20">
        <f>IF(I3953="","",IF(I3953="Trading",O3953,0))</f>
        <v/>
      </c>
      <c r="S3953" s="19">
        <f>IF(I3953="","",IF(AND(I3953="Gasto",K3953="Variable",J3953&lt;&gt;"Trading",O3953&gt;0,O3953&lt;=Umbral),1,0))</f>
        <v/>
      </c>
      <c r="T3953" s="20">
        <f>IF(OR(I3953="",E3953=""),"",IF(OR(I3953="Gasto",I3953="Transferencia",I3953="Pago tarjeta"),-1,1)*C3953)</f>
        <v/>
      </c>
      <c r="U3953" s="20">
        <f>IF(OR(G3953="",AND(I3953&lt;&gt;"Transferencia",I3953&lt;&gt;"Pago tarjeta")),"",IF(IFERROR(INDEX(ctaMon,MATCH(G3953,ctaNom,0))&amp;"","DOP")=N3953,C3953,IF(N3953="USD",C3953*TasaUSD,C3953/TasaUSD)))</f>
        <v/>
      </c>
      <c r="V3953" s="20">
        <f>IF(I3953="","",IF(IFERROR(INDEX(ctaLiq,MATCH(E3953,ctaNom,0))="Sí",FALSE),IF(OR(I3953="Gasto",I3953="Transferencia",I3953="Pago tarjeta"),-1,1)*O3953,0)+IF(AND(U3953&lt;&gt;"",IFERROR(INDEX(ctaLiq,MATCH(G3953,ctaNom,0))="Sí",FALSE)),O3953,0))</f>
        <v/>
      </c>
      <c r="W3953" s="19">
        <f>IF(OR(F3953="",I3953=""),"",IF(COUNTIFS(F$6:F3953,F3953,I$6:I3953,"?*")=1,MAX(W$5:W3952)+1,""))</f>
        <v/>
      </c>
    </row>
    <row r="3954">
      <c r="B3954" s="15" t="n"/>
      <c r="C3954" s="16" t="n"/>
      <c r="D3954" s="17" t="n"/>
      <c r="E3954" s="17" t="n"/>
      <c r="F3954" s="17" t="n"/>
      <c r="G3954" s="17" t="n"/>
      <c r="H3954" s="18">
        <f>IF(AND(B3954="",C3954="",D3954="",E3954=""),"",IF(B3954="","⚠ Falta fecha",IF(C3954="","⚠ Falta monto",IF(D3954="","⚠ Falta categoría",IF(ISNA(MATCH(D3954,catNom,0)),"⚠ Categoría no existe",IF(E3954="","⚠ Falta cuenta",IF(ISNA(MATCH(E3954,ctaNom,0)),"⚠ Cuenta no existe",IF(AND(OR(I3954="Transferencia",I3954="Pago tarjeta"),G3954=""),"⚠ Indica la cuenta «Hacia»",IF(AND(G3954&lt;&gt;"",G3954=E3954),"⚠ «Hacia» igual a la cuenta",IF(AND(G3954&lt;&gt;"",ISNA(MATCH(G3954,ctaNom,0))),"⚠ «Hacia» no existe",IF(AND(I3954="Pago tarjeta",IFERROR(INDEX(ctaTipo,MATCH(G3954,ctaNom,0)),"")&lt;&gt;"Tarjeta de crédito"),"⚠ «Hacia» debe ser la tarjeta",IF(AND(I3954="Trading",IFERROR(INDEX(ctaTipo,MATCH(E3954,ctaNom,0)),"")&lt;&gt;"Cuenta de trading"),"⚠ Usa la cuenta de trading","✓"))))))))))))</f>
        <v/>
      </c>
      <c r="I3954" s="19">
        <f>IF(OR(B3954="",C3954="",D3954=""),"",IFERROR(INDEX(catTipo,MATCH(D3954,catNom,0))&amp;"",""))</f>
        <v/>
      </c>
      <c r="J3954" s="19">
        <f>IF(I3954="","",IFERROR(INDEX(catGrupo,MATCH(D3954,catNom,0))&amp;"",""))</f>
        <v/>
      </c>
      <c r="K3954" s="19">
        <f>IF(I3954="Gasto",IF(IFERROR(INDEX(catClas,MATCH(D3954,catNom,0))&amp;"","")="","Variable",IFERROR(INDEX(catClas,MATCH(D3954,catNom,0))&amp;"","")),"")</f>
        <v/>
      </c>
      <c r="L3954" s="19">
        <f>IF(I3954="","",IFERROR(INDEX(catAlim,MATCH(D3954,catNom,0))&amp;"",""))</f>
        <v/>
      </c>
      <c r="M3954" s="19">
        <f>IF(I3954="","",IFERROR(INDEX(catComida,MATCH(D3954,catNom,0))&amp;"",""))</f>
        <v/>
      </c>
      <c r="N3954" s="19">
        <f>IF(I3954="","",IFERROR(INDEX(ctaMon,MATCH(E3954,ctaNom,0))&amp;"","DOP"))</f>
        <v/>
      </c>
      <c r="O3954" s="20">
        <f>IF(I3954="","",C3954*IF(N3954="USD",TasaUSD,1))</f>
        <v/>
      </c>
      <c r="P3954" s="20">
        <f>IF(I3954="","",IF(I3954="Gasto",O3954,0))</f>
        <v/>
      </c>
      <c r="Q3954" s="20">
        <f>IF(I3954="","",IF(I3954="Ingreso",O3954,0))</f>
        <v/>
      </c>
      <c r="R3954" s="20">
        <f>IF(I3954="","",IF(I3954="Trading",O3954,0))</f>
        <v/>
      </c>
      <c r="S3954" s="19">
        <f>IF(I3954="","",IF(AND(I3954="Gasto",K3954="Variable",J3954&lt;&gt;"Trading",O3954&gt;0,O3954&lt;=Umbral),1,0))</f>
        <v/>
      </c>
      <c r="T3954" s="20">
        <f>IF(OR(I3954="",E3954=""),"",IF(OR(I3954="Gasto",I3954="Transferencia",I3954="Pago tarjeta"),-1,1)*C3954)</f>
        <v/>
      </c>
      <c r="U3954" s="20">
        <f>IF(OR(G3954="",AND(I3954&lt;&gt;"Transferencia",I3954&lt;&gt;"Pago tarjeta")),"",IF(IFERROR(INDEX(ctaMon,MATCH(G3954,ctaNom,0))&amp;"","DOP")=N3954,C3954,IF(N3954="USD",C3954*TasaUSD,C3954/TasaUSD)))</f>
        <v/>
      </c>
      <c r="V3954" s="20">
        <f>IF(I3954="","",IF(IFERROR(INDEX(ctaLiq,MATCH(E3954,ctaNom,0))="Sí",FALSE),IF(OR(I3954="Gasto",I3954="Transferencia",I3954="Pago tarjeta"),-1,1)*O3954,0)+IF(AND(U3954&lt;&gt;"",IFERROR(INDEX(ctaLiq,MATCH(G3954,ctaNom,0))="Sí",FALSE)),O3954,0))</f>
        <v/>
      </c>
      <c r="W3954" s="19">
        <f>IF(OR(F3954="",I3954=""),"",IF(COUNTIFS(F$6:F3954,F3954,I$6:I3954,"?*")=1,MAX(W$5:W3953)+1,""))</f>
        <v/>
      </c>
    </row>
    <row r="3955">
      <c r="B3955" s="15" t="n"/>
      <c r="C3955" s="16" t="n"/>
      <c r="D3955" s="17" t="n"/>
      <c r="E3955" s="17" t="n"/>
      <c r="F3955" s="17" t="n"/>
      <c r="G3955" s="17" t="n"/>
      <c r="H3955" s="18">
        <f>IF(AND(B3955="",C3955="",D3955="",E3955=""),"",IF(B3955="","⚠ Falta fecha",IF(C3955="","⚠ Falta monto",IF(D3955="","⚠ Falta categoría",IF(ISNA(MATCH(D3955,catNom,0)),"⚠ Categoría no existe",IF(E3955="","⚠ Falta cuenta",IF(ISNA(MATCH(E3955,ctaNom,0)),"⚠ Cuenta no existe",IF(AND(OR(I3955="Transferencia",I3955="Pago tarjeta"),G3955=""),"⚠ Indica la cuenta «Hacia»",IF(AND(G3955&lt;&gt;"",G3955=E3955),"⚠ «Hacia» igual a la cuenta",IF(AND(G3955&lt;&gt;"",ISNA(MATCH(G3955,ctaNom,0))),"⚠ «Hacia» no existe",IF(AND(I3955="Pago tarjeta",IFERROR(INDEX(ctaTipo,MATCH(G3955,ctaNom,0)),"")&lt;&gt;"Tarjeta de crédito"),"⚠ «Hacia» debe ser la tarjeta",IF(AND(I3955="Trading",IFERROR(INDEX(ctaTipo,MATCH(E3955,ctaNom,0)),"")&lt;&gt;"Cuenta de trading"),"⚠ Usa la cuenta de trading","✓"))))))))))))</f>
        <v/>
      </c>
      <c r="I3955" s="19">
        <f>IF(OR(B3955="",C3955="",D3955=""),"",IFERROR(INDEX(catTipo,MATCH(D3955,catNom,0))&amp;"",""))</f>
        <v/>
      </c>
      <c r="J3955" s="19">
        <f>IF(I3955="","",IFERROR(INDEX(catGrupo,MATCH(D3955,catNom,0))&amp;"",""))</f>
        <v/>
      </c>
      <c r="K3955" s="19">
        <f>IF(I3955="Gasto",IF(IFERROR(INDEX(catClas,MATCH(D3955,catNom,0))&amp;"","")="","Variable",IFERROR(INDEX(catClas,MATCH(D3955,catNom,0))&amp;"","")),"")</f>
        <v/>
      </c>
      <c r="L3955" s="19">
        <f>IF(I3955="","",IFERROR(INDEX(catAlim,MATCH(D3955,catNom,0))&amp;"",""))</f>
        <v/>
      </c>
      <c r="M3955" s="19">
        <f>IF(I3955="","",IFERROR(INDEX(catComida,MATCH(D3955,catNom,0))&amp;"",""))</f>
        <v/>
      </c>
      <c r="N3955" s="19">
        <f>IF(I3955="","",IFERROR(INDEX(ctaMon,MATCH(E3955,ctaNom,0))&amp;"","DOP"))</f>
        <v/>
      </c>
      <c r="O3955" s="20">
        <f>IF(I3955="","",C3955*IF(N3955="USD",TasaUSD,1))</f>
        <v/>
      </c>
      <c r="P3955" s="20">
        <f>IF(I3955="","",IF(I3955="Gasto",O3955,0))</f>
        <v/>
      </c>
      <c r="Q3955" s="20">
        <f>IF(I3955="","",IF(I3955="Ingreso",O3955,0))</f>
        <v/>
      </c>
      <c r="R3955" s="20">
        <f>IF(I3955="","",IF(I3955="Trading",O3955,0))</f>
        <v/>
      </c>
      <c r="S3955" s="19">
        <f>IF(I3955="","",IF(AND(I3955="Gasto",K3955="Variable",J3955&lt;&gt;"Trading",O3955&gt;0,O3955&lt;=Umbral),1,0))</f>
        <v/>
      </c>
      <c r="T3955" s="20">
        <f>IF(OR(I3955="",E3955=""),"",IF(OR(I3955="Gasto",I3955="Transferencia",I3955="Pago tarjeta"),-1,1)*C3955)</f>
        <v/>
      </c>
      <c r="U3955" s="20">
        <f>IF(OR(G3955="",AND(I3955&lt;&gt;"Transferencia",I3955&lt;&gt;"Pago tarjeta")),"",IF(IFERROR(INDEX(ctaMon,MATCH(G3955,ctaNom,0))&amp;"","DOP")=N3955,C3955,IF(N3955="USD",C3955*TasaUSD,C3955/TasaUSD)))</f>
        <v/>
      </c>
      <c r="V3955" s="20">
        <f>IF(I3955="","",IF(IFERROR(INDEX(ctaLiq,MATCH(E3955,ctaNom,0))="Sí",FALSE),IF(OR(I3955="Gasto",I3955="Transferencia",I3955="Pago tarjeta"),-1,1)*O3955,0)+IF(AND(U3955&lt;&gt;"",IFERROR(INDEX(ctaLiq,MATCH(G3955,ctaNom,0))="Sí",FALSE)),O3955,0))</f>
        <v/>
      </c>
      <c r="W3955" s="19">
        <f>IF(OR(F3955="",I3955=""),"",IF(COUNTIFS(F$6:F3955,F3955,I$6:I3955,"?*")=1,MAX(W$5:W3954)+1,""))</f>
        <v/>
      </c>
    </row>
    <row r="3956">
      <c r="B3956" s="15" t="n"/>
      <c r="C3956" s="16" t="n"/>
      <c r="D3956" s="17" t="n"/>
      <c r="E3956" s="17" t="n"/>
      <c r="F3956" s="17" t="n"/>
      <c r="G3956" s="17" t="n"/>
      <c r="H3956" s="18">
        <f>IF(AND(B3956="",C3956="",D3956="",E3956=""),"",IF(B3956="","⚠ Falta fecha",IF(C3956="","⚠ Falta monto",IF(D3956="","⚠ Falta categoría",IF(ISNA(MATCH(D3956,catNom,0)),"⚠ Categoría no existe",IF(E3956="","⚠ Falta cuenta",IF(ISNA(MATCH(E3956,ctaNom,0)),"⚠ Cuenta no existe",IF(AND(OR(I3956="Transferencia",I3956="Pago tarjeta"),G3956=""),"⚠ Indica la cuenta «Hacia»",IF(AND(G3956&lt;&gt;"",G3956=E3956),"⚠ «Hacia» igual a la cuenta",IF(AND(G3956&lt;&gt;"",ISNA(MATCH(G3956,ctaNom,0))),"⚠ «Hacia» no existe",IF(AND(I3956="Pago tarjeta",IFERROR(INDEX(ctaTipo,MATCH(G3956,ctaNom,0)),"")&lt;&gt;"Tarjeta de crédito"),"⚠ «Hacia» debe ser la tarjeta",IF(AND(I3956="Trading",IFERROR(INDEX(ctaTipo,MATCH(E3956,ctaNom,0)),"")&lt;&gt;"Cuenta de trading"),"⚠ Usa la cuenta de trading","✓"))))))))))))</f>
        <v/>
      </c>
      <c r="I3956" s="19">
        <f>IF(OR(B3956="",C3956="",D3956=""),"",IFERROR(INDEX(catTipo,MATCH(D3956,catNom,0))&amp;"",""))</f>
        <v/>
      </c>
      <c r="J3956" s="19">
        <f>IF(I3956="","",IFERROR(INDEX(catGrupo,MATCH(D3956,catNom,0))&amp;"",""))</f>
        <v/>
      </c>
      <c r="K3956" s="19">
        <f>IF(I3956="Gasto",IF(IFERROR(INDEX(catClas,MATCH(D3956,catNom,0))&amp;"","")="","Variable",IFERROR(INDEX(catClas,MATCH(D3956,catNom,0))&amp;"","")),"")</f>
        <v/>
      </c>
      <c r="L3956" s="19">
        <f>IF(I3956="","",IFERROR(INDEX(catAlim,MATCH(D3956,catNom,0))&amp;"",""))</f>
        <v/>
      </c>
      <c r="M3956" s="19">
        <f>IF(I3956="","",IFERROR(INDEX(catComida,MATCH(D3956,catNom,0))&amp;"",""))</f>
        <v/>
      </c>
      <c r="N3956" s="19">
        <f>IF(I3956="","",IFERROR(INDEX(ctaMon,MATCH(E3956,ctaNom,0))&amp;"","DOP"))</f>
        <v/>
      </c>
      <c r="O3956" s="20">
        <f>IF(I3956="","",C3956*IF(N3956="USD",TasaUSD,1))</f>
        <v/>
      </c>
      <c r="P3956" s="20">
        <f>IF(I3956="","",IF(I3956="Gasto",O3956,0))</f>
        <v/>
      </c>
      <c r="Q3956" s="20">
        <f>IF(I3956="","",IF(I3956="Ingreso",O3956,0))</f>
        <v/>
      </c>
      <c r="R3956" s="20">
        <f>IF(I3956="","",IF(I3956="Trading",O3956,0))</f>
        <v/>
      </c>
      <c r="S3956" s="19">
        <f>IF(I3956="","",IF(AND(I3956="Gasto",K3956="Variable",J3956&lt;&gt;"Trading",O3956&gt;0,O3956&lt;=Umbral),1,0))</f>
        <v/>
      </c>
      <c r="T3956" s="20">
        <f>IF(OR(I3956="",E3956=""),"",IF(OR(I3956="Gasto",I3956="Transferencia",I3956="Pago tarjeta"),-1,1)*C3956)</f>
        <v/>
      </c>
      <c r="U3956" s="20">
        <f>IF(OR(G3956="",AND(I3956&lt;&gt;"Transferencia",I3956&lt;&gt;"Pago tarjeta")),"",IF(IFERROR(INDEX(ctaMon,MATCH(G3956,ctaNom,0))&amp;"","DOP")=N3956,C3956,IF(N3956="USD",C3956*TasaUSD,C3956/TasaUSD)))</f>
        <v/>
      </c>
      <c r="V3956" s="20">
        <f>IF(I3956="","",IF(IFERROR(INDEX(ctaLiq,MATCH(E3956,ctaNom,0))="Sí",FALSE),IF(OR(I3956="Gasto",I3956="Transferencia",I3956="Pago tarjeta"),-1,1)*O3956,0)+IF(AND(U3956&lt;&gt;"",IFERROR(INDEX(ctaLiq,MATCH(G3956,ctaNom,0))="Sí",FALSE)),O3956,0))</f>
        <v/>
      </c>
      <c r="W3956" s="19">
        <f>IF(OR(F3956="",I3956=""),"",IF(COUNTIFS(F$6:F3956,F3956,I$6:I3956,"?*")=1,MAX(W$5:W3955)+1,""))</f>
        <v/>
      </c>
    </row>
    <row r="3957">
      <c r="B3957" s="15" t="n"/>
      <c r="C3957" s="16" t="n"/>
      <c r="D3957" s="17" t="n"/>
      <c r="E3957" s="17" t="n"/>
      <c r="F3957" s="17" t="n"/>
      <c r="G3957" s="17" t="n"/>
      <c r="H3957" s="18">
        <f>IF(AND(B3957="",C3957="",D3957="",E3957=""),"",IF(B3957="","⚠ Falta fecha",IF(C3957="","⚠ Falta monto",IF(D3957="","⚠ Falta categoría",IF(ISNA(MATCH(D3957,catNom,0)),"⚠ Categoría no existe",IF(E3957="","⚠ Falta cuenta",IF(ISNA(MATCH(E3957,ctaNom,0)),"⚠ Cuenta no existe",IF(AND(OR(I3957="Transferencia",I3957="Pago tarjeta"),G3957=""),"⚠ Indica la cuenta «Hacia»",IF(AND(G3957&lt;&gt;"",G3957=E3957),"⚠ «Hacia» igual a la cuenta",IF(AND(G3957&lt;&gt;"",ISNA(MATCH(G3957,ctaNom,0))),"⚠ «Hacia» no existe",IF(AND(I3957="Pago tarjeta",IFERROR(INDEX(ctaTipo,MATCH(G3957,ctaNom,0)),"")&lt;&gt;"Tarjeta de crédito"),"⚠ «Hacia» debe ser la tarjeta",IF(AND(I3957="Trading",IFERROR(INDEX(ctaTipo,MATCH(E3957,ctaNom,0)),"")&lt;&gt;"Cuenta de trading"),"⚠ Usa la cuenta de trading","✓"))))))))))))</f>
        <v/>
      </c>
      <c r="I3957" s="19">
        <f>IF(OR(B3957="",C3957="",D3957=""),"",IFERROR(INDEX(catTipo,MATCH(D3957,catNom,0))&amp;"",""))</f>
        <v/>
      </c>
      <c r="J3957" s="19">
        <f>IF(I3957="","",IFERROR(INDEX(catGrupo,MATCH(D3957,catNom,0))&amp;"",""))</f>
        <v/>
      </c>
      <c r="K3957" s="19">
        <f>IF(I3957="Gasto",IF(IFERROR(INDEX(catClas,MATCH(D3957,catNom,0))&amp;"","")="","Variable",IFERROR(INDEX(catClas,MATCH(D3957,catNom,0))&amp;"","")),"")</f>
        <v/>
      </c>
      <c r="L3957" s="19">
        <f>IF(I3957="","",IFERROR(INDEX(catAlim,MATCH(D3957,catNom,0))&amp;"",""))</f>
        <v/>
      </c>
      <c r="M3957" s="19">
        <f>IF(I3957="","",IFERROR(INDEX(catComida,MATCH(D3957,catNom,0))&amp;"",""))</f>
        <v/>
      </c>
      <c r="N3957" s="19">
        <f>IF(I3957="","",IFERROR(INDEX(ctaMon,MATCH(E3957,ctaNom,0))&amp;"","DOP"))</f>
        <v/>
      </c>
      <c r="O3957" s="20">
        <f>IF(I3957="","",C3957*IF(N3957="USD",TasaUSD,1))</f>
        <v/>
      </c>
      <c r="P3957" s="20">
        <f>IF(I3957="","",IF(I3957="Gasto",O3957,0))</f>
        <v/>
      </c>
      <c r="Q3957" s="20">
        <f>IF(I3957="","",IF(I3957="Ingreso",O3957,0))</f>
        <v/>
      </c>
      <c r="R3957" s="20">
        <f>IF(I3957="","",IF(I3957="Trading",O3957,0))</f>
        <v/>
      </c>
      <c r="S3957" s="19">
        <f>IF(I3957="","",IF(AND(I3957="Gasto",K3957="Variable",J3957&lt;&gt;"Trading",O3957&gt;0,O3957&lt;=Umbral),1,0))</f>
        <v/>
      </c>
      <c r="T3957" s="20">
        <f>IF(OR(I3957="",E3957=""),"",IF(OR(I3957="Gasto",I3957="Transferencia",I3957="Pago tarjeta"),-1,1)*C3957)</f>
        <v/>
      </c>
      <c r="U3957" s="20">
        <f>IF(OR(G3957="",AND(I3957&lt;&gt;"Transferencia",I3957&lt;&gt;"Pago tarjeta")),"",IF(IFERROR(INDEX(ctaMon,MATCH(G3957,ctaNom,0))&amp;"","DOP")=N3957,C3957,IF(N3957="USD",C3957*TasaUSD,C3957/TasaUSD)))</f>
        <v/>
      </c>
      <c r="V3957" s="20">
        <f>IF(I3957="","",IF(IFERROR(INDEX(ctaLiq,MATCH(E3957,ctaNom,0))="Sí",FALSE),IF(OR(I3957="Gasto",I3957="Transferencia",I3957="Pago tarjeta"),-1,1)*O3957,0)+IF(AND(U3957&lt;&gt;"",IFERROR(INDEX(ctaLiq,MATCH(G3957,ctaNom,0))="Sí",FALSE)),O3957,0))</f>
        <v/>
      </c>
      <c r="W3957" s="19">
        <f>IF(OR(F3957="",I3957=""),"",IF(COUNTIFS(F$6:F3957,F3957,I$6:I3957,"?*")=1,MAX(W$5:W3956)+1,""))</f>
        <v/>
      </c>
    </row>
    <row r="3958">
      <c r="B3958" s="15" t="n"/>
      <c r="C3958" s="16" t="n"/>
      <c r="D3958" s="17" t="n"/>
      <c r="E3958" s="17" t="n"/>
      <c r="F3958" s="17" t="n"/>
      <c r="G3958" s="17" t="n"/>
      <c r="H3958" s="18">
        <f>IF(AND(B3958="",C3958="",D3958="",E3958=""),"",IF(B3958="","⚠ Falta fecha",IF(C3958="","⚠ Falta monto",IF(D3958="","⚠ Falta categoría",IF(ISNA(MATCH(D3958,catNom,0)),"⚠ Categoría no existe",IF(E3958="","⚠ Falta cuenta",IF(ISNA(MATCH(E3958,ctaNom,0)),"⚠ Cuenta no existe",IF(AND(OR(I3958="Transferencia",I3958="Pago tarjeta"),G3958=""),"⚠ Indica la cuenta «Hacia»",IF(AND(G3958&lt;&gt;"",G3958=E3958),"⚠ «Hacia» igual a la cuenta",IF(AND(G3958&lt;&gt;"",ISNA(MATCH(G3958,ctaNom,0))),"⚠ «Hacia» no existe",IF(AND(I3958="Pago tarjeta",IFERROR(INDEX(ctaTipo,MATCH(G3958,ctaNom,0)),"")&lt;&gt;"Tarjeta de crédito"),"⚠ «Hacia» debe ser la tarjeta",IF(AND(I3958="Trading",IFERROR(INDEX(ctaTipo,MATCH(E3958,ctaNom,0)),"")&lt;&gt;"Cuenta de trading"),"⚠ Usa la cuenta de trading","✓"))))))))))))</f>
        <v/>
      </c>
      <c r="I3958" s="19">
        <f>IF(OR(B3958="",C3958="",D3958=""),"",IFERROR(INDEX(catTipo,MATCH(D3958,catNom,0))&amp;"",""))</f>
        <v/>
      </c>
      <c r="J3958" s="19">
        <f>IF(I3958="","",IFERROR(INDEX(catGrupo,MATCH(D3958,catNom,0))&amp;"",""))</f>
        <v/>
      </c>
      <c r="K3958" s="19">
        <f>IF(I3958="Gasto",IF(IFERROR(INDEX(catClas,MATCH(D3958,catNom,0))&amp;"","")="","Variable",IFERROR(INDEX(catClas,MATCH(D3958,catNom,0))&amp;"","")),"")</f>
        <v/>
      </c>
      <c r="L3958" s="19">
        <f>IF(I3958="","",IFERROR(INDEX(catAlim,MATCH(D3958,catNom,0))&amp;"",""))</f>
        <v/>
      </c>
      <c r="M3958" s="19">
        <f>IF(I3958="","",IFERROR(INDEX(catComida,MATCH(D3958,catNom,0))&amp;"",""))</f>
        <v/>
      </c>
      <c r="N3958" s="19">
        <f>IF(I3958="","",IFERROR(INDEX(ctaMon,MATCH(E3958,ctaNom,0))&amp;"","DOP"))</f>
        <v/>
      </c>
      <c r="O3958" s="20">
        <f>IF(I3958="","",C3958*IF(N3958="USD",TasaUSD,1))</f>
        <v/>
      </c>
      <c r="P3958" s="20">
        <f>IF(I3958="","",IF(I3958="Gasto",O3958,0))</f>
        <v/>
      </c>
      <c r="Q3958" s="20">
        <f>IF(I3958="","",IF(I3958="Ingreso",O3958,0))</f>
        <v/>
      </c>
      <c r="R3958" s="20">
        <f>IF(I3958="","",IF(I3958="Trading",O3958,0))</f>
        <v/>
      </c>
      <c r="S3958" s="19">
        <f>IF(I3958="","",IF(AND(I3958="Gasto",K3958="Variable",J3958&lt;&gt;"Trading",O3958&gt;0,O3958&lt;=Umbral),1,0))</f>
        <v/>
      </c>
      <c r="T3958" s="20">
        <f>IF(OR(I3958="",E3958=""),"",IF(OR(I3958="Gasto",I3958="Transferencia",I3958="Pago tarjeta"),-1,1)*C3958)</f>
        <v/>
      </c>
      <c r="U3958" s="20">
        <f>IF(OR(G3958="",AND(I3958&lt;&gt;"Transferencia",I3958&lt;&gt;"Pago tarjeta")),"",IF(IFERROR(INDEX(ctaMon,MATCH(G3958,ctaNom,0))&amp;"","DOP")=N3958,C3958,IF(N3958="USD",C3958*TasaUSD,C3958/TasaUSD)))</f>
        <v/>
      </c>
      <c r="V3958" s="20">
        <f>IF(I3958="","",IF(IFERROR(INDEX(ctaLiq,MATCH(E3958,ctaNom,0))="Sí",FALSE),IF(OR(I3958="Gasto",I3958="Transferencia",I3958="Pago tarjeta"),-1,1)*O3958,0)+IF(AND(U3958&lt;&gt;"",IFERROR(INDEX(ctaLiq,MATCH(G3958,ctaNom,0))="Sí",FALSE)),O3958,0))</f>
        <v/>
      </c>
      <c r="W3958" s="19">
        <f>IF(OR(F3958="",I3958=""),"",IF(COUNTIFS(F$6:F3958,F3958,I$6:I3958,"?*")=1,MAX(W$5:W3957)+1,""))</f>
        <v/>
      </c>
    </row>
    <row r="3959">
      <c r="B3959" s="15" t="n"/>
      <c r="C3959" s="16" t="n"/>
      <c r="D3959" s="17" t="n"/>
      <c r="E3959" s="17" t="n"/>
      <c r="F3959" s="17" t="n"/>
      <c r="G3959" s="17" t="n"/>
      <c r="H3959" s="18">
        <f>IF(AND(B3959="",C3959="",D3959="",E3959=""),"",IF(B3959="","⚠ Falta fecha",IF(C3959="","⚠ Falta monto",IF(D3959="","⚠ Falta categoría",IF(ISNA(MATCH(D3959,catNom,0)),"⚠ Categoría no existe",IF(E3959="","⚠ Falta cuenta",IF(ISNA(MATCH(E3959,ctaNom,0)),"⚠ Cuenta no existe",IF(AND(OR(I3959="Transferencia",I3959="Pago tarjeta"),G3959=""),"⚠ Indica la cuenta «Hacia»",IF(AND(G3959&lt;&gt;"",G3959=E3959),"⚠ «Hacia» igual a la cuenta",IF(AND(G3959&lt;&gt;"",ISNA(MATCH(G3959,ctaNom,0))),"⚠ «Hacia» no existe",IF(AND(I3959="Pago tarjeta",IFERROR(INDEX(ctaTipo,MATCH(G3959,ctaNom,0)),"")&lt;&gt;"Tarjeta de crédito"),"⚠ «Hacia» debe ser la tarjeta",IF(AND(I3959="Trading",IFERROR(INDEX(ctaTipo,MATCH(E3959,ctaNom,0)),"")&lt;&gt;"Cuenta de trading"),"⚠ Usa la cuenta de trading","✓"))))))))))))</f>
        <v/>
      </c>
      <c r="I3959" s="19">
        <f>IF(OR(B3959="",C3959="",D3959=""),"",IFERROR(INDEX(catTipo,MATCH(D3959,catNom,0))&amp;"",""))</f>
        <v/>
      </c>
      <c r="J3959" s="19">
        <f>IF(I3959="","",IFERROR(INDEX(catGrupo,MATCH(D3959,catNom,0))&amp;"",""))</f>
        <v/>
      </c>
      <c r="K3959" s="19">
        <f>IF(I3959="Gasto",IF(IFERROR(INDEX(catClas,MATCH(D3959,catNom,0))&amp;"","")="","Variable",IFERROR(INDEX(catClas,MATCH(D3959,catNom,0))&amp;"","")),"")</f>
        <v/>
      </c>
      <c r="L3959" s="19">
        <f>IF(I3959="","",IFERROR(INDEX(catAlim,MATCH(D3959,catNom,0))&amp;"",""))</f>
        <v/>
      </c>
      <c r="M3959" s="19">
        <f>IF(I3959="","",IFERROR(INDEX(catComida,MATCH(D3959,catNom,0))&amp;"",""))</f>
        <v/>
      </c>
      <c r="N3959" s="19">
        <f>IF(I3959="","",IFERROR(INDEX(ctaMon,MATCH(E3959,ctaNom,0))&amp;"","DOP"))</f>
        <v/>
      </c>
      <c r="O3959" s="20">
        <f>IF(I3959="","",C3959*IF(N3959="USD",TasaUSD,1))</f>
        <v/>
      </c>
      <c r="P3959" s="20">
        <f>IF(I3959="","",IF(I3959="Gasto",O3959,0))</f>
        <v/>
      </c>
      <c r="Q3959" s="20">
        <f>IF(I3959="","",IF(I3959="Ingreso",O3959,0))</f>
        <v/>
      </c>
      <c r="R3959" s="20">
        <f>IF(I3959="","",IF(I3959="Trading",O3959,0))</f>
        <v/>
      </c>
      <c r="S3959" s="19">
        <f>IF(I3959="","",IF(AND(I3959="Gasto",K3959="Variable",J3959&lt;&gt;"Trading",O3959&gt;0,O3959&lt;=Umbral),1,0))</f>
        <v/>
      </c>
      <c r="T3959" s="20">
        <f>IF(OR(I3959="",E3959=""),"",IF(OR(I3959="Gasto",I3959="Transferencia",I3959="Pago tarjeta"),-1,1)*C3959)</f>
        <v/>
      </c>
      <c r="U3959" s="20">
        <f>IF(OR(G3959="",AND(I3959&lt;&gt;"Transferencia",I3959&lt;&gt;"Pago tarjeta")),"",IF(IFERROR(INDEX(ctaMon,MATCH(G3959,ctaNom,0))&amp;"","DOP")=N3959,C3959,IF(N3959="USD",C3959*TasaUSD,C3959/TasaUSD)))</f>
        <v/>
      </c>
      <c r="V3959" s="20">
        <f>IF(I3959="","",IF(IFERROR(INDEX(ctaLiq,MATCH(E3959,ctaNom,0))="Sí",FALSE),IF(OR(I3959="Gasto",I3959="Transferencia",I3959="Pago tarjeta"),-1,1)*O3959,0)+IF(AND(U3959&lt;&gt;"",IFERROR(INDEX(ctaLiq,MATCH(G3959,ctaNom,0))="Sí",FALSE)),O3959,0))</f>
        <v/>
      </c>
      <c r="W3959" s="19">
        <f>IF(OR(F3959="",I3959=""),"",IF(COUNTIFS(F$6:F3959,F3959,I$6:I3959,"?*")=1,MAX(W$5:W3958)+1,""))</f>
        <v/>
      </c>
    </row>
    <row r="3960">
      <c r="B3960" s="15" t="n"/>
      <c r="C3960" s="16" t="n"/>
      <c r="D3960" s="17" t="n"/>
      <c r="E3960" s="17" t="n"/>
      <c r="F3960" s="17" t="n"/>
      <c r="G3960" s="17" t="n"/>
      <c r="H3960" s="18">
        <f>IF(AND(B3960="",C3960="",D3960="",E3960=""),"",IF(B3960="","⚠ Falta fecha",IF(C3960="","⚠ Falta monto",IF(D3960="","⚠ Falta categoría",IF(ISNA(MATCH(D3960,catNom,0)),"⚠ Categoría no existe",IF(E3960="","⚠ Falta cuenta",IF(ISNA(MATCH(E3960,ctaNom,0)),"⚠ Cuenta no existe",IF(AND(OR(I3960="Transferencia",I3960="Pago tarjeta"),G3960=""),"⚠ Indica la cuenta «Hacia»",IF(AND(G3960&lt;&gt;"",G3960=E3960),"⚠ «Hacia» igual a la cuenta",IF(AND(G3960&lt;&gt;"",ISNA(MATCH(G3960,ctaNom,0))),"⚠ «Hacia» no existe",IF(AND(I3960="Pago tarjeta",IFERROR(INDEX(ctaTipo,MATCH(G3960,ctaNom,0)),"")&lt;&gt;"Tarjeta de crédito"),"⚠ «Hacia» debe ser la tarjeta",IF(AND(I3960="Trading",IFERROR(INDEX(ctaTipo,MATCH(E3960,ctaNom,0)),"")&lt;&gt;"Cuenta de trading"),"⚠ Usa la cuenta de trading","✓"))))))))))))</f>
        <v/>
      </c>
      <c r="I3960" s="19">
        <f>IF(OR(B3960="",C3960="",D3960=""),"",IFERROR(INDEX(catTipo,MATCH(D3960,catNom,0))&amp;"",""))</f>
        <v/>
      </c>
      <c r="J3960" s="19">
        <f>IF(I3960="","",IFERROR(INDEX(catGrupo,MATCH(D3960,catNom,0))&amp;"",""))</f>
        <v/>
      </c>
      <c r="K3960" s="19">
        <f>IF(I3960="Gasto",IF(IFERROR(INDEX(catClas,MATCH(D3960,catNom,0))&amp;"","")="","Variable",IFERROR(INDEX(catClas,MATCH(D3960,catNom,0))&amp;"","")),"")</f>
        <v/>
      </c>
      <c r="L3960" s="19">
        <f>IF(I3960="","",IFERROR(INDEX(catAlim,MATCH(D3960,catNom,0))&amp;"",""))</f>
        <v/>
      </c>
      <c r="M3960" s="19">
        <f>IF(I3960="","",IFERROR(INDEX(catComida,MATCH(D3960,catNom,0))&amp;"",""))</f>
        <v/>
      </c>
      <c r="N3960" s="19">
        <f>IF(I3960="","",IFERROR(INDEX(ctaMon,MATCH(E3960,ctaNom,0))&amp;"","DOP"))</f>
        <v/>
      </c>
      <c r="O3960" s="20">
        <f>IF(I3960="","",C3960*IF(N3960="USD",TasaUSD,1))</f>
        <v/>
      </c>
      <c r="P3960" s="20">
        <f>IF(I3960="","",IF(I3960="Gasto",O3960,0))</f>
        <v/>
      </c>
      <c r="Q3960" s="20">
        <f>IF(I3960="","",IF(I3960="Ingreso",O3960,0))</f>
        <v/>
      </c>
      <c r="R3960" s="20">
        <f>IF(I3960="","",IF(I3960="Trading",O3960,0))</f>
        <v/>
      </c>
      <c r="S3960" s="19">
        <f>IF(I3960="","",IF(AND(I3960="Gasto",K3960="Variable",J3960&lt;&gt;"Trading",O3960&gt;0,O3960&lt;=Umbral),1,0))</f>
        <v/>
      </c>
      <c r="T3960" s="20">
        <f>IF(OR(I3960="",E3960=""),"",IF(OR(I3960="Gasto",I3960="Transferencia",I3960="Pago tarjeta"),-1,1)*C3960)</f>
        <v/>
      </c>
      <c r="U3960" s="20">
        <f>IF(OR(G3960="",AND(I3960&lt;&gt;"Transferencia",I3960&lt;&gt;"Pago tarjeta")),"",IF(IFERROR(INDEX(ctaMon,MATCH(G3960,ctaNom,0))&amp;"","DOP")=N3960,C3960,IF(N3960="USD",C3960*TasaUSD,C3960/TasaUSD)))</f>
        <v/>
      </c>
      <c r="V3960" s="20">
        <f>IF(I3960="","",IF(IFERROR(INDEX(ctaLiq,MATCH(E3960,ctaNom,0))="Sí",FALSE),IF(OR(I3960="Gasto",I3960="Transferencia",I3960="Pago tarjeta"),-1,1)*O3960,0)+IF(AND(U3960&lt;&gt;"",IFERROR(INDEX(ctaLiq,MATCH(G3960,ctaNom,0))="Sí",FALSE)),O3960,0))</f>
        <v/>
      </c>
      <c r="W3960" s="19">
        <f>IF(OR(F3960="",I3960=""),"",IF(COUNTIFS(F$6:F3960,F3960,I$6:I3960,"?*")=1,MAX(W$5:W3959)+1,""))</f>
        <v/>
      </c>
    </row>
    <row r="3961">
      <c r="B3961" s="15" t="n"/>
      <c r="C3961" s="16" t="n"/>
      <c r="D3961" s="17" t="n"/>
      <c r="E3961" s="17" t="n"/>
      <c r="F3961" s="17" t="n"/>
      <c r="G3961" s="17" t="n"/>
      <c r="H3961" s="18">
        <f>IF(AND(B3961="",C3961="",D3961="",E3961=""),"",IF(B3961="","⚠ Falta fecha",IF(C3961="","⚠ Falta monto",IF(D3961="","⚠ Falta categoría",IF(ISNA(MATCH(D3961,catNom,0)),"⚠ Categoría no existe",IF(E3961="","⚠ Falta cuenta",IF(ISNA(MATCH(E3961,ctaNom,0)),"⚠ Cuenta no existe",IF(AND(OR(I3961="Transferencia",I3961="Pago tarjeta"),G3961=""),"⚠ Indica la cuenta «Hacia»",IF(AND(G3961&lt;&gt;"",G3961=E3961),"⚠ «Hacia» igual a la cuenta",IF(AND(G3961&lt;&gt;"",ISNA(MATCH(G3961,ctaNom,0))),"⚠ «Hacia» no existe",IF(AND(I3961="Pago tarjeta",IFERROR(INDEX(ctaTipo,MATCH(G3961,ctaNom,0)),"")&lt;&gt;"Tarjeta de crédito"),"⚠ «Hacia» debe ser la tarjeta",IF(AND(I3961="Trading",IFERROR(INDEX(ctaTipo,MATCH(E3961,ctaNom,0)),"")&lt;&gt;"Cuenta de trading"),"⚠ Usa la cuenta de trading","✓"))))))))))))</f>
        <v/>
      </c>
      <c r="I3961" s="19">
        <f>IF(OR(B3961="",C3961="",D3961=""),"",IFERROR(INDEX(catTipo,MATCH(D3961,catNom,0))&amp;"",""))</f>
        <v/>
      </c>
      <c r="J3961" s="19">
        <f>IF(I3961="","",IFERROR(INDEX(catGrupo,MATCH(D3961,catNom,0))&amp;"",""))</f>
        <v/>
      </c>
      <c r="K3961" s="19">
        <f>IF(I3961="Gasto",IF(IFERROR(INDEX(catClas,MATCH(D3961,catNom,0))&amp;"","")="","Variable",IFERROR(INDEX(catClas,MATCH(D3961,catNom,0))&amp;"","")),"")</f>
        <v/>
      </c>
      <c r="L3961" s="19">
        <f>IF(I3961="","",IFERROR(INDEX(catAlim,MATCH(D3961,catNom,0))&amp;"",""))</f>
        <v/>
      </c>
      <c r="M3961" s="19">
        <f>IF(I3961="","",IFERROR(INDEX(catComida,MATCH(D3961,catNom,0))&amp;"",""))</f>
        <v/>
      </c>
      <c r="N3961" s="19">
        <f>IF(I3961="","",IFERROR(INDEX(ctaMon,MATCH(E3961,ctaNom,0))&amp;"","DOP"))</f>
        <v/>
      </c>
      <c r="O3961" s="20">
        <f>IF(I3961="","",C3961*IF(N3961="USD",TasaUSD,1))</f>
        <v/>
      </c>
      <c r="P3961" s="20">
        <f>IF(I3961="","",IF(I3961="Gasto",O3961,0))</f>
        <v/>
      </c>
      <c r="Q3961" s="20">
        <f>IF(I3961="","",IF(I3961="Ingreso",O3961,0))</f>
        <v/>
      </c>
      <c r="R3961" s="20">
        <f>IF(I3961="","",IF(I3961="Trading",O3961,0))</f>
        <v/>
      </c>
      <c r="S3961" s="19">
        <f>IF(I3961="","",IF(AND(I3961="Gasto",K3961="Variable",J3961&lt;&gt;"Trading",O3961&gt;0,O3961&lt;=Umbral),1,0))</f>
        <v/>
      </c>
      <c r="T3961" s="20">
        <f>IF(OR(I3961="",E3961=""),"",IF(OR(I3961="Gasto",I3961="Transferencia",I3961="Pago tarjeta"),-1,1)*C3961)</f>
        <v/>
      </c>
      <c r="U3961" s="20">
        <f>IF(OR(G3961="",AND(I3961&lt;&gt;"Transferencia",I3961&lt;&gt;"Pago tarjeta")),"",IF(IFERROR(INDEX(ctaMon,MATCH(G3961,ctaNom,0))&amp;"","DOP")=N3961,C3961,IF(N3961="USD",C3961*TasaUSD,C3961/TasaUSD)))</f>
        <v/>
      </c>
      <c r="V3961" s="20">
        <f>IF(I3961="","",IF(IFERROR(INDEX(ctaLiq,MATCH(E3961,ctaNom,0))="Sí",FALSE),IF(OR(I3961="Gasto",I3961="Transferencia",I3961="Pago tarjeta"),-1,1)*O3961,0)+IF(AND(U3961&lt;&gt;"",IFERROR(INDEX(ctaLiq,MATCH(G3961,ctaNom,0))="Sí",FALSE)),O3961,0))</f>
        <v/>
      </c>
      <c r="W3961" s="19">
        <f>IF(OR(F3961="",I3961=""),"",IF(COUNTIFS(F$6:F3961,F3961,I$6:I3961,"?*")=1,MAX(W$5:W3960)+1,""))</f>
        <v/>
      </c>
    </row>
    <row r="3962">
      <c r="B3962" s="15" t="n"/>
      <c r="C3962" s="16" t="n"/>
      <c r="D3962" s="17" t="n"/>
      <c r="E3962" s="17" t="n"/>
      <c r="F3962" s="17" t="n"/>
      <c r="G3962" s="17" t="n"/>
      <c r="H3962" s="18">
        <f>IF(AND(B3962="",C3962="",D3962="",E3962=""),"",IF(B3962="","⚠ Falta fecha",IF(C3962="","⚠ Falta monto",IF(D3962="","⚠ Falta categoría",IF(ISNA(MATCH(D3962,catNom,0)),"⚠ Categoría no existe",IF(E3962="","⚠ Falta cuenta",IF(ISNA(MATCH(E3962,ctaNom,0)),"⚠ Cuenta no existe",IF(AND(OR(I3962="Transferencia",I3962="Pago tarjeta"),G3962=""),"⚠ Indica la cuenta «Hacia»",IF(AND(G3962&lt;&gt;"",G3962=E3962),"⚠ «Hacia» igual a la cuenta",IF(AND(G3962&lt;&gt;"",ISNA(MATCH(G3962,ctaNom,0))),"⚠ «Hacia» no existe",IF(AND(I3962="Pago tarjeta",IFERROR(INDEX(ctaTipo,MATCH(G3962,ctaNom,0)),"")&lt;&gt;"Tarjeta de crédito"),"⚠ «Hacia» debe ser la tarjeta",IF(AND(I3962="Trading",IFERROR(INDEX(ctaTipo,MATCH(E3962,ctaNom,0)),"")&lt;&gt;"Cuenta de trading"),"⚠ Usa la cuenta de trading","✓"))))))))))))</f>
        <v/>
      </c>
      <c r="I3962" s="19">
        <f>IF(OR(B3962="",C3962="",D3962=""),"",IFERROR(INDEX(catTipo,MATCH(D3962,catNom,0))&amp;"",""))</f>
        <v/>
      </c>
      <c r="J3962" s="19">
        <f>IF(I3962="","",IFERROR(INDEX(catGrupo,MATCH(D3962,catNom,0))&amp;"",""))</f>
        <v/>
      </c>
      <c r="K3962" s="19">
        <f>IF(I3962="Gasto",IF(IFERROR(INDEX(catClas,MATCH(D3962,catNom,0))&amp;"","")="","Variable",IFERROR(INDEX(catClas,MATCH(D3962,catNom,0))&amp;"","")),"")</f>
        <v/>
      </c>
      <c r="L3962" s="19">
        <f>IF(I3962="","",IFERROR(INDEX(catAlim,MATCH(D3962,catNom,0))&amp;"",""))</f>
        <v/>
      </c>
      <c r="M3962" s="19">
        <f>IF(I3962="","",IFERROR(INDEX(catComida,MATCH(D3962,catNom,0))&amp;"",""))</f>
        <v/>
      </c>
      <c r="N3962" s="19">
        <f>IF(I3962="","",IFERROR(INDEX(ctaMon,MATCH(E3962,ctaNom,0))&amp;"","DOP"))</f>
        <v/>
      </c>
      <c r="O3962" s="20">
        <f>IF(I3962="","",C3962*IF(N3962="USD",TasaUSD,1))</f>
        <v/>
      </c>
      <c r="P3962" s="20">
        <f>IF(I3962="","",IF(I3962="Gasto",O3962,0))</f>
        <v/>
      </c>
      <c r="Q3962" s="20">
        <f>IF(I3962="","",IF(I3962="Ingreso",O3962,0))</f>
        <v/>
      </c>
      <c r="R3962" s="20">
        <f>IF(I3962="","",IF(I3962="Trading",O3962,0))</f>
        <v/>
      </c>
      <c r="S3962" s="19">
        <f>IF(I3962="","",IF(AND(I3962="Gasto",K3962="Variable",J3962&lt;&gt;"Trading",O3962&gt;0,O3962&lt;=Umbral),1,0))</f>
        <v/>
      </c>
      <c r="T3962" s="20">
        <f>IF(OR(I3962="",E3962=""),"",IF(OR(I3962="Gasto",I3962="Transferencia",I3962="Pago tarjeta"),-1,1)*C3962)</f>
        <v/>
      </c>
      <c r="U3962" s="20">
        <f>IF(OR(G3962="",AND(I3962&lt;&gt;"Transferencia",I3962&lt;&gt;"Pago tarjeta")),"",IF(IFERROR(INDEX(ctaMon,MATCH(G3962,ctaNom,0))&amp;"","DOP")=N3962,C3962,IF(N3962="USD",C3962*TasaUSD,C3962/TasaUSD)))</f>
        <v/>
      </c>
      <c r="V3962" s="20">
        <f>IF(I3962="","",IF(IFERROR(INDEX(ctaLiq,MATCH(E3962,ctaNom,0))="Sí",FALSE),IF(OR(I3962="Gasto",I3962="Transferencia",I3962="Pago tarjeta"),-1,1)*O3962,0)+IF(AND(U3962&lt;&gt;"",IFERROR(INDEX(ctaLiq,MATCH(G3962,ctaNom,0))="Sí",FALSE)),O3962,0))</f>
        <v/>
      </c>
      <c r="W3962" s="19">
        <f>IF(OR(F3962="",I3962=""),"",IF(COUNTIFS(F$6:F3962,F3962,I$6:I3962,"?*")=1,MAX(W$5:W3961)+1,""))</f>
        <v/>
      </c>
    </row>
    <row r="3963">
      <c r="B3963" s="15" t="n"/>
      <c r="C3963" s="16" t="n"/>
      <c r="D3963" s="17" t="n"/>
      <c r="E3963" s="17" t="n"/>
      <c r="F3963" s="17" t="n"/>
      <c r="G3963" s="17" t="n"/>
      <c r="H3963" s="18">
        <f>IF(AND(B3963="",C3963="",D3963="",E3963=""),"",IF(B3963="","⚠ Falta fecha",IF(C3963="","⚠ Falta monto",IF(D3963="","⚠ Falta categoría",IF(ISNA(MATCH(D3963,catNom,0)),"⚠ Categoría no existe",IF(E3963="","⚠ Falta cuenta",IF(ISNA(MATCH(E3963,ctaNom,0)),"⚠ Cuenta no existe",IF(AND(OR(I3963="Transferencia",I3963="Pago tarjeta"),G3963=""),"⚠ Indica la cuenta «Hacia»",IF(AND(G3963&lt;&gt;"",G3963=E3963),"⚠ «Hacia» igual a la cuenta",IF(AND(G3963&lt;&gt;"",ISNA(MATCH(G3963,ctaNom,0))),"⚠ «Hacia» no existe",IF(AND(I3963="Pago tarjeta",IFERROR(INDEX(ctaTipo,MATCH(G3963,ctaNom,0)),"")&lt;&gt;"Tarjeta de crédito"),"⚠ «Hacia» debe ser la tarjeta",IF(AND(I3963="Trading",IFERROR(INDEX(ctaTipo,MATCH(E3963,ctaNom,0)),"")&lt;&gt;"Cuenta de trading"),"⚠ Usa la cuenta de trading","✓"))))))))))))</f>
        <v/>
      </c>
      <c r="I3963" s="19">
        <f>IF(OR(B3963="",C3963="",D3963=""),"",IFERROR(INDEX(catTipo,MATCH(D3963,catNom,0))&amp;"",""))</f>
        <v/>
      </c>
      <c r="J3963" s="19">
        <f>IF(I3963="","",IFERROR(INDEX(catGrupo,MATCH(D3963,catNom,0))&amp;"",""))</f>
        <v/>
      </c>
      <c r="K3963" s="19">
        <f>IF(I3963="Gasto",IF(IFERROR(INDEX(catClas,MATCH(D3963,catNom,0))&amp;"","")="","Variable",IFERROR(INDEX(catClas,MATCH(D3963,catNom,0))&amp;"","")),"")</f>
        <v/>
      </c>
      <c r="L3963" s="19">
        <f>IF(I3963="","",IFERROR(INDEX(catAlim,MATCH(D3963,catNom,0))&amp;"",""))</f>
        <v/>
      </c>
      <c r="M3963" s="19">
        <f>IF(I3963="","",IFERROR(INDEX(catComida,MATCH(D3963,catNom,0))&amp;"",""))</f>
        <v/>
      </c>
      <c r="N3963" s="19">
        <f>IF(I3963="","",IFERROR(INDEX(ctaMon,MATCH(E3963,ctaNom,0))&amp;"","DOP"))</f>
        <v/>
      </c>
      <c r="O3963" s="20">
        <f>IF(I3963="","",C3963*IF(N3963="USD",TasaUSD,1))</f>
        <v/>
      </c>
      <c r="P3963" s="20">
        <f>IF(I3963="","",IF(I3963="Gasto",O3963,0))</f>
        <v/>
      </c>
      <c r="Q3963" s="20">
        <f>IF(I3963="","",IF(I3963="Ingreso",O3963,0))</f>
        <v/>
      </c>
      <c r="R3963" s="20">
        <f>IF(I3963="","",IF(I3963="Trading",O3963,0))</f>
        <v/>
      </c>
      <c r="S3963" s="19">
        <f>IF(I3963="","",IF(AND(I3963="Gasto",K3963="Variable",J3963&lt;&gt;"Trading",O3963&gt;0,O3963&lt;=Umbral),1,0))</f>
        <v/>
      </c>
      <c r="T3963" s="20">
        <f>IF(OR(I3963="",E3963=""),"",IF(OR(I3963="Gasto",I3963="Transferencia",I3963="Pago tarjeta"),-1,1)*C3963)</f>
        <v/>
      </c>
      <c r="U3963" s="20">
        <f>IF(OR(G3963="",AND(I3963&lt;&gt;"Transferencia",I3963&lt;&gt;"Pago tarjeta")),"",IF(IFERROR(INDEX(ctaMon,MATCH(G3963,ctaNom,0))&amp;"","DOP")=N3963,C3963,IF(N3963="USD",C3963*TasaUSD,C3963/TasaUSD)))</f>
        <v/>
      </c>
      <c r="V3963" s="20">
        <f>IF(I3963="","",IF(IFERROR(INDEX(ctaLiq,MATCH(E3963,ctaNom,0))="Sí",FALSE),IF(OR(I3963="Gasto",I3963="Transferencia",I3963="Pago tarjeta"),-1,1)*O3963,0)+IF(AND(U3963&lt;&gt;"",IFERROR(INDEX(ctaLiq,MATCH(G3963,ctaNom,0))="Sí",FALSE)),O3963,0))</f>
        <v/>
      </c>
      <c r="W3963" s="19">
        <f>IF(OR(F3963="",I3963=""),"",IF(COUNTIFS(F$6:F3963,F3963,I$6:I3963,"?*")=1,MAX(W$5:W3962)+1,""))</f>
        <v/>
      </c>
    </row>
    <row r="3964">
      <c r="B3964" s="15" t="n"/>
      <c r="C3964" s="16" t="n"/>
      <c r="D3964" s="17" t="n"/>
      <c r="E3964" s="17" t="n"/>
      <c r="F3964" s="17" t="n"/>
      <c r="G3964" s="17" t="n"/>
      <c r="H3964" s="18">
        <f>IF(AND(B3964="",C3964="",D3964="",E3964=""),"",IF(B3964="","⚠ Falta fecha",IF(C3964="","⚠ Falta monto",IF(D3964="","⚠ Falta categoría",IF(ISNA(MATCH(D3964,catNom,0)),"⚠ Categoría no existe",IF(E3964="","⚠ Falta cuenta",IF(ISNA(MATCH(E3964,ctaNom,0)),"⚠ Cuenta no existe",IF(AND(OR(I3964="Transferencia",I3964="Pago tarjeta"),G3964=""),"⚠ Indica la cuenta «Hacia»",IF(AND(G3964&lt;&gt;"",G3964=E3964),"⚠ «Hacia» igual a la cuenta",IF(AND(G3964&lt;&gt;"",ISNA(MATCH(G3964,ctaNom,0))),"⚠ «Hacia» no existe",IF(AND(I3964="Pago tarjeta",IFERROR(INDEX(ctaTipo,MATCH(G3964,ctaNom,0)),"")&lt;&gt;"Tarjeta de crédito"),"⚠ «Hacia» debe ser la tarjeta",IF(AND(I3964="Trading",IFERROR(INDEX(ctaTipo,MATCH(E3964,ctaNom,0)),"")&lt;&gt;"Cuenta de trading"),"⚠ Usa la cuenta de trading","✓"))))))))))))</f>
        <v/>
      </c>
      <c r="I3964" s="19">
        <f>IF(OR(B3964="",C3964="",D3964=""),"",IFERROR(INDEX(catTipo,MATCH(D3964,catNom,0))&amp;"",""))</f>
        <v/>
      </c>
      <c r="J3964" s="19">
        <f>IF(I3964="","",IFERROR(INDEX(catGrupo,MATCH(D3964,catNom,0))&amp;"",""))</f>
        <v/>
      </c>
      <c r="K3964" s="19">
        <f>IF(I3964="Gasto",IF(IFERROR(INDEX(catClas,MATCH(D3964,catNom,0))&amp;"","")="","Variable",IFERROR(INDEX(catClas,MATCH(D3964,catNom,0))&amp;"","")),"")</f>
        <v/>
      </c>
      <c r="L3964" s="19">
        <f>IF(I3964="","",IFERROR(INDEX(catAlim,MATCH(D3964,catNom,0))&amp;"",""))</f>
        <v/>
      </c>
      <c r="M3964" s="19">
        <f>IF(I3964="","",IFERROR(INDEX(catComida,MATCH(D3964,catNom,0))&amp;"",""))</f>
        <v/>
      </c>
      <c r="N3964" s="19">
        <f>IF(I3964="","",IFERROR(INDEX(ctaMon,MATCH(E3964,ctaNom,0))&amp;"","DOP"))</f>
        <v/>
      </c>
      <c r="O3964" s="20">
        <f>IF(I3964="","",C3964*IF(N3964="USD",TasaUSD,1))</f>
        <v/>
      </c>
      <c r="P3964" s="20">
        <f>IF(I3964="","",IF(I3964="Gasto",O3964,0))</f>
        <v/>
      </c>
      <c r="Q3964" s="20">
        <f>IF(I3964="","",IF(I3964="Ingreso",O3964,0))</f>
        <v/>
      </c>
      <c r="R3964" s="20">
        <f>IF(I3964="","",IF(I3964="Trading",O3964,0))</f>
        <v/>
      </c>
      <c r="S3964" s="19">
        <f>IF(I3964="","",IF(AND(I3964="Gasto",K3964="Variable",J3964&lt;&gt;"Trading",O3964&gt;0,O3964&lt;=Umbral),1,0))</f>
        <v/>
      </c>
      <c r="T3964" s="20">
        <f>IF(OR(I3964="",E3964=""),"",IF(OR(I3964="Gasto",I3964="Transferencia",I3964="Pago tarjeta"),-1,1)*C3964)</f>
        <v/>
      </c>
      <c r="U3964" s="20">
        <f>IF(OR(G3964="",AND(I3964&lt;&gt;"Transferencia",I3964&lt;&gt;"Pago tarjeta")),"",IF(IFERROR(INDEX(ctaMon,MATCH(G3964,ctaNom,0))&amp;"","DOP")=N3964,C3964,IF(N3964="USD",C3964*TasaUSD,C3964/TasaUSD)))</f>
        <v/>
      </c>
      <c r="V3964" s="20">
        <f>IF(I3964="","",IF(IFERROR(INDEX(ctaLiq,MATCH(E3964,ctaNom,0))="Sí",FALSE),IF(OR(I3964="Gasto",I3964="Transferencia",I3964="Pago tarjeta"),-1,1)*O3964,0)+IF(AND(U3964&lt;&gt;"",IFERROR(INDEX(ctaLiq,MATCH(G3964,ctaNom,0))="Sí",FALSE)),O3964,0))</f>
        <v/>
      </c>
      <c r="W3964" s="19">
        <f>IF(OR(F3964="",I3964=""),"",IF(COUNTIFS(F$6:F3964,F3964,I$6:I3964,"?*")=1,MAX(W$5:W3963)+1,""))</f>
        <v/>
      </c>
    </row>
    <row r="3965">
      <c r="B3965" s="15" t="n"/>
      <c r="C3965" s="16" t="n"/>
      <c r="D3965" s="17" t="n"/>
      <c r="E3965" s="17" t="n"/>
      <c r="F3965" s="17" t="n"/>
      <c r="G3965" s="17" t="n"/>
      <c r="H3965" s="18">
        <f>IF(AND(B3965="",C3965="",D3965="",E3965=""),"",IF(B3965="","⚠ Falta fecha",IF(C3965="","⚠ Falta monto",IF(D3965="","⚠ Falta categoría",IF(ISNA(MATCH(D3965,catNom,0)),"⚠ Categoría no existe",IF(E3965="","⚠ Falta cuenta",IF(ISNA(MATCH(E3965,ctaNom,0)),"⚠ Cuenta no existe",IF(AND(OR(I3965="Transferencia",I3965="Pago tarjeta"),G3965=""),"⚠ Indica la cuenta «Hacia»",IF(AND(G3965&lt;&gt;"",G3965=E3965),"⚠ «Hacia» igual a la cuenta",IF(AND(G3965&lt;&gt;"",ISNA(MATCH(G3965,ctaNom,0))),"⚠ «Hacia» no existe",IF(AND(I3965="Pago tarjeta",IFERROR(INDEX(ctaTipo,MATCH(G3965,ctaNom,0)),"")&lt;&gt;"Tarjeta de crédito"),"⚠ «Hacia» debe ser la tarjeta",IF(AND(I3965="Trading",IFERROR(INDEX(ctaTipo,MATCH(E3965,ctaNom,0)),"")&lt;&gt;"Cuenta de trading"),"⚠ Usa la cuenta de trading","✓"))))))))))))</f>
        <v/>
      </c>
      <c r="I3965" s="19">
        <f>IF(OR(B3965="",C3965="",D3965=""),"",IFERROR(INDEX(catTipo,MATCH(D3965,catNom,0))&amp;"",""))</f>
        <v/>
      </c>
      <c r="J3965" s="19">
        <f>IF(I3965="","",IFERROR(INDEX(catGrupo,MATCH(D3965,catNom,0))&amp;"",""))</f>
        <v/>
      </c>
      <c r="K3965" s="19">
        <f>IF(I3965="Gasto",IF(IFERROR(INDEX(catClas,MATCH(D3965,catNom,0))&amp;"","")="","Variable",IFERROR(INDEX(catClas,MATCH(D3965,catNom,0))&amp;"","")),"")</f>
        <v/>
      </c>
      <c r="L3965" s="19">
        <f>IF(I3965="","",IFERROR(INDEX(catAlim,MATCH(D3965,catNom,0))&amp;"",""))</f>
        <v/>
      </c>
      <c r="M3965" s="19">
        <f>IF(I3965="","",IFERROR(INDEX(catComida,MATCH(D3965,catNom,0))&amp;"",""))</f>
        <v/>
      </c>
      <c r="N3965" s="19">
        <f>IF(I3965="","",IFERROR(INDEX(ctaMon,MATCH(E3965,ctaNom,0))&amp;"","DOP"))</f>
        <v/>
      </c>
      <c r="O3965" s="20">
        <f>IF(I3965="","",C3965*IF(N3965="USD",TasaUSD,1))</f>
        <v/>
      </c>
      <c r="P3965" s="20">
        <f>IF(I3965="","",IF(I3965="Gasto",O3965,0))</f>
        <v/>
      </c>
      <c r="Q3965" s="20">
        <f>IF(I3965="","",IF(I3965="Ingreso",O3965,0))</f>
        <v/>
      </c>
      <c r="R3965" s="20">
        <f>IF(I3965="","",IF(I3965="Trading",O3965,0))</f>
        <v/>
      </c>
      <c r="S3965" s="19">
        <f>IF(I3965="","",IF(AND(I3965="Gasto",K3965="Variable",J3965&lt;&gt;"Trading",O3965&gt;0,O3965&lt;=Umbral),1,0))</f>
        <v/>
      </c>
      <c r="T3965" s="20">
        <f>IF(OR(I3965="",E3965=""),"",IF(OR(I3965="Gasto",I3965="Transferencia",I3965="Pago tarjeta"),-1,1)*C3965)</f>
        <v/>
      </c>
      <c r="U3965" s="20">
        <f>IF(OR(G3965="",AND(I3965&lt;&gt;"Transferencia",I3965&lt;&gt;"Pago tarjeta")),"",IF(IFERROR(INDEX(ctaMon,MATCH(G3965,ctaNom,0))&amp;"","DOP")=N3965,C3965,IF(N3965="USD",C3965*TasaUSD,C3965/TasaUSD)))</f>
        <v/>
      </c>
      <c r="V3965" s="20">
        <f>IF(I3965="","",IF(IFERROR(INDEX(ctaLiq,MATCH(E3965,ctaNom,0))="Sí",FALSE),IF(OR(I3965="Gasto",I3965="Transferencia",I3965="Pago tarjeta"),-1,1)*O3965,0)+IF(AND(U3965&lt;&gt;"",IFERROR(INDEX(ctaLiq,MATCH(G3965,ctaNom,0))="Sí",FALSE)),O3965,0))</f>
        <v/>
      </c>
      <c r="W3965" s="19">
        <f>IF(OR(F3965="",I3965=""),"",IF(COUNTIFS(F$6:F3965,F3965,I$6:I3965,"?*")=1,MAX(W$5:W3964)+1,""))</f>
        <v/>
      </c>
    </row>
    <row r="3966">
      <c r="B3966" s="15" t="n"/>
      <c r="C3966" s="16" t="n"/>
      <c r="D3966" s="17" t="n"/>
      <c r="E3966" s="17" t="n"/>
      <c r="F3966" s="17" t="n"/>
      <c r="G3966" s="17" t="n"/>
      <c r="H3966" s="18">
        <f>IF(AND(B3966="",C3966="",D3966="",E3966=""),"",IF(B3966="","⚠ Falta fecha",IF(C3966="","⚠ Falta monto",IF(D3966="","⚠ Falta categoría",IF(ISNA(MATCH(D3966,catNom,0)),"⚠ Categoría no existe",IF(E3966="","⚠ Falta cuenta",IF(ISNA(MATCH(E3966,ctaNom,0)),"⚠ Cuenta no existe",IF(AND(OR(I3966="Transferencia",I3966="Pago tarjeta"),G3966=""),"⚠ Indica la cuenta «Hacia»",IF(AND(G3966&lt;&gt;"",G3966=E3966),"⚠ «Hacia» igual a la cuenta",IF(AND(G3966&lt;&gt;"",ISNA(MATCH(G3966,ctaNom,0))),"⚠ «Hacia» no existe",IF(AND(I3966="Pago tarjeta",IFERROR(INDEX(ctaTipo,MATCH(G3966,ctaNom,0)),"")&lt;&gt;"Tarjeta de crédito"),"⚠ «Hacia» debe ser la tarjeta",IF(AND(I3966="Trading",IFERROR(INDEX(ctaTipo,MATCH(E3966,ctaNom,0)),"")&lt;&gt;"Cuenta de trading"),"⚠ Usa la cuenta de trading","✓"))))))))))))</f>
        <v/>
      </c>
      <c r="I3966" s="19">
        <f>IF(OR(B3966="",C3966="",D3966=""),"",IFERROR(INDEX(catTipo,MATCH(D3966,catNom,0))&amp;"",""))</f>
        <v/>
      </c>
      <c r="J3966" s="19">
        <f>IF(I3966="","",IFERROR(INDEX(catGrupo,MATCH(D3966,catNom,0))&amp;"",""))</f>
        <v/>
      </c>
      <c r="K3966" s="19">
        <f>IF(I3966="Gasto",IF(IFERROR(INDEX(catClas,MATCH(D3966,catNom,0))&amp;"","")="","Variable",IFERROR(INDEX(catClas,MATCH(D3966,catNom,0))&amp;"","")),"")</f>
        <v/>
      </c>
      <c r="L3966" s="19">
        <f>IF(I3966="","",IFERROR(INDEX(catAlim,MATCH(D3966,catNom,0))&amp;"",""))</f>
        <v/>
      </c>
      <c r="M3966" s="19">
        <f>IF(I3966="","",IFERROR(INDEX(catComida,MATCH(D3966,catNom,0))&amp;"",""))</f>
        <v/>
      </c>
      <c r="N3966" s="19">
        <f>IF(I3966="","",IFERROR(INDEX(ctaMon,MATCH(E3966,ctaNom,0))&amp;"","DOP"))</f>
        <v/>
      </c>
      <c r="O3966" s="20">
        <f>IF(I3966="","",C3966*IF(N3966="USD",TasaUSD,1))</f>
        <v/>
      </c>
      <c r="P3966" s="20">
        <f>IF(I3966="","",IF(I3966="Gasto",O3966,0))</f>
        <v/>
      </c>
      <c r="Q3966" s="20">
        <f>IF(I3966="","",IF(I3966="Ingreso",O3966,0))</f>
        <v/>
      </c>
      <c r="R3966" s="20">
        <f>IF(I3966="","",IF(I3966="Trading",O3966,0))</f>
        <v/>
      </c>
      <c r="S3966" s="19">
        <f>IF(I3966="","",IF(AND(I3966="Gasto",K3966="Variable",J3966&lt;&gt;"Trading",O3966&gt;0,O3966&lt;=Umbral),1,0))</f>
        <v/>
      </c>
      <c r="T3966" s="20">
        <f>IF(OR(I3966="",E3966=""),"",IF(OR(I3966="Gasto",I3966="Transferencia",I3966="Pago tarjeta"),-1,1)*C3966)</f>
        <v/>
      </c>
      <c r="U3966" s="20">
        <f>IF(OR(G3966="",AND(I3966&lt;&gt;"Transferencia",I3966&lt;&gt;"Pago tarjeta")),"",IF(IFERROR(INDEX(ctaMon,MATCH(G3966,ctaNom,0))&amp;"","DOP")=N3966,C3966,IF(N3966="USD",C3966*TasaUSD,C3966/TasaUSD)))</f>
        <v/>
      </c>
      <c r="V3966" s="20">
        <f>IF(I3966="","",IF(IFERROR(INDEX(ctaLiq,MATCH(E3966,ctaNom,0))="Sí",FALSE),IF(OR(I3966="Gasto",I3966="Transferencia",I3966="Pago tarjeta"),-1,1)*O3966,0)+IF(AND(U3966&lt;&gt;"",IFERROR(INDEX(ctaLiq,MATCH(G3966,ctaNom,0))="Sí",FALSE)),O3966,0))</f>
        <v/>
      </c>
      <c r="W3966" s="19">
        <f>IF(OR(F3966="",I3966=""),"",IF(COUNTIFS(F$6:F3966,F3966,I$6:I3966,"?*")=1,MAX(W$5:W3965)+1,""))</f>
        <v/>
      </c>
    </row>
    <row r="3967">
      <c r="B3967" s="15" t="n"/>
      <c r="C3967" s="16" t="n"/>
      <c r="D3967" s="17" t="n"/>
      <c r="E3967" s="17" t="n"/>
      <c r="F3967" s="17" t="n"/>
      <c r="G3967" s="17" t="n"/>
      <c r="H3967" s="18">
        <f>IF(AND(B3967="",C3967="",D3967="",E3967=""),"",IF(B3967="","⚠ Falta fecha",IF(C3967="","⚠ Falta monto",IF(D3967="","⚠ Falta categoría",IF(ISNA(MATCH(D3967,catNom,0)),"⚠ Categoría no existe",IF(E3967="","⚠ Falta cuenta",IF(ISNA(MATCH(E3967,ctaNom,0)),"⚠ Cuenta no existe",IF(AND(OR(I3967="Transferencia",I3967="Pago tarjeta"),G3967=""),"⚠ Indica la cuenta «Hacia»",IF(AND(G3967&lt;&gt;"",G3967=E3967),"⚠ «Hacia» igual a la cuenta",IF(AND(G3967&lt;&gt;"",ISNA(MATCH(G3967,ctaNom,0))),"⚠ «Hacia» no existe",IF(AND(I3967="Pago tarjeta",IFERROR(INDEX(ctaTipo,MATCH(G3967,ctaNom,0)),"")&lt;&gt;"Tarjeta de crédito"),"⚠ «Hacia» debe ser la tarjeta",IF(AND(I3967="Trading",IFERROR(INDEX(ctaTipo,MATCH(E3967,ctaNom,0)),"")&lt;&gt;"Cuenta de trading"),"⚠ Usa la cuenta de trading","✓"))))))))))))</f>
        <v/>
      </c>
      <c r="I3967" s="19">
        <f>IF(OR(B3967="",C3967="",D3967=""),"",IFERROR(INDEX(catTipo,MATCH(D3967,catNom,0))&amp;"",""))</f>
        <v/>
      </c>
      <c r="J3967" s="19">
        <f>IF(I3967="","",IFERROR(INDEX(catGrupo,MATCH(D3967,catNom,0))&amp;"",""))</f>
        <v/>
      </c>
      <c r="K3967" s="19">
        <f>IF(I3967="Gasto",IF(IFERROR(INDEX(catClas,MATCH(D3967,catNom,0))&amp;"","")="","Variable",IFERROR(INDEX(catClas,MATCH(D3967,catNom,0))&amp;"","")),"")</f>
        <v/>
      </c>
      <c r="L3967" s="19">
        <f>IF(I3967="","",IFERROR(INDEX(catAlim,MATCH(D3967,catNom,0))&amp;"",""))</f>
        <v/>
      </c>
      <c r="M3967" s="19">
        <f>IF(I3967="","",IFERROR(INDEX(catComida,MATCH(D3967,catNom,0))&amp;"",""))</f>
        <v/>
      </c>
      <c r="N3967" s="19">
        <f>IF(I3967="","",IFERROR(INDEX(ctaMon,MATCH(E3967,ctaNom,0))&amp;"","DOP"))</f>
        <v/>
      </c>
      <c r="O3967" s="20">
        <f>IF(I3967="","",C3967*IF(N3967="USD",TasaUSD,1))</f>
        <v/>
      </c>
      <c r="P3967" s="20">
        <f>IF(I3967="","",IF(I3967="Gasto",O3967,0))</f>
        <v/>
      </c>
      <c r="Q3967" s="20">
        <f>IF(I3967="","",IF(I3967="Ingreso",O3967,0))</f>
        <v/>
      </c>
      <c r="R3967" s="20">
        <f>IF(I3967="","",IF(I3967="Trading",O3967,0))</f>
        <v/>
      </c>
      <c r="S3967" s="19">
        <f>IF(I3967="","",IF(AND(I3967="Gasto",K3967="Variable",J3967&lt;&gt;"Trading",O3967&gt;0,O3967&lt;=Umbral),1,0))</f>
        <v/>
      </c>
      <c r="T3967" s="20">
        <f>IF(OR(I3967="",E3967=""),"",IF(OR(I3967="Gasto",I3967="Transferencia",I3967="Pago tarjeta"),-1,1)*C3967)</f>
        <v/>
      </c>
      <c r="U3967" s="20">
        <f>IF(OR(G3967="",AND(I3967&lt;&gt;"Transferencia",I3967&lt;&gt;"Pago tarjeta")),"",IF(IFERROR(INDEX(ctaMon,MATCH(G3967,ctaNom,0))&amp;"","DOP")=N3967,C3967,IF(N3967="USD",C3967*TasaUSD,C3967/TasaUSD)))</f>
        <v/>
      </c>
      <c r="V3967" s="20">
        <f>IF(I3967="","",IF(IFERROR(INDEX(ctaLiq,MATCH(E3967,ctaNom,0))="Sí",FALSE),IF(OR(I3967="Gasto",I3967="Transferencia",I3967="Pago tarjeta"),-1,1)*O3967,0)+IF(AND(U3967&lt;&gt;"",IFERROR(INDEX(ctaLiq,MATCH(G3967,ctaNom,0))="Sí",FALSE)),O3967,0))</f>
        <v/>
      </c>
      <c r="W3967" s="19">
        <f>IF(OR(F3967="",I3967=""),"",IF(COUNTIFS(F$6:F3967,F3967,I$6:I3967,"?*")=1,MAX(W$5:W3966)+1,""))</f>
        <v/>
      </c>
    </row>
    <row r="3968">
      <c r="B3968" s="15" t="n"/>
      <c r="C3968" s="16" t="n"/>
      <c r="D3968" s="17" t="n"/>
      <c r="E3968" s="17" t="n"/>
      <c r="F3968" s="17" t="n"/>
      <c r="G3968" s="17" t="n"/>
      <c r="H3968" s="18">
        <f>IF(AND(B3968="",C3968="",D3968="",E3968=""),"",IF(B3968="","⚠ Falta fecha",IF(C3968="","⚠ Falta monto",IF(D3968="","⚠ Falta categoría",IF(ISNA(MATCH(D3968,catNom,0)),"⚠ Categoría no existe",IF(E3968="","⚠ Falta cuenta",IF(ISNA(MATCH(E3968,ctaNom,0)),"⚠ Cuenta no existe",IF(AND(OR(I3968="Transferencia",I3968="Pago tarjeta"),G3968=""),"⚠ Indica la cuenta «Hacia»",IF(AND(G3968&lt;&gt;"",G3968=E3968),"⚠ «Hacia» igual a la cuenta",IF(AND(G3968&lt;&gt;"",ISNA(MATCH(G3968,ctaNom,0))),"⚠ «Hacia» no existe",IF(AND(I3968="Pago tarjeta",IFERROR(INDEX(ctaTipo,MATCH(G3968,ctaNom,0)),"")&lt;&gt;"Tarjeta de crédito"),"⚠ «Hacia» debe ser la tarjeta",IF(AND(I3968="Trading",IFERROR(INDEX(ctaTipo,MATCH(E3968,ctaNom,0)),"")&lt;&gt;"Cuenta de trading"),"⚠ Usa la cuenta de trading","✓"))))))))))))</f>
        <v/>
      </c>
      <c r="I3968" s="19">
        <f>IF(OR(B3968="",C3968="",D3968=""),"",IFERROR(INDEX(catTipo,MATCH(D3968,catNom,0))&amp;"",""))</f>
        <v/>
      </c>
      <c r="J3968" s="19">
        <f>IF(I3968="","",IFERROR(INDEX(catGrupo,MATCH(D3968,catNom,0))&amp;"",""))</f>
        <v/>
      </c>
      <c r="K3968" s="19">
        <f>IF(I3968="Gasto",IF(IFERROR(INDEX(catClas,MATCH(D3968,catNom,0))&amp;"","")="","Variable",IFERROR(INDEX(catClas,MATCH(D3968,catNom,0))&amp;"","")),"")</f>
        <v/>
      </c>
      <c r="L3968" s="19">
        <f>IF(I3968="","",IFERROR(INDEX(catAlim,MATCH(D3968,catNom,0))&amp;"",""))</f>
        <v/>
      </c>
      <c r="M3968" s="19">
        <f>IF(I3968="","",IFERROR(INDEX(catComida,MATCH(D3968,catNom,0))&amp;"",""))</f>
        <v/>
      </c>
      <c r="N3968" s="19">
        <f>IF(I3968="","",IFERROR(INDEX(ctaMon,MATCH(E3968,ctaNom,0))&amp;"","DOP"))</f>
        <v/>
      </c>
      <c r="O3968" s="20">
        <f>IF(I3968="","",C3968*IF(N3968="USD",TasaUSD,1))</f>
        <v/>
      </c>
      <c r="P3968" s="20">
        <f>IF(I3968="","",IF(I3968="Gasto",O3968,0))</f>
        <v/>
      </c>
      <c r="Q3968" s="20">
        <f>IF(I3968="","",IF(I3968="Ingreso",O3968,0))</f>
        <v/>
      </c>
      <c r="R3968" s="20">
        <f>IF(I3968="","",IF(I3968="Trading",O3968,0))</f>
        <v/>
      </c>
      <c r="S3968" s="19">
        <f>IF(I3968="","",IF(AND(I3968="Gasto",K3968="Variable",J3968&lt;&gt;"Trading",O3968&gt;0,O3968&lt;=Umbral),1,0))</f>
        <v/>
      </c>
      <c r="T3968" s="20">
        <f>IF(OR(I3968="",E3968=""),"",IF(OR(I3968="Gasto",I3968="Transferencia",I3968="Pago tarjeta"),-1,1)*C3968)</f>
        <v/>
      </c>
      <c r="U3968" s="20">
        <f>IF(OR(G3968="",AND(I3968&lt;&gt;"Transferencia",I3968&lt;&gt;"Pago tarjeta")),"",IF(IFERROR(INDEX(ctaMon,MATCH(G3968,ctaNom,0))&amp;"","DOP")=N3968,C3968,IF(N3968="USD",C3968*TasaUSD,C3968/TasaUSD)))</f>
        <v/>
      </c>
      <c r="V3968" s="20">
        <f>IF(I3968="","",IF(IFERROR(INDEX(ctaLiq,MATCH(E3968,ctaNom,0))="Sí",FALSE),IF(OR(I3968="Gasto",I3968="Transferencia",I3968="Pago tarjeta"),-1,1)*O3968,0)+IF(AND(U3968&lt;&gt;"",IFERROR(INDEX(ctaLiq,MATCH(G3968,ctaNom,0))="Sí",FALSE)),O3968,0))</f>
        <v/>
      </c>
      <c r="W3968" s="19">
        <f>IF(OR(F3968="",I3968=""),"",IF(COUNTIFS(F$6:F3968,F3968,I$6:I3968,"?*")=1,MAX(W$5:W3967)+1,""))</f>
        <v/>
      </c>
    </row>
    <row r="3969">
      <c r="B3969" s="15" t="n"/>
      <c r="C3969" s="16" t="n"/>
      <c r="D3969" s="17" t="n"/>
      <c r="E3969" s="17" t="n"/>
      <c r="F3969" s="17" t="n"/>
      <c r="G3969" s="17" t="n"/>
      <c r="H3969" s="18">
        <f>IF(AND(B3969="",C3969="",D3969="",E3969=""),"",IF(B3969="","⚠ Falta fecha",IF(C3969="","⚠ Falta monto",IF(D3969="","⚠ Falta categoría",IF(ISNA(MATCH(D3969,catNom,0)),"⚠ Categoría no existe",IF(E3969="","⚠ Falta cuenta",IF(ISNA(MATCH(E3969,ctaNom,0)),"⚠ Cuenta no existe",IF(AND(OR(I3969="Transferencia",I3969="Pago tarjeta"),G3969=""),"⚠ Indica la cuenta «Hacia»",IF(AND(G3969&lt;&gt;"",G3969=E3969),"⚠ «Hacia» igual a la cuenta",IF(AND(G3969&lt;&gt;"",ISNA(MATCH(G3969,ctaNom,0))),"⚠ «Hacia» no existe",IF(AND(I3969="Pago tarjeta",IFERROR(INDEX(ctaTipo,MATCH(G3969,ctaNom,0)),"")&lt;&gt;"Tarjeta de crédito"),"⚠ «Hacia» debe ser la tarjeta",IF(AND(I3969="Trading",IFERROR(INDEX(ctaTipo,MATCH(E3969,ctaNom,0)),"")&lt;&gt;"Cuenta de trading"),"⚠ Usa la cuenta de trading","✓"))))))))))))</f>
        <v/>
      </c>
      <c r="I3969" s="19">
        <f>IF(OR(B3969="",C3969="",D3969=""),"",IFERROR(INDEX(catTipo,MATCH(D3969,catNom,0))&amp;"",""))</f>
        <v/>
      </c>
      <c r="J3969" s="19">
        <f>IF(I3969="","",IFERROR(INDEX(catGrupo,MATCH(D3969,catNom,0))&amp;"",""))</f>
        <v/>
      </c>
      <c r="K3969" s="19">
        <f>IF(I3969="Gasto",IF(IFERROR(INDEX(catClas,MATCH(D3969,catNom,0))&amp;"","")="","Variable",IFERROR(INDEX(catClas,MATCH(D3969,catNom,0))&amp;"","")),"")</f>
        <v/>
      </c>
      <c r="L3969" s="19">
        <f>IF(I3969="","",IFERROR(INDEX(catAlim,MATCH(D3969,catNom,0))&amp;"",""))</f>
        <v/>
      </c>
      <c r="M3969" s="19">
        <f>IF(I3969="","",IFERROR(INDEX(catComida,MATCH(D3969,catNom,0))&amp;"",""))</f>
        <v/>
      </c>
      <c r="N3969" s="19">
        <f>IF(I3969="","",IFERROR(INDEX(ctaMon,MATCH(E3969,ctaNom,0))&amp;"","DOP"))</f>
        <v/>
      </c>
      <c r="O3969" s="20">
        <f>IF(I3969="","",C3969*IF(N3969="USD",TasaUSD,1))</f>
        <v/>
      </c>
      <c r="P3969" s="20">
        <f>IF(I3969="","",IF(I3969="Gasto",O3969,0))</f>
        <v/>
      </c>
      <c r="Q3969" s="20">
        <f>IF(I3969="","",IF(I3969="Ingreso",O3969,0))</f>
        <v/>
      </c>
      <c r="R3969" s="20">
        <f>IF(I3969="","",IF(I3969="Trading",O3969,0))</f>
        <v/>
      </c>
      <c r="S3969" s="19">
        <f>IF(I3969="","",IF(AND(I3969="Gasto",K3969="Variable",J3969&lt;&gt;"Trading",O3969&gt;0,O3969&lt;=Umbral),1,0))</f>
        <v/>
      </c>
      <c r="T3969" s="20">
        <f>IF(OR(I3969="",E3969=""),"",IF(OR(I3969="Gasto",I3969="Transferencia",I3969="Pago tarjeta"),-1,1)*C3969)</f>
        <v/>
      </c>
      <c r="U3969" s="20">
        <f>IF(OR(G3969="",AND(I3969&lt;&gt;"Transferencia",I3969&lt;&gt;"Pago tarjeta")),"",IF(IFERROR(INDEX(ctaMon,MATCH(G3969,ctaNom,0))&amp;"","DOP")=N3969,C3969,IF(N3969="USD",C3969*TasaUSD,C3969/TasaUSD)))</f>
        <v/>
      </c>
      <c r="V3969" s="20">
        <f>IF(I3969="","",IF(IFERROR(INDEX(ctaLiq,MATCH(E3969,ctaNom,0))="Sí",FALSE),IF(OR(I3969="Gasto",I3969="Transferencia",I3969="Pago tarjeta"),-1,1)*O3969,0)+IF(AND(U3969&lt;&gt;"",IFERROR(INDEX(ctaLiq,MATCH(G3969,ctaNom,0))="Sí",FALSE)),O3969,0))</f>
        <v/>
      </c>
      <c r="W3969" s="19">
        <f>IF(OR(F3969="",I3969=""),"",IF(COUNTIFS(F$6:F3969,F3969,I$6:I3969,"?*")=1,MAX(W$5:W3968)+1,""))</f>
        <v/>
      </c>
    </row>
    <row r="3970">
      <c r="B3970" s="15" t="n"/>
      <c r="C3970" s="16" t="n"/>
      <c r="D3970" s="17" t="n"/>
      <c r="E3970" s="17" t="n"/>
      <c r="F3970" s="17" t="n"/>
      <c r="G3970" s="17" t="n"/>
      <c r="H3970" s="18">
        <f>IF(AND(B3970="",C3970="",D3970="",E3970=""),"",IF(B3970="","⚠ Falta fecha",IF(C3970="","⚠ Falta monto",IF(D3970="","⚠ Falta categoría",IF(ISNA(MATCH(D3970,catNom,0)),"⚠ Categoría no existe",IF(E3970="","⚠ Falta cuenta",IF(ISNA(MATCH(E3970,ctaNom,0)),"⚠ Cuenta no existe",IF(AND(OR(I3970="Transferencia",I3970="Pago tarjeta"),G3970=""),"⚠ Indica la cuenta «Hacia»",IF(AND(G3970&lt;&gt;"",G3970=E3970),"⚠ «Hacia» igual a la cuenta",IF(AND(G3970&lt;&gt;"",ISNA(MATCH(G3970,ctaNom,0))),"⚠ «Hacia» no existe",IF(AND(I3970="Pago tarjeta",IFERROR(INDEX(ctaTipo,MATCH(G3970,ctaNom,0)),"")&lt;&gt;"Tarjeta de crédito"),"⚠ «Hacia» debe ser la tarjeta",IF(AND(I3970="Trading",IFERROR(INDEX(ctaTipo,MATCH(E3970,ctaNom,0)),"")&lt;&gt;"Cuenta de trading"),"⚠ Usa la cuenta de trading","✓"))))))))))))</f>
        <v/>
      </c>
      <c r="I3970" s="19">
        <f>IF(OR(B3970="",C3970="",D3970=""),"",IFERROR(INDEX(catTipo,MATCH(D3970,catNom,0))&amp;"",""))</f>
        <v/>
      </c>
      <c r="J3970" s="19">
        <f>IF(I3970="","",IFERROR(INDEX(catGrupo,MATCH(D3970,catNom,0))&amp;"",""))</f>
        <v/>
      </c>
      <c r="K3970" s="19">
        <f>IF(I3970="Gasto",IF(IFERROR(INDEX(catClas,MATCH(D3970,catNom,0))&amp;"","")="","Variable",IFERROR(INDEX(catClas,MATCH(D3970,catNom,0))&amp;"","")),"")</f>
        <v/>
      </c>
      <c r="L3970" s="19">
        <f>IF(I3970="","",IFERROR(INDEX(catAlim,MATCH(D3970,catNom,0))&amp;"",""))</f>
        <v/>
      </c>
      <c r="M3970" s="19">
        <f>IF(I3970="","",IFERROR(INDEX(catComida,MATCH(D3970,catNom,0))&amp;"",""))</f>
        <v/>
      </c>
      <c r="N3970" s="19">
        <f>IF(I3970="","",IFERROR(INDEX(ctaMon,MATCH(E3970,ctaNom,0))&amp;"","DOP"))</f>
        <v/>
      </c>
      <c r="O3970" s="20">
        <f>IF(I3970="","",C3970*IF(N3970="USD",TasaUSD,1))</f>
        <v/>
      </c>
      <c r="P3970" s="20">
        <f>IF(I3970="","",IF(I3970="Gasto",O3970,0))</f>
        <v/>
      </c>
      <c r="Q3970" s="20">
        <f>IF(I3970="","",IF(I3970="Ingreso",O3970,0))</f>
        <v/>
      </c>
      <c r="R3970" s="20">
        <f>IF(I3970="","",IF(I3970="Trading",O3970,0))</f>
        <v/>
      </c>
      <c r="S3970" s="19">
        <f>IF(I3970="","",IF(AND(I3970="Gasto",K3970="Variable",J3970&lt;&gt;"Trading",O3970&gt;0,O3970&lt;=Umbral),1,0))</f>
        <v/>
      </c>
      <c r="T3970" s="20">
        <f>IF(OR(I3970="",E3970=""),"",IF(OR(I3970="Gasto",I3970="Transferencia",I3970="Pago tarjeta"),-1,1)*C3970)</f>
        <v/>
      </c>
      <c r="U3970" s="20">
        <f>IF(OR(G3970="",AND(I3970&lt;&gt;"Transferencia",I3970&lt;&gt;"Pago tarjeta")),"",IF(IFERROR(INDEX(ctaMon,MATCH(G3970,ctaNom,0))&amp;"","DOP")=N3970,C3970,IF(N3970="USD",C3970*TasaUSD,C3970/TasaUSD)))</f>
        <v/>
      </c>
      <c r="V3970" s="20">
        <f>IF(I3970="","",IF(IFERROR(INDEX(ctaLiq,MATCH(E3970,ctaNom,0))="Sí",FALSE),IF(OR(I3970="Gasto",I3970="Transferencia",I3970="Pago tarjeta"),-1,1)*O3970,0)+IF(AND(U3970&lt;&gt;"",IFERROR(INDEX(ctaLiq,MATCH(G3970,ctaNom,0))="Sí",FALSE)),O3970,0))</f>
        <v/>
      </c>
      <c r="W3970" s="19">
        <f>IF(OR(F3970="",I3970=""),"",IF(COUNTIFS(F$6:F3970,F3970,I$6:I3970,"?*")=1,MAX(W$5:W3969)+1,""))</f>
        <v/>
      </c>
    </row>
    <row r="3971">
      <c r="B3971" s="15" t="n"/>
      <c r="C3971" s="16" t="n"/>
      <c r="D3971" s="17" t="n"/>
      <c r="E3971" s="17" t="n"/>
      <c r="F3971" s="17" t="n"/>
      <c r="G3971" s="17" t="n"/>
      <c r="H3971" s="18">
        <f>IF(AND(B3971="",C3971="",D3971="",E3971=""),"",IF(B3971="","⚠ Falta fecha",IF(C3971="","⚠ Falta monto",IF(D3971="","⚠ Falta categoría",IF(ISNA(MATCH(D3971,catNom,0)),"⚠ Categoría no existe",IF(E3971="","⚠ Falta cuenta",IF(ISNA(MATCH(E3971,ctaNom,0)),"⚠ Cuenta no existe",IF(AND(OR(I3971="Transferencia",I3971="Pago tarjeta"),G3971=""),"⚠ Indica la cuenta «Hacia»",IF(AND(G3971&lt;&gt;"",G3971=E3971),"⚠ «Hacia» igual a la cuenta",IF(AND(G3971&lt;&gt;"",ISNA(MATCH(G3971,ctaNom,0))),"⚠ «Hacia» no existe",IF(AND(I3971="Pago tarjeta",IFERROR(INDEX(ctaTipo,MATCH(G3971,ctaNom,0)),"")&lt;&gt;"Tarjeta de crédito"),"⚠ «Hacia» debe ser la tarjeta",IF(AND(I3971="Trading",IFERROR(INDEX(ctaTipo,MATCH(E3971,ctaNom,0)),"")&lt;&gt;"Cuenta de trading"),"⚠ Usa la cuenta de trading","✓"))))))))))))</f>
        <v/>
      </c>
      <c r="I3971" s="19">
        <f>IF(OR(B3971="",C3971="",D3971=""),"",IFERROR(INDEX(catTipo,MATCH(D3971,catNom,0))&amp;"",""))</f>
        <v/>
      </c>
      <c r="J3971" s="19">
        <f>IF(I3971="","",IFERROR(INDEX(catGrupo,MATCH(D3971,catNom,0))&amp;"",""))</f>
        <v/>
      </c>
      <c r="K3971" s="19">
        <f>IF(I3971="Gasto",IF(IFERROR(INDEX(catClas,MATCH(D3971,catNom,0))&amp;"","")="","Variable",IFERROR(INDEX(catClas,MATCH(D3971,catNom,0))&amp;"","")),"")</f>
        <v/>
      </c>
      <c r="L3971" s="19">
        <f>IF(I3971="","",IFERROR(INDEX(catAlim,MATCH(D3971,catNom,0))&amp;"",""))</f>
        <v/>
      </c>
      <c r="M3971" s="19">
        <f>IF(I3971="","",IFERROR(INDEX(catComida,MATCH(D3971,catNom,0))&amp;"",""))</f>
        <v/>
      </c>
      <c r="N3971" s="19">
        <f>IF(I3971="","",IFERROR(INDEX(ctaMon,MATCH(E3971,ctaNom,0))&amp;"","DOP"))</f>
        <v/>
      </c>
      <c r="O3971" s="20">
        <f>IF(I3971="","",C3971*IF(N3971="USD",TasaUSD,1))</f>
        <v/>
      </c>
      <c r="P3971" s="20">
        <f>IF(I3971="","",IF(I3971="Gasto",O3971,0))</f>
        <v/>
      </c>
      <c r="Q3971" s="20">
        <f>IF(I3971="","",IF(I3971="Ingreso",O3971,0))</f>
        <v/>
      </c>
      <c r="R3971" s="20">
        <f>IF(I3971="","",IF(I3971="Trading",O3971,0))</f>
        <v/>
      </c>
      <c r="S3971" s="19">
        <f>IF(I3971="","",IF(AND(I3971="Gasto",K3971="Variable",J3971&lt;&gt;"Trading",O3971&gt;0,O3971&lt;=Umbral),1,0))</f>
        <v/>
      </c>
      <c r="T3971" s="20">
        <f>IF(OR(I3971="",E3971=""),"",IF(OR(I3971="Gasto",I3971="Transferencia",I3971="Pago tarjeta"),-1,1)*C3971)</f>
        <v/>
      </c>
      <c r="U3971" s="20">
        <f>IF(OR(G3971="",AND(I3971&lt;&gt;"Transferencia",I3971&lt;&gt;"Pago tarjeta")),"",IF(IFERROR(INDEX(ctaMon,MATCH(G3971,ctaNom,0))&amp;"","DOP")=N3971,C3971,IF(N3971="USD",C3971*TasaUSD,C3971/TasaUSD)))</f>
        <v/>
      </c>
      <c r="V3971" s="20">
        <f>IF(I3971="","",IF(IFERROR(INDEX(ctaLiq,MATCH(E3971,ctaNom,0))="Sí",FALSE),IF(OR(I3971="Gasto",I3971="Transferencia",I3971="Pago tarjeta"),-1,1)*O3971,0)+IF(AND(U3971&lt;&gt;"",IFERROR(INDEX(ctaLiq,MATCH(G3971,ctaNom,0))="Sí",FALSE)),O3971,0))</f>
        <v/>
      </c>
      <c r="W3971" s="19">
        <f>IF(OR(F3971="",I3971=""),"",IF(COUNTIFS(F$6:F3971,F3971,I$6:I3971,"?*")=1,MAX(W$5:W3970)+1,""))</f>
        <v/>
      </c>
    </row>
    <row r="3972">
      <c r="B3972" s="15" t="n"/>
      <c r="C3972" s="16" t="n"/>
      <c r="D3972" s="17" t="n"/>
      <c r="E3972" s="17" t="n"/>
      <c r="F3972" s="17" t="n"/>
      <c r="G3972" s="17" t="n"/>
      <c r="H3972" s="18">
        <f>IF(AND(B3972="",C3972="",D3972="",E3972=""),"",IF(B3972="","⚠ Falta fecha",IF(C3972="","⚠ Falta monto",IF(D3972="","⚠ Falta categoría",IF(ISNA(MATCH(D3972,catNom,0)),"⚠ Categoría no existe",IF(E3972="","⚠ Falta cuenta",IF(ISNA(MATCH(E3972,ctaNom,0)),"⚠ Cuenta no existe",IF(AND(OR(I3972="Transferencia",I3972="Pago tarjeta"),G3972=""),"⚠ Indica la cuenta «Hacia»",IF(AND(G3972&lt;&gt;"",G3972=E3972),"⚠ «Hacia» igual a la cuenta",IF(AND(G3972&lt;&gt;"",ISNA(MATCH(G3972,ctaNom,0))),"⚠ «Hacia» no existe",IF(AND(I3972="Pago tarjeta",IFERROR(INDEX(ctaTipo,MATCH(G3972,ctaNom,0)),"")&lt;&gt;"Tarjeta de crédito"),"⚠ «Hacia» debe ser la tarjeta",IF(AND(I3972="Trading",IFERROR(INDEX(ctaTipo,MATCH(E3972,ctaNom,0)),"")&lt;&gt;"Cuenta de trading"),"⚠ Usa la cuenta de trading","✓"))))))))))))</f>
        <v/>
      </c>
      <c r="I3972" s="19">
        <f>IF(OR(B3972="",C3972="",D3972=""),"",IFERROR(INDEX(catTipo,MATCH(D3972,catNom,0))&amp;"",""))</f>
        <v/>
      </c>
      <c r="J3972" s="19">
        <f>IF(I3972="","",IFERROR(INDEX(catGrupo,MATCH(D3972,catNom,0))&amp;"",""))</f>
        <v/>
      </c>
      <c r="K3972" s="19">
        <f>IF(I3972="Gasto",IF(IFERROR(INDEX(catClas,MATCH(D3972,catNom,0))&amp;"","")="","Variable",IFERROR(INDEX(catClas,MATCH(D3972,catNom,0))&amp;"","")),"")</f>
        <v/>
      </c>
      <c r="L3972" s="19">
        <f>IF(I3972="","",IFERROR(INDEX(catAlim,MATCH(D3972,catNom,0))&amp;"",""))</f>
        <v/>
      </c>
      <c r="M3972" s="19">
        <f>IF(I3972="","",IFERROR(INDEX(catComida,MATCH(D3972,catNom,0))&amp;"",""))</f>
        <v/>
      </c>
      <c r="N3972" s="19">
        <f>IF(I3972="","",IFERROR(INDEX(ctaMon,MATCH(E3972,ctaNom,0))&amp;"","DOP"))</f>
        <v/>
      </c>
      <c r="O3972" s="20">
        <f>IF(I3972="","",C3972*IF(N3972="USD",TasaUSD,1))</f>
        <v/>
      </c>
      <c r="P3972" s="20">
        <f>IF(I3972="","",IF(I3972="Gasto",O3972,0))</f>
        <v/>
      </c>
      <c r="Q3972" s="20">
        <f>IF(I3972="","",IF(I3972="Ingreso",O3972,0))</f>
        <v/>
      </c>
      <c r="R3972" s="20">
        <f>IF(I3972="","",IF(I3972="Trading",O3972,0))</f>
        <v/>
      </c>
      <c r="S3972" s="19">
        <f>IF(I3972="","",IF(AND(I3972="Gasto",K3972="Variable",J3972&lt;&gt;"Trading",O3972&gt;0,O3972&lt;=Umbral),1,0))</f>
        <v/>
      </c>
      <c r="T3972" s="20">
        <f>IF(OR(I3972="",E3972=""),"",IF(OR(I3972="Gasto",I3972="Transferencia",I3972="Pago tarjeta"),-1,1)*C3972)</f>
        <v/>
      </c>
      <c r="U3972" s="20">
        <f>IF(OR(G3972="",AND(I3972&lt;&gt;"Transferencia",I3972&lt;&gt;"Pago tarjeta")),"",IF(IFERROR(INDEX(ctaMon,MATCH(G3972,ctaNom,0))&amp;"","DOP")=N3972,C3972,IF(N3972="USD",C3972*TasaUSD,C3972/TasaUSD)))</f>
        <v/>
      </c>
      <c r="V3972" s="20">
        <f>IF(I3972="","",IF(IFERROR(INDEX(ctaLiq,MATCH(E3972,ctaNom,0))="Sí",FALSE),IF(OR(I3972="Gasto",I3972="Transferencia",I3972="Pago tarjeta"),-1,1)*O3972,0)+IF(AND(U3972&lt;&gt;"",IFERROR(INDEX(ctaLiq,MATCH(G3972,ctaNom,0))="Sí",FALSE)),O3972,0))</f>
        <v/>
      </c>
      <c r="W3972" s="19">
        <f>IF(OR(F3972="",I3972=""),"",IF(COUNTIFS(F$6:F3972,F3972,I$6:I3972,"?*")=1,MAX(W$5:W3971)+1,""))</f>
        <v/>
      </c>
    </row>
    <row r="3973">
      <c r="B3973" s="15" t="n"/>
      <c r="C3973" s="16" t="n"/>
      <c r="D3973" s="17" t="n"/>
      <c r="E3973" s="17" t="n"/>
      <c r="F3973" s="17" t="n"/>
      <c r="G3973" s="17" t="n"/>
      <c r="H3973" s="18">
        <f>IF(AND(B3973="",C3973="",D3973="",E3973=""),"",IF(B3973="","⚠ Falta fecha",IF(C3973="","⚠ Falta monto",IF(D3973="","⚠ Falta categoría",IF(ISNA(MATCH(D3973,catNom,0)),"⚠ Categoría no existe",IF(E3973="","⚠ Falta cuenta",IF(ISNA(MATCH(E3973,ctaNom,0)),"⚠ Cuenta no existe",IF(AND(OR(I3973="Transferencia",I3973="Pago tarjeta"),G3973=""),"⚠ Indica la cuenta «Hacia»",IF(AND(G3973&lt;&gt;"",G3973=E3973),"⚠ «Hacia» igual a la cuenta",IF(AND(G3973&lt;&gt;"",ISNA(MATCH(G3973,ctaNom,0))),"⚠ «Hacia» no existe",IF(AND(I3973="Pago tarjeta",IFERROR(INDEX(ctaTipo,MATCH(G3973,ctaNom,0)),"")&lt;&gt;"Tarjeta de crédito"),"⚠ «Hacia» debe ser la tarjeta",IF(AND(I3973="Trading",IFERROR(INDEX(ctaTipo,MATCH(E3973,ctaNom,0)),"")&lt;&gt;"Cuenta de trading"),"⚠ Usa la cuenta de trading","✓"))))))))))))</f>
        <v/>
      </c>
      <c r="I3973" s="19">
        <f>IF(OR(B3973="",C3973="",D3973=""),"",IFERROR(INDEX(catTipo,MATCH(D3973,catNom,0))&amp;"",""))</f>
        <v/>
      </c>
      <c r="J3973" s="19">
        <f>IF(I3973="","",IFERROR(INDEX(catGrupo,MATCH(D3973,catNom,0))&amp;"",""))</f>
        <v/>
      </c>
      <c r="K3973" s="19">
        <f>IF(I3973="Gasto",IF(IFERROR(INDEX(catClas,MATCH(D3973,catNom,0))&amp;"","")="","Variable",IFERROR(INDEX(catClas,MATCH(D3973,catNom,0))&amp;"","")),"")</f>
        <v/>
      </c>
      <c r="L3973" s="19">
        <f>IF(I3973="","",IFERROR(INDEX(catAlim,MATCH(D3973,catNom,0))&amp;"",""))</f>
        <v/>
      </c>
      <c r="M3973" s="19">
        <f>IF(I3973="","",IFERROR(INDEX(catComida,MATCH(D3973,catNom,0))&amp;"",""))</f>
        <v/>
      </c>
      <c r="N3973" s="19">
        <f>IF(I3973="","",IFERROR(INDEX(ctaMon,MATCH(E3973,ctaNom,0))&amp;"","DOP"))</f>
        <v/>
      </c>
      <c r="O3973" s="20">
        <f>IF(I3973="","",C3973*IF(N3973="USD",TasaUSD,1))</f>
        <v/>
      </c>
      <c r="P3973" s="20">
        <f>IF(I3973="","",IF(I3973="Gasto",O3973,0))</f>
        <v/>
      </c>
      <c r="Q3973" s="20">
        <f>IF(I3973="","",IF(I3973="Ingreso",O3973,0))</f>
        <v/>
      </c>
      <c r="R3973" s="20">
        <f>IF(I3973="","",IF(I3973="Trading",O3973,0))</f>
        <v/>
      </c>
      <c r="S3973" s="19">
        <f>IF(I3973="","",IF(AND(I3973="Gasto",K3973="Variable",J3973&lt;&gt;"Trading",O3973&gt;0,O3973&lt;=Umbral),1,0))</f>
        <v/>
      </c>
      <c r="T3973" s="20">
        <f>IF(OR(I3973="",E3973=""),"",IF(OR(I3973="Gasto",I3973="Transferencia",I3973="Pago tarjeta"),-1,1)*C3973)</f>
        <v/>
      </c>
      <c r="U3973" s="20">
        <f>IF(OR(G3973="",AND(I3973&lt;&gt;"Transferencia",I3973&lt;&gt;"Pago tarjeta")),"",IF(IFERROR(INDEX(ctaMon,MATCH(G3973,ctaNom,0))&amp;"","DOP")=N3973,C3973,IF(N3973="USD",C3973*TasaUSD,C3973/TasaUSD)))</f>
        <v/>
      </c>
      <c r="V3973" s="20">
        <f>IF(I3973="","",IF(IFERROR(INDEX(ctaLiq,MATCH(E3973,ctaNom,0))="Sí",FALSE),IF(OR(I3973="Gasto",I3973="Transferencia",I3973="Pago tarjeta"),-1,1)*O3973,0)+IF(AND(U3973&lt;&gt;"",IFERROR(INDEX(ctaLiq,MATCH(G3973,ctaNom,0))="Sí",FALSE)),O3973,0))</f>
        <v/>
      </c>
      <c r="W3973" s="19">
        <f>IF(OR(F3973="",I3973=""),"",IF(COUNTIFS(F$6:F3973,F3973,I$6:I3973,"?*")=1,MAX(W$5:W3972)+1,""))</f>
        <v/>
      </c>
    </row>
    <row r="3974">
      <c r="B3974" s="15" t="n"/>
      <c r="C3974" s="16" t="n"/>
      <c r="D3974" s="17" t="n"/>
      <c r="E3974" s="17" t="n"/>
      <c r="F3974" s="17" t="n"/>
      <c r="G3974" s="17" t="n"/>
      <c r="H3974" s="18">
        <f>IF(AND(B3974="",C3974="",D3974="",E3974=""),"",IF(B3974="","⚠ Falta fecha",IF(C3974="","⚠ Falta monto",IF(D3974="","⚠ Falta categoría",IF(ISNA(MATCH(D3974,catNom,0)),"⚠ Categoría no existe",IF(E3974="","⚠ Falta cuenta",IF(ISNA(MATCH(E3974,ctaNom,0)),"⚠ Cuenta no existe",IF(AND(OR(I3974="Transferencia",I3974="Pago tarjeta"),G3974=""),"⚠ Indica la cuenta «Hacia»",IF(AND(G3974&lt;&gt;"",G3974=E3974),"⚠ «Hacia» igual a la cuenta",IF(AND(G3974&lt;&gt;"",ISNA(MATCH(G3974,ctaNom,0))),"⚠ «Hacia» no existe",IF(AND(I3974="Pago tarjeta",IFERROR(INDEX(ctaTipo,MATCH(G3974,ctaNom,0)),"")&lt;&gt;"Tarjeta de crédito"),"⚠ «Hacia» debe ser la tarjeta",IF(AND(I3974="Trading",IFERROR(INDEX(ctaTipo,MATCH(E3974,ctaNom,0)),"")&lt;&gt;"Cuenta de trading"),"⚠ Usa la cuenta de trading","✓"))))))))))))</f>
        <v/>
      </c>
      <c r="I3974" s="19">
        <f>IF(OR(B3974="",C3974="",D3974=""),"",IFERROR(INDEX(catTipo,MATCH(D3974,catNom,0))&amp;"",""))</f>
        <v/>
      </c>
      <c r="J3974" s="19">
        <f>IF(I3974="","",IFERROR(INDEX(catGrupo,MATCH(D3974,catNom,0))&amp;"",""))</f>
        <v/>
      </c>
      <c r="K3974" s="19">
        <f>IF(I3974="Gasto",IF(IFERROR(INDEX(catClas,MATCH(D3974,catNom,0))&amp;"","")="","Variable",IFERROR(INDEX(catClas,MATCH(D3974,catNom,0))&amp;"","")),"")</f>
        <v/>
      </c>
      <c r="L3974" s="19">
        <f>IF(I3974="","",IFERROR(INDEX(catAlim,MATCH(D3974,catNom,0))&amp;"",""))</f>
        <v/>
      </c>
      <c r="M3974" s="19">
        <f>IF(I3974="","",IFERROR(INDEX(catComida,MATCH(D3974,catNom,0))&amp;"",""))</f>
        <v/>
      </c>
      <c r="N3974" s="19">
        <f>IF(I3974="","",IFERROR(INDEX(ctaMon,MATCH(E3974,ctaNom,0))&amp;"","DOP"))</f>
        <v/>
      </c>
      <c r="O3974" s="20">
        <f>IF(I3974="","",C3974*IF(N3974="USD",TasaUSD,1))</f>
        <v/>
      </c>
      <c r="P3974" s="20">
        <f>IF(I3974="","",IF(I3974="Gasto",O3974,0))</f>
        <v/>
      </c>
      <c r="Q3974" s="20">
        <f>IF(I3974="","",IF(I3974="Ingreso",O3974,0))</f>
        <v/>
      </c>
      <c r="R3974" s="20">
        <f>IF(I3974="","",IF(I3974="Trading",O3974,0))</f>
        <v/>
      </c>
      <c r="S3974" s="19">
        <f>IF(I3974="","",IF(AND(I3974="Gasto",K3974="Variable",J3974&lt;&gt;"Trading",O3974&gt;0,O3974&lt;=Umbral),1,0))</f>
        <v/>
      </c>
      <c r="T3974" s="20">
        <f>IF(OR(I3974="",E3974=""),"",IF(OR(I3974="Gasto",I3974="Transferencia",I3974="Pago tarjeta"),-1,1)*C3974)</f>
        <v/>
      </c>
      <c r="U3974" s="20">
        <f>IF(OR(G3974="",AND(I3974&lt;&gt;"Transferencia",I3974&lt;&gt;"Pago tarjeta")),"",IF(IFERROR(INDEX(ctaMon,MATCH(G3974,ctaNom,0))&amp;"","DOP")=N3974,C3974,IF(N3974="USD",C3974*TasaUSD,C3974/TasaUSD)))</f>
        <v/>
      </c>
      <c r="V3974" s="20">
        <f>IF(I3974="","",IF(IFERROR(INDEX(ctaLiq,MATCH(E3974,ctaNom,0))="Sí",FALSE),IF(OR(I3974="Gasto",I3974="Transferencia",I3974="Pago tarjeta"),-1,1)*O3974,0)+IF(AND(U3974&lt;&gt;"",IFERROR(INDEX(ctaLiq,MATCH(G3974,ctaNom,0))="Sí",FALSE)),O3974,0))</f>
        <v/>
      </c>
      <c r="W3974" s="19">
        <f>IF(OR(F3974="",I3974=""),"",IF(COUNTIFS(F$6:F3974,F3974,I$6:I3974,"?*")=1,MAX(W$5:W3973)+1,""))</f>
        <v/>
      </c>
    </row>
    <row r="3975">
      <c r="B3975" s="15" t="n"/>
      <c r="C3975" s="16" t="n"/>
      <c r="D3975" s="17" t="n"/>
      <c r="E3975" s="17" t="n"/>
      <c r="F3975" s="17" t="n"/>
      <c r="G3975" s="17" t="n"/>
      <c r="H3975" s="18">
        <f>IF(AND(B3975="",C3975="",D3975="",E3975=""),"",IF(B3975="","⚠ Falta fecha",IF(C3975="","⚠ Falta monto",IF(D3975="","⚠ Falta categoría",IF(ISNA(MATCH(D3975,catNom,0)),"⚠ Categoría no existe",IF(E3975="","⚠ Falta cuenta",IF(ISNA(MATCH(E3975,ctaNom,0)),"⚠ Cuenta no existe",IF(AND(OR(I3975="Transferencia",I3975="Pago tarjeta"),G3975=""),"⚠ Indica la cuenta «Hacia»",IF(AND(G3975&lt;&gt;"",G3975=E3975),"⚠ «Hacia» igual a la cuenta",IF(AND(G3975&lt;&gt;"",ISNA(MATCH(G3975,ctaNom,0))),"⚠ «Hacia» no existe",IF(AND(I3975="Pago tarjeta",IFERROR(INDEX(ctaTipo,MATCH(G3975,ctaNom,0)),"")&lt;&gt;"Tarjeta de crédito"),"⚠ «Hacia» debe ser la tarjeta",IF(AND(I3975="Trading",IFERROR(INDEX(ctaTipo,MATCH(E3975,ctaNom,0)),"")&lt;&gt;"Cuenta de trading"),"⚠ Usa la cuenta de trading","✓"))))))))))))</f>
        <v/>
      </c>
      <c r="I3975" s="19">
        <f>IF(OR(B3975="",C3975="",D3975=""),"",IFERROR(INDEX(catTipo,MATCH(D3975,catNom,0))&amp;"",""))</f>
        <v/>
      </c>
      <c r="J3975" s="19">
        <f>IF(I3975="","",IFERROR(INDEX(catGrupo,MATCH(D3975,catNom,0))&amp;"",""))</f>
        <v/>
      </c>
      <c r="K3975" s="19">
        <f>IF(I3975="Gasto",IF(IFERROR(INDEX(catClas,MATCH(D3975,catNom,0))&amp;"","")="","Variable",IFERROR(INDEX(catClas,MATCH(D3975,catNom,0))&amp;"","")),"")</f>
        <v/>
      </c>
      <c r="L3975" s="19">
        <f>IF(I3975="","",IFERROR(INDEX(catAlim,MATCH(D3975,catNom,0))&amp;"",""))</f>
        <v/>
      </c>
      <c r="M3975" s="19">
        <f>IF(I3975="","",IFERROR(INDEX(catComida,MATCH(D3975,catNom,0))&amp;"",""))</f>
        <v/>
      </c>
      <c r="N3975" s="19">
        <f>IF(I3975="","",IFERROR(INDEX(ctaMon,MATCH(E3975,ctaNom,0))&amp;"","DOP"))</f>
        <v/>
      </c>
      <c r="O3975" s="20">
        <f>IF(I3975="","",C3975*IF(N3975="USD",TasaUSD,1))</f>
        <v/>
      </c>
      <c r="P3975" s="20">
        <f>IF(I3975="","",IF(I3975="Gasto",O3975,0))</f>
        <v/>
      </c>
      <c r="Q3975" s="20">
        <f>IF(I3975="","",IF(I3975="Ingreso",O3975,0))</f>
        <v/>
      </c>
      <c r="R3975" s="20">
        <f>IF(I3975="","",IF(I3975="Trading",O3975,0))</f>
        <v/>
      </c>
      <c r="S3975" s="19">
        <f>IF(I3975="","",IF(AND(I3975="Gasto",K3975="Variable",J3975&lt;&gt;"Trading",O3975&gt;0,O3975&lt;=Umbral),1,0))</f>
        <v/>
      </c>
      <c r="T3975" s="20">
        <f>IF(OR(I3975="",E3975=""),"",IF(OR(I3975="Gasto",I3975="Transferencia",I3975="Pago tarjeta"),-1,1)*C3975)</f>
        <v/>
      </c>
      <c r="U3975" s="20">
        <f>IF(OR(G3975="",AND(I3975&lt;&gt;"Transferencia",I3975&lt;&gt;"Pago tarjeta")),"",IF(IFERROR(INDEX(ctaMon,MATCH(G3975,ctaNom,0))&amp;"","DOP")=N3975,C3975,IF(N3975="USD",C3975*TasaUSD,C3975/TasaUSD)))</f>
        <v/>
      </c>
      <c r="V3975" s="20">
        <f>IF(I3975="","",IF(IFERROR(INDEX(ctaLiq,MATCH(E3975,ctaNom,0))="Sí",FALSE),IF(OR(I3975="Gasto",I3975="Transferencia",I3975="Pago tarjeta"),-1,1)*O3975,0)+IF(AND(U3975&lt;&gt;"",IFERROR(INDEX(ctaLiq,MATCH(G3975,ctaNom,0))="Sí",FALSE)),O3975,0))</f>
        <v/>
      </c>
      <c r="W3975" s="19">
        <f>IF(OR(F3975="",I3975=""),"",IF(COUNTIFS(F$6:F3975,F3975,I$6:I3975,"?*")=1,MAX(W$5:W3974)+1,""))</f>
        <v/>
      </c>
    </row>
    <row r="3976">
      <c r="B3976" s="15" t="n"/>
      <c r="C3976" s="16" t="n"/>
      <c r="D3976" s="17" t="n"/>
      <c r="E3976" s="17" t="n"/>
      <c r="F3976" s="17" t="n"/>
      <c r="G3976" s="17" t="n"/>
      <c r="H3976" s="18">
        <f>IF(AND(B3976="",C3976="",D3976="",E3976=""),"",IF(B3976="","⚠ Falta fecha",IF(C3976="","⚠ Falta monto",IF(D3976="","⚠ Falta categoría",IF(ISNA(MATCH(D3976,catNom,0)),"⚠ Categoría no existe",IF(E3976="","⚠ Falta cuenta",IF(ISNA(MATCH(E3976,ctaNom,0)),"⚠ Cuenta no existe",IF(AND(OR(I3976="Transferencia",I3976="Pago tarjeta"),G3976=""),"⚠ Indica la cuenta «Hacia»",IF(AND(G3976&lt;&gt;"",G3976=E3976),"⚠ «Hacia» igual a la cuenta",IF(AND(G3976&lt;&gt;"",ISNA(MATCH(G3976,ctaNom,0))),"⚠ «Hacia» no existe",IF(AND(I3976="Pago tarjeta",IFERROR(INDEX(ctaTipo,MATCH(G3976,ctaNom,0)),"")&lt;&gt;"Tarjeta de crédito"),"⚠ «Hacia» debe ser la tarjeta",IF(AND(I3976="Trading",IFERROR(INDEX(ctaTipo,MATCH(E3976,ctaNom,0)),"")&lt;&gt;"Cuenta de trading"),"⚠ Usa la cuenta de trading","✓"))))))))))))</f>
        <v/>
      </c>
      <c r="I3976" s="19">
        <f>IF(OR(B3976="",C3976="",D3976=""),"",IFERROR(INDEX(catTipo,MATCH(D3976,catNom,0))&amp;"",""))</f>
        <v/>
      </c>
      <c r="J3976" s="19">
        <f>IF(I3976="","",IFERROR(INDEX(catGrupo,MATCH(D3976,catNom,0))&amp;"",""))</f>
        <v/>
      </c>
      <c r="K3976" s="19">
        <f>IF(I3976="Gasto",IF(IFERROR(INDEX(catClas,MATCH(D3976,catNom,0))&amp;"","")="","Variable",IFERROR(INDEX(catClas,MATCH(D3976,catNom,0))&amp;"","")),"")</f>
        <v/>
      </c>
      <c r="L3976" s="19">
        <f>IF(I3976="","",IFERROR(INDEX(catAlim,MATCH(D3976,catNom,0))&amp;"",""))</f>
        <v/>
      </c>
      <c r="M3976" s="19">
        <f>IF(I3976="","",IFERROR(INDEX(catComida,MATCH(D3976,catNom,0))&amp;"",""))</f>
        <v/>
      </c>
      <c r="N3976" s="19">
        <f>IF(I3976="","",IFERROR(INDEX(ctaMon,MATCH(E3976,ctaNom,0))&amp;"","DOP"))</f>
        <v/>
      </c>
      <c r="O3976" s="20">
        <f>IF(I3976="","",C3976*IF(N3976="USD",TasaUSD,1))</f>
        <v/>
      </c>
      <c r="P3976" s="20">
        <f>IF(I3976="","",IF(I3976="Gasto",O3976,0))</f>
        <v/>
      </c>
      <c r="Q3976" s="20">
        <f>IF(I3976="","",IF(I3976="Ingreso",O3976,0))</f>
        <v/>
      </c>
      <c r="R3976" s="20">
        <f>IF(I3976="","",IF(I3976="Trading",O3976,0))</f>
        <v/>
      </c>
      <c r="S3976" s="19">
        <f>IF(I3976="","",IF(AND(I3976="Gasto",K3976="Variable",J3976&lt;&gt;"Trading",O3976&gt;0,O3976&lt;=Umbral),1,0))</f>
        <v/>
      </c>
      <c r="T3976" s="20">
        <f>IF(OR(I3976="",E3976=""),"",IF(OR(I3976="Gasto",I3976="Transferencia",I3976="Pago tarjeta"),-1,1)*C3976)</f>
        <v/>
      </c>
      <c r="U3976" s="20">
        <f>IF(OR(G3976="",AND(I3976&lt;&gt;"Transferencia",I3976&lt;&gt;"Pago tarjeta")),"",IF(IFERROR(INDEX(ctaMon,MATCH(G3976,ctaNom,0))&amp;"","DOP")=N3976,C3976,IF(N3976="USD",C3976*TasaUSD,C3976/TasaUSD)))</f>
        <v/>
      </c>
      <c r="V3976" s="20">
        <f>IF(I3976="","",IF(IFERROR(INDEX(ctaLiq,MATCH(E3976,ctaNom,0))="Sí",FALSE),IF(OR(I3976="Gasto",I3976="Transferencia",I3976="Pago tarjeta"),-1,1)*O3976,0)+IF(AND(U3976&lt;&gt;"",IFERROR(INDEX(ctaLiq,MATCH(G3976,ctaNom,0))="Sí",FALSE)),O3976,0))</f>
        <v/>
      </c>
      <c r="W3976" s="19">
        <f>IF(OR(F3976="",I3976=""),"",IF(COUNTIFS(F$6:F3976,F3976,I$6:I3976,"?*")=1,MAX(W$5:W3975)+1,""))</f>
        <v/>
      </c>
    </row>
    <row r="3977">
      <c r="B3977" s="15" t="n"/>
      <c r="C3977" s="16" t="n"/>
      <c r="D3977" s="17" t="n"/>
      <c r="E3977" s="17" t="n"/>
      <c r="F3977" s="17" t="n"/>
      <c r="G3977" s="17" t="n"/>
      <c r="H3977" s="18">
        <f>IF(AND(B3977="",C3977="",D3977="",E3977=""),"",IF(B3977="","⚠ Falta fecha",IF(C3977="","⚠ Falta monto",IF(D3977="","⚠ Falta categoría",IF(ISNA(MATCH(D3977,catNom,0)),"⚠ Categoría no existe",IF(E3977="","⚠ Falta cuenta",IF(ISNA(MATCH(E3977,ctaNom,0)),"⚠ Cuenta no existe",IF(AND(OR(I3977="Transferencia",I3977="Pago tarjeta"),G3977=""),"⚠ Indica la cuenta «Hacia»",IF(AND(G3977&lt;&gt;"",G3977=E3977),"⚠ «Hacia» igual a la cuenta",IF(AND(G3977&lt;&gt;"",ISNA(MATCH(G3977,ctaNom,0))),"⚠ «Hacia» no existe",IF(AND(I3977="Pago tarjeta",IFERROR(INDEX(ctaTipo,MATCH(G3977,ctaNom,0)),"")&lt;&gt;"Tarjeta de crédito"),"⚠ «Hacia» debe ser la tarjeta",IF(AND(I3977="Trading",IFERROR(INDEX(ctaTipo,MATCH(E3977,ctaNom,0)),"")&lt;&gt;"Cuenta de trading"),"⚠ Usa la cuenta de trading","✓"))))))))))))</f>
        <v/>
      </c>
      <c r="I3977" s="19">
        <f>IF(OR(B3977="",C3977="",D3977=""),"",IFERROR(INDEX(catTipo,MATCH(D3977,catNom,0))&amp;"",""))</f>
        <v/>
      </c>
      <c r="J3977" s="19">
        <f>IF(I3977="","",IFERROR(INDEX(catGrupo,MATCH(D3977,catNom,0))&amp;"",""))</f>
        <v/>
      </c>
      <c r="K3977" s="19">
        <f>IF(I3977="Gasto",IF(IFERROR(INDEX(catClas,MATCH(D3977,catNom,0))&amp;"","")="","Variable",IFERROR(INDEX(catClas,MATCH(D3977,catNom,0))&amp;"","")),"")</f>
        <v/>
      </c>
      <c r="L3977" s="19">
        <f>IF(I3977="","",IFERROR(INDEX(catAlim,MATCH(D3977,catNom,0))&amp;"",""))</f>
        <v/>
      </c>
      <c r="M3977" s="19">
        <f>IF(I3977="","",IFERROR(INDEX(catComida,MATCH(D3977,catNom,0))&amp;"",""))</f>
        <v/>
      </c>
      <c r="N3977" s="19">
        <f>IF(I3977="","",IFERROR(INDEX(ctaMon,MATCH(E3977,ctaNom,0))&amp;"","DOP"))</f>
        <v/>
      </c>
      <c r="O3977" s="20">
        <f>IF(I3977="","",C3977*IF(N3977="USD",TasaUSD,1))</f>
        <v/>
      </c>
      <c r="P3977" s="20">
        <f>IF(I3977="","",IF(I3977="Gasto",O3977,0))</f>
        <v/>
      </c>
      <c r="Q3977" s="20">
        <f>IF(I3977="","",IF(I3977="Ingreso",O3977,0))</f>
        <v/>
      </c>
      <c r="R3977" s="20">
        <f>IF(I3977="","",IF(I3977="Trading",O3977,0))</f>
        <v/>
      </c>
      <c r="S3977" s="19">
        <f>IF(I3977="","",IF(AND(I3977="Gasto",K3977="Variable",J3977&lt;&gt;"Trading",O3977&gt;0,O3977&lt;=Umbral),1,0))</f>
        <v/>
      </c>
      <c r="T3977" s="20">
        <f>IF(OR(I3977="",E3977=""),"",IF(OR(I3977="Gasto",I3977="Transferencia",I3977="Pago tarjeta"),-1,1)*C3977)</f>
        <v/>
      </c>
      <c r="U3977" s="20">
        <f>IF(OR(G3977="",AND(I3977&lt;&gt;"Transferencia",I3977&lt;&gt;"Pago tarjeta")),"",IF(IFERROR(INDEX(ctaMon,MATCH(G3977,ctaNom,0))&amp;"","DOP")=N3977,C3977,IF(N3977="USD",C3977*TasaUSD,C3977/TasaUSD)))</f>
        <v/>
      </c>
      <c r="V3977" s="20">
        <f>IF(I3977="","",IF(IFERROR(INDEX(ctaLiq,MATCH(E3977,ctaNom,0))="Sí",FALSE),IF(OR(I3977="Gasto",I3977="Transferencia",I3977="Pago tarjeta"),-1,1)*O3977,0)+IF(AND(U3977&lt;&gt;"",IFERROR(INDEX(ctaLiq,MATCH(G3977,ctaNom,0))="Sí",FALSE)),O3977,0))</f>
        <v/>
      </c>
      <c r="W3977" s="19">
        <f>IF(OR(F3977="",I3977=""),"",IF(COUNTIFS(F$6:F3977,F3977,I$6:I3977,"?*")=1,MAX(W$5:W3976)+1,""))</f>
        <v/>
      </c>
    </row>
    <row r="3978">
      <c r="B3978" s="15" t="n"/>
      <c r="C3978" s="16" t="n"/>
      <c r="D3978" s="17" t="n"/>
      <c r="E3978" s="17" t="n"/>
      <c r="F3978" s="17" t="n"/>
      <c r="G3978" s="17" t="n"/>
      <c r="H3978" s="18">
        <f>IF(AND(B3978="",C3978="",D3978="",E3978=""),"",IF(B3978="","⚠ Falta fecha",IF(C3978="","⚠ Falta monto",IF(D3978="","⚠ Falta categoría",IF(ISNA(MATCH(D3978,catNom,0)),"⚠ Categoría no existe",IF(E3978="","⚠ Falta cuenta",IF(ISNA(MATCH(E3978,ctaNom,0)),"⚠ Cuenta no existe",IF(AND(OR(I3978="Transferencia",I3978="Pago tarjeta"),G3978=""),"⚠ Indica la cuenta «Hacia»",IF(AND(G3978&lt;&gt;"",G3978=E3978),"⚠ «Hacia» igual a la cuenta",IF(AND(G3978&lt;&gt;"",ISNA(MATCH(G3978,ctaNom,0))),"⚠ «Hacia» no existe",IF(AND(I3978="Pago tarjeta",IFERROR(INDEX(ctaTipo,MATCH(G3978,ctaNom,0)),"")&lt;&gt;"Tarjeta de crédito"),"⚠ «Hacia» debe ser la tarjeta",IF(AND(I3978="Trading",IFERROR(INDEX(ctaTipo,MATCH(E3978,ctaNom,0)),"")&lt;&gt;"Cuenta de trading"),"⚠ Usa la cuenta de trading","✓"))))))))))))</f>
        <v/>
      </c>
      <c r="I3978" s="19">
        <f>IF(OR(B3978="",C3978="",D3978=""),"",IFERROR(INDEX(catTipo,MATCH(D3978,catNom,0))&amp;"",""))</f>
        <v/>
      </c>
      <c r="J3978" s="19">
        <f>IF(I3978="","",IFERROR(INDEX(catGrupo,MATCH(D3978,catNom,0))&amp;"",""))</f>
        <v/>
      </c>
      <c r="K3978" s="19">
        <f>IF(I3978="Gasto",IF(IFERROR(INDEX(catClas,MATCH(D3978,catNom,0))&amp;"","")="","Variable",IFERROR(INDEX(catClas,MATCH(D3978,catNom,0))&amp;"","")),"")</f>
        <v/>
      </c>
      <c r="L3978" s="19">
        <f>IF(I3978="","",IFERROR(INDEX(catAlim,MATCH(D3978,catNom,0))&amp;"",""))</f>
        <v/>
      </c>
      <c r="M3978" s="19">
        <f>IF(I3978="","",IFERROR(INDEX(catComida,MATCH(D3978,catNom,0))&amp;"",""))</f>
        <v/>
      </c>
      <c r="N3978" s="19">
        <f>IF(I3978="","",IFERROR(INDEX(ctaMon,MATCH(E3978,ctaNom,0))&amp;"","DOP"))</f>
        <v/>
      </c>
      <c r="O3978" s="20">
        <f>IF(I3978="","",C3978*IF(N3978="USD",TasaUSD,1))</f>
        <v/>
      </c>
      <c r="P3978" s="20">
        <f>IF(I3978="","",IF(I3978="Gasto",O3978,0))</f>
        <v/>
      </c>
      <c r="Q3978" s="20">
        <f>IF(I3978="","",IF(I3978="Ingreso",O3978,0))</f>
        <v/>
      </c>
      <c r="R3978" s="20">
        <f>IF(I3978="","",IF(I3978="Trading",O3978,0))</f>
        <v/>
      </c>
      <c r="S3978" s="19">
        <f>IF(I3978="","",IF(AND(I3978="Gasto",K3978="Variable",J3978&lt;&gt;"Trading",O3978&gt;0,O3978&lt;=Umbral),1,0))</f>
        <v/>
      </c>
      <c r="T3978" s="20">
        <f>IF(OR(I3978="",E3978=""),"",IF(OR(I3978="Gasto",I3978="Transferencia",I3978="Pago tarjeta"),-1,1)*C3978)</f>
        <v/>
      </c>
      <c r="U3978" s="20">
        <f>IF(OR(G3978="",AND(I3978&lt;&gt;"Transferencia",I3978&lt;&gt;"Pago tarjeta")),"",IF(IFERROR(INDEX(ctaMon,MATCH(G3978,ctaNom,0))&amp;"","DOP")=N3978,C3978,IF(N3978="USD",C3978*TasaUSD,C3978/TasaUSD)))</f>
        <v/>
      </c>
      <c r="V3978" s="20">
        <f>IF(I3978="","",IF(IFERROR(INDEX(ctaLiq,MATCH(E3978,ctaNom,0))="Sí",FALSE),IF(OR(I3978="Gasto",I3978="Transferencia",I3978="Pago tarjeta"),-1,1)*O3978,0)+IF(AND(U3978&lt;&gt;"",IFERROR(INDEX(ctaLiq,MATCH(G3978,ctaNom,0))="Sí",FALSE)),O3978,0))</f>
        <v/>
      </c>
      <c r="W3978" s="19">
        <f>IF(OR(F3978="",I3978=""),"",IF(COUNTIFS(F$6:F3978,F3978,I$6:I3978,"?*")=1,MAX(W$5:W3977)+1,""))</f>
        <v/>
      </c>
    </row>
    <row r="3979">
      <c r="B3979" s="15" t="n"/>
      <c r="C3979" s="16" t="n"/>
      <c r="D3979" s="17" t="n"/>
      <c r="E3979" s="17" t="n"/>
      <c r="F3979" s="17" t="n"/>
      <c r="G3979" s="17" t="n"/>
      <c r="H3979" s="18">
        <f>IF(AND(B3979="",C3979="",D3979="",E3979=""),"",IF(B3979="","⚠ Falta fecha",IF(C3979="","⚠ Falta monto",IF(D3979="","⚠ Falta categoría",IF(ISNA(MATCH(D3979,catNom,0)),"⚠ Categoría no existe",IF(E3979="","⚠ Falta cuenta",IF(ISNA(MATCH(E3979,ctaNom,0)),"⚠ Cuenta no existe",IF(AND(OR(I3979="Transferencia",I3979="Pago tarjeta"),G3979=""),"⚠ Indica la cuenta «Hacia»",IF(AND(G3979&lt;&gt;"",G3979=E3979),"⚠ «Hacia» igual a la cuenta",IF(AND(G3979&lt;&gt;"",ISNA(MATCH(G3979,ctaNom,0))),"⚠ «Hacia» no existe",IF(AND(I3979="Pago tarjeta",IFERROR(INDEX(ctaTipo,MATCH(G3979,ctaNom,0)),"")&lt;&gt;"Tarjeta de crédito"),"⚠ «Hacia» debe ser la tarjeta",IF(AND(I3979="Trading",IFERROR(INDEX(ctaTipo,MATCH(E3979,ctaNom,0)),"")&lt;&gt;"Cuenta de trading"),"⚠ Usa la cuenta de trading","✓"))))))))))))</f>
        <v/>
      </c>
      <c r="I3979" s="19">
        <f>IF(OR(B3979="",C3979="",D3979=""),"",IFERROR(INDEX(catTipo,MATCH(D3979,catNom,0))&amp;"",""))</f>
        <v/>
      </c>
      <c r="J3979" s="19">
        <f>IF(I3979="","",IFERROR(INDEX(catGrupo,MATCH(D3979,catNom,0))&amp;"",""))</f>
        <v/>
      </c>
      <c r="K3979" s="19">
        <f>IF(I3979="Gasto",IF(IFERROR(INDEX(catClas,MATCH(D3979,catNom,0))&amp;"","")="","Variable",IFERROR(INDEX(catClas,MATCH(D3979,catNom,0))&amp;"","")),"")</f>
        <v/>
      </c>
      <c r="L3979" s="19">
        <f>IF(I3979="","",IFERROR(INDEX(catAlim,MATCH(D3979,catNom,0))&amp;"",""))</f>
        <v/>
      </c>
      <c r="M3979" s="19">
        <f>IF(I3979="","",IFERROR(INDEX(catComida,MATCH(D3979,catNom,0))&amp;"",""))</f>
        <v/>
      </c>
      <c r="N3979" s="19">
        <f>IF(I3979="","",IFERROR(INDEX(ctaMon,MATCH(E3979,ctaNom,0))&amp;"","DOP"))</f>
        <v/>
      </c>
      <c r="O3979" s="20">
        <f>IF(I3979="","",C3979*IF(N3979="USD",TasaUSD,1))</f>
        <v/>
      </c>
      <c r="P3979" s="20">
        <f>IF(I3979="","",IF(I3979="Gasto",O3979,0))</f>
        <v/>
      </c>
      <c r="Q3979" s="20">
        <f>IF(I3979="","",IF(I3979="Ingreso",O3979,0))</f>
        <v/>
      </c>
      <c r="R3979" s="20">
        <f>IF(I3979="","",IF(I3979="Trading",O3979,0))</f>
        <v/>
      </c>
      <c r="S3979" s="19">
        <f>IF(I3979="","",IF(AND(I3979="Gasto",K3979="Variable",J3979&lt;&gt;"Trading",O3979&gt;0,O3979&lt;=Umbral),1,0))</f>
        <v/>
      </c>
      <c r="T3979" s="20">
        <f>IF(OR(I3979="",E3979=""),"",IF(OR(I3979="Gasto",I3979="Transferencia",I3979="Pago tarjeta"),-1,1)*C3979)</f>
        <v/>
      </c>
      <c r="U3979" s="20">
        <f>IF(OR(G3979="",AND(I3979&lt;&gt;"Transferencia",I3979&lt;&gt;"Pago tarjeta")),"",IF(IFERROR(INDEX(ctaMon,MATCH(G3979,ctaNom,0))&amp;"","DOP")=N3979,C3979,IF(N3979="USD",C3979*TasaUSD,C3979/TasaUSD)))</f>
        <v/>
      </c>
      <c r="V3979" s="20">
        <f>IF(I3979="","",IF(IFERROR(INDEX(ctaLiq,MATCH(E3979,ctaNom,0))="Sí",FALSE),IF(OR(I3979="Gasto",I3979="Transferencia",I3979="Pago tarjeta"),-1,1)*O3979,0)+IF(AND(U3979&lt;&gt;"",IFERROR(INDEX(ctaLiq,MATCH(G3979,ctaNom,0))="Sí",FALSE)),O3979,0))</f>
        <v/>
      </c>
      <c r="W3979" s="19">
        <f>IF(OR(F3979="",I3979=""),"",IF(COUNTIFS(F$6:F3979,F3979,I$6:I3979,"?*")=1,MAX(W$5:W3978)+1,""))</f>
        <v/>
      </c>
    </row>
    <row r="3980">
      <c r="B3980" s="15" t="n"/>
      <c r="C3980" s="16" t="n"/>
      <c r="D3980" s="17" t="n"/>
      <c r="E3980" s="17" t="n"/>
      <c r="F3980" s="17" t="n"/>
      <c r="G3980" s="17" t="n"/>
      <c r="H3980" s="18">
        <f>IF(AND(B3980="",C3980="",D3980="",E3980=""),"",IF(B3980="","⚠ Falta fecha",IF(C3980="","⚠ Falta monto",IF(D3980="","⚠ Falta categoría",IF(ISNA(MATCH(D3980,catNom,0)),"⚠ Categoría no existe",IF(E3980="","⚠ Falta cuenta",IF(ISNA(MATCH(E3980,ctaNom,0)),"⚠ Cuenta no existe",IF(AND(OR(I3980="Transferencia",I3980="Pago tarjeta"),G3980=""),"⚠ Indica la cuenta «Hacia»",IF(AND(G3980&lt;&gt;"",G3980=E3980),"⚠ «Hacia» igual a la cuenta",IF(AND(G3980&lt;&gt;"",ISNA(MATCH(G3980,ctaNom,0))),"⚠ «Hacia» no existe",IF(AND(I3980="Pago tarjeta",IFERROR(INDEX(ctaTipo,MATCH(G3980,ctaNom,0)),"")&lt;&gt;"Tarjeta de crédito"),"⚠ «Hacia» debe ser la tarjeta",IF(AND(I3980="Trading",IFERROR(INDEX(ctaTipo,MATCH(E3980,ctaNom,0)),"")&lt;&gt;"Cuenta de trading"),"⚠ Usa la cuenta de trading","✓"))))))))))))</f>
        <v/>
      </c>
      <c r="I3980" s="19">
        <f>IF(OR(B3980="",C3980="",D3980=""),"",IFERROR(INDEX(catTipo,MATCH(D3980,catNom,0))&amp;"",""))</f>
        <v/>
      </c>
      <c r="J3980" s="19">
        <f>IF(I3980="","",IFERROR(INDEX(catGrupo,MATCH(D3980,catNom,0))&amp;"",""))</f>
        <v/>
      </c>
      <c r="K3980" s="19">
        <f>IF(I3980="Gasto",IF(IFERROR(INDEX(catClas,MATCH(D3980,catNom,0))&amp;"","")="","Variable",IFERROR(INDEX(catClas,MATCH(D3980,catNom,0))&amp;"","")),"")</f>
        <v/>
      </c>
      <c r="L3980" s="19">
        <f>IF(I3980="","",IFERROR(INDEX(catAlim,MATCH(D3980,catNom,0))&amp;"",""))</f>
        <v/>
      </c>
      <c r="M3980" s="19">
        <f>IF(I3980="","",IFERROR(INDEX(catComida,MATCH(D3980,catNom,0))&amp;"",""))</f>
        <v/>
      </c>
      <c r="N3980" s="19">
        <f>IF(I3980="","",IFERROR(INDEX(ctaMon,MATCH(E3980,ctaNom,0))&amp;"","DOP"))</f>
        <v/>
      </c>
      <c r="O3980" s="20">
        <f>IF(I3980="","",C3980*IF(N3980="USD",TasaUSD,1))</f>
        <v/>
      </c>
      <c r="P3980" s="20">
        <f>IF(I3980="","",IF(I3980="Gasto",O3980,0))</f>
        <v/>
      </c>
      <c r="Q3980" s="20">
        <f>IF(I3980="","",IF(I3980="Ingreso",O3980,0))</f>
        <v/>
      </c>
      <c r="R3980" s="20">
        <f>IF(I3980="","",IF(I3980="Trading",O3980,0))</f>
        <v/>
      </c>
      <c r="S3980" s="19">
        <f>IF(I3980="","",IF(AND(I3980="Gasto",K3980="Variable",J3980&lt;&gt;"Trading",O3980&gt;0,O3980&lt;=Umbral),1,0))</f>
        <v/>
      </c>
      <c r="T3980" s="20">
        <f>IF(OR(I3980="",E3980=""),"",IF(OR(I3980="Gasto",I3980="Transferencia",I3980="Pago tarjeta"),-1,1)*C3980)</f>
        <v/>
      </c>
      <c r="U3980" s="20">
        <f>IF(OR(G3980="",AND(I3980&lt;&gt;"Transferencia",I3980&lt;&gt;"Pago tarjeta")),"",IF(IFERROR(INDEX(ctaMon,MATCH(G3980,ctaNom,0))&amp;"","DOP")=N3980,C3980,IF(N3980="USD",C3980*TasaUSD,C3980/TasaUSD)))</f>
        <v/>
      </c>
      <c r="V3980" s="20">
        <f>IF(I3980="","",IF(IFERROR(INDEX(ctaLiq,MATCH(E3980,ctaNom,0))="Sí",FALSE),IF(OR(I3980="Gasto",I3980="Transferencia",I3980="Pago tarjeta"),-1,1)*O3980,0)+IF(AND(U3980&lt;&gt;"",IFERROR(INDEX(ctaLiq,MATCH(G3980,ctaNom,0))="Sí",FALSE)),O3980,0))</f>
        <v/>
      </c>
      <c r="W3980" s="19">
        <f>IF(OR(F3980="",I3980=""),"",IF(COUNTIFS(F$6:F3980,F3980,I$6:I3980,"?*")=1,MAX(W$5:W3979)+1,""))</f>
        <v/>
      </c>
    </row>
    <row r="3981">
      <c r="B3981" s="15" t="n"/>
      <c r="C3981" s="16" t="n"/>
      <c r="D3981" s="17" t="n"/>
      <c r="E3981" s="17" t="n"/>
      <c r="F3981" s="17" t="n"/>
      <c r="G3981" s="17" t="n"/>
      <c r="H3981" s="18">
        <f>IF(AND(B3981="",C3981="",D3981="",E3981=""),"",IF(B3981="","⚠ Falta fecha",IF(C3981="","⚠ Falta monto",IF(D3981="","⚠ Falta categoría",IF(ISNA(MATCH(D3981,catNom,0)),"⚠ Categoría no existe",IF(E3981="","⚠ Falta cuenta",IF(ISNA(MATCH(E3981,ctaNom,0)),"⚠ Cuenta no existe",IF(AND(OR(I3981="Transferencia",I3981="Pago tarjeta"),G3981=""),"⚠ Indica la cuenta «Hacia»",IF(AND(G3981&lt;&gt;"",G3981=E3981),"⚠ «Hacia» igual a la cuenta",IF(AND(G3981&lt;&gt;"",ISNA(MATCH(G3981,ctaNom,0))),"⚠ «Hacia» no existe",IF(AND(I3981="Pago tarjeta",IFERROR(INDEX(ctaTipo,MATCH(G3981,ctaNom,0)),"")&lt;&gt;"Tarjeta de crédito"),"⚠ «Hacia» debe ser la tarjeta",IF(AND(I3981="Trading",IFERROR(INDEX(ctaTipo,MATCH(E3981,ctaNom,0)),"")&lt;&gt;"Cuenta de trading"),"⚠ Usa la cuenta de trading","✓"))))))))))))</f>
        <v/>
      </c>
      <c r="I3981" s="19">
        <f>IF(OR(B3981="",C3981="",D3981=""),"",IFERROR(INDEX(catTipo,MATCH(D3981,catNom,0))&amp;"",""))</f>
        <v/>
      </c>
      <c r="J3981" s="19">
        <f>IF(I3981="","",IFERROR(INDEX(catGrupo,MATCH(D3981,catNom,0))&amp;"",""))</f>
        <v/>
      </c>
      <c r="K3981" s="19">
        <f>IF(I3981="Gasto",IF(IFERROR(INDEX(catClas,MATCH(D3981,catNom,0))&amp;"","")="","Variable",IFERROR(INDEX(catClas,MATCH(D3981,catNom,0))&amp;"","")),"")</f>
        <v/>
      </c>
      <c r="L3981" s="19">
        <f>IF(I3981="","",IFERROR(INDEX(catAlim,MATCH(D3981,catNom,0))&amp;"",""))</f>
        <v/>
      </c>
      <c r="M3981" s="19">
        <f>IF(I3981="","",IFERROR(INDEX(catComida,MATCH(D3981,catNom,0))&amp;"",""))</f>
        <v/>
      </c>
      <c r="N3981" s="19">
        <f>IF(I3981="","",IFERROR(INDEX(ctaMon,MATCH(E3981,ctaNom,0))&amp;"","DOP"))</f>
        <v/>
      </c>
      <c r="O3981" s="20">
        <f>IF(I3981="","",C3981*IF(N3981="USD",TasaUSD,1))</f>
        <v/>
      </c>
      <c r="P3981" s="20">
        <f>IF(I3981="","",IF(I3981="Gasto",O3981,0))</f>
        <v/>
      </c>
      <c r="Q3981" s="20">
        <f>IF(I3981="","",IF(I3981="Ingreso",O3981,0))</f>
        <v/>
      </c>
      <c r="R3981" s="20">
        <f>IF(I3981="","",IF(I3981="Trading",O3981,0))</f>
        <v/>
      </c>
      <c r="S3981" s="19">
        <f>IF(I3981="","",IF(AND(I3981="Gasto",K3981="Variable",J3981&lt;&gt;"Trading",O3981&gt;0,O3981&lt;=Umbral),1,0))</f>
        <v/>
      </c>
      <c r="T3981" s="20">
        <f>IF(OR(I3981="",E3981=""),"",IF(OR(I3981="Gasto",I3981="Transferencia",I3981="Pago tarjeta"),-1,1)*C3981)</f>
        <v/>
      </c>
      <c r="U3981" s="20">
        <f>IF(OR(G3981="",AND(I3981&lt;&gt;"Transferencia",I3981&lt;&gt;"Pago tarjeta")),"",IF(IFERROR(INDEX(ctaMon,MATCH(G3981,ctaNom,0))&amp;"","DOP")=N3981,C3981,IF(N3981="USD",C3981*TasaUSD,C3981/TasaUSD)))</f>
        <v/>
      </c>
      <c r="V3981" s="20">
        <f>IF(I3981="","",IF(IFERROR(INDEX(ctaLiq,MATCH(E3981,ctaNom,0))="Sí",FALSE),IF(OR(I3981="Gasto",I3981="Transferencia",I3981="Pago tarjeta"),-1,1)*O3981,0)+IF(AND(U3981&lt;&gt;"",IFERROR(INDEX(ctaLiq,MATCH(G3981,ctaNom,0))="Sí",FALSE)),O3981,0))</f>
        <v/>
      </c>
      <c r="W3981" s="19">
        <f>IF(OR(F3981="",I3981=""),"",IF(COUNTIFS(F$6:F3981,F3981,I$6:I3981,"?*")=1,MAX(W$5:W3980)+1,""))</f>
        <v/>
      </c>
    </row>
    <row r="3982">
      <c r="B3982" s="15" t="n"/>
      <c r="C3982" s="16" t="n"/>
      <c r="D3982" s="17" t="n"/>
      <c r="E3982" s="17" t="n"/>
      <c r="F3982" s="17" t="n"/>
      <c r="G3982" s="17" t="n"/>
      <c r="H3982" s="18">
        <f>IF(AND(B3982="",C3982="",D3982="",E3982=""),"",IF(B3982="","⚠ Falta fecha",IF(C3982="","⚠ Falta monto",IF(D3982="","⚠ Falta categoría",IF(ISNA(MATCH(D3982,catNom,0)),"⚠ Categoría no existe",IF(E3982="","⚠ Falta cuenta",IF(ISNA(MATCH(E3982,ctaNom,0)),"⚠ Cuenta no existe",IF(AND(OR(I3982="Transferencia",I3982="Pago tarjeta"),G3982=""),"⚠ Indica la cuenta «Hacia»",IF(AND(G3982&lt;&gt;"",G3982=E3982),"⚠ «Hacia» igual a la cuenta",IF(AND(G3982&lt;&gt;"",ISNA(MATCH(G3982,ctaNom,0))),"⚠ «Hacia» no existe",IF(AND(I3982="Pago tarjeta",IFERROR(INDEX(ctaTipo,MATCH(G3982,ctaNom,0)),"")&lt;&gt;"Tarjeta de crédito"),"⚠ «Hacia» debe ser la tarjeta",IF(AND(I3982="Trading",IFERROR(INDEX(ctaTipo,MATCH(E3982,ctaNom,0)),"")&lt;&gt;"Cuenta de trading"),"⚠ Usa la cuenta de trading","✓"))))))))))))</f>
        <v/>
      </c>
      <c r="I3982" s="19">
        <f>IF(OR(B3982="",C3982="",D3982=""),"",IFERROR(INDEX(catTipo,MATCH(D3982,catNom,0))&amp;"",""))</f>
        <v/>
      </c>
      <c r="J3982" s="19">
        <f>IF(I3982="","",IFERROR(INDEX(catGrupo,MATCH(D3982,catNom,0))&amp;"",""))</f>
        <v/>
      </c>
      <c r="K3982" s="19">
        <f>IF(I3982="Gasto",IF(IFERROR(INDEX(catClas,MATCH(D3982,catNom,0))&amp;"","")="","Variable",IFERROR(INDEX(catClas,MATCH(D3982,catNom,0))&amp;"","")),"")</f>
        <v/>
      </c>
      <c r="L3982" s="19">
        <f>IF(I3982="","",IFERROR(INDEX(catAlim,MATCH(D3982,catNom,0))&amp;"",""))</f>
        <v/>
      </c>
      <c r="M3982" s="19">
        <f>IF(I3982="","",IFERROR(INDEX(catComida,MATCH(D3982,catNom,0))&amp;"",""))</f>
        <v/>
      </c>
      <c r="N3982" s="19">
        <f>IF(I3982="","",IFERROR(INDEX(ctaMon,MATCH(E3982,ctaNom,0))&amp;"","DOP"))</f>
        <v/>
      </c>
      <c r="O3982" s="20">
        <f>IF(I3982="","",C3982*IF(N3982="USD",TasaUSD,1))</f>
        <v/>
      </c>
      <c r="P3982" s="20">
        <f>IF(I3982="","",IF(I3982="Gasto",O3982,0))</f>
        <v/>
      </c>
      <c r="Q3982" s="20">
        <f>IF(I3982="","",IF(I3982="Ingreso",O3982,0))</f>
        <v/>
      </c>
      <c r="R3982" s="20">
        <f>IF(I3982="","",IF(I3982="Trading",O3982,0))</f>
        <v/>
      </c>
      <c r="S3982" s="19">
        <f>IF(I3982="","",IF(AND(I3982="Gasto",K3982="Variable",J3982&lt;&gt;"Trading",O3982&gt;0,O3982&lt;=Umbral),1,0))</f>
        <v/>
      </c>
      <c r="T3982" s="20">
        <f>IF(OR(I3982="",E3982=""),"",IF(OR(I3982="Gasto",I3982="Transferencia",I3982="Pago tarjeta"),-1,1)*C3982)</f>
        <v/>
      </c>
      <c r="U3982" s="20">
        <f>IF(OR(G3982="",AND(I3982&lt;&gt;"Transferencia",I3982&lt;&gt;"Pago tarjeta")),"",IF(IFERROR(INDEX(ctaMon,MATCH(G3982,ctaNom,0))&amp;"","DOP")=N3982,C3982,IF(N3982="USD",C3982*TasaUSD,C3982/TasaUSD)))</f>
        <v/>
      </c>
      <c r="V3982" s="20">
        <f>IF(I3982="","",IF(IFERROR(INDEX(ctaLiq,MATCH(E3982,ctaNom,0))="Sí",FALSE),IF(OR(I3982="Gasto",I3982="Transferencia",I3982="Pago tarjeta"),-1,1)*O3982,0)+IF(AND(U3982&lt;&gt;"",IFERROR(INDEX(ctaLiq,MATCH(G3982,ctaNom,0))="Sí",FALSE)),O3982,0))</f>
        <v/>
      </c>
      <c r="W3982" s="19">
        <f>IF(OR(F3982="",I3982=""),"",IF(COUNTIFS(F$6:F3982,F3982,I$6:I3982,"?*")=1,MAX(W$5:W3981)+1,""))</f>
        <v/>
      </c>
    </row>
    <row r="3983">
      <c r="B3983" s="15" t="n"/>
      <c r="C3983" s="16" t="n"/>
      <c r="D3983" s="17" t="n"/>
      <c r="E3983" s="17" t="n"/>
      <c r="F3983" s="17" t="n"/>
      <c r="G3983" s="17" t="n"/>
      <c r="H3983" s="18">
        <f>IF(AND(B3983="",C3983="",D3983="",E3983=""),"",IF(B3983="","⚠ Falta fecha",IF(C3983="","⚠ Falta monto",IF(D3983="","⚠ Falta categoría",IF(ISNA(MATCH(D3983,catNom,0)),"⚠ Categoría no existe",IF(E3983="","⚠ Falta cuenta",IF(ISNA(MATCH(E3983,ctaNom,0)),"⚠ Cuenta no existe",IF(AND(OR(I3983="Transferencia",I3983="Pago tarjeta"),G3983=""),"⚠ Indica la cuenta «Hacia»",IF(AND(G3983&lt;&gt;"",G3983=E3983),"⚠ «Hacia» igual a la cuenta",IF(AND(G3983&lt;&gt;"",ISNA(MATCH(G3983,ctaNom,0))),"⚠ «Hacia» no existe",IF(AND(I3983="Pago tarjeta",IFERROR(INDEX(ctaTipo,MATCH(G3983,ctaNom,0)),"")&lt;&gt;"Tarjeta de crédito"),"⚠ «Hacia» debe ser la tarjeta",IF(AND(I3983="Trading",IFERROR(INDEX(ctaTipo,MATCH(E3983,ctaNom,0)),"")&lt;&gt;"Cuenta de trading"),"⚠ Usa la cuenta de trading","✓"))))))))))))</f>
        <v/>
      </c>
      <c r="I3983" s="19">
        <f>IF(OR(B3983="",C3983="",D3983=""),"",IFERROR(INDEX(catTipo,MATCH(D3983,catNom,0))&amp;"",""))</f>
        <v/>
      </c>
      <c r="J3983" s="19">
        <f>IF(I3983="","",IFERROR(INDEX(catGrupo,MATCH(D3983,catNom,0))&amp;"",""))</f>
        <v/>
      </c>
      <c r="K3983" s="19">
        <f>IF(I3983="Gasto",IF(IFERROR(INDEX(catClas,MATCH(D3983,catNom,0))&amp;"","")="","Variable",IFERROR(INDEX(catClas,MATCH(D3983,catNom,0))&amp;"","")),"")</f>
        <v/>
      </c>
      <c r="L3983" s="19">
        <f>IF(I3983="","",IFERROR(INDEX(catAlim,MATCH(D3983,catNom,0))&amp;"",""))</f>
        <v/>
      </c>
      <c r="M3983" s="19">
        <f>IF(I3983="","",IFERROR(INDEX(catComida,MATCH(D3983,catNom,0))&amp;"",""))</f>
        <v/>
      </c>
      <c r="N3983" s="19">
        <f>IF(I3983="","",IFERROR(INDEX(ctaMon,MATCH(E3983,ctaNom,0))&amp;"","DOP"))</f>
        <v/>
      </c>
      <c r="O3983" s="20">
        <f>IF(I3983="","",C3983*IF(N3983="USD",TasaUSD,1))</f>
        <v/>
      </c>
      <c r="P3983" s="20">
        <f>IF(I3983="","",IF(I3983="Gasto",O3983,0))</f>
        <v/>
      </c>
      <c r="Q3983" s="20">
        <f>IF(I3983="","",IF(I3983="Ingreso",O3983,0))</f>
        <v/>
      </c>
      <c r="R3983" s="20">
        <f>IF(I3983="","",IF(I3983="Trading",O3983,0))</f>
        <v/>
      </c>
      <c r="S3983" s="19">
        <f>IF(I3983="","",IF(AND(I3983="Gasto",K3983="Variable",J3983&lt;&gt;"Trading",O3983&gt;0,O3983&lt;=Umbral),1,0))</f>
        <v/>
      </c>
      <c r="T3983" s="20">
        <f>IF(OR(I3983="",E3983=""),"",IF(OR(I3983="Gasto",I3983="Transferencia",I3983="Pago tarjeta"),-1,1)*C3983)</f>
        <v/>
      </c>
      <c r="U3983" s="20">
        <f>IF(OR(G3983="",AND(I3983&lt;&gt;"Transferencia",I3983&lt;&gt;"Pago tarjeta")),"",IF(IFERROR(INDEX(ctaMon,MATCH(G3983,ctaNom,0))&amp;"","DOP")=N3983,C3983,IF(N3983="USD",C3983*TasaUSD,C3983/TasaUSD)))</f>
        <v/>
      </c>
      <c r="V3983" s="20">
        <f>IF(I3983="","",IF(IFERROR(INDEX(ctaLiq,MATCH(E3983,ctaNom,0))="Sí",FALSE),IF(OR(I3983="Gasto",I3983="Transferencia",I3983="Pago tarjeta"),-1,1)*O3983,0)+IF(AND(U3983&lt;&gt;"",IFERROR(INDEX(ctaLiq,MATCH(G3983,ctaNom,0))="Sí",FALSE)),O3983,0))</f>
        <v/>
      </c>
      <c r="W3983" s="19">
        <f>IF(OR(F3983="",I3983=""),"",IF(COUNTIFS(F$6:F3983,F3983,I$6:I3983,"?*")=1,MAX(W$5:W3982)+1,""))</f>
        <v/>
      </c>
    </row>
    <row r="3984">
      <c r="B3984" s="15" t="n"/>
      <c r="C3984" s="16" t="n"/>
      <c r="D3984" s="17" t="n"/>
      <c r="E3984" s="17" t="n"/>
      <c r="F3984" s="17" t="n"/>
      <c r="G3984" s="17" t="n"/>
      <c r="H3984" s="18">
        <f>IF(AND(B3984="",C3984="",D3984="",E3984=""),"",IF(B3984="","⚠ Falta fecha",IF(C3984="","⚠ Falta monto",IF(D3984="","⚠ Falta categoría",IF(ISNA(MATCH(D3984,catNom,0)),"⚠ Categoría no existe",IF(E3984="","⚠ Falta cuenta",IF(ISNA(MATCH(E3984,ctaNom,0)),"⚠ Cuenta no existe",IF(AND(OR(I3984="Transferencia",I3984="Pago tarjeta"),G3984=""),"⚠ Indica la cuenta «Hacia»",IF(AND(G3984&lt;&gt;"",G3984=E3984),"⚠ «Hacia» igual a la cuenta",IF(AND(G3984&lt;&gt;"",ISNA(MATCH(G3984,ctaNom,0))),"⚠ «Hacia» no existe",IF(AND(I3984="Pago tarjeta",IFERROR(INDEX(ctaTipo,MATCH(G3984,ctaNom,0)),"")&lt;&gt;"Tarjeta de crédito"),"⚠ «Hacia» debe ser la tarjeta",IF(AND(I3984="Trading",IFERROR(INDEX(ctaTipo,MATCH(E3984,ctaNom,0)),"")&lt;&gt;"Cuenta de trading"),"⚠ Usa la cuenta de trading","✓"))))))))))))</f>
        <v/>
      </c>
      <c r="I3984" s="19">
        <f>IF(OR(B3984="",C3984="",D3984=""),"",IFERROR(INDEX(catTipo,MATCH(D3984,catNom,0))&amp;"",""))</f>
        <v/>
      </c>
      <c r="J3984" s="19">
        <f>IF(I3984="","",IFERROR(INDEX(catGrupo,MATCH(D3984,catNom,0))&amp;"",""))</f>
        <v/>
      </c>
      <c r="K3984" s="19">
        <f>IF(I3984="Gasto",IF(IFERROR(INDEX(catClas,MATCH(D3984,catNom,0))&amp;"","")="","Variable",IFERROR(INDEX(catClas,MATCH(D3984,catNom,0))&amp;"","")),"")</f>
        <v/>
      </c>
      <c r="L3984" s="19">
        <f>IF(I3984="","",IFERROR(INDEX(catAlim,MATCH(D3984,catNom,0))&amp;"",""))</f>
        <v/>
      </c>
      <c r="M3984" s="19">
        <f>IF(I3984="","",IFERROR(INDEX(catComida,MATCH(D3984,catNom,0))&amp;"",""))</f>
        <v/>
      </c>
      <c r="N3984" s="19">
        <f>IF(I3984="","",IFERROR(INDEX(ctaMon,MATCH(E3984,ctaNom,0))&amp;"","DOP"))</f>
        <v/>
      </c>
      <c r="O3984" s="20">
        <f>IF(I3984="","",C3984*IF(N3984="USD",TasaUSD,1))</f>
        <v/>
      </c>
      <c r="P3984" s="20">
        <f>IF(I3984="","",IF(I3984="Gasto",O3984,0))</f>
        <v/>
      </c>
      <c r="Q3984" s="20">
        <f>IF(I3984="","",IF(I3984="Ingreso",O3984,0))</f>
        <v/>
      </c>
      <c r="R3984" s="20">
        <f>IF(I3984="","",IF(I3984="Trading",O3984,0))</f>
        <v/>
      </c>
      <c r="S3984" s="19">
        <f>IF(I3984="","",IF(AND(I3984="Gasto",K3984="Variable",J3984&lt;&gt;"Trading",O3984&gt;0,O3984&lt;=Umbral),1,0))</f>
        <v/>
      </c>
      <c r="T3984" s="20">
        <f>IF(OR(I3984="",E3984=""),"",IF(OR(I3984="Gasto",I3984="Transferencia",I3984="Pago tarjeta"),-1,1)*C3984)</f>
        <v/>
      </c>
      <c r="U3984" s="20">
        <f>IF(OR(G3984="",AND(I3984&lt;&gt;"Transferencia",I3984&lt;&gt;"Pago tarjeta")),"",IF(IFERROR(INDEX(ctaMon,MATCH(G3984,ctaNom,0))&amp;"","DOP")=N3984,C3984,IF(N3984="USD",C3984*TasaUSD,C3984/TasaUSD)))</f>
        <v/>
      </c>
      <c r="V3984" s="20">
        <f>IF(I3984="","",IF(IFERROR(INDEX(ctaLiq,MATCH(E3984,ctaNom,0))="Sí",FALSE),IF(OR(I3984="Gasto",I3984="Transferencia",I3984="Pago tarjeta"),-1,1)*O3984,0)+IF(AND(U3984&lt;&gt;"",IFERROR(INDEX(ctaLiq,MATCH(G3984,ctaNom,0))="Sí",FALSE)),O3984,0))</f>
        <v/>
      </c>
      <c r="W3984" s="19">
        <f>IF(OR(F3984="",I3984=""),"",IF(COUNTIFS(F$6:F3984,F3984,I$6:I3984,"?*")=1,MAX(W$5:W3983)+1,""))</f>
        <v/>
      </c>
    </row>
    <row r="3985">
      <c r="B3985" s="15" t="n"/>
      <c r="C3985" s="16" t="n"/>
      <c r="D3985" s="17" t="n"/>
      <c r="E3985" s="17" t="n"/>
      <c r="F3985" s="17" t="n"/>
      <c r="G3985" s="17" t="n"/>
      <c r="H3985" s="18">
        <f>IF(AND(B3985="",C3985="",D3985="",E3985=""),"",IF(B3985="","⚠ Falta fecha",IF(C3985="","⚠ Falta monto",IF(D3985="","⚠ Falta categoría",IF(ISNA(MATCH(D3985,catNom,0)),"⚠ Categoría no existe",IF(E3985="","⚠ Falta cuenta",IF(ISNA(MATCH(E3985,ctaNom,0)),"⚠ Cuenta no existe",IF(AND(OR(I3985="Transferencia",I3985="Pago tarjeta"),G3985=""),"⚠ Indica la cuenta «Hacia»",IF(AND(G3985&lt;&gt;"",G3985=E3985),"⚠ «Hacia» igual a la cuenta",IF(AND(G3985&lt;&gt;"",ISNA(MATCH(G3985,ctaNom,0))),"⚠ «Hacia» no existe",IF(AND(I3985="Pago tarjeta",IFERROR(INDEX(ctaTipo,MATCH(G3985,ctaNom,0)),"")&lt;&gt;"Tarjeta de crédito"),"⚠ «Hacia» debe ser la tarjeta",IF(AND(I3985="Trading",IFERROR(INDEX(ctaTipo,MATCH(E3985,ctaNom,0)),"")&lt;&gt;"Cuenta de trading"),"⚠ Usa la cuenta de trading","✓"))))))))))))</f>
        <v/>
      </c>
      <c r="I3985" s="19">
        <f>IF(OR(B3985="",C3985="",D3985=""),"",IFERROR(INDEX(catTipo,MATCH(D3985,catNom,0))&amp;"",""))</f>
        <v/>
      </c>
      <c r="J3985" s="19">
        <f>IF(I3985="","",IFERROR(INDEX(catGrupo,MATCH(D3985,catNom,0))&amp;"",""))</f>
        <v/>
      </c>
      <c r="K3985" s="19">
        <f>IF(I3985="Gasto",IF(IFERROR(INDEX(catClas,MATCH(D3985,catNom,0))&amp;"","")="","Variable",IFERROR(INDEX(catClas,MATCH(D3985,catNom,0))&amp;"","")),"")</f>
        <v/>
      </c>
      <c r="L3985" s="19">
        <f>IF(I3985="","",IFERROR(INDEX(catAlim,MATCH(D3985,catNom,0))&amp;"",""))</f>
        <v/>
      </c>
      <c r="M3985" s="19">
        <f>IF(I3985="","",IFERROR(INDEX(catComida,MATCH(D3985,catNom,0))&amp;"",""))</f>
        <v/>
      </c>
      <c r="N3985" s="19">
        <f>IF(I3985="","",IFERROR(INDEX(ctaMon,MATCH(E3985,ctaNom,0))&amp;"","DOP"))</f>
        <v/>
      </c>
      <c r="O3985" s="20">
        <f>IF(I3985="","",C3985*IF(N3985="USD",TasaUSD,1))</f>
        <v/>
      </c>
      <c r="P3985" s="20">
        <f>IF(I3985="","",IF(I3985="Gasto",O3985,0))</f>
        <v/>
      </c>
      <c r="Q3985" s="20">
        <f>IF(I3985="","",IF(I3985="Ingreso",O3985,0))</f>
        <v/>
      </c>
      <c r="R3985" s="20">
        <f>IF(I3985="","",IF(I3985="Trading",O3985,0))</f>
        <v/>
      </c>
      <c r="S3985" s="19">
        <f>IF(I3985="","",IF(AND(I3985="Gasto",K3985="Variable",J3985&lt;&gt;"Trading",O3985&gt;0,O3985&lt;=Umbral),1,0))</f>
        <v/>
      </c>
      <c r="T3985" s="20">
        <f>IF(OR(I3985="",E3985=""),"",IF(OR(I3985="Gasto",I3985="Transferencia",I3985="Pago tarjeta"),-1,1)*C3985)</f>
        <v/>
      </c>
      <c r="U3985" s="20">
        <f>IF(OR(G3985="",AND(I3985&lt;&gt;"Transferencia",I3985&lt;&gt;"Pago tarjeta")),"",IF(IFERROR(INDEX(ctaMon,MATCH(G3985,ctaNom,0))&amp;"","DOP")=N3985,C3985,IF(N3985="USD",C3985*TasaUSD,C3985/TasaUSD)))</f>
        <v/>
      </c>
      <c r="V3985" s="20">
        <f>IF(I3985="","",IF(IFERROR(INDEX(ctaLiq,MATCH(E3985,ctaNom,0))="Sí",FALSE),IF(OR(I3985="Gasto",I3985="Transferencia",I3985="Pago tarjeta"),-1,1)*O3985,0)+IF(AND(U3985&lt;&gt;"",IFERROR(INDEX(ctaLiq,MATCH(G3985,ctaNom,0))="Sí",FALSE)),O3985,0))</f>
        <v/>
      </c>
      <c r="W3985" s="19">
        <f>IF(OR(F3985="",I3985=""),"",IF(COUNTIFS(F$6:F3985,F3985,I$6:I3985,"?*")=1,MAX(W$5:W3984)+1,""))</f>
        <v/>
      </c>
    </row>
    <row r="3986">
      <c r="B3986" s="15" t="n"/>
      <c r="C3986" s="16" t="n"/>
      <c r="D3986" s="17" t="n"/>
      <c r="E3986" s="17" t="n"/>
      <c r="F3986" s="17" t="n"/>
      <c r="G3986" s="17" t="n"/>
      <c r="H3986" s="18">
        <f>IF(AND(B3986="",C3986="",D3986="",E3986=""),"",IF(B3986="","⚠ Falta fecha",IF(C3986="","⚠ Falta monto",IF(D3986="","⚠ Falta categoría",IF(ISNA(MATCH(D3986,catNom,0)),"⚠ Categoría no existe",IF(E3986="","⚠ Falta cuenta",IF(ISNA(MATCH(E3986,ctaNom,0)),"⚠ Cuenta no existe",IF(AND(OR(I3986="Transferencia",I3986="Pago tarjeta"),G3986=""),"⚠ Indica la cuenta «Hacia»",IF(AND(G3986&lt;&gt;"",G3986=E3986),"⚠ «Hacia» igual a la cuenta",IF(AND(G3986&lt;&gt;"",ISNA(MATCH(G3986,ctaNom,0))),"⚠ «Hacia» no existe",IF(AND(I3986="Pago tarjeta",IFERROR(INDEX(ctaTipo,MATCH(G3986,ctaNom,0)),"")&lt;&gt;"Tarjeta de crédito"),"⚠ «Hacia» debe ser la tarjeta",IF(AND(I3986="Trading",IFERROR(INDEX(ctaTipo,MATCH(E3986,ctaNom,0)),"")&lt;&gt;"Cuenta de trading"),"⚠ Usa la cuenta de trading","✓"))))))))))))</f>
        <v/>
      </c>
      <c r="I3986" s="19">
        <f>IF(OR(B3986="",C3986="",D3986=""),"",IFERROR(INDEX(catTipo,MATCH(D3986,catNom,0))&amp;"",""))</f>
        <v/>
      </c>
      <c r="J3986" s="19">
        <f>IF(I3986="","",IFERROR(INDEX(catGrupo,MATCH(D3986,catNom,0))&amp;"",""))</f>
        <v/>
      </c>
      <c r="K3986" s="19">
        <f>IF(I3986="Gasto",IF(IFERROR(INDEX(catClas,MATCH(D3986,catNom,0))&amp;"","")="","Variable",IFERROR(INDEX(catClas,MATCH(D3986,catNom,0))&amp;"","")),"")</f>
        <v/>
      </c>
      <c r="L3986" s="19">
        <f>IF(I3986="","",IFERROR(INDEX(catAlim,MATCH(D3986,catNom,0))&amp;"",""))</f>
        <v/>
      </c>
      <c r="M3986" s="19">
        <f>IF(I3986="","",IFERROR(INDEX(catComida,MATCH(D3986,catNom,0))&amp;"",""))</f>
        <v/>
      </c>
      <c r="N3986" s="19">
        <f>IF(I3986="","",IFERROR(INDEX(ctaMon,MATCH(E3986,ctaNom,0))&amp;"","DOP"))</f>
        <v/>
      </c>
      <c r="O3986" s="20">
        <f>IF(I3986="","",C3986*IF(N3986="USD",TasaUSD,1))</f>
        <v/>
      </c>
      <c r="P3986" s="20">
        <f>IF(I3986="","",IF(I3986="Gasto",O3986,0))</f>
        <v/>
      </c>
      <c r="Q3986" s="20">
        <f>IF(I3986="","",IF(I3986="Ingreso",O3986,0))</f>
        <v/>
      </c>
      <c r="R3986" s="20">
        <f>IF(I3986="","",IF(I3986="Trading",O3986,0))</f>
        <v/>
      </c>
      <c r="S3986" s="19">
        <f>IF(I3986="","",IF(AND(I3986="Gasto",K3986="Variable",J3986&lt;&gt;"Trading",O3986&gt;0,O3986&lt;=Umbral),1,0))</f>
        <v/>
      </c>
      <c r="T3986" s="20">
        <f>IF(OR(I3986="",E3986=""),"",IF(OR(I3986="Gasto",I3986="Transferencia",I3986="Pago tarjeta"),-1,1)*C3986)</f>
        <v/>
      </c>
      <c r="U3986" s="20">
        <f>IF(OR(G3986="",AND(I3986&lt;&gt;"Transferencia",I3986&lt;&gt;"Pago tarjeta")),"",IF(IFERROR(INDEX(ctaMon,MATCH(G3986,ctaNom,0))&amp;"","DOP")=N3986,C3986,IF(N3986="USD",C3986*TasaUSD,C3986/TasaUSD)))</f>
        <v/>
      </c>
      <c r="V3986" s="20">
        <f>IF(I3986="","",IF(IFERROR(INDEX(ctaLiq,MATCH(E3986,ctaNom,0))="Sí",FALSE),IF(OR(I3986="Gasto",I3986="Transferencia",I3986="Pago tarjeta"),-1,1)*O3986,0)+IF(AND(U3986&lt;&gt;"",IFERROR(INDEX(ctaLiq,MATCH(G3986,ctaNom,0))="Sí",FALSE)),O3986,0))</f>
        <v/>
      </c>
      <c r="W3986" s="19">
        <f>IF(OR(F3986="",I3986=""),"",IF(COUNTIFS(F$6:F3986,F3986,I$6:I3986,"?*")=1,MAX(W$5:W3985)+1,""))</f>
        <v/>
      </c>
    </row>
    <row r="3987">
      <c r="B3987" s="15" t="n"/>
      <c r="C3987" s="16" t="n"/>
      <c r="D3987" s="17" t="n"/>
      <c r="E3987" s="17" t="n"/>
      <c r="F3987" s="17" t="n"/>
      <c r="G3987" s="17" t="n"/>
      <c r="H3987" s="18">
        <f>IF(AND(B3987="",C3987="",D3987="",E3987=""),"",IF(B3987="","⚠ Falta fecha",IF(C3987="","⚠ Falta monto",IF(D3987="","⚠ Falta categoría",IF(ISNA(MATCH(D3987,catNom,0)),"⚠ Categoría no existe",IF(E3987="","⚠ Falta cuenta",IF(ISNA(MATCH(E3987,ctaNom,0)),"⚠ Cuenta no existe",IF(AND(OR(I3987="Transferencia",I3987="Pago tarjeta"),G3987=""),"⚠ Indica la cuenta «Hacia»",IF(AND(G3987&lt;&gt;"",G3987=E3987),"⚠ «Hacia» igual a la cuenta",IF(AND(G3987&lt;&gt;"",ISNA(MATCH(G3987,ctaNom,0))),"⚠ «Hacia» no existe",IF(AND(I3987="Pago tarjeta",IFERROR(INDEX(ctaTipo,MATCH(G3987,ctaNom,0)),"")&lt;&gt;"Tarjeta de crédito"),"⚠ «Hacia» debe ser la tarjeta",IF(AND(I3987="Trading",IFERROR(INDEX(ctaTipo,MATCH(E3987,ctaNom,0)),"")&lt;&gt;"Cuenta de trading"),"⚠ Usa la cuenta de trading","✓"))))))))))))</f>
        <v/>
      </c>
      <c r="I3987" s="19">
        <f>IF(OR(B3987="",C3987="",D3987=""),"",IFERROR(INDEX(catTipo,MATCH(D3987,catNom,0))&amp;"",""))</f>
        <v/>
      </c>
      <c r="J3987" s="19">
        <f>IF(I3987="","",IFERROR(INDEX(catGrupo,MATCH(D3987,catNom,0))&amp;"",""))</f>
        <v/>
      </c>
      <c r="K3987" s="19">
        <f>IF(I3987="Gasto",IF(IFERROR(INDEX(catClas,MATCH(D3987,catNom,0))&amp;"","")="","Variable",IFERROR(INDEX(catClas,MATCH(D3987,catNom,0))&amp;"","")),"")</f>
        <v/>
      </c>
      <c r="L3987" s="19">
        <f>IF(I3987="","",IFERROR(INDEX(catAlim,MATCH(D3987,catNom,0))&amp;"",""))</f>
        <v/>
      </c>
      <c r="M3987" s="19">
        <f>IF(I3987="","",IFERROR(INDEX(catComida,MATCH(D3987,catNom,0))&amp;"",""))</f>
        <v/>
      </c>
      <c r="N3987" s="19">
        <f>IF(I3987="","",IFERROR(INDEX(ctaMon,MATCH(E3987,ctaNom,0))&amp;"","DOP"))</f>
        <v/>
      </c>
      <c r="O3987" s="20">
        <f>IF(I3987="","",C3987*IF(N3987="USD",TasaUSD,1))</f>
        <v/>
      </c>
      <c r="P3987" s="20">
        <f>IF(I3987="","",IF(I3987="Gasto",O3987,0))</f>
        <v/>
      </c>
      <c r="Q3987" s="20">
        <f>IF(I3987="","",IF(I3987="Ingreso",O3987,0))</f>
        <v/>
      </c>
      <c r="R3987" s="20">
        <f>IF(I3987="","",IF(I3987="Trading",O3987,0))</f>
        <v/>
      </c>
      <c r="S3987" s="19">
        <f>IF(I3987="","",IF(AND(I3987="Gasto",K3987="Variable",J3987&lt;&gt;"Trading",O3987&gt;0,O3987&lt;=Umbral),1,0))</f>
        <v/>
      </c>
      <c r="T3987" s="20">
        <f>IF(OR(I3987="",E3987=""),"",IF(OR(I3987="Gasto",I3987="Transferencia",I3987="Pago tarjeta"),-1,1)*C3987)</f>
        <v/>
      </c>
      <c r="U3987" s="20">
        <f>IF(OR(G3987="",AND(I3987&lt;&gt;"Transferencia",I3987&lt;&gt;"Pago tarjeta")),"",IF(IFERROR(INDEX(ctaMon,MATCH(G3987,ctaNom,0))&amp;"","DOP")=N3987,C3987,IF(N3987="USD",C3987*TasaUSD,C3987/TasaUSD)))</f>
        <v/>
      </c>
      <c r="V3987" s="20">
        <f>IF(I3987="","",IF(IFERROR(INDEX(ctaLiq,MATCH(E3987,ctaNom,0))="Sí",FALSE),IF(OR(I3987="Gasto",I3987="Transferencia",I3987="Pago tarjeta"),-1,1)*O3987,0)+IF(AND(U3987&lt;&gt;"",IFERROR(INDEX(ctaLiq,MATCH(G3987,ctaNom,0))="Sí",FALSE)),O3987,0))</f>
        <v/>
      </c>
      <c r="W3987" s="19">
        <f>IF(OR(F3987="",I3987=""),"",IF(COUNTIFS(F$6:F3987,F3987,I$6:I3987,"?*")=1,MAX(W$5:W3986)+1,""))</f>
        <v/>
      </c>
    </row>
    <row r="3988">
      <c r="B3988" s="15" t="n"/>
      <c r="C3988" s="16" t="n"/>
      <c r="D3988" s="17" t="n"/>
      <c r="E3988" s="17" t="n"/>
      <c r="F3988" s="17" t="n"/>
      <c r="G3988" s="17" t="n"/>
      <c r="H3988" s="18">
        <f>IF(AND(B3988="",C3988="",D3988="",E3988=""),"",IF(B3988="","⚠ Falta fecha",IF(C3988="","⚠ Falta monto",IF(D3988="","⚠ Falta categoría",IF(ISNA(MATCH(D3988,catNom,0)),"⚠ Categoría no existe",IF(E3988="","⚠ Falta cuenta",IF(ISNA(MATCH(E3988,ctaNom,0)),"⚠ Cuenta no existe",IF(AND(OR(I3988="Transferencia",I3988="Pago tarjeta"),G3988=""),"⚠ Indica la cuenta «Hacia»",IF(AND(G3988&lt;&gt;"",G3988=E3988),"⚠ «Hacia» igual a la cuenta",IF(AND(G3988&lt;&gt;"",ISNA(MATCH(G3988,ctaNom,0))),"⚠ «Hacia» no existe",IF(AND(I3988="Pago tarjeta",IFERROR(INDEX(ctaTipo,MATCH(G3988,ctaNom,0)),"")&lt;&gt;"Tarjeta de crédito"),"⚠ «Hacia» debe ser la tarjeta",IF(AND(I3988="Trading",IFERROR(INDEX(ctaTipo,MATCH(E3988,ctaNom,0)),"")&lt;&gt;"Cuenta de trading"),"⚠ Usa la cuenta de trading","✓"))))))))))))</f>
        <v/>
      </c>
      <c r="I3988" s="19">
        <f>IF(OR(B3988="",C3988="",D3988=""),"",IFERROR(INDEX(catTipo,MATCH(D3988,catNom,0))&amp;"",""))</f>
        <v/>
      </c>
      <c r="J3988" s="19">
        <f>IF(I3988="","",IFERROR(INDEX(catGrupo,MATCH(D3988,catNom,0))&amp;"",""))</f>
        <v/>
      </c>
      <c r="K3988" s="19">
        <f>IF(I3988="Gasto",IF(IFERROR(INDEX(catClas,MATCH(D3988,catNom,0))&amp;"","")="","Variable",IFERROR(INDEX(catClas,MATCH(D3988,catNom,0))&amp;"","")),"")</f>
        <v/>
      </c>
      <c r="L3988" s="19">
        <f>IF(I3988="","",IFERROR(INDEX(catAlim,MATCH(D3988,catNom,0))&amp;"",""))</f>
        <v/>
      </c>
      <c r="M3988" s="19">
        <f>IF(I3988="","",IFERROR(INDEX(catComida,MATCH(D3988,catNom,0))&amp;"",""))</f>
        <v/>
      </c>
      <c r="N3988" s="19">
        <f>IF(I3988="","",IFERROR(INDEX(ctaMon,MATCH(E3988,ctaNom,0))&amp;"","DOP"))</f>
        <v/>
      </c>
      <c r="O3988" s="20">
        <f>IF(I3988="","",C3988*IF(N3988="USD",TasaUSD,1))</f>
        <v/>
      </c>
      <c r="P3988" s="20">
        <f>IF(I3988="","",IF(I3988="Gasto",O3988,0))</f>
        <v/>
      </c>
      <c r="Q3988" s="20">
        <f>IF(I3988="","",IF(I3988="Ingreso",O3988,0))</f>
        <v/>
      </c>
      <c r="R3988" s="20">
        <f>IF(I3988="","",IF(I3988="Trading",O3988,0))</f>
        <v/>
      </c>
      <c r="S3988" s="19">
        <f>IF(I3988="","",IF(AND(I3988="Gasto",K3988="Variable",J3988&lt;&gt;"Trading",O3988&gt;0,O3988&lt;=Umbral),1,0))</f>
        <v/>
      </c>
      <c r="T3988" s="20">
        <f>IF(OR(I3988="",E3988=""),"",IF(OR(I3988="Gasto",I3988="Transferencia",I3988="Pago tarjeta"),-1,1)*C3988)</f>
        <v/>
      </c>
      <c r="U3988" s="20">
        <f>IF(OR(G3988="",AND(I3988&lt;&gt;"Transferencia",I3988&lt;&gt;"Pago tarjeta")),"",IF(IFERROR(INDEX(ctaMon,MATCH(G3988,ctaNom,0))&amp;"","DOP")=N3988,C3988,IF(N3988="USD",C3988*TasaUSD,C3988/TasaUSD)))</f>
        <v/>
      </c>
      <c r="V3988" s="20">
        <f>IF(I3988="","",IF(IFERROR(INDEX(ctaLiq,MATCH(E3988,ctaNom,0))="Sí",FALSE),IF(OR(I3988="Gasto",I3988="Transferencia",I3988="Pago tarjeta"),-1,1)*O3988,0)+IF(AND(U3988&lt;&gt;"",IFERROR(INDEX(ctaLiq,MATCH(G3988,ctaNom,0))="Sí",FALSE)),O3988,0))</f>
        <v/>
      </c>
      <c r="W3988" s="19">
        <f>IF(OR(F3988="",I3988=""),"",IF(COUNTIFS(F$6:F3988,F3988,I$6:I3988,"?*")=1,MAX(W$5:W3987)+1,""))</f>
        <v/>
      </c>
    </row>
    <row r="3989">
      <c r="B3989" s="15" t="n"/>
      <c r="C3989" s="16" t="n"/>
      <c r="D3989" s="17" t="n"/>
      <c r="E3989" s="17" t="n"/>
      <c r="F3989" s="17" t="n"/>
      <c r="G3989" s="17" t="n"/>
      <c r="H3989" s="18">
        <f>IF(AND(B3989="",C3989="",D3989="",E3989=""),"",IF(B3989="","⚠ Falta fecha",IF(C3989="","⚠ Falta monto",IF(D3989="","⚠ Falta categoría",IF(ISNA(MATCH(D3989,catNom,0)),"⚠ Categoría no existe",IF(E3989="","⚠ Falta cuenta",IF(ISNA(MATCH(E3989,ctaNom,0)),"⚠ Cuenta no existe",IF(AND(OR(I3989="Transferencia",I3989="Pago tarjeta"),G3989=""),"⚠ Indica la cuenta «Hacia»",IF(AND(G3989&lt;&gt;"",G3989=E3989),"⚠ «Hacia» igual a la cuenta",IF(AND(G3989&lt;&gt;"",ISNA(MATCH(G3989,ctaNom,0))),"⚠ «Hacia» no existe",IF(AND(I3989="Pago tarjeta",IFERROR(INDEX(ctaTipo,MATCH(G3989,ctaNom,0)),"")&lt;&gt;"Tarjeta de crédito"),"⚠ «Hacia» debe ser la tarjeta",IF(AND(I3989="Trading",IFERROR(INDEX(ctaTipo,MATCH(E3989,ctaNom,0)),"")&lt;&gt;"Cuenta de trading"),"⚠ Usa la cuenta de trading","✓"))))))))))))</f>
        <v/>
      </c>
      <c r="I3989" s="19">
        <f>IF(OR(B3989="",C3989="",D3989=""),"",IFERROR(INDEX(catTipo,MATCH(D3989,catNom,0))&amp;"",""))</f>
        <v/>
      </c>
      <c r="J3989" s="19">
        <f>IF(I3989="","",IFERROR(INDEX(catGrupo,MATCH(D3989,catNom,0))&amp;"",""))</f>
        <v/>
      </c>
      <c r="K3989" s="19">
        <f>IF(I3989="Gasto",IF(IFERROR(INDEX(catClas,MATCH(D3989,catNom,0))&amp;"","")="","Variable",IFERROR(INDEX(catClas,MATCH(D3989,catNom,0))&amp;"","")),"")</f>
        <v/>
      </c>
      <c r="L3989" s="19">
        <f>IF(I3989="","",IFERROR(INDEX(catAlim,MATCH(D3989,catNom,0))&amp;"",""))</f>
        <v/>
      </c>
      <c r="M3989" s="19">
        <f>IF(I3989="","",IFERROR(INDEX(catComida,MATCH(D3989,catNom,0))&amp;"",""))</f>
        <v/>
      </c>
      <c r="N3989" s="19">
        <f>IF(I3989="","",IFERROR(INDEX(ctaMon,MATCH(E3989,ctaNom,0))&amp;"","DOP"))</f>
        <v/>
      </c>
      <c r="O3989" s="20">
        <f>IF(I3989="","",C3989*IF(N3989="USD",TasaUSD,1))</f>
        <v/>
      </c>
      <c r="P3989" s="20">
        <f>IF(I3989="","",IF(I3989="Gasto",O3989,0))</f>
        <v/>
      </c>
      <c r="Q3989" s="20">
        <f>IF(I3989="","",IF(I3989="Ingreso",O3989,0))</f>
        <v/>
      </c>
      <c r="R3989" s="20">
        <f>IF(I3989="","",IF(I3989="Trading",O3989,0))</f>
        <v/>
      </c>
      <c r="S3989" s="19">
        <f>IF(I3989="","",IF(AND(I3989="Gasto",K3989="Variable",J3989&lt;&gt;"Trading",O3989&gt;0,O3989&lt;=Umbral),1,0))</f>
        <v/>
      </c>
      <c r="T3989" s="20">
        <f>IF(OR(I3989="",E3989=""),"",IF(OR(I3989="Gasto",I3989="Transferencia",I3989="Pago tarjeta"),-1,1)*C3989)</f>
        <v/>
      </c>
      <c r="U3989" s="20">
        <f>IF(OR(G3989="",AND(I3989&lt;&gt;"Transferencia",I3989&lt;&gt;"Pago tarjeta")),"",IF(IFERROR(INDEX(ctaMon,MATCH(G3989,ctaNom,0))&amp;"","DOP")=N3989,C3989,IF(N3989="USD",C3989*TasaUSD,C3989/TasaUSD)))</f>
        <v/>
      </c>
      <c r="V3989" s="20">
        <f>IF(I3989="","",IF(IFERROR(INDEX(ctaLiq,MATCH(E3989,ctaNom,0))="Sí",FALSE),IF(OR(I3989="Gasto",I3989="Transferencia",I3989="Pago tarjeta"),-1,1)*O3989,0)+IF(AND(U3989&lt;&gt;"",IFERROR(INDEX(ctaLiq,MATCH(G3989,ctaNom,0))="Sí",FALSE)),O3989,0))</f>
        <v/>
      </c>
      <c r="W3989" s="19">
        <f>IF(OR(F3989="",I3989=""),"",IF(COUNTIFS(F$6:F3989,F3989,I$6:I3989,"?*")=1,MAX(W$5:W3988)+1,""))</f>
        <v/>
      </c>
    </row>
    <row r="3990">
      <c r="B3990" s="15" t="n"/>
      <c r="C3990" s="16" t="n"/>
      <c r="D3990" s="17" t="n"/>
      <c r="E3990" s="17" t="n"/>
      <c r="F3990" s="17" t="n"/>
      <c r="G3990" s="17" t="n"/>
      <c r="H3990" s="18">
        <f>IF(AND(B3990="",C3990="",D3990="",E3990=""),"",IF(B3990="","⚠ Falta fecha",IF(C3990="","⚠ Falta monto",IF(D3990="","⚠ Falta categoría",IF(ISNA(MATCH(D3990,catNom,0)),"⚠ Categoría no existe",IF(E3990="","⚠ Falta cuenta",IF(ISNA(MATCH(E3990,ctaNom,0)),"⚠ Cuenta no existe",IF(AND(OR(I3990="Transferencia",I3990="Pago tarjeta"),G3990=""),"⚠ Indica la cuenta «Hacia»",IF(AND(G3990&lt;&gt;"",G3990=E3990),"⚠ «Hacia» igual a la cuenta",IF(AND(G3990&lt;&gt;"",ISNA(MATCH(G3990,ctaNom,0))),"⚠ «Hacia» no existe",IF(AND(I3990="Pago tarjeta",IFERROR(INDEX(ctaTipo,MATCH(G3990,ctaNom,0)),"")&lt;&gt;"Tarjeta de crédito"),"⚠ «Hacia» debe ser la tarjeta",IF(AND(I3990="Trading",IFERROR(INDEX(ctaTipo,MATCH(E3990,ctaNom,0)),"")&lt;&gt;"Cuenta de trading"),"⚠ Usa la cuenta de trading","✓"))))))))))))</f>
        <v/>
      </c>
      <c r="I3990" s="19">
        <f>IF(OR(B3990="",C3990="",D3990=""),"",IFERROR(INDEX(catTipo,MATCH(D3990,catNom,0))&amp;"",""))</f>
        <v/>
      </c>
      <c r="J3990" s="19">
        <f>IF(I3990="","",IFERROR(INDEX(catGrupo,MATCH(D3990,catNom,0))&amp;"",""))</f>
        <v/>
      </c>
      <c r="K3990" s="19">
        <f>IF(I3990="Gasto",IF(IFERROR(INDEX(catClas,MATCH(D3990,catNom,0))&amp;"","")="","Variable",IFERROR(INDEX(catClas,MATCH(D3990,catNom,0))&amp;"","")),"")</f>
        <v/>
      </c>
      <c r="L3990" s="19">
        <f>IF(I3990="","",IFERROR(INDEX(catAlim,MATCH(D3990,catNom,0))&amp;"",""))</f>
        <v/>
      </c>
      <c r="M3990" s="19">
        <f>IF(I3990="","",IFERROR(INDEX(catComida,MATCH(D3990,catNom,0))&amp;"",""))</f>
        <v/>
      </c>
      <c r="N3990" s="19">
        <f>IF(I3990="","",IFERROR(INDEX(ctaMon,MATCH(E3990,ctaNom,0))&amp;"","DOP"))</f>
        <v/>
      </c>
      <c r="O3990" s="20">
        <f>IF(I3990="","",C3990*IF(N3990="USD",TasaUSD,1))</f>
        <v/>
      </c>
      <c r="P3990" s="20">
        <f>IF(I3990="","",IF(I3990="Gasto",O3990,0))</f>
        <v/>
      </c>
      <c r="Q3990" s="20">
        <f>IF(I3990="","",IF(I3990="Ingreso",O3990,0))</f>
        <v/>
      </c>
      <c r="R3990" s="20">
        <f>IF(I3990="","",IF(I3990="Trading",O3990,0))</f>
        <v/>
      </c>
      <c r="S3990" s="19">
        <f>IF(I3990="","",IF(AND(I3990="Gasto",K3990="Variable",J3990&lt;&gt;"Trading",O3990&gt;0,O3990&lt;=Umbral),1,0))</f>
        <v/>
      </c>
      <c r="T3990" s="20">
        <f>IF(OR(I3990="",E3990=""),"",IF(OR(I3990="Gasto",I3990="Transferencia",I3990="Pago tarjeta"),-1,1)*C3990)</f>
        <v/>
      </c>
      <c r="U3990" s="20">
        <f>IF(OR(G3990="",AND(I3990&lt;&gt;"Transferencia",I3990&lt;&gt;"Pago tarjeta")),"",IF(IFERROR(INDEX(ctaMon,MATCH(G3990,ctaNom,0))&amp;"","DOP")=N3990,C3990,IF(N3990="USD",C3990*TasaUSD,C3990/TasaUSD)))</f>
        <v/>
      </c>
      <c r="V3990" s="20">
        <f>IF(I3990="","",IF(IFERROR(INDEX(ctaLiq,MATCH(E3990,ctaNom,0))="Sí",FALSE),IF(OR(I3990="Gasto",I3990="Transferencia",I3990="Pago tarjeta"),-1,1)*O3990,0)+IF(AND(U3990&lt;&gt;"",IFERROR(INDEX(ctaLiq,MATCH(G3990,ctaNom,0))="Sí",FALSE)),O3990,0))</f>
        <v/>
      </c>
      <c r="W3990" s="19">
        <f>IF(OR(F3990="",I3990=""),"",IF(COUNTIFS(F$6:F3990,F3990,I$6:I3990,"?*")=1,MAX(W$5:W3989)+1,""))</f>
        <v/>
      </c>
    </row>
    <row r="3991">
      <c r="B3991" s="15" t="n"/>
      <c r="C3991" s="16" t="n"/>
      <c r="D3991" s="17" t="n"/>
      <c r="E3991" s="17" t="n"/>
      <c r="F3991" s="17" t="n"/>
      <c r="G3991" s="17" t="n"/>
      <c r="H3991" s="18">
        <f>IF(AND(B3991="",C3991="",D3991="",E3991=""),"",IF(B3991="","⚠ Falta fecha",IF(C3991="","⚠ Falta monto",IF(D3991="","⚠ Falta categoría",IF(ISNA(MATCH(D3991,catNom,0)),"⚠ Categoría no existe",IF(E3991="","⚠ Falta cuenta",IF(ISNA(MATCH(E3991,ctaNom,0)),"⚠ Cuenta no existe",IF(AND(OR(I3991="Transferencia",I3991="Pago tarjeta"),G3991=""),"⚠ Indica la cuenta «Hacia»",IF(AND(G3991&lt;&gt;"",G3991=E3991),"⚠ «Hacia» igual a la cuenta",IF(AND(G3991&lt;&gt;"",ISNA(MATCH(G3991,ctaNom,0))),"⚠ «Hacia» no existe",IF(AND(I3991="Pago tarjeta",IFERROR(INDEX(ctaTipo,MATCH(G3991,ctaNom,0)),"")&lt;&gt;"Tarjeta de crédito"),"⚠ «Hacia» debe ser la tarjeta",IF(AND(I3991="Trading",IFERROR(INDEX(ctaTipo,MATCH(E3991,ctaNom,0)),"")&lt;&gt;"Cuenta de trading"),"⚠ Usa la cuenta de trading","✓"))))))))))))</f>
        <v/>
      </c>
      <c r="I3991" s="19">
        <f>IF(OR(B3991="",C3991="",D3991=""),"",IFERROR(INDEX(catTipo,MATCH(D3991,catNom,0))&amp;"",""))</f>
        <v/>
      </c>
      <c r="J3991" s="19">
        <f>IF(I3991="","",IFERROR(INDEX(catGrupo,MATCH(D3991,catNom,0))&amp;"",""))</f>
        <v/>
      </c>
      <c r="K3991" s="19">
        <f>IF(I3991="Gasto",IF(IFERROR(INDEX(catClas,MATCH(D3991,catNom,0))&amp;"","")="","Variable",IFERROR(INDEX(catClas,MATCH(D3991,catNom,0))&amp;"","")),"")</f>
        <v/>
      </c>
      <c r="L3991" s="19">
        <f>IF(I3991="","",IFERROR(INDEX(catAlim,MATCH(D3991,catNom,0))&amp;"",""))</f>
        <v/>
      </c>
      <c r="M3991" s="19">
        <f>IF(I3991="","",IFERROR(INDEX(catComida,MATCH(D3991,catNom,0))&amp;"",""))</f>
        <v/>
      </c>
      <c r="N3991" s="19">
        <f>IF(I3991="","",IFERROR(INDEX(ctaMon,MATCH(E3991,ctaNom,0))&amp;"","DOP"))</f>
        <v/>
      </c>
      <c r="O3991" s="20">
        <f>IF(I3991="","",C3991*IF(N3991="USD",TasaUSD,1))</f>
        <v/>
      </c>
      <c r="P3991" s="20">
        <f>IF(I3991="","",IF(I3991="Gasto",O3991,0))</f>
        <v/>
      </c>
      <c r="Q3991" s="20">
        <f>IF(I3991="","",IF(I3991="Ingreso",O3991,0))</f>
        <v/>
      </c>
      <c r="R3991" s="20">
        <f>IF(I3991="","",IF(I3991="Trading",O3991,0))</f>
        <v/>
      </c>
      <c r="S3991" s="19">
        <f>IF(I3991="","",IF(AND(I3991="Gasto",K3991="Variable",J3991&lt;&gt;"Trading",O3991&gt;0,O3991&lt;=Umbral),1,0))</f>
        <v/>
      </c>
      <c r="T3991" s="20">
        <f>IF(OR(I3991="",E3991=""),"",IF(OR(I3991="Gasto",I3991="Transferencia",I3991="Pago tarjeta"),-1,1)*C3991)</f>
        <v/>
      </c>
      <c r="U3991" s="20">
        <f>IF(OR(G3991="",AND(I3991&lt;&gt;"Transferencia",I3991&lt;&gt;"Pago tarjeta")),"",IF(IFERROR(INDEX(ctaMon,MATCH(G3991,ctaNom,0))&amp;"","DOP")=N3991,C3991,IF(N3991="USD",C3991*TasaUSD,C3991/TasaUSD)))</f>
        <v/>
      </c>
      <c r="V3991" s="20">
        <f>IF(I3991="","",IF(IFERROR(INDEX(ctaLiq,MATCH(E3991,ctaNom,0))="Sí",FALSE),IF(OR(I3991="Gasto",I3991="Transferencia",I3991="Pago tarjeta"),-1,1)*O3991,0)+IF(AND(U3991&lt;&gt;"",IFERROR(INDEX(ctaLiq,MATCH(G3991,ctaNom,0))="Sí",FALSE)),O3991,0))</f>
        <v/>
      </c>
      <c r="W3991" s="19">
        <f>IF(OR(F3991="",I3991=""),"",IF(COUNTIFS(F$6:F3991,F3991,I$6:I3991,"?*")=1,MAX(W$5:W3990)+1,""))</f>
        <v/>
      </c>
    </row>
    <row r="3992">
      <c r="B3992" s="15" t="n"/>
      <c r="C3992" s="16" t="n"/>
      <c r="D3992" s="17" t="n"/>
      <c r="E3992" s="17" t="n"/>
      <c r="F3992" s="17" t="n"/>
      <c r="G3992" s="17" t="n"/>
      <c r="H3992" s="18">
        <f>IF(AND(B3992="",C3992="",D3992="",E3992=""),"",IF(B3992="","⚠ Falta fecha",IF(C3992="","⚠ Falta monto",IF(D3992="","⚠ Falta categoría",IF(ISNA(MATCH(D3992,catNom,0)),"⚠ Categoría no existe",IF(E3992="","⚠ Falta cuenta",IF(ISNA(MATCH(E3992,ctaNom,0)),"⚠ Cuenta no existe",IF(AND(OR(I3992="Transferencia",I3992="Pago tarjeta"),G3992=""),"⚠ Indica la cuenta «Hacia»",IF(AND(G3992&lt;&gt;"",G3992=E3992),"⚠ «Hacia» igual a la cuenta",IF(AND(G3992&lt;&gt;"",ISNA(MATCH(G3992,ctaNom,0))),"⚠ «Hacia» no existe",IF(AND(I3992="Pago tarjeta",IFERROR(INDEX(ctaTipo,MATCH(G3992,ctaNom,0)),"")&lt;&gt;"Tarjeta de crédito"),"⚠ «Hacia» debe ser la tarjeta",IF(AND(I3992="Trading",IFERROR(INDEX(ctaTipo,MATCH(E3992,ctaNom,0)),"")&lt;&gt;"Cuenta de trading"),"⚠ Usa la cuenta de trading","✓"))))))))))))</f>
        <v/>
      </c>
      <c r="I3992" s="19">
        <f>IF(OR(B3992="",C3992="",D3992=""),"",IFERROR(INDEX(catTipo,MATCH(D3992,catNom,0))&amp;"",""))</f>
        <v/>
      </c>
      <c r="J3992" s="19">
        <f>IF(I3992="","",IFERROR(INDEX(catGrupo,MATCH(D3992,catNom,0))&amp;"",""))</f>
        <v/>
      </c>
      <c r="K3992" s="19">
        <f>IF(I3992="Gasto",IF(IFERROR(INDEX(catClas,MATCH(D3992,catNom,0))&amp;"","")="","Variable",IFERROR(INDEX(catClas,MATCH(D3992,catNom,0))&amp;"","")),"")</f>
        <v/>
      </c>
      <c r="L3992" s="19">
        <f>IF(I3992="","",IFERROR(INDEX(catAlim,MATCH(D3992,catNom,0))&amp;"",""))</f>
        <v/>
      </c>
      <c r="M3992" s="19">
        <f>IF(I3992="","",IFERROR(INDEX(catComida,MATCH(D3992,catNom,0))&amp;"",""))</f>
        <v/>
      </c>
      <c r="N3992" s="19">
        <f>IF(I3992="","",IFERROR(INDEX(ctaMon,MATCH(E3992,ctaNom,0))&amp;"","DOP"))</f>
        <v/>
      </c>
      <c r="O3992" s="20">
        <f>IF(I3992="","",C3992*IF(N3992="USD",TasaUSD,1))</f>
        <v/>
      </c>
      <c r="P3992" s="20">
        <f>IF(I3992="","",IF(I3992="Gasto",O3992,0))</f>
        <v/>
      </c>
      <c r="Q3992" s="20">
        <f>IF(I3992="","",IF(I3992="Ingreso",O3992,0))</f>
        <v/>
      </c>
      <c r="R3992" s="20">
        <f>IF(I3992="","",IF(I3992="Trading",O3992,0))</f>
        <v/>
      </c>
      <c r="S3992" s="19">
        <f>IF(I3992="","",IF(AND(I3992="Gasto",K3992="Variable",J3992&lt;&gt;"Trading",O3992&gt;0,O3992&lt;=Umbral),1,0))</f>
        <v/>
      </c>
      <c r="T3992" s="20">
        <f>IF(OR(I3992="",E3992=""),"",IF(OR(I3992="Gasto",I3992="Transferencia",I3992="Pago tarjeta"),-1,1)*C3992)</f>
        <v/>
      </c>
      <c r="U3992" s="20">
        <f>IF(OR(G3992="",AND(I3992&lt;&gt;"Transferencia",I3992&lt;&gt;"Pago tarjeta")),"",IF(IFERROR(INDEX(ctaMon,MATCH(G3992,ctaNom,0))&amp;"","DOP")=N3992,C3992,IF(N3992="USD",C3992*TasaUSD,C3992/TasaUSD)))</f>
        <v/>
      </c>
      <c r="V3992" s="20">
        <f>IF(I3992="","",IF(IFERROR(INDEX(ctaLiq,MATCH(E3992,ctaNom,0))="Sí",FALSE),IF(OR(I3992="Gasto",I3992="Transferencia",I3992="Pago tarjeta"),-1,1)*O3992,0)+IF(AND(U3992&lt;&gt;"",IFERROR(INDEX(ctaLiq,MATCH(G3992,ctaNom,0))="Sí",FALSE)),O3992,0))</f>
        <v/>
      </c>
      <c r="W3992" s="19">
        <f>IF(OR(F3992="",I3992=""),"",IF(COUNTIFS(F$6:F3992,F3992,I$6:I3992,"?*")=1,MAX(W$5:W3991)+1,""))</f>
        <v/>
      </c>
    </row>
    <row r="3993">
      <c r="B3993" s="15" t="n"/>
      <c r="C3993" s="16" t="n"/>
      <c r="D3993" s="17" t="n"/>
      <c r="E3993" s="17" t="n"/>
      <c r="F3993" s="17" t="n"/>
      <c r="G3993" s="17" t="n"/>
      <c r="H3993" s="18">
        <f>IF(AND(B3993="",C3993="",D3993="",E3993=""),"",IF(B3993="","⚠ Falta fecha",IF(C3993="","⚠ Falta monto",IF(D3993="","⚠ Falta categoría",IF(ISNA(MATCH(D3993,catNom,0)),"⚠ Categoría no existe",IF(E3993="","⚠ Falta cuenta",IF(ISNA(MATCH(E3993,ctaNom,0)),"⚠ Cuenta no existe",IF(AND(OR(I3993="Transferencia",I3993="Pago tarjeta"),G3993=""),"⚠ Indica la cuenta «Hacia»",IF(AND(G3993&lt;&gt;"",G3993=E3993),"⚠ «Hacia» igual a la cuenta",IF(AND(G3993&lt;&gt;"",ISNA(MATCH(G3993,ctaNom,0))),"⚠ «Hacia» no existe",IF(AND(I3993="Pago tarjeta",IFERROR(INDEX(ctaTipo,MATCH(G3993,ctaNom,0)),"")&lt;&gt;"Tarjeta de crédito"),"⚠ «Hacia» debe ser la tarjeta",IF(AND(I3993="Trading",IFERROR(INDEX(ctaTipo,MATCH(E3993,ctaNom,0)),"")&lt;&gt;"Cuenta de trading"),"⚠ Usa la cuenta de trading","✓"))))))))))))</f>
        <v/>
      </c>
      <c r="I3993" s="19">
        <f>IF(OR(B3993="",C3993="",D3993=""),"",IFERROR(INDEX(catTipo,MATCH(D3993,catNom,0))&amp;"",""))</f>
        <v/>
      </c>
      <c r="J3993" s="19">
        <f>IF(I3993="","",IFERROR(INDEX(catGrupo,MATCH(D3993,catNom,0))&amp;"",""))</f>
        <v/>
      </c>
      <c r="K3993" s="19">
        <f>IF(I3993="Gasto",IF(IFERROR(INDEX(catClas,MATCH(D3993,catNom,0))&amp;"","")="","Variable",IFERROR(INDEX(catClas,MATCH(D3993,catNom,0))&amp;"","")),"")</f>
        <v/>
      </c>
      <c r="L3993" s="19">
        <f>IF(I3993="","",IFERROR(INDEX(catAlim,MATCH(D3993,catNom,0))&amp;"",""))</f>
        <v/>
      </c>
      <c r="M3993" s="19">
        <f>IF(I3993="","",IFERROR(INDEX(catComida,MATCH(D3993,catNom,0))&amp;"",""))</f>
        <v/>
      </c>
      <c r="N3993" s="19">
        <f>IF(I3993="","",IFERROR(INDEX(ctaMon,MATCH(E3993,ctaNom,0))&amp;"","DOP"))</f>
        <v/>
      </c>
      <c r="O3993" s="20">
        <f>IF(I3993="","",C3993*IF(N3993="USD",TasaUSD,1))</f>
        <v/>
      </c>
      <c r="P3993" s="20">
        <f>IF(I3993="","",IF(I3993="Gasto",O3993,0))</f>
        <v/>
      </c>
      <c r="Q3993" s="20">
        <f>IF(I3993="","",IF(I3993="Ingreso",O3993,0))</f>
        <v/>
      </c>
      <c r="R3993" s="20">
        <f>IF(I3993="","",IF(I3993="Trading",O3993,0))</f>
        <v/>
      </c>
      <c r="S3993" s="19">
        <f>IF(I3993="","",IF(AND(I3993="Gasto",K3993="Variable",J3993&lt;&gt;"Trading",O3993&gt;0,O3993&lt;=Umbral),1,0))</f>
        <v/>
      </c>
      <c r="T3993" s="20">
        <f>IF(OR(I3993="",E3993=""),"",IF(OR(I3993="Gasto",I3993="Transferencia",I3993="Pago tarjeta"),-1,1)*C3993)</f>
        <v/>
      </c>
      <c r="U3993" s="20">
        <f>IF(OR(G3993="",AND(I3993&lt;&gt;"Transferencia",I3993&lt;&gt;"Pago tarjeta")),"",IF(IFERROR(INDEX(ctaMon,MATCH(G3993,ctaNom,0))&amp;"","DOP")=N3993,C3993,IF(N3993="USD",C3993*TasaUSD,C3993/TasaUSD)))</f>
        <v/>
      </c>
      <c r="V3993" s="20">
        <f>IF(I3993="","",IF(IFERROR(INDEX(ctaLiq,MATCH(E3993,ctaNom,0))="Sí",FALSE),IF(OR(I3993="Gasto",I3993="Transferencia",I3993="Pago tarjeta"),-1,1)*O3993,0)+IF(AND(U3993&lt;&gt;"",IFERROR(INDEX(ctaLiq,MATCH(G3993,ctaNom,0))="Sí",FALSE)),O3993,0))</f>
        <v/>
      </c>
      <c r="W3993" s="19">
        <f>IF(OR(F3993="",I3993=""),"",IF(COUNTIFS(F$6:F3993,F3993,I$6:I3993,"?*")=1,MAX(W$5:W3992)+1,""))</f>
        <v/>
      </c>
    </row>
    <row r="3994">
      <c r="B3994" s="15" t="n"/>
      <c r="C3994" s="16" t="n"/>
      <c r="D3994" s="17" t="n"/>
      <c r="E3994" s="17" t="n"/>
      <c r="F3994" s="17" t="n"/>
      <c r="G3994" s="17" t="n"/>
      <c r="H3994" s="18">
        <f>IF(AND(B3994="",C3994="",D3994="",E3994=""),"",IF(B3994="","⚠ Falta fecha",IF(C3994="","⚠ Falta monto",IF(D3994="","⚠ Falta categoría",IF(ISNA(MATCH(D3994,catNom,0)),"⚠ Categoría no existe",IF(E3994="","⚠ Falta cuenta",IF(ISNA(MATCH(E3994,ctaNom,0)),"⚠ Cuenta no existe",IF(AND(OR(I3994="Transferencia",I3994="Pago tarjeta"),G3994=""),"⚠ Indica la cuenta «Hacia»",IF(AND(G3994&lt;&gt;"",G3994=E3994),"⚠ «Hacia» igual a la cuenta",IF(AND(G3994&lt;&gt;"",ISNA(MATCH(G3994,ctaNom,0))),"⚠ «Hacia» no existe",IF(AND(I3994="Pago tarjeta",IFERROR(INDEX(ctaTipo,MATCH(G3994,ctaNom,0)),"")&lt;&gt;"Tarjeta de crédito"),"⚠ «Hacia» debe ser la tarjeta",IF(AND(I3994="Trading",IFERROR(INDEX(ctaTipo,MATCH(E3994,ctaNom,0)),"")&lt;&gt;"Cuenta de trading"),"⚠ Usa la cuenta de trading","✓"))))))))))))</f>
        <v/>
      </c>
      <c r="I3994" s="19">
        <f>IF(OR(B3994="",C3994="",D3994=""),"",IFERROR(INDEX(catTipo,MATCH(D3994,catNom,0))&amp;"",""))</f>
        <v/>
      </c>
      <c r="J3994" s="19">
        <f>IF(I3994="","",IFERROR(INDEX(catGrupo,MATCH(D3994,catNom,0))&amp;"",""))</f>
        <v/>
      </c>
      <c r="K3994" s="19">
        <f>IF(I3994="Gasto",IF(IFERROR(INDEX(catClas,MATCH(D3994,catNom,0))&amp;"","")="","Variable",IFERROR(INDEX(catClas,MATCH(D3994,catNom,0))&amp;"","")),"")</f>
        <v/>
      </c>
      <c r="L3994" s="19">
        <f>IF(I3994="","",IFERROR(INDEX(catAlim,MATCH(D3994,catNom,0))&amp;"",""))</f>
        <v/>
      </c>
      <c r="M3994" s="19">
        <f>IF(I3994="","",IFERROR(INDEX(catComida,MATCH(D3994,catNom,0))&amp;"",""))</f>
        <v/>
      </c>
      <c r="N3994" s="19">
        <f>IF(I3994="","",IFERROR(INDEX(ctaMon,MATCH(E3994,ctaNom,0))&amp;"","DOP"))</f>
        <v/>
      </c>
      <c r="O3994" s="20">
        <f>IF(I3994="","",C3994*IF(N3994="USD",TasaUSD,1))</f>
        <v/>
      </c>
      <c r="P3994" s="20">
        <f>IF(I3994="","",IF(I3994="Gasto",O3994,0))</f>
        <v/>
      </c>
      <c r="Q3994" s="20">
        <f>IF(I3994="","",IF(I3994="Ingreso",O3994,0))</f>
        <v/>
      </c>
      <c r="R3994" s="20">
        <f>IF(I3994="","",IF(I3994="Trading",O3994,0))</f>
        <v/>
      </c>
      <c r="S3994" s="19">
        <f>IF(I3994="","",IF(AND(I3994="Gasto",K3994="Variable",J3994&lt;&gt;"Trading",O3994&gt;0,O3994&lt;=Umbral),1,0))</f>
        <v/>
      </c>
      <c r="T3994" s="20">
        <f>IF(OR(I3994="",E3994=""),"",IF(OR(I3994="Gasto",I3994="Transferencia",I3994="Pago tarjeta"),-1,1)*C3994)</f>
        <v/>
      </c>
      <c r="U3994" s="20">
        <f>IF(OR(G3994="",AND(I3994&lt;&gt;"Transferencia",I3994&lt;&gt;"Pago tarjeta")),"",IF(IFERROR(INDEX(ctaMon,MATCH(G3994,ctaNom,0))&amp;"","DOP")=N3994,C3994,IF(N3994="USD",C3994*TasaUSD,C3994/TasaUSD)))</f>
        <v/>
      </c>
      <c r="V3994" s="20">
        <f>IF(I3994="","",IF(IFERROR(INDEX(ctaLiq,MATCH(E3994,ctaNom,0))="Sí",FALSE),IF(OR(I3994="Gasto",I3994="Transferencia",I3994="Pago tarjeta"),-1,1)*O3994,0)+IF(AND(U3994&lt;&gt;"",IFERROR(INDEX(ctaLiq,MATCH(G3994,ctaNom,0))="Sí",FALSE)),O3994,0))</f>
        <v/>
      </c>
      <c r="W3994" s="19">
        <f>IF(OR(F3994="",I3994=""),"",IF(COUNTIFS(F$6:F3994,F3994,I$6:I3994,"?*")=1,MAX(W$5:W3993)+1,""))</f>
        <v/>
      </c>
    </row>
    <row r="3995">
      <c r="B3995" s="15" t="n"/>
      <c r="C3995" s="16" t="n"/>
      <c r="D3995" s="17" t="n"/>
      <c r="E3995" s="17" t="n"/>
      <c r="F3995" s="17" t="n"/>
      <c r="G3995" s="17" t="n"/>
      <c r="H3995" s="18">
        <f>IF(AND(B3995="",C3995="",D3995="",E3995=""),"",IF(B3995="","⚠ Falta fecha",IF(C3995="","⚠ Falta monto",IF(D3995="","⚠ Falta categoría",IF(ISNA(MATCH(D3995,catNom,0)),"⚠ Categoría no existe",IF(E3995="","⚠ Falta cuenta",IF(ISNA(MATCH(E3995,ctaNom,0)),"⚠ Cuenta no existe",IF(AND(OR(I3995="Transferencia",I3995="Pago tarjeta"),G3995=""),"⚠ Indica la cuenta «Hacia»",IF(AND(G3995&lt;&gt;"",G3995=E3995),"⚠ «Hacia» igual a la cuenta",IF(AND(G3995&lt;&gt;"",ISNA(MATCH(G3995,ctaNom,0))),"⚠ «Hacia» no existe",IF(AND(I3995="Pago tarjeta",IFERROR(INDEX(ctaTipo,MATCH(G3995,ctaNom,0)),"")&lt;&gt;"Tarjeta de crédito"),"⚠ «Hacia» debe ser la tarjeta",IF(AND(I3995="Trading",IFERROR(INDEX(ctaTipo,MATCH(E3995,ctaNom,0)),"")&lt;&gt;"Cuenta de trading"),"⚠ Usa la cuenta de trading","✓"))))))))))))</f>
        <v/>
      </c>
      <c r="I3995" s="19">
        <f>IF(OR(B3995="",C3995="",D3995=""),"",IFERROR(INDEX(catTipo,MATCH(D3995,catNom,0))&amp;"",""))</f>
        <v/>
      </c>
      <c r="J3995" s="19">
        <f>IF(I3995="","",IFERROR(INDEX(catGrupo,MATCH(D3995,catNom,0))&amp;"",""))</f>
        <v/>
      </c>
      <c r="K3995" s="19">
        <f>IF(I3995="Gasto",IF(IFERROR(INDEX(catClas,MATCH(D3995,catNom,0))&amp;"","")="","Variable",IFERROR(INDEX(catClas,MATCH(D3995,catNom,0))&amp;"","")),"")</f>
        <v/>
      </c>
      <c r="L3995" s="19">
        <f>IF(I3995="","",IFERROR(INDEX(catAlim,MATCH(D3995,catNom,0))&amp;"",""))</f>
        <v/>
      </c>
      <c r="M3995" s="19">
        <f>IF(I3995="","",IFERROR(INDEX(catComida,MATCH(D3995,catNom,0))&amp;"",""))</f>
        <v/>
      </c>
      <c r="N3995" s="19">
        <f>IF(I3995="","",IFERROR(INDEX(ctaMon,MATCH(E3995,ctaNom,0))&amp;"","DOP"))</f>
        <v/>
      </c>
      <c r="O3995" s="20">
        <f>IF(I3995="","",C3995*IF(N3995="USD",TasaUSD,1))</f>
        <v/>
      </c>
      <c r="P3995" s="20">
        <f>IF(I3995="","",IF(I3995="Gasto",O3995,0))</f>
        <v/>
      </c>
      <c r="Q3995" s="20">
        <f>IF(I3995="","",IF(I3995="Ingreso",O3995,0))</f>
        <v/>
      </c>
      <c r="R3995" s="20">
        <f>IF(I3995="","",IF(I3995="Trading",O3995,0))</f>
        <v/>
      </c>
      <c r="S3995" s="19">
        <f>IF(I3995="","",IF(AND(I3995="Gasto",K3995="Variable",J3995&lt;&gt;"Trading",O3995&gt;0,O3995&lt;=Umbral),1,0))</f>
        <v/>
      </c>
      <c r="T3995" s="20">
        <f>IF(OR(I3995="",E3995=""),"",IF(OR(I3995="Gasto",I3995="Transferencia",I3995="Pago tarjeta"),-1,1)*C3995)</f>
        <v/>
      </c>
      <c r="U3995" s="20">
        <f>IF(OR(G3995="",AND(I3995&lt;&gt;"Transferencia",I3995&lt;&gt;"Pago tarjeta")),"",IF(IFERROR(INDEX(ctaMon,MATCH(G3995,ctaNom,0))&amp;"","DOP")=N3995,C3995,IF(N3995="USD",C3995*TasaUSD,C3995/TasaUSD)))</f>
        <v/>
      </c>
      <c r="V3995" s="20">
        <f>IF(I3995="","",IF(IFERROR(INDEX(ctaLiq,MATCH(E3995,ctaNom,0))="Sí",FALSE),IF(OR(I3995="Gasto",I3995="Transferencia",I3995="Pago tarjeta"),-1,1)*O3995,0)+IF(AND(U3995&lt;&gt;"",IFERROR(INDEX(ctaLiq,MATCH(G3995,ctaNom,0))="Sí",FALSE)),O3995,0))</f>
        <v/>
      </c>
      <c r="W3995" s="19">
        <f>IF(OR(F3995="",I3995=""),"",IF(COUNTIFS(F$6:F3995,F3995,I$6:I3995,"?*")=1,MAX(W$5:W3994)+1,""))</f>
        <v/>
      </c>
    </row>
    <row r="3996">
      <c r="B3996" s="15" t="n"/>
      <c r="C3996" s="16" t="n"/>
      <c r="D3996" s="17" t="n"/>
      <c r="E3996" s="17" t="n"/>
      <c r="F3996" s="17" t="n"/>
      <c r="G3996" s="17" t="n"/>
      <c r="H3996" s="18">
        <f>IF(AND(B3996="",C3996="",D3996="",E3996=""),"",IF(B3996="","⚠ Falta fecha",IF(C3996="","⚠ Falta monto",IF(D3996="","⚠ Falta categoría",IF(ISNA(MATCH(D3996,catNom,0)),"⚠ Categoría no existe",IF(E3996="","⚠ Falta cuenta",IF(ISNA(MATCH(E3996,ctaNom,0)),"⚠ Cuenta no existe",IF(AND(OR(I3996="Transferencia",I3996="Pago tarjeta"),G3996=""),"⚠ Indica la cuenta «Hacia»",IF(AND(G3996&lt;&gt;"",G3996=E3996),"⚠ «Hacia» igual a la cuenta",IF(AND(G3996&lt;&gt;"",ISNA(MATCH(G3996,ctaNom,0))),"⚠ «Hacia» no existe",IF(AND(I3996="Pago tarjeta",IFERROR(INDEX(ctaTipo,MATCH(G3996,ctaNom,0)),"")&lt;&gt;"Tarjeta de crédito"),"⚠ «Hacia» debe ser la tarjeta",IF(AND(I3996="Trading",IFERROR(INDEX(ctaTipo,MATCH(E3996,ctaNom,0)),"")&lt;&gt;"Cuenta de trading"),"⚠ Usa la cuenta de trading","✓"))))))))))))</f>
        <v/>
      </c>
      <c r="I3996" s="19">
        <f>IF(OR(B3996="",C3996="",D3996=""),"",IFERROR(INDEX(catTipo,MATCH(D3996,catNom,0))&amp;"",""))</f>
        <v/>
      </c>
      <c r="J3996" s="19">
        <f>IF(I3996="","",IFERROR(INDEX(catGrupo,MATCH(D3996,catNom,0))&amp;"",""))</f>
        <v/>
      </c>
      <c r="K3996" s="19">
        <f>IF(I3996="Gasto",IF(IFERROR(INDEX(catClas,MATCH(D3996,catNom,0))&amp;"","")="","Variable",IFERROR(INDEX(catClas,MATCH(D3996,catNom,0))&amp;"","")),"")</f>
        <v/>
      </c>
      <c r="L3996" s="19">
        <f>IF(I3996="","",IFERROR(INDEX(catAlim,MATCH(D3996,catNom,0))&amp;"",""))</f>
        <v/>
      </c>
      <c r="M3996" s="19">
        <f>IF(I3996="","",IFERROR(INDEX(catComida,MATCH(D3996,catNom,0))&amp;"",""))</f>
        <v/>
      </c>
      <c r="N3996" s="19">
        <f>IF(I3996="","",IFERROR(INDEX(ctaMon,MATCH(E3996,ctaNom,0))&amp;"","DOP"))</f>
        <v/>
      </c>
      <c r="O3996" s="20">
        <f>IF(I3996="","",C3996*IF(N3996="USD",TasaUSD,1))</f>
        <v/>
      </c>
      <c r="P3996" s="20">
        <f>IF(I3996="","",IF(I3996="Gasto",O3996,0))</f>
        <v/>
      </c>
      <c r="Q3996" s="20">
        <f>IF(I3996="","",IF(I3996="Ingreso",O3996,0))</f>
        <v/>
      </c>
      <c r="R3996" s="20">
        <f>IF(I3996="","",IF(I3996="Trading",O3996,0))</f>
        <v/>
      </c>
      <c r="S3996" s="19">
        <f>IF(I3996="","",IF(AND(I3996="Gasto",K3996="Variable",J3996&lt;&gt;"Trading",O3996&gt;0,O3996&lt;=Umbral),1,0))</f>
        <v/>
      </c>
      <c r="T3996" s="20">
        <f>IF(OR(I3996="",E3996=""),"",IF(OR(I3996="Gasto",I3996="Transferencia",I3996="Pago tarjeta"),-1,1)*C3996)</f>
        <v/>
      </c>
      <c r="U3996" s="20">
        <f>IF(OR(G3996="",AND(I3996&lt;&gt;"Transferencia",I3996&lt;&gt;"Pago tarjeta")),"",IF(IFERROR(INDEX(ctaMon,MATCH(G3996,ctaNom,0))&amp;"","DOP")=N3996,C3996,IF(N3996="USD",C3996*TasaUSD,C3996/TasaUSD)))</f>
        <v/>
      </c>
      <c r="V3996" s="20">
        <f>IF(I3996="","",IF(IFERROR(INDEX(ctaLiq,MATCH(E3996,ctaNom,0))="Sí",FALSE),IF(OR(I3996="Gasto",I3996="Transferencia",I3996="Pago tarjeta"),-1,1)*O3996,0)+IF(AND(U3996&lt;&gt;"",IFERROR(INDEX(ctaLiq,MATCH(G3996,ctaNom,0))="Sí",FALSE)),O3996,0))</f>
        <v/>
      </c>
      <c r="W3996" s="19">
        <f>IF(OR(F3996="",I3996=""),"",IF(COUNTIFS(F$6:F3996,F3996,I$6:I3996,"?*")=1,MAX(W$5:W3995)+1,""))</f>
        <v/>
      </c>
    </row>
    <row r="3997">
      <c r="B3997" s="15" t="n"/>
      <c r="C3997" s="16" t="n"/>
      <c r="D3997" s="17" t="n"/>
      <c r="E3997" s="17" t="n"/>
      <c r="F3997" s="17" t="n"/>
      <c r="G3997" s="17" t="n"/>
      <c r="H3997" s="18">
        <f>IF(AND(B3997="",C3997="",D3997="",E3997=""),"",IF(B3997="","⚠ Falta fecha",IF(C3997="","⚠ Falta monto",IF(D3997="","⚠ Falta categoría",IF(ISNA(MATCH(D3997,catNom,0)),"⚠ Categoría no existe",IF(E3997="","⚠ Falta cuenta",IF(ISNA(MATCH(E3997,ctaNom,0)),"⚠ Cuenta no existe",IF(AND(OR(I3997="Transferencia",I3997="Pago tarjeta"),G3997=""),"⚠ Indica la cuenta «Hacia»",IF(AND(G3997&lt;&gt;"",G3997=E3997),"⚠ «Hacia» igual a la cuenta",IF(AND(G3997&lt;&gt;"",ISNA(MATCH(G3997,ctaNom,0))),"⚠ «Hacia» no existe",IF(AND(I3997="Pago tarjeta",IFERROR(INDEX(ctaTipo,MATCH(G3997,ctaNom,0)),"")&lt;&gt;"Tarjeta de crédito"),"⚠ «Hacia» debe ser la tarjeta",IF(AND(I3997="Trading",IFERROR(INDEX(ctaTipo,MATCH(E3997,ctaNom,0)),"")&lt;&gt;"Cuenta de trading"),"⚠ Usa la cuenta de trading","✓"))))))))))))</f>
        <v/>
      </c>
      <c r="I3997" s="19">
        <f>IF(OR(B3997="",C3997="",D3997=""),"",IFERROR(INDEX(catTipo,MATCH(D3997,catNom,0))&amp;"",""))</f>
        <v/>
      </c>
      <c r="J3997" s="19">
        <f>IF(I3997="","",IFERROR(INDEX(catGrupo,MATCH(D3997,catNom,0))&amp;"",""))</f>
        <v/>
      </c>
      <c r="K3997" s="19">
        <f>IF(I3997="Gasto",IF(IFERROR(INDEX(catClas,MATCH(D3997,catNom,0))&amp;"","")="","Variable",IFERROR(INDEX(catClas,MATCH(D3997,catNom,0))&amp;"","")),"")</f>
        <v/>
      </c>
      <c r="L3997" s="19">
        <f>IF(I3997="","",IFERROR(INDEX(catAlim,MATCH(D3997,catNom,0))&amp;"",""))</f>
        <v/>
      </c>
      <c r="M3997" s="19">
        <f>IF(I3997="","",IFERROR(INDEX(catComida,MATCH(D3997,catNom,0))&amp;"",""))</f>
        <v/>
      </c>
      <c r="N3997" s="19">
        <f>IF(I3997="","",IFERROR(INDEX(ctaMon,MATCH(E3997,ctaNom,0))&amp;"","DOP"))</f>
        <v/>
      </c>
      <c r="O3997" s="20">
        <f>IF(I3997="","",C3997*IF(N3997="USD",TasaUSD,1))</f>
        <v/>
      </c>
      <c r="P3997" s="20">
        <f>IF(I3997="","",IF(I3997="Gasto",O3997,0))</f>
        <v/>
      </c>
      <c r="Q3997" s="20">
        <f>IF(I3997="","",IF(I3997="Ingreso",O3997,0))</f>
        <v/>
      </c>
      <c r="R3997" s="20">
        <f>IF(I3997="","",IF(I3997="Trading",O3997,0))</f>
        <v/>
      </c>
      <c r="S3997" s="19">
        <f>IF(I3997="","",IF(AND(I3997="Gasto",K3997="Variable",J3997&lt;&gt;"Trading",O3997&gt;0,O3997&lt;=Umbral),1,0))</f>
        <v/>
      </c>
      <c r="T3997" s="20">
        <f>IF(OR(I3997="",E3997=""),"",IF(OR(I3997="Gasto",I3997="Transferencia",I3997="Pago tarjeta"),-1,1)*C3997)</f>
        <v/>
      </c>
      <c r="U3997" s="20">
        <f>IF(OR(G3997="",AND(I3997&lt;&gt;"Transferencia",I3997&lt;&gt;"Pago tarjeta")),"",IF(IFERROR(INDEX(ctaMon,MATCH(G3997,ctaNom,0))&amp;"","DOP")=N3997,C3997,IF(N3997="USD",C3997*TasaUSD,C3997/TasaUSD)))</f>
        <v/>
      </c>
      <c r="V3997" s="20">
        <f>IF(I3997="","",IF(IFERROR(INDEX(ctaLiq,MATCH(E3997,ctaNom,0))="Sí",FALSE),IF(OR(I3997="Gasto",I3997="Transferencia",I3997="Pago tarjeta"),-1,1)*O3997,0)+IF(AND(U3997&lt;&gt;"",IFERROR(INDEX(ctaLiq,MATCH(G3997,ctaNom,0))="Sí",FALSE)),O3997,0))</f>
        <v/>
      </c>
      <c r="W3997" s="19">
        <f>IF(OR(F3997="",I3997=""),"",IF(COUNTIFS(F$6:F3997,F3997,I$6:I3997,"?*")=1,MAX(W$5:W3996)+1,""))</f>
        <v/>
      </c>
    </row>
    <row r="3998">
      <c r="B3998" s="15" t="n"/>
      <c r="C3998" s="16" t="n"/>
      <c r="D3998" s="17" t="n"/>
      <c r="E3998" s="17" t="n"/>
      <c r="F3998" s="17" t="n"/>
      <c r="G3998" s="17" t="n"/>
      <c r="H3998" s="18">
        <f>IF(AND(B3998="",C3998="",D3998="",E3998=""),"",IF(B3998="","⚠ Falta fecha",IF(C3998="","⚠ Falta monto",IF(D3998="","⚠ Falta categoría",IF(ISNA(MATCH(D3998,catNom,0)),"⚠ Categoría no existe",IF(E3998="","⚠ Falta cuenta",IF(ISNA(MATCH(E3998,ctaNom,0)),"⚠ Cuenta no existe",IF(AND(OR(I3998="Transferencia",I3998="Pago tarjeta"),G3998=""),"⚠ Indica la cuenta «Hacia»",IF(AND(G3998&lt;&gt;"",G3998=E3998),"⚠ «Hacia» igual a la cuenta",IF(AND(G3998&lt;&gt;"",ISNA(MATCH(G3998,ctaNom,0))),"⚠ «Hacia» no existe",IF(AND(I3998="Pago tarjeta",IFERROR(INDEX(ctaTipo,MATCH(G3998,ctaNom,0)),"")&lt;&gt;"Tarjeta de crédito"),"⚠ «Hacia» debe ser la tarjeta",IF(AND(I3998="Trading",IFERROR(INDEX(ctaTipo,MATCH(E3998,ctaNom,0)),"")&lt;&gt;"Cuenta de trading"),"⚠ Usa la cuenta de trading","✓"))))))))))))</f>
        <v/>
      </c>
      <c r="I3998" s="19">
        <f>IF(OR(B3998="",C3998="",D3998=""),"",IFERROR(INDEX(catTipo,MATCH(D3998,catNom,0))&amp;"",""))</f>
        <v/>
      </c>
      <c r="J3998" s="19">
        <f>IF(I3998="","",IFERROR(INDEX(catGrupo,MATCH(D3998,catNom,0))&amp;"",""))</f>
        <v/>
      </c>
      <c r="K3998" s="19">
        <f>IF(I3998="Gasto",IF(IFERROR(INDEX(catClas,MATCH(D3998,catNom,0))&amp;"","")="","Variable",IFERROR(INDEX(catClas,MATCH(D3998,catNom,0))&amp;"","")),"")</f>
        <v/>
      </c>
      <c r="L3998" s="19">
        <f>IF(I3998="","",IFERROR(INDEX(catAlim,MATCH(D3998,catNom,0))&amp;"",""))</f>
        <v/>
      </c>
      <c r="M3998" s="19">
        <f>IF(I3998="","",IFERROR(INDEX(catComida,MATCH(D3998,catNom,0))&amp;"",""))</f>
        <v/>
      </c>
      <c r="N3998" s="19">
        <f>IF(I3998="","",IFERROR(INDEX(ctaMon,MATCH(E3998,ctaNom,0))&amp;"","DOP"))</f>
        <v/>
      </c>
      <c r="O3998" s="20">
        <f>IF(I3998="","",C3998*IF(N3998="USD",TasaUSD,1))</f>
        <v/>
      </c>
      <c r="P3998" s="20">
        <f>IF(I3998="","",IF(I3998="Gasto",O3998,0))</f>
        <v/>
      </c>
      <c r="Q3998" s="20">
        <f>IF(I3998="","",IF(I3998="Ingreso",O3998,0))</f>
        <v/>
      </c>
      <c r="R3998" s="20">
        <f>IF(I3998="","",IF(I3998="Trading",O3998,0))</f>
        <v/>
      </c>
      <c r="S3998" s="19">
        <f>IF(I3998="","",IF(AND(I3998="Gasto",K3998="Variable",J3998&lt;&gt;"Trading",O3998&gt;0,O3998&lt;=Umbral),1,0))</f>
        <v/>
      </c>
      <c r="T3998" s="20">
        <f>IF(OR(I3998="",E3998=""),"",IF(OR(I3998="Gasto",I3998="Transferencia",I3998="Pago tarjeta"),-1,1)*C3998)</f>
        <v/>
      </c>
      <c r="U3998" s="20">
        <f>IF(OR(G3998="",AND(I3998&lt;&gt;"Transferencia",I3998&lt;&gt;"Pago tarjeta")),"",IF(IFERROR(INDEX(ctaMon,MATCH(G3998,ctaNom,0))&amp;"","DOP")=N3998,C3998,IF(N3998="USD",C3998*TasaUSD,C3998/TasaUSD)))</f>
        <v/>
      </c>
      <c r="V3998" s="20">
        <f>IF(I3998="","",IF(IFERROR(INDEX(ctaLiq,MATCH(E3998,ctaNom,0))="Sí",FALSE),IF(OR(I3998="Gasto",I3998="Transferencia",I3998="Pago tarjeta"),-1,1)*O3998,0)+IF(AND(U3998&lt;&gt;"",IFERROR(INDEX(ctaLiq,MATCH(G3998,ctaNom,0))="Sí",FALSE)),O3998,0))</f>
        <v/>
      </c>
      <c r="W3998" s="19">
        <f>IF(OR(F3998="",I3998=""),"",IF(COUNTIFS(F$6:F3998,F3998,I$6:I3998,"?*")=1,MAX(W$5:W3997)+1,""))</f>
        <v/>
      </c>
    </row>
    <row r="3999">
      <c r="B3999" s="15" t="n"/>
      <c r="C3999" s="16" t="n"/>
      <c r="D3999" s="17" t="n"/>
      <c r="E3999" s="17" t="n"/>
      <c r="F3999" s="17" t="n"/>
      <c r="G3999" s="17" t="n"/>
      <c r="H3999" s="18">
        <f>IF(AND(B3999="",C3999="",D3999="",E3999=""),"",IF(B3999="","⚠ Falta fecha",IF(C3999="","⚠ Falta monto",IF(D3999="","⚠ Falta categoría",IF(ISNA(MATCH(D3999,catNom,0)),"⚠ Categoría no existe",IF(E3999="","⚠ Falta cuenta",IF(ISNA(MATCH(E3999,ctaNom,0)),"⚠ Cuenta no existe",IF(AND(OR(I3999="Transferencia",I3999="Pago tarjeta"),G3999=""),"⚠ Indica la cuenta «Hacia»",IF(AND(G3999&lt;&gt;"",G3999=E3999),"⚠ «Hacia» igual a la cuenta",IF(AND(G3999&lt;&gt;"",ISNA(MATCH(G3999,ctaNom,0))),"⚠ «Hacia» no existe",IF(AND(I3999="Pago tarjeta",IFERROR(INDEX(ctaTipo,MATCH(G3999,ctaNom,0)),"")&lt;&gt;"Tarjeta de crédito"),"⚠ «Hacia» debe ser la tarjeta",IF(AND(I3999="Trading",IFERROR(INDEX(ctaTipo,MATCH(E3999,ctaNom,0)),"")&lt;&gt;"Cuenta de trading"),"⚠ Usa la cuenta de trading","✓"))))))))))))</f>
        <v/>
      </c>
      <c r="I3999" s="19">
        <f>IF(OR(B3999="",C3999="",D3999=""),"",IFERROR(INDEX(catTipo,MATCH(D3999,catNom,0))&amp;"",""))</f>
        <v/>
      </c>
      <c r="J3999" s="19">
        <f>IF(I3999="","",IFERROR(INDEX(catGrupo,MATCH(D3999,catNom,0))&amp;"",""))</f>
        <v/>
      </c>
      <c r="K3999" s="19">
        <f>IF(I3999="Gasto",IF(IFERROR(INDEX(catClas,MATCH(D3999,catNom,0))&amp;"","")="","Variable",IFERROR(INDEX(catClas,MATCH(D3999,catNom,0))&amp;"","")),"")</f>
        <v/>
      </c>
      <c r="L3999" s="19">
        <f>IF(I3999="","",IFERROR(INDEX(catAlim,MATCH(D3999,catNom,0))&amp;"",""))</f>
        <v/>
      </c>
      <c r="M3999" s="19">
        <f>IF(I3999="","",IFERROR(INDEX(catComida,MATCH(D3999,catNom,0))&amp;"",""))</f>
        <v/>
      </c>
      <c r="N3999" s="19">
        <f>IF(I3999="","",IFERROR(INDEX(ctaMon,MATCH(E3999,ctaNom,0))&amp;"","DOP"))</f>
        <v/>
      </c>
      <c r="O3999" s="20">
        <f>IF(I3999="","",C3999*IF(N3999="USD",TasaUSD,1))</f>
        <v/>
      </c>
      <c r="P3999" s="20">
        <f>IF(I3999="","",IF(I3999="Gasto",O3999,0))</f>
        <v/>
      </c>
      <c r="Q3999" s="20">
        <f>IF(I3999="","",IF(I3999="Ingreso",O3999,0))</f>
        <v/>
      </c>
      <c r="R3999" s="20">
        <f>IF(I3999="","",IF(I3999="Trading",O3999,0))</f>
        <v/>
      </c>
      <c r="S3999" s="19">
        <f>IF(I3999="","",IF(AND(I3999="Gasto",K3999="Variable",J3999&lt;&gt;"Trading",O3999&gt;0,O3999&lt;=Umbral),1,0))</f>
        <v/>
      </c>
      <c r="T3999" s="20">
        <f>IF(OR(I3999="",E3999=""),"",IF(OR(I3999="Gasto",I3999="Transferencia",I3999="Pago tarjeta"),-1,1)*C3999)</f>
        <v/>
      </c>
      <c r="U3999" s="20">
        <f>IF(OR(G3999="",AND(I3999&lt;&gt;"Transferencia",I3999&lt;&gt;"Pago tarjeta")),"",IF(IFERROR(INDEX(ctaMon,MATCH(G3999,ctaNom,0))&amp;"","DOP")=N3999,C3999,IF(N3999="USD",C3999*TasaUSD,C3999/TasaUSD)))</f>
        <v/>
      </c>
      <c r="V3999" s="20">
        <f>IF(I3999="","",IF(IFERROR(INDEX(ctaLiq,MATCH(E3999,ctaNom,0))="Sí",FALSE),IF(OR(I3999="Gasto",I3999="Transferencia",I3999="Pago tarjeta"),-1,1)*O3999,0)+IF(AND(U3999&lt;&gt;"",IFERROR(INDEX(ctaLiq,MATCH(G3999,ctaNom,0))="Sí",FALSE)),O3999,0))</f>
        <v/>
      </c>
      <c r="W3999" s="19">
        <f>IF(OR(F3999="",I3999=""),"",IF(COUNTIFS(F$6:F3999,F3999,I$6:I3999,"?*")=1,MAX(W$5:W3998)+1,""))</f>
        <v/>
      </c>
    </row>
    <row r="4000">
      <c r="B4000" s="15" t="n"/>
      <c r="C4000" s="16" t="n"/>
      <c r="D4000" s="17" t="n"/>
      <c r="E4000" s="17" t="n"/>
      <c r="F4000" s="17" t="n"/>
      <c r="G4000" s="17" t="n"/>
      <c r="H4000" s="18">
        <f>IF(AND(B4000="",C4000="",D4000="",E4000=""),"",IF(B4000="","⚠ Falta fecha",IF(C4000="","⚠ Falta monto",IF(D4000="","⚠ Falta categoría",IF(ISNA(MATCH(D4000,catNom,0)),"⚠ Categoría no existe",IF(E4000="","⚠ Falta cuenta",IF(ISNA(MATCH(E4000,ctaNom,0)),"⚠ Cuenta no existe",IF(AND(OR(I4000="Transferencia",I4000="Pago tarjeta"),G4000=""),"⚠ Indica la cuenta «Hacia»",IF(AND(G4000&lt;&gt;"",G4000=E4000),"⚠ «Hacia» igual a la cuenta",IF(AND(G4000&lt;&gt;"",ISNA(MATCH(G4000,ctaNom,0))),"⚠ «Hacia» no existe",IF(AND(I4000="Pago tarjeta",IFERROR(INDEX(ctaTipo,MATCH(G4000,ctaNom,0)),"")&lt;&gt;"Tarjeta de crédito"),"⚠ «Hacia» debe ser la tarjeta",IF(AND(I4000="Trading",IFERROR(INDEX(ctaTipo,MATCH(E4000,ctaNom,0)),"")&lt;&gt;"Cuenta de trading"),"⚠ Usa la cuenta de trading","✓"))))))))))))</f>
        <v/>
      </c>
      <c r="I4000" s="19">
        <f>IF(OR(B4000="",C4000="",D4000=""),"",IFERROR(INDEX(catTipo,MATCH(D4000,catNom,0))&amp;"",""))</f>
        <v/>
      </c>
      <c r="J4000" s="19">
        <f>IF(I4000="","",IFERROR(INDEX(catGrupo,MATCH(D4000,catNom,0))&amp;"",""))</f>
        <v/>
      </c>
      <c r="K4000" s="19">
        <f>IF(I4000="Gasto",IF(IFERROR(INDEX(catClas,MATCH(D4000,catNom,0))&amp;"","")="","Variable",IFERROR(INDEX(catClas,MATCH(D4000,catNom,0))&amp;"","")),"")</f>
        <v/>
      </c>
      <c r="L4000" s="19">
        <f>IF(I4000="","",IFERROR(INDEX(catAlim,MATCH(D4000,catNom,0))&amp;"",""))</f>
        <v/>
      </c>
      <c r="M4000" s="19">
        <f>IF(I4000="","",IFERROR(INDEX(catComida,MATCH(D4000,catNom,0))&amp;"",""))</f>
        <v/>
      </c>
      <c r="N4000" s="19">
        <f>IF(I4000="","",IFERROR(INDEX(ctaMon,MATCH(E4000,ctaNom,0))&amp;"","DOP"))</f>
        <v/>
      </c>
      <c r="O4000" s="20">
        <f>IF(I4000="","",C4000*IF(N4000="USD",TasaUSD,1))</f>
        <v/>
      </c>
      <c r="P4000" s="20">
        <f>IF(I4000="","",IF(I4000="Gasto",O4000,0))</f>
        <v/>
      </c>
      <c r="Q4000" s="20">
        <f>IF(I4000="","",IF(I4000="Ingreso",O4000,0))</f>
        <v/>
      </c>
      <c r="R4000" s="20">
        <f>IF(I4000="","",IF(I4000="Trading",O4000,0))</f>
        <v/>
      </c>
      <c r="S4000" s="19">
        <f>IF(I4000="","",IF(AND(I4000="Gasto",K4000="Variable",J4000&lt;&gt;"Trading",O4000&gt;0,O4000&lt;=Umbral),1,0))</f>
        <v/>
      </c>
      <c r="T4000" s="20">
        <f>IF(OR(I4000="",E4000=""),"",IF(OR(I4000="Gasto",I4000="Transferencia",I4000="Pago tarjeta"),-1,1)*C4000)</f>
        <v/>
      </c>
      <c r="U4000" s="20">
        <f>IF(OR(G4000="",AND(I4000&lt;&gt;"Transferencia",I4000&lt;&gt;"Pago tarjeta")),"",IF(IFERROR(INDEX(ctaMon,MATCH(G4000,ctaNom,0))&amp;"","DOP")=N4000,C4000,IF(N4000="USD",C4000*TasaUSD,C4000/TasaUSD)))</f>
        <v/>
      </c>
      <c r="V4000" s="20">
        <f>IF(I4000="","",IF(IFERROR(INDEX(ctaLiq,MATCH(E4000,ctaNom,0))="Sí",FALSE),IF(OR(I4000="Gasto",I4000="Transferencia",I4000="Pago tarjeta"),-1,1)*O4000,0)+IF(AND(U4000&lt;&gt;"",IFERROR(INDEX(ctaLiq,MATCH(G4000,ctaNom,0))="Sí",FALSE)),O4000,0))</f>
        <v/>
      </c>
      <c r="W4000" s="19">
        <f>IF(OR(F4000="",I4000=""),"",IF(COUNTIFS(F$6:F4000,F4000,I$6:I4000,"?*")=1,MAX(W$5:W3999)+1,""))</f>
        <v/>
      </c>
    </row>
    <row r="4001">
      <c r="B4001" s="15" t="n"/>
      <c r="C4001" s="16" t="n"/>
      <c r="D4001" s="17" t="n"/>
      <c r="E4001" s="17" t="n"/>
      <c r="F4001" s="17" t="n"/>
      <c r="G4001" s="17" t="n"/>
      <c r="H4001" s="18">
        <f>IF(AND(B4001="",C4001="",D4001="",E4001=""),"",IF(B4001="","⚠ Falta fecha",IF(C4001="","⚠ Falta monto",IF(D4001="","⚠ Falta categoría",IF(ISNA(MATCH(D4001,catNom,0)),"⚠ Categoría no existe",IF(E4001="","⚠ Falta cuenta",IF(ISNA(MATCH(E4001,ctaNom,0)),"⚠ Cuenta no existe",IF(AND(OR(I4001="Transferencia",I4001="Pago tarjeta"),G4001=""),"⚠ Indica la cuenta «Hacia»",IF(AND(G4001&lt;&gt;"",G4001=E4001),"⚠ «Hacia» igual a la cuenta",IF(AND(G4001&lt;&gt;"",ISNA(MATCH(G4001,ctaNom,0))),"⚠ «Hacia» no existe",IF(AND(I4001="Pago tarjeta",IFERROR(INDEX(ctaTipo,MATCH(G4001,ctaNom,0)),"")&lt;&gt;"Tarjeta de crédito"),"⚠ «Hacia» debe ser la tarjeta",IF(AND(I4001="Trading",IFERROR(INDEX(ctaTipo,MATCH(E4001,ctaNom,0)),"")&lt;&gt;"Cuenta de trading"),"⚠ Usa la cuenta de trading","✓"))))))))))))</f>
        <v/>
      </c>
      <c r="I4001" s="19">
        <f>IF(OR(B4001="",C4001="",D4001=""),"",IFERROR(INDEX(catTipo,MATCH(D4001,catNom,0))&amp;"",""))</f>
        <v/>
      </c>
      <c r="J4001" s="19">
        <f>IF(I4001="","",IFERROR(INDEX(catGrupo,MATCH(D4001,catNom,0))&amp;"",""))</f>
        <v/>
      </c>
      <c r="K4001" s="19">
        <f>IF(I4001="Gasto",IF(IFERROR(INDEX(catClas,MATCH(D4001,catNom,0))&amp;"","")="","Variable",IFERROR(INDEX(catClas,MATCH(D4001,catNom,0))&amp;"","")),"")</f>
        <v/>
      </c>
      <c r="L4001" s="19">
        <f>IF(I4001="","",IFERROR(INDEX(catAlim,MATCH(D4001,catNom,0))&amp;"",""))</f>
        <v/>
      </c>
      <c r="M4001" s="19">
        <f>IF(I4001="","",IFERROR(INDEX(catComida,MATCH(D4001,catNom,0))&amp;"",""))</f>
        <v/>
      </c>
      <c r="N4001" s="19">
        <f>IF(I4001="","",IFERROR(INDEX(ctaMon,MATCH(E4001,ctaNom,0))&amp;"","DOP"))</f>
        <v/>
      </c>
      <c r="O4001" s="20">
        <f>IF(I4001="","",C4001*IF(N4001="USD",TasaUSD,1))</f>
        <v/>
      </c>
      <c r="P4001" s="20">
        <f>IF(I4001="","",IF(I4001="Gasto",O4001,0))</f>
        <v/>
      </c>
      <c r="Q4001" s="20">
        <f>IF(I4001="","",IF(I4001="Ingreso",O4001,0))</f>
        <v/>
      </c>
      <c r="R4001" s="20">
        <f>IF(I4001="","",IF(I4001="Trading",O4001,0))</f>
        <v/>
      </c>
      <c r="S4001" s="19">
        <f>IF(I4001="","",IF(AND(I4001="Gasto",K4001="Variable",J4001&lt;&gt;"Trading",O4001&gt;0,O4001&lt;=Umbral),1,0))</f>
        <v/>
      </c>
      <c r="T4001" s="20">
        <f>IF(OR(I4001="",E4001=""),"",IF(OR(I4001="Gasto",I4001="Transferencia",I4001="Pago tarjeta"),-1,1)*C4001)</f>
        <v/>
      </c>
      <c r="U4001" s="20">
        <f>IF(OR(G4001="",AND(I4001&lt;&gt;"Transferencia",I4001&lt;&gt;"Pago tarjeta")),"",IF(IFERROR(INDEX(ctaMon,MATCH(G4001,ctaNom,0))&amp;"","DOP")=N4001,C4001,IF(N4001="USD",C4001*TasaUSD,C4001/TasaUSD)))</f>
        <v/>
      </c>
      <c r="V4001" s="20">
        <f>IF(I4001="","",IF(IFERROR(INDEX(ctaLiq,MATCH(E4001,ctaNom,0))="Sí",FALSE),IF(OR(I4001="Gasto",I4001="Transferencia",I4001="Pago tarjeta"),-1,1)*O4001,0)+IF(AND(U4001&lt;&gt;"",IFERROR(INDEX(ctaLiq,MATCH(G4001,ctaNom,0))="Sí",FALSE)),O4001,0))</f>
        <v/>
      </c>
      <c r="W4001" s="19">
        <f>IF(OR(F4001="",I4001=""),"",IF(COUNTIFS(F$6:F4001,F4001,I$6:I4001,"?*")=1,MAX(W$5:W4000)+1,""))</f>
        <v/>
      </c>
    </row>
    <row r="4002">
      <c r="B4002" s="15" t="n"/>
      <c r="C4002" s="16" t="n"/>
      <c r="D4002" s="17" t="n"/>
      <c r="E4002" s="17" t="n"/>
      <c r="F4002" s="17" t="n"/>
      <c r="G4002" s="17" t="n"/>
      <c r="H4002" s="18">
        <f>IF(AND(B4002="",C4002="",D4002="",E4002=""),"",IF(B4002="","⚠ Falta fecha",IF(C4002="","⚠ Falta monto",IF(D4002="","⚠ Falta categoría",IF(ISNA(MATCH(D4002,catNom,0)),"⚠ Categoría no existe",IF(E4002="","⚠ Falta cuenta",IF(ISNA(MATCH(E4002,ctaNom,0)),"⚠ Cuenta no existe",IF(AND(OR(I4002="Transferencia",I4002="Pago tarjeta"),G4002=""),"⚠ Indica la cuenta «Hacia»",IF(AND(G4002&lt;&gt;"",G4002=E4002),"⚠ «Hacia» igual a la cuenta",IF(AND(G4002&lt;&gt;"",ISNA(MATCH(G4002,ctaNom,0))),"⚠ «Hacia» no existe",IF(AND(I4002="Pago tarjeta",IFERROR(INDEX(ctaTipo,MATCH(G4002,ctaNom,0)),"")&lt;&gt;"Tarjeta de crédito"),"⚠ «Hacia» debe ser la tarjeta",IF(AND(I4002="Trading",IFERROR(INDEX(ctaTipo,MATCH(E4002,ctaNom,0)),"")&lt;&gt;"Cuenta de trading"),"⚠ Usa la cuenta de trading","✓"))))))))))))</f>
        <v/>
      </c>
      <c r="I4002" s="19">
        <f>IF(OR(B4002="",C4002="",D4002=""),"",IFERROR(INDEX(catTipo,MATCH(D4002,catNom,0))&amp;"",""))</f>
        <v/>
      </c>
      <c r="J4002" s="19">
        <f>IF(I4002="","",IFERROR(INDEX(catGrupo,MATCH(D4002,catNom,0))&amp;"",""))</f>
        <v/>
      </c>
      <c r="K4002" s="19">
        <f>IF(I4002="Gasto",IF(IFERROR(INDEX(catClas,MATCH(D4002,catNom,0))&amp;"","")="","Variable",IFERROR(INDEX(catClas,MATCH(D4002,catNom,0))&amp;"","")),"")</f>
        <v/>
      </c>
      <c r="L4002" s="19">
        <f>IF(I4002="","",IFERROR(INDEX(catAlim,MATCH(D4002,catNom,0))&amp;"",""))</f>
        <v/>
      </c>
      <c r="M4002" s="19">
        <f>IF(I4002="","",IFERROR(INDEX(catComida,MATCH(D4002,catNom,0))&amp;"",""))</f>
        <v/>
      </c>
      <c r="N4002" s="19">
        <f>IF(I4002="","",IFERROR(INDEX(ctaMon,MATCH(E4002,ctaNom,0))&amp;"","DOP"))</f>
        <v/>
      </c>
      <c r="O4002" s="20">
        <f>IF(I4002="","",C4002*IF(N4002="USD",TasaUSD,1))</f>
        <v/>
      </c>
      <c r="P4002" s="20">
        <f>IF(I4002="","",IF(I4002="Gasto",O4002,0))</f>
        <v/>
      </c>
      <c r="Q4002" s="20">
        <f>IF(I4002="","",IF(I4002="Ingreso",O4002,0))</f>
        <v/>
      </c>
      <c r="R4002" s="20">
        <f>IF(I4002="","",IF(I4002="Trading",O4002,0))</f>
        <v/>
      </c>
      <c r="S4002" s="19">
        <f>IF(I4002="","",IF(AND(I4002="Gasto",K4002="Variable",J4002&lt;&gt;"Trading",O4002&gt;0,O4002&lt;=Umbral),1,0))</f>
        <v/>
      </c>
      <c r="T4002" s="20">
        <f>IF(OR(I4002="",E4002=""),"",IF(OR(I4002="Gasto",I4002="Transferencia",I4002="Pago tarjeta"),-1,1)*C4002)</f>
        <v/>
      </c>
      <c r="U4002" s="20">
        <f>IF(OR(G4002="",AND(I4002&lt;&gt;"Transferencia",I4002&lt;&gt;"Pago tarjeta")),"",IF(IFERROR(INDEX(ctaMon,MATCH(G4002,ctaNom,0))&amp;"","DOP")=N4002,C4002,IF(N4002="USD",C4002*TasaUSD,C4002/TasaUSD)))</f>
        <v/>
      </c>
      <c r="V4002" s="20">
        <f>IF(I4002="","",IF(IFERROR(INDEX(ctaLiq,MATCH(E4002,ctaNom,0))="Sí",FALSE),IF(OR(I4002="Gasto",I4002="Transferencia",I4002="Pago tarjeta"),-1,1)*O4002,0)+IF(AND(U4002&lt;&gt;"",IFERROR(INDEX(ctaLiq,MATCH(G4002,ctaNom,0))="Sí",FALSE)),O4002,0))</f>
        <v/>
      </c>
      <c r="W4002" s="19">
        <f>IF(OR(F4002="",I4002=""),"",IF(COUNTIFS(F$6:F4002,F4002,I$6:I4002,"?*")=1,MAX(W$5:W4001)+1,""))</f>
        <v/>
      </c>
    </row>
    <row r="4003">
      <c r="B4003" s="15" t="n"/>
      <c r="C4003" s="16" t="n"/>
      <c r="D4003" s="17" t="n"/>
      <c r="E4003" s="17" t="n"/>
      <c r="F4003" s="17" t="n"/>
      <c r="G4003" s="17" t="n"/>
      <c r="H4003" s="18">
        <f>IF(AND(B4003="",C4003="",D4003="",E4003=""),"",IF(B4003="","⚠ Falta fecha",IF(C4003="","⚠ Falta monto",IF(D4003="","⚠ Falta categoría",IF(ISNA(MATCH(D4003,catNom,0)),"⚠ Categoría no existe",IF(E4003="","⚠ Falta cuenta",IF(ISNA(MATCH(E4003,ctaNom,0)),"⚠ Cuenta no existe",IF(AND(OR(I4003="Transferencia",I4003="Pago tarjeta"),G4003=""),"⚠ Indica la cuenta «Hacia»",IF(AND(G4003&lt;&gt;"",G4003=E4003),"⚠ «Hacia» igual a la cuenta",IF(AND(G4003&lt;&gt;"",ISNA(MATCH(G4003,ctaNom,0))),"⚠ «Hacia» no existe",IF(AND(I4003="Pago tarjeta",IFERROR(INDEX(ctaTipo,MATCH(G4003,ctaNom,0)),"")&lt;&gt;"Tarjeta de crédito"),"⚠ «Hacia» debe ser la tarjeta",IF(AND(I4003="Trading",IFERROR(INDEX(ctaTipo,MATCH(E4003,ctaNom,0)),"")&lt;&gt;"Cuenta de trading"),"⚠ Usa la cuenta de trading","✓"))))))))))))</f>
        <v/>
      </c>
      <c r="I4003" s="19">
        <f>IF(OR(B4003="",C4003="",D4003=""),"",IFERROR(INDEX(catTipo,MATCH(D4003,catNom,0))&amp;"",""))</f>
        <v/>
      </c>
      <c r="J4003" s="19">
        <f>IF(I4003="","",IFERROR(INDEX(catGrupo,MATCH(D4003,catNom,0))&amp;"",""))</f>
        <v/>
      </c>
      <c r="K4003" s="19">
        <f>IF(I4003="Gasto",IF(IFERROR(INDEX(catClas,MATCH(D4003,catNom,0))&amp;"","")="","Variable",IFERROR(INDEX(catClas,MATCH(D4003,catNom,0))&amp;"","")),"")</f>
        <v/>
      </c>
      <c r="L4003" s="19">
        <f>IF(I4003="","",IFERROR(INDEX(catAlim,MATCH(D4003,catNom,0))&amp;"",""))</f>
        <v/>
      </c>
      <c r="M4003" s="19">
        <f>IF(I4003="","",IFERROR(INDEX(catComida,MATCH(D4003,catNom,0))&amp;"",""))</f>
        <v/>
      </c>
      <c r="N4003" s="19">
        <f>IF(I4003="","",IFERROR(INDEX(ctaMon,MATCH(E4003,ctaNom,0))&amp;"","DOP"))</f>
        <v/>
      </c>
      <c r="O4003" s="20">
        <f>IF(I4003="","",C4003*IF(N4003="USD",TasaUSD,1))</f>
        <v/>
      </c>
      <c r="P4003" s="20">
        <f>IF(I4003="","",IF(I4003="Gasto",O4003,0))</f>
        <v/>
      </c>
      <c r="Q4003" s="20">
        <f>IF(I4003="","",IF(I4003="Ingreso",O4003,0))</f>
        <v/>
      </c>
      <c r="R4003" s="20">
        <f>IF(I4003="","",IF(I4003="Trading",O4003,0))</f>
        <v/>
      </c>
      <c r="S4003" s="19">
        <f>IF(I4003="","",IF(AND(I4003="Gasto",K4003="Variable",J4003&lt;&gt;"Trading",O4003&gt;0,O4003&lt;=Umbral),1,0))</f>
        <v/>
      </c>
      <c r="T4003" s="20">
        <f>IF(OR(I4003="",E4003=""),"",IF(OR(I4003="Gasto",I4003="Transferencia",I4003="Pago tarjeta"),-1,1)*C4003)</f>
        <v/>
      </c>
      <c r="U4003" s="20">
        <f>IF(OR(G4003="",AND(I4003&lt;&gt;"Transferencia",I4003&lt;&gt;"Pago tarjeta")),"",IF(IFERROR(INDEX(ctaMon,MATCH(G4003,ctaNom,0))&amp;"","DOP")=N4003,C4003,IF(N4003="USD",C4003*TasaUSD,C4003/TasaUSD)))</f>
        <v/>
      </c>
      <c r="V4003" s="20">
        <f>IF(I4003="","",IF(IFERROR(INDEX(ctaLiq,MATCH(E4003,ctaNom,0))="Sí",FALSE),IF(OR(I4003="Gasto",I4003="Transferencia",I4003="Pago tarjeta"),-1,1)*O4003,0)+IF(AND(U4003&lt;&gt;"",IFERROR(INDEX(ctaLiq,MATCH(G4003,ctaNom,0))="Sí",FALSE)),O4003,0))</f>
        <v/>
      </c>
      <c r="W4003" s="19">
        <f>IF(OR(F4003="",I4003=""),"",IF(COUNTIFS(F$6:F4003,F4003,I$6:I4003,"?*")=1,MAX(W$5:W4002)+1,""))</f>
        <v/>
      </c>
    </row>
    <row r="4004">
      <c r="B4004" s="15" t="n"/>
      <c r="C4004" s="16" t="n"/>
      <c r="D4004" s="17" t="n"/>
      <c r="E4004" s="17" t="n"/>
      <c r="F4004" s="17" t="n"/>
      <c r="G4004" s="17" t="n"/>
      <c r="H4004" s="18">
        <f>IF(AND(B4004="",C4004="",D4004="",E4004=""),"",IF(B4004="","⚠ Falta fecha",IF(C4004="","⚠ Falta monto",IF(D4004="","⚠ Falta categoría",IF(ISNA(MATCH(D4004,catNom,0)),"⚠ Categoría no existe",IF(E4004="","⚠ Falta cuenta",IF(ISNA(MATCH(E4004,ctaNom,0)),"⚠ Cuenta no existe",IF(AND(OR(I4004="Transferencia",I4004="Pago tarjeta"),G4004=""),"⚠ Indica la cuenta «Hacia»",IF(AND(G4004&lt;&gt;"",G4004=E4004),"⚠ «Hacia» igual a la cuenta",IF(AND(G4004&lt;&gt;"",ISNA(MATCH(G4004,ctaNom,0))),"⚠ «Hacia» no existe",IF(AND(I4004="Pago tarjeta",IFERROR(INDEX(ctaTipo,MATCH(G4004,ctaNom,0)),"")&lt;&gt;"Tarjeta de crédito"),"⚠ «Hacia» debe ser la tarjeta",IF(AND(I4004="Trading",IFERROR(INDEX(ctaTipo,MATCH(E4004,ctaNom,0)),"")&lt;&gt;"Cuenta de trading"),"⚠ Usa la cuenta de trading","✓"))))))))))))</f>
        <v/>
      </c>
      <c r="I4004" s="19">
        <f>IF(OR(B4004="",C4004="",D4004=""),"",IFERROR(INDEX(catTipo,MATCH(D4004,catNom,0))&amp;"",""))</f>
        <v/>
      </c>
      <c r="J4004" s="19">
        <f>IF(I4004="","",IFERROR(INDEX(catGrupo,MATCH(D4004,catNom,0))&amp;"",""))</f>
        <v/>
      </c>
      <c r="K4004" s="19">
        <f>IF(I4004="Gasto",IF(IFERROR(INDEX(catClas,MATCH(D4004,catNom,0))&amp;"","")="","Variable",IFERROR(INDEX(catClas,MATCH(D4004,catNom,0))&amp;"","")),"")</f>
        <v/>
      </c>
      <c r="L4004" s="19">
        <f>IF(I4004="","",IFERROR(INDEX(catAlim,MATCH(D4004,catNom,0))&amp;"",""))</f>
        <v/>
      </c>
      <c r="M4004" s="19">
        <f>IF(I4004="","",IFERROR(INDEX(catComida,MATCH(D4004,catNom,0))&amp;"",""))</f>
        <v/>
      </c>
      <c r="N4004" s="19">
        <f>IF(I4004="","",IFERROR(INDEX(ctaMon,MATCH(E4004,ctaNom,0))&amp;"","DOP"))</f>
        <v/>
      </c>
      <c r="O4004" s="20">
        <f>IF(I4004="","",C4004*IF(N4004="USD",TasaUSD,1))</f>
        <v/>
      </c>
      <c r="P4004" s="20">
        <f>IF(I4004="","",IF(I4004="Gasto",O4004,0))</f>
        <v/>
      </c>
      <c r="Q4004" s="20">
        <f>IF(I4004="","",IF(I4004="Ingreso",O4004,0))</f>
        <v/>
      </c>
      <c r="R4004" s="20">
        <f>IF(I4004="","",IF(I4004="Trading",O4004,0))</f>
        <v/>
      </c>
      <c r="S4004" s="19">
        <f>IF(I4004="","",IF(AND(I4004="Gasto",K4004="Variable",J4004&lt;&gt;"Trading",O4004&gt;0,O4004&lt;=Umbral),1,0))</f>
        <v/>
      </c>
      <c r="T4004" s="20">
        <f>IF(OR(I4004="",E4004=""),"",IF(OR(I4004="Gasto",I4004="Transferencia",I4004="Pago tarjeta"),-1,1)*C4004)</f>
        <v/>
      </c>
      <c r="U4004" s="20">
        <f>IF(OR(G4004="",AND(I4004&lt;&gt;"Transferencia",I4004&lt;&gt;"Pago tarjeta")),"",IF(IFERROR(INDEX(ctaMon,MATCH(G4004,ctaNom,0))&amp;"","DOP")=N4004,C4004,IF(N4004="USD",C4004*TasaUSD,C4004/TasaUSD)))</f>
        <v/>
      </c>
      <c r="V4004" s="20">
        <f>IF(I4004="","",IF(IFERROR(INDEX(ctaLiq,MATCH(E4004,ctaNom,0))="Sí",FALSE),IF(OR(I4004="Gasto",I4004="Transferencia",I4004="Pago tarjeta"),-1,1)*O4004,0)+IF(AND(U4004&lt;&gt;"",IFERROR(INDEX(ctaLiq,MATCH(G4004,ctaNom,0))="Sí",FALSE)),O4004,0))</f>
        <v/>
      </c>
      <c r="W4004" s="19">
        <f>IF(OR(F4004="",I4004=""),"",IF(COUNTIFS(F$6:F4004,F4004,I$6:I4004,"?*")=1,MAX(W$5:W4003)+1,""))</f>
        <v/>
      </c>
    </row>
    <row r="4005">
      <c r="B4005" s="15" t="n"/>
      <c r="C4005" s="16" t="n"/>
      <c r="D4005" s="17" t="n"/>
      <c r="E4005" s="17" t="n"/>
      <c r="F4005" s="17" t="n"/>
      <c r="G4005" s="17" t="n"/>
      <c r="H4005" s="18">
        <f>IF(AND(B4005="",C4005="",D4005="",E4005=""),"",IF(B4005="","⚠ Falta fecha",IF(C4005="","⚠ Falta monto",IF(D4005="","⚠ Falta categoría",IF(ISNA(MATCH(D4005,catNom,0)),"⚠ Categoría no existe",IF(E4005="","⚠ Falta cuenta",IF(ISNA(MATCH(E4005,ctaNom,0)),"⚠ Cuenta no existe",IF(AND(OR(I4005="Transferencia",I4005="Pago tarjeta"),G4005=""),"⚠ Indica la cuenta «Hacia»",IF(AND(G4005&lt;&gt;"",G4005=E4005),"⚠ «Hacia» igual a la cuenta",IF(AND(G4005&lt;&gt;"",ISNA(MATCH(G4005,ctaNom,0))),"⚠ «Hacia» no existe",IF(AND(I4005="Pago tarjeta",IFERROR(INDEX(ctaTipo,MATCH(G4005,ctaNom,0)),"")&lt;&gt;"Tarjeta de crédito"),"⚠ «Hacia» debe ser la tarjeta",IF(AND(I4005="Trading",IFERROR(INDEX(ctaTipo,MATCH(E4005,ctaNom,0)),"")&lt;&gt;"Cuenta de trading"),"⚠ Usa la cuenta de trading","✓"))))))))))))</f>
        <v/>
      </c>
      <c r="I4005" s="19">
        <f>IF(OR(B4005="",C4005="",D4005=""),"",IFERROR(INDEX(catTipo,MATCH(D4005,catNom,0))&amp;"",""))</f>
        <v/>
      </c>
      <c r="J4005" s="19">
        <f>IF(I4005="","",IFERROR(INDEX(catGrupo,MATCH(D4005,catNom,0))&amp;"",""))</f>
        <v/>
      </c>
      <c r="K4005" s="19">
        <f>IF(I4005="Gasto",IF(IFERROR(INDEX(catClas,MATCH(D4005,catNom,0))&amp;"","")="","Variable",IFERROR(INDEX(catClas,MATCH(D4005,catNom,0))&amp;"","")),"")</f>
        <v/>
      </c>
      <c r="L4005" s="19">
        <f>IF(I4005="","",IFERROR(INDEX(catAlim,MATCH(D4005,catNom,0))&amp;"",""))</f>
        <v/>
      </c>
      <c r="M4005" s="19">
        <f>IF(I4005="","",IFERROR(INDEX(catComida,MATCH(D4005,catNom,0))&amp;"",""))</f>
        <v/>
      </c>
      <c r="N4005" s="19">
        <f>IF(I4005="","",IFERROR(INDEX(ctaMon,MATCH(E4005,ctaNom,0))&amp;"","DOP"))</f>
        <v/>
      </c>
      <c r="O4005" s="20">
        <f>IF(I4005="","",C4005*IF(N4005="USD",TasaUSD,1))</f>
        <v/>
      </c>
      <c r="P4005" s="20">
        <f>IF(I4005="","",IF(I4005="Gasto",O4005,0))</f>
        <v/>
      </c>
      <c r="Q4005" s="20">
        <f>IF(I4005="","",IF(I4005="Ingreso",O4005,0))</f>
        <v/>
      </c>
      <c r="R4005" s="20">
        <f>IF(I4005="","",IF(I4005="Trading",O4005,0))</f>
        <v/>
      </c>
      <c r="S4005" s="19">
        <f>IF(I4005="","",IF(AND(I4005="Gasto",K4005="Variable",J4005&lt;&gt;"Trading",O4005&gt;0,O4005&lt;=Umbral),1,0))</f>
        <v/>
      </c>
      <c r="T4005" s="20">
        <f>IF(OR(I4005="",E4005=""),"",IF(OR(I4005="Gasto",I4005="Transferencia",I4005="Pago tarjeta"),-1,1)*C4005)</f>
        <v/>
      </c>
      <c r="U4005" s="20">
        <f>IF(OR(G4005="",AND(I4005&lt;&gt;"Transferencia",I4005&lt;&gt;"Pago tarjeta")),"",IF(IFERROR(INDEX(ctaMon,MATCH(G4005,ctaNom,0))&amp;"","DOP")=N4005,C4005,IF(N4005="USD",C4005*TasaUSD,C4005/TasaUSD)))</f>
        <v/>
      </c>
      <c r="V4005" s="20">
        <f>IF(I4005="","",IF(IFERROR(INDEX(ctaLiq,MATCH(E4005,ctaNom,0))="Sí",FALSE),IF(OR(I4005="Gasto",I4005="Transferencia",I4005="Pago tarjeta"),-1,1)*O4005,0)+IF(AND(U4005&lt;&gt;"",IFERROR(INDEX(ctaLiq,MATCH(G4005,ctaNom,0))="Sí",FALSE)),O4005,0))</f>
        <v/>
      </c>
      <c r="W4005" s="19">
        <f>IF(OR(F4005="",I4005=""),"",IF(COUNTIFS(F$6:F4005,F4005,I$6:I4005,"?*")=1,MAX(W$5:W4004)+1,""))</f>
        <v/>
      </c>
    </row>
  </sheetData>
  <mergeCells count="4">
    <mergeCell ref="B4:G4"/>
    <mergeCell ref="R1:W1"/>
    <mergeCell ref="H4:W4"/>
    <mergeCell ref="C3:F3"/>
  </mergeCells>
  <conditionalFormatting sqref="B6:G4005">
    <cfRule type="expression" priority="1" dxfId="0">
      <formula>LEFT($F6,4)="DEMO"</formula>
    </cfRule>
  </conditionalFormatting>
  <conditionalFormatting sqref="H6:H4005">
    <cfRule type="expression" priority="2" dxfId="1">
      <formula>LEFT($H6,1)="⚠"</formula>
    </cfRule>
  </conditionalFormatting>
  <conditionalFormatting sqref="C6:C4005">
    <cfRule type="expression" priority="3" dxfId="2">
      <formula>$I6="Ingreso"</formula>
    </cfRule>
    <cfRule type="expression" priority="4" dxfId="3">
      <formula>OR($I6="Transferencia",$I6="Pago tarjeta",$I6="Ajuste")</formula>
    </cfRule>
    <cfRule type="expression" priority="5" dxfId="4">
      <formula>$I6="Trading"</formula>
    </cfRule>
  </conditionalFormatting>
  <dataValidations count="6">
    <dataValidation sqref="B6:B4005" showDropDown="0" showInputMessage="0" showErrorMessage="1" allowBlank="1" errorTitle="Fecha" error="Escribe una fecha válida." type="date" operator="between">
      <formula1>DATE(2000,1,1)</formula1>
      <formula2>DATE(2100,12,31)</formula2>
    </dataValidation>
    <dataValidation sqref="C6:C4005" showDropDown="0" showInputMessage="0" showErrorMessage="1" allowBlank="1" errorTitle="Monto" error="Escribe un número." type="decimal" operator="between">
      <formula1>-1000000000</formula1>
      <formula2>1000000000</formula2>
    </dataValidation>
    <dataValidation sqref="D6:D4005" showDropDown="0" showInputMessage="0" showErrorMessage="1" allowBlank="1" errorTitle="Valor no válido" error="Elige un valor de la lista." type="list">
      <formula1>=lstCat</formula1>
    </dataValidation>
    <dataValidation sqref="E6:E4005" showDropDown="0" showInputMessage="0" showErrorMessage="1" allowBlank="1" errorTitle="Valor no válido" error="Elige un valor de la lista." type="list">
      <formula1>=lstCta</formula1>
    </dataValidation>
    <dataValidation sqref="G6:G4005" showDropDown="0" showInputMessage="0" showErrorMessage="1" allowBlank="1" errorTitle="Valor no válido" error="Elige un valor de la lista." type="list">
      <formula1>=lstCta</formula1>
    </dataValidation>
    <dataValidation sqref="F6:F4005" showDropDown="0" showInputMessage="0" showErrorMessage="0" allowBlank="1" type="list">
      <formula1>=lstComercios</formula1>
    </dataValidation>
  </dataValidations>
  <hyperlinks>
    <hyperlink ref="B2" location="'Registro'!A1" display="Registro"/>
    <hyperlink ref="C2" location="'Resumen'!A1" display="Resumen"/>
    <hyperlink ref="D2" location="'Metas'!A1" display="Metas"/>
    <hyperlink ref="E2" location="'Ajustes'!A1" display="Ajustes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2" customWidth="1" min="18" max="18"/>
  </cols>
  <sheetData>
    <row r="1" ht="38" customHeight="1">
      <c r="A1" s="1" t="n"/>
      <c r="B1" s="2" t="inlineStr">
        <is>
          <t>Resumen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 t="inlineStr">
        <is>
          <t>Cifras en DOP · se actualiza solo</t>
        </is>
      </c>
    </row>
    <row r="2" ht="22" customHeight="1">
      <c r="A2" s="4" t="n"/>
      <c r="B2" s="6" t="inlineStr">
        <is>
          <t>Registro</t>
        </is>
      </c>
      <c r="C2" s="5" t="inlineStr">
        <is>
          <t>● Resumen</t>
        </is>
      </c>
      <c r="D2" s="4" t="n"/>
      <c r="E2" s="6" t="inlineStr">
        <is>
          <t>Metas</t>
        </is>
      </c>
      <c r="F2" s="4" t="n"/>
      <c r="G2" s="6" t="inlineStr">
        <is>
          <t>Ajustes</t>
        </is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</row>
    <row r="4">
      <c r="A4" s="21" t="n"/>
      <c r="B4" s="22" t="inlineStr">
        <is>
          <t>PERÍODO</t>
        </is>
      </c>
      <c r="E4" s="22" t="inlineStr">
        <is>
          <t>MES (si eliges «Mes seleccionado»)</t>
        </is>
      </c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</row>
    <row r="5" ht="26" customHeight="1">
      <c r="A5" s="21" t="n"/>
      <c r="B5" s="23" t="inlineStr">
        <is>
          <t>Todo el historial</t>
        </is>
      </c>
      <c r="C5" s="24" t="n"/>
      <c r="D5" s="24" t="n"/>
      <c r="E5" s="23" t="inlineStr">
        <is>
          <t>2026-10</t>
        </is>
      </c>
      <c r="F5" s="24" t="n"/>
      <c r="G5" s="21" t="n"/>
      <c r="H5" s="25">
        <f>"Mostrando "&amp;pTexto&amp;"  ·  "&amp;pDias&amp;" días"</f>
        <v/>
      </c>
      <c r="R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</row>
    <row r="7" ht="18" customHeight="1">
      <c r="A7" s="21" t="n"/>
      <c r="B7" s="26" t="inlineStr">
        <is>
          <t>INGRESOS</t>
        </is>
      </c>
      <c r="C7" s="27" t="n"/>
      <c r="D7" s="27" t="n"/>
      <c r="E7" s="28" t="n"/>
      <c r="F7" s="29" t="inlineStr">
        <is>
          <t>GASTO REAL</t>
        </is>
      </c>
      <c r="G7" s="27" t="n"/>
      <c r="H7" s="27" t="n"/>
      <c r="I7" s="28" t="n"/>
      <c r="J7" s="30" t="inlineStr">
        <is>
          <t>AHORRO (INGRESOS − GASTO)</t>
        </is>
      </c>
      <c r="K7" s="27" t="n"/>
      <c r="L7" s="27" t="n"/>
      <c r="M7" s="28" t="n"/>
      <c r="N7" s="31" t="inlineStr">
        <is>
          <t>DINERO DISPONIBLE</t>
        </is>
      </c>
      <c r="O7" s="27" t="n"/>
      <c r="P7" s="27" t="n"/>
      <c r="Q7" s="28" t="n"/>
      <c r="R7" s="21" t="n"/>
    </row>
    <row r="8" ht="18" customHeight="1">
      <c r="A8" s="21" t="n"/>
      <c r="B8" s="32">
        <f>SUMIFS(rIng,rFecha,"&gt;="&amp;pIni,rFecha,"&lt;="&amp;pFin)</f>
        <v/>
      </c>
      <c r="E8" s="33" t="n"/>
      <c r="F8" s="34">
        <f>SUMIFS(rGasto,rFecha,"&gt;="&amp;pIni,rFecha,"&lt;="&amp;pFin)</f>
        <v/>
      </c>
      <c r="I8" s="33" t="n"/>
      <c r="J8" s="35">
        <f>SUMIFS(rIng,rFecha,"&gt;="&amp;pIni,rFecha,"&lt;="&amp;pFin)-SUMIFS(rGasto,rFecha,"&gt;="&amp;pIni,rFecha,"&lt;="&amp;pFin)</f>
        <v/>
      </c>
      <c r="M8" s="33" t="n"/>
      <c r="N8" s="36">
        <f>IF(SUMPRODUCT((ctaLiq="Sí")*ISNUMBER(ctaDOP))=0,"Sin saldos",SUMIFS(ctaDOP,ctaLiq,"Sí"))</f>
        <v/>
      </c>
      <c r="Q8" s="33" t="n"/>
      <c r="R8" s="21" t="n"/>
    </row>
    <row r="9" ht="18" customHeight="1">
      <c r="A9" s="21" t="n"/>
      <c r="B9" s="37" t="n"/>
      <c r="E9" s="33" t="n"/>
      <c r="F9" s="38" t="n"/>
      <c r="I9" s="33" t="n"/>
      <c r="J9" s="39" t="n"/>
      <c r="M9" s="33" t="n"/>
      <c r="N9" s="40" t="n"/>
      <c r="Q9" s="33" t="n"/>
      <c r="R9" s="21" t="n"/>
    </row>
    <row r="10" ht="22" customHeight="1">
      <c r="A10" s="21" t="n"/>
      <c r="B10" s="41" t="inlineStr">
        <is>
          <t>Salario e ingresos extra</t>
        </is>
      </c>
      <c r="C10" s="42" t="n"/>
      <c r="D10" s="42" t="n"/>
      <c r="E10" s="43" t="n"/>
      <c r="F10" s="44">
        <f>"Fijos RD$ "&amp;FIXED(SUMIFS(rGasto,rClas,"Fijo",rFecha,"&gt;="&amp;pIni,rFecha,"&lt;="&amp;pFin),0)&amp;"  ·  variables RD$ "&amp;FIXED(SUMIFS(rGasto,rClas,"Variable",rFecha,"&gt;="&amp;pIni,rFecha,"&lt;="&amp;pFin),0)</f>
        <v/>
      </c>
      <c r="G10" s="42" t="n"/>
      <c r="H10" s="42" t="n"/>
      <c r="I10" s="43" t="n"/>
      <c r="J10" s="45">
        <f>IF(SUMIFS(rIng,rFecha,"&gt;="&amp;pIni,rFecha,"&lt;="&amp;pFin)&gt;0,"Tasa de ahorro: "&amp;FIXED((SUMIFS(rIng,rFecha,"&gt;="&amp;pIni,rFecha,"&lt;="&amp;pFin)-SUMIFS(rGasto,rFecha,"&gt;="&amp;pIni,rFecha,"&lt;="&amp;pFin))/SUMIFS(rIng,rFecha,"&gt;="&amp;pIni,rFecha,"&lt;="&amp;pFin)*100,0)&amp;"%","Sin ingresos en el período")</f>
        <v/>
      </c>
      <c r="K10" s="42" t="n"/>
      <c r="L10" s="42" t="n"/>
      <c r="M10" s="43" t="n"/>
      <c r="N10" s="46">
        <f>IF(SUMPRODUCT((ctaLiq="Sí")*ISNUMBER(ctaDOP))=0,"Escribe saldos iniciales en Ajustes para verlo","Deuda tarjeta: RD$ "&amp;FIXED(-SUMIFS(ctaDOP,ctaTipo,"Tarjeta de crédito"),0))</f>
        <v/>
      </c>
      <c r="O10" s="42" t="n"/>
      <c r="P10" s="42" t="n"/>
      <c r="Q10" s="43" t="n"/>
      <c r="R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</row>
    <row r="12" ht="18" customHeight="1">
      <c r="A12" s="21" t="n"/>
      <c r="B12" s="29" t="inlineStr">
        <is>
          <t>HOY</t>
        </is>
      </c>
      <c r="C12" s="27" t="n"/>
      <c r="D12" s="27" t="n"/>
      <c r="E12" s="28" t="n"/>
      <c r="F12" s="29" t="inlineStr">
        <is>
          <t>ESTA SEMANA</t>
        </is>
      </c>
      <c r="G12" s="27" t="n"/>
      <c r="H12" s="27" t="n"/>
      <c r="I12" s="28" t="n"/>
      <c r="J12" s="29" t="inlineStr">
        <is>
          <t>ESTE MES</t>
        </is>
      </c>
      <c r="K12" s="27" t="n"/>
      <c r="L12" s="27" t="n"/>
      <c r="M12" s="28" t="n"/>
      <c r="N12" s="30" t="inlineStr">
        <is>
          <t>PROMEDIO DIARIO</t>
        </is>
      </c>
      <c r="O12" s="27" t="n"/>
      <c r="P12" s="27" t="n"/>
      <c r="Q12" s="28" t="n"/>
      <c r="R12" s="21" t="n"/>
    </row>
    <row r="13" ht="18" customHeight="1">
      <c r="A13" s="21" t="n"/>
      <c r="B13" s="47">
        <f>SUMIFS(rGasto,rFecha,diaHoy)</f>
        <v/>
      </c>
      <c r="E13" s="33" t="n"/>
      <c r="F13" s="47">
        <f>SUMIFS(rGasto,rFecha,"&gt;="&amp;semHoy,rFecha,"&lt;="&amp;semHoy+6)</f>
        <v/>
      </c>
      <c r="I13" s="33" t="n"/>
      <c r="J13" s="47">
        <f>SUMIFS(rGasto,rFecha,"&gt;="&amp;mesHoy,rFecha,"&lt;="&amp;EOMONTH(diaHoy,0))</f>
        <v/>
      </c>
      <c r="M13" s="33" t="n"/>
      <c r="N13" s="48">
        <f>SUMIFS(rGasto,rFecha,"&gt;="&amp;pIni,rFecha,"&lt;="&amp;pFin)/pDias</f>
        <v/>
      </c>
      <c r="Q13" s="33" t="n"/>
      <c r="R13" s="21" t="n"/>
    </row>
    <row r="14" ht="18" customHeight="1">
      <c r="A14" s="21" t="n"/>
      <c r="B14" s="38" t="n"/>
      <c r="E14" s="33" t="n"/>
      <c r="F14" s="38" t="n"/>
      <c r="I14" s="33" t="n"/>
      <c r="J14" s="38" t="n"/>
      <c r="M14" s="33" t="n"/>
      <c r="N14" s="39" t="n"/>
      <c r="Q14" s="33" t="n"/>
      <c r="R14" s="21" t="n"/>
    </row>
    <row r="15" ht="22" customHeight="1">
      <c r="A15" s="21" t="n"/>
      <c r="B15" s="44">
        <f>COUNTIFS(rFecha,diaHoy,rTipo,"Gasto")&amp;" gastos"</f>
        <v/>
      </c>
      <c r="C15" s="42" t="n"/>
      <c r="D15" s="42" t="n"/>
      <c r="E15" s="43" t="n"/>
      <c r="F15" s="44" t="inlineStr">
        <is>
          <t>De lunes a domingo</t>
        </is>
      </c>
      <c r="G15" s="42" t="n"/>
      <c r="H15" s="42" t="n"/>
      <c r="I15" s="43" t="n"/>
      <c r="J15" s="44">
        <f>IF(N(limMensual)=0,"Sin límite mensual","Límite: "&amp;FIXED(SUMIFS(rGasto,rFecha,"&gt;="&amp;mesHoy,rFecha,"&lt;="&amp;EOMONTH(diaHoy,0))/limMensual*100,0)&amp;"% usado")</f>
        <v/>
      </c>
      <c r="K15" s="42" t="n"/>
      <c r="L15" s="42" t="n"/>
      <c r="M15" s="43" t="n"/>
      <c r="N15" s="45">
        <f>"Por semana: RD$ "&amp;FIXED(SUMIFS(rGasto,rFecha,"&gt;="&amp;pIni,rFecha,"&lt;="&amp;pFin)/pDias*7,0)</f>
        <v/>
      </c>
      <c r="O15" s="42" t="n"/>
      <c r="P15" s="42" t="n"/>
      <c r="Q15" s="43" t="n"/>
      <c r="R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</row>
    <row r="17" ht="26" customHeight="1">
      <c r="A17" s="21" t="n"/>
      <c r="B17" s="49">
        <f>budTexto</f>
        <v/>
      </c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1" t="n"/>
      <c r="R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</row>
    <row r="19" ht="24" customHeight="1">
      <c r="A19" s="21" t="n"/>
      <c r="B19" s="52" t="inlineStr">
        <is>
          <t>¿En qué se va el dinero?</t>
        </is>
      </c>
      <c r="C19" s="53" t="n"/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21" t="n"/>
    </row>
    <row r="20">
      <c r="A20" s="21" t="n"/>
      <c r="B20" s="54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6" t="n"/>
      <c r="R20" s="21" t="n"/>
    </row>
    <row r="21">
      <c r="A21" s="21" t="n"/>
      <c r="B21" s="57" t="inlineStr">
        <is>
          <t>Grupo</t>
        </is>
      </c>
      <c r="C21" s="58" t="n"/>
      <c r="D21" s="58" t="n"/>
      <c r="E21" s="59" t="inlineStr">
        <is>
          <t>Monto</t>
        </is>
      </c>
      <c r="F21" s="59" t="inlineStr">
        <is>
          <t>%</t>
        </is>
      </c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60" t="n"/>
      <c r="R21" s="21" t="n"/>
    </row>
    <row r="22">
      <c r="A22" s="21" t="n"/>
      <c r="B22" s="61">
        <f>'Motor'!AF5</f>
        <v/>
      </c>
      <c r="E22" s="62">
        <f>'Motor'!AG5</f>
        <v/>
      </c>
      <c r="F22" s="63">
        <f>IF(OR(E22="",SUMIFS(rGasto,rFecha,"&gt;="&amp;pIni,rFecha,"&lt;="&amp;pFin)=0),"",E22/SUMIFS(rGasto,rFecha,"&gt;="&amp;pIni,rFecha,"&lt;="&amp;pFin))</f>
        <v/>
      </c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60" t="n"/>
      <c r="R22" s="21" t="n"/>
    </row>
    <row r="23">
      <c r="A23" s="21" t="n"/>
      <c r="B23" s="61">
        <f>'Motor'!AF6</f>
        <v/>
      </c>
      <c r="E23" s="62">
        <f>'Motor'!AG6</f>
        <v/>
      </c>
      <c r="F23" s="63">
        <f>IF(OR(E23="",SUMIFS(rGasto,rFecha,"&gt;="&amp;pIni,rFecha,"&lt;="&amp;pFin)=0),"",E23/SUMIFS(rGasto,rFecha,"&gt;="&amp;pIni,rFecha,"&lt;="&amp;pFin))</f>
        <v/>
      </c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0" t="n"/>
      <c r="R23" s="21" t="n"/>
    </row>
    <row r="24">
      <c r="A24" s="21" t="n"/>
      <c r="B24" s="61">
        <f>'Motor'!AF7</f>
        <v/>
      </c>
      <c r="E24" s="62">
        <f>'Motor'!AG7</f>
        <v/>
      </c>
      <c r="F24" s="63">
        <f>IF(OR(E24="",SUMIFS(rGasto,rFecha,"&gt;="&amp;pIni,rFecha,"&lt;="&amp;pFin)=0),"",E24/SUMIFS(rGasto,rFecha,"&gt;="&amp;pIni,rFecha,"&lt;="&amp;pFin))</f>
        <v/>
      </c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60" t="n"/>
      <c r="R24" s="21" t="n"/>
    </row>
    <row r="25">
      <c r="A25" s="21" t="n"/>
      <c r="B25" s="61">
        <f>'Motor'!AF8</f>
        <v/>
      </c>
      <c r="E25" s="62">
        <f>'Motor'!AG8</f>
        <v/>
      </c>
      <c r="F25" s="63">
        <f>IF(OR(E25="",SUMIFS(rGasto,rFecha,"&gt;="&amp;pIni,rFecha,"&lt;="&amp;pFin)=0),"",E25/SUMIFS(rGasto,rFecha,"&gt;="&amp;pIni,rFecha,"&lt;="&amp;pFin))</f>
        <v/>
      </c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60" t="n"/>
      <c r="R25" s="21" t="n"/>
    </row>
    <row r="26">
      <c r="A26" s="21" t="n"/>
      <c r="B26" s="61">
        <f>'Motor'!AF9</f>
        <v/>
      </c>
      <c r="E26" s="62">
        <f>'Motor'!AG9</f>
        <v/>
      </c>
      <c r="F26" s="63">
        <f>IF(OR(E26="",SUMIFS(rGasto,rFecha,"&gt;="&amp;pIni,rFecha,"&lt;="&amp;pFin)=0),"",E26/SUMIFS(rGasto,rFecha,"&gt;="&amp;pIni,rFecha,"&lt;="&amp;pFin))</f>
        <v/>
      </c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60" t="n"/>
      <c r="R26" s="21" t="n"/>
    </row>
    <row r="27">
      <c r="A27" s="21" t="n"/>
      <c r="B27" s="61">
        <f>'Motor'!AF10</f>
        <v/>
      </c>
      <c r="E27" s="62">
        <f>'Motor'!AG10</f>
        <v/>
      </c>
      <c r="F27" s="63">
        <f>IF(OR(E27="",SUMIFS(rGasto,rFecha,"&gt;="&amp;pIni,rFecha,"&lt;="&amp;pFin)=0),"",E27/SUMIFS(rGasto,rFecha,"&gt;="&amp;pIni,rFecha,"&lt;="&amp;pFin))</f>
        <v/>
      </c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60" t="n"/>
      <c r="R27" s="21" t="n"/>
    </row>
    <row r="28">
      <c r="A28" s="21" t="n"/>
      <c r="B28" s="61">
        <f>'Motor'!AF11</f>
        <v/>
      </c>
      <c r="E28" s="62">
        <f>'Motor'!AG11</f>
        <v/>
      </c>
      <c r="F28" s="63">
        <f>IF(OR(E28="",SUMIFS(rGasto,rFecha,"&gt;="&amp;pIni,rFecha,"&lt;="&amp;pFin)=0),"",E28/SUMIFS(rGasto,rFecha,"&gt;="&amp;pIni,rFecha,"&lt;="&amp;pFin))</f>
        <v/>
      </c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60" t="n"/>
      <c r="R28" s="21" t="n"/>
    </row>
    <row r="29">
      <c r="A29" s="21" t="n"/>
      <c r="B29" s="61">
        <f>'Motor'!AF12</f>
        <v/>
      </c>
      <c r="E29" s="62">
        <f>'Motor'!AG12</f>
        <v/>
      </c>
      <c r="F29" s="63">
        <f>IF(OR(E29="",SUMIFS(rGasto,rFecha,"&gt;="&amp;pIni,rFecha,"&lt;="&amp;pFin)=0),"",E29/SUMIFS(rGasto,rFecha,"&gt;="&amp;pIni,rFecha,"&lt;="&amp;pFin))</f>
        <v/>
      </c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60" t="n"/>
      <c r="R29" s="21" t="n"/>
    </row>
    <row r="30">
      <c r="A30" s="21" t="n"/>
      <c r="B30" s="61">
        <f>'Motor'!AF13</f>
        <v/>
      </c>
      <c r="E30" s="62">
        <f>'Motor'!AG13</f>
        <v/>
      </c>
      <c r="F30" s="63">
        <f>IF(OR(E30="",SUMIFS(rGasto,rFecha,"&gt;="&amp;pIni,rFecha,"&lt;="&amp;pFin)=0),"",E30/SUMIFS(rGasto,rFecha,"&gt;="&amp;pIni,rFecha,"&lt;="&amp;pFin))</f>
        <v/>
      </c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60" t="n"/>
      <c r="R30" s="21" t="n"/>
    </row>
    <row r="31">
      <c r="A31" s="21" t="n"/>
      <c r="B31" s="61">
        <f>'Motor'!AF14</f>
        <v/>
      </c>
      <c r="E31" s="62">
        <f>'Motor'!AG14</f>
        <v/>
      </c>
      <c r="F31" s="63">
        <f>IF(OR(E31="",SUMIFS(rGasto,rFecha,"&gt;="&amp;pIni,rFecha,"&lt;="&amp;pFin)=0),"",E31/SUMIFS(rGasto,rFecha,"&gt;="&amp;pIni,rFecha,"&lt;="&amp;pFin))</f>
        <v/>
      </c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60" t="n"/>
      <c r="R31" s="21" t="n"/>
    </row>
    <row r="32">
      <c r="A32" s="21" t="n"/>
      <c r="B32" s="61">
        <f>'Motor'!AF15</f>
        <v/>
      </c>
      <c r="E32" s="62">
        <f>'Motor'!AG15</f>
        <v/>
      </c>
      <c r="F32" s="63">
        <f>IF(OR(E32="",SUMIFS(rGasto,rFecha,"&gt;="&amp;pIni,rFecha,"&lt;="&amp;pFin)=0),"",E32/SUMIFS(rGasto,rFecha,"&gt;="&amp;pIni,rFecha,"&lt;="&amp;pFin))</f>
        <v/>
      </c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60" t="n"/>
      <c r="R32" s="21" t="n"/>
    </row>
    <row r="33">
      <c r="A33" s="21" t="n"/>
      <c r="B33" s="61">
        <f>'Motor'!AF16</f>
        <v/>
      </c>
      <c r="E33" s="62">
        <f>'Motor'!AG16</f>
        <v/>
      </c>
      <c r="F33" s="63">
        <f>IF(OR(E33="",SUMIFS(rGasto,rFecha,"&gt;="&amp;pIni,rFecha,"&lt;="&amp;pFin)=0),"",E33/SUMIFS(rGasto,rFecha,"&gt;="&amp;pIni,rFecha,"&lt;="&amp;pFin))</f>
        <v/>
      </c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60" t="n"/>
      <c r="R33" s="21" t="n"/>
    </row>
    <row r="34">
      <c r="A34" s="21" t="n"/>
      <c r="B34" s="64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6" t="n"/>
      <c r="R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</row>
    <row r="36" ht="24" customHeight="1">
      <c r="A36" s="21" t="n"/>
      <c r="B36" s="52" t="inlineStr">
        <is>
          <t>Evolución  ·  cómo pago  ·  dónde gasto más</t>
        </is>
      </c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21" t="n"/>
    </row>
    <row r="37">
      <c r="A37" s="21" t="n"/>
      <c r="B37" s="54" t="n"/>
      <c r="C37" s="55" t="n"/>
      <c r="D37" s="55" t="n"/>
      <c r="E37" s="55" t="n"/>
      <c r="F37" s="55" t="n"/>
      <c r="G37" s="55" t="n"/>
      <c r="H37" s="55" t="n"/>
      <c r="I37" s="56" t="n"/>
      <c r="J37" s="54" t="n"/>
      <c r="K37" s="55" t="n"/>
      <c r="L37" s="55" t="n"/>
      <c r="M37" s="55" t="n"/>
      <c r="N37" s="55" t="n"/>
      <c r="O37" s="55" t="n"/>
      <c r="P37" s="55" t="n"/>
      <c r="Q37" s="56" t="n"/>
      <c r="R37" s="21" t="n"/>
    </row>
    <row r="38">
      <c r="A38" s="21" t="n"/>
      <c r="B38" s="67" t="n"/>
      <c r="C38" s="58" t="n"/>
      <c r="D38" s="58" t="n"/>
      <c r="E38" s="58" t="n"/>
      <c r="F38" s="58" t="n"/>
      <c r="G38" s="58" t="n"/>
      <c r="H38" s="58" t="n"/>
      <c r="I38" s="60" t="n"/>
      <c r="J38" s="57" t="inlineStr">
        <is>
          <t>CUENTA / MÉTODO</t>
        </is>
      </c>
      <c r="K38" s="58" t="n"/>
      <c r="L38" s="58" t="n"/>
      <c r="M38" s="58" t="n"/>
      <c r="N38" s="58" t="n"/>
      <c r="O38" s="59" t="inlineStr">
        <is>
          <t>Gasto</t>
        </is>
      </c>
      <c r="P38" s="59" t="inlineStr">
        <is>
          <t>Veces</t>
        </is>
      </c>
      <c r="Q38" s="68" t="inlineStr">
        <is>
          <t>%</t>
        </is>
      </c>
      <c r="R38" s="21" t="n"/>
    </row>
    <row r="39">
      <c r="A39" s="21" t="n"/>
      <c r="B39" s="67" t="n"/>
      <c r="C39" s="58" t="n"/>
      <c r="D39" s="58" t="n"/>
      <c r="E39" s="58" t="n"/>
      <c r="F39" s="58" t="n"/>
      <c r="G39" s="58" t="n"/>
      <c r="H39" s="58" t="n"/>
      <c r="I39" s="60" t="n"/>
      <c r="J39" s="61">
        <f>'Motor'!AL5</f>
        <v/>
      </c>
      <c r="O39" s="62">
        <f>'Motor'!AM5</f>
        <v/>
      </c>
      <c r="P39" s="69">
        <f>'Motor'!AN5</f>
        <v/>
      </c>
      <c r="Q39" s="70">
        <f>IF(OR(O39="",SUMIFS(rGasto,rFecha,"&gt;="&amp;pIni,rFecha,"&lt;="&amp;pFin)=0),"",O39/SUMIFS(rGasto,rFecha,"&gt;="&amp;pIni,rFecha,"&lt;="&amp;pFin))</f>
        <v/>
      </c>
      <c r="R39" s="21" t="n"/>
    </row>
    <row r="40">
      <c r="A40" s="21" t="n"/>
      <c r="B40" s="67" t="n"/>
      <c r="C40" s="58" t="n"/>
      <c r="D40" s="58" t="n"/>
      <c r="E40" s="58" t="n"/>
      <c r="F40" s="58" t="n"/>
      <c r="G40" s="58" t="n"/>
      <c r="H40" s="58" t="n"/>
      <c r="I40" s="60" t="n"/>
      <c r="J40" s="61">
        <f>'Motor'!AL6</f>
        <v/>
      </c>
      <c r="O40" s="62">
        <f>'Motor'!AM6</f>
        <v/>
      </c>
      <c r="P40" s="69">
        <f>'Motor'!AN6</f>
        <v/>
      </c>
      <c r="Q40" s="70">
        <f>IF(OR(O40="",SUMIFS(rGasto,rFecha,"&gt;="&amp;pIni,rFecha,"&lt;="&amp;pFin)=0),"",O40/SUMIFS(rGasto,rFecha,"&gt;="&amp;pIni,rFecha,"&lt;="&amp;pFin))</f>
        <v/>
      </c>
      <c r="R40" s="21" t="n"/>
    </row>
    <row r="41">
      <c r="A41" s="21" t="n"/>
      <c r="B41" s="67" t="n"/>
      <c r="C41" s="58" t="n"/>
      <c r="D41" s="58" t="n"/>
      <c r="E41" s="58" t="n"/>
      <c r="F41" s="58" t="n"/>
      <c r="G41" s="58" t="n"/>
      <c r="H41" s="58" t="n"/>
      <c r="I41" s="60" t="n"/>
      <c r="J41" s="61">
        <f>'Motor'!AL7</f>
        <v/>
      </c>
      <c r="O41" s="62">
        <f>'Motor'!AM7</f>
        <v/>
      </c>
      <c r="P41" s="69">
        <f>'Motor'!AN7</f>
        <v/>
      </c>
      <c r="Q41" s="70">
        <f>IF(OR(O41="",SUMIFS(rGasto,rFecha,"&gt;="&amp;pIni,rFecha,"&lt;="&amp;pFin)=0),"",O41/SUMIFS(rGasto,rFecha,"&gt;="&amp;pIni,rFecha,"&lt;="&amp;pFin))</f>
        <v/>
      </c>
      <c r="R41" s="21" t="n"/>
    </row>
    <row r="42">
      <c r="A42" s="21" t="n"/>
      <c r="B42" s="67" t="n"/>
      <c r="C42" s="58" t="n"/>
      <c r="D42" s="58" t="n"/>
      <c r="E42" s="58" t="n"/>
      <c r="F42" s="58" t="n"/>
      <c r="G42" s="58" t="n"/>
      <c r="H42" s="58" t="n"/>
      <c r="I42" s="60" t="n"/>
      <c r="J42" s="61">
        <f>'Motor'!AL8</f>
        <v/>
      </c>
      <c r="O42" s="62">
        <f>'Motor'!AM8</f>
        <v/>
      </c>
      <c r="P42" s="69">
        <f>'Motor'!AN8</f>
        <v/>
      </c>
      <c r="Q42" s="70">
        <f>IF(OR(O42="",SUMIFS(rGasto,rFecha,"&gt;="&amp;pIni,rFecha,"&lt;="&amp;pFin)=0),"",O42/SUMIFS(rGasto,rFecha,"&gt;="&amp;pIni,rFecha,"&lt;="&amp;pFin))</f>
        <v/>
      </c>
      <c r="R42" s="21" t="n"/>
    </row>
    <row r="43">
      <c r="A43" s="21" t="n"/>
      <c r="B43" s="67" t="n"/>
      <c r="C43" s="58" t="n"/>
      <c r="D43" s="58" t="n"/>
      <c r="E43" s="58" t="n"/>
      <c r="F43" s="58" t="n"/>
      <c r="G43" s="58" t="n"/>
      <c r="H43" s="58" t="n"/>
      <c r="I43" s="60" t="n"/>
      <c r="J43" s="61">
        <f>'Motor'!AL9</f>
        <v/>
      </c>
      <c r="O43" s="62">
        <f>'Motor'!AM9</f>
        <v/>
      </c>
      <c r="P43" s="69">
        <f>'Motor'!AN9</f>
        <v/>
      </c>
      <c r="Q43" s="70">
        <f>IF(OR(O43="",SUMIFS(rGasto,rFecha,"&gt;="&amp;pIni,rFecha,"&lt;="&amp;pFin)=0),"",O43/SUMIFS(rGasto,rFecha,"&gt;="&amp;pIni,rFecha,"&lt;="&amp;pFin))</f>
        <v/>
      </c>
      <c r="R43" s="21" t="n"/>
    </row>
    <row r="44">
      <c r="A44" s="21" t="n"/>
      <c r="B44" s="67" t="n"/>
      <c r="C44" s="58" t="n"/>
      <c r="D44" s="58" t="n"/>
      <c r="E44" s="58" t="n"/>
      <c r="F44" s="58" t="n"/>
      <c r="G44" s="58" t="n"/>
      <c r="H44" s="58" t="n"/>
      <c r="I44" s="60" t="n"/>
      <c r="J44" s="61">
        <f>'Motor'!AL10</f>
        <v/>
      </c>
      <c r="O44" s="62">
        <f>'Motor'!AM10</f>
        <v/>
      </c>
      <c r="P44" s="69">
        <f>'Motor'!AN10</f>
        <v/>
      </c>
      <c r="Q44" s="70">
        <f>IF(OR(O44="",SUMIFS(rGasto,rFecha,"&gt;="&amp;pIni,rFecha,"&lt;="&amp;pFin)=0),"",O44/SUMIFS(rGasto,rFecha,"&gt;="&amp;pIni,rFecha,"&lt;="&amp;pFin))</f>
        <v/>
      </c>
      <c r="R44" s="21" t="n"/>
    </row>
    <row r="45">
      <c r="A45" s="21" t="n"/>
      <c r="B45" s="67" t="n"/>
      <c r="C45" s="58" t="n"/>
      <c r="D45" s="58" t="n"/>
      <c r="E45" s="58" t="n"/>
      <c r="F45" s="58" t="n"/>
      <c r="G45" s="58" t="n"/>
      <c r="H45" s="58" t="n"/>
      <c r="I45" s="60" t="n"/>
      <c r="J45" s="67" t="n"/>
      <c r="K45" s="58" t="n"/>
      <c r="L45" s="58" t="n"/>
      <c r="M45" s="58" t="n"/>
      <c r="N45" s="58" t="n"/>
      <c r="O45" s="58" t="n"/>
      <c r="P45" s="58" t="n"/>
      <c r="Q45" s="60" t="n"/>
      <c r="R45" s="21" t="n"/>
    </row>
    <row r="46">
      <c r="A46" s="21" t="n"/>
      <c r="B46" s="67" t="n"/>
      <c r="C46" s="58" t="n"/>
      <c r="D46" s="58" t="n"/>
      <c r="E46" s="58" t="n"/>
      <c r="F46" s="58" t="n"/>
      <c r="G46" s="58" t="n"/>
      <c r="H46" s="58" t="n"/>
      <c r="I46" s="60" t="n"/>
      <c r="J46" s="57" t="inlineStr">
        <is>
          <t>COMERCIO / LUGAR (TOP 5)</t>
        </is>
      </c>
      <c r="K46" s="58" t="n"/>
      <c r="L46" s="58" t="n"/>
      <c r="M46" s="58" t="n"/>
      <c r="N46" s="58" t="n"/>
      <c r="O46" s="58" t="n"/>
      <c r="P46" s="58" t="n"/>
      <c r="Q46" s="60" t="n"/>
      <c r="R46" s="21" t="n"/>
    </row>
    <row r="47">
      <c r="A47" s="21" t="n"/>
      <c r="B47" s="67" t="n"/>
      <c r="C47" s="58" t="n"/>
      <c r="D47" s="58" t="n"/>
      <c r="E47" s="58" t="n"/>
      <c r="F47" s="58" t="n"/>
      <c r="G47" s="58" t="n"/>
      <c r="H47" s="58" t="n"/>
      <c r="I47" s="60" t="n"/>
      <c r="J47" s="61">
        <f>'Motor'!AO5</f>
        <v/>
      </c>
      <c r="O47" s="62">
        <f>'Motor'!AP5</f>
        <v/>
      </c>
      <c r="P47" s="69">
        <f>'Motor'!AQ5</f>
        <v/>
      </c>
      <c r="Q47" s="60" t="n"/>
      <c r="R47" s="21" t="n"/>
    </row>
    <row r="48">
      <c r="A48" s="21" t="n"/>
      <c r="B48" s="67" t="n"/>
      <c r="C48" s="58" t="n"/>
      <c r="D48" s="58" t="n"/>
      <c r="E48" s="58" t="n"/>
      <c r="F48" s="58" t="n"/>
      <c r="G48" s="58" t="n"/>
      <c r="H48" s="58" t="n"/>
      <c r="I48" s="60" t="n"/>
      <c r="J48" s="61">
        <f>'Motor'!AO6</f>
        <v/>
      </c>
      <c r="O48" s="62">
        <f>'Motor'!AP6</f>
        <v/>
      </c>
      <c r="P48" s="69">
        <f>'Motor'!AQ6</f>
        <v/>
      </c>
      <c r="Q48" s="60" t="n"/>
      <c r="R48" s="21" t="n"/>
    </row>
    <row r="49">
      <c r="A49" s="21" t="n"/>
      <c r="B49" s="67" t="n"/>
      <c r="C49" s="58" t="n"/>
      <c r="D49" s="58" t="n"/>
      <c r="E49" s="58" t="n"/>
      <c r="F49" s="58" t="n"/>
      <c r="G49" s="58" t="n"/>
      <c r="H49" s="58" t="n"/>
      <c r="I49" s="60" t="n"/>
      <c r="J49" s="61">
        <f>'Motor'!AO7</f>
        <v/>
      </c>
      <c r="O49" s="62">
        <f>'Motor'!AP7</f>
        <v/>
      </c>
      <c r="P49" s="69">
        <f>'Motor'!AQ7</f>
        <v/>
      </c>
      <c r="Q49" s="60" t="n"/>
      <c r="R49" s="21" t="n"/>
    </row>
    <row r="50">
      <c r="A50" s="21" t="n"/>
      <c r="B50" s="67" t="n"/>
      <c r="C50" s="58" t="n"/>
      <c r="D50" s="58" t="n"/>
      <c r="E50" s="58" t="n"/>
      <c r="F50" s="58" t="n"/>
      <c r="G50" s="58" t="n"/>
      <c r="H50" s="58" t="n"/>
      <c r="I50" s="60" t="n"/>
      <c r="J50" s="61">
        <f>'Motor'!AO8</f>
        <v/>
      </c>
      <c r="O50" s="62">
        <f>'Motor'!AP8</f>
        <v/>
      </c>
      <c r="P50" s="69">
        <f>'Motor'!AQ8</f>
        <v/>
      </c>
      <c r="Q50" s="60" t="n"/>
      <c r="R50" s="21" t="n"/>
    </row>
    <row r="51">
      <c r="A51" s="21" t="n"/>
      <c r="B51" s="67" t="n"/>
      <c r="C51" s="58" t="n"/>
      <c r="D51" s="58" t="n"/>
      <c r="E51" s="58" t="n"/>
      <c r="F51" s="58" t="n"/>
      <c r="G51" s="58" t="n"/>
      <c r="H51" s="58" t="n"/>
      <c r="I51" s="60" t="n"/>
      <c r="J51" s="61">
        <f>'Motor'!AO9</f>
        <v/>
      </c>
      <c r="O51" s="62">
        <f>'Motor'!AP9</f>
        <v/>
      </c>
      <c r="P51" s="69">
        <f>'Motor'!AQ9</f>
        <v/>
      </c>
      <c r="Q51" s="60" t="n"/>
      <c r="R51" s="21" t="n"/>
    </row>
    <row r="52">
      <c r="A52" s="21" t="n"/>
      <c r="B52" s="64" t="n"/>
      <c r="C52" s="65" t="n"/>
      <c r="D52" s="65" t="n"/>
      <c r="E52" s="65" t="n"/>
      <c r="F52" s="65" t="n"/>
      <c r="G52" s="65" t="n"/>
      <c r="H52" s="65" t="n"/>
      <c r="I52" s="66" t="n"/>
      <c r="J52" s="64" t="n"/>
      <c r="K52" s="65" t="n"/>
      <c r="L52" s="65" t="n"/>
      <c r="M52" s="65" t="n"/>
      <c r="N52" s="65" t="n"/>
      <c r="O52" s="65" t="n"/>
      <c r="P52" s="65" t="n"/>
      <c r="Q52" s="66" t="n"/>
      <c r="R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</row>
    <row r="54" ht="24" customHeight="1">
      <c r="A54" s="21" t="n"/>
      <c r="B54" s="52" t="inlineStr">
        <is>
          <t>Comida: comprar hecho vs. cocinar</t>
        </is>
      </c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21" t="n"/>
    </row>
    <row r="55" ht="18" customHeight="1">
      <c r="A55" s="21" t="n"/>
      <c r="B55" s="29" t="inlineStr">
        <is>
          <t>COMIDA COMPRADA</t>
        </is>
      </c>
      <c r="C55" s="27" t="n"/>
      <c r="D55" s="27" t="n"/>
      <c r="E55" s="28" t="n"/>
      <c r="F55" s="30" t="inlineStr">
        <is>
          <t>SÚPER E INGREDIENTES</t>
        </is>
      </c>
      <c r="G55" s="27" t="n"/>
      <c r="H55" s="27" t="n"/>
      <c r="I55" s="28" t="n"/>
      <c r="J55" s="71" t="inlineStr">
        <is>
          <t>DESAYUNO PROMEDIO</t>
        </is>
      </c>
      <c r="K55" s="55" t="n"/>
      <c r="L55" s="55" t="n"/>
      <c r="M55" s="72" t="inlineStr">
        <is>
          <t>ALMUERZO PROMEDIO</t>
        </is>
      </c>
      <c r="N55" s="55" t="n"/>
      <c r="O55" s="55" t="n"/>
      <c r="P55" s="72" t="inlineStr">
        <is>
          <t>CENA PROMEDIO</t>
        </is>
      </c>
      <c r="Q55" s="56" t="n"/>
      <c r="R55" s="21" t="n"/>
    </row>
    <row r="56" ht="18" customHeight="1">
      <c r="A56" s="21" t="n"/>
      <c r="B56" s="47">
        <f>SUMIFS(rGasto,rAlim,gCP,rFecha,"&gt;="&amp;pIni,rFecha,"&lt;="&amp;pFin)</f>
        <v/>
      </c>
      <c r="E56" s="33" t="n"/>
      <c r="F56" s="48">
        <f>SUMIFS(rGasto,rAlim,gSI,rFecha,"&gt;="&amp;pIni,rFecha,"&lt;="&amp;pFin)</f>
        <v/>
      </c>
      <c r="I56" s="33" t="n"/>
      <c r="J56" s="73">
        <f>IF(COUNTIFS(rComida,"Desayuno",rMonto,"&gt;0",rFecha,"&gt;="&amp;pIni,rFecha,"&lt;="&amp;pFin)=0,"–",SUMIFS(rGasto,rComida,"Desayuno",rFecha,"&gt;="&amp;pIni,rFecha,"&lt;="&amp;pFin)/COUNTIFS(rComida,"Desayuno",rMonto,"&gt;0",rFecha,"&gt;="&amp;pIni,rFecha,"&lt;="&amp;pFin))</f>
        <v/>
      </c>
      <c r="L56" s="58" t="n"/>
      <c r="M56" s="74">
        <f>IF(COUNTIFS(rComida,"Almuerzo",rMonto,"&gt;0",rFecha,"&gt;="&amp;pIni,rFecha,"&lt;="&amp;pFin)=0,"–",SUMIFS(rGasto,rComida,"Almuerzo",rFecha,"&gt;="&amp;pIni,rFecha,"&lt;="&amp;pFin)/COUNTIFS(rComida,"Almuerzo",rMonto,"&gt;0",rFecha,"&gt;="&amp;pIni,rFecha,"&lt;="&amp;pFin))</f>
        <v/>
      </c>
      <c r="O56" s="58" t="n"/>
      <c r="P56" s="75">
        <f>IF(COUNTIFS(rComida,"Cena",rMonto,"&gt;0",rFecha,"&gt;="&amp;pIni,rFecha,"&lt;="&amp;pFin)=0,"–",SUMIFS(rGasto,rComida,"Cena",rFecha,"&gt;="&amp;pIni,rFecha,"&lt;="&amp;pFin)/COUNTIFS(rComida,"Cena",rMonto,"&gt;0",rFecha,"&gt;="&amp;pIni,rFecha,"&lt;="&amp;pFin))</f>
        <v/>
      </c>
      <c r="Q56" s="33" t="n"/>
      <c r="R56" s="21" t="n"/>
    </row>
    <row r="57" ht="18" customHeight="1">
      <c r="A57" s="21" t="n"/>
      <c r="B57" s="38" t="n"/>
      <c r="E57" s="33" t="n"/>
      <c r="F57" s="39" t="n"/>
      <c r="I57" s="33" t="n"/>
      <c r="J57" s="76" t="n"/>
      <c r="L57" s="58" t="n"/>
      <c r="O57" s="58" t="n"/>
      <c r="Q57" s="33" t="n"/>
      <c r="R57" s="21" t="n"/>
    </row>
    <row r="58" ht="22" customHeight="1">
      <c r="A58" s="21" t="n"/>
      <c r="B58" s="44">
        <f>COUNTIFS(rAlim,gCP,rTipo,"Gasto",rMonto,"&gt;0",rFecha,"&gt;="&amp;pIni,rFecha,"&lt;="&amp;pFin)&amp;" compras  ·  "&amp;FIXED(COUNTIFS(rAlim,gCP,rTipo,"Gasto",rMonto,"&gt;0",rFecha,"&gt;="&amp;pIni,rFecha,"&lt;="&amp;pFin)/pDias*7,1)&amp;" por semana"</f>
        <v/>
      </c>
      <c r="C58" s="42" t="n"/>
      <c r="D58" s="42" t="n"/>
      <c r="E58" s="43" t="n"/>
      <c r="F58" s="45">
        <f>"Comprada = "&amp;IF(SUMIFS(rGasto,rAlim,"?*",rFecha,"&gt;="&amp;pIni,rFecha,"&lt;="&amp;pFin)=0,0,FIXED(SUMIFS(rGasto,rAlim,gCP,rFecha,"&gt;="&amp;pIni,rFecha,"&lt;="&amp;pFin)/SUMIFS(rGasto,rAlim,"?*",rFecha,"&gt;="&amp;pIni,rFecha,"&lt;="&amp;pFin)*100,0))&amp;"% de lo gastado en comida"</f>
        <v/>
      </c>
      <c r="G58" s="42" t="n"/>
      <c r="H58" s="42" t="n"/>
      <c r="I58" s="43" t="n"/>
      <c r="J58" s="77">
        <f>COUNTIFS(rComida,"Desayuno",rMonto,"&gt;0",rFecha,"&gt;="&amp;pIni,rFecha,"&lt;="&amp;pFin)&amp;" comprados"</f>
        <v/>
      </c>
      <c r="K58" s="65" t="n"/>
      <c r="L58" s="65" t="n"/>
      <c r="M58" s="78">
        <f>COUNTIFS(rComida,"Almuerzo",rMonto,"&gt;0",rFecha,"&gt;="&amp;pIni,rFecha,"&lt;="&amp;pFin)&amp;" comprados"</f>
        <v/>
      </c>
      <c r="N58" s="65" t="n"/>
      <c r="O58" s="65" t="n"/>
      <c r="P58" s="78">
        <f>COUNTIFS(rComida,"Cena",rMonto,"&gt;0",rFecha,"&gt;="&amp;pIni,rFecha,"&lt;="&amp;pFin)&amp;" comprados"</f>
        <v/>
      </c>
      <c r="Q58" s="66" t="n"/>
      <c r="R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</row>
    <row r="60">
      <c r="A60" s="21" t="n"/>
      <c r="B60" s="54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6" t="n"/>
      <c r="R60" s="21" t="n"/>
    </row>
    <row r="61">
      <c r="A61" s="21" t="n"/>
      <c r="B61" s="79" t="inlineStr">
        <is>
          <t>Comidas que cocinaste en casa en este período (opcional):</t>
        </is>
      </c>
      <c r="C61" s="58" t="n"/>
      <c r="D61" s="58" t="n"/>
      <c r="E61" s="58" t="n"/>
      <c r="F61" s="58" t="n"/>
      <c r="G61" s="58" t="n"/>
      <c r="H61" s="80" t="n"/>
      <c r="I61" s="24" t="n"/>
      <c r="J61" s="58" t="n"/>
      <c r="K61" s="81">
        <f>IF(COUNTIFS(rAlim,gCP,rTipo,"Gasto",rMonto,"&gt;0",rFecha,"&gt;="&amp;pIni,rFecha,"&lt;="&amp;pFin)=0,"Aún no hay comidas compradas en el período.","Comida comprada: RD$ "&amp;FIXED(IF(COUNTIFS(rAlim,gCP,rTipo,"Gasto",rMonto,"&gt;0",rFecha,"&gt;="&amp;pIni,rFecha,"&lt;="&amp;pFin)=0,0,SUMIFS(rGasto,rAlim,gCP,rFecha,"&gt;="&amp;pIni,rFecha,"&lt;="&amp;pFin)/COUNTIFS(rAlim,gCP,rTipo,"Gasto",rMonto,"&gt;0",rFecha,"&gt;="&amp;pIni,rFecha,"&lt;="&amp;pFin)),0)&amp;" c/u"&amp;IF(N(casaN)&gt;0,"  ·  en casa: RD$ "&amp;FIXED(IF(N(casaN)=0,0,SUMIFS(rGasto,rAlim,gSI,rFecha,"&gt;="&amp;pIni,rFecha,"&lt;="&amp;pFin)/casaN),0)&amp;" c/u ("&amp;IF(IF(N(casaN)=0,0,SUMIFS(rGasto,rAlim,gSI,rFecha,"&gt;="&amp;pIni,rFecha,"&lt;="&amp;pFin)/casaN)&lt;IF(COUNTIFS(rAlim,gCP,rTipo,"Gasto",rMonto,"&gt;0",rFecha,"&gt;="&amp;pIni,rFecha,"&lt;="&amp;pFin)=0,0,SUMIFS(rGasto,rAlim,gCP,rFecha,"&gt;="&amp;pIni,rFecha,"&lt;="&amp;pFin)/COUNTIFS(rAlim,gCP,rTipo,"Gasto",rMonto,"&gt;0",rFecha,"&gt;="&amp;pIni,rFecha,"&lt;="&amp;pFin)),"más barato","más caro")&amp;" según tus datos)","")&amp;CHAR(10)&amp;"Reducir "&amp;FIXED(redPct*100,0)&amp;"% ≈ "&amp;FIXED(COUNTIFS(rAlim,gCP,rTipo,"Gasto",rMonto,"&gt;0",rFecha,"&gt;="&amp;pIni,rFecha,"&lt;="&amp;pFin)/pDias*30.4*redPct,0)&amp;" comidas/mes  →  ahorro ≈ RD$ "&amp;FIXED(COUNTIFS(rAlim,gCP,rTipo,"Gasto",rMonto,"&gt;0",rFecha,"&gt;="&amp;pIni,rFecha,"&lt;="&amp;pFin)/pDias*30.4*redPct*MAX(0,IF(COUNTIFS(rAlim,gCP,rTipo,"Gasto",rMonto,"&gt;0",rFecha,"&gt;="&amp;pIni,rFecha,"&lt;="&amp;pFin)=0,0,SUMIFS(rGasto,rAlim,gCP,rFecha,"&gt;="&amp;pIni,rFecha,"&lt;="&amp;pFin)/COUNTIFS(rAlim,gCP,rTipo,"Gasto",rMonto,"&gt;0",rFecha,"&gt;="&amp;pIni,rFecha,"&lt;="&amp;pFin))-IF(N(casaN)=0,0,SUMIFS(rGasto,rAlim,gSI,rFecha,"&gt;="&amp;pIni,rFecha,"&lt;="&amp;pFin)/casaN)),0)&amp;" al mes"&amp;IF(N(casaN)=0," (sin restar lo que cuesta cocinarlas)",""))</f>
        <v/>
      </c>
      <c r="Q61" s="33" t="n"/>
      <c r="R61" s="21" t="n"/>
    </row>
    <row r="62">
      <c r="A62" s="21" t="n"/>
      <c r="B62" s="79" t="inlineStr">
        <is>
          <t>Simular reducir las comidas compradas en:</t>
        </is>
      </c>
      <c r="C62" s="58" t="n"/>
      <c r="D62" s="58" t="n"/>
      <c r="E62" s="58" t="n"/>
      <c r="F62" s="58" t="n"/>
      <c r="G62" s="58" t="n"/>
      <c r="H62" s="82" t="n">
        <v>0.25</v>
      </c>
      <c r="I62" s="24" t="n"/>
      <c r="J62" s="58" t="n"/>
      <c r="Q62" s="33" t="n"/>
      <c r="R62" s="21" t="n"/>
    </row>
    <row r="63">
      <c r="A63" s="21" t="n"/>
      <c r="B63" s="67" t="n"/>
      <c r="C63" s="58" t="n"/>
      <c r="D63" s="58" t="n"/>
      <c r="E63" s="58" t="n"/>
      <c r="F63" s="58" t="n"/>
      <c r="G63" s="58" t="n"/>
      <c r="H63" s="58" t="n"/>
      <c r="I63" s="58" t="n"/>
      <c r="J63" s="58" t="n"/>
      <c r="Q63" s="33" t="n"/>
      <c r="R63" s="21" t="n"/>
    </row>
    <row r="64">
      <c r="A64" s="21" t="n"/>
      <c r="B64" s="83" t="inlineStr">
        <is>
          <t>Costo en casa = súper e ingredientes del período ÷ comidas que cocinaste. No se asume que cocinar sea más barato.</t>
        </is>
      </c>
      <c r="C64" s="65" t="n"/>
      <c r="D64" s="65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6" t="n"/>
      <c r="R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</row>
    <row r="66" ht="24" customHeight="1">
      <c r="A66" s="21" t="n"/>
      <c r="B66" s="52" t="inlineStr">
        <is>
          <t>Gastos hormiga  ·  trading  ·  flujo de efectivo</t>
        </is>
      </c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21" t="n"/>
    </row>
    <row r="67" ht="18" customHeight="1">
      <c r="A67" s="21" t="n"/>
      <c r="B67" s="29" t="inlineStr">
        <is>
          <t>GASTOS HORMIGA</t>
        </is>
      </c>
      <c r="C67" s="27" t="n"/>
      <c r="D67" s="27" t="n"/>
      <c r="E67" s="28" t="n"/>
      <c r="F67" s="29" t="inlineStr">
        <is>
          <t>HORMIGA: PROYECCIÓN MENSUAL</t>
        </is>
      </c>
      <c r="G67" s="27" t="n"/>
      <c r="H67" s="27" t="n"/>
      <c r="I67" s="28" t="n"/>
      <c r="J67" s="31" t="inlineStr">
        <is>
          <t>TRADING: RESULTADO NETO</t>
        </is>
      </c>
      <c r="K67" s="27" t="n"/>
      <c r="L67" s="27" t="n"/>
      <c r="M67" s="28" t="n"/>
      <c r="N67" s="30" t="inlineStr">
        <is>
          <t>FLUJO DE EFECTIVO NETO</t>
        </is>
      </c>
      <c r="O67" s="27" t="n"/>
      <c r="P67" s="27" t="n"/>
      <c r="Q67" s="28" t="n"/>
      <c r="R67" s="21" t="n"/>
    </row>
    <row r="68" ht="18" customHeight="1">
      <c r="A68" s="21" t="n"/>
      <c r="B68" s="47">
        <f>SUMIFS(rGasto,rHorm,1,rFecha,"&gt;="&amp;pIni,rFecha,"&lt;="&amp;pFin)</f>
        <v/>
      </c>
      <c r="E68" s="33" t="n"/>
      <c r="F68" s="47">
        <f>SUMIFS(rGasto,rHorm,1,rFecha,"&gt;="&amp;pIni,rFecha,"&lt;="&amp;pFin)/pDias*30.4</f>
        <v/>
      </c>
      <c r="I68" s="33" t="n"/>
      <c r="J68" s="84">
        <f>SUMIFS(rTrad,rFecha,"&gt;="&amp;pIni,rFecha,"&lt;="&amp;pFin)-SUMIFS(rGasto,rGrupo,"Trading",rFecha,"&gt;="&amp;pIni,rFecha,"&lt;="&amp;pFin)</f>
        <v/>
      </c>
      <c r="M68" s="33" t="n"/>
      <c r="N68" s="48">
        <f>SUMIFS(rFlujo,rFecha,"&gt;="&amp;pIni,rFecha,"&lt;="&amp;pFin)</f>
        <v/>
      </c>
      <c r="Q68" s="33" t="n"/>
      <c r="R68" s="21" t="n"/>
    </row>
    <row r="69" ht="18" customHeight="1">
      <c r="A69" s="21" t="n"/>
      <c r="B69" s="38" t="n"/>
      <c r="E69" s="33" t="n"/>
      <c r="F69" s="38" t="n"/>
      <c r="I69" s="33" t="n"/>
      <c r="J69" s="40" t="n"/>
      <c r="M69" s="33" t="n"/>
      <c r="N69" s="39" t="n"/>
      <c r="Q69" s="33" t="n"/>
      <c r="R69" s="21" t="n"/>
    </row>
    <row r="70" ht="22" customHeight="1">
      <c r="A70" s="21" t="n"/>
      <c r="B70" s="44">
        <f>COUNTIFS(rHorm,1,rFecha,"&gt;="&amp;pIni,rFecha,"&lt;="&amp;pFin)&amp;" compras ≤ RD$ "&amp;FIXED(Umbral,0)&amp;"  ·  "&amp;IF(SUMIFS(rGasto,rFecha,"&gt;="&amp;pIni,rFecha,"&lt;="&amp;pFin)=0,0,FIXED(SUMIFS(rGasto,rHorm,1,rFecha,"&gt;="&amp;pIni,rFecha,"&lt;="&amp;pFin)/SUMIFS(rGasto,rFecha,"&gt;="&amp;pIni,rFecha,"&lt;="&amp;pFin)*100,0))&amp;"% del gasto"</f>
        <v/>
      </c>
      <c r="C70" s="42" t="n"/>
      <c r="D70" s="42" t="n"/>
      <c r="E70" s="43" t="n"/>
      <c r="F70" s="44">
        <f>"Al año: RD$ "&amp;FIXED(SUMIFS(rGasto,rHorm,1,rFecha,"&gt;="&amp;pIni,rFecha,"&lt;="&amp;pFin)/pDias*365,0)</f>
        <v/>
      </c>
      <c r="G70" s="42" t="n"/>
      <c r="H70" s="42" t="n"/>
      <c r="I70" s="43" t="n"/>
      <c r="J70" s="46">
        <f>"Ganancia/pérdida RD$ "&amp;FIXED(SUMIFS(rTrad,rFecha,"&gt;="&amp;pIni,rFecha,"&lt;="&amp;pFin),0)&amp;" − costos RD$ "&amp;FIXED(SUMIFS(rGasto,rGrupo,"Trading",rFecha,"&gt;="&amp;pIni,rFecha,"&lt;="&amp;pFin),0)</f>
        <v/>
      </c>
      <c r="K70" s="42" t="n"/>
      <c r="L70" s="42" t="n"/>
      <c r="M70" s="43" t="n"/>
      <c r="N70" s="45" t="inlineStr">
        <is>
          <t>Efectivo, banco y billetera. Incluye pagos de tarjeta y depósitos a trading.</t>
        </is>
      </c>
      <c r="O70" s="42" t="n"/>
      <c r="P70" s="42" t="n"/>
      <c r="Q70" s="43" t="n"/>
      <c r="R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</row>
    <row r="73" ht="24" customHeight="1">
      <c r="A73" s="21" t="n"/>
      <c r="B73" s="52" t="inlineStr">
        <is>
          <t>Top categorías del período</t>
        </is>
      </c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21" t="n"/>
    </row>
    <row r="74">
      <c r="A74" s="21" t="n"/>
      <c r="B74" s="54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6" t="n"/>
      <c r="R74" s="21" t="n"/>
    </row>
    <row r="75">
      <c r="A75" s="21" t="n"/>
      <c r="B75" s="85" t="n">
        <v>1</v>
      </c>
      <c r="C75" s="86">
        <f>'Motor'!AI5</f>
        <v/>
      </c>
      <c r="G75" s="87">
        <f>'Motor'!AJ5</f>
        <v/>
      </c>
      <c r="I75" s="88">
        <f>IF('Motor'!AK5="","",'Motor'!AK5&amp;"×")</f>
        <v/>
      </c>
      <c r="J75" s="89" t="n">
        <v>5</v>
      </c>
      <c r="K75" s="86">
        <f>'Motor'!AI9</f>
        <v/>
      </c>
      <c r="O75" s="87">
        <f>'Motor'!AJ9</f>
        <v/>
      </c>
      <c r="Q75" s="90">
        <f>IF('Motor'!AK9="","",'Motor'!AK9&amp;"×")</f>
        <v/>
      </c>
      <c r="R75" s="21" t="n"/>
    </row>
    <row r="76">
      <c r="A76" s="21" t="n"/>
      <c r="B76" s="67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  <c r="O76" s="58" t="n"/>
      <c r="P76" s="58" t="n"/>
      <c r="Q76" s="60" t="n"/>
      <c r="R76" s="21" t="n"/>
    </row>
    <row r="77">
      <c r="A77" s="21" t="n"/>
      <c r="B77" s="85" t="n">
        <v>2</v>
      </c>
      <c r="C77" s="86">
        <f>'Motor'!AI6</f>
        <v/>
      </c>
      <c r="G77" s="87">
        <f>'Motor'!AJ6</f>
        <v/>
      </c>
      <c r="I77" s="88">
        <f>IF('Motor'!AK6="","",'Motor'!AK6&amp;"×")</f>
        <v/>
      </c>
      <c r="J77" s="89" t="n">
        <v>6</v>
      </c>
      <c r="K77" s="86">
        <f>'Motor'!AI10</f>
        <v/>
      </c>
      <c r="O77" s="87">
        <f>'Motor'!AJ10</f>
        <v/>
      </c>
      <c r="Q77" s="90">
        <f>IF('Motor'!AK10="","",'Motor'!AK10&amp;"×")</f>
        <v/>
      </c>
      <c r="R77" s="21" t="n"/>
    </row>
    <row r="78">
      <c r="A78" s="21" t="n"/>
      <c r="B78" s="67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58" t="n"/>
      <c r="L78" s="58" t="n"/>
      <c r="M78" s="58" t="n"/>
      <c r="N78" s="58" t="n"/>
      <c r="O78" s="58" t="n"/>
      <c r="P78" s="58" t="n"/>
      <c r="Q78" s="60" t="n"/>
      <c r="R78" s="21" t="n"/>
    </row>
    <row r="79">
      <c r="A79" s="21" t="n"/>
      <c r="B79" s="85" t="n">
        <v>3</v>
      </c>
      <c r="C79" s="86">
        <f>'Motor'!AI7</f>
        <v/>
      </c>
      <c r="G79" s="87">
        <f>'Motor'!AJ7</f>
        <v/>
      </c>
      <c r="I79" s="88">
        <f>IF('Motor'!AK7="","",'Motor'!AK7&amp;"×")</f>
        <v/>
      </c>
      <c r="J79" s="89" t="n">
        <v>7</v>
      </c>
      <c r="K79" s="86">
        <f>'Motor'!AI11</f>
        <v/>
      </c>
      <c r="O79" s="87">
        <f>'Motor'!AJ11</f>
        <v/>
      </c>
      <c r="Q79" s="90">
        <f>IF('Motor'!AK11="","",'Motor'!AK11&amp;"×")</f>
        <v/>
      </c>
      <c r="R79" s="21" t="n"/>
    </row>
    <row r="80">
      <c r="A80" s="21" t="n"/>
      <c r="B80" s="67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58" t="n"/>
      <c r="L80" s="58" t="n"/>
      <c r="M80" s="58" t="n"/>
      <c r="N80" s="58" t="n"/>
      <c r="O80" s="58" t="n"/>
      <c r="P80" s="58" t="n"/>
      <c r="Q80" s="60" t="n"/>
      <c r="R80" s="21" t="n"/>
    </row>
    <row r="81">
      <c r="A81" s="21" t="n"/>
      <c r="B81" s="85" t="n">
        <v>4</v>
      </c>
      <c r="C81" s="86">
        <f>'Motor'!AI8</f>
        <v/>
      </c>
      <c r="G81" s="87">
        <f>'Motor'!AJ8</f>
        <v/>
      </c>
      <c r="I81" s="88">
        <f>IF('Motor'!AK8="","",'Motor'!AK8&amp;"×")</f>
        <v/>
      </c>
      <c r="J81" s="89" t="n">
        <v>8</v>
      </c>
      <c r="K81" s="86">
        <f>'Motor'!AI12</f>
        <v/>
      </c>
      <c r="O81" s="87">
        <f>'Motor'!AJ12</f>
        <v/>
      </c>
      <c r="Q81" s="90">
        <f>IF('Motor'!AK12="","",'Motor'!AK12&amp;"×")</f>
        <v/>
      </c>
      <c r="R81" s="21" t="n"/>
    </row>
    <row r="82">
      <c r="A82" s="21" t="n"/>
      <c r="B82" s="67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8" t="n"/>
      <c r="P82" s="58" t="n"/>
      <c r="Q82" s="60" t="n"/>
      <c r="R82" s="21" t="n"/>
    </row>
    <row r="83">
      <c r="A83" s="21" t="n"/>
      <c r="B83" s="64" t="n"/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6" t="n"/>
      <c r="R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</row>
  </sheetData>
  <mergeCells count="99">
    <mergeCell ref="G81:H81"/>
    <mergeCell ref="F67:I67"/>
    <mergeCell ref="B8:E9"/>
    <mergeCell ref="C81:F81"/>
    <mergeCell ref="B28:D28"/>
    <mergeCell ref="H5:Q5"/>
    <mergeCell ref="B30:D30"/>
    <mergeCell ref="J49:N49"/>
    <mergeCell ref="B68:E69"/>
    <mergeCell ref="J67:M67"/>
    <mergeCell ref="C79:F79"/>
    <mergeCell ref="B66:Q66"/>
    <mergeCell ref="N13:Q14"/>
    <mergeCell ref="B12:E12"/>
    <mergeCell ref="B4:D4"/>
    <mergeCell ref="F15:I15"/>
    <mergeCell ref="N12:Q12"/>
    <mergeCell ref="J50:N50"/>
    <mergeCell ref="F70:I70"/>
    <mergeCell ref="P56:Q57"/>
    <mergeCell ref="H62:I62"/>
    <mergeCell ref="G75:H75"/>
    <mergeCell ref="J39:N39"/>
    <mergeCell ref="J48:N48"/>
    <mergeCell ref="G77:H77"/>
    <mergeCell ref="F58:I58"/>
    <mergeCell ref="E5:F5"/>
    <mergeCell ref="J40:N40"/>
    <mergeCell ref="N8:Q9"/>
    <mergeCell ref="F8:I9"/>
    <mergeCell ref="B54:Q54"/>
    <mergeCell ref="J10:M10"/>
    <mergeCell ref="B5:D5"/>
    <mergeCell ref="K79:N79"/>
    <mergeCell ref="K81:N81"/>
    <mergeCell ref="B67:E67"/>
    <mergeCell ref="B31:D31"/>
    <mergeCell ref="B17:Q17"/>
    <mergeCell ref="J42:N42"/>
    <mergeCell ref="N67:Q67"/>
    <mergeCell ref="B19:Q19"/>
    <mergeCell ref="J13:M14"/>
    <mergeCell ref="J44:N44"/>
    <mergeCell ref="B23:D23"/>
    <mergeCell ref="O77:P77"/>
    <mergeCell ref="K61:Q63"/>
    <mergeCell ref="B15:E15"/>
    <mergeCell ref="J12:M12"/>
    <mergeCell ref="B55:E55"/>
    <mergeCell ref="N15:Q15"/>
    <mergeCell ref="J56:K57"/>
    <mergeCell ref="C77:F77"/>
    <mergeCell ref="N70:Q70"/>
    <mergeCell ref="B7:E7"/>
    <mergeCell ref="F56:I57"/>
    <mergeCell ref="N7:Q7"/>
    <mergeCell ref="F10:I10"/>
    <mergeCell ref="O75:P75"/>
    <mergeCell ref="M56:N57"/>
    <mergeCell ref="F7:I7"/>
    <mergeCell ref="B58:E58"/>
    <mergeCell ref="J41:N41"/>
    <mergeCell ref="B25:D25"/>
    <mergeCell ref="O79:P79"/>
    <mergeCell ref="G79:H79"/>
    <mergeCell ref="J47:N47"/>
    <mergeCell ref="J43:N43"/>
    <mergeCell ref="B22:D22"/>
    <mergeCell ref="O81:P81"/>
    <mergeCell ref="B73:Q73"/>
    <mergeCell ref="E4:G4"/>
    <mergeCell ref="M1:R1"/>
    <mergeCell ref="F68:I69"/>
    <mergeCell ref="N10:Q10"/>
    <mergeCell ref="N68:Q69"/>
    <mergeCell ref="B29:D29"/>
    <mergeCell ref="B10:E10"/>
    <mergeCell ref="B36:Q36"/>
    <mergeCell ref="J68:M69"/>
    <mergeCell ref="B13:E14"/>
    <mergeCell ref="H61:I61"/>
    <mergeCell ref="B24:D24"/>
    <mergeCell ref="B33:D33"/>
    <mergeCell ref="F13:I14"/>
    <mergeCell ref="B32:D32"/>
    <mergeCell ref="F55:I55"/>
    <mergeCell ref="F12:I12"/>
    <mergeCell ref="B26:D26"/>
    <mergeCell ref="B70:E70"/>
    <mergeCell ref="J15:M15"/>
    <mergeCell ref="K75:N75"/>
    <mergeCell ref="C75:F75"/>
    <mergeCell ref="J70:M70"/>
    <mergeCell ref="J51:N51"/>
    <mergeCell ref="J8:M9"/>
    <mergeCell ref="B27:D27"/>
    <mergeCell ref="K77:N77"/>
    <mergeCell ref="B56:E57"/>
    <mergeCell ref="J7:M7"/>
  </mergeCells>
  <conditionalFormatting sqref="B17:Q17">
    <cfRule type="expression" priority="1" dxfId="1">
      <formula>budNivel=3</formula>
    </cfRule>
    <cfRule type="expression" priority="2" dxfId="5">
      <formula>budNivel=2</formula>
    </cfRule>
    <cfRule type="expression" priority="3" dxfId="6">
      <formula>budNivel=1</formula>
    </cfRule>
  </conditionalFormatting>
  <conditionalFormatting sqref="O39:O44">
    <cfRule type="dataBar" priority="4">
      <dataBar showValue="1">
        <cfvo type="num" val="0"/>
        <cfvo type="max"/>
        <color rgb="009EC5F4"/>
      </dataBar>
    </cfRule>
  </conditionalFormatting>
  <conditionalFormatting sqref="O47:O51">
    <cfRule type="dataBar" priority="5">
      <dataBar showValue="1">
        <cfvo type="num" val="0"/>
        <cfvo type="max"/>
        <color rgb="00F4B795"/>
      </dataBar>
    </cfRule>
  </conditionalFormatting>
  <dataValidations count="2">
    <dataValidation sqref="B5" showDropDown="0" showInputMessage="0" showErrorMessage="1" allowBlank="1" errorTitle="Valor no válido" error="Elige un valor de la lista." type="list">
      <formula1>=lstPeriodo</formula1>
    </dataValidation>
    <dataValidation sqref="E5" showDropDown="0" showInputMessage="0" showErrorMessage="1" allowBlank="1" errorTitle="Valor no válido" error="Elige un valor de la lista." type="list">
      <formula1>=lstMes</formula1>
    </dataValidation>
  </dataValidations>
  <hyperlinks>
    <hyperlink ref="B2" location="'Registro'!A1" display="Registro"/>
    <hyperlink ref="C2" location="'Resumen'!A1" display="Resumen"/>
    <hyperlink ref="E2" location="'Metas'!A1" display="Metas"/>
    <hyperlink ref="G2" location="'Ajustes'!A1" display="Ajustes"/>
  </hyperlink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K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16" customWidth="1" min="4" max="4"/>
    <col width="12" customWidth="1" min="5" max="5"/>
    <col width="18" customWidth="1" min="6" max="6"/>
    <col width="18" customWidth="1" min="7" max="7"/>
    <col width="18" customWidth="1" min="8" max="8"/>
    <col width="2" customWidth="1" min="9" max="9"/>
    <col hidden="1" width="13" customWidth="1" min="11" max="11"/>
  </cols>
  <sheetData>
    <row r="1" ht="38" customHeight="1">
      <c r="A1" s="1" t="n"/>
      <c r="B1" s="2" t="inlineStr">
        <is>
          <t>Metas</t>
        </is>
      </c>
      <c r="C1" s="1" t="n"/>
      <c r="D1" s="1" t="n"/>
      <c r="E1" s="3" t="inlineStr">
        <is>
          <t>Etapa 2 · todo vacío hasta que lo necesites</t>
        </is>
      </c>
    </row>
    <row r="2" ht="22" customHeight="1">
      <c r="A2" s="4" t="n"/>
      <c r="B2" s="6" t="inlineStr">
        <is>
          <t>Registro</t>
        </is>
      </c>
      <c r="C2" s="6" t="inlineStr">
        <is>
          <t>Resumen</t>
        </is>
      </c>
      <c r="D2" s="5" t="inlineStr">
        <is>
          <t>● Metas</t>
        </is>
      </c>
      <c r="E2" s="6" t="inlineStr">
        <is>
          <t>Ajustes</t>
        </is>
      </c>
      <c r="F2" s="4" t="n"/>
      <c r="G2" s="4" t="n"/>
      <c r="H2" s="4" t="n"/>
      <c r="I2" s="4" t="n"/>
      <c r="J2" s="4" t="n"/>
    </row>
    <row r="3" ht="30" customHeight="1">
      <c r="B3" s="8" t="inlineStr">
        <is>
          <t>Primero registra 1–2 meses. Luego usa «Promedio mensual» como referencia y escribe límites o metas en las celdas amarillas. Vacío = sin límite.</t>
        </is>
      </c>
    </row>
    <row r="5" ht="24" customHeight="1">
      <c r="B5" s="91" t="inlineStr">
        <is>
          <t>Límites de gasto (este mes)</t>
        </is>
      </c>
      <c r="C5" s="53" t="n"/>
      <c r="D5" s="53" t="n"/>
      <c r="E5" s="53" t="n"/>
      <c r="F5" s="53" t="n"/>
      <c r="G5" s="53" t="n"/>
      <c r="H5" s="53" t="n"/>
    </row>
    <row r="6" ht="28" customHeight="1">
      <c r="B6" s="92" t="inlineStr">
        <is>
          <t>Grupo</t>
        </is>
      </c>
      <c r="C6" s="92" t="inlineStr">
        <is>
          <t>Límite mensual</t>
        </is>
      </c>
      <c r="D6" s="93" t="inlineStr">
        <is>
          <t>Gasto este mes</t>
        </is>
      </c>
      <c r="E6" s="93" t="inlineStr">
        <is>
          <t>% usado</t>
        </is>
      </c>
      <c r="F6" s="93" t="inlineStr">
        <is>
          <t>Estado</t>
        </is>
      </c>
      <c r="G6" s="93" t="inlineStr">
        <is>
          <t>Promedio mensual</t>
        </is>
      </c>
      <c r="H6" s="93" t="inlineStr">
        <is>
          <t>Gasto esta semana</t>
        </is>
      </c>
    </row>
    <row r="7">
      <c r="B7" s="94" t="inlineStr">
        <is>
          <t>TOTAL (todos los gastos)</t>
        </is>
      </c>
      <c r="C7" s="95" t="n"/>
      <c r="D7" s="96">
        <f>IF(B7="","",SUMIFS(rGasto,rFecha,"&gt;="&amp;mesHoy,rFecha,"&lt;="&amp;EOMONTH(diaHoy,0)))</f>
        <v/>
      </c>
      <c r="E7" s="97">
        <f>IF(OR(B7="",N(C7)=0),"",D7/C7)</f>
        <v/>
      </c>
      <c r="F7" s="98">
        <f>IF(B7="","",IF(N(C7)=0,"—",IF(E7&gt;1,"✕ Excedido",IF(E7&gt;=0.8,"⚠ Cerca del límite","✓ En rango"))))</f>
        <v/>
      </c>
      <c r="G7" s="96">
        <f>IF(B7="","",SUMIFS(rGasto,rFecha,"&gt;="&amp;EDATE(mesHoy,-3),rFecha,"&lt;"&amp;mesHoy)/m3)</f>
        <v/>
      </c>
      <c r="H7" s="96">
        <f>IF(B7="","",SUMIFS(rGasto,rFecha,"&gt;="&amp;semHoy,rFecha,"&lt;="&amp;semHoy+6))</f>
        <v/>
      </c>
      <c r="K7">
        <f>COUNT(C7:C24)</f>
        <v/>
      </c>
    </row>
    <row r="8">
      <c r="B8" s="99" t="inlineStr">
        <is>
          <t>Alimentación</t>
        </is>
      </c>
      <c r="C8" s="95" t="n"/>
      <c r="D8" s="96">
        <f>IF(B8="","",SUMIFS(rGasto,rGrupo,B8,rFecha,"&gt;="&amp;mesHoy,rFecha,"&lt;="&amp;EOMONTH(diaHoy,0)))</f>
        <v/>
      </c>
      <c r="E8" s="97">
        <f>IF(OR(B8="",N(C8)=0),"",D8/C8)</f>
        <v/>
      </c>
      <c r="F8" s="98">
        <f>IF(B8="","",IF(N(C8)=0,"—",IF(E8&gt;1,"✕ Excedido",IF(E8&gt;=0.8,"⚠ Cerca del límite","✓ En rango"))))</f>
        <v/>
      </c>
      <c r="G8" s="96">
        <f>IF(B8="","",SUMIFS(rGasto,rGrupo,B8,rFecha,"&gt;="&amp;EDATE(mesHoy,-3),rFecha,"&lt;"&amp;mesHoy)/m3)</f>
        <v/>
      </c>
      <c r="H8" s="96">
        <f>IF(B8="","",SUMIFS(rGasto,rGrupo,B8,rFecha,"&gt;="&amp;semHoy,rFecha,"&lt;="&amp;semHoy+6))</f>
        <v/>
      </c>
      <c r="K8">
        <f>COUNTIF(F7:F24,"✕*")</f>
        <v/>
      </c>
    </row>
    <row r="9">
      <c r="B9" s="99" t="inlineStr">
        <is>
          <t>Hogar y servicios</t>
        </is>
      </c>
      <c r="C9" s="95" t="n"/>
      <c r="D9" s="96">
        <f>IF(B9="","",SUMIFS(rGasto,rGrupo,B9,rFecha,"&gt;="&amp;mesHoy,rFecha,"&lt;="&amp;EOMONTH(diaHoy,0)))</f>
        <v/>
      </c>
      <c r="E9" s="97">
        <f>IF(OR(B9="",N(C9)=0),"",D9/C9)</f>
        <v/>
      </c>
      <c r="F9" s="98">
        <f>IF(B9="","",IF(N(C9)=0,"—",IF(E9&gt;1,"✕ Excedido",IF(E9&gt;=0.8,"⚠ Cerca del límite","✓ En rango"))))</f>
        <v/>
      </c>
      <c r="G9" s="96">
        <f>IF(B9="","",SUMIFS(rGasto,rGrupo,B9,rFecha,"&gt;="&amp;EDATE(mesHoy,-3),rFecha,"&lt;"&amp;mesHoy)/m3)</f>
        <v/>
      </c>
      <c r="H9" s="96">
        <f>IF(B9="","",SUMIFS(rGasto,rGrupo,B9,rFecha,"&gt;="&amp;semHoy,rFecha,"&lt;="&amp;semHoy+6))</f>
        <v/>
      </c>
      <c r="K9">
        <f>COUNTIF(F7:F24,"⚠*")</f>
        <v/>
      </c>
    </row>
    <row r="10">
      <c r="B10" s="99" t="inlineStr">
        <is>
          <t>Transporte y vehículo</t>
        </is>
      </c>
      <c r="C10" s="95" t="n"/>
      <c r="D10" s="96">
        <f>IF(B10="","",SUMIFS(rGasto,rGrupo,B10,rFecha,"&gt;="&amp;mesHoy,rFecha,"&lt;="&amp;EOMONTH(diaHoy,0)))</f>
        <v/>
      </c>
      <c r="E10" s="97">
        <f>IF(OR(B10="",N(C10)=0),"",D10/C10)</f>
        <v/>
      </c>
      <c r="F10" s="98">
        <f>IF(B10="","",IF(N(C10)=0,"—",IF(E10&gt;1,"✕ Excedido",IF(E10&gt;=0.8,"⚠ Cerca del límite","✓ En rango"))))</f>
        <v/>
      </c>
      <c r="G10" s="96">
        <f>IF(B10="","",SUMIFS(rGasto,rGrupo,B10,rFecha,"&gt;="&amp;EDATE(mesHoy,-3),rFecha,"&lt;"&amp;mesHoy)/m3)</f>
        <v/>
      </c>
      <c r="H10" s="96">
        <f>IF(B10="","",SUMIFS(rGasto,rGrupo,B10,rFecha,"&gt;="&amp;semHoy,rFecha,"&lt;="&amp;semHoy+6))</f>
        <v/>
      </c>
      <c r="K10">
        <f>IF(K7=0,0,IF(K8&gt;0,3,IF(K9&gt;0,2,1)))</f>
        <v/>
      </c>
    </row>
    <row r="11">
      <c r="B11" s="99" t="inlineStr">
        <is>
          <t>Tecnología y suscripciones</t>
        </is>
      </c>
      <c r="C11" s="95" t="n"/>
      <c r="D11" s="96">
        <f>IF(B11="","",SUMIFS(rGasto,rGrupo,B11,rFecha,"&gt;="&amp;mesHoy,rFecha,"&lt;="&amp;EOMONTH(diaHoy,0)))</f>
        <v/>
      </c>
      <c r="E11" s="97">
        <f>IF(OR(B11="",N(C11)=0),"",D11/C11)</f>
        <v/>
      </c>
      <c r="F11" s="98">
        <f>IF(B11="","",IF(N(C11)=0,"—",IF(E11&gt;1,"✕ Excedido",IF(E11&gt;=0.8,"⚠ Cerca del límite","✓ En rango"))))</f>
        <v/>
      </c>
      <c r="G11" s="96">
        <f>IF(B11="","",SUMIFS(rGasto,rGrupo,B11,rFecha,"&gt;="&amp;EDATE(mesHoy,-3),rFecha,"&lt;"&amp;mesHoy)/m3)</f>
        <v/>
      </c>
      <c r="H11" s="96">
        <f>IF(B11="","",SUMIFS(rGasto,rGrupo,B11,rFecha,"&gt;="&amp;semHoy,rFecha,"&lt;="&amp;semHoy+6))</f>
        <v/>
      </c>
      <c r="K11">
        <f>IF(K7=0,"Etapa 1 · sin límites configurados: solo registra. Cuando conozcas tus patrones, define límites en «Metas».","Presupuesto del mes  ·  excedidos: "&amp;K8&amp;"  ·  cerca del límite: "&amp;K9&amp;IF(N(limMensual)&gt;0,"  ·  total usado: "&amp;FIXED(E7*100,0)&amp;"%",""))</f>
        <v/>
      </c>
    </row>
    <row r="12">
      <c r="B12" s="99" t="inlineStr">
        <is>
          <t>Trading</t>
        </is>
      </c>
      <c r="C12" s="95" t="n"/>
      <c r="D12" s="96">
        <f>IF(B12="","",SUMIFS(rGasto,rGrupo,B12,rFecha,"&gt;="&amp;mesHoy,rFecha,"&lt;="&amp;EOMONTH(diaHoy,0)))</f>
        <v/>
      </c>
      <c r="E12" s="97">
        <f>IF(OR(B12="",N(C12)=0),"",D12/C12)</f>
        <v/>
      </c>
      <c r="F12" s="98">
        <f>IF(B12="","",IF(N(C12)=0,"—",IF(E12&gt;1,"✕ Excedido",IF(E12&gt;=0.8,"⚠ Cerca del límite","✓ En rango"))))</f>
        <v/>
      </c>
      <c r="G12" s="96">
        <f>IF(B12="","",SUMIFS(rGasto,rGrupo,B12,rFecha,"&gt;="&amp;EDATE(mesHoy,-3),rFecha,"&lt;"&amp;mesHoy)/m3)</f>
        <v/>
      </c>
      <c r="H12" s="96">
        <f>IF(B12="","",SUMIFS(rGasto,rGrupo,B12,rFecha,"&gt;="&amp;semHoy,rFecha,"&lt;="&amp;semHoy+6))</f>
        <v/>
      </c>
    </row>
    <row r="13">
      <c r="B13" s="99" t="inlineStr">
        <is>
          <t>Salud</t>
        </is>
      </c>
      <c r="C13" s="95" t="n"/>
      <c r="D13" s="96">
        <f>IF(B13="","",SUMIFS(rGasto,rGrupo,B13,rFecha,"&gt;="&amp;mesHoy,rFecha,"&lt;="&amp;EOMONTH(diaHoy,0)))</f>
        <v/>
      </c>
      <c r="E13" s="97">
        <f>IF(OR(B13="",N(C13)=0),"",D13/C13)</f>
        <v/>
      </c>
      <c r="F13" s="98">
        <f>IF(B13="","",IF(N(C13)=0,"—",IF(E13&gt;1,"✕ Excedido",IF(E13&gt;=0.8,"⚠ Cerca del límite","✓ En rango"))))</f>
        <v/>
      </c>
      <c r="G13" s="96">
        <f>IF(B13="","",SUMIFS(rGasto,rGrupo,B13,rFecha,"&gt;="&amp;EDATE(mesHoy,-3),rFecha,"&lt;"&amp;mesHoy)/m3)</f>
        <v/>
      </c>
      <c r="H13" s="96">
        <f>IF(B13="","",SUMIFS(rGasto,rGrupo,B13,rFecha,"&gt;="&amp;semHoy,rFecha,"&lt;="&amp;semHoy+6))</f>
        <v/>
      </c>
    </row>
    <row r="14">
      <c r="B14" s="99" t="inlineStr">
        <is>
          <t>Educación</t>
        </is>
      </c>
      <c r="C14" s="95" t="n"/>
      <c r="D14" s="96">
        <f>IF(B14="","",SUMIFS(rGasto,rGrupo,B14,rFecha,"&gt;="&amp;mesHoy,rFecha,"&lt;="&amp;EOMONTH(diaHoy,0)))</f>
        <v/>
      </c>
      <c r="E14" s="97">
        <f>IF(OR(B14="",N(C14)=0),"",D14/C14)</f>
        <v/>
      </c>
      <c r="F14" s="98">
        <f>IF(B14="","",IF(N(C14)=0,"—",IF(E14&gt;1,"✕ Excedido",IF(E14&gt;=0.8,"⚠ Cerca del límite","✓ En rango"))))</f>
        <v/>
      </c>
      <c r="G14" s="96">
        <f>IF(B14="","",SUMIFS(rGasto,rGrupo,B14,rFecha,"&gt;="&amp;EDATE(mesHoy,-3),rFecha,"&lt;"&amp;mesHoy)/m3)</f>
        <v/>
      </c>
      <c r="H14" s="96">
        <f>IF(B14="","",SUMIFS(rGasto,rGrupo,B14,rFecha,"&gt;="&amp;semHoy,rFecha,"&lt;="&amp;semHoy+6))</f>
        <v/>
      </c>
    </row>
    <row r="15">
      <c r="B15" s="99" t="inlineStr">
        <is>
          <t>Compras personales</t>
        </is>
      </c>
      <c r="C15" s="95" t="n"/>
      <c r="D15" s="96">
        <f>IF(B15="","",SUMIFS(rGasto,rGrupo,B15,rFecha,"&gt;="&amp;mesHoy,rFecha,"&lt;="&amp;EOMONTH(diaHoy,0)))</f>
        <v/>
      </c>
      <c r="E15" s="97">
        <f>IF(OR(B15="",N(C15)=0),"",D15/C15)</f>
        <v/>
      </c>
      <c r="F15" s="98">
        <f>IF(B15="","",IF(N(C15)=0,"—",IF(E15&gt;1,"✕ Excedido",IF(E15&gt;=0.8,"⚠ Cerca del límite","✓ En rango"))))</f>
        <v/>
      </c>
      <c r="G15" s="96">
        <f>IF(B15="","",SUMIFS(rGasto,rGrupo,B15,rFecha,"&gt;="&amp;EDATE(mesHoy,-3),rFecha,"&lt;"&amp;mesHoy)/m3)</f>
        <v/>
      </c>
      <c r="H15" s="96">
        <f>IF(B15="","",SUMIFS(rGasto,rGrupo,B15,rFecha,"&gt;="&amp;semHoy,rFecha,"&lt;="&amp;semHoy+6))</f>
        <v/>
      </c>
    </row>
    <row r="16">
      <c r="B16" s="99" t="inlineStr">
        <is>
          <t>Pareja y social</t>
        </is>
      </c>
      <c r="C16" s="95" t="n"/>
      <c r="D16" s="96">
        <f>IF(B16="","",SUMIFS(rGasto,rGrupo,B16,rFecha,"&gt;="&amp;mesHoy,rFecha,"&lt;="&amp;EOMONTH(diaHoy,0)))</f>
        <v/>
      </c>
      <c r="E16" s="97">
        <f>IF(OR(B16="",N(C16)=0),"",D16/C16)</f>
        <v/>
      </c>
      <c r="F16" s="98">
        <f>IF(B16="","",IF(N(C16)=0,"—",IF(E16&gt;1,"✕ Excedido",IF(E16&gt;=0.8,"⚠ Cerca del límite","✓ En rango"))))</f>
        <v/>
      </c>
      <c r="G16" s="96">
        <f>IF(B16="","",SUMIFS(rGasto,rGrupo,B16,rFecha,"&gt;="&amp;EDATE(mesHoy,-3),rFecha,"&lt;"&amp;mesHoy)/m3)</f>
        <v/>
      </c>
      <c r="H16" s="96">
        <f>IF(B16="","",SUMIFS(rGasto,rGrupo,B16,rFecha,"&gt;="&amp;semHoy,rFecha,"&lt;="&amp;semHoy+6))</f>
        <v/>
      </c>
    </row>
    <row r="17">
      <c r="B17" s="99" t="inlineStr">
        <is>
          <t>Boda</t>
        </is>
      </c>
      <c r="C17" s="95" t="n"/>
      <c r="D17" s="96">
        <f>IF(B17="","",SUMIFS(rGasto,rGrupo,B17,rFecha,"&gt;="&amp;mesHoy,rFecha,"&lt;="&amp;EOMONTH(diaHoy,0)))</f>
        <v/>
      </c>
      <c r="E17" s="97">
        <f>IF(OR(B17="",N(C17)=0),"",D17/C17)</f>
        <v/>
      </c>
      <c r="F17" s="98">
        <f>IF(B17="","",IF(N(C17)=0,"—",IF(E17&gt;1,"✕ Excedido",IF(E17&gt;=0.8,"⚠ Cerca del límite","✓ En rango"))))</f>
        <v/>
      </c>
      <c r="G17" s="96">
        <f>IF(B17="","",SUMIFS(rGasto,rGrupo,B17,rFecha,"&gt;="&amp;EDATE(mesHoy,-3),rFecha,"&lt;"&amp;mesHoy)/m3)</f>
        <v/>
      </c>
      <c r="H17" s="96">
        <f>IF(B17="","",SUMIFS(rGasto,rGrupo,B17,rFecha,"&gt;="&amp;semHoy,rFecha,"&lt;="&amp;semHoy+6))</f>
        <v/>
      </c>
    </row>
    <row r="18">
      <c r="B18" s="99" t="inlineStr">
        <is>
          <t>Regalos</t>
        </is>
      </c>
      <c r="C18" s="95" t="n"/>
      <c r="D18" s="96">
        <f>IF(B18="","",SUMIFS(rGasto,rGrupo,B18,rFecha,"&gt;="&amp;mesHoy,rFecha,"&lt;="&amp;EOMONTH(diaHoy,0)))</f>
        <v/>
      </c>
      <c r="E18" s="97">
        <f>IF(OR(B18="",N(C18)=0),"",D18/C18)</f>
        <v/>
      </c>
      <c r="F18" s="98">
        <f>IF(B18="","",IF(N(C18)=0,"—",IF(E18&gt;1,"✕ Excedido",IF(E18&gt;=0.8,"⚠ Cerca del límite","✓ En rango"))))</f>
        <v/>
      </c>
      <c r="G18" s="96">
        <f>IF(B18="","",SUMIFS(rGasto,rGrupo,B18,rFecha,"&gt;="&amp;EDATE(mesHoy,-3),rFecha,"&lt;"&amp;mesHoy)/m3)</f>
        <v/>
      </c>
      <c r="H18" s="96">
        <f>IF(B18="","",SUMIFS(rGasto,rGrupo,B18,rFecha,"&gt;="&amp;semHoy,rFecha,"&lt;="&amp;semHoy+6))</f>
        <v/>
      </c>
    </row>
    <row r="19">
      <c r="B19" s="99" t="inlineStr">
        <is>
          <t>Imprevistos</t>
        </is>
      </c>
      <c r="C19" s="95" t="n"/>
      <c r="D19" s="96">
        <f>IF(B19="","",SUMIFS(rGasto,rGrupo,B19,rFecha,"&gt;="&amp;mesHoy,rFecha,"&lt;="&amp;EOMONTH(diaHoy,0)))</f>
        <v/>
      </c>
      <c r="E19" s="97">
        <f>IF(OR(B19="",N(C19)=0),"",D19/C19)</f>
        <v/>
      </c>
      <c r="F19" s="98">
        <f>IF(B19="","",IF(N(C19)=0,"—",IF(E19&gt;1,"✕ Excedido",IF(E19&gt;=0.8,"⚠ Cerca del límite","✓ En rango"))))</f>
        <v/>
      </c>
      <c r="G19" s="96">
        <f>IF(B19="","",SUMIFS(rGasto,rGrupo,B19,rFecha,"&gt;="&amp;EDATE(mesHoy,-3),rFecha,"&lt;"&amp;mesHoy)/m3)</f>
        <v/>
      </c>
      <c r="H19" s="96">
        <f>IF(B19="","",SUMIFS(rGasto,rGrupo,B19,rFecha,"&gt;="&amp;semHoy,rFecha,"&lt;="&amp;semHoy+6))</f>
        <v/>
      </c>
    </row>
    <row r="20">
      <c r="B20" s="99" t="inlineStr">
        <is>
          <t>Otros</t>
        </is>
      </c>
      <c r="C20" s="95" t="n"/>
      <c r="D20" s="96">
        <f>IF(B20="","",SUMIFS(rGasto,rGrupo,B20,rFecha,"&gt;="&amp;mesHoy,rFecha,"&lt;="&amp;EOMONTH(diaHoy,0)))</f>
        <v/>
      </c>
      <c r="E20" s="97">
        <f>IF(OR(B20="",N(C20)=0),"",D20/C20)</f>
        <v/>
      </c>
      <c r="F20" s="98">
        <f>IF(B20="","",IF(N(C20)=0,"—",IF(E20&gt;1,"✕ Excedido",IF(E20&gt;=0.8,"⚠ Cerca del límite","✓ En rango"))))</f>
        <v/>
      </c>
      <c r="G20" s="96">
        <f>IF(B20="","",SUMIFS(rGasto,rGrupo,B20,rFecha,"&gt;="&amp;EDATE(mesHoy,-3),rFecha,"&lt;"&amp;mesHoy)/m3)</f>
        <v/>
      </c>
      <c r="H20" s="96">
        <f>IF(B20="","",SUMIFS(rGasto,rGrupo,B20,rFecha,"&gt;="&amp;semHoy,rFecha,"&lt;="&amp;semHoy+6))</f>
        <v/>
      </c>
    </row>
    <row r="21">
      <c r="B21" s="99" t="n"/>
      <c r="C21" s="95" t="n"/>
      <c r="D21" s="96">
        <f>IF(B21="","",SUMIFS(rGasto,rGrupo,B21,rFecha,"&gt;="&amp;mesHoy,rFecha,"&lt;="&amp;EOMONTH(diaHoy,0)))</f>
        <v/>
      </c>
      <c r="E21" s="97">
        <f>IF(OR(B21="",N(C21)=0),"",D21/C21)</f>
        <v/>
      </c>
      <c r="F21" s="98">
        <f>IF(B21="","",IF(N(C21)=0,"—",IF(E21&gt;1,"✕ Excedido",IF(E21&gt;=0.8,"⚠ Cerca del límite","✓ En rango"))))</f>
        <v/>
      </c>
      <c r="G21" s="96">
        <f>IF(B21="","",SUMIFS(rGasto,rGrupo,B21,rFecha,"&gt;="&amp;EDATE(mesHoy,-3),rFecha,"&lt;"&amp;mesHoy)/m3)</f>
        <v/>
      </c>
      <c r="H21" s="96">
        <f>IF(B21="","",SUMIFS(rGasto,rGrupo,B21,rFecha,"&gt;="&amp;semHoy,rFecha,"&lt;="&amp;semHoy+6))</f>
        <v/>
      </c>
    </row>
    <row r="22">
      <c r="B22" s="99" t="n"/>
      <c r="C22" s="95" t="n"/>
      <c r="D22" s="96">
        <f>IF(B22="","",SUMIFS(rGasto,rGrupo,B22,rFecha,"&gt;="&amp;mesHoy,rFecha,"&lt;="&amp;EOMONTH(diaHoy,0)))</f>
        <v/>
      </c>
      <c r="E22" s="97">
        <f>IF(OR(B22="",N(C22)=0),"",D22/C22)</f>
        <v/>
      </c>
      <c r="F22" s="98">
        <f>IF(B22="","",IF(N(C22)=0,"—",IF(E22&gt;1,"✕ Excedido",IF(E22&gt;=0.8,"⚠ Cerca del límite","✓ En rango"))))</f>
        <v/>
      </c>
      <c r="G22" s="96">
        <f>IF(B22="","",SUMIFS(rGasto,rGrupo,B22,rFecha,"&gt;="&amp;EDATE(mesHoy,-3),rFecha,"&lt;"&amp;mesHoy)/m3)</f>
        <v/>
      </c>
      <c r="H22" s="96">
        <f>IF(B22="","",SUMIFS(rGasto,rGrupo,B22,rFecha,"&gt;="&amp;semHoy,rFecha,"&lt;="&amp;semHoy+6))</f>
        <v/>
      </c>
    </row>
    <row r="23">
      <c r="B23" s="99" t="n"/>
      <c r="C23" s="95" t="n"/>
      <c r="D23" s="96">
        <f>IF(B23="","",SUMIFS(rGasto,rGrupo,B23,rFecha,"&gt;="&amp;mesHoy,rFecha,"&lt;="&amp;EOMONTH(diaHoy,0)))</f>
        <v/>
      </c>
      <c r="E23" s="97">
        <f>IF(OR(B23="",N(C23)=0),"",D23/C23)</f>
        <v/>
      </c>
      <c r="F23" s="98">
        <f>IF(B23="","",IF(N(C23)=0,"—",IF(E23&gt;1,"✕ Excedido",IF(E23&gt;=0.8,"⚠ Cerca del límite","✓ En rango"))))</f>
        <v/>
      </c>
      <c r="G23" s="96">
        <f>IF(B23="","",SUMIFS(rGasto,rGrupo,B23,rFecha,"&gt;="&amp;EDATE(mesHoy,-3),rFecha,"&lt;"&amp;mesHoy)/m3)</f>
        <v/>
      </c>
      <c r="H23" s="96">
        <f>IF(B23="","",SUMIFS(rGasto,rGrupo,B23,rFecha,"&gt;="&amp;semHoy,rFecha,"&lt;="&amp;semHoy+6))</f>
        <v/>
      </c>
    </row>
    <row r="24">
      <c r="B24" s="99" t="n"/>
      <c r="C24" s="95" t="n"/>
      <c r="D24" s="96">
        <f>IF(B24="","",SUMIFS(rGasto,rGrupo,B24,rFecha,"&gt;="&amp;mesHoy,rFecha,"&lt;="&amp;EOMONTH(diaHoy,0)))</f>
        <v/>
      </c>
      <c r="E24" s="97">
        <f>IF(OR(B24="",N(C24)=0),"",D24/C24)</f>
        <v/>
      </c>
      <c r="F24" s="98">
        <f>IF(B24="","",IF(N(C24)=0,"—",IF(E24&gt;1,"✕ Excedido",IF(E24&gt;=0.8,"⚠ Cerca del límite","✓ En rango"))))</f>
        <v/>
      </c>
      <c r="G24" s="96">
        <f>IF(B24="","",SUMIFS(rGasto,rGrupo,B24,rFecha,"&gt;="&amp;EDATE(mesHoy,-3),rFecha,"&lt;"&amp;mesHoy)/m3)</f>
        <v/>
      </c>
      <c r="H24" s="96">
        <f>IF(B24="","",SUMIFS(rGasto,rGrupo,B24,rFecha,"&gt;="&amp;semHoy,rFecha,"&lt;="&amp;semHoy+6))</f>
        <v/>
      </c>
    </row>
    <row r="25">
      <c r="B25" s="100" t="inlineStr">
        <is>
          <t>Promedio mensual = últimos 3 meses completos con datos. Alerta al llegar al 80 %.</t>
        </is>
      </c>
    </row>
    <row r="27" ht="24" customHeight="1">
      <c r="B27" s="91" t="inlineStr">
        <is>
          <t>Objetivos de ahorro</t>
        </is>
      </c>
      <c r="C27" s="53" t="n"/>
      <c r="D27" s="53" t="n"/>
      <c r="E27" s="53" t="n"/>
      <c r="F27" s="53" t="n"/>
      <c r="G27" s="53" t="n"/>
      <c r="H27" s="53" t="n"/>
    </row>
    <row r="28" ht="28" customHeight="1">
      <c r="B28" s="92" t="inlineStr">
        <is>
          <t>Objetivo</t>
        </is>
      </c>
      <c r="C28" s="92" t="inlineStr">
        <is>
          <t>Meta (DOP)</t>
        </is>
      </c>
      <c r="D28" s="92" t="inlineStr">
        <is>
          <t>Ahorrado</t>
        </is>
      </c>
      <c r="E28" s="93" t="inlineStr">
        <is>
          <t>% avance</t>
        </is>
      </c>
      <c r="F28" s="93" t="inlineStr">
        <is>
          <t>Falta</t>
        </is>
      </c>
      <c r="G28" s="92" t="inlineStr">
        <is>
          <t>Fecha objetivo</t>
        </is>
      </c>
      <c r="H28" s="93" t="inlineStr">
        <is>
          <t>Aporte mensual necesario</t>
        </is>
      </c>
    </row>
    <row r="29">
      <c r="B29" s="99" t="inlineStr">
        <is>
          <t>Fondo de emergencia</t>
        </is>
      </c>
      <c r="C29" s="95" t="n"/>
      <c r="D29" s="95" t="n"/>
      <c r="E29" s="97">
        <f>IF(N(C29)=0,"",MIN(1,N(D29)/C29))</f>
        <v/>
      </c>
      <c r="F29" s="96">
        <f>IF(N(C29)=0,"",MAX(0,C29-N(D29)))</f>
        <v/>
      </c>
      <c r="G29" s="101" t="n"/>
      <c r="H29" s="96">
        <f>IF(OR(F29="",NOT(ISNUMBER(G29))),"",F29/MAX(1,DATEDIF(MIN(TODAY(),G29),G29,"m")))</f>
        <v/>
      </c>
    </row>
    <row r="30">
      <c r="B30" s="99" t="inlineStr">
        <is>
          <t>Boda</t>
        </is>
      </c>
      <c r="C30" s="95" t="n"/>
      <c r="D30" s="95" t="n"/>
      <c r="E30" s="97">
        <f>IF(N(C30)=0,"",MIN(1,N(D30)/C30))</f>
        <v/>
      </c>
      <c r="F30" s="96">
        <f>IF(N(C30)=0,"",MAX(0,C30-N(D30)))</f>
        <v/>
      </c>
      <c r="G30" s="101" t="n"/>
      <c r="H30" s="96">
        <f>IF(OR(F30="",NOT(ISNUMBER(G30))),"",F30/MAX(1,DATEDIF(MIN(TODAY(),G30),G30,"m")))</f>
        <v/>
      </c>
    </row>
    <row r="31">
      <c r="B31" s="99" t="inlineStr">
        <is>
          <t>Inversión</t>
        </is>
      </c>
      <c r="C31" s="95" t="n"/>
      <c r="D31" s="95" t="n"/>
      <c r="E31" s="97">
        <f>IF(N(C31)=0,"",MIN(1,N(D31)/C31))</f>
        <v/>
      </c>
      <c r="F31" s="96">
        <f>IF(N(C31)=0,"",MAX(0,C31-N(D31)))</f>
        <v/>
      </c>
      <c r="G31" s="101" t="n"/>
      <c r="H31" s="96">
        <f>IF(OR(F31="",NOT(ISNUMBER(G31))),"",F31/MAX(1,DATEDIF(MIN(TODAY(),G31),G31,"m")))</f>
        <v/>
      </c>
    </row>
    <row r="32">
      <c r="B32" s="99" t="n"/>
      <c r="C32" s="95" t="n"/>
      <c r="D32" s="95" t="n"/>
      <c r="E32" s="97">
        <f>IF(N(C32)=0,"",MIN(1,N(D32)/C32))</f>
        <v/>
      </c>
      <c r="F32" s="96">
        <f>IF(N(C32)=0,"",MAX(0,C32-N(D32)))</f>
        <v/>
      </c>
      <c r="G32" s="101" t="n"/>
      <c r="H32" s="96">
        <f>IF(OR(F32="",NOT(ISNUMBER(G32))),"",F32/MAX(1,DATEDIF(MIN(TODAY(),G32),G32,"m")))</f>
        <v/>
      </c>
    </row>
    <row r="33">
      <c r="B33" s="99" t="n"/>
      <c r="C33" s="95" t="n"/>
      <c r="D33" s="95" t="n"/>
      <c r="E33" s="97">
        <f>IF(N(C33)=0,"",MIN(1,N(D33)/C33))</f>
        <v/>
      </c>
      <c r="F33" s="96">
        <f>IF(N(C33)=0,"",MAX(0,C33-N(D33)))</f>
        <v/>
      </c>
      <c r="G33" s="101" t="n"/>
      <c r="H33" s="96">
        <f>IF(OR(F33="",NOT(ISNUMBER(G33))),"",F33/MAX(1,DATEDIF(MIN(TODAY(),G33),G33,"m")))</f>
        <v/>
      </c>
    </row>
    <row r="34">
      <c r="B34" s="100" t="inlineStr">
        <is>
          <t>Referencia fondo de emergencia: 3 a 6 meses de gasto. Tu gasto mensual promedio:</t>
        </is>
      </c>
      <c r="G34" s="102">
        <f>SUMIFS(rGasto,rFecha,"&gt;="&amp;EDATE(mesHoy,-3),rFecha,"&lt;"&amp;mesHoy)/m3</f>
        <v/>
      </c>
    </row>
    <row r="37" ht="24" customHeight="1">
      <c r="B37" s="91" t="inlineStr">
        <is>
          <t>Suscripciones y pagos recurrentes (agenda: no suma en reportes)</t>
        </is>
      </c>
      <c r="C37" s="53" t="n"/>
      <c r="D37" s="53" t="n"/>
      <c r="E37" s="53" t="n"/>
      <c r="F37" s="53" t="n"/>
      <c r="G37" s="53" t="n"/>
      <c r="H37" s="53" t="n"/>
    </row>
    <row r="38" ht="28" customHeight="1">
      <c r="B38" s="92" t="inlineStr">
        <is>
          <t>Servicio</t>
        </is>
      </c>
      <c r="C38" s="92" t="inlineStr">
        <is>
          <t>Monto</t>
        </is>
      </c>
      <c r="D38" s="92" t="inlineStr">
        <is>
          <t>Moneda</t>
        </is>
      </c>
      <c r="E38" s="92" t="inlineStr">
        <is>
          <t>Frecuencia</t>
        </is>
      </c>
      <c r="F38" s="92" t="inlineStr">
        <is>
          <t>Próximo cobro</t>
        </is>
      </c>
      <c r="G38" s="93" t="inlineStr">
        <is>
          <t>Costo mensual DOP</t>
        </is>
      </c>
      <c r="H38" s="93" t="inlineStr">
        <is>
          <t>Días para el cobro</t>
        </is>
      </c>
    </row>
    <row r="39">
      <c r="B39" s="99" t="inlineStr">
        <is>
          <t>DEMO Herramienta IA</t>
        </is>
      </c>
      <c r="C39" s="95" t="n">
        <v>20</v>
      </c>
      <c r="D39" s="23" t="inlineStr">
        <is>
          <t>USD</t>
        </is>
      </c>
      <c r="E39" s="23" t="inlineStr">
        <is>
          <t>Mensual</t>
        </is>
      </c>
      <c r="F39" s="101" t="n">
        <v>46329</v>
      </c>
      <c r="G39" s="103">
        <f>IF(OR(B39="",C39=""),"",C39*IF(D39="USD",TasaUSD,1)/IF(E39="Anual",12,1))</f>
        <v/>
      </c>
      <c r="H39" s="104">
        <f>IF(NOT(ISNUMBER(F39)),"",IF(F39&gt;=TODAY(),F39,EDATE(F39,IF(E39="Anual",12,1)*CEILING((DATEDIF(F39,TODAY(),"m")+1)/IF(E39="Anual",12,1),1)))-TODAY())</f>
        <v/>
      </c>
    </row>
    <row r="40">
      <c r="B40" s="99" t="inlineStr">
        <is>
          <t>DEMO Internet</t>
        </is>
      </c>
      <c r="C40" s="95" t="n">
        <v>2050</v>
      </c>
      <c r="D40" s="23" t="inlineStr">
        <is>
          <t>DOP</t>
        </is>
      </c>
      <c r="E40" s="23" t="inlineStr">
        <is>
          <t>Mensual</t>
        </is>
      </c>
      <c r="F40" s="101" t="n">
        <v>46331</v>
      </c>
      <c r="G40" s="103">
        <f>IF(OR(B40="",C40=""),"",C40*IF(D40="USD",TasaUSD,1)/IF(E40="Anual",12,1))</f>
        <v/>
      </c>
      <c r="H40" s="104">
        <f>IF(NOT(ISNUMBER(F40)),"",IF(F40&gt;=TODAY(),F40,EDATE(F40,IF(E40="Anual",12,1)*CEILING((DATEDIF(F40,TODAY(),"m")+1)/IF(E40="Anual",12,1),1)))-TODAY())</f>
        <v/>
      </c>
    </row>
    <row r="41">
      <c r="B41" s="99" t="inlineStr">
        <is>
          <t>DEMO Gimnasio</t>
        </is>
      </c>
      <c r="C41" s="95" t="n">
        <v>2500</v>
      </c>
      <c r="D41" s="23" t="inlineStr">
        <is>
          <t>DOP</t>
        </is>
      </c>
      <c r="E41" s="23" t="inlineStr">
        <is>
          <t>Mensual</t>
        </is>
      </c>
      <c r="F41" s="101" t="n">
        <v>46334</v>
      </c>
      <c r="G41" s="103">
        <f>IF(OR(B41="",C41=""),"",C41*IF(D41="USD",TasaUSD,1)/IF(E41="Anual",12,1))</f>
        <v/>
      </c>
      <c r="H41" s="104">
        <f>IF(NOT(ISNUMBER(F41)),"",IF(F41&gt;=TODAY(),F41,EDATE(F41,IF(E41="Anual",12,1)*CEILING((DATEDIF(F41,TODAY(),"m")+1)/IF(E41="Anual",12,1),1)))-TODAY())</f>
        <v/>
      </c>
    </row>
    <row r="42">
      <c r="B42" s="99" t="n"/>
      <c r="C42" s="95" t="n"/>
      <c r="D42" s="23" t="n"/>
      <c r="E42" s="23" t="n"/>
      <c r="F42" s="101" t="n"/>
      <c r="G42" s="103">
        <f>IF(OR(B42="",C42=""),"",C42*IF(D42="USD",TasaUSD,1)/IF(E42="Anual",12,1))</f>
        <v/>
      </c>
      <c r="H42" s="104">
        <f>IF(NOT(ISNUMBER(F42)),"",IF(F42&gt;=TODAY(),F42,EDATE(F42,IF(E42="Anual",12,1)*CEILING((DATEDIF(F42,TODAY(),"m")+1)/IF(E42="Anual",12,1),1)))-TODAY())</f>
        <v/>
      </c>
    </row>
    <row r="43">
      <c r="B43" s="99" t="n"/>
      <c r="C43" s="95" t="n"/>
      <c r="D43" s="23" t="n"/>
      <c r="E43" s="23" t="n"/>
      <c r="F43" s="101" t="n"/>
      <c r="G43" s="103">
        <f>IF(OR(B43="",C43=""),"",C43*IF(D43="USD",TasaUSD,1)/IF(E43="Anual",12,1))</f>
        <v/>
      </c>
      <c r="H43" s="104">
        <f>IF(NOT(ISNUMBER(F43)),"",IF(F43&gt;=TODAY(),F43,EDATE(F43,IF(E43="Anual",12,1)*CEILING((DATEDIF(F43,TODAY(),"m")+1)/IF(E43="Anual",12,1),1)))-TODAY())</f>
        <v/>
      </c>
    </row>
    <row r="44">
      <c r="B44" s="99" t="n"/>
      <c r="C44" s="95" t="n"/>
      <c r="D44" s="23" t="n"/>
      <c r="E44" s="23" t="n"/>
      <c r="F44" s="101" t="n"/>
      <c r="G44" s="103">
        <f>IF(OR(B44="",C44=""),"",C44*IF(D44="USD",TasaUSD,1)/IF(E44="Anual",12,1))</f>
        <v/>
      </c>
      <c r="H44" s="104">
        <f>IF(NOT(ISNUMBER(F44)),"",IF(F44&gt;=TODAY(),F44,EDATE(F44,IF(E44="Anual",12,1)*CEILING((DATEDIF(F44,TODAY(),"m")+1)/IF(E44="Anual",12,1),1)))-TODAY())</f>
        <v/>
      </c>
    </row>
    <row r="45">
      <c r="B45" s="99" t="n"/>
      <c r="C45" s="95" t="n"/>
      <c r="D45" s="23" t="n"/>
      <c r="E45" s="23" t="n"/>
      <c r="F45" s="101" t="n"/>
      <c r="G45" s="103">
        <f>IF(OR(B45="",C45=""),"",C45*IF(D45="USD",TasaUSD,1)/IF(E45="Anual",12,1))</f>
        <v/>
      </c>
      <c r="H45" s="104">
        <f>IF(NOT(ISNUMBER(F45)),"",IF(F45&gt;=TODAY(),F45,EDATE(F45,IF(E45="Anual",12,1)*CEILING((DATEDIF(F45,TODAY(),"m")+1)/IF(E45="Anual",12,1),1)))-TODAY())</f>
        <v/>
      </c>
    </row>
    <row r="46">
      <c r="B46" s="99" t="n"/>
      <c r="C46" s="95" t="n"/>
      <c r="D46" s="23" t="n"/>
      <c r="E46" s="23" t="n"/>
      <c r="F46" s="101" t="n"/>
      <c r="G46" s="103">
        <f>IF(OR(B46="",C46=""),"",C46*IF(D46="USD",TasaUSD,1)/IF(E46="Anual",12,1))</f>
        <v/>
      </c>
      <c r="H46" s="104">
        <f>IF(NOT(ISNUMBER(F46)),"",IF(F46&gt;=TODAY(),F46,EDATE(F46,IF(E46="Anual",12,1)*CEILING((DATEDIF(F46,TODAY(),"m")+1)/IF(E46="Anual",12,1),1)))-TODAY())</f>
        <v/>
      </c>
    </row>
    <row r="47">
      <c r="B47" s="99" t="n"/>
      <c r="C47" s="95" t="n"/>
      <c r="D47" s="23" t="n"/>
      <c r="E47" s="23" t="n"/>
      <c r="F47" s="101" t="n"/>
      <c r="G47" s="103">
        <f>IF(OR(B47="",C47=""),"",C47*IF(D47="USD",TasaUSD,1)/IF(E47="Anual",12,1))</f>
        <v/>
      </c>
      <c r="H47" s="104">
        <f>IF(NOT(ISNUMBER(F47)),"",IF(F47&gt;=TODAY(),F47,EDATE(F47,IF(E47="Anual",12,1)*CEILING((DATEDIF(F47,TODAY(),"m")+1)/IF(E47="Anual",12,1),1)))-TODAY())</f>
        <v/>
      </c>
    </row>
    <row r="48">
      <c r="B48" s="99" t="n"/>
      <c r="C48" s="95" t="n"/>
      <c r="D48" s="23" t="n"/>
      <c r="E48" s="23" t="n"/>
      <c r="F48" s="101" t="n"/>
      <c r="G48" s="103">
        <f>IF(OR(B48="",C48=""),"",C48*IF(D48="USD",TasaUSD,1)/IF(E48="Anual",12,1))</f>
        <v/>
      </c>
      <c r="H48" s="104">
        <f>IF(NOT(ISNUMBER(F48)),"",IF(F48&gt;=TODAY(),F48,EDATE(F48,IF(E48="Anual",12,1)*CEILING((DATEDIF(F48,TODAY(),"m")+1)/IF(E48="Anual",12,1),1)))-TODAY())</f>
        <v/>
      </c>
    </row>
    <row r="49">
      <c r="B49" s="99" t="n"/>
      <c r="C49" s="95" t="n"/>
      <c r="D49" s="23" t="n"/>
      <c r="E49" s="23" t="n"/>
      <c r="F49" s="101" t="n"/>
      <c r="G49" s="103">
        <f>IF(OR(B49="",C49=""),"",C49*IF(D49="USD",TasaUSD,1)/IF(E49="Anual",12,1))</f>
        <v/>
      </c>
      <c r="H49" s="104">
        <f>IF(NOT(ISNUMBER(F49)),"",IF(F49&gt;=TODAY(),F49,EDATE(F49,IF(E49="Anual",12,1)*CEILING((DATEDIF(F49,TODAY(),"m")+1)/IF(E49="Anual",12,1),1)))-TODAY())</f>
        <v/>
      </c>
    </row>
    <row r="50">
      <c r="B50" s="99" t="n"/>
      <c r="C50" s="95" t="n"/>
      <c r="D50" s="23" t="n"/>
      <c r="E50" s="23" t="n"/>
      <c r="F50" s="101" t="n"/>
      <c r="G50" s="103">
        <f>IF(OR(B50="",C50=""),"",C50*IF(D50="USD",TasaUSD,1)/IF(E50="Anual",12,1))</f>
        <v/>
      </c>
      <c r="H50" s="104">
        <f>IF(NOT(ISNUMBER(F50)),"",IF(F50&gt;=TODAY(),F50,EDATE(F50,IF(E50="Anual",12,1)*CEILING((DATEDIF(F50,TODAY(),"m")+1)/IF(E50="Anual",12,1),1)))-TODAY())</f>
        <v/>
      </c>
    </row>
    <row r="51">
      <c r="B51" s="100" t="inlineStr">
        <is>
          <t>Cada cobro real se anota en Registro. Si la fecha ya pasó, se calcula el siguiente cobro.</t>
        </is>
      </c>
      <c r="F51" s="105" t="inlineStr">
        <is>
          <t>Total mensual:</t>
        </is>
      </c>
      <c r="G51" s="106">
        <f>SUM(G39:G50)</f>
        <v/>
      </c>
    </row>
  </sheetData>
  <mergeCells count="5">
    <mergeCell ref="E1:J1"/>
    <mergeCell ref="B27:H27"/>
    <mergeCell ref="B3:H3"/>
    <mergeCell ref="B5:H5"/>
    <mergeCell ref="B37:H37"/>
  </mergeCells>
  <conditionalFormatting sqref="E7:E24">
    <cfRule type="dataBar" priority="1">
      <dataBar showValue="1">
        <cfvo type="num" val="0"/>
        <cfvo type="num" val="1"/>
        <color rgb="009EC5F4"/>
      </dataBar>
    </cfRule>
  </conditionalFormatting>
  <conditionalFormatting sqref="F7:F24">
    <cfRule type="expression" priority="2" dxfId="1">
      <formula>LEFT(F7,1)="✕"</formula>
    </cfRule>
    <cfRule type="expression" priority="3" dxfId="5">
      <formula>LEFT(F7,1)="⚠"</formula>
    </cfRule>
    <cfRule type="expression" priority="4" dxfId="6">
      <formula>LEFT(F7,1)="✓"</formula>
    </cfRule>
  </conditionalFormatting>
  <conditionalFormatting sqref="E29:E33">
    <cfRule type="dataBar" priority="5">
      <dataBar showValue="1">
        <cfvo type="num" val="0"/>
        <cfvo type="num" val="1"/>
        <color rgb="008FD9B6"/>
      </dataBar>
    </cfRule>
  </conditionalFormatting>
  <conditionalFormatting sqref="H39:H50">
    <cfRule type="expression" priority="6" dxfId="5">
      <formula>AND(ISNUMBER(H39),H39&lt;=7)</formula>
    </cfRule>
  </conditionalFormatting>
  <conditionalFormatting sqref="B39:F50">
    <cfRule type="expression" priority="7" dxfId="0">
      <formula>LEFT($B39,4)="DEMO"</formula>
    </cfRule>
  </conditionalFormatting>
  <dataValidations count="3">
    <dataValidation sqref="B8:B24" showDropDown="0" showInputMessage="0" showErrorMessage="0" allowBlank="1" type="list">
      <formula1>=OFFSET('Motor'!$E$5,0,0,MAX(1,COUNTIF('Motor'!$E$5:$E$24,"?*")),1)</formula1>
    </dataValidation>
    <dataValidation sqref="D39:D50" showDropDown="0" showInputMessage="0" showErrorMessage="1" allowBlank="1" errorTitle="Valor no válido" error="Elige un valor de la lista." type="list">
      <formula1>=lstMon</formula1>
    </dataValidation>
    <dataValidation sqref="E39:E50" showDropDown="0" showInputMessage="0" showErrorMessage="1" allowBlank="1" errorTitle="Valor no válido" error="Elige un valor de la lista." type="list">
      <formula1>=lstFrec</formula1>
    </dataValidation>
  </dataValidations>
  <hyperlinks>
    <hyperlink ref="B2" location="'Registro'!A1" display="Registro"/>
    <hyperlink ref="C2" location="'Resumen'!A1" display="Resumen"/>
    <hyperlink ref="D2" location="'Metas'!A1" display="Metas"/>
    <hyperlink ref="E2" location="'Ajustes'!A1" display="Ajustes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U1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26" customWidth="1" min="3" max="3"/>
    <col width="15" customWidth="1" min="4" max="4"/>
    <col width="15" customWidth="1" min="5" max="5"/>
    <col width="20" customWidth="1" min="6" max="6"/>
    <col width="15" customWidth="1" min="7" max="7"/>
    <col width="15" customWidth="1" min="8" max="8"/>
    <col hidden="1" width="3" customWidth="1" min="9" max="9"/>
    <col hidden="1" width="3" customWidth="1" min="10" max="10"/>
    <col width="2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8" customHeight="1">
      <c r="A1" s="1" t="n"/>
      <c r="B1" s="2" t="inlineStr">
        <is>
          <t>Ajustes</t>
        </is>
      </c>
      <c r="C1" s="1" t="n"/>
      <c r="D1" s="1" t="n"/>
      <c r="E1" s="1" t="n"/>
      <c r="F1" s="3" t="inlineStr">
        <is>
          <t>Cuentas, categorías y parámetros</t>
        </is>
      </c>
    </row>
    <row r="2" ht="22" customHeight="1">
      <c r="A2" s="4" t="n"/>
      <c r="B2" s="6" t="inlineStr">
        <is>
          <t>Registro</t>
        </is>
      </c>
      <c r="C2" s="6" t="inlineStr">
        <is>
          <t>Resumen</t>
        </is>
      </c>
      <c r="D2" s="6" t="inlineStr">
        <is>
          <t>Metas</t>
        </is>
      </c>
      <c r="E2" s="5" t="inlineStr">
        <is>
          <t>● Ajustes</t>
        </is>
      </c>
      <c r="F2" s="4" t="n"/>
      <c r="G2" s="4" t="n"/>
      <c r="H2" s="4" t="n"/>
      <c r="I2" s="4" t="n"/>
      <c r="J2" s="4" t="n"/>
      <c r="K2" s="4" t="n"/>
    </row>
    <row r="4" ht="24" customHeight="1">
      <c r="B4" s="91" t="inlineStr">
        <is>
          <t>Cómo registrar (10 segundos)</t>
        </is>
      </c>
      <c r="C4" s="53" t="n"/>
      <c r="D4" s="53" t="n"/>
      <c r="E4" s="53" t="n"/>
      <c r="F4" s="53" t="n"/>
      <c r="G4" s="53" t="n"/>
      <c r="H4" s="53" t="n"/>
    </row>
    <row r="5" ht="20" customHeight="1">
      <c r="B5" s="107" t="inlineStr">
        <is>
          <t>1. En «Registro» escribe Fecha (Ctrl+; = hoy), Monto, Categoría y Cuenta. Listo.</t>
        </is>
      </c>
      <c r="M5" t="inlineStr">
        <is>
          <t>Efectivo</t>
        </is>
      </c>
      <c r="N5" t="inlineStr">
        <is>
          <t>DOP</t>
        </is>
      </c>
      <c r="O5" t="inlineStr">
        <is>
          <t>Gasto</t>
        </is>
      </c>
      <c r="P5" t="inlineStr">
        <is>
          <t>Fijo</t>
        </is>
      </c>
      <c r="Q5" t="inlineStr">
        <is>
          <t>Comida comprada</t>
        </is>
      </c>
      <c r="R5" t="inlineStr">
        <is>
          <t>Desayuno</t>
        </is>
      </c>
      <c r="S5" t="inlineStr">
        <is>
          <t>Mes actual</t>
        </is>
      </c>
      <c r="T5">
        <f>YEAR(DATE(YEAR(TODAY()),MONTH(TODAY())-0,1))&amp;"-"&amp;RIGHT("0"&amp;MONTH(DATE(YEAR(TODAY()),MONTH(TODAY())-0,1)),2)</f>
        <v/>
      </c>
      <c r="U5" t="inlineStr">
        <is>
          <t>Mensual</t>
        </is>
      </c>
    </row>
    <row r="6" ht="20" customHeight="1">
      <c r="B6" s="107" t="inlineStr">
        <is>
          <t>2. Comercio es opcional (alimenta el ranking de lugares). «Hacia» solo se usa en transferencias y pagos de tarjeta.</t>
        </is>
      </c>
      <c r="M6" t="inlineStr">
        <is>
          <t>Cuenta bancaria / débito</t>
        </is>
      </c>
      <c r="N6" t="inlineStr">
        <is>
          <t>USD</t>
        </is>
      </c>
      <c r="O6" t="inlineStr">
        <is>
          <t>Ingreso</t>
        </is>
      </c>
      <c r="P6" t="inlineStr">
        <is>
          <t>Variable</t>
        </is>
      </c>
      <c r="Q6" t="inlineStr">
        <is>
          <t>Súper e ingredientes</t>
        </is>
      </c>
      <c r="R6" t="inlineStr">
        <is>
          <t>Almuerzo</t>
        </is>
      </c>
      <c r="S6" t="inlineStr">
        <is>
          <t>Mes anterior</t>
        </is>
      </c>
      <c r="T6">
        <f>YEAR(DATE(YEAR(TODAY()),MONTH(TODAY())-1,1))&amp;"-"&amp;RIGHT("0"&amp;MONTH(DATE(YEAR(TODAY()),MONTH(TODAY())-1,1)),2)</f>
        <v/>
      </c>
      <c r="U6" t="inlineStr">
        <is>
          <t>Anual</t>
        </is>
      </c>
    </row>
    <row r="7" ht="20" customHeight="1">
      <c r="B7" s="107" t="inlineStr">
        <is>
          <t>3. Compra con tarjeta de crédito = gasto normal con Cuenta «Tarjeta de crédito». Pagar la tarjeta = categoría «Pago de tarjeta» (no es gasto).</t>
        </is>
      </c>
      <c r="M7" t="inlineStr">
        <is>
          <t>Tarjeta de crédito</t>
        </is>
      </c>
      <c r="O7" t="inlineStr">
        <is>
          <t>Transferencia</t>
        </is>
      </c>
      <c r="Q7" t="inlineStr">
        <is>
          <t>Snacks y bebidas</t>
        </is>
      </c>
      <c r="R7" t="inlineStr">
        <is>
          <t>Cena</t>
        </is>
      </c>
      <c r="S7" t="inlineStr">
        <is>
          <t>Mes seleccionado</t>
        </is>
      </c>
      <c r="T7">
        <f>YEAR(DATE(YEAR(TODAY()),MONTH(TODAY())-2,1))&amp;"-"&amp;RIGHT("0"&amp;MONTH(DATE(YEAR(TODAY()),MONTH(TODAY())-2,1)),2)</f>
        <v/>
      </c>
    </row>
    <row r="8" ht="20" customHeight="1">
      <c r="B8" s="107" t="inlineStr">
        <is>
          <t>4. ¿Te devolvieron dinero? Escribe el monto en NEGATIVO con la misma categoría del gasto.</t>
        </is>
      </c>
      <c r="M8" t="inlineStr">
        <is>
          <t>Billetera digital</t>
        </is>
      </c>
      <c r="O8" t="inlineStr">
        <is>
          <t>Pago tarjeta</t>
        </is>
      </c>
      <c r="S8" t="inlineStr">
        <is>
          <t>Últimos 30 días</t>
        </is>
      </c>
      <c r="T8">
        <f>YEAR(DATE(YEAR(TODAY()),MONTH(TODAY())-3,1))&amp;"-"&amp;RIGHT("0"&amp;MONTH(DATE(YEAR(TODAY()),MONTH(TODAY())-3,1)),2)</f>
        <v/>
      </c>
    </row>
    <row r="9" ht="20" customHeight="1">
      <c r="B9" s="107" t="inlineStr">
        <is>
          <t>5. Trading: depositar/retirar = «Depósito / retiro de trading» (no es gasto). Ganancia (+) o pérdida (−) realizada = «Ganancia / pérdida de trading».</t>
        </is>
      </c>
      <c r="M9" t="inlineStr">
        <is>
          <t>Cuenta de trading</t>
        </is>
      </c>
      <c r="O9" t="inlineStr">
        <is>
          <t>Trading</t>
        </is>
      </c>
      <c r="S9" t="inlineStr">
        <is>
          <t>Año actual</t>
        </is>
      </c>
      <c r="T9">
        <f>YEAR(DATE(YEAR(TODAY()),MONTH(TODAY())-4,1))&amp;"-"&amp;RIGHT("0"&amp;MONTH(DATE(YEAR(TODAY()),MONTH(TODAY())-4,1)),2)</f>
        <v/>
      </c>
    </row>
    <row r="10" ht="20" customHeight="1">
      <c r="B10" s="107" t="inlineStr">
        <is>
          <t>6. El monto va en la moneda de la cuenta (si la cuenta es USD, escribe dólares).</t>
        </is>
      </c>
      <c r="O10" t="inlineStr">
        <is>
          <t>Ajuste</t>
        </is>
      </c>
      <c r="S10" t="inlineStr">
        <is>
          <t>Todo el historial</t>
        </is>
      </c>
      <c r="T10">
        <f>YEAR(DATE(YEAR(TODAY()),MONTH(TODAY())-5,1))&amp;"-"&amp;RIGHT("0"&amp;MONTH(DATE(YEAR(TODAY()),MONTH(TODAY())-5,1)),2)</f>
        <v/>
      </c>
    </row>
    <row r="11" ht="20" customHeight="1">
      <c r="B11" s="108" t="inlineStr">
        <is>
          <t>Datos DEMO = filas lilas del Registro. Para borrarlos: selecciona B6:G106 en Registro y pulsa Suprimir (y las filas DEMO de Metas).</t>
        </is>
      </c>
      <c r="T11">
        <f>YEAR(DATE(YEAR(TODAY()),MONTH(TODAY())-6,1))&amp;"-"&amp;RIGHT("0"&amp;MONTH(DATE(YEAR(TODAY()),MONTH(TODAY())-6,1)),2)</f>
        <v/>
      </c>
    </row>
    <row r="12">
      <c r="T12">
        <f>YEAR(DATE(YEAR(TODAY()),MONTH(TODAY())-7,1))&amp;"-"&amp;RIGHT("0"&amp;MONTH(DATE(YEAR(TODAY()),MONTH(TODAY())-7,1)),2)</f>
        <v/>
      </c>
    </row>
    <row r="13" ht="24" customHeight="1">
      <c r="B13" s="91" t="inlineStr">
        <is>
          <t>Parámetros</t>
        </is>
      </c>
      <c r="C13" s="53" t="n"/>
      <c r="D13" s="53" t="n"/>
      <c r="E13" s="53" t="n"/>
      <c r="F13" s="53" t="n"/>
      <c r="G13" s="53" t="n"/>
      <c r="H13" s="53" t="n"/>
      <c r="T13">
        <f>YEAR(DATE(YEAR(TODAY()),MONTH(TODAY())-8,1))&amp;"-"&amp;RIGHT("0"&amp;MONTH(DATE(YEAR(TODAY()),MONTH(TODAY())-8,1)),2)</f>
        <v/>
      </c>
    </row>
    <row r="14">
      <c r="B14" s="109" t="inlineStr">
        <is>
          <t>Tasa USD → DOP</t>
        </is>
      </c>
      <c r="C14" s="110" t="n">
        <v>63.5</v>
      </c>
      <c r="D14" s="100" t="inlineStr">
        <is>
          <t>Valor referencial: actualízalo con la tasa vigente.</t>
        </is>
      </c>
      <c r="T14">
        <f>YEAR(DATE(YEAR(TODAY()),MONTH(TODAY())-9,1))&amp;"-"&amp;RIGHT("0"&amp;MONTH(DATE(YEAR(TODAY()),MONTH(TODAY())-9,1)),2)</f>
        <v/>
      </c>
    </row>
    <row r="15">
      <c r="B15" s="109" t="inlineStr">
        <is>
          <t>Umbral de gasto hormiga</t>
        </is>
      </c>
      <c r="C15" s="111" t="n">
        <v>500</v>
      </c>
      <c r="D15" s="100" t="inlineStr">
        <is>
          <t>Gastos variables iguales o menores a este monto. Es un parámetro de análisis, no un límite.</t>
        </is>
      </c>
      <c r="T15">
        <f>YEAR(DATE(YEAR(TODAY()),MONTH(TODAY())-10,1))&amp;"-"&amp;RIGHT("0"&amp;MONTH(DATE(YEAR(TODAY()),MONTH(TODAY())-10,1)),2)</f>
        <v/>
      </c>
    </row>
    <row r="16">
      <c r="T16">
        <f>YEAR(DATE(YEAR(TODAY()),MONTH(TODAY())-11,1))&amp;"-"&amp;RIGHT("0"&amp;MONTH(DATE(YEAR(TODAY()),MONTH(TODAY())-11,1)),2)</f>
        <v/>
      </c>
    </row>
    <row r="17">
      <c r="T17">
        <f>YEAR(DATE(YEAR(TODAY()),MONTH(TODAY())-12,1))&amp;"-"&amp;RIGHT("0"&amp;MONTH(DATE(YEAR(TODAY()),MONTH(TODAY())-12,1)),2)</f>
        <v/>
      </c>
    </row>
    <row r="18">
      <c r="T18">
        <f>YEAR(DATE(YEAR(TODAY()),MONTH(TODAY())-13,1))&amp;"-"&amp;RIGHT("0"&amp;MONTH(DATE(YEAR(TODAY()),MONTH(TODAY())-13,1)),2)</f>
        <v/>
      </c>
    </row>
    <row r="19" ht="24" customHeight="1">
      <c r="B19" s="91" t="inlineStr">
        <is>
          <t>Cuentas y métodos de pago</t>
        </is>
      </c>
      <c r="C19" s="53" t="n"/>
      <c r="D19" s="53" t="n"/>
      <c r="E19" s="53" t="n"/>
      <c r="F19" s="53" t="n"/>
      <c r="G19" s="53" t="n"/>
      <c r="H19" s="53" t="n"/>
      <c r="T19">
        <f>YEAR(DATE(YEAR(TODAY()),MONTH(TODAY())-14,1))&amp;"-"&amp;RIGHT("0"&amp;MONTH(DATE(YEAR(TODAY()),MONTH(TODAY())-14,1)),2)</f>
        <v/>
      </c>
    </row>
    <row r="20">
      <c r="B20" s="100" t="inlineStr">
        <is>
          <t>Sin saldo inicial no se calcula saldo (no se inventan saldos). Tarjeta de crédito en negativo = deuda.</t>
        </is>
      </c>
      <c r="T20">
        <f>YEAR(DATE(YEAR(TODAY()),MONTH(TODAY())-15,1))&amp;"-"&amp;RIGHT("0"&amp;MONTH(DATE(YEAR(TODAY()),MONTH(TODAY())-15,1)),2)</f>
        <v/>
      </c>
    </row>
    <row r="21" ht="28" customHeight="1">
      <c r="B21" s="92" t="inlineStr">
        <is>
          <t>Cuenta</t>
        </is>
      </c>
      <c r="C21" s="92" t="inlineStr">
        <is>
          <t>Tipo</t>
        </is>
      </c>
      <c r="D21" s="92" t="inlineStr">
        <is>
          <t>Moneda</t>
        </is>
      </c>
      <c r="E21" s="92" t="inlineStr">
        <is>
          <t>Saldo inicial (opcional)</t>
        </is>
      </c>
      <c r="F21" s="92" t="inlineStr">
        <is>
          <t>Fecha del saldo</t>
        </is>
      </c>
      <c r="G21" s="93" t="inlineStr">
        <is>
          <t>Saldo actual</t>
        </is>
      </c>
      <c r="H21" s="93" t="inlineStr">
        <is>
          <t>Gasto este mes</t>
        </is>
      </c>
      <c r="T21">
        <f>YEAR(DATE(YEAR(TODAY()),MONTH(TODAY())-16,1))&amp;"-"&amp;RIGHT("0"&amp;MONTH(DATE(YEAR(TODAY()),MONTH(TODAY())-16,1)),2)</f>
        <v/>
      </c>
    </row>
    <row r="22">
      <c r="B22" s="99" t="inlineStr">
        <is>
          <t>Efectivo</t>
        </is>
      </c>
      <c r="C22" s="112" t="inlineStr">
        <is>
          <t>Efectivo</t>
        </is>
      </c>
      <c r="D22" s="113" t="inlineStr">
        <is>
          <t>DOP</t>
        </is>
      </c>
      <c r="E22" s="114" t="n"/>
      <c r="F22" s="115" t="n"/>
      <c r="G22" s="103">
        <f>IF(B22="","",IF(E22="","—",E22+SUMIFS(rEfO,rCta,B22,rFecha,"&gt;="&amp;IF(F22="",0,F22))+SUMIFS(rEfD,rHacia,B22,rFecha,"&gt;="&amp;IF(F22="",0,F22))))</f>
        <v/>
      </c>
      <c r="H22" s="96">
        <f>IF(B22="","",SUMIFS(rGasto,rCta,B22,rFecha,"&gt;="&amp;mesHoy,rFecha,"&lt;="&amp;EOMONTH(diaHoy,0)))</f>
        <v/>
      </c>
      <c r="I22">
        <f>IF(ISNUMBER(G22),G22*IF(D22="USD",TasaUSD,1),"")</f>
        <v/>
      </c>
      <c r="J22">
        <f>IF(B22="","",IF(OR(C22="Tarjeta de crédito",C22="Cuenta de trading"),"No","Sí"))</f>
        <v/>
      </c>
      <c r="T22">
        <f>YEAR(DATE(YEAR(TODAY()),MONTH(TODAY())-17,1))&amp;"-"&amp;RIGHT("0"&amp;MONTH(DATE(YEAR(TODAY()),MONTH(TODAY())-17,1)),2)</f>
        <v/>
      </c>
    </row>
    <row r="23">
      <c r="B23" s="99" t="inlineStr">
        <is>
          <t>Banco</t>
        </is>
      </c>
      <c r="C23" s="112" t="inlineStr">
        <is>
          <t>Cuenta bancaria / débito</t>
        </is>
      </c>
      <c r="D23" s="113" t="inlineStr">
        <is>
          <t>DOP</t>
        </is>
      </c>
      <c r="E23" s="114" t="n"/>
      <c r="F23" s="115" t="n"/>
      <c r="G23" s="103">
        <f>IF(B23="","",IF(E23="","—",E23+SUMIFS(rEfO,rCta,B23,rFecha,"&gt;="&amp;IF(F23="",0,F23))+SUMIFS(rEfD,rHacia,B23,rFecha,"&gt;="&amp;IF(F23="",0,F23))))</f>
        <v/>
      </c>
      <c r="H23" s="96">
        <f>IF(B23="","",SUMIFS(rGasto,rCta,B23,rFecha,"&gt;="&amp;mesHoy,rFecha,"&lt;="&amp;EOMONTH(diaHoy,0)))</f>
        <v/>
      </c>
      <c r="I23">
        <f>IF(ISNUMBER(G23),G23*IF(D23="USD",TasaUSD,1),"")</f>
        <v/>
      </c>
      <c r="J23">
        <f>IF(B23="","",IF(OR(C23="Tarjeta de crédito",C23="Cuenta de trading"),"No","Sí"))</f>
        <v/>
      </c>
      <c r="T23">
        <f>YEAR(DATE(YEAR(TODAY()),MONTH(TODAY())-18,1))&amp;"-"&amp;RIGHT("0"&amp;MONTH(DATE(YEAR(TODAY()),MONTH(TODAY())-18,1)),2)</f>
        <v/>
      </c>
    </row>
    <row r="24">
      <c r="B24" s="99" t="inlineStr">
        <is>
          <t>Tarjeta de crédito</t>
        </is>
      </c>
      <c r="C24" s="112" t="inlineStr">
        <is>
          <t>Tarjeta de crédito</t>
        </is>
      </c>
      <c r="D24" s="113" t="inlineStr">
        <is>
          <t>DOP</t>
        </is>
      </c>
      <c r="E24" s="114" t="n"/>
      <c r="F24" s="115" t="n"/>
      <c r="G24" s="103">
        <f>IF(B24="","",IF(E24="","—",E24+SUMIFS(rEfO,rCta,B24,rFecha,"&gt;="&amp;IF(F24="",0,F24))+SUMIFS(rEfD,rHacia,B24,rFecha,"&gt;="&amp;IF(F24="",0,F24))))</f>
        <v/>
      </c>
      <c r="H24" s="96">
        <f>IF(B24="","",SUMIFS(rGasto,rCta,B24,rFecha,"&gt;="&amp;mesHoy,rFecha,"&lt;="&amp;EOMONTH(diaHoy,0)))</f>
        <v/>
      </c>
      <c r="I24">
        <f>IF(ISNUMBER(G24),G24*IF(D24="USD",TasaUSD,1),"")</f>
        <v/>
      </c>
      <c r="J24">
        <f>IF(B24="","",IF(OR(C24="Tarjeta de crédito",C24="Cuenta de trading"),"No","Sí"))</f>
        <v/>
      </c>
      <c r="T24">
        <f>YEAR(DATE(YEAR(TODAY()),MONTH(TODAY())-19,1))&amp;"-"&amp;RIGHT("0"&amp;MONTH(DATE(YEAR(TODAY()),MONTH(TODAY())-19,1)),2)</f>
        <v/>
      </c>
    </row>
    <row r="25">
      <c r="B25" s="99" t="inlineStr">
        <is>
          <t>Billetera digital</t>
        </is>
      </c>
      <c r="C25" s="112" t="inlineStr">
        <is>
          <t>Billetera digital</t>
        </is>
      </c>
      <c r="D25" s="113" t="inlineStr">
        <is>
          <t>DOP</t>
        </is>
      </c>
      <c r="E25" s="114" t="n"/>
      <c r="F25" s="115" t="n"/>
      <c r="G25" s="103">
        <f>IF(B25="","",IF(E25="","—",E25+SUMIFS(rEfO,rCta,B25,rFecha,"&gt;="&amp;IF(F25="",0,F25))+SUMIFS(rEfD,rHacia,B25,rFecha,"&gt;="&amp;IF(F25="",0,F25))))</f>
        <v/>
      </c>
      <c r="H25" s="96">
        <f>IF(B25="","",SUMIFS(rGasto,rCta,B25,rFecha,"&gt;="&amp;mesHoy,rFecha,"&lt;="&amp;EOMONTH(diaHoy,0)))</f>
        <v/>
      </c>
      <c r="I25">
        <f>IF(ISNUMBER(G25),G25*IF(D25="USD",TasaUSD,1),"")</f>
        <v/>
      </c>
      <c r="J25">
        <f>IF(B25="","",IF(OR(C25="Tarjeta de crédito",C25="Cuenta de trading"),"No","Sí"))</f>
        <v/>
      </c>
      <c r="T25">
        <f>YEAR(DATE(YEAR(TODAY()),MONTH(TODAY())-20,1))&amp;"-"&amp;RIGHT("0"&amp;MONTH(DATE(YEAR(TODAY()),MONTH(TODAY())-20,1)),2)</f>
        <v/>
      </c>
    </row>
    <row r="26">
      <c r="B26" s="99" t="inlineStr">
        <is>
          <t>Cuenta de trading</t>
        </is>
      </c>
      <c r="C26" s="112" t="inlineStr">
        <is>
          <t>Cuenta de trading</t>
        </is>
      </c>
      <c r="D26" s="113" t="inlineStr">
        <is>
          <t>USD</t>
        </is>
      </c>
      <c r="E26" s="114" t="n"/>
      <c r="F26" s="115" t="n"/>
      <c r="G26" s="103">
        <f>IF(B26="","",IF(E26="","—",E26+SUMIFS(rEfO,rCta,B26,rFecha,"&gt;="&amp;IF(F26="",0,F26))+SUMIFS(rEfD,rHacia,B26,rFecha,"&gt;="&amp;IF(F26="",0,F26))))</f>
        <v/>
      </c>
      <c r="H26" s="96">
        <f>IF(B26="","",SUMIFS(rGasto,rCta,B26,rFecha,"&gt;="&amp;mesHoy,rFecha,"&lt;="&amp;EOMONTH(diaHoy,0)))</f>
        <v/>
      </c>
      <c r="I26">
        <f>IF(ISNUMBER(G26),G26*IF(D26="USD",TasaUSD,1),"")</f>
        <v/>
      </c>
      <c r="J26">
        <f>IF(B26="","",IF(OR(C26="Tarjeta de crédito",C26="Cuenta de trading"),"No","Sí"))</f>
        <v/>
      </c>
      <c r="T26">
        <f>YEAR(DATE(YEAR(TODAY()),MONTH(TODAY())-21,1))&amp;"-"&amp;RIGHT("0"&amp;MONTH(DATE(YEAR(TODAY()),MONTH(TODAY())-21,1)),2)</f>
        <v/>
      </c>
    </row>
    <row r="27">
      <c r="B27" s="99" t="n"/>
      <c r="C27" s="112" t="n"/>
      <c r="D27" s="113" t="n"/>
      <c r="E27" s="114" t="n"/>
      <c r="F27" s="115" t="n"/>
      <c r="G27" s="103">
        <f>IF(B27="","",IF(E27="","—",E27+SUMIFS(rEfO,rCta,B27,rFecha,"&gt;="&amp;IF(F27="",0,F27))+SUMIFS(rEfD,rHacia,B27,rFecha,"&gt;="&amp;IF(F27="",0,F27))))</f>
        <v/>
      </c>
      <c r="H27" s="96">
        <f>IF(B27="","",SUMIFS(rGasto,rCta,B27,rFecha,"&gt;="&amp;mesHoy,rFecha,"&lt;="&amp;EOMONTH(diaHoy,0)))</f>
        <v/>
      </c>
      <c r="I27">
        <f>IF(ISNUMBER(G27),G27*IF(D27="USD",TasaUSD,1),"")</f>
        <v/>
      </c>
      <c r="J27">
        <f>IF(B27="","",IF(OR(C27="Tarjeta de crédito",C27="Cuenta de trading"),"No","Sí"))</f>
        <v/>
      </c>
      <c r="T27">
        <f>YEAR(DATE(YEAR(TODAY()),MONTH(TODAY())-22,1))&amp;"-"&amp;RIGHT("0"&amp;MONTH(DATE(YEAR(TODAY()),MONTH(TODAY())-22,1)),2)</f>
        <v/>
      </c>
    </row>
    <row r="28">
      <c r="B28" s="99" t="n"/>
      <c r="C28" s="112" t="n"/>
      <c r="D28" s="113" t="n"/>
      <c r="E28" s="114" t="n"/>
      <c r="F28" s="115" t="n"/>
      <c r="G28" s="103">
        <f>IF(B28="","",IF(E28="","—",E28+SUMIFS(rEfO,rCta,B28,rFecha,"&gt;="&amp;IF(F28="",0,F28))+SUMIFS(rEfD,rHacia,B28,rFecha,"&gt;="&amp;IF(F28="",0,F28))))</f>
        <v/>
      </c>
      <c r="H28" s="96">
        <f>IF(B28="","",SUMIFS(rGasto,rCta,B28,rFecha,"&gt;="&amp;mesHoy,rFecha,"&lt;="&amp;EOMONTH(diaHoy,0)))</f>
        <v/>
      </c>
      <c r="I28">
        <f>IF(ISNUMBER(G28),G28*IF(D28="USD",TasaUSD,1),"")</f>
        <v/>
      </c>
      <c r="J28">
        <f>IF(B28="","",IF(OR(C28="Tarjeta de crédito",C28="Cuenta de trading"),"No","Sí"))</f>
        <v/>
      </c>
      <c r="T28">
        <f>YEAR(DATE(YEAR(TODAY()),MONTH(TODAY())-23,1))&amp;"-"&amp;RIGHT("0"&amp;MONTH(DATE(YEAR(TODAY()),MONTH(TODAY())-23,1)),2)</f>
        <v/>
      </c>
    </row>
    <row r="29">
      <c r="B29" s="99" t="n"/>
      <c r="C29" s="112" t="n"/>
      <c r="D29" s="113" t="n"/>
      <c r="E29" s="114" t="n"/>
      <c r="F29" s="115" t="n"/>
      <c r="G29" s="103">
        <f>IF(B29="","",IF(E29="","—",E29+SUMIFS(rEfO,rCta,B29,rFecha,"&gt;="&amp;IF(F29="",0,F29))+SUMIFS(rEfD,rHacia,B29,rFecha,"&gt;="&amp;IF(F29="",0,F29))))</f>
        <v/>
      </c>
      <c r="H29" s="96">
        <f>IF(B29="","",SUMIFS(rGasto,rCta,B29,rFecha,"&gt;="&amp;mesHoy,rFecha,"&lt;="&amp;EOMONTH(diaHoy,0)))</f>
        <v/>
      </c>
      <c r="I29">
        <f>IF(ISNUMBER(G29),G29*IF(D29="USD",TasaUSD,1),"")</f>
        <v/>
      </c>
      <c r="J29">
        <f>IF(B29="","",IF(OR(C29="Tarjeta de crédito",C29="Cuenta de trading"),"No","Sí"))</f>
        <v/>
      </c>
    </row>
    <row r="30">
      <c r="B30" s="99" t="n"/>
      <c r="C30" s="112" t="n"/>
      <c r="D30" s="113" t="n"/>
      <c r="E30" s="114" t="n"/>
      <c r="F30" s="115" t="n"/>
      <c r="G30" s="103">
        <f>IF(B30="","",IF(E30="","—",E30+SUMIFS(rEfO,rCta,B30,rFecha,"&gt;="&amp;IF(F30="",0,F30))+SUMIFS(rEfD,rHacia,B30,rFecha,"&gt;="&amp;IF(F30="",0,F30))))</f>
        <v/>
      </c>
      <c r="H30" s="96">
        <f>IF(B30="","",SUMIFS(rGasto,rCta,B30,rFecha,"&gt;="&amp;mesHoy,rFecha,"&lt;="&amp;EOMONTH(diaHoy,0)))</f>
        <v/>
      </c>
      <c r="I30">
        <f>IF(ISNUMBER(G30),G30*IF(D30="USD",TasaUSD,1),"")</f>
        <v/>
      </c>
      <c r="J30">
        <f>IF(B30="","",IF(OR(C30="Tarjeta de crédito",C30="Cuenta de trading"),"No","Sí"))</f>
        <v/>
      </c>
    </row>
    <row r="31">
      <c r="B31" s="99" t="n"/>
      <c r="C31" s="112" t="n"/>
      <c r="D31" s="113" t="n"/>
      <c r="E31" s="114" t="n"/>
      <c r="F31" s="115" t="n"/>
      <c r="G31" s="103">
        <f>IF(B31="","",IF(E31="","—",E31+SUMIFS(rEfO,rCta,B31,rFecha,"&gt;="&amp;IF(F31="",0,F31))+SUMIFS(rEfD,rHacia,B31,rFecha,"&gt;="&amp;IF(F31="",0,F31))))</f>
        <v/>
      </c>
      <c r="H31" s="96">
        <f>IF(B31="","",SUMIFS(rGasto,rCta,B31,rFecha,"&gt;="&amp;mesHoy,rFecha,"&lt;="&amp;EOMONTH(diaHoy,0)))</f>
        <v/>
      </c>
      <c r="I31">
        <f>IF(ISNUMBER(G31),G31*IF(D31="USD",TasaUSD,1),"")</f>
        <v/>
      </c>
      <c r="J31">
        <f>IF(B31="","",IF(OR(C31="Tarjeta de crédito",C31="Cuenta de trading"),"No","Sí"))</f>
        <v/>
      </c>
    </row>
    <row r="32">
      <c r="B32" s="99" t="n"/>
      <c r="C32" s="112" t="n"/>
      <c r="D32" s="113" t="n"/>
      <c r="E32" s="114" t="n"/>
      <c r="F32" s="115" t="n"/>
      <c r="G32" s="103">
        <f>IF(B32="","",IF(E32="","—",E32+SUMIFS(rEfO,rCta,B32,rFecha,"&gt;="&amp;IF(F32="",0,F32))+SUMIFS(rEfD,rHacia,B32,rFecha,"&gt;="&amp;IF(F32="",0,F32))))</f>
        <v/>
      </c>
      <c r="H32" s="96">
        <f>IF(B32="","",SUMIFS(rGasto,rCta,B32,rFecha,"&gt;="&amp;mesHoy,rFecha,"&lt;="&amp;EOMONTH(diaHoy,0)))</f>
        <v/>
      </c>
      <c r="I32">
        <f>IF(ISNUMBER(G32),G32*IF(D32="USD",TasaUSD,1),"")</f>
        <v/>
      </c>
      <c r="J32">
        <f>IF(B32="","",IF(OR(C32="Tarjeta de crédito",C32="Cuenta de trading"),"No","Sí"))</f>
        <v/>
      </c>
    </row>
    <row r="33">
      <c r="B33" s="99" t="n"/>
      <c r="C33" s="112" t="n"/>
      <c r="D33" s="113" t="n"/>
      <c r="E33" s="114" t="n"/>
      <c r="F33" s="115" t="n"/>
      <c r="G33" s="103">
        <f>IF(B33="","",IF(E33="","—",E33+SUMIFS(rEfO,rCta,B33,rFecha,"&gt;="&amp;IF(F33="",0,F33))+SUMIFS(rEfD,rHacia,B33,rFecha,"&gt;="&amp;IF(F33="",0,F33))))</f>
        <v/>
      </c>
      <c r="H33" s="96">
        <f>IF(B33="","",SUMIFS(rGasto,rCta,B33,rFecha,"&gt;="&amp;mesHoy,rFecha,"&lt;="&amp;EOMONTH(diaHoy,0)))</f>
        <v/>
      </c>
      <c r="I33">
        <f>IF(ISNUMBER(G33),G33*IF(D33="USD",TasaUSD,1),"")</f>
        <v/>
      </c>
      <c r="J33">
        <f>IF(B33="","",IF(OR(C33="Tarjeta de crédito",C33="Cuenta de trading"),"No","Sí"))</f>
        <v/>
      </c>
    </row>
    <row r="37" ht="24" customHeight="1">
      <c r="B37" s="91" t="inlineStr">
        <is>
          <t>Categorías (edita, agrega o borra filas)</t>
        </is>
      </c>
      <c r="C37" s="53" t="n"/>
      <c r="D37" s="53" t="n"/>
      <c r="E37" s="53" t="n"/>
      <c r="F37" s="53" t="n"/>
      <c r="G37" s="53" t="n"/>
      <c r="H37" s="53" t="n"/>
    </row>
    <row r="38">
      <c r="B38" s="100" t="inlineStr">
        <is>
          <t>El Tipo decide cómo cuenta: Gasto · Ingreso · Transferencia / Pago tarjeta (no son gasto) · Trading (resultado aparte) · Ajuste (solo saldo).</t>
        </is>
      </c>
    </row>
    <row r="39">
      <c r="B39" s="92" t="inlineStr">
        <is>
          <t>Categoría</t>
        </is>
      </c>
      <c r="C39" s="92" t="inlineStr">
        <is>
          <t>Grupo</t>
        </is>
      </c>
      <c r="D39" s="92" t="inlineStr">
        <is>
          <t>Tipo</t>
        </is>
      </c>
      <c r="E39" s="92" t="inlineStr">
        <is>
          <t>Fijo / Variable</t>
        </is>
      </c>
      <c r="F39" s="92" t="inlineStr">
        <is>
          <t>Análisis de comida</t>
        </is>
      </c>
      <c r="G39" s="92" t="inlineStr">
        <is>
          <t>Comida del día</t>
        </is>
      </c>
    </row>
    <row r="40">
      <c r="B40" s="94" t="inlineStr">
        <is>
          <t>Desayuno comprado</t>
        </is>
      </c>
      <c r="C40" s="116" t="inlineStr">
        <is>
          <t>Alimentación</t>
        </is>
      </c>
      <c r="D40" s="117" t="inlineStr">
        <is>
          <t>Gasto</t>
        </is>
      </c>
      <c r="E40" s="117" t="inlineStr">
        <is>
          <t>Variable</t>
        </is>
      </c>
      <c r="F40" s="116" t="inlineStr">
        <is>
          <t>Comida comprada</t>
        </is>
      </c>
      <c r="G40" s="117" t="inlineStr">
        <is>
          <t>Desayuno</t>
        </is>
      </c>
      <c r="I40">
        <f>IF(OR(C40="",D40&lt;&gt;"Gasto"),"",IF(COUNTIFS(C$40:C40,C40,D$40:D40,"Gasto")=1,MAX(I$39:I39)+1,""))</f>
        <v/>
      </c>
    </row>
    <row r="41">
      <c r="B41" s="94" t="inlineStr">
        <is>
          <t>Almuerzo comprado</t>
        </is>
      </c>
      <c r="C41" s="116" t="inlineStr">
        <is>
          <t>Alimentación</t>
        </is>
      </c>
      <c r="D41" s="117" t="inlineStr">
        <is>
          <t>Gasto</t>
        </is>
      </c>
      <c r="E41" s="117" t="inlineStr">
        <is>
          <t>Variable</t>
        </is>
      </c>
      <c r="F41" s="116" t="inlineStr">
        <is>
          <t>Comida comprada</t>
        </is>
      </c>
      <c r="G41" s="117" t="inlineStr">
        <is>
          <t>Almuerzo</t>
        </is>
      </c>
      <c r="I41">
        <f>IF(OR(C41="",D41&lt;&gt;"Gasto"),"",IF(COUNTIFS(C$40:C41,C41,D$40:D41,"Gasto")=1,MAX(I$39:I40)+1,""))</f>
        <v/>
      </c>
    </row>
    <row r="42">
      <c r="B42" s="94" t="inlineStr">
        <is>
          <t>Cena comprada</t>
        </is>
      </c>
      <c r="C42" s="116" t="inlineStr">
        <is>
          <t>Alimentación</t>
        </is>
      </c>
      <c r="D42" s="117" t="inlineStr">
        <is>
          <t>Gasto</t>
        </is>
      </c>
      <c r="E42" s="117" t="inlineStr">
        <is>
          <t>Variable</t>
        </is>
      </c>
      <c r="F42" s="116" t="inlineStr">
        <is>
          <t>Comida comprada</t>
        </is>
      </c>
      <c r="G42" s="117" t="inlineStr">
        <is>
          <t>Cena</t>
        </is>
      </c>
      <c r="I42">
        <f>IF(OR(C42="",D42&lt;&gt;"Gasto"),"",IF(COUNTIFS(C$40:C42,C42,D$40:D42,"Gasto")=1,MAX(I$39:I41)+1,""))</f>
        <v/>
      </c>
    </row>
    <row r="43">
      <c r="B43" s="94" t="inlineStr">
        <is>
          <t>Restaurante</t>
        </is>
      </c>
      <c r="C43" s="116" t="inlineStr">
        <is>
          <t>Alimentación</t>
        </is>
      </c>
      <c r="D43" s="117" t="inlineStr">
        <is>
          <t>Gasto</t>
        </is>
      </c>
      <c r="E43" s="117" t="inlineStr">
        <is>
          <t>Variable</t>
        </is>
      </c>
      <c r="F43" s="116" t="inlineStr">
        <is>
          <t>Comida comprada</t>
        </is>
      </c>
      <c r="G43" s="117" t="n"/>
      <c r="I43">
        <f>IF(OR(C43="",D43&lt;&gt;"Gasto"),"",IF(COUNTIFS(C$40:C43,C43,D$40:D43,"Gasto")=1,MAX(I$39:I42)+1,""))</f>
        <v/>
      </c>
    </row>
    <row r="44">
      <c r="B44" s="94" t="inlineStr">
        <is>
          <t>Delivery</t>
        </is>
      </c>
      <c r="C44" s="116" t="inlineStr">
        <is>
          <t>Alimentación</t>
        </is>
      </c>
      <c r="D44" s="117" t="inlineStr">
        <is>
          <t>Gasto</t>
        </is>
      </c>
      <c r="E44" s="117" t="inlineStr">
        <is>
          <t>Variable</t>
        </is>
      </c>
      <c r="F44" s="116" t="inlineStr">
        <is>
          <t>Comida comprada</t>
        </is>
      </c>
      <c r="G44" s="117" t="n"/>
      <c r="I44">
        <f>IF(OR(C44="",D44&lt;&gt;"Gasto"),"",IF(COUNTIFS(C$40:C44,C44,D$40:D44,"Gasto")=1,MAX(I$39:I43)+1,""))</f>
        <v/>
      </c>
    </row>
    <row r="45">
      <c r="B45" s="94" t="inlineStr">
        <is>
          <t>Supermercado</t>
        </is>
      </c>
      <c r="C45" s="116" t="inlineStr">
        <is>
          <t>Alimentación</t>
        </is>
      </c>
      <c r="D45" s="117" t="inlineStr">
        <is>
          <t>Gasto</t>
        </is>
      </c>
      <c r="E45" s="117" t="inlineStr">
        <is>
          <t>Variable</t>
        </is>
      </c>
      <c r="F45" s="116" t="inlineStr">
        <is>
          <t>Súper e ingredientes</t>
        </is>
      </c>
      <c r="G45" s="117" t="n"/>
      <c r="I45">
        <f>IF(OR(C45="",D45&lt;&gt;"Gasto"),"",IF(COUNTIFS(C$40:C45,C45,D$40:D45,"Gasto")=1,MAX(I$39:I44)+1,""))</f>
        <v/>
      </c>
    </row>
    <row r="46">
      <c r="B46" s="94" t="inlineStr">
        <is>
          <t>Ingredientes / colmado</t>
        </is>
      </c>
      <c r="C46" s="116" t="inlineStr">
        <is>
          <t>Alimentación</t>
        </is>
      </c>
      <c r="D46" s="117" t="inlineStr">
        <is>
          <t>Gasto</t>
        </is>
      </c>
      <c r="E46" s="117" t="inlineStr">
        <is>
          <t>Variable</t>
        </is>
      </c>
      <c r="F46" s="116" t="inlineStr">
        <is>
          <t>Súper e ingredientes</t>
        </is>
      </c>
      <c r="G46" s="117" t="n"/>
      <c r="I46">
        <f>IF(OR(C46="",D46&lt;&gt;"Gasto"),"",IF(COUNTIFS(C$40:C46,C46,D$40:D46,"Gasto")=1,MAX(I$39:I45)+1,""))</f>
        <v/>
      </c>
    </row>
    <row r="47">
      <c r="B47" s="94" t="inlineStr">
        <is>
          <t>Snacks y bebidas</t>
        </is>
      </c>
      <c r="C47" s="116" t="inlineStr">
        <is>
          <t>Alimentación</t>
        </is>
      </c>
      <c r="D47" s="117" t="inlineStr">
        <is>
          <t>Gasto</t>
        </is>
      </c>
      <c r="E47" s="117" t="inlineStr">
        <is>
          <t>Variable</t>
        </is>
      </c>
      <c r="F47" s="116" t="inlineStr">
        <is>
          <t>Snacks y bebidas</t>
        </is>
      </c>
      <c r="G47" s="117" t="n"/>
      <c r="I47">
        <f>IF(OR(C47="",D47&lt;&gt;"Gasto"),"",IF(COUNTIFS(C$40:C47,C47,D$40:D47,"Gasto")=1,MAX(I$39:I46)+1,""))</f>
        <v/>
      </c>
    </row>
    <row r="48">
      <c r="B48" s="94" t="inlineStr">
        <is>
          <t>Internet</t>
        </is>
      </c>
      <c r="C48" s="116" t="inlineStr">
        <is>
          <t>Hogar y servicios</t>
        </is>
      </c>
      <c r="D48" s="117" t="inlineStr">
        <is>
          <t>Gasto</t>
        </is>
      </c>
      <c r="E48" s="117" t="inlineStr">
        <is>
          <t>Fijo</t>
        </is>
      </c>
      <c r="F48" s="116" t="n"/>
      <c r="G48" s="117" t="n"/>
      <c r="I48">
        <f>IF(OR(C48="",D48&lt;&gt;"Gasto"),"",IF(COUNTIFS(C$40:C48,C48,D$40:D48,"Gasto")=1,MAX(I$39:I47)+1,""))</f>
        <v/>
      </c>
    </row>
    <row r="49">
      <c r="B49" s="94" t="inlineStr">
        <is>
          <t>Electricidad</t>
        </is>
      </c>
      <c r="C49" s="116" t="inlineStr">
        <is>
          <t>Hogar y servicios</t>
        </is>
      </c>
      <c r="D49" s="117" t="inlineStr">
        <is>
          <t>Gasto</t>
        </is>
      </c>
      <c r="E49" s="117" t="inlineStr">
        <is>
          <t>Fijo</t>
        </is>
      </c>
      <c r="F49" s="116" t="n"/>
      <c r="G49" s="117" t="n"/>
      <c r="I49">
        <f>IF(OR(C49="",D49&lt;&gt;"Gasto"),"",IF(COUNTIFS(C$40:C49,C49,D$40:D49,"Gasto")=1,MAX(I$39:I48)+1,""))</f>
        <v/>
      </c>
    </row>
    <row r="50">
      <c r="B50" s="94" t="inlineStr">
        <is>
          <t>Agua</t>
        </is>
      </c>
      <c r="C50" s="116" t="inlineStr">
        <is>
          <t>Hogar y servicios</t>
        </is>
      </c>
      <c r="D50" s="117" t="inlineStr">
        <is>
          <t>Gasto</t>
        </is>
      </c>
      <c r="E50" s="117" t="inlineStr">
        <is>
          <t>Fijo</t>
        </is>
      </c>
      <c r="F50" s="116" t="n"/>
      <c r="G50" s="117" t="n"/>
      <c r="I50">
        <f>IF(OR(C50="",D50&lt;&gt;"Gasto"),"",IF(COUNTIFS(C$40:C50,C50,D$40:D50,"Gasto")=1,MAX(I$39:I49)+1,""))</f>
        <v/>
      </c>
    </row>
    <row r="51">
      <c r="B51" s="94" t="inlineStr">
        <is>
          <t>Compras del hogar</t>
        </is>
      </c>
      <c r="C51" s="116" t="inlineStr">
        <is>
          <t>Hogar y servicios</t>
        </is>
      </c>
      <c r="D51" s="117" t="inlineStr">
        <is>
          <t>Gasto</t>
        </is>
      </c>
      <c r="E51" s="117" t="inlineStr">
        <is>
          <t>Variable</t>
        </is>
      </c>
      <c r="F51" s="116" t="n"/>
      <c r="G51" s="117" t="n"/>
      <c r="I51">
        <f>IF(OR(C51="",D51&lt;&gt;"Gasto"),"",IF(COUNTIFS(C$40:C51,C51,D$40:D51,"Gasto")=1,MAX(I$39:I50)+1,""))</f>
        <v/>
      </c>
    </row>
    <row r="52">
      <c r="B52" s="94" t="inlineStr">
        <is>
          <t>Mantenimiento del hogar</t>
        </is>
      </c>
      <c r="C52" s="116" t="inlineStr">
        <is>
          <t>Hogar y servicios</t>
        </is>
      </c>
      <c r="D52" s="117" t="inlineStr">
        <is>
          <t>Gasto</t>
        </is>
      </c>
      <c r="E52" s="117" t="inlineStr">
        <is>
          <t>Variable</t>
        </is>
      </c>
      <c r="F52" s="116" t="n"/>
      <c r="G52" s="117" t="n"/>
      <c r="I52">
        <f>IF(OR(C52="",D52&lt;&gt;"Gasto"),"",IF(COUNTIFS(C$40:C52,C52,D$40:D52,"Gasto")=1,MAX(I$39:I51)+1,""))</f>
        <v/>
      </c>
    </row>
    <row r="53">
      <c r="B53" s="94" t="inlineStr">
        <is>
          <t>Combustible</t>
        </is>
      </c>
      <c r="C53" s="116" t="inlineStr">
        <is>
          <t>Transporte y vehículo</t>
        </is>
      </c>
      <c r="D53" s="117" t="inlineStr">
        <is>
          <t>Gasto</t>
        </is>
      </c>
      <c r="E53" s="117" t="inlineStr">
        <is>
          <t>Variable</t>
        </is>
      </c>
      <c r="F53" s="116" t="n"/>
      <c r="G53" s="117" t="n"/>
      <c r="I53">
        <f>IF(OR(C53="",D53&lt;&gt;"Gasto"),"",IF(COUNTIFS(C$40:C53,C53,D$40:D53,"Gasto")=1,MAX(I$39:I52)+1,""))</f>
        <v/>
      </c>
    </row>
    <row r="54">
      <c r="B54" s="94" t="inlineStr">
        <is>
          <t>Mantenimiento / reparación vehículo</t>
        </is>
      </c>
      <c r="C54" s="116" t="inlineStr">
        <is>
          <t>Transporte y vehículo</t>
        </is>
      </c>
      <c r="D54" s="117" t="inlineStr">
        <is>
          <t>Gasto</t>
        </is>
      </c>
      <c r="E54" s="117" t="inlineStr">
        <is>
          <t>Variable</t>
        </is>
      </c>
      <c r="F54" s="116" t="n"/>
      <c r="G54" s="117" t="n"/>
      <c r="I54">
        <f>IF(OR(C54="",D54&lt;&gt;"Gasto"),"",IF(COUNTIFS(C$40:C54,C54,D$40:D54,"Gasto")=1,MAX(I$39:I53)+1,""))</f>
        <v/>
      </c>
    </row>
    <row r="55">
      <c r="B55" s="94" t="inlineStr">
        <is>
          <t>Seguro del vehículo</t>
        </is>
      </c>
      <c r="C55" s="116" t="inlineStr">
        <is>
          <t>Transporte y vehículo</t>
        </is>
      </c>
      <c r="D55" s="117" t="inlineStr">
        <is>
          <t>Gasto</t>
        </is>
      </c>
      <c r="E55" s="117" t="inlineStr">
        <is>
          <t>Fijo</t>
        </is>
      </c>
      <c r="F55" s="116" t="n"/>
      <c r="G55" s="117" t="n"/>
      <c r="I55">
        <f>IF(OR(C55="",D55&lt;&gt;"Gasto"),"",IF(COUNTIFS(C$40:C55,C55,D$40:D55,"Gasto")=1,MAX(I$39:I54)+1,""))</f>
        <v/>
      </c>
    </row>
    <row r="56">
      <c r="B56" s="94" t="inlineStr">
        <is>
          <t>Parqueos y peajes</t>
        </is>
      </c>
      <c r="C56" s="116" t="inlineStr">
        <is>
          <t>Transporte y vehículo</t>
        </is>
      </c>
      <c r="D56" s="117" t="inlineStr">
        <is>
          <t>Gasto</t>
        </is>
      </c>
      <c r="E56" s="117" t="inlineStr">
        <is>
          <t>Variable</t>
        </is>
      </c>
      <c r="F56" s="116" t="n"/>
      <c r="G56" s="117" t="n"/>
      <c r="I56">
        <f>IF(OR(C56="",D56&lt;&gt;"Gasto"),"",IF(COUNTIFS(C$40:C56,C56,D$40:D56,"Gasto")=1,MAX(I$39:I55)+1,""))</f>
        <v/>
      </c>
    </row>
    <row r="57">
      <c r="B57" s="94" t="inlineStr">
        <is>
          <t>Herramientas de IA</t>
        </is>
      </c>
      <c r="C57" s="116" t="inlineStr">
        <is>
          <t>Tecnología y suscripciones</t>
        </is>
      </c>
      <c r="D57" s="117" t="inlineStr">
        <is>
          <t>Gasto</t>
        </is>
      </c>
      <c r="E57" s="117" t="inlineStr">
        <is>
          <t>Fijo</t>
        </is>
      </c>
      <c r="F57" s="116" t="n"/>
      <c r="G57" s="117" t="n"/>
      <c r="I57">
        <f>IF(OR(C57="",D57&lt;&gt;"Gasto"),"",IF(COUNTIFS(C$40:C57,C57,D$40:D57,"Gasto")=1,MAX(I$39:I56)+1,""))</f>
        <v/>
      </c>
    </row>
    <row r="58">
      <c r="B58" s="94" t="inlineStr">
        <is>
          <t>Streaming y entretenimiento</t>
        </is>
      </c>
      <c r="C58" s="116" t="inlineStr">
        <is>
          <t>Tecnología y suscripciones</t>
        </is>
      </c>
      <c r="D58" s="117" t="inlineStr">
        <is>
          <t>Gasto</t>
        </is>
      </c>
      <c r="E58" s="117" t="inlineStr">
        <is>
          <t>Fijo</t>
        </is>
      </c>
      <c r="F58" s="116" t="n"/>
      <c r="G58" s="117" t="n"/>
      <c r="I58">
        <f>IF(OR(C58="",D58&lt;&gt;"Gasto"),"",IF(COUNTIFS(C$40:C58,C58,D$40:D58,"Gasto")=1,MAX(I$39:I57)+1,""))</f>
        <v/>
      </c>
    </row>
    <row r="59">
      <c r="B59" s="94" t="inlineStr">
        <is>
          <t>Software y servicios digitales</t>
        </is>
      </c>
      <c r="C59" s="116" t="inlineStr">
        <is>
          <t>Tecnología y suscripciones</t>
        </is>
      </c>
      <c r="D59" s="117" t="inlineStr">
        <is>
          <t>Gasto</t>
        </is>
      </c>
      <c r="E59" s="117" t="inlineStr">
        <is>
          <t>Fijo</t>
        </is>
      </c>
      <c r="F59" s="116" t="n"/>
      <c r="G59" s="117" t="n"/>
      <c r="I59">
        <f>IF(OR(C59="",D59&lt;&gt;"Gasto"),"",IF(COUNTIFS(C$40:C59,C59,D$40:D59,"Gasto")=1,MAX(I$39:I58)+1,""))</f>
        <v/>
      </c>
    </row>
    <row r="60">
      <c r="B60" s="94" t="inlineStr">
        <is>
          <t>Evaluación / cuenta de trading</t>
        </is>
      </c>
      <c r="C60" s="116" t="inlineStr">
        <is>
          <t>Trading</t>
        </is>
      </c>
      <c r="D60" s="117" t="inlineStr">
        <is>
          <t>Gasto</t>
        </is>
      </c>
      <c r="E60" s="117" t="inlineStr">
        <is>
          <t>Variable</t>
        </is>
      </c>
      <c r="F60" s="116" t="n"/>
      <c r="G60" s="117" t="n"/>
      <c r="I60">
        <f>IF(OR(C60="",D60&lt;&gt;"Gasto"),"",IF(COUNTIFS(C$40:C60,C60,D$40:D60,"Gasto")=1,MAX(I$39:I59)+1,""))</f>
        <v/>
      </c>
    </row>
    <row r="61">
      <c r="B61" s="94" t="inlineStr">
        <is>
          <t>Plataformas de trading</t>
        </is>
      </c>
      <c r="C61" s="116" t="inlineStr">
        <is>
          <t>Trading</t>
        </is>
      </c>
      <c r="D61" s="117" t="inlineStr">
        <is>
          <t>Gasto</t>
        </is>
      </c>
      <c r="E61" s="117" t="inlineStr">
        <is>
          <t>Fijo</t>
        </is>
      </c>
      <c r="F61" s="116" t="n"/>
      <c r="G61" s="117" t="n"/>
      <c r="I61">
        <f>IF(OR(C61="",D61&lt;&gt;"Gasto"),"",IF(COUNTIFS(C$40:C61,C61,D$40:D61,"Gasto")=1,MAX(I$39:I60)+1,""))</f>
        <v/>
      </c>
    </row>
    <row r="62">
      <c r="B62" s="94" t="inlineStr">
        <is>
          <t>Comisiones de trading</t>
        </is>
      </c>
      <c r="C62" s="116" t="inlineStr">
        <is>
          <t>Trading</t>
        </is>
      </c>
      <c r="D62" s="117" t="inlineStr">
        <is>
          <t>Gasto</t>
        </is>
      </c>
      <c r="E62" s="117" t="inlineStr">
        <is>
          <t>Variable</t>
        </is>
      </c>
      <c r="F62" s="116" t="n"/>
      <c r="G62" s="117" t="n"/>
      <c r="I62">
        <f>IF(OR(C62="",D62&lt;&gt;"Gasto"),"",IF(COUNTIFS(C$40:C62,C62,D$40:D62,"Gasto")=1,MAX(I$39:I61)+1,""))</f>
        <v/>
      </c>
    </row>
    <row r="63">
      <c r="B63" s="94" t="inlineStr">
        <is>
          <t>Salud y farmacia</t>
        </is>
      </c>
      <c r="C63" s="116" t="inlineStr">
        <is>
          <t>Salud</t>
        </is>
      </c>
      <c r="D63" s="117" t="inlineStr">
        <is>
          <t>Gasto</t>
        </is>
      </c>
      <c r="E63" s="117" t="inlineStr">
        <is>
          <t>Variable</t>
        </is>
      </c>
      <c r="F63" s="116" t="n"/>
      <c r="G63" s="117" t="n"/>
      <c r="I63">
        <f>IF(OR(C63="",D63&lt;&gt;"Gasto"),"",IF(COUNTIFS(C$40:C63,C63,D$40:D63,"Gasto")=1,MAX(I$39:I62)+1,""))</f>
        <v/>
      </c>
    </row>
    <row r="64">
      <c r="B64" s="94" t="inlineStr">
        <is>
          <t>Gimnasio</t>
        </is>
      </c>
      <c r="C64" s="116" t="inlineStr">
        <is>
          <t>Salud</t>
        </is>
      </c>
      <c r="D64" s="117" t="inlineStr">
        <is>
          <t>Gasto</t>
        </is>
      </c>
      <c r="E64" s="117" t="inlineStr">
        <is>
          <t>Fijo</t>
        </is>
      </c>
      <c r="F64" s="116" t="n"/>
      <c r="G64" s="117" t="n"/>
      <c r="I64">
        <f>IF(OR(C64="",D64&lt;&gt;"Gasto"),"",IF(COUNTIFS(C$40:C64,C64,D$40:D64,"Gasto")=1,MAX(I$39:I63)+1,""))</f>
        <v/>
      </c>
    </row>
    <row r="65">
      <c r="B65" s="94" t="inlineStr">
        <is>
          <t>Educación</t>
        </is>
      </c>
      <c r="C65" s="116" t="inlineStr">
        <is>
          <t>Educación</t>
        </is>
      </c>
      <c r="D65" s="117" t="inlineStr">
        <is>
          <t>Gasto</t>
        </is>
      </c>
      <c r="E65" s="117" t="inlineStr">
        <is>
          <t>Variable</t>
        </is>
      </c>
      <c r="F65" s="116" t="n"/>
      <c r="G65" s="117" t="n"/>
      <c r="I65">
        <f>IF(OR(C65="",D65&lt;&gt;"Gasto"),"",IF(COUNTIFS(C$40:C65,C65,D$40:D65,"Gasto")=1,MAX(I$39:I64)+1,""))</f>
        <v/>
      </c>
    </row>
    <row r="66">
      <c r="B66" s="94" t="inlineStr">
        <is>
          <t>Compras personales</t>
        </is>
      </c>
      <c r="C66" s="116" t="inlineStr">
        <is>
          <t>Compras personales</t>
        </is>
      </c>
      <c r="D66" s="117" t="inlineStr">
        <is>
          <t>Gasto</t>
        </is>
      </c>
      <c r="E66" s="117" t="inlineStr">
        <is>
          <t>Variable</t>
        </is>
      </c>
      <c r="F66" s="116" t="n"/>
      <c r="G66" s="117" t="n"/>
      <c r="I66">
        <f>IF(OR(C66="",D66&lt;&gt;"Gasto"),"",IF(COUNTIFS(C$40:C66,C66,D$40:D66,"Gasto")=1,MAX(I$39:I65)+1,""))</f>
        <v/>
      </c>
    </row>
    <row r="67">
      <c r="B67" s="94" t="inlineStr">
        <is>
          <t>Pareja y salidas</t>
        </is>
      </c>
      <c r="C67" s="116" t="inlineStr">
        <is>
          <t>Pareja y social</t>
        </is>
      </c>
      <c r="D67" s="117" t="inlineStr">
        <is>
          <t>Gasto</t>
        </is>
      </c>
      <c r="E67" s="117" t="inlineStr">
        <is>
          <t>Variable</t>
        </is>
      </c>
      <c r="F67" s="116" t="n"/>
      <c r="G67" s="117" t="n"/>
      <c r="I67">
        <f>IF(OR(C67="",D67&lt;&gt;"Gasto"),"",IF(COUNTIFS(C$40:C67,C67,D$40:D67,"Gasto")=1,MAX(I$39:I66)+1,""))</f>
        <v/>
      </c>
    </row>
    <row r="68">
      <c r="B68" s="94" t="inlineStr">
        <is>
          <t>Boda</t>
        </is>
      </c>
      <c r="C68" s="116" t="inlineStr">
        <is>
          <t>Boda</t>
        </is>
      </c>
      <c r="D68" s="117" t="inlineStr">
        <is>
          <t>Gasto</t>
        </is>
      </c>
      <c r="E68" s="117" t="inlineStr">
        <is>
          <t>Variable</t>
        </is>
      </c>
      <c r="F68" s="116" t="n"/>
      <c r="G68" s="117" t="n"/>
      <c r="I68">
        <f>IF(OR(C68="",D68&lt;&gt;"Gasto"),"",IF(COUNTIFS(C$40:C68,C68,D$40:D68,"Gasto")=1,MAX(I$39:I67)+1,""))</f>
        <v/>
      </c>
    </row>
    <row r="69">
      <c r="B69" s="94" t="inlineStr">
        <is>
          <t>Regalos</t>
        </is>
      </c>
      <c r="C69" s="116" t="inlineStr">
        <is>
          <t>Regalos</t>
        </is>
      </c>
      <c r="D69" s="117" t="inlineStr">
        <is>
          <t>Gasto</t>
        </is>
      </c>
      <c r="E69" s="117" t="inlineStr">
        <is>
          <t>Variable</t>
        </is>
      </c>
      <c r="F69" s="116" t="n"/>
      <c r="G69" s="117" t="n"/>
      <c r="I69">
        <f>IF(OR(C69="",D69&lt;&gt;"Gasto"),"",IF(COUNTIFS(C$40:C69,C69,D$40:D69,"Gasto")=1,MAX(I$39:I68)+1,""))</f>
        <v/>
      </c>
    </row>
    <row r="70">
      <c r="B70" s="94" t="inlineStr">
        <is>
          <t>Imprevistos</t>
        </is>
      </c>
      <c r="C70" s="116" t="inlineStr">
        <is>
          <t>Imprevistos</t>
        </is>
      </c>
      <c r="D70" s="117" t="inlineStr">
        <is>
          <t>Gasto</t>
        </is>
      </c>
      <c r="E70" s="117" t="inlineStr">
        <is>
          <t>Variable</t>
        </is>
      </c>
      <c r="F70" s="116" t="n"/>
      <c r="G70" s="117" t="n"/>
      <c r="I70">
        <f>IF(OR(C70="",D70&lt;&gt;"Gasto"),"",IF(COUNTIFS(C$40:C70,C70,D$40:D70,"Gasto")=1,MAX(I$39:I69)+1,""))</f>
        <v/>
      </c>
    </row>
    <row r="71">
      <c r="B71" s="94" t="inlineStr">
        <is>
          <t>Otros gastos</t>
        </is>
      </c>
      <c r="C71" s="116" t="inlineStr">
        <is>
          <t>Otros</t>
        </is>
      </c>
      <c r="D71" s="117" t="inlineStr">
        <is>
          <t>Gasto</t>
        </is>
      </c>
      <c r="E71" s="117" t="inlineStr">
        <is>
          <t>Variable</t>
        </is>
      </c>
      <c r="F71" s="116" t="n"/>
      <c r="G71" s="117" t="n"/>
      <c r="I71">
        <f>IF(OR(C71="",D71&lt;&gt;"Gasto"),"",IF(COUNTIFS(C$40:C71,C71,D$40:D71,"Gasto")=1,MAX(I$39:I70)+1,""))</f>
        <v/>
      </c>
    </row>
    <row r="72">
      <c r="B72" s="94" t="inlineStr">
        <is>
          <t>Salario</t>
        </is>
      </c>
      <c r="C72" s="116" t="inlineStr">
        <is>
          <t>Ingresos</t>
        </is>
      </c>
      <c r="D72" s="117" t="inlineStr">
        <is>
          <t>Ingreso</t>
        </is>
      </c>
      <c r="E72" s="117" t="n"/>
      <c r="F72" s="116" t="n"/>
      <c r="G72" s="117" t="n"/>
      <c r="I72">
        <f>IF(OR(C72="",D72&lt;&gt;"Gasto"),"",IF(COUNTIFS(C$40:C72,C72,D$40:D72,"Gasto")=1,MAX(I$39:I71)+1,""))</f>
        <v/>
      </c>
    </row>
    <row r="73">
      <c r="B73" s="94" t="inlineStr">
        <is>
          <t>Ingreso extra</t>
        </is>
      </c>
      <c r="C73" s="116" t="inlineStr">
        <is>
          <t>Ingresos</t>
        </is>
      </c>
      <c r="D73" s="117" t="inlineStr">
        <is>
          <t>Ingreso</t>
        </is>
      </c>
      <c r="E73" s="117" t="n"/>
      <c r="F73" s="116" t="n"/>
      <c r="G73" s="117" t="n"/>
      <c r="I73">
        <f>IF(OR(C73="",D73&lt;&gt;"Gasto"),"",IF(COUNTIFS(C$40:C73,C73,D$40:D73,"Gasto")=1,MAX(I$39:I72)+1,""))</f>
        <v/>
      </c>
    </row>
    <row r="74">
      <c r="B74" s="94" t="inlineStr">
        <is>
          <t>Transferencia entre cuentas</t>
        </is>
      </c>
      <c r="C74" s="116" t="inlineStr">
        <is>
          <t>Movimientos</t>
        </is>
      </c>
      <c r="D74" s="117" t="inlineStr">
        <is>
          <t>Transferencia</t>
        </is>
      </c>
      <c r="E74" s="117" t="n"/>
      <c r="F74" s="116" t="n"/>
      <c r="G74" s="117" t="n"/>
      <c r="I74">
        <f>IF(OR(C74="",D74&lt;&gt;"Gasto"),"",IF(COUNTIFS(C$40:C74,C74,D$40:D74,"Gasto")=1,MAX(I$39:I73)+1,""))</f>
        <v/>
      </c>
    </row>
    <row r="75">
      <c r="B75" s="94" t="inlineStr">
        <is>
          <t>Pago de tarjeta</t>
        </is>
      </c>
      <c r="C75" s="116" t="inlineStr">
        <is>
          <t>Movimientos</t>
        </is>
      </c>
      <c r="D75" s="117" t="inlineStr">
        <is>
          <t>Pago tarjeta</t>
        </is>
      </c>
      <c r="E75" s="117" t="n"/>
      <c r="F75" s="116" t="n"/>
      <c r="G75" s="117" t="n"/>
      <c r="I75">
        <f>IF(OR(C75="",D75&lt;&gt;"Gasto"),"",IF(COUNTIFS(C$40:C75,C75,D$40:D75,"Gasto")=1,MAX(I$39:I74)+1,""))</f>
        <v/>
      </c>
    </row>
    <row r="76">
      <c r="B76" s="94" t="inlineStr">
        <is>
          <t>Depósito / retiro de trading</t>
        </is>
      </c>
      <c r="C76" s="116" t="inlineStr">
        <is>
          <t>Movimientos</t>
        </is>
      </c>
      <c r="D76" s="117" t="inlineStr">
        <is>
          <t>Transferencia</t>
        </is>
      </c>
      <c r="E76" s="117" t="n"/>
      <c r="F76" s="116" t="n"/>
      <c r="G76" s="117" t="n"/>
      <c r="I76">
        <f>IF(OR(C76="",D76&lt;&gt;"Gasto"),"",IF(COUNTIFS(C$40:C76,C76,D$40:D76,"Gasto")=1,MAX(I$39:I75)+1,""))</f>
        <v/>
      </c>
    </row>
    <row r="77">
      <c r="B77" s="94" t="inlineStr">
        <is>
          <t>Ganancia / pérdida de trading</t>
        </is>
      </c>
      <c r="C77" s="116" t="inlineStr">
        <is>
          <t>Trading</t>
        </is>
      </c>
      <c r="D77" s="117" t="inlineStr">
        <is>
          <t>Trading</t>
        </is>
      </c>
      <c r="E77" s="117" t="n"/>
      <c r="F77" s="116" t="n"/>
      <c r="G77" s="117" t="n"/>
      <c r="I77">
        <f>IF(OR(C77="",D77&lt;&gt;"Gasto"),"",IF(COUNTIFS(C$40:C77,C77,D$40:D77,"Gasto")=1,MAX(I$39:I76)+1,""))</f>
        <v/>
      </c>
    </row>
    <row r="78">
      <c r="B78" s="94" t="inlineStr">
        <is>
          <t>Ajuste de saldo</t>
        </is>
      </c>
      <c r="C78" s="116" t="inlineStr">
        <is>
          <t>Movimientos</t>
        </is>
      </c>
      <c r="D78" s="117" t="inlineStr">
        <is>
          <t>Ajuste</t>
        </is>
      </c>
      <c r="E78" s="117" t="n"/>
      <c r="F78" s="116" t="n"/>
      <c r="G78" s="117" t="n"/>
      <c r="I78">
        <f>IF(OR(C78="",D78&lt;&gt;"Gasto"),"",IF(COUNTIFS(C$40:C78,C78,D$40:D78,"Gasto")=1,MAX(I$39:I77)+1,""))</f>
        <v/>
      </c>
    </row>
    <row r="79">
      <c r="B79" s="94" t="n"/>
      <c r="C79" s="116" t="n"/>
      <c r="D79" s="117" t="n"/>
      <c r="E79" s="117" t="n"/>
      <c r="F79" s="116" t="n"/>
      <c r="G79" s="117" t="n"/>
      <c r="I79">
        <f>IF(OR(C79="",D79&lt;&gt;"Gasto"),"",IF(COUNTIFS(C$40:C79,C79,D$40:D79,"Gasto")=1,MAX(I$39:I78)+1,""))</f>
        <v/>
      </c>
    </row>
    <row r="80">
      <c r="B80" s="94" t="n"/>
      <c r="C80" s="116" t="n"/>
      <c r="D80" s="117" t="n"/>
      <c r="E80" s="117" t="n"/>
      <c r="F80" s="116" t="n"/>
      <c r="G80" s="117" t="n"/>
      <c r="I80">
        <f>IF(OR(C80="",D80&lt;&gt;"Gasto"),"",IF(COUNTIFS(C$40:C80,C80,D$40:D80,"Gasto")=1,MAX(I$39:I79)+1,""))</f>
        <v/>
      </c>
    </row>
    <row r="81">
      <c r="B81" s="94" t="n"/>
      <c r="C81" s="116" t="n"/>
      <c r="D81" s="117" t="n"/>
      <c r="E81" s="117" t="n"/>
      <c r="F81" s="116" t="n"/>
      <c r="G81" s="117" t="n"/>
      <c r="I81">
        <f>IF(OR(C81="",D81&lt;&gt;"Gasto"),"",IF(COUNTIFS(C$40:C81,C81,D$40:D81,"Gasto")=1,MAX(I$39:I80)+1,""))</f>
        <v/>
      </c>
    </row>
    <row r="82">
      <c r="B82" s="94" t="n"/>
      <c r="C82" s="116" t="n"/>
      <c r="D82" s="117" t="n"/>
      <c r="E82" s="117" t="n"/>
      <c r="F82" s="116" t="n"/>
      <c r="G82" s="117" t="n"/>
      <c r="I82">
        <f>IF(OR(C82="",D82&lt;&gt;"Gasto"),"",IF(COUNTIFS(C$40:C82,C82,D$40:D82,"Gasto")=1,MAX(I$39:I81)+1,""))</f>
        <v/>
      </c>
    </row>
    <row r="83">
      <c r="B83" s="94" t="n"/>
      <c r="C83" s="116" t="n"/>
      <c r="D83" s="117" t="n"/>
      <c r="E83" s="117" t="n"/>
      <c r="F83" s="116" t="n"/>
      <c r="G83" s="117" t="n"/>
      <c r="I83">
        <f>IF(OR(C83="",D83&lt;&gt;"Gasto"),"",IF(COUNTIFS(C$40:C83,C83,D$40:D83,"Gasto")=1,MAX(I$39:I82)+1,""))</f>
        <v/>
      </c>
    </row>
    <row r="84">
      <c r="B84" s="94" t="n"/>
      <c r="C84" s="116" t="n"/>
      <c r="D84" s="117" t="n"/>
      <c r="E84" s="117" t="n"/>
      <c r="F84" s="116" t="n"/>
      <c r="G84" s="117" t="n"/>
      <c r="I84">
        <f>IF(OR(C84="",D84&lt;&gt;"Gasto"),"",IF(COUNTIFS(C$40:C84,C84,D$40:D84,"Gasto")=1,MAX(I$39:I83)+1,""))</f>
        <v/>
      </c>
    </row>
    <row r="85">
      <c r="B85" s="94" t="n"/>
      <c r="C85" s="116" t="n"/>
      <c r="D85" s="117" t="n"/>
      <c r="E85" s="117" t="n"/>
      <c r="F85" s="116" t="n"/>
      <c r="G85" s="117" t="n"/>
      <c r="I85">
        <f>IF(OR(C85="",D85&lt;&gt;"Gasto"),"",IF(COUNTIFS(C$40:C85,C85,D$40:D85,"Gasto")=1,MAX(I$39:I84)+1,""))</f>
        <v/>
      </c>
    </row>
    <row r="86">
      <c r="B86" s="94" t="n"/>
      <c r="C86" s="116" t="n"/>
      <c r="D86" s="117" t="n"/>
      <c r="E86" s="117" t="n"/>
      <c r="F86" s="116" t="n"/>
      <c r="G86" s="117" t="n"/>
      <c r="I86">
        <f>IF(OR(C86="",D86&lt;&gt;"Gasto"),"",IF(COUNTIFS(C$40:C86,C86,D$40:D86,"Gasto")=1,MAX(I$39:I85)+1,""))</f>
        <v/>
      </c>
    </row>
    <row r="87">
      <c r="B87" s="94" t="n"/>
      <c r="C87" s="116" t="n"/>
      <c r="D87" s="117" t="n"/>
      <c r="E87" s="117" t="n"/>
      <c r="F87" s="116" t="n"/>
      <c r="G87" s="117" t="n"/>
      <c r="I87">
        <f>IF(OR(C87="",D87&lt;&gt;"Gasto"),"",IF(COUNTIFS(C$40:C87,C87,D$40:D87,"Gasto")=1,MAX(I$39:I86)+1,""))</f>
        <v/>
      </c>
    </row>
    <row r="88">
      <c r="B88" s="94" t="n"/>
      <c r="C88" s="116" t="n"/>
      <c r="D88" s="117" t="n"/>
      <c r="E88" s="117" t="n"/>
      <c r="F88" s="116" t="n"/>
      <c r="G88" s="117" t="n"/>
      <c r="I88">
        <f>IF(OR(C88="",D88&lt;&gt;"Gasto"),"",IF(COUNTIFS(C$40:C88,C88,D$40:D88,"Gasto")=1,MAX(I$39:I87)+1,""))</f>
        <v/>
      </c>
    </row>
    <row r="89">
      <c r="B89" s="94" t="n"/>
      <c r="C89" s="116" t="n"/>
      <c r="D89" s="117" t="n"/>
      <c r="E89" s="117" t="n"/>
      <c r="F89" s="116" t="n"/>
      <c r="G89" s="117" t="n"/>
      <c r="I89">
        <f>IF(OR(C89="",D89&lt;&gt;"Gasto"),"",IF(COUNTIFS(C$40:C89,C89,D$40:D89,"Gasto")=1,MAX(I$39:I88)+1,""))</f>
        <v/>
      </c>
    </row>
    <row r="90">
      <c r="B90" s="94" t="n"/>
      <c r="C90" s="116" t="n"/>
      <c r="D90" s="117" t="n"/>
      <c r="E90" s="117" t="n"/>
      <c r="F90" s="116" t="n"/>
      <c r="G90" s="117" t="n"/>
      <c r="I90">
        <f>IF(OR(C90="",D90&lt;&gt;"Gasto"),"",IF(COUNTIFS(C$40:C90,C90,D$40:D90,"Gasto")=1,MAX(I$39:I89)+1,""))</f>
        <v/>
      </c>
    </row>
    <row r="91">
      <c r="B91" s="94" t="n"/>
      <c r="C91" s="116" t="n"/>
      <c r="D91" s="117" t="n"/>
      <c r="E91" s="117" t="n"/>
      <c r="F91" s="116" t="n"/>
      <c r="G91" s="117" t="n"/>
      <c r="I91">
        <f>IF(OR(C91="",D91&lt;&gt;"Gasto"),"",IF(COUNTIFS(C$40:C91,C91,D$40:D91,"Gasto")=1,MAX(I$39:I90)+1,""))</f>
        <v/>
      </c>
    </row>
    <row r="92">
      <c r="B92" s="94" t="n"/>
      <c r="C92" s="116" t="n"/>
      <c r="D92" s="117" t="n"/>
      <c r="E92" s="117" t="n"/>
      <c r="F92" s="116" t="n"/>
      <c r="G92" s="117" t="n"/>
      <c r="I92">
        <f>IF(OR(C92="",D92&lt;&gt;"Gasto"),"",IF(COUNTIFS(C$40:C92,C92,D$40:D92,"Gasto")=1,MAX(I$39:I91)+1,""))</f>
        <v/>
      </c>
    </row>
    <row r="93">
      <c r="B93" s="94" t="n"/>
      <c r="C93" s="116" t="n"/>
      <c r="D93" s="117" t="n"/>
      <c r="E93" s="117" t="n"/>
      <c r="F93" s="116" t="n"/>
      <c r="G93" s="117" t="n"/>
      <c r="I93">
        <f>IF(OR(C93="",D93&lt;&gt;"Gasto"),"",IF(COUNTIFS(C$40:C93,C93,D$40:D93,"Gasto")=1,MAX(I$39:I92)+1,""))</f>
        <v/>
      </c>
    </row>
    <row r="94">
      <c r="B94" s="94" t="n"/>
      <c r="C94" s="116" t="n"/>
      <c r="D94" s="117" t="n"/>
      <c r="E94" s="117" t="n"/>
      <c r="F94" s="116" t="n"/>
      <c r="G94" s="117" t="n"/>
      <c r="I94">
        <f>IF(OR(C94="",D94&lt;&gt;"Gasto"),"",IF(COUNTIFS(C$40:C94,C94,D$40:D94,"Gasto")=1,MAX(I$39:I93)+1,""))</f>
        <v/>
      </c>
    </row>
    <row r="95">
      <c r="B95" s="94" t="n"/>
      <c r="C95" s="116" t="n"/>
      <c r="D95" s="117" t="n"/>
      <c r="E95" s="117" t="n"/>
      <c r="F95" s="116" t="n"/>
      <c r="G95" s="117" t="n"/>
      <c r="I95">
        <f>IF(OR(C95="",D95&lt;&gt;"Gasto"),"",IF(COUNTIFS(C$40:C95,C95,D$40:D95,"Gasto")=1,MAX(I$39:I94)+1,""))</f>
        <v/>
      </c>
    </row>
    <row r="96">
      <c r="B96" s="94" t="n"/>
      <c r="C96" s="116" t="n"/>
      <c r="D96" s="117" t="n"/>
      <c r="E96" s="117" t="n"/>
      <c r="F96" s="116" t="n"/>
      <c r="G96" s="117" t="n"/>
      <c r="I96">
        <f>IF(OR(C96="",D96&lt;&gt;"Gasto"),"",IF(COUNTIFS(C$40:C96,C96,D$40:D96,"Gasto")=1,MAX(I$39:I95)+1,""))</f>
        <v/>
      </c>
    </row>
    <row r="97">
      <c r="B97" s="94" t="n"/>
      <c r="C97" s="116" t="n"/>
      <c r="D97" s="117" t="n"/>
      <c r="E97" s="117" t="n"/>
      <c r="F97" s="116" t="n"/>
      <c r="G97" s="117" t="n"/>
      <c r="I97">
        <f>IF(OR(C97="",D97&lt;&gt;"Gasto"),"",IF(COUNTIFS(C$40:C97,C97,D$40:D97,"Gasto")=1,MAX(I$39:I96)+1,""))</f>
        <v/>
      </c>
    </row>
    <row r="98">
      <c r="B98" s="94" t="n"/>
      <c r="C98" s="116" t="n"/>
      <c r="D98" s="117" t="n"/>
      <c r="E98" s="117" t="n"/>
      <c r="F98" s="116" t="n"/>
      <c r="G98" s="117" t="n"/>
      <c r="I98">
        <f>IF(OR(C98="",D98&lt;&gt;"Gasto"),"",IF(COUNTIFS(C$40:C98,C98,D$40:D98,"Gasto")=1,MAX(I$39:I97)+1,""))</f>
        <v/>
      </c>
    </row>
    <row r="99">
      <c r="B99" s="94" t="n"/>
      <c r="C99" s="116" t="n"/>
      <c r="D99" s="117" t="n"/>
      <c r="E99" s="117" t="n"/>
      <c r="F99" s="116" t="n"/>
      <c r="G99" s="117" t="n"/>
      <c r="I99">
        <f>IF(OR(C99="",D99&lt;&gt;"Gasto"),"",IF(COUNTIFS(C$40:C99,C99,D$40:D99,"Gasto")=1,MAX(I$39:I98)+1,""))</f>
        <v/>
      </c>
    </row>
    <row r="100">
      <c r="B100" s="94" t="n"/>
      <c r="C100" s="116" t="n"/>
      <c r="D100" s="117" t="n"/>
      <c r="E100" s="117" t="n"/>
      <c r="F100" s="116" t="n"/>
      <c r="G100" s="117" t="n"/>
      <c r="I100">
        <f>IF(OR(C100="",D100&lt;&gt;"Gasto"),"",IF(COUNTIFS(C$40:C100,C100,D$40:D100,"Gasto")=1,MAX(I$39:I99)+1,""))</f>
        <v/>
      </c>
    </row>
    <row r="101">
      <c r="B101" s="94" t="n"/>
      <c r="C101" s="116" t="n"/>
      <c r="D101" s="117" t="n"/>
      <c r="E101" s="117" t="n"/>
      <c r="F101" s="116" t="n"/>
      <c r="G101" s="117" t="n"/>
      <c r="I101">
        <f>IF(OR(C101="",D101&lt;&gt;"Gasto"),"",IF(COUNTIFS(C$40:C101,C101,D$40:D101,"Gasto")=1,MAX(I$39:I100)+1,""))</f>
        <v/>
      </c>
    </row>
    <row r="102">
      <c r="B102" s="94" t="n"/>
      <c r="C102" s="116" t="n"/>
      <c r="D102" s="117" t="n"/>
      <c r="E102" s="117" t="n"/>
      <c r="F102" s="116" t="n"/>
      <c r="G102" s="117" t="n"/>
      <c r="I102">
        <f>IF(OR(C102="",D102&lt;&gt;"Gasto"),"",IF(COUNTIFS(C$40:C102,C102,D$40:D102,"Gasto")=1,MAX(I$39:I101)+1,""))</f>
        <v/>
      </c>
    </row>
    <row r="103">
      <c r="B103" s="94" t="n"/>
      <c r="C103" s="116" t="n"/>
      <c r="D103" s="117" t="n"/>
      <c r="E103" s="117" t="n"/>
      <c r="F103" s="116" t="n"/>
      <c r="G103" s="117" t="n"/>
      <c r="I103">
        <f>IF(OR(C103="",D103&lt;&gt;"Gasto"),"",IF(COUNTIFS(C$40:C103,C103,D$40:D103,"Gasto")=1,MAX(I$39:I102)+1,""))</f>
        <v/>
      </c>
    </row>
    <row r="104">
      <c r="B104" s="94" t="n"/>
      <c r="C104" s="116" t="n"/>
      <c r="D104" s="117" t="n"/>
      <c r="E104" s="117" t="n"/>
      <c r="F104" s="116" t="n"/>
      <c r="G104" s="117" t="n"/>
      <c r="I104">
        <f>IF(OR(C104="",D104&lt;&gt;"Gasto"),"",IF(COUNTIFS(C$40:C104,C104,D$40:D104,"Gasto")=1,MAX(I$39:I103)+1,""))</f>
        <v/>
      </c>
    </row>
    <row r="105">
      <c r="B105" s="94" t="n"/>
      <c r="C105" s="116" t="n"/>
      <c r="D105" s="117" t="n"/>
      <c r="E105" s="117" t="n"/>
      <c r="F105" s="116" t="n"/>
      <c r="G105" s="117" t="n"/>
      <c r="I105">
        <f>IF(OR(C105="",D105&lt;&gt;"Gasto"),"",IF(COUNTIFS(C$40:C105,C105,D$40:D105,"Gasto")=1,MAX(I$39:I104)+1,""))</f>
        <v/>
      </c>
    </row>
    <row r="106">
      <c r="B106" s="94" t="n"/>
      <c r="C106" s="116" t="n"/>
      <c r="D106" s="117" t="n"/>
      <c r="E106" s="117" t="n"/>
      <c r="F106" s="116" t="n"/>
      <c r="G106" s="117" t="n"/>
      <c r="I106">
        <f>IF(OR(C106="",D106&lt;&gt;"Gasto"),"",IF(COUNTIFS(C$40:C106,C106,D$40:D106,"Gasto")=1,MAX(I$39:I105)+1,""))</f>
        <v/>
      </c>
    </row>
    <row r="107">
      <c r="B107" s="94" t="n"/>
      <c r="C107" s="116" t="n"/>
      <c r="D107" s="117" t="n"/>
      <c r="E107" s="117" t="n"/>
      <c r="F107" s="116" t="n"/>
      <c r="G107" s="117" t="n"/>
      <c r="I107">
        <f>IF(OR(C107="",D107&lt;&gt;"Gasto"),"",IF(COUNTIFS(C$40:C107,C107,D$40:D107,"Gasto")=1,MAX(I$39:I106)+1,""))</f>
        <v/>
      </c>
    </row>
    <row r="108">
      <c r="B108" s="94" t="n"/>
      <c r="C108" s="116" t="n"/>
      <c r="D108" s="117" t="n"/>
      <c r="E108" s="117" t="n"/>
      <c r="F108" s="116" t="n"/>
      <c r="G108" s="117" t="n"/>
      <c r="I108">
        <f>IF(OR(C108="",D108&lt;&gt;"Gasto"),"",IF(COUNTIFS(C$40:C108,C108,D$40:D108,"Gasto")=1,MAX(I$39:I107)+1,""))</f>
        <v/>
      </c>
    </row>
    <row r="109">
      <c r="B109" s="94" t="n"/>
      <c r="C109" s="116" t="n"/>
      <c r="D109" s="117" t="n"/>
      <c r="E109" s="117" t="n"/>
      <c r="F109" s="116" t="n"/>
      <c r="G109" s="117" t="n"/>
      <c r="I109">
        <f>IF(OR(C109="",D109&lt;&gt;"Gasto"),"",IF(COUNTIFS(C$40:C109,C109,D$40:D109,"Gasto")=1,MAX(I$39:I108)+1,""))</f>
        <v/>
      </c>
    </row>
    <row r="110">
      <c r="B110" s="94" t="n"/>
      <c r="C110" s="116" t="n"/>
      <c r="D110" s="117" t="n"/>
      <c r="E110" s="117" t="n"/>
      <c r="F110" s="116" t="n"/>
      <c r="G110" s="117" t="n"/>
      <c r="I110">
        <f>IF(OR(C110="",D110&lt;&gt;"Gasto"),"",IF(COUNTIFS(C$40:C110,C110,D$40:D110,"Gasto")=1,MAX(I$39:I109)+1,""))</f>
        <v/>
      </c>
    </row>
    <row r="111">
      <c r="B111" s="94" t="n"/>
      <c r="C111" s="116" t="n"/>
      <c r="D111" s="117" t="n"/>
      <c r="E111" s="117" t="n"/>
      <c r="F111" s="116" t="n"/>
      <c r="G111" s="117" t="n"/>
      <c r="I111">
        <f>IF(OR(C111="",D111&lt;&gt;"Gasto"),"",IF(COUNTIFS(C$40:C111,C111,D$40:D111,"Gasto")=1,MAX(I$39:I110)+1,""))</f>
        <v/>
      </c>
    </row>
    <row r="112">
      <c r="B112" s="94" t="n"/>
      <c r="C112" s="116" t="n"/>
      <c r="D112" s="117" t="n"/>
      <c r="E112" s="117" t="n"/>
      <c r="F112" s="116" t="n"/>
      <c r="G112" s="117" t="n"/>
      <c r="I112">
        <f>IF(OR(C112="",D112&lt;&gt;"Gasto"),"",IF(COUNTIFS(C$40:C112,C112,D$40:D112,"Gasto")=1,MAX(I$39:I111)+1,""))</f>
        <v/>
      </c>
    </row>
    <row r="113">
      <c r="B113" s="94" t="n"/>
      <c r="C113" s="116" t="n"/>
      <c r="D113" s="117" t="n"/>
      <c r="E113" s="117" t="n"/>
      <c r="F113" s="116" t="n"/>
      <c r="G113" s="117" t="n"/>
      <c r="I113">
        <f>IF(OR(C113="",D113&lt;&gt;"Gasto"),"",IF(COUNTIFS(C$40:C113,C113,D$40:D113,"Gasto")=1,MAX(I$39:I112)+1,""))</f>
        <v/>
      </c>
    </row>
    <row r="114">
      <c r="B114" s="94" t="n"/>
      <c r="C114" s="116" t="n"/>
      <c r="D114" s="117" t="n"/>
      <c r="E114" s="117" t="n"/>
      <c r="F114" s="116" t="n"/>
      <c r="G114" s="117" t="n"/>
      <c r="I114">
        <f>IF(OR(C114="",D114&lt;&gt;"Gasto"),"",IF(COUNTIFS(C$40:C114,C114,D$40:D114,"Gasto")=1,MAX(I$39:I113)+1,""))</f>
        <v/>
      </c>
    </row>
    <row r="115">
      <c r="B115" s="94" t="n"/>
      <c r="C115" s="116" t="n"/>
      <c r="D115" s="117" t="n"/>
      <c r="E115" s="117" t="n"/>
      <c r="F115" s="116" t="n"/>
      <c r="G115" s="117" t="n"/>
      <c r="I115">
        <f>IF(OR(C115="",D115&lt;&gt;"Gasto"),"",IF(COUNTIFS(C$40:C115,C115,D$40:D115,"Gasto")=1,MAX(I$39:I114)+1,""))</f>
        <v/>
      </c>
    </row>
    <row r="116">
      <c r="B116" s="94" t="n"/>
      <c r="C116" s="116" t="n"/>
      <c r="D116" s="117" t="n"/>
      <c r="E116" s="117" t="n"/>
      <c r="F116" s="116" t="n"/>
      <c r="G116" s="117" t="n"/>
      <c r="I116">
        <f>IF(OR(C116="",D116&lt;&gt;"Gasto"),"",IF(COUNTIFS(C$40:C116,C116,D$40:D116,"Gasto")=1,MAX(I$39:I115)+1,""))</f>
        <v/>
      </c>
    </row>
    <row r="117">
      <c r="B117" s="94" t="n"/>
      <c r="C117" s="116" t="n"/>
      <c r="D117" s="117" t="n"/>
      <c r="E117" s="117" t="n"/>
      <c r="F117" s="116" t="n"/>
      <c r="G117" s="117" t="n"/>
      <c r="I117">
        <f>IF(OR(C117="",D117&lt;&gt;"Gasto"),"",IF(COUNTIFS(C$40:C117,C117,D$40:D117,"Gasto")=1,MAX(I$39:I116)+1,""))</f>
        <v/>
      </c>
    </row>
    <row r="118">
      <c r="B118" s="94" t="n"/>
      <c r="C118" s="116" t="n"/>
      <c r="D118" s="117" t="n"/>
      <c r="E118" s="117" t="n"/>
      <c r="F118" s="116" t="n"/>
      <c r="G118" s="117" t="n"/>
      <c r="I118">
        <f>IF(OR(C118="",D118&lt;&gt;"Gasto"),"",IF(COUNTIFS(C$40:C118,C118,D$40:D118,"Gasto")=1,MAX(I$39:I117)+1,""))</f>
        <v/>
      </c>
    </row>
    <row r="119">
      <c r="B119" s="94" t="n"/>
      <c r="C119" s="116" t="n"/>
      <c r="D119" s="117" t="n"/>
      <c r="E119" s="117" t="n"/>
      <c r="F119" s="116" t="n"/>
      <c r="G119" s="117" t="n"/>
      <c r="I119">
        <f>IF(OR(C119="",D119&lt;&gt;"Gasto"),"",IF(COUNTIFS(C$40:C119,C119,D$40:D119,"Gasto")=1,MAX(I$39:I118)+1,""))</f>
        <v/>
      </c>
    </row>
    <row r="120">
      <c r="B120" s="94" t="n"/>
      <c r="C120" s="116" t="n"/>
      <c r="D120" s="117" t="n"/>
      <c r="E120" s="117" t="n"/>
      <c r="F120" s="116" t="n"/>
      <c r="G120" s="117" t="n"/>
      <c r="I120">
        <f>IF(OR(C120="",D120&lt;&gt;"Gasto"),"",IF(COUNTIFS(C$40:C120,C120,D$40:D120,"Gasto")=1,MAX(I$39:I119)+1,""))</f>
        <v/>
      </c>
    </row>
    <row r="121">
      <c r="B121" s="94" t="n"/>
      <c r="C121" s="116" t="n"/>
      <c r="D121" s="117" t="n"/>
      <c r="E121" s="117" t="n"/>
      <c r="F121" s="116" t="n"/>
      <c r="G121" s="117" t="n"/>
      <c r="I121">
        <f>IF(OR(C121="",D121&lt;&gt;"Gasto"),"",IF(COUNTIFS(C$40:C121,C121,D$40:D121,"Gasto")=1,MAX(I$39:I120)+1,""))</f>
        <v/>
      </c>
    </row>
    <row r="122">
      <c r="B122" s="94" t="n"/>
      <c r="C122" s="116" t="n"/>
      <c r="D122" s="117" t="n"/>
      <c r="E122" s="117" t="n"/>
      <c r="F122" s="116" t="n"/>
      <c r="G122" s="117" t="n"/>
      <c r="I122">
        <f>IF(OR(C122="",D122&lt;&gt;"Gasto"),"",IF(COUNTIFS(C$40:C122,C122,D$40:D122,"Gasto")=1,MAX(I$39:I121)+1,""))</f>
        <v/>
      </c>
    </row>
    <row r="123">
      <c r="B123" s="94" t="n"/>
      <c r="C123" s="116" t="n"/>
      <c r="D123" s="117" t="n"/>
      <c r="E123" s="117" t="n"/>
      <c r="F123" s="116" t="n"/>
      <c r="G123" s="117" t="n"/>
      <c r="I123">
        <f>IF(OR(C123="",D123&lt;&gt;"Gasto"),"",IF(COUNTIFS(C$40:C123,C123,D$40:D123,"Gasto")=1,MAX(I$39:I122)+1,""))</f>
        <v/>
      </c>
    </row>
    <row r="124">
      <c r="B124" s="94" t="n"/>
      <c r="C124" s="116" t="n"/>
      <c r="D124" s="117" t="n"/>
      <c r="E124" s="117" t="n"/>
      <c r="F124" s="116" t="n"/>
      <c r="G124" s="117" t="n"/>
      <c r="I124">
        <f>IF(OR(C124="",D124&lt;&gt;"Gasto"),"",IF(COUNTIFS(C$40:C124,C124,D$40:D124,"Gasto")=1,MAX(I$39:I123)+1,""))</f>
        <v/>
      </c>
    </row>
    <row r="125">
      <c r="B125" s="94" t="n"/>
      <c r="C125" s="116" t="n"/>
      <c r="D125" s="117" t="n"/>
      <c r="E125" s="117" t="n"/>
      <c r="F125" s="116" t="n"/>
      <c r="G125" s="117" t="n"/>
      <c r="I125">
        <f>IF(OR(C125="",D125&lt;&gt;"Gasto"),"",IF(COUNTIFS(C$40:C125,C125,D$40:D125,"Gasto")=1,MAX(I$39:I124)+1,""))</f>
        <v/>
      </c>
    </row>
    <row r="126">
      <c r="B126" s="94" t="n"/>
      <c r="C126" s="116" t="n"/>
      <c r="D126" s="117" t="n"/>
      <c r="E126" s="117" t="n"/>
      <c r="F126" s="116" t="n"/>
      <c r="G126" s="117" t="n"/>
      <c r="I126">
        <f>IF(OR(C126="",D126&lt;&gt;"Gasto"),"",IF(COUNTIFS(C$40:C126,C126,D$40:D126,"Gasto")=1,MAX(I$39:I125)+1,""))</f>
        <v/>
      </c>
    </row>
    <row r="127">
      <c r="B127" s="94" t="n"/>
      <c r="C127" s="116" t="n"/>
      <c r="D127" s="117" t="n"/>
      <c r="E127" s="117" t="n"/>
      <c r="F127" s="116" t="n"/>
      <c r="G127" s="117" t="n"/>
      <c r="I127">
        <f>IF(OR(C127="",D127&lt;&gt;"Gasto"),"",IF(COUNTIFS(C$40:C127,C127,D$40:D127,"Gasto")=1,MAX(I$39:I126)+1,""))</f>
        <v/>
      </c>
    </row>
    <row r="128">
      <c r="B128" s="94" t="n"/>
      <c r="C128" s="116" t="n"/>
      <c r="D128" s="117" t="n"/>
      <c r="E128" s="117" t="n"/>
      <c r="F128" s="116" t="n"/>
      <c r="G128" s="117" t="n"/>
      <c r="I128">
        <f>IF(OR(C128="",D128&lt;&gt;"Gasto"),"",IF(COUNTIFS(C$40:C128,C128,D$40:D128,"Gasto")=1,MAX(I$39:I127)+1,""))</f>
        <v/>
      </c>
    </row>
    <row r="129">
      <c r="B129" s="94" t="n"/>
      <c r="C129" s="116" t="n"/>
      <c r="D129" s="117" t="n"/>
      <c r="E129" s="117" t="n"/>
      <c r="F129" s="116" t="n"/>
      <c r="G129" s="117" t="n"/>
      <c r="I129">
        <f>IF(OR(C129="",D129&lt;&gt;"Gasto"),"",IF(COUNTIFS(C$40:C129,C129,D$40:D129,"Gasto")=1,MAX(I$39:I128)+1,""))</f>
        <v/>
      </c>
    </row>
    <row r="130">
      <c r="B130" s="94" t="n"/>
      <c r="C130" s="116" t="n"/>
      <c r="D130" s="117" t="n"/>
      <c r="E130" s="117" t="n"/>
      <c r="F130" s="116" t="n"/>
      <c r="G130" s="117" t="n"/>
      <c r="I130">
        <f>IF(OR(C130="",D130&lt;&gt;"Gasto"),"",IF(COUNTIFS(C$40:C130,C130,D$40:D130,"Gasto")=1,MAX(I$39:I129)+1,""))</f>
        <v/>
      </c>
    </row>
    <row r="131">
      <c r="B131" s="94" t="n"/>
      <c r="C131" s="116" t="n"/>
      <c r="D131" s="117" t="n"/>
      <c r="E131" s="117" t="n"/>
      <c r="F131" s="116" t="n"/>
      <c r="G131" s="117" t="n"/>
      <c r="I131">
        <f>IF(OR(C131="",D131&lt;&gt;"Gasto"),"",IF(COUNTIFS(C$40:C131,C131,D$40:D131,"Gasto")=1,MAX(I$39:I130)+1,""))</f>
        <v/>
      </c>
    </row>
    <row r="132">
      <c r="B132" s="94" t="n"/>
      <c r="C132" s="116" t="n"/>
      <c r="D132" s="117" t="n"/>
      <c r="E132" s="117" t="n"/>
      <c r="F132" s="116" t="n"/>
      <c r="G132" s="117" t="n"/>
      <c r="I132">
        <f>IF(OR(C132="",D132&lt;&gt;"Gasto"),"",IF(COUNTIFS(C$40:C132,C132,D$40:D132,"Gasto")=1,MAX(I$39:I131)+1,""))</f>
        <v/>
      </c>
    </row>
    <row r="133">
      <c r="B133" s="94" t="n"/>
      <c r="C133" s="116" t="n"/>
      <c r="D133" s="117" t="n"/>
      <c r="E133" s="117" t="n"/>
      <c r="F133" s="116" t="n"/>
      <c r="G133" s="117" t="n"/>
      <c r="I133">
        <f>IF(OR(C133="",D133&lt;&gt;"Gasto"),"",IF(COUNTIFS(C$40:C133,C133,D$40:D133,"Gasto")=1,MAX(I$39:I132)+1,""))</f>
        <v/>
      </c>
    </row>
    <row r="134">
      <c r="B134" s="94" t="n"/>
      <c r="C134" s="116" t="n"/>
      <c r="D134" s="117" t="n"/>
      <c r="E134" s="117" t="n"/>
      <c r="F134" s="116" t="n"/>
      <c r="G134" s="117" t="n"/>
      <c r="I134">
        <f>IF(OR(C134="",D134&lt;&gt;"Gasto"),"",IF(COUNTIFS(C$40:C134,C134,D$40:D134,"Gasto")=1,MAX(I$39:I133)+1,""))</f>
        <v/>
      </c>
    </row>
    <row r="135">
      <c r="B135" s="94" t="n"/>
      <c r="C135" s="116" t="n"/>
      <c r="D135" s="117" t="n"/>
      <c r="E135" s="117" t="n"/>
      <c r="F135" s="116" t="n"/>
      <c r="G135" s="117" t="n"/>
      <c r="I135">
        <f>IF(OR(C135="",D135&lt;&gt;"Gasto"),"",IF(COUNTIFS(C$40:C135,C135,D$40:D135,"Gasto")=1,MAX(I$39:I134)+1,""))</f>
        <v/>
      </c>
    </row>
    <row r="136">
      <c r="B136" s="94" t="n"/>
      <c r="C136" s="116" t="n"/>
      <c r="D136" s="117" t="n"/>
      <c r="E136" s="117" t="n"/>
      <c r="F136" s="116" t="n"/>
      <c r="G136" s="117" t="n"/>
      <c r="I136">
        <f>IF(OR(C136="",D136&lt;&gt;"Gasto"),"",IF(COUNTIFS(C$40:C136,C136,D$40:D136,"Gasto")=1,MAX(I$39:I135)+1,""))</f>
        <v/>
      </c>
    </row>
    <row r="137">
      <c r="B137" s="94" t="n"/>
      <c r="C137" s="116" t="n"/>
      <c r="D137" s="117" t="n"/>
      <c r="E137" s="117" t="n"/>
      <c r="F137" s="116" t="n"/>
      <c r="G137" s="117" t="n"/>
      <c r="I137">
        <f>IF(OR(C137="",D137&lt;&gt;"Gasto"),"",IF(COUNTIFS(C$40:C137,C137,D$40:D137,"Gasto")=1,MAX(I$39:I136)+1,""))</f>
        <v/>
      </c>
    </row>
    <row r="138">
      <c r="B138" s="94" t="n"/>
      <c r="C138" s="116" t="n"/>
      <c r="D138" s="117" t="n"/>
      <c r="E138" s="117" t="n"/>
      <c r="F138" s="116" t="n"/>
      <c r="G138" s="117" t="n"/>
      <c r="I138">
        <f>IF(OR(C138="",D138&lt;&gt;"Gasto"),"",IF(COUNTIFS(C$40:C138,C138,D$40:D138,"Gasto")=1,MAX(I$39:I137)+1,""))</f>
        <v/>
      </c>
    </row>
    <row r="139">
      <c r="B139" s="94" t="n"/>
      <c r="C139" s="116" t="n"/>
      <c r="D139" s="117" t="n"/>
      <c r="E139" s="117" t="n"/>
      <c r="F139" s="116" t="n"/>
      <c r="G139" s="117" t="n"/>
      <c r="I139">
        <f>IF(OR(C139="",D139&lt;&gt;"Gasto"),"",IF(COUNTIFS(C$40:C139,C139,D$40:D139,"Gasto")=1,MAX(I$39:I138)+1,""))</f>
        <v/>
      </c>
    </row>
  </sheetData>
  <mergeCells count="12">
    <mergeCell ref="B8:H8"/>
    <mergeCell ref="B9:H9"/>
    <mergeCell ref="B13:H13"/>
    <mergeCell ref="B19:H19"/>
    <mergeCell ref="B4:H4"/>
    <mergeCell ref="F1:K1"/>
    <mergeCell ref="B6:H6"/>
    <mergeCell ref="B7:H7"/>
    <mergeCell ref="B10:H10"/>
    <mergeCell ref="B11:H11"/>
    <mergeCell ref="B5:H5"/>
    <mergeCell ref="B37:H37"/>
  </mergeCells>
  <conditionalFormatting sqref="G22:G33">
    <cfRule type="expression" priority="1" dxfId="7">
      <formula>ISTEXT(G22)</formula>
    </cfRule>
  </conditionalFormatting>
  <dataValidations count="6">
    <dataValidation sqref="C22:C33" showDropDown="0" showInputMessage="0" showErrorMessage="1" allowBlank="1" errorTitle="Valor no válido" error="Elige un valor de la lista." type="list">
      <formula1>=lstTipoCta</formula1>
    </dataValidation>
    <dataValidation sqref="D22:D33" showDropDown="0" showInputMessage="0" showErrorMessage="1" allowBlank="1" errorTitle="Valor no válido" error="Elige un valor de la lista." type="list">
      <formula1>=lstMon</formula1>
    </dataValidation>
    <dataValidation sqref="D40:D139" showDropDown="0" showInputMessage="0" showErrorMessage="1" allowBlank="1" errorTitle="Valor no válido" error="Elige un valor de la lista." type="list">
      <formula1>=lstTipo</formula1>
    </dataValidation>
    <dataValidation sqref="E40:E139" showDropDown="0" showInputMessage="0" showErrorMessage="1" allowBlank="1" errorTitle="Valor no válido" error="Elige un valor de la lista." type="list">
      <formula1>=lstClas</formula1>
    </dataValidation>
    <dataValidation sqref="F40:F139" showDropDown="0" showInputMessage="0" showErrorMessage="1" allowBlank="1" errorTitle="Valor no válido" error="Elige un valor de la lista." type="list">
      <formula1>=lstAlim</formula1>
    </dataValidation>
    <dataValidation sqref="G40:G139" showDropDown="0" showInputMessage="0" showErrorMessage="1" allowBlank="1" errorTitle="Valor no válido" error="Elige un valor de la lista." type="list">
      <formula1>=lstComida</formula1>
    </dataValidation>
  </dataValidations>
  <hyperlinks>
    <hyperlink ref="B2" location="'Registro'!A1" display="Registro"/>
    <hyperlink ref="C2" location="'Resumen'!A1" display="Resumen"/>
    <hyperlink ref="D2" location="'Metas'!A1" display="Metas"/>
    <hyperlink ref="E2" location="'Ajustes'!A1" display="Ajustes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94A3B8"/>
    <outlinePr summaryBelow="1" summaryRight="1"/>
    <pageSetUpPr/>
  </sheetPr>
  <dimension ref="A1:AR204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4" customWidth="1" min="3" max="3"/>
  </cols>
  <sheetData>
    <row r="1" ht="38" customHeight="1">
      <c r="A1" s="1" t="n"/>
      <c r="B1" s="2" t="inlineStr">
        <is>
          <t>Motor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3" t="inlineStr">
        <is>
          <t>Cálculos intermedios · no editar</t>
        </is>
      </c>
    </row>
    <row r="2" ht="22" customHeight="1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</row>
    <row r="3">
      <c r="E3" s="118" t="inlineStr">
        <is>
          <t>Gasto por grupo</t>
        </is>
      </c>
      <c r="J3" s="118" t="inlineStr">
        <is>
          <t>Gasto por categoría</t>
        </is>
      </c>
      <c r="O3" s="118" t="inlineStr">
        <is>
          <t>Gasto por cuenta</t>
        </is>
      </c>
      <c r="T3" s="118" t="inlineStr">
        <is>
          <t>Gasto por comercio</t>
        </is>
      </c>
      <c r="Y3" s="118" t="inlineStr">
        <is>
          <t>Últimos 6 meses</t>
        </is>
      </c>
    </row>
    <row r="4">
      <c r="B4" s="119" t="inlineStr">
        <is>
          <t>Hoy</t>
        </is>
      </c>
      <c r="C4" s="120">
        <f>TODAY()</f>
        <v/>
      </c>
      <c r="E4" s="93" t="inlineStr">
        <is>
          <t>Nombre</t>
        </is>
      </c>
      <c r="F4" s="93" t="inlineStr">
        <is>
          <t>Monto</t>
        </is>
      </c>
      <c r="G4" s="93" t="inlineStr">
        <is>
          <t>Nº</t>
        </is>
      </c>
      <c r="H4" s="93" t="inlineStr">
        <is>
          <t>Clave</t>
        </is>
      </c>
      <c r="J4" s="93" t="inlineStr">
        <is>
          <t>Nombre</t>
        </is>
      </c>
      <c r="K4" s="93" t="inlineStr">
        <is>
          <t>Monto</t>
        </is>
      </c>
      <c r="L4" s="93" t="inlineStr">
        <is>
          <t>Nº</t>
        </is>
      </c>
      <c r="M4" s="93" t="inlineStr">
        <is>
          <t>Clave</t>
        </is>
      </c>
      <c r="O4" s="93" t="inlineStr">
        <is>
          <t>Nombre</t>
        </is>
      </c>
      <c r="P4" s="93" t="inlineStr">
        <is>
          <t>Monto</t>
        </is>
      </c>
      <c r="Q4" s="93" t="inlineStr">
        <is>
          <t>Nº</t>
        </is>
      </c>
      <c r="R4" s="93" t="inlineStr">
        <is>
          <t>Clave</t>
        </is>
      </c>
      <c r="T4" s="93" t="inlineStr">
        <is>
          <t>Nombre</t>
        </is>
      </c>
      <c r="U4" s="93" t="inlineStr">
        <is>
          <t>Monto</t>
        </is>
      </c>
      <c r="V4" s="93" t="inlineStr">
        <is>
          <t>Nº</t>
        </is>
      </c>
      <c r="W4" s="93" t="inlineStr">
        <is>
          <t>Clave</t>
        </is>
      </c>
      <c r="Y4" s="93" t="inlineStr">
        <is>
          <t>Mes</t>
        </is>
      </c>
      <c r="Z4" s="93" t="inlineStr">
        <is>
          <t>Etiqueta</t>
        </is>
      </c>
      <c r="AA4" s="93" t="inlineStr">
        <is>
          <t>Ingresos</t>
        </is>
      </c>
      <c r="AB4" s="93" t="inlineStr">
        <is>
          <t>Gasto real</t>
        </is>
      </c>
      <c r="AC4" s="93" t="inlineStr">
        <is>
          <t>Comida comprada</t>
        </is>
      </c>
      <c r="AD4" s="93" t="inlineStr">
        <is>
          <t>Súper e ingredientes</t>
        </is>
      </c>
      <c r="AF4" s="93" t="inlineStr">
        <is>
          <t>Top</t>
        </is>
      </c>
      <c r="AG4" s="93" t="inlineStr">
        <is>
          <t>Monto</t>
        </is>
      </c>
      <c r="AH4" s="93" t="inlineStr">
        <is>
          <t>Nº</t>
        </is>
      </c>
      <c r="AI4" s="93" t="inlineStr">
        <is>
          <t>Top</t>
        </is>
      </c>
      <c r="AJ4" s="93" t="inlineStr">
        <is>
          <t>Monto</t>
        </is>
      </c>
      <c r="AK4" s="93" t="inlineStr">
        <is>
          <t>Nº</t>
        </is>
      </c>
      <c r="AL4" s="93" t="inlineStr">
        <is>
          <t>Top</t>
        </is>
      </c>
      <c r="AM4" s="93" t="inlineStr">
        <is>
          <t>Monto</t>
        </is>
      </c>
      <c r="AN4" s="93" t="inlineStr">
        <is>
          <t>Nº</t>
        </is>
      </c>
      <c r="AO4" s="93" t="inlineStr">
        <is>
          <t>Top</t>
        </is>
      </c>
      <c r="AP4" s="93" t="inlineStr">
        <is>
          <t>Monto</t>
        </is>
      </c>
      <c r="AQ4" s="93" t="inlineStr">
        <is>
          <t>Nº</t>
        </is>
      </c>
    </row>
    <row r="5">
      <c r="B5" s="119" t="inlineStr">
        <is>
          <t>Inicio de este mes</t>
        </is>
      </c>
      <c r="C5" s="120">
        <f>DATE(YEAR(diaHoy),MONTH(diaHoy),1)</f>
        <v/>
      </c>
      <c r="E5">
        <f>IFERROR(INDEX(catGrupo,MATCH(1,catGIdx,0))&amp;"","")</f>
        <v/>
      </c>
      <c r="F5">
        <f>IF(E5="","",SUMIFS(rGasto,rGrupo,E5,rFecha,"&gt;="&amp;pIni,rFecha,"&lt;="&amp;pFin))</f>
        <v/>
      </c>
      <c r="G5">
        <f>IF(E5="","",COUNTIFS(rGrupo,E5,rTipo,"Gasto",rFecha,"&gt;="&amp;pIni,rFecha,"&lt;="&amp;pFin))</f>
        <v/>
      </c>
      <c r="H5">
        <f>IF(E5="",-1E+12-1,N(F5)+(21-1)/1E+7)</f>
        <v/>
      </c>
      <c r="J5">
        <f>IF(INDEX(catTipo,1)&amp;""="Gasto",INDEX(catNom,1)&amp;"","")</f>
        <v/>
      </c>
      <c r="K5">
        <f>IF(J5="","",SUMIFS(rGasto,rCat,J5,rFecha,"&gt;="&amp;pIni,rFecha,"&lt;="&amp;pFin))</f>
        <v/>
      </c>
      <c r="L5">
        <f>IF(J5="","",COUNTIFS(rCat,J5,rMonto,"&gt;0",rFecha,"&gt;="&amp;pIni,rFecha,"&lt;="&amp;pFin))</f>
        <v/>
      </c>
      <c r="M5">
        <f>IF(J5="",-1E+12-1,N(K5)+(101-1)/1E+7)</f>
        <v/>
      </c>
      <c r="O5">
        <f>INDEX(ctaNom,1)&amp;""</f>
        <v/>
      </c>
      <c r="P5">
        <f>IF(O5="","",SUMIFS(rGasto,rCta,O5,rFecha,"&gt;="&amp;pIni,rFecha,"&lt;="&amp;pFin))</f>
        <v/>
      </c>
      <c r="Q5">
        <f>IF(O5="","",COUNTIFS(rCta,O5,rTipo,"Gasto",rFecha,"&gt;="&amp;pIni,rFecha,"&lt;="&amp;pFin))</f>
        <v/>
      </c>
      <c r="R5">
        <f>IF(O5="",-1E+12-1,N(P5)+(13-1)/1E+7)</f>
        <v/>
      </c>
      <c r="T5">
        <f>IFERROR(INDEX(rCom,MATCH(1,rComIdx,0))&amp;"","")</f>
        <v/>
      </c>
      <c r="U5">
        <f>IF(T5="","",SUMIFS(rGasto,rCom,T5,rFecha,"&gt;="&amp;pIni,rFecha,"&lt;="&amp;pFin))</f>
        <v/>
      </c>
      <c r="V5">
        <f>IF(T5="","",COUNTIFS(rCom,T5,rTipo,"Gasto",rFecha,"&gt;="&amp;pIni,rFecha,"&lt;="&amp;pFin))</f>
        <v/>
      </c>
      <c r="W5">
        <f>IF(T5="",-1E+12-1,N(U5)+(201-1)/1E+7)</f>
        <v/>
      </c>
      <c r="Y5" s="121">
        <f>EDATE(refMes,-5)</f>
        <v/>
      </c>
      <c r="Z5">
        <f>CHOOSE(MONTH(Y5),"Ene","Feb","Mar","Abr","May","Jun","Jul","Ago","Sep","Oct","Nov","Dic")&amp;" "&amp;RIGHT(YEAR(Y5),2)</f>
        <v/>
      </c>
      <c r="AA5">
        <f>SUMIFS(rIng,rFecha,"&gt;="&amp;Y5,rFecha,"&lt;="&amp;EOMONTH(Y5,0))</f>
        <v/>
      </c>
      <c r="AB5">
        <f>SUMIFS(rGasto,rFecha,"&gt;="&amp;Y5,rFecha,"&lt;="&amp;EOMONTH(Y5,0))</f>
        <v/>
      </c>
      <c r="AC5">
        <f>SUMIFS(rGasto,rAlim,gCP,rFecha,"&gt;="&amp;Y5,rFecha,"&lt;="&amp;EOMONTH(Y5,0))</f>
        <v/>
      </c>
      <c r="AD5">
        <f>SUMIFS(rGasto,rAlim,gSI,rFecha,"&gt;="&amp;Y5,rFecha,"&lt;="&amp;EOMONTH(Y5,0))</f>
        <v/>
      </c>
      <c r="AF5">
        <f>IFERROR(IF(N(INDEX('Motor'!$F$5:$F$24,MATCH(LARGE('Motor'!$H$5:$H$24,1),'Motor'!$H$5:$H$24,0)))&gt;0,INDEX('Motor'!$E$5:$E$24,MATCH(LARGE('Motor'!$H$5:$H$24,1),'Motor'!$H$5:$H$24,0))&amp;"",""),"")</f>
        <v/>
      </c>
      <c r="AG5">
        <f>IF(AF5="","",INDEX('Motor'!$F$5:$F$24,MATCH(LARGE('Motor'!$H$5:$H$24,1),'Motor'!$H$5:$H$24,0)))</f>
        <v/>
      </c>
      <c r="AH5">
        <f>IF(AF5="","",INDEX('Motor'!$G$5:$G$24,MATCH(LARGE('Motor'!$H$5:$H$24,1),'Motor'!$H$5:$H$24,0)))</f>
        <v/>
      </c>
      <c r="AI5">
        <f>IFERROR(IF(N(INDEX('Motor'!$K$5:$K$104,MATCH(LARGE('Motor'!$M$5:$M$104,1),'Motor'!$M$5:$M$104,0)))&gt;0,INDEX('Motor'!$J$5:$J$104,MATCH(LARGE('Motor'!$M$5:$M$104,1),'Motor'!$M$5:$M$104,0))&amp;"",""),"")</f>
        <v/>
      </c>
      <c r="AJ5">
        <f>IF(AI5="","",INDEX('Motor'!$K$5:$K$104,MATCH(LARGE('Motor'!$M$5:$M$104,1),'Motor'!$M$5:$M$104,0)))</f>
        <v/>
      </c>
      <c r="AK5">
        <f>IF(AI5="","",INDEX('Motor'!$L$5:$L$104,MATCH(LARGE('Motor'!$M$5:$M$104,1),'Motor'!$M$5:$M$104,0)))</f>
        <v/>
      </c>
      <c r="AL5">
        <f>IFERROR(IF(N(INDEX('Motor'!$P$5:$P$16,MATCH(LARGE('Motor'!$R$5:$R$16,1),'Motor'!$R$5:$R$16,0)))&gt;0,INDEX('Motor'!$O$5:$O$16,MATCH(LARGE('Motor'!$R$5:$R$16,1),'Motor'!$R$5:$R$16,0))&amp;"",""),"")</f>
        <v/>
      </c>
      <c r="AM5">
        <f>IF(AL5="","",INDEX('Motor'!$P$5:$P$16,MATCH(LARGE('Motor'!$R$5:$R$16,1),'Motor'!$R$5:$R$16,0)))</f>
        <v/>
      </c>
      <c r="AN5">
        <f>IF(AL5="","",INDEX('Motor'!$Q$5:$Q$16,MATCH(LARGE('Motor'!$R$5:$R$16,1),'Motor'!$R$5:$R$16,0)))</f>
        <v/>
      </c>
      <c r="AO5">
        <f>IFERROR(IF(N(INDEX('Motor'!$U$5:$U$204,MATCH(LARGE('Motor'!$W$5:$W$204,1),'Motor'!$W$5:$W$204,0)))&gt;0,INDEX('Motor'!$T$5:$T$204,MATCH(LARGE('Motor'!$W$5:$W$204,1),'Motor'!$W$5:$W$204,0))&amp;"",""),"")</f>
        <v/>
      </c>
      <c r="AP5">
        <f>IF(AO5="","",INDEX('Motor'!$U$5:$U$204,MATCH(LARGE('Motor'!$W$5:$W$204,1),'Motor'!$W$5:$W$204,0)))</f>
        <v/>
      </c>
      <c r="AQ5">
        <f>IF(AO5="","",INDEX('Motor'!$V$5:$V$204,MATCH(LARGE('Motor'!$W$5:$W$204,1),'Motor'!$W$5:$W$204,0)))</f>
        <v/>
      </c>
    </row>
    <row r="6">
      <c r="B6" s="119" t="inlineStr">
        <is>
          <t>Lunes de esta semana</t>
        </is>
      </c>
      <c r="C6" s="120">
        <f>diaHoy-WEEKDAY(diaHoy,3)</f>
        <v/>
      </c>
      <c r="E6">
        <f>IFERROR(INDEX(catGrupo,MATCH(2,catGIdx,0))&amp;"","")</f>
        <v/>
      </c>
      <c r="F6">
        <f>IF(E6="","",SUMIFS(rGasto,rGrupo,E6,rFecha,"&gt;="&amp;pIni,rFecha,"&lt;="&amp;pFin))</f>
        <v/>
      </c>
      <c r="G6">
        <f>IF(E6="","",COUNTIFS(rGrupo,E6,rTipo,"Gasto",rFecha,"&gt;="&amp;pIni,rFecha,"&lt;="&amp;pFin))</f>
        <v/>
      </c>
      <c r="H6">
        <f>IF(E6="",-1E+12-2,N(F6)+(21-2)/1E+7)</f>
        <v/>
      </c>
      <c r="J6">
        <f>IF(INDEX(catTipo,2)&amp;""="Gasto",INDEX(catNom,2)&amp;"","")</f>
        <v/>
      </c>
      <c r="K6">
        <f>IF(J6="","",SUMIFS(rGasto,rCat,J6,rFecha,"&gt;="&amp;pIni,rFecha,"&lt;="&amp;pFin))</f>
        <v/>
      </c>
      <c r="L6">
        <f>IF(J6="","",COUNTIFS(rCat,J6,rMonto,"&gt;0",rFecha,"&gt;="&amp;pIni,rFecha,"&lt;="&amp;pFin))</f>
        <v/>
      </c>
      <c r="M6">
        <f>IF(J6="",-1E+12-2,N(K6)+(101-2)/1E+7)</f>
        <v/>
      </c>
      <c r="O6">
        <f>INDEX(ctaNom,2)&amp;""</f>
        <v/>
      </c>
      <c r="P6">
        <f>IF(O6="","",SUMIFS(rGasto,rCta,O6,rFecha,"&gt;="&amp;pIni,rFecha,"&lt;="&amp;pFin))</f>
        <v/>
      </c>
      <c r="Q6">
        <f>IF(O6="","",COUNTIFS(rCta,O6,rTipo,"Gasto",rFecha,"&gt;="&amp;pIni,rFecha,"&lt;="&amp;pFin))</f>
        <v/>
      </c>
      <c r="R6">
        <f>IF(O6="",-1E+12-2,N(P6)+(13-2)/1E+7)</f>
        <v/>
      </c>
      <c r="T6">
        <f>IFERROR(INDEX(rCom,MATCH(2,rComIdx,0))&amp;"","")</f>
        <v/>
      </c>
      <c r="U6">
        <f>IF(T6="","",SUMIFS(rGasto,rCom,T6,rFecha,"&gt;="&amp;pIni,rFecha,"&lt;="&amp;pFin))</f>
        <v/>
      </c>
      <c r="V6">
        <f>IF(T6="","",COUNTIFS(rCom,T6,rTipo,"Gasto",rFecha,"&gt;="&amp;pIni,rFecha,"&lt;="&amp;pFin))</f>
        <v/>
      </c>
      <c r="W6">
        <f>IF(T6="",-1E+12-2,N(U6)+(201-2)/1E+7)</f>
        <v/>
      </c>
      <c r="Y6" s="121">
        <f>EDATE(refMes,-4)</f>
        <v/>
      </c>
      <c r="Z6">
        <f>CHOOSE(MONTH(Y6),"Ene","Feb","Mar","Abr","May","Jun","Jul","Ago","Sep","Oct","Nov","Dic")&amp;" "&amp;RIGHT(YEAR(Y6),2)</f>
        <v/>
      </c>
      <c r="AA6">
        <f>SUMIFS(rIng,rFecha,"&gt;="&amp;Y6,rFecha,"&lt;="&amp;EOMONTH(Y6,0))</f>
        <v/>
      </c>
      <c r="AB6">
        <f>SUMIFS(rGasto,rFecha,"&gt;="&amp;Y6,rFecha,"&lt;="&amp;EOMONTH(Y6,0))</f>
        <v/>
      </c>
      <c r="AC6">
        <f>SUMIFS(rGasto,rAlim,gCP,rFecha,"&gt;="&amp;Y6,rFecha,"&lt;="&amp;EOMONTH(Y6,0))</f>
        <v/>
      </c>
      <c r="AD6">
        <f>SUMIFS(rGasto,rAlim,gSI,rFecha,"&gt;="&amp;Y6,rFecha,"&lt;="&amp;EOMONTH(Y6,0))</f>
        <v/>
      </c>
      <c r="AF6">
        <f>IFERROR(IF(N(INDEX('Motor'!$F$5:$F$24,MATCH(LARGE('Motor'!$H$5:$H$24,2),'Motor'!$H$5:$H$24,0)))&gt;0,INDEX('Motor'!$E$5:$E$24,MATCH(LARGE('Motor'!$H$5:$H$24,2),'Motor'!$H$5:$H$24,0))&amp;"",""),"")</f>
        <v/>
      </c>
      <c r="AG6">
        <f>IF(AF6="","",INDEX('Motor'!$F$5:$F$24,MATCH(LARGE('Motor'!$H$5:$H$24,2),'Motor'!$H$5:$H$24,0)))</f>
        <v/>
      </c>
      <c r="AH6">
        <f>IF(AF6="","",INDEX('Motor'!$G$5:$G$24,MATCH(LARGE('Motor'!$H$5:$H$24,2),'Motor'!$H$5:$H$24,0)))</f>
        <v/>
      </c>
      <c r="AI6">
        <f>IFERROR(IF(N(INDEX('Motor'!$K$5:$K$104,MATCH(LARGE('Motor'!$M$5:$M$104,2),'Motor'!$M$5:$M$104,0)))&gt;0,INDEX('Motor'!$J$5:$J$104,MATCH(LARGE('Motor'!$M$5:$M$104,2),'Motor'!$M$5:$M$104,0))&amp;"",""),"")</f>
        <v/>
      </c>
      <c r="AJ6">
        <f>IF(AI6="","",INDEX('Motor'!$K$5:$K$104,MATCH(LARGE('Motor'!$M$5:$M$104,2),'Motor'!$M$5:$M$104,0)))</f>
        <v/>
      </c>
      <c r="AK6">
        <f>IF(AI6="","",INDEX('Motor'!$L$5:$L$104,MATCH(LARGE('Motor'!$M$5:$M$104,2),'Motor'!$M$5:$M$104,0)))</f>
        <v/>
      </c>
      <c r="AL6">
        <f>IFERROR(IF(N(INDEX('Motor'!$P$5:$P$16,MATCH(LARGE('Motor'!$R$5:$R$16,2),'Motor'!$R$5:$R$16,0)))&gt;0,INDEX('Motor'!$O$5:$O$16,MATCH(LARGE('Motor'!$R$5:$R$16,2),'Motor'!$R$5:$R$16,0))&amp;"",""),"")</f>
        <v/>
      </c>
      <c r="AM6">
        <f>IF(AL6="","",INDEX('Motor'!$P$5:$P$16,MATCH(LARGE('Motor'!$R$5:$R$16,2),'Motor'!$R$5:$R$16,0)))</f>
        <v/>
      </c>
      <c r="AN6">
        <f>IF(AL6="","",INDEX('Motor'!$Q$5:$Q$16,MATCH(LARGE('Motor'!$R$5:$R$16,2),'Motor'!$R$5:$R$16,0)))</f>
        <v/>
      </c>
      <c r="AO6">
        <f>IFERROR(IF(N(INDEX('Motor'!$U$5:$U$204,MATCH(LARGE('Motor'!$W$5:$W$204,2),'Motor'!$W$5:$W$204,0)))&gt;0,INDEX('Motor'!$T$5:$T$204,MATCH(LARGE('Motor'!$W$5:$W$204,2),'Motor'!$W$5:$W$204,0))&amp;"",""),"")</f>
        <v/>
      </c>
      <c r="AP6">
        <f>IF(AO6="","",INDEX('Motor'!$U$5:$U$204,MATCH(LARGE('Motor'!$W$5:$W$204,2),'Motor'!$W$5:$W$204,0)))</f>
        <v/>
      </c>
      <c r="AQ6">
        <f>IF(AO6="","",INDEX('Motor'!$V$5:$V$204,MATCH(LARGE('Motor'!$W$5:$W$204,2),'Motor'!$W$5:$W$204,0)))</f>
        <v/>
      </c>
    </row>
    <row r="7">
      <c r="B7" s="119" t="inlineStr">
        <is>
          <t>Primera fecha</t>
        </is>
      </c>
      <c r="C7" s="120">
        <f>IF(COUNT(rFecha)=0,diaHoy,MIN(rFecha))</f>
        <v/>
      </c>
      <c r="E7">
        <f>IFERROR(INDEX(catGrupo,MATCH(3,catGIdx,0))&amp;"","")</f>
        <v/>
      </c>
      <c r="F7">
        <f>IF(E7="","",SUMIFS(rGasto,rGrupo,E7,rFecha,"&gt;="&amp;pIni,rFecha,"&lt;="&amp;pFin))</f>
        <v/>
      </c>
      <c r="G7">
        <f>IF(E7="","",COUNTIFS(rGrupo,E7,rTipo,"Gasto",rFecha,"&gt;="&amp;pIni,rFecha,"&lt;="&amp;pFin))</f>
        <v/>
      </c>
      <c r="H7">
        <f>IF(E7="",-1E+12-3,N(F7)+(21-3)/1E+7)</f>
        <v/>
      </c>
      <c r="J7">
        <f>IF(INDEX(catTipo,3)&amp;""="Gasto",INDEX(catNom,3)&amp;"","")</f>
        <v/>
      </c>
      <c r="K7">
        <f>IF(J7="","",SUMIFS(rGasto,rCat,J7,rFecha,"&gt;="&amp;pIni,rFecha,"&lt;="&amp;pFin))</f>
        <v/>
      </c>
      <c r="L7">
        <f>IF(J7="","",COUNTIFS(rCat,J7,rMonto,"&gt;0",rFecha,"&gt;="&amp;pIni,rFecha,"&lt;="&amp;pFin))</f>
        <v/>
      </c>
      <c r="M7">
        <f>IF(J7="",-1E+12-3,N(K7)+(101-3)/1E+7)</f>
        <v/>
      </c>
      <c r="O7">
        <f>INDEX(ctaNom,3)&amp;""</f>
        <v/>
      </c>
      <c r="P7">
        <f>IF(O7="","",SUMIFS(rGasto,rCta,O7,rFecha,"&gt;="&amp;pIni,rFecha,"&lt;="&amp;pFin))</f>
        <v/>
      </c>
      <c r="Q7">
        <f>IF(O7="","",COUNTIFS(rCta,O7,rTipo,"Gasto",rFecha,"&gt;="&amp;pIni,rFecha,"&lt;="&amp;pFin))</f>
        <v/>
      </c>
      <c r="R7">
        <f>IF(O7="",-1E+12-3,N(P7)+(13-3)/1E+7)</f>
        <v/>
      </c>
      <c r="T7">
        <f>IFERROR(INDEX(rCom,MATCH(3,rComIdx,0))&amp;"","")</f>
        <v/>
      </c>
      <c r="U7">
        <f>IF(T7="","",SUMIFS(rGasto,rCom,T7,rFecha,"&gt;="&amp;pIni,rFecha,"&lt;="&amp;pFin))</f>
        <v/>
      </c>
      <c r="V7">
        <f>IF(T7="","",COUNTIFS(rCom,T7,rTipo,"Gasto",rFecha,"&gt;="&amp;pIni,rFecha,"&lt;="&amp;pFin))</f>
        <v/>
      </c>
      <c r="W7">
        <f>IF(T7="",-1E+12-3,N(U7)+(201-3)/1E+7)</f>
        <v/>
      </c>
      <c r="Y7" s="121">
        <f>EDATE(refMes,-3)</f>
        <v/>
      </c>
      <c r="Z7">
        <f>CHOOSE(MONTH(Y7),"Ene","Feb","Mar","Abr","May","Jun","Jul","Ago","Sep","Oct","Nov","Dic")&amp;" "&amp;RIGHT(YEAR(Y7),2)</f>
        <v/>
      </c>
      <c r="AA7">
        <f>SUMIFS(rIng,rFecha,"&gt;="&amp;Y7,rFecha,"&lt;="&amp;EOMONTH(Y7,0))</f>
        <v/>
      </c>
      <c r="AB7">
        <f>SUMIFS(rGasto,rFecha,"&gt;="&amp;Y7,rFecha,"&lt;="&amp;EOMONTH(Y7,0))</f>
        <v/>
      </c>
      <c r="AC7">
        <f>SUMIFS(rGasto,rAlim,gCP,rFecha,"&gt;="&amp;Y7,rFecha,"&lt;="&amp;EOMONTH(Y7,0))</f>
        <v/>
      </c>
      <c r="AD7">
        <f>SUMIFS(rGasto,rAlim,gSI,rFecha,"&gt;="&amp;Y7,rFecha,"&lt;="&amp;EOMONTH(Y7,0))</f>
        <v/>
      </c>
      <c r="AF7">
        <f>IFERROR(IF(N(INDEX('Motor'!$F$5:$F$24,MATCH(LARGE('Motor'!$H$5:$H$24,3),'Motor'!$H$5:$H$24,0)))&gt;0,INDEX('Motor'!$E$5:$E$24,MATCH(LARGE('Motor'!$H$5:$H$24,3),'Motor'!$H$5:$H$24,0))&amp;"",""),"")</f>
        <v/>
      </c>
      <c r="AG7">
        <f>IF(AF7="","",INDEX('Motor'!$F$5:$F$24,MATCH(LARGE('Motor'!$H$5:$H$24,3),'Motor'!$H$5:$H$24,0)))</f>
        <v/>
      </c>
      <c r="AH7">
        <f>IF(AF7="","",INDEX('Motor'!$G$5:$G$24,MATCH(LARGE('Motor'!$H$5:$H$24,3),'Motor'!$H$5:$H$24,0)))</f>
        <v/>
      </c>
      <c r="AI7">
        <f>IFERROR(IF(N(INDEX('Motor'!$K$5:$K$104,MATCH(LARGE('Motor'!$M$5:$M$104,3),'Motor'!$M$5:$M$104,0)))&gt;0,INDEX('Motor'!$J$5:$J$104,MATCH(LARGE('Motor'!$M$5:$M$104,3),'Motor'!$M$5:$M$104,0))&amp;"",""),"")</f>
        <v/>
      </c>
      <c r="AJ7">
        <f>IF(AI7="","",INDEX('Motor'!$K$5:$K$104,MATCH(LARGE('Motor'!$M$5:$M$104,3),'Motor'!$M$5:$M$104,0)))</f>
        <v/>
      </c>
      <c r="AK7">
        <f>IF(AI7="","",INDEX('Motor'!$L$5:$L$104,MATCH(LARGE('Motor'!$M$5:$M$104,3),'Motor'!$M$5:$M$104,0)))</f>
        <v/>
      </c>
      <c r="AL7">
        <f>IFERROR(IF(N(INDEX('Motor'!$P$5:$P$16,MATCH(LARGE('Motor'!$R$5:$R$16,3),'Motor'!$R$5:$R$16,0)))&gt;0,INDEX('Motor'!$O$5:$O$16,MATCH(LARGE('Motor'!$R$5:$R$16,3),'Motor'!$R$5:$R$16,0))&amp;"",""),"")</f>
        <v/>
      </c>
      <c r="AM7">
        <f>IF(AL7="","",INDEX('Motor'!$P$5:$P$16,MATCH(LARGE('Motor'!$R$5:$R$16,3),'Motor'!$R$5:$R$16,0)))</f>
        <v/>
      </c>
      <c r="AN7">
        <f>IF(AL7="","",INDEX('Motor'!$Q$5:$Q$16,MATCH(LARGE('Motor'!$R$5:$R$16,3),'Motor'!$R$5:$R$16,0)))</f>
        <v/>
      </c>
      <c r="AO7">
        <f>IFERROR(IF(N(INDEX('Motor'!$U$5:$U$204,MATCH(LARGE('Motor'!$W$5:$W$204,3),'Motor'!$W$5:$W$204,0)))&gt;0,INDEX('Motor'!$T$5:$T$204,MATCH(LARGE('Motor'!$W$5:$W$204,3),'Motor'!$W$5:$W$204,0))&amp;"",""),"")</f>
        <v/>
      </c>
      <c r="AP7">
        <f>IF(AO7="","",INDEX('Motor'!$U$5:$U$204,MATCH(LARGE('Motor'!$W$5:$W$204,3),'Motor'!$W$5:$W$204,0)))</f>
        <v/>
      </c>
      <c r="AQ7">
        <f>IF(AO7="","",INDEX('Motor'!$V$5:$V$204,MATCH(LARGE('Motor'!$W$5:$W$204,3),'Motor'!$W$5:$W$204,0)))</f>
        <v/>
      </c>
    </row>
    <row r="8">
      <c r="B8" s="119" t="inlineStr">
        <is>
          <t>Última fecha</t>
        </is>
      </c>
      <c r="C8" s="120">
        <f>IF(COUNT(rFecha)=0,diaHoy,MAX(rFecha))</f>
        <v/>
      </c>
      <c r="E8">
        <f>IFERROR(INDEX(catGrupo,MATCH(4,catGIdx,0))&amp;"","")</f>
        <v/>
      </c>
      <c r="F8">
        <f>IF(E8="","",SUMIFS(rGasto,rGrupo,E8,rFecha,"&gt;="&amp;pIni,rFecha,"&lt;="&amp;pFin))</f>
        <v/>
      </c>
      <c r="G8">
        <f>IF(E8="","",COUNTIFS(rGrupo,E8,rTipo,"Gasto",rFecha,"&gt;="&amp;pIni,rFecha,"&lt;="&amp;pFin))</f>
        <v/>
      </c>
      <c r="H8">
        <f>IF(E8="",-1E+12-4,N(F8)+(21-4)/1E+7)</f>
        <v/>
      </c>
      <c r="J8">
        <f>IF(INDEX(catTipo,4)&amp;""="Gasto",INDEX(catNom,4)&amp;"","")</f>
        <v/>
      </c>
      <c r="K8">
        <f>IF(J8="","",SUMIFS(rGasto,rCat,J8,rFecha,"&gt;="&amp;pIni,rFecha,"&lt;="&amp;pFin))</f>
        <v/>
      </c>
      <c r="L8">
        <f>IF(J8="","",COUNTIFS(rCat,J8,rMonto,"&gt;0",rFecha,"&gt;="&amp;pIni,rFecha,"&lt;="&amp;pFin))</f>
        <v/>
      </c>
      <c r="M8">
        <f>IF(J8="",-1E+12-4,N(K8)+(101-4)/1E+7)</f>
        <v/>
      </c>
      <c r="O8">
        <f>INDEX(ctaNom,4)&amp;""</f>
        <v/>
      </c>
      <c r="P8">
        <f>IF(O8="","",SUMIFS(rGasto,rCta,O8,rFecha,"&gt;="&amp;pIni,rFecha,"&lt;="&amp;pFin))</f>
        <v/>
      </c>
      <c r="Q8">
        <f>IF(O8="","",COUNTIFS(rCta,O8,rTipo,"Gasto",rFecha,"&gt;="&amp;pIni,rFecha,"&lt;="&amp;pFin))</f>
        <v/>
      </c>
      <c r="R8">
        <f>IF(O8="",-1E+12-4,N(P8)+(13-4)/1E+7)</f>
        <v/>
      </c>
      <c r="T8">
        <f>IFERROR(INDEX(rCom,MATCH(4,rComIdx,0))&amp;"","")</f>
        <v/>
      </c>
      <c r="U8">
        <f>IF(T8="","",SUMIFS(rGasto,rCom,T8,rFecha,"&gt;="&amp;pIni,rFecha,"&lt;="&amp;pFin))</f>
        <v/>
      </c>
      <c r="V8">
        <f>IF(T8="","",COUNTIFS(rCom,T8,rTipo,"Gasto",rFecha,"&gt;="&amp;pIni,rFecha,"&lt;="&amp;pFin))</f>
        <v/>
      </c>
      <c r="W8">
        <f>IF(T8="",-1E+12-4,N(U8)+(201-4)/1E+7)</f>
        <v/>
      </c>
      <c r="Y8" s="121">
        <f>EDATE(refMes,-2)</f>
        <v/>
      </c>
      <c r="Z8">
        <f>CHOOSE(MONTH(Y8),"Ene","Feb","Mar","Abr","May","Jun","Jul","Ago","Sep","Oct","Nov","Dic")&amp;" "&amp;RIGHT(YEAR(Y8),2)</f>
        <v/>
      </c>
      <c r="AA8">
        <f>SUMIFS(rIng,rFecha,"&gt;="&amp;Y8,rFecha,"&lt;="&amp;EOMONTH(Y8,0))</f>
        <v/>
      </c>
      <c r="AB8">
        <f>SUMIFS(rGasto,rFecha,"&gt;="&amp;Y8,rFecha,"&lt;="&amp;EOMONTH(Y8,0))</f>
        <v/>
      </c>
      <c r="AC8">
        <f>SUMIFS(rGasto,rAlim,gCP,rFecha,"&gt;="&amp;Y8,rFecha,"&lt;="&amp;EOMONTH(Y8,0))</f>
        <v/>
      </c>
      <c r="AD8">
        <f>SUMIFS(rGasto,rAlim,gSI,rFecha,"&gt;="&amp;Y8,rFecha,"&lt;="&amp;EOMONTH(Y8,0))</f>
        <v/>
      </c>
      <c r="AF8">
        <f>IFERROR(IF(N(INDEX('Motor'!$F$5:$F$24,MATCH(LARGE('Motor'!$H$5:$H$24,4),'Motor'!$H$5:$H$24,0)))&gt;0,INDEX('Motor'!$E$5:$E$24,MATCH(LARGE('Motor'!$H$5:$H$24,4),'Motor'!$H$5:$H$24,0))&amp;"",""),"")</f>
        <v/>
      </c>
      <c r="AG8">
        <f>IF(AF8="","",INDEX('Motor'!$F$5:$F$24,MATCH(LARGE('Motor'!$H$5:$H$24,4),'Motor'!$H$5:$H$24,0)))</f>
        <v/>
      </c>
      <c r="AH8">
        <f>IF(AF8="","",INDEX('Motor'!$G$5:$G$24,MATCH(LARGE('Motor'!$H$5:$H$24,4),'Motor'!$H$5:$H$24,0)))</f>
        <v/>
      </c>
      <c r="AI8">
        <f>IFERROR(IF(N(INDEX('Motor'!$K$5:$K$104,MATCH(LARGE('Motor'!$M$5:$M$104,4),'Motor'!$M$5:$M$104,0)))&gt;0,INDEX('Motor'!$J$5:$J$104,MATCH(LARGE('Motor'!$M$5:$M$104,4),'Motor'!$M$5:$M$104,0))&amp;"",""),"")</f>
        <v/>
      </c>
      <c r="AJ8">
        <f>IF(AI8="","",INDEX('Motor'!$K$5:$K$104,MATCH(LARGE('Motor'!$M$5:$M$104,4),'Motor'!$M$5:$M$104,0)))</f>
        <v/>
      </c>
      <c r="AK8">
        <f>IF(AI8="","",INDEX('Motor'!$L$5:$L$104,MATCH(LARGE('Motor'!$M$5:$M$104,4),'Motor'!$M$5:$M$104,0)))</f>
        <v/>
      </c>
      <c r="AL8">
        <f>IFERROR(IF(N(INDEX('Motor'!$P$5:$P$16,MATCH(LARGE('Motor'!$R$5:$R$16,4),'Motor'!$R$5:$R$16,0)))&gt;0,INDEX('Motor'!$O$5:$O$16,MATCH(LARGE('Motor'!$R$5:$R$16,4),'Motor'!$R$5:$R$16,0))&amp;"",""),"")</f>
        <v/>
      </c>
      <c r="AM8">
        <f>IF(AL8="","",INDEX('Motor'!$P$5:$P$16,MATCH(LARGE('Motor'!$R$5:$R$16,4),'Motor'!$R$5:$R$16,0)))</f>
        <v/>
      </c>
      <c r="AN8">
        <f>IF(AL8="","",INDEX('Motor'!$Q$5:$Q$16,MATCH(LARGE('Motor'!$R$5:$R$16,4),'Motor'!$R$5:$R$16,0)))</f>
        <v/>
      </c>
      <c r="AO8">
        <f>IFERROR(IF(N(INDEX('Motor'!$U$5:$U$204,MATCH(LARGE('Motor'!$W$5:$W$204,4),'Motor'!$W$5:$W$204,0)))&gt;0,INDEX('Motor'!$T$5:$T$204,MATCH(LARGE('Motor'!$W$5:$W$204,4),'Motor'!$W$5:$W$204,0))&amp;"",""),"")</f>
        <v/>
      </c>
      <c r="AP8">
        <f>IF(AO8="","",INDEX('Motor'!$U$5:$U$204,MATCH(LARGE('Motor'!$W$5:$W$204,4),'Motor'!$W$5:$W$204,0)))</f>
        <v/>
      </c>
      <c r="AQ8">
        <f>IF(AO8="","",INDEX('Motor'!$V$5:$V$204,MATCH(LARGE('Motor'!$W$5:$W$204,4),'Motor'!$W$5:$W$204,0)))</f>
        <v/>
      </c>
    </row>
    <row r="9">
      <c r="B9" s="119" t="inlineStr">
        <is>
          <t>Mes elegido</t>
        </is>
      </c>
      <c r="C9" s="120">
        <f>IFERROR(DATE(VALUE(LEFT(fMes,4)),VALUE(RIGHT(fMes,2)),1),mesHoy)</f>
        <v/>
      </c>
      <c r="E9">
        <f>IFERROR(INDEX(catGrupo,MATCH(5,catGIdx,0))&amp;"","")</f>
        <v/>
      </c>
      <c r="F9">
        <f>IF(E9="","",SUMIFS(rGasto,rGrupo,E9,rFecha,"&gt;="&amp;pIni,rFecha,"&lt;="&amp;pFin))</f>
        <v/>
      </c>
      <c r="G9">
        <f>IF(E9="","",COUNTIFS(rGrupo,E9,rTipo,"Gasto",rFecha,"&gt;="&amp;pIni,rFecha,"&lt;="&amp;pFin))</f>
        <v/>
      </c>
      <c r="H9">
        <f>IF(E9="",-1E+12-5,N(F9)+(21-5)/1E+7)</f>
        <v/>
      </c>
      <c r="J9">
        <f>IF(INDEX(catTipo,5)&amp;""="Gasto",INDEX(catNom,5)&amp;"","")</f>
        <v/>
      </c>
      <c r="K9">
        <f>IF(J9="","",SUMIFS(rGasto,rCat,J9,rFecha,"&gt;="&amp;pIni,rFecha,"&lt;="&amp;pFin))</f>
        <v/>
      </c>
      <c r="L9">
        <f>IF(J9="","",COUNTIFS(rCat,J9,rMonto,"&gt;0",rFecha,"&gt;="&amp;pIni,rFecha,"&lt;="&amp;pFin))</f>
        <v/>
      </c>
      <c r="M9">
        <f>IF(J9="",-1E+12-5,N(K9)+(101-5)/1E+7)</f>
        <v/>
      </c>
      <c r="O9">
        <f>INDEX(ctaNom,5)&amp;""</f>
        <v/>
      </c>
      <c r="P9">
        <f>IF(O9="","",SUMIFS(rGasto,rCta,O9,rFecha,"&gt;="&amp;pIni,rFecha,"&lt;="&amp;pFin))</f>
        <v/>
      </c>
      <c r="Q9">
        <f>IF(O9="","",COUNTIFS(rCta,O9,rTipo,"Gasto",rFecha,"&gt;="&amp;pIni,rFecha,"&lt;="&amp;pFin))</f>
        <v/>
      </c>
      <c r="R9">
        <f>IF(O9="",-1E+12-5,N(P9)+(13-5)/1E+7)</f>
        <v/>
      </c>
      <c r="T9">
        <f>IFERROR(INDEX(rCom,MATCH(5,rComIdx,0))&amp;"","")</f>
        <v/>
      </c>
      <c r="U9">
        <f>IF(T9="","",SUMIFS(rGasto,rCom,T9,rFecha,"&gt;="&amp;pIni,rFecha,"&lt;="&amp;pFin))</f>
        <v/>
      </c>
      <c r="V9">
        <f>IF(T9="","",COUNTIFS(rCom,T9,rTipo,"Gasto",rFecha,"&gt;="&amp;pIni,rFecha,"&lt;="&amp;pFin))</f>
        <v/>
      </c>
      <c r="W9">
        <f>IF(T9="",-1E+12-5,N(U9)+(201-5)/1E+7)</f>
        <v/>
      </c>
      <c r="Y9" s="121">
        <f>EDATE(refMes,-1)</f>
        <v/>
      </c>
      <c r="Z9">
        <f>CHOOSE(MONTH(Y9),"Ene","Feb","Mar","Abr","May","Jun","Jul","Ago","Sep","Oct","Nov","Dic")&amp;" "&amp;RIGHT(YEAR(Y9),2)</f>
        <v/>
      </c>
      <c r="AA9">
        <f>SUMIFS(rIng,rFecha,"&gt;="&amp;Y9,rFecha,"&lt;="&amp;EOMONTH(Y9,0))</f>
        <v/>
      </c>
      <c r="AB9">
        <f>SUMIFS(rGasto,rFecha,"&gt;="&amp;Y9,rFecha,"&lt;="&amp;EOMONTH(Y9,0))</f>
        <v/>
      </c>
      <c r="AC9">
        <f>SUMIFS(rGasto,rAlim,gCP,rFecha,"&gt;="&amp;Y9,rFecha,"&lt;="&amp;EOMONTH(Y9,0))</f>
        <v/>
      </c>
      <c r="AD9">
        <f>SUMIFS(rGasto,rAlim,gSI,rFecha,"&gt;="&amp;Y9,rFecha,"&lt;="&amp;EOMONTH(Y9,0))</f>
        <v/>
      </c>
      <c r="AF9">
        <f>IFERROR(IF(N(INDEX('Motor'!$F$5:$F$24,MATCH(LARGE('Motor'!$H$5:$H$24,5),'Motor'!$H$5:$H$24,0)))&gt;0,INDEX('Motor'!$E$5:$E$24,MATCH(LARGE('Motor'!$H$5:$H$24,5),'Motor'!$H$5:$H$24,0))&amp;"",""),"")</f>
        <v/>
      </c>
      <c r="AG9">
        <f>IF(AF9="","",INDEX('Motor'!$F$5:$F$24,MATCH(LARGE('Motor'!$H$5:$H$24,5),'Motor'!$H$5:$H$24,0)))</f>
        <v/>
      </c>
      <c r="AH9">
        <f>IF(AF9="","",INDEX('Motor'!$G$5:$G$24,MATCH(LARGE('Motor'!$H$5:$H$24,5),'Motor'!$H$5:$H$24,0)))</f>
        <v/>
      </c>
      <c r="AI9">
        <f>IFERROR(IF(N(INDEX('Motor'!$K$5:$K$104,MATCH(LARGE('Motor'!$M$5:$M$104,5),'Motor'!$M$5:$M$104,0)))&gt;0,INDEX('Motor'!$J$5:$J$104,MATCH(LARGE('Motor'!$M$5:$M$104,5),'Motor'!$M$5:$M$104,0))&amp;"",""),"")</f>
        <v/>
      </c>
      <c r="AJ9">
        <f>IF(AI9="","",INDEX('Motor'!$K$5:$K$104,MATCH(LARGE('Motor'!$M$5:$M$104,5),'Motor'!$M$5:$M$104,0)))</f>
        <v/>
      </c>
      <c r="AK9">
        <f>IF(AI9="","",INDEX('Motor'!$L$5:$L$104,MATCH(LARGE('Motor'!$M$5:$M$104,5),'Motor'!$M$5:$M$104,0)))</f>
        <v/>
      </c>
      <c r="AL9">
        <f>IFERROR(IF(N(INDEX('Motor'!$P$5:$P$16,MATCH(LARGE('Motor'!$R$5:$R$16,5),'Motor'!$R$5:$R$16,0)))&gt;0,INDEX('Motor'!$O$5:$O$16,MATCH(LARGE('Motor'!$R$5:$R$16,5),'Motor'!$R$5:$R$16,0))&amp;"",""),"")</f>
        <v/>
      </c>
      <c r="AM9">
        <f>IF(AL9="","",INDEX('Motor'!$P$5:$P$16,MATCH(LARGE('Motor'!$R$5:$R$16,5),'Motor'!$R$5:$R$16,0)))</f>
        <v/>
      </c>
      <c r="AN9">
        <f>IF(AL9="","",INDEX('Motor'!$Q$5:$Q$16,MATCH(LARGE('Motor'!$R$5:$R$16,5),'Motor'!$R$5:$R$16,0)))</f>
        <v/>
      </c>
      <c r="AO9">
        <f>IFERROR(IF(N(INDEX('Motor'!$U$5:$U$204,MATCH(LARGE('Motor'!$W$5:$W$204,5),'Motor'!$W$5:$W$204,0)))&gt;0,INDEX('Motor'!$T$5:$T$204,MATCH(LARGE('Motor'!$W$5:$W$204,5),'Motor'!$W$5:$W$204,0))&amp;"",""),"")</f>
        <v/>
      </c>
      <c r="AP9">
        <f>IF(AO9="","",INDEX('Motor'!$U$5:$U$204,MATCH(LARGE('Motor'!$W$5:$W$204,5),'Motor'!$W$5:$W$204,0)))</f>
        <v/>
      </c>
      <c r="AQ9">
        <f>IF(AO9="","",INDEX('Motor'!$V$5:$V$204,MATCH(LARGE('Motor'!$W$5:$W$204,5),'Motor'!$W$5:$W$204,0)))</f>
        <v/>
      </c>
    </row>
    <row r="10">
      <c r="B10" s="119" t="inlineStr">
        <is>
          <t>Índice período</t>
        </is>
      </c>
      <c r="C10" s="122">
        <f>IFERROR(MATCH(fPeriodo,lstPeriodo,0),1)</f>
        <v/>
      </c>
      <c r="E10">
        <f>IFERROR(INDEX(catGrupo,MATCH(6,catGIdx,0))&amp;"","")</f>
        <v/>
      </c>
      <c r="F10">
        <f>IF(E10="","",SUMIFS(rGasto,rGrupo,E10,rFecha,"&gt;="&amp;pIni,rFecha,"&lt;="&amp;pFin))</f>
        <v/>
      </c>
      <c r="G10">
        <f>IF(E10="","",COUNTIFS(rGrupo,E10,rTipo,"Gasto",rFecha,"&gt;="&amp;pIni,rFecha,"&lt;="&amp;pFin))</f>
        <v/>
      </c>
      <c r="H10">
        <f>IF(E10="",-1E+12-6,N(F10)+(21-6)/1E+7)</f>
        <v/>
      </c>
      <c r="J10">
        <f>IF(INDEX(catTipo,6)&amp;""="Gasto",INDEX(catNom,6)&amp;"","")</f>
        <v/>
      </c>
      <c r="K10">
        <f>IF(J10="","",SUMIFS(rGasto,rCat,J10,rFecha,"&gt;="&amp;pIni,rFecha,"&lt;="&amp;pFin))</f>
        <v/>
      </c>
      <c r="L10">
        <f>IF(J10="","",COUNTIFS(rCat,J10,rMonto,"&gt;0",rFecha,"&gt;="&amp;pIni,rFecha,"&lt;="&amp;pFin))</f>
        <v/>
      </c>
      <c r="M10">
        <f>IF(J10="",-1E+12-6,N(K10)+(101-6)/1E+7)</f>
        <v/>
      </c>
      <c r="O10">
        <f>INDEX(ctaNom,6)&amp;""</f>
        <v/>
      </c>
      <c r="P10">
        <f>IF(O10="","",SUMIFS(rGasto,rCta,O10,rFecha,"&gt;="&amp;pIni,rFecha,"&lt;="&amp;pFin))</f>
        <v/>
      </c>
      <c r="Q10">
        <f>IF(O10="","",COUNTIFS(rCta,O10,rTipo,"Gasto",rFecha,"&gt;="&amp;pIni,rFecha,"&lt;="&amp;pFin))</f>
        <v/>
      </c>
      <c r="R10">
        <f>IF(O10="",-1E+12-6,N(P10)+(13-6)/1E+7)</f>
        <v/>
      </c>
      <c r="T10">
        <f>IFERROR(INDEX(rCom,MATCH(6,rComIdx,0))&amp;"","")</f>
        <v/>
      </c>
      <c r="U10">
        <f>IF(T10="","",SUMIFS(rGasto,rCom,T10,rFecha,"&gt;="&amp;pIni,rFecha,"&lt;="&amp;pFin))</f>
        <v/>
      </c>
      <c r="V10">
        <f>IF(T10="","",COUNTIFS(rCom,T10,rTipo,"Gasto",rFecha,"&gt;="&amp;pIni,rFecha,"&lt;="&amp;pFin))</f>
        <v/>
      </c>
      <c r="W10">
        <f>IF(T10="",-1E+12-6,N(U10)+(201-6)/1E+7)</f>
        <v/>
      </c>
      <c r="Y10" s="121">
        <f>EDATE(refMes,0)</f>
        <v/>
      </c>
      <c r="Z10">
        <f>CHOOSE(MONTH(Y10),"Ene","Feb","Mar","Abr","May","Jun","Jul","Ago","Sep","Oct","Nov","Dic")&amp;" "&amp;RIGHT(YEAR(Y10),2)</f>
        <v/>
      </c>
      <c r="AA10">
        <f>SUMIFS(rIng,rFecha,"&gt;="&amp;Y10,rFecha,"&lt;="&amp;EOMONTH(Y10,0))</f>
        <v/>
      </c>
      <c r="AB10">
        <f>SUMIFS(rGasto,rFecha,"&gt;="&amp;Y10,rFecha,"&lt;="&amp;EOMONTH(Y10,0))</f>
        <v/>
      </c>
      <c r="AC10">
        <f>SUMIFS(rGasto,rAlim,gCP,rFecha,"&gt;="&amp;Y10,rFecha,"&lt;="&amp;EOMONTH(Y10,0))</f>
        <v/>
      </c>
      <c r="AD10">
        <f>SUMIFS(rGasto,rAlim,gSI,rFecha,"&gt;="&amp;Y10,rFecha,"&lt;="&amp;EOMONTH(Y10,0))</f>
        <v/>
      </c>
      <c r="AF10">
        <f>IFERROR(IF(N(INDEX('Motor'!$F$5:$F$24,MATCH(LARGE('Motor'!$H$5:$H$24,6),'Motor'!$H$5:$H$24,0)))&gt;0,INDEX('Motor'!$E$5:$E$24,MATCH(LARGE('Motor'!$H$5:$H$24,6),'Motor'!$H$5:$H$24,0))&amp;"",""),"")</f>
        <v/>
      </c>
      <c r="AG10">
        <f>IF(AF10="","",INDEX('Motor'!$F$5:$F$24,MATCH(LARGE('Motor'!$H$5:$H$24,6),'Motor'!$H$5:$H$24,0)))</f>
        <v/>
      </c>
      <c r="AH10">
        <f>IF(AF10="","",INDEX('Motor'!$G$5:$G$24,MATCH(LARGE('Motor'!$H$5:$H$24,6),'Motor'!$H$5:$H$24,0)))</f>
        <v/>
      </c>
      <c r="AI10">
        <f>IFERROR(IF(N(INDEX('Motor'!$K$5:$K$104,MATCH(LARGE('Motor'!$M$5:$M$104,6),'Motor'!$M$5:$M$104,0)))&gt;0,INDEX('Motor'!$J$5:$J$104,MATCH(LARGE('Motor'!$M$5:$M$104,6),'Motor'!$M$5:$M$104,0))&amp;"",""),"")</f>
        <v/>
      </c>
      <c r="AJ10">
        <f>IF(AI10="","",INDEX('Motor'!$K$5:$K$104,MATCH(LARGE('Motor'!$M$5:$M$104,6),'Motor'!$M$5:$M$104,0)))</f>
        <v/>
      </c>
      <c r="AK10">
        <f>IF(AI10="","",INDEX('Motor'!$L$5:$L$104,MATCH(LARGE('Motor'!$M$5:$M$104,6),'Motor'!$M$5:$M$104,0)))</f>
        <v/>
      </c>
      <c r="AL10">
        <f>IFERROR(IF(N(INDEX('Motor'!$P$5:$P$16,MATCH(LARGE('Motor'!$R$5:$R$16,6),'Motor'!$R$5:$R$16,0)))&gt;0,INDEX('Motor'!$O$5:$O$16,MATCH(LARGE('Motor'!$R$5:$R$16,6),'Motor'!$R$5:$R$16,0))&amp;"",""),"")</f>
        <v/>
      </c>
      <c r="AM10">
        <f>IF(AL10="","",INDEX('Motor'!$P$5:$P$16,MATCH(LARGE('Motor'!$R$5:$R$16,6),'Motor'!$R$5:$R$16,0)))</f>
        <v/>
      </c>
      <c r="AN10">
        <f>IF(AL10="","",INDEX('Motor'!$Q$5:$Q$16,MATCH(LARGE('Motor'!$R$5:$R$16,6),'Motor'!$R$5:$R$16,0)))</f>
        <v/>
      </c>
    </row>
    <row r="11">
      <c r="B11" s="119" t="inlineStr">
        <is>
          <t>Inicio</t>
        </is>
      </c>
      <c r="C11" s="120">
        <f>CHOOSE(pK,mesHoy,EOMONTH(diaHoy,-2)+1,mesSel,diaHoy-29,DATE(YEAR(diaHoy),1,1),minFecha)</f>
        <v/>
      </c>
      <c r="E11">
        <f>IFERROR(INDEX(catGrupo,MATCH(7,catGIdx,0))&amp;"","")</f>
        <v/>
      </c>
      <c r="F11">
        <f>IF(E11="","",SUMIFS(rGasto,rGrupo,E11,rFecha,"&gt;="&amp;pIni,rFecha,"&lt;="&amp;pFin))</f>
        <v/>
      </c>
      <c r="G11">
        <f>IF(E11="","",COUNTIFS(rGrupo,E11,rTipo,"Gasto",rFecha,"&gt;="&amp;pIni,rFecha,"&lt;="&amp;pFin))</f>
        <v/>
      </c>
      <c r="H11">
        <f>IF(E11="",-1E+12-7,N(F11)+(21-7)/1E+7)</f>
        <v/>
      </c>
      <c r="J11">
        <f>IF(INDEX(catTipo,7)&amp;""="Gasto",INDEX(catNom,7)&amp;"","")</f>
        <v/>
      </c>
      <c r="K11">
        <f>IF(J11="","",SUMIFS(rGasto,rCat,J11,rFecha,"&gt;="&amp;pIni,rFecha,"&lt;="&amp;pFin))</f>
        <v/>
      </c>
      <c r="L11">
        <f>IF(J11="","",COUNTIFS(rCat,J11,rMonto,"&gt;0",rFecha,"&gt;="&amp;pIni,rFecha,"&lt;="&amp;pFin))</f>
        <v/>
      </c>
      <c r="M11">
        <f>IF(J11="",-1E+12-7,N(K11)+(101-7)/1E+7)</f>
        <v/>
      </c>
      <c r="O11">
        <f>INDEX(ctaNom,7)&amp;""</f>
        <v/>
      </c>
      <c r="P11">
        <f>IF(O11="","",SUMIFS(rGasto,rCta,O11,rFecha,"&gt;="&amp;pIni,rFecha,"&lt;="&amp;pFin))</f>
        <v/>
      </c>
      <c r="Q11">
        <f>IF(O11="","",COUNTIFS(rCta,O11,rTipo,"Gasto",rFecha,"&gt;="&amp;pIni,rFecha,"&lt;="&amp;pFin))</f>
        <v/>
      </c>
      <c r="R11">
        <f>IF(O11="",-1E+12-7,N(P11)+(13-7)/1E+7)</f>
        <v/>
      </c>
      <c r="T11">
        <f>IFERROR(INDEX(rCom,MATCH(7,rComIdx,0))&amp;"","")</f>
        <v/>
      </c>
      <c r="U11">
        <f>IF(T11="","",SUMIFS(rGasto,rCom,T11,rFecha,"&gt;="&amp;pIni,rFecha,"&lt;="&amp;pFin))</f>
        <v/>
      </c>
      <c r="V11">
        <f>IF(T11="","",COUNTIFS(rCom,T11,rTipo,"Gasto",rFecha,"&gt;="&amp;pIni,rFecha,"&lt;="&amp;pFin))</f>
        <v/>
      </c>
      <c r="W11">
        <f>IF(T11="",-1E+12-7,N(U11)+(201-7)/1E+7)</f>
        <v/>
      </c>
      <c r="AF11">
        <f>IFERROR(IF(N(INDEX('Motor'!$F$5:$F$24,MATCH(LARGE('Motor'!$H$5:$H$24,7),'Motor'!$H$5:$H$24,0)))&gt;0,INDEX('Motor'!$E$5:$E$24,MATCH(LARGE('Motor'!$H$5:$H$24,7),'Motor'!$H$5:$H$24,0))&amp;"",""),"")</f>
        <v/>
      </c>
      <c r="AG11">
        <f>IF(AF11="","",INDEX('Motor'!$F$5:$F$24,MATCH(LARGE('Motor'!$H$5:$H$24,7),'Motor'!$H$5:$H$24,0)))</f>
        <v/>
      </c>
      <c r="AH11">
        <f>IF(AF11="","",INDEX('Motor'!$G$5:$G$24,MATCH(LARGE('Motor'!$H$5:$H$24,7),'Motor'!$H$5:$H$24,0)))</f>
        <v/>
      </c>
      <c r="AI11">
        <f>IFERROR(IF(N(INDEX('Motor'!$K$5:$K$104,MATCH(LARGE('Motor'!$M$5:$M$104,7),'Motor'!$M$5:$M$104,0)))&gt;0,INDEX('Motor'!$J$5:$J$104,MATCH(LARGE('Motor'!$M$5:$M$104,7),'Motor'!$M$5:$M$104,0))&amp;"",""),"")</f>
        <v/>
      </c>
      <c r="AJ11">
        <f>IF(AI11="","",INDEX('Motor'!$K$5:$K$104,MATCH(LARGE('Motor'!$M$5:$M$104,7),'Motor'!$M$5:$M$104,0)))</f>
        <v/>
      </c>
      <c r="AK11">
        <f>IF(AI11="","",INDEX('Motor'!$L$5:$L$104,MATCH(LARGE('Motor'!$M$5:$M$104,7),'Motor'!$M$5:$M$104,0)))</f>
        <v/>
      </c>
    </row>
    <row r="12">
      <c r="B12" s="119" t="inlineStr">
        <is>
          <t>Fin</t>
        </is>
      </c>
      <c r="C12" s="120">
        <f>CHOOSE(pK,EOMONTH(diaHoy,0),EOMONTH(diaHoy,-1),EOMONTH(mesSel,0),diaHoy,DATE(YEAR(diaHoy),12,31),MAX(maxFecha,diaHoy))</f>
        <v/>
      </c>
      <c r="E12">
        <f>IFERROR(INDEX(catGrupo,MATCH(8,catGIdx,0))&amp;"","")</f>
        <v/>
      </c>
      <c r="F12">
        <f>IF(E12="","",SUMIFS(rGasto,rGrupo,E12,rFecha,"&gt;="&amp;pIni,rFecha,"&lt;="&amp;pFin))</f>
        <v/>
      </c>
      <c r="G12">
        <f>IF(E12="","",COUNTIFS(rGrupo,E12,rTipo,"Gasto",rFecha,"&gt;="&amp;pIni,rFecha,"&lt;="&amp;pFin))</f>
        <v/>
      </c>
      <c r="H12">
        <f>IF(E12="",-1E+12-8,N(F12)+(21-8)/1E+7)</f>
        <v/>
      </c>
      <c r="J12">
        <f>IF(INDEX(catTipo,8)&amp;""="Gasto",INDEX(catNom,8)&amp;"","")</f>
        <v/>
      </c>
      <c r="K12">
        <f>IF(J12="","",SUMIFS(rGasto,rCat,J12,rFecha,"&gt;="&amp;pIni,rFecha,"&lt;="&amp;pFin))</f>
        <v/>
      </c>
      <c r="L12">
        <f>IF(J12="","",COUNTIFS(rCat,J12,rMonto,"&gt;0",rFecha,"&gt;="&amp;pIni,rFecha,"&lt;="&amp;pFin))</f>
        <v/>
      </c>
      <c r="M12">
        <f>IF(J12="",-1E+12-8,N(K12)+(101-8)/1E+7)</f>
        <v/>
      </c>
      <c r="O12">
        <f>INDEX(ctaNom,8)&amp;""</f>
        <v/>
      </c>
      <c r="P12">
        <f>IF(O12="","",SUMIFS(rGasto,rCta,O12,rFecha,"&gt;="&amp;pIni,rFecha,"&lt;="&amp;pFin))</f>
        <v/>
      </c>
      <c r="Q12">
        <f>IF(O12="","",COUNTIFS(rCta,O12,rTipo,"Gasto",rFecha,"&gt;="&amp;pIni,rFecha,"&lt;="&amp;pFin))</f>
        <v/>
      </c>
      <c r="R12">
        <f>IF(O12="",-1E+12-8,N(P12)+(13-8)/1E+7)</f>
        <v/>
      </c>
      <c r="T12">
        <f>IFERROR(INDEX(rCom,MATCH(8,rComIdx,0))&amp;"","")</f>
        <v/>
      </c>
      <c r="U12">
        <f>IF(T12="","",SUMIFS(rGasto,rCom,T12,rFecha,"&gt;="&amp;pIni,rFecha,"&lt;="&amp;pFin))</f>
        <v/>
      </c>
      <c r="V12">
        <f>IF(T12="","",COUNTIFS(rCom,T12,rTipo,"Gasto",rFecha,"&gt;="&amp;pIni,rFecha,"&lt;="&amp;pFin))</f>
        <v/>
      </c>
      <c r="W12">
        <f>IF(T12="",-1E+12-8,N(U12)+(201-8)/1E+7)</f>
        <v/>
      </c>
      <c r="AF12">
        <f>IFERROR(IF(N(INDEX('Motor'!$F$5:$F$24,MATCH(LARGE('Motor'!$H$5:$H$24,8),'Motor'!$H$5:$H$24,0)))&gt;0,INDEX('Motor'!$E$5:$E$24,MATCH(LARGE('Motor'!$H$5:$H$24,8),'Motor'!$H$5:$H$24,0))&amp;"",""),"")</f>
        <v/>
      </c>
      <c r="AG12">
        <f>IF(AF12="","",INDEX('Motor'!$F$5:$F$24,MATCH(LARGE('Motor'!$H$5:$H$24,8),'Motor'!$H$5:$H$24,0)))</f>
        <v/>
      </c>
      <c r="AH12">
        <f>IF(AF12="","",INDEX('Motor'!$G$5:$G$24,MATCH(LARGE('Motor'!$H$5:$H$24,8),'Motor'!$H$5:$H$24,0)))</f>
        <v/>
      </c>
      <c r="AI12">
        <f>IFERROR(IF(N(INDEX('Motor'!$K$5:$K$104,MATCH(LARGE('Motor'!$M$5:$M$104,8),'Motor'!$M$5:$M$104,0)))&gt;0,INDEX('Motor'!$J$5:$J$104,MATCH(LARGE('Motor'!$M$5:$M$104,8),'Motor'!$M$5:$M$104,0))&amp;"",""),"")</f>
        <v/>
      </c>
      <c r="AJ12">
        <f>IF(AI12="","",INDEX('Motor'!$K$5:$K$104,MATCH(LARGE('Motor'!$M$5:$M$104,8),'Motor'!$M$5:$M$104,0)))</f>
        <v/>
      </c>
      <c r="AK12">
        <f>IF(AI12="","",INDEX('Motor'!$L$5:$L$104,MATCH(LARGE('Motor'!$M$5:$M$104,8),'Motor'!$M$5:$M$104,0)))</f>
        <v/>
      </c>
    </row>
    <row r="13">
      <c r="B13" s="119" t="inlineStr">
        <is>
          <t>Días transcurridos</t>
        </is>
      </c>
      <c r="C13" s="122">
        <f>MAX(1,MIN(pFin,MAX(diaHoy,pIni))-pIni+1)</f>
        <v/>
      </c>
      <c r="E13">
        <f>IFERROR(INDEX(catGrupo,MATCH(9,catGIdx,0))&amp;"","")</f>
        <v/>
      </c>
      <c r="F13">
        <f>IF(E13="","",SUMIFS(rGasto,rGrupo,E13,rFecha,"&gt;="&amp;pIni,rFecha,"&lt;="&amp;pFin))</f>
        <v/>
      </c>
      <c r="G13">
        <f>IF(E13="","",COUNTIFS(rGrupo,E13,rTipo,"Gasto",rFecha,"&gt;="&amp;pIni,rFecha,"&lt;="&amp;pFin))</f>
        <v/>
      </c>
      <c r="H13">
        <f>IF(E13="",-1E+12-9,N(F13)+(21-9)/1E+7)</f>
        <v/>
      </c>
      <c r="J13">
        <f>IF(INDEX(catTipo,9)&amp;""="Gasto",INDEX(catNom,9)&amp;"","")</f>
        <v/>
      </c>
      <c r="K13">
        <f>IF(J13="","",SUMIFS(rGasto,rCat,J13,rFecha,"&gt;="&amp;pIni,rFecha,"&lt;="&amp;pFin))</f>
        <v/>
      </c>
      <c r="L13">
        <f>IF(J13="","",COUNTIFS(rCat,J13,rMonto,"&gt;0",rFecha,"&gt;="&amp;pIni,rFecha,"&lt;="&amp;pFin))</f>
        <v/>
      </c>
      <c r="M13">
        <f>IF(J13="",-1E+12-9,N(K13)+(101-9)/1E+7)</f>
        <v/>
      </c>
      <c r="O13">
        <f>INDEX(ctaNom,9)&amp;""</f>
        <v/>
      </c>
      <c r="P13">
        <f>IF(O13="","",SUMIFS(rGasto,rCta,O13,rFecha,"&gt;="&amp;pIni,rFecha,"&lt;="&amp;pFin))</f>
        <v/>
      </c>
      <c r="Q13">
        <f>IF(O13="","",COUNTIFS(rCta,O13,rTipo,"Gasto",rFecha,"&gt;="&amp;pIni,rFecha,"&lt;="&amp;pFin))</f>
        <v/>
      </c>
      <c r="R13">
        <f>IF(O13="",-1E+12-9,N(P13)+(13-9)/1E+7)</f>
        <v/>
      </c>
      <c r="T13">
        <f>IFERROR(INDEX(rCom,MATCH(9,rComIdx,0))&amp;"","")</f>
        <v/>
      </c>
      <c r="U13">
        <f>IF(T13="","",SUMIFS(rGasto,rCom,T13,rFecha,"&gt;="&amp;pIni,rFecha,"&lt;="&amp;pFin))</f>
        <v/>
      </c>
      <c r="V13">
        <f>IF(T13="","",COUNTIFS(rCom,T13,rTipo,"Gasto",rFecha,"&gt;="&amp;pIni,rFecha,"&lt;="&amp;pFin))</f>
        <v/>
      </c>
      <c r="W13">
        <f>IF(T13="",-1E+12-9,N(U13)+(201-9)/1E+7)</f>
        <v/>
      </c>
      <c r="AF13">
        <f>IFERROR(IF(N(INDEX('Motor'!$F$5:$F$24,MATCH(LARGE('Motor'!$H$5:$H$24,9),'Motor'!$H$5:$H$24,0)))&gt;0,INDEX('Motor'!$E$5:$E$24,MATCH(LARGE('Motor'!$H$5:$H$24,9),'Motor'!$H$5:$H$24,0))&amp;"",""),"")</f>
        <v/>
      </c>
      <c r="AG13">
        <f>IF(AF13="","",INDEX('Motor'!$F$5:$F$24,MATCH(LARGE('Motor'!$H$5:$H$24,9),'Motor'!$H$5:$H$24,0)))</f>
        <v/>
      </c>
      <c r="AH13">
        <f>IF(AF13="","",INDEX('Motor'!$G$5:$G$24,MATCH(LARGE('Motor'!$H$5:$H$24,9),'Motor'!$H$5:$H$24,0)))</f>
        <v/>
      </c>
    </row>
    <row r="14">
      <c r="B14" s="119" t="inlineStr">
        <is>
          <t>Mes de referencia</t>
        </is>
      </c>
      <c r="C14" s="120">
        <f>DATE(YEAR(pIni+pDias-1),MONTH(pIni+pDias-1),1)</f>
        <v/>
      </c>
      <c r="E14">
        <f>IFERROR(INDEX(catGrupo,MATCH(10,catGIdx,0))&amp;"","")</f>
        <v/>
      </c>
      <c r="F14">
        <f>IF(E14="","",SUMIFS(rGasto,rGrupo,E14,rFecha,"&gt;="&amp;pIni,rFecha,"&lt;="&amp;pFin))</f>
        <v/>
      </c>
      <c r="G14">
        <f>IF(E14="","",COUNTIFS(rGrupo,E14,rTipo,"Gasto",rFecha,"&gt;="&amp;pIni,rFecha,"&lt;="&amp;pFin))</f>
        <v/>
      </c>
      <c r="H14">
        <f>IF(E14="",-1E+12-10,N(F14)+(21-10)/1E+7)</f>
        <v/>
      </c>
      <c r="J14">
        <f>IF(INDEX(catTipo,10)&amp;""="Gasto",INDEX(catNom,10)&amp;"","")</f>
        <v/>
      </c>
      <c r="K14">
        <f>IF(J14="","",SUMIFS(rGasto,rCat,J14,rFecha,"&gt;="&amp;pIni,rFecha,"&lt;="&amp;pFin))</f>
        <v/>
      </c>
      <c r="L14">
        <f>IF(J14="","",COUNTIFS(rCat,J14,rMonto,"&gt;0",rFecha,"&gt;="&amp;pIni,rFecha,"&lt;="&amp;pFin))</f>
        <v/>
      </c>
      <c r="M14">
        <f>IF(J14="",-1E+12-10,N(K14)+(101-10)/1E+7)</f>
        <v/>
      </c>
      <c r="O14">
        <f>INDEX(ctaNom,10)&amp;""</f>
        <v/>
      </c>
      <c r="P14">
        <f>IF(O14="","",SUMIFS(rGasto,rCta,O14,rFecha,"&gt;="&amp;pIni,rFecha,"&lt;="&amp;pFin))</f>
        <v/>
      </c>
      <c r="Q14">
        <f>IF(O14="","",COUNTIFS(rCta,O14,rTipo,"Gasto",rFecha,"&gt;="&amp;pIni,rFecha,"&lt;="&amp;pFin))</f>
        <v/>
      </c>
      <c r="R14">
        <f>IF(O14="",-1E+12-10,N(P14)+(13-10)/1E+7)</f>
        <v/>
      </c>
      <c r="T14">
        <f>IFERROR(INDEX(rCom,MATCH(10,rComIdx,0))&amp;"","")</f>
        <v/>
      </c>
      <c r="U14">
        <f>IF(T14="","",SUMIFS(rGasto,rCom,T14,rFecha,"&gt;="&amp;pIni,rFecha,"&lt;="&amp;pFin))</f>
        <v/>
      </c>
      <c r="V14">
        <f>IF(T14="","",COUNTIFS(rCom,T14,rTipo,"Gasto",rFecha,"&gt;="&amp;pIni,rFecha,"&lt;="&amp;pFin))</f>
        <v/>
      </c>
      <c r="W14">
        <f>IF(T14="",-1E+12-10,N(U14)+(201-10)/1E+7)</f>
        <v/>
      </c>
      <c r="AF14">
        <f>IFERROR(IF(N(INDEX('Motor'!$F$5:$F$24,MATCH(LARGE('Motor'!$H$5:$H$24,10),'Motor'!$H$5:$H$24,0)))&gt;0,INDEX('Motor'!$E$5:$E$24,MATCH(LARGE('Motor'!$H$5:$H$24,10),'Motor'!$H$5:$H$24,0))&amp;"",""),"")</f>
        <v/>
      </c>
      <c r="AG14">
        <f>IF(AF14="","",INDEX('Motor'!$F$5:$F$24,MATCH(LARGE('Motor'!$H$5:$H$24,10),'Motor'!$H$5:$H$24,0)))</f>
        <v/>
      </c>
      <c r="AH14">
        <f>IF(AF14="","",INDEX('Motor'!$G$5:$G$24,MATCH(LARGE('Motor'!$H$5:$H$24,10),'Motor'!$H$5:$H$24,0)))</f>
        <v/>
      </c>
    </row>
    <row r="15">
      <c r="B15" s="119" t="inlineStr">
        <is>
          <t>Meses con datos (3 previos)</t>
        </is>
      </c>
      <c r="C15" s="122">
        <f>MAX(1,(COUNTIFS(rTipo,"?*",rFecha,"&gt;="&amp;EDATE(mesHoy,-3),rFecha,"&lt;"&amp;EDATE(mesHoy,-2))&gt;0)+(COUNTIFS(rTipo,"?*",rFecha,"&gt;="&amp;EDATE(mesHoy,-2),rFecha,"&lt;"&amp;EDATE(mesHoy,-1))&gt;0)+(COUNTIFS(rTipo,"?*",rFecha,"&gt;="&amp;EDATE(mesHoy,-1),rFecha,"&lt;"&amp;mesHoy)&gt;0))</f>
        <v/>
      </c>
      <c r="E15">
        <f>IFERROR(INDEX(catGrupo,MATCH(11,catGIdx,0))&amp;"","")</f>
        <v/>
      </c>
      <c r="F15">
        <f>IF(E15="","",SUMIFS(rGasto,rGrupo,E15,rFecha,"&gt;="&amp;pIni,rFecha,"&lt;="&amp;pFin))</f>
        <v/>
      </c>
      <c r="G15">
        <f>IF(E15="","",COUNTIFS(rGrupo,E15,rTipo,"Gasto",rFecha,"&gt;="&amp;pIni,rFecha,"&lt;="&amp;pFin))</f>
        <v/>
      </c>
      <c r="H15">
        <f>IF(E15="",-1E+12-11,N(F15)+(21-11)/1E+7)</f>
        <v/>
      </c>
      <c r="J15">
        <f>IF(INDEX(catTipo,11)&amp;""="Gasto",INDEX(catNom,11)&amp;"","")</f>
        <v/>
      </c>
      <c r="K15">
        <f>IF(J15="","",SUMIFS(rGasto,rCat,J15,rFecha,"&gt;="&amp;pIni,rFecha,"&lt;="&amp;pFin))</f>
        <v/>
      </c>
      <c r="L15">
        <f>IF(J15="","",COUNTIFS(rCat,J15,rMonto,"&gt;0",rFecha,"&gt;="&amp;pIni,rFecha,"&lt;="&amp;pFin))</f>
        <v/>
      </c>
      <c r="M15">
        <f>IF(J15="",-1E+12-11,N(K15)+(101-11)/1E+7)</f>
        <v/>
      </c>
      <c r="O15">
        <f>INDEX(ctaNom,11)&amp;""</f>
        <v/>
      </c>
      <c r="P15">
        <f>IF(O15="","",SUMIFS(rGasto,rCta,O15,rFecha,"&gt;="&amp;pIni,rFecha,"&lt;="&amp;pFin))</f>
        <v/>
      </c>
      <c r="Q15">
        <f>IF(O15="","",COUNTIFS(rCta,O15,rTipo,"Gasto",rFecha,"&gt;="&amp;pIni,rFecha,"&lt;="&amp;pFin))</f>
        <v/>
      </c>
      <c r="R15">
        <f>IF(O15="",-1E+12-11,N(P15)+(13-11)/1E+7)</f>
        <v/>
      </c>
      <c r="T15">
        <f>IFERROR(INDEX(rCom,MATCH(11,rComIdx,0))&amp;"","")</f>
        <v/>
      </c>
      <c r="U15">
        <f>IF(T15="","",SUMIFS(rGasto,rCom,T15,rFecha,"&gt;="&amp;pIni,rFecha,"&lt;="&amp;pFin))</f>
        <v/>
      </c>
      <c r="V15">
        <f>IF(T15="","",COUNTIFS(rCom,T15,rTipo,"Gasto",rFecha,"&gt;="&amp;pIni,rFecha,"&lt;="&amp;pFin))</f>
        <v/>
      </c>
      <c r="W15">
        <f>IF(T15="",-1E+12-11,N(U15)+(201-11)/1E+7)</f>
        <v/>
      </c>
      <c r="AF15">
        <f>IFERROR(IF(N(INDEX('Motor'!$F$5:$F$24,MATCH(LARGE('Motor'!$H$5:$H$24,11),'Motor'!$H$5:$H$24,0)))&gt;0,INDEX('Motor'!$E$5:$E$24,MATCH(LARGE('Motor'!$H$5:$H$24,11),'Motor'!$H$5:$H$24,0))&amp;"",""),"")</f>
        <v/>
      </c>
      <c r="AG15">
        <f>IF(AF15="","",INDEX('Motor'!$F$5:$F$24,MATCH(LARGE('Motor'!$H$5:$H$24,11),'Motor'!$H$5:$H$24,0)))</f>
        <v/>
      </c>
      <c r="AH15">
        <f>IF(AF15="","",INDEX('Motor'!$G$5:$G$24,MATCH(LARGE('Motor'!$H$5:$H$24,11),'Motor'!$H$5:$H$24,0)))</f>
        <v/>
      </c>
    </row>
    <row r="16">
      <c r="B16" s="119" t="inlineStr">
        <is>
          <t>Texto</t>
        </is>
      </c>
      <c r="C16" s="123">
        <f>RIGHT("0"&amp;DAY(pIni),2)&amp;"/"&amp;RIGHT("0"&amp;MONTH(pIni),2)&amp;"/"&amp;YEAR(pIni)&amp;"  →  "&amp;RIGHT("0"&amp;DAY(pFin),2)&amp;"/"&amp;RIGHT("0"&amp;MONTH(pFin),2)&amp;"/"&amp;YEAR(pFin)</f>
        <v/>
      </c>
      <c r="E16">
        <f>IFERROR(INDEX(catGrupo,MATCH(12,catGIdx,0))&amp;"","")</f>
        <v/>
      </c>
      <c r="F16">
        <f>IF(E16="","",SUMIFS(rGasto,rGrupo,E16,rFecha,"&gt;="&amp;pIni,rFecha,"&lt;="&amp;pFin))</f>
        <v/>
      </c>
      <c r="G16">
        <f>IF(E16="","",COUNTIFS(rGrupo,E16,rTipo,"Gasto",rFecha,"&gt;="&amp;pIni,rFecha,"&lt;="&amp;pFin))</f>
        <v/>
      </c>
      <c r="H16">
        <f>IF(E16="",-1E+12-12,N(F16)+(21-12)/1E+7)</f>
        <v/>
      </c>
      <c r="J16">
        <f>IF(INDEX(catTipo,12)&amp;""="Gasto",INDEX(catNom,12)&amp;"","")</f>
        <v/>
      </c>
      <c r="K16">
        <f>IF(J16="","",SUMIFS(rGasto,rCat,J16,rFecha,"&gt;="&amp;pIni,rFecha,"&lt;="&amp;pFin))</f>
        <v/>
      </c>
      <c r="L16">
        <f>IF(J16="","",COUNTIFS(rCat,J16,rMonto,"&gt;0",rFecha,"&gt;="&amp;pIni,rFecha,"&lt;="&amp;pFin))</f>
        <v/>
      </c>
      <c r="M16">
        <f>IF(J16="",-1E+12-12,N(K16)+(101-12)/1E+7)</f>
        <v/>
      </c>
      <c r="O16">
        <f>INDEX(ctaNom,12)&amp;""</f>
        <v/>
      </c>
      <c r="P16">
        <f>IF(O16="","",SUMIFS(rGasto,rCta,O16,rFecha,"&gt;="&amp;pIni,rFecha,"&lt;="&amp;pFin))</f>
        <v/>
      </c>
      <c r="Q16">
        <f>IF(O16="","",COUNTIFS(rCta,O16,rTipo,"Gasto",rFecha,"&gt;="&amp;pIni,rFecha,"&lt;="&amp;pFin))</f>
        <v/>
      </c>
      <c r="R16">
        <f>IF(O16="",-1E+12-12,N(P16)+(13-12)/1E+7)</f>
        <v/>
      </c>
      <c r="T16">
        <f>IFERROR(INDEX(rCom,MATCH(12,rComIdx,0))&amp;"","")</f>
        <v/>
      </c>
      <c r="U16">
        <f>IF(T16="","",SUMIFS(rGasto,rCom,T16,rFecha,"&gt;="&amp;pIni,rFecha,"&lt;="&amp;pFin))</f>
        <v/>
      </c>
      <c r="V16">
        <f>IF(T16="","",COUNTIFS(rCom,T16,rTipo,"Gasto",rFecha,"&gt;="&amp;pIni,rFecha,"&lt;="&amp;pFin))</f>
        <v/>
      </c>
      <c r="W16">
        <f>IF(T16="",-1E+12-12,N(U16)+(201-12)/1E+7)</f>
        <v/>
      </c>
      <c r="AF16">
        <f>IFERROR(IF(N(INDEX('Motor'!$F$5:$F$24,MATCH(LARGE('Motor'!$H$5:$H$24,12),'Motor'!$H$5:$H$24,0)))&gt;0,INDEX('Motor'!$E$5:$E$24,MATCH(LARGE('Motor'!$H$5:$H$24,12),'Motor'!$H$5:$H$24,0))&amp;"",""),"")</f>
        <v/>
      </c>
      <c r="AG16">
        <f>IF(AF16="","",INDEX('Motor'!$F$5:$F$24,MATCH(LARGE('Motor'!$H$5:$H$24,12),'Motor'!$H$5:$H$24,0)))</f>
        <v/>
      </c>
      <c r="AH16">
        <f>IF(AF16="","",INDEX('Motor'!$G$5:$G$24,MATCH(LARGE('Motor'!$H$5:$H$24,12),'Motor'!$H$5:$H$24,0)))</f>
        <v/>
      </c>
    </row>
    <row r="17">
      <c r="E17">
        <f>IFERROR(INDEX(catGrupo,MATCH(13,catGIdx,0))&amp;"","")</f>
        <v/>
      </c>
      <c r="F17">
        <f>IF(E17="","",SUMIFS(rGasto,rGrupo,E17,rFecha,"&gt;="&amp;pIni,rFecha,"&lt;="&amp;pFin))</f>
        <v/>
      </c>
      <c r="G17">
        <f>IF(E17="","",COUNTIFS(rGrupo,E17,rTipo,"Gasto",rFecha,"&gt;="&amp;pIni,rFecha,"&lt;="&amp;pFin))</f>
        <v/>
      </c>
      <c r="H17">
        <f>IF(E17="",-1E+12-13,N(F17)+(21-13)/1E+7)</f>
        <v/>
      </c>
      <c r="J17">
        <f>IF(INDEX(catTipo,13)&amp;""="Gasto",INDEX(catNom,13)&amp;"","")</f>
        <v/>
      </c>
      <c r="K17">
        <f>IF(J17="","",SUMIFS(rGasto,rCat,J17,rFecha,"&gt;="&amp;pIni,rFecha,"&lt;="&amp;pFin))</f>
        <v/>
      </c>
      <c r="L17">
        <f>IF(J17="","",COUNTIFS(rCat,J17,rMonto,"&gt;0",rFecha,"&gt;="&amp;pIni,rFecha,"&lt;="&amp;pFin))</f>
        <v/>
      </c>
      <c r="M17">
        <f>IF(J17="",-1E+12-13,N(K17)+(101-13)/1E+7)</f>
        <v/>
      </c>
      <c r="T17">
        <f>IFERROR(INDEX(rCom,MATCH(13,rComIdx,0))&amp;"","")</f>
        <v/>
      </c>
      <c r="U17">
        <f>IF(T17="","",SUMIFS(rGasto,rCom,T17,rFecha,"&gt;="&amp;pIni,rFecha,"&lt;="&amp;pFin))</f>
        <v/>
      </c>
      <c r="V17">
        <f>IF(T17="","",COUNTIFS(rCom,T17,rTipo,"Gasto",rFecha,"&gt;="&amp;pIni,rFecha,"&lt;="&amp;pFin))</f>
        <v/>
      </c>
      <c r="W17">
        <f>IF(T17="",-1E+12-13,N(U17)+(201-13)/1E+7)</f>
        <v/>
      </c>
    </row>
    <row r="18">
      <c r="E18">
        <f>IFERROR(INDEX(catGrupo,MATCH(14,catGIdx,0))&amp;"","")</f>
        <v/>
      </c>
      <c r="F18">
        <f>IF(E18="","",SUMIFS(rGasto,rGrupo,E18,rFecha,"&gt;="&amp;pIni,rFecha,"&lt;="&amp;pFin))</f>
        <v/>
      </c>
      <c r="G18">
        <f>IF(E18="","",COUNTIFS(rGrupo,E18,rTipo,"Gasto",rFecha,"&gt;="&amp;pIni,rFecha,"&lt;="&amp;pFin))</f>
        <v/>
      </c>
      <c r="H18">
        <f>IF(E18="",-1E+12-14,N(F18)+(21-14)/1E+7)</f>
        <v/>
      </c>
      <c r="J18">
        <f>IF(INDEX(catTipo,14)&amp;""="Gasto",INDEX(catNom,14)&amp;"","")</f>
        <v/>
      </c>
      <c r="K18">
        <f>IF(J18="","",SUMIFS(rGasto,rCat,J18,rFecha,"&gt;="&amp;pIni,rFecha,"&lt;="&amp;pFin))</f>
        <v/>
      </c>
      <c r="L18">
        <f>IF(J18="","",COUNTIFS(rCat,J18,rMonto,"&gt;0",rFecha,"&gt;="&amp;pIni,rFecha,"&lt;="&amp;pFin))</f>
        <v/>
      </c>
      <c r="M18">
        <f>IF(J18="",-1E+12-14,N(K18)+(101-14)/1E+7)</f>
        <v/>
      </c>
      <c r="T18">
        <f>IFERROR(INDEX(rCom,MATCH(14,rComIdx,0))&amp;"","")</f>
        <v/>
      </c>
      <c r="U18">
        <f>IF(T18="","",SUMIFS(rGasto,rCom,T18,rFecha,"&gt;="&amp;pIni,rFecha,"&lt;="&amp;pFin))</f>
        <v/>
      </c>
      <c r="V18">
        <f>IF(T18="","",COUNTIFS(rCom,T18,rTipo,"Gasto",rFecha,"&gt;="&amp;pIni,rFecha,"&lt;="&amp;pFin))</f>
        <v/>
      </c>
      <c r="W18">
        <f>IF(T18="",-1E+12-14,N(U18)+(201-14)/1E+7)</f>
        <v/>
      </c>
    </row>
    <row r="19">
      <c r="E19">
        <f>IFERROR(INDEX(catGrupo,MATCH(15,catGIdx,0))&amp;"","")</f>
        <v/>
      </c>
      <c r="F19">
        <f>IF(E19="","",SUMIFS(rGasto,rGrupo,E19,rFecha,"&gt;="&amp;pIni,rFecha,"&lt;="&amp;pFin))</f>
        <v/>
      </c>
      <c r="G19">
        <f>IF(E19="","",COUNTIFS(rGrupo,E19,rTipo,"Gasto",rFecha,"&gt;="&amp;pIni,rFecha,"&lt;="&amp;pFin))</f>
        <v/>
      </c>
      <c r="H19">
        <f>IF(E19="",-1E+12-15,N(F19)+(21-15)/1E+7)</f>
        <v/>
      </c>
      <c r="J19">
        <f>IF(INDEX(catTipo,15)&amp;""="Gasto",INDEX(catNom,15)&amp;"","")</f>
        <v/>
      </c>
      <c r="K19">
        <f>IF(J19="","",SUMIFS(rGasto,rCat,J19,rFecha,"&gt;="&amp;pIni,rFecha,"&lt;="&amp;pFin))</f>
        <v/>
      </c>
      <c r="L19">
        <f>IF(J19="","",COUNTIFS(rCat,J19,rMonto,"&gt;0",rFecha,"&gt;="&amp;pIni,rFecha,"&lt;="&amp;pFin))</f>
        <v/>
      </c>
      <c r="M19">
        <f>IF(J19="",-1E+12-15,N(K19)+(101-15)/1E+7)</f>
        <v/>
      </c>
      <c r="T19">
        <f>IFERROR(INDEX(rCom,MATCH(15,rComIdx,0))&amp;"","")</f>
        <v/>
      </c>
      <c r="U19">
        <f>IF(T19="","",SUMIFS(rGasto,rCom,T19,rFecha,"&gt;="&amp;pIni,rFecha,"&lt;="&amp;pFin))</f>
        <v/>
      </c>
      <c r="V19">
        <f>IF(T19="","",COUNTIFS(rCom,T19,rTipo,"Gasto",rFecha,"&gt;="&amp;pIni,rFecha,"&lt;="&amp;pFin))</f>
        <v/>
      </c>
      <c r="W19">
        <f>IF(T19="",-1E+12-15,N(U19)+(201-15)/1E+7)</f>
        <v/>
      </c>
    </row>
    <row r="20">
      <c r="E20">
        <f>IFERROR(INDEX(catGrupo,MATCH(16,catGIdx,0))&amp;"","")</f>
        <v/>
      </c>
      <c r="F20">
        <f>IF(E20="","",SUMIFS(rGasto,rGrupo,E20,rFecha,"&gt;="&amp;pIni,rFecha,"&lt;="&amp;pFin))</f>
        <v/>
      </c>
      <c r="G20">
        <f>IF(E20="","",COUNTIFS(rGrupo,E20,rTipo,"Gasto",rFecha,"&gt;="&amp;pIni,rFecha,"&lt;="&amp;pFin))</f>
        <v/>
      </c>
      <c r="H20">
        <f>IF(E20="",-1E+12-16,N(F20)+(21-16)/1E+7)</f>
        <v/>
      </c>
      <c r="J20">
        <f>IF(INDEX(catTipo,16)&amp;""="Gasto",INDEX(catNom,16)&amp;"","")</f>
        <v/>
      </c>
      <c r="K20">
        <f>IF(J20="","",SUMIFS(rGasto,rCat,J20,rFecha,"&gt;="&amp;pIni,rFecha,"&lt;="&amp;pFin))</f>
        <v/>
      </c>
      <c r="L20">
        <f>IF(J20="","",COUNTIFS(rCat,J20,rMonto,"&gt;0",rFecha,"&gt;="&amp;pIni,rFecha,"&lt;="&amp;pFin))</f>
        <v/>
      </c>
      <c r="M20">
        <f>IF(J20="",-1E+12-16,N(K20)+(101-16)/1E+7)</f>
        <v/>
      </c>
      <c r="T20">
        <f>IFERROR(INDEX(rCom,MATCH(16,rComIdx,0))&amp;"","")</f>
        <v/>
      </c>
      <c r="U20">
        <f>IF(T20="","",SUMIFS(rGasto,rCom,T20,rFecha,"&gt;="&amp;pIni,rFecha,"&lt;="&amp;pFin))</f>
        <v/>
      </c>
      <c r="V20">
        <f>IF(T20="","",COUNTIFS(rCom,T20,rTipo,"Gasto",rFecha,"&gt;="&amp;pIni,rFecha,"&lt;="&amp;pFin))</f>
        <v/>
      </c>
      <c r="W20">
        <f>IF(T20="",-1E+12-16,N(U20)+(201-16)/1E+7)</f>
        <v/>
      </c>
    </row>
    <row r="21">
      <c r="E21">
        <f>IFERROR(INDEX(catGrupo,MATCH(17,catGIdx,0))&amp;"","")</f>
        <v/>
      </c>
      <c r="F21">
        <f>IF(E21="","",SUMIFS(rGasto,rGrupo,E21,rFecha,"&gt;="&amp;pIni,rFecha,"&lt;="&amp;pFin))</f>
        <v/>
      </c>
      <c r="G21">
        <f>IF(E21="","",COUNTIFS(rGrupo,E21,rTipo,"Gasto",rFecha,"&gt;="&amp;pIni,rFecha,"&lt;="&amp;pFin))</f>
        <v/>
      </c>
      <c r="H21">
        <f>IF(E21="",-1E+12-17,N(F21)+(21-17)/1E+7)</f>
        <v/>
      </c>
      <c r="J21">
        <f>IF(INDEX(catTipo,17)&amp;""="Gasto",INDEX(catNom,17)&amp;"","")</f>
        <v/>
      </c>
      <c r="K21">
        <f>IF(J21="","",SUMIFS(rGasto,rCat,J21,rFecha,"&gt;="&amp;pIni,rFecha,"&lt;="&amp;pFin))</f>
        <v/>
      </c>
      <c r="L21">
        <f>IF(J21="","",COUNTIFS(rCat,J21,rMonto,"&gt;0",rFecha,"&gt;="&amp;pIni,rFecha,"&lt;="&amp;pFin))</f>
        <v/>
      </c>
      <c r="M21">
        <f>IF(J21="",-1E+12-17,N(K21)+(101-17)/1E+7)</f>
        <v/>
      </c>
      <c r="T21">
        <f>IFERROR(INDEX(rCom,MATCH(17,rComIdx,0))&amp;"","")</f>
        <v/>
      </c>
      <c r="U21">
        <f>IF(T21="","",SUMIFS(rGasto,rCom,T21,rFecha,"&gt;="&amp;pIni,rFecha,"&lt;="&amp;pFin))</f>
        <v/>
      </c>
      <c r="V21">
        <f>IF(T21="","",COUNTIFS(rCom,T21,rTipo,"Gasto",rFecha,"&gt;="&amp;pIni,rFecha,"&lt;="&amp;pFin))</f>
        <v/>
      </c>
      <c r="W21">
        <f>IF(T21="",-1E+12-17,N(U21)+(201-17)/1E+7)</f>
        <v/>
      </c>
    </row>
    <row r="22">
      <c r="E22">
        <f>IFERROR(INDEX(catGrupo,MATCH(18,catGIdx,0))&amp;"","")</f>
        <v/>
      </c>
      <c r="F22">
        <f>IF(E22="","",SUMIFS(rGasto,rGrupo,E22,rFecha,"&gt;="&amp;pIni,rFecha,"&lt;="&amp;pFin))</f>
        <v/>
      </c>
      <c r="G22">
        <f>IF(E22="","",COUNTIFS(rGrupo,E22,rTipo,"Gasto",rFecha,"&gt;="&amp;pIni,rFecha,"&lt;="&amp;pFin))</f>
        <v/>
      </c>
      <c r="H22">
        <f>IF(E22="",-1E+12-18,N(F22)+(21-18)/1E+7)</f>
        <v/>
      </c>
      <c r="J22">
        <f>IF(INDEX(catTipo,18)&amp;""="Gasto",INDEX(catNom,18)&amp;"","")</f>
        <v/>
      </c>
      <c r="K22">
        <f>IF(J22="","",SUMIFS(rGasto,rCat,J22,rFecha,"&gt;="&amp;pIni,rFecha,"&lt;="&amp;pFin))</f>
        <v/>
      </c>
      <c r="L22">
        <f>IF(J22="","",COUNTIFS(rCat,J22,rMonto,"&gt;0",rFecha,"&gt;="&amp;pIni,rFecha,"&lt;="&amp;pFin))</f>
        <v/>
      </c>
      <c r="M22">
        <f>IF(J22="",-1E+12-18,N(K22)+(101-18)/1E+7)</f>
        <v/>
      </c>
      <c r="T22">
        <f>IFERROR(INDEX(rCom,MATCH(18,rComIdx,0))&amp;"","")</f>
        <v/>
      </c>
      <c r="U22">
        <f>IF(T22="","",SUMIFS(rGasto,rCom,T22,rFecha,"&gt;="&amp;pIni,rFecha,"&lt;="&amp;pFin))</f>
        <v/>
      </c>
      <c r="V22">
        <f>IF(T22="","",COUNTIFS(rCom,T22,rTipo,"Gasto",rFecha,"&gt;="&amp;pIni,rFecha,"&lt;="&amp;pFin))</f>
        <v/>
      </c>
      <c r="W22">
        <f>IF(T22="",-1E+12-18,N(U22)+(201-18)/1E+7)</f>
        <v/>
      </c>
    </row>
    <row r="23">
      <c r="E23">
        <f>IFERROR(INDEX(catGrupo,MATCH(19,catGIdx,0))&amp;"","")</f>
        <v/>
      </c>
      <c r="F23">
        <f>IF(E23="","",SUMIFS(rGasto,rGrupo,E23,rFecha,"&gt;="&amp;pIni,rFecha,"&lt;="&amp;pFin))</f>
        <v/>
      </c>
      <c r="G23">
        <f>IF(E23="","",COUNTIFS(rGrupo,E23,rTipo,"Gasto",rFecha,"&gt;="&amp;pIni,rFecha,"&lt;="&amp;pFin))</f>
        <v/>
      </c>
      <c r="H23">
        <f>IF(E23="",-1E+12-19,N(F23)+(21-19)/1E+7)</f>
        <v/>
      </c>
      <c r="J23">
        <f>IF(INDEX(catTipo,19)&amp;""="Gasto",INDEX(catNom,19)&amp;"","")</f>
        <v/>
      </c>
      <c r="K23">
        <f>IF(J23="","",SUMIFS(rGasto,rCat,J23,rFecha,"&gt;="&amp;pIni,rFecha,"&lt;="&amp;pFin))</f>
        <v/>
      </c>
      <c r="L23">
        <f>IF(J23="","",COUNTIFS(rCat,J23,rMonto,"&gt;0",rFecha,"&gt;="&amp;pIni,rFecha,"&lt;="&amp;pFin))</f>
        <v/>
      </c>
      <c r="M23">
        <f>IF(J23="",-1E+12-19,N(K23)+(101-19)/1E+7)</f>
        <v/>
      </c>
      <c r="T23">
        <f>IFERROR(INDEX(rCom,MATCH(19,rComIdx,0))&amp;"","")</f>
        <v/>
      </c>
      <c r="U23">
        <f>IF(T23="","",SUMIFS(rGasto,rCom,T23,rFecha,"&gt;="&amp;pIni,rFecha,"&lt;="&amp;pFin))</f>
        <v/>
      </c>
      <c r="V23">
        <f>IF(T23="","",COUNTIFS(rCom,T23,rTipo,"Gasto",rFecha,"&gt;="&amp;pIni,rFecha,"&lt;="&amp;pFin))</f>
        <v/>
      </c>
      <c r="W23">
        <f>IF(T23="",-1E+12-19,N(U23)+(201-19)/1E+7)</f>
        <v/>
      </c>
    </row>
    <row r="24">
      <c r="E24">
        <f>IFERROR(INDEX(catGrupo,MATCH(20,catGIdx,0))&amp;"","")</f>
        <v/>
      </c>
      <c r="F24">
        <f>IF(E24="","",SUMIFS(rGasto,rGrupo,E24,rFecha,"&gt;="&amp;pIni,rFecha,"&lt;="&amp;pFin))</f>
        <v/>
      </c>
      <c r="G24">
        <f>IF(E24="","",COUNTIFS(rGrupo,E24,rTipo,"Gasto",rFecha,"&gt;="&amp;pIni,rFecha,"&lt;="&amp;pFin))</f>
        <v/>
      </c>
      <c r="H24">
        <f>IF(E24="",-1E+12-20,N(F24)+(21-20)/1E+7)</f>
        <v/>
      </c>
      <c r="J24">
        <f>IF(INDEX(catTipo,20)&amp;""="Gasto",INDEX(catNom,20)&amp;"","")</f>
        <v/>
      </c>
      <c r="K24">
        <f>IF(J24="","",SUMIFS(rGasto,rCat,J24,rFecha,"&gt;="&amp;pIni,rFecha,"&lt;="&amp;pFin))</f>
        <v/>
      </c>
      <c r="L24">
        <f>IF(J24="","",COUNTIFS(rCat,J24,rMonto,"&gt;0",rFecha,"&gt;="&amp;pIni,rFecha,"&lt;="&amp;pFin))</f>
        <v/>
      </c>
      <c r="M24">
        <f>IF(J24="",-1E+12-20,N(K24)+(101-20)/1E+7)</f>
        <v/>
      </c>
      <c r="T24">
        <f>IFERROR(INDEX(rCom,MATCH(20,rComIdx,0))&amp;"","")</f>
        <v/>
      </c>
      <c r="U24">
        <f>IF(T24="","",SUMIFS(rGasto,rCom,T24,rFecha,"&gt;="&amp;pIni,rFecha,"&lt;="&amp;pFin))</f>
        <v/>
      </c>
      <c r="V24">
        <f>IF(T24="","",COUNTIFS(rCom,T24,rTipo,"Gasto",rFecha,"&gt;="&amp;pIni,rFecha,"&lt;="&amp;pFin))</f>
        <v/>
      </c>
      <c r="W24">
        <f>IF(T24="",-1E+12-20,N(U24)+(201-20)/1E+7)</f>
        <v/>
      </c>
    </row>
    <row r="25">
      <c r="J25">
        <f>IF(INDEX(catTipo,21)&amp;""="Gasto",INDEX(catNom,21)&amp;"","")</f>
        <v/>
      </c>
      <c r="K25">
        <f>IF(J25="","",SUMIFS(rGasto,rCat,J25,rFecha,"&gt;="&amp;pIni,rFecha,"&lt;="&amp;pFin))</f>
        <v/>
      </c>
      <c r="L25">
        <f>IF(J25="","",COUNTIFS(rCat,J25,rMonto,"&gt;0",rFecha,"&gt;="&amp;pIni,rFecha,"&lt;="&amp;pFin))</f>
        <v/>
      </c>
      <c r="M25">
        <f>IF(J25="",-1E+12-21,N(K25)+(101-21)/1E+7)</f>
        <v/>
      </c>
      <c r="T25">
        <f>IFERROR(INDEX(rCom,MATCH(21,rComIdx,0))&amp;"","")</f>
        <v/>
      </c>
      <c r="U25">
        <f>IF(T25="","",SUMIFS(rGasto,rCom,T25,rFecha,"&gt;="&amp;pIni,rFecha,"&lt;="&amp;pFin))</f>
        <v/>
      </c>
      <c r="V25">
        <f>IF(T25="","",COUNTIFS(rCom,T25,rTipo,"Gasto",rFecha,"&gt;="&amp;pIni,rFecha,"&lt;="&amp;pFin))</f>
        <v/>
      </c>
      <c r="W25">
        <f>IF(T25="",-1E+12-21,N(U25)+(201-21)/1E+7)</f>
        <v/>
      </c>
    </row>
    <row r="26">
      <c r="J26">
        <f>IF(INDEX(catTipo,22)&amp;""="Gasto",INDEX(catNom,22)&amp;"","")</f>
        <v/>
      </c>
      <c r="K26">
        <f>IF(J26="","",SUMIFS(rGasto,rCat,J26,rFecha,"&gt;="&amp;pIni,rFecha,"&lt;="&amp;pFin))</f>
        <v/>
      </c>
      <c r="L26">
        <f>IF(J26="","",COUNTIFS(rCat,J26,rMonto,"&gt;0",rFecha,"&gt;="&amp;pIni,rFecha,"&lt;="&amp;pFin))</f>
        <v/>
      </c>
      <c r="M26">
        <f>IF(J26="",-1E+12-22,N(K26)+(101-22)/1E+7)</f>
        <v/>
      </c>
      <c r="T26">
        <f>IFERROR(INDEX(rCom,MATCH(22,rComIdx,0))&amp;"","")</f>
        <v/>
      </c>
      <c r="U26">
        <f>IF(T26="","",SUMIFS(rGasto,rCom,T26,rFecha,"&gt;="&amp;pIni,rFecha,"&lt;="&amp;pFin))</f>
        <v/>
      </c>
      <c r="V26">
        <f>IF(T26="","",COUNTIFS(rCom,T26,rTipo,"Gasto",rFecha,"&gt;="&amp;pIni,rFecha,"&lt;="&amp;pFin))</f>
        <v/>
      </c>
      <c r="W26">
        <f>IF(T26="",-1E+12-22,N(U26)+(201-22)/1E+7)</f>
        <v/>
      </c>
    </row>
    <row r="27">
      <c r="J27">
        <f>IF(INDEX(catTipo,23)&amp;""="Gasto",INDEX(catNom,23)&amp;"","")</f>
        <v/>
      </c>
      <c r="K27">
        <f>IF(J27="","",SUMIFS(rGasto,rCat,J27,rFecha,"&gt;="&amp;pIni,rFecha,"&lt;="&amp;pFin))</f>
        <v/>
      </c>
      <c r="L27">
        <f>IF(J27="","",COUNTIFS(rCat,J27,rMonto,"&gt;0",rFecha,"&gt;="&amp;pIni,rFecha,"&lt;="&amp;pFin))</f>
        <v/>
      </c>
      <c r="M27">
        <f>IF(J27="",-1E+12-23,N(K27)+(101-23)/1E+7)</f>
        <v/>
      </c>
      <c r="T27">
        <f>IFERROR(INDEX(rCom,MATCH(23,rComIdx,0))&amp;"","")</f>
        <v/>
      </c>
      <c r="U27">
        <f>IF(T27="","",SUMIFS(rGasto,rCom,T27,rFecha,"&gt;="&amp;pIni,rFecha,"&lt;="&amp;pFin))</f>
        <v/>
      </c>
      <c r="V27">
        <f>IF(T27="","",COUNTIFS(rCom,T27,rTipo,"Gasto",rFecha,"&gt;="&amp;pIni,rFecha,"&lt;="&amp;pFin))</f>
        <v/>
      </c>
      <c r="W27">
        <f>IF(T27="",-1E+12-23,N(U27)+(201-23)/1E+7)</f>
        <v/>
      </c>
    </row>
    <row r="28">
      <c r="J28">
        <f>IF(INDEX(catTipo,24)&amp;""="Gasto",INDEX(catNom,24)&amp;"","")</f>
        <v/>
      </c>
      <c r="K28">
        <f>IF(J28="","",SUMIFS(rGasto,rCat,J28,rFecha,"&gt;="&amp;pIni,rFecha,"&lt;="&amp;pFin))</f>
        <v/>
      </c>
      <c r="L28">
        <f>IF(J28="","",COUNTIFS(rCat,J28,rMonto,"&gt;0",rFecha,"&gt;="&amp;pIni,rFecha,"&lt;="&amp;pFin))</f>
        <v/>
      </c>
      <c r="M28">
        <f>IF(J28="",-1E+12-24,N(K28)+(101-24)/1E+7)</f>
        <v/>
      </c>
      <c r="T28">
        <f>IFERROR(INDEX(rCom,MATCH(24,rComIdx,0))&amp;"","")</f>
        <v/>
      </c>
      <c r="U28">
        <f>IF(T28="","",SUMIFS(rGasto,rCom,T28,rFecha,"&gt;="&amp;pIni,rFecha,"&lt;="&amp;pFin))</f>
        <v/>
      </c>
      <c r="V28">
        <f>IF(T28="","",COUNTIFS(rCom,T28,rTipo,"Gasto",rFecha,"&gt;="&amp;pIni,rFecha,"&lt;="&amp;pFin))</f>
        <v/>
      </c>
      <c r="W28">
        <f>IF(T28="",-1E+12-24,N(U28)+(201-24)/1E+7)</f>
        <v/>
      </c>
    </row>
    <row r="29">
      <c r="J29">
        <f>IF(INDEX(catTipo,25)&amp;""="Gasto",INDEX(catNom,25)&amp;"","")</f>
        <v/>
      </c>
      <c r="K29">
        <f>IF(J29="","",SUMIFS(rGasto,rCat,J29,rFecha,"&gt;="&amp;pIni,rFecha,"&lt;="&amp;pFin))</f>
        <v/>
      </c>
      <c r="L29">
        <f>IF(J29="","",COUNTIFS(rCat,J29,rMonto,"&gt;0",rFecha,"&gt;="&amp;pIni,rFecha,"&lt;="&amp;pFin))</f>
        <v/>
      </c>
      <c r="M29">
        <f>IF(J29="",-1E+12-25,N(K29)+(101-25)/1E+7)</f>
        <v/>
      </c>
      <c r="T29">
        <f>IFERROR(INDEX(rCom,MATCH(25,rComIdx,0))&amp;"","")</f>
        <v/>
      </c>
      <c r="U29">
        <f>IF(T29="","",SUMIFS(rGasto,rCom,T29,rFecha,"&gt;="&amp;pIni,rFecha,"&lt;="&amp;pFin))</f>
        <v/>
      </c>
      <c r="V29">
        <f>IF(T29="","",COUNTIFS(rCom,T29,rTipo,"Gasto",rFecha,"&gt;="&amp;pIni,rFecha,"&lt;="&amp;pFin))</f>
        <v/>
      </c>
      <c r="W29">
        <f>IF(T29="",-1E+12-25,N(U29)+(201-25)/1E+7)</f>
        <v/>
      </c>
    </row>
    <row r="30">
      <c r="J30">
        <f>IF(INDEX(catTipo,26)&amp;""="Gasto",INDEX(catNom,26)&amp;"","")</f>
        <v/>
      </c>
      <c r="K30">
        <f>IF(J30="","",SUMIFS(rGasto,rCat,J30,rFecha,"&gt;="&amp;pIni,rFecha,"&lt;="&amp;pFin))</f>
        <v/>
      </c>
      <c r="L30">
        <f>IF(J30="","",COUNTIFS(rCat,J30,rMonto,"&gt;0",rFecha,"&gt;="&amp;pIni,rFecha,"&lt;="&amp;pFin))</f>
        <v/>
      </c>
      <c r="M30">
        <f>IF(J30="",-1E+12-26,N(K30)+(101-26)/1E+7)</f>
        <v/>
      </c>
      <c r="T30">
        <f>IFERROR(INDEX(rCom,MATCH(26,rComIdx,0))&amp;"","")</f>
        <v/>
      </c>
      <c r="U30">
        <f>IF(T30="","",SUMIFS(rGasto,rCom,T30,rFecha,"&gt;="&amp;pIni,rFecha,"&lt;="&amp;pFin))</f>
        <v/>
      </c>
      <c r="V30">
        <f>IF(T30="","",COUNTIFS(rCom,T30,rTipo,"Gasto",rFecha,"&gt;="&amp;pIni,rFecha,"&lt;="&amp;pFin))</f>
        <v/>
      </c>
      <c r="W30">
        <f>IF(T30="",-1E+12-26,N(U30)+(201-26)/1E+7)</f>
        <v/>
      </c>
    </row>
    <row r="31">
      <c r="J31">
        <f>IF(INDEX(catTipo,27)&amp;""="Gasto",INDEX(catNom,27)&amp;"","")</f>
        <v/>
      </c>
      <c r="K31">
        <f>IF(J31="","",SUMIFS(rGasto,rCat,J31,rFecha,"&gt;="&amp;pIni,rFecha,"&lt;="&amp;pFin))</f>
        <v/>
      </c>
      <c r="L31">
        <f>IF(J31="","",COUNTIFS(rCat,J31,rMonto,"&gt;0",rFecha,"&gt;="&amp;pIni,rFecha,"&lt;="&amp;pFin))</f>
        <v/>
      </c>
      <c r="M31">
        <f>IF(J31="",-1E+12-27,N(K31)+(101-27)/1E+7)</f>
        <v/>
      </c>
      <c r="T31">
        <f>IFERROR(INDEX(rCom,MATCH(27,rComIdx,0))&amp;"","")</f>
        <v/>
      </c>
      <c r="U31">
        <f>IF(T31="","",SUMIFS(rGasto,rCom,T31,rFecha,"&gt;="&amp;pIni,rFecha,"&lt;="&amp;pFin))</f>
        <v/>
      </c>
      <c r="V31">
        <f>IF(T31="","",COUNTIFS(rCom,T31,rTipo,"Gasto",rFecha,"&gt;="&amp;pIni,rFecha,"&lt;="&amp;pFin))</f>
        <v/>
      </c>
      <c r="W31">
        <f>IF(T31="",-1E+12-27,N(U31)+(201-27)/1E+7)</f>
        <v/>
      </c>
    </row>
    <row r="32">
      <c r="J32">
        <f>IF(INDEX(catTipo,28)&amp;""="Gasto",INDEX(catNom,28)&amp;"","")</f>
        <v/>
      </c>
      <c r="K32">
        <f>IF(J32="","",SUMIFS(rGasto,rCat,J32,rFecha,"&gt;="&amp;pIni,rFecha,"&lt;="&amp;pFin))</f>
        <v/>
      </c>
      <c r="L32">
        <f>IF(J32="","",COUNTIFS(rCat,J32,rMonto,"&gt;0",rFecha,"&gt;="&amp;pIni,rFecha,"&lt;="&amp;pFin))</f>
        <v/>
      </c>
      <c r="M32">
        <f>IF(J32="",-1E+12-28,N(K32)+(101-28)/1E+7)</f>
        <v/>
      </c>
      <c r="T32">
        <f>IFERROR(INDEX(rCom,MATCH(28,rComIdx,0))&amp;"","")</f>
        <v/>
      </c>
      <c r="U32">
        <f>IF(T32="","",SUMIFS(rGasto,rCom,T32,rFecha,"&gt;="&amp;pIni,rFecha,"&lt;="&amp;pFin))</f>
        <v/>
      </c>
      <c r="V32">
        <f>IF(T32="","",COUNTIFS(rCom,T32,rTipo,"Gasto",rFecha,"&gt;="&amp;pIni,rFecha,"&lt;="&amp;pFin))</f>
        <v/>
      </c>
      <c r="W32">
        <f>IF(T32="",-1E+12-28,N(U32)+(201-28)/1E+7)</f>
        <v/>
      </c>
    </row>
    <row r="33">
      <c r="J33">
        <f>IF(INDEX(catTipo,29)&amp;""="Gasto",INDEX(catNom,29)&amp;"","")</f>
        <v/>
      </c>
      <c r="K33">
        <f>IF(J33="","",SUMIFS(rGasto,rCat,J33,rFecha,"&gt;="&amp;pIni,rFecha,"&lt;="&amp;pFin))</f>
        <v/>
      </c>
      <c r="L33">
        <f>IF(J33="","",COUNTIFS(rCat,J33,rMonto,"&gt;0",rFecha,"&gt;="&amp;pIni,rFecha,"&lt;="&amp;pFin))</f>
        <v/>
      </c>
      <c r="M33">
        <f>IF(J33="",-1E+12-29,N(K33)+(101-29)/1E+7)</f>
        <v/>
      </c>
      <c r="T33">
        <f>IFERROR(INDEX(rCom,MATCH(29,rComIdx,0))&amp;"","")</f>
        <v/>
      </c>
      <c r="U33">
        <f>IF(T33="","",SUMIFS(rGasto,rCom,T33,rFecha,"&gt;="&amp;pIni,rFecha,"&lt;="&amp;pFin))</f>
        <v/>
      </c>
      <c r="V33">
        <f>IF(T33="","",COUNTIFS(rCom,T33,rTipo,"Gasto",rFecha,"&gt;="&amp;pIni,rFecha,"&lt;="&amp;pFin))</f>
        <v/>
      </c>
      <c r="W33">
        <f>IF(T33="",-1E+12-29,N(U33)+(201-29)/1E+7)</f>
        <v/>
      </c>
    </row>
    <row r="34">
      <c r="J34">
        <f>IF(INDEX(catTipo,30)&amp;""="Gasto",INDEX(catNom,30)&amp;"","")</f>
        <v/>
      </c>
      <c r="K34">
        <f>IF(J34="","",SUMIFS(rGasto,rCat,J34,rFecha,"&gt;="&amp;pIni,rFecha,"&lt;="&amp;pFin))</f>
        <v/>
      </c>
      <c r="L34">
        <f>IF(J34="","",COUNTIFS(rCat,J34,rMonto,"&gt;0",rFecha,"&gt;="&amp;pIni,rFecha,"&lt;="&amp;pFin))</f>
        <v/>
      </c>
      <c r="M34">
        <f>IF(J34="",-1E+12-30,N(K34)+(101-30)/1E+7)</f>
        <v/>
      </c>
      <c r="T34">
        <f>IFERROR(INDEX(rCom,MATCH(30,rComIdx,0))&amp;"","")</f>
        <v/>
      </c>
      <c r="U34">
        <f>IF(T34="","",SUMIFS(rGasto,rCom,T34,rFecha,"&gt;="&amp;pIni,rFecha,"&lt;="&amp;pFin))</f>
        <v/>
      </c>
      <c r="V34">
        <f>IF(T34="","",COUNTIFS(rCom,T34,rTipo,"Gasto",rFecha,"&gt;="&amp;pIni,rFecha,"&lt;="&amp;pFin))</f>
        <v/>
      </c>
      <c r="W34">
        <f>IF(T34="",-1E+12-30,N(U34)+(201-30)/1E+7)</f>
        <v/>
      </c>
    </row>
    <row r="35">
      <c r="J35">
        <f>IF(INDEX(catTipo,31)&amp;""="Gasto",INDEX(catNom,31)&amp;"","")</f>
        <v/>
      </c>
      <c r="K35">
        <f>IF(J35="","",SUMIFS(rGasto,rCat,J35,rFecha,"&gt;="&amp;pIni,rFecha,"&lt;="&amp;pFin))</f>
        <v/>
      </c>
      <c r="L35">
        <f>IF(J35="","",COUNTIFS(rCat,J35,rMonto,"&gt;0",rFecha,"&gt;="&amp;pIni,rFecha,"&lt;="&amp;pFin))</f>
        <v/>
      </c>
      <c r="M35">
        <f>IF(J35="",-1E+12-31,N(K35)+(101-31)/1E+7)</f>
        <v/>
      </c>
      <c r="T35">
        <f>IFERROR(INDEX(rCom,MATCH(31,rComIdx,0))&amp;"","")</f>
        <v/>
      </c>
      <c r="U35">
        <f>IF(T35="","",SUMIFS(rGasto,rCom,T35,rFecha,"&gt;="&amp;pIni,rFecha,"&lt;="&amp;pFin))</f>
        <v/>
      </c>
      <c r="V35">
        <f>IF(T35="","",COUNTIFS(rCom,T35,rTipo,"Gasto",rFecha,"&gt;="&amp;pIni,rFecha,"&lt;="&amp;pFin))</f>
        <v/>
      </c>
      <c r="W35">
        <f>IF(T35="",-1E+12-31,N(U35)+(201-31)/1E+7)</f>
        <v/>
      </c>
    </row>
    <row r="36">
      <c r="J36">
        <f>IF(INDEX(catTipo,32)&amp;""="Gasto",INDEX(catNom,32)&amp;"","")</f>
        <v/>
      </c>
      <c r="K36">
        <f>IF(J36="","",SUMIFS(rGasto,rCat,J36,rFecha,"&gt;="&amp;pIni,rFecha,"&lt;="&amp;pFin))</f>
        <v/>
      </c>
      <c r="L36">
        <f>IF(J36="","",COUNTIFS(rCat,J36,rMonto,"&gt;0",rFecha,"&gt;="&amp;pIni,rFecha,"&lt;="&amp;pFin))</f>
        <v/>
      </c>
      <c r="M36">
        <f>IF(J36="",-1E+12-32,N(K36)+(101-32)/1E+7)</f>
        <v/>
      </c>
      <c r="T36">
        <f>IFERROR(INDEX(rCom,MATCH(32,rComIdx,0))&amp;"","")</f>
        <v/>
      </c>
      <c r="U36">
        <f>IF(T36="","",SUMIFS(rGasto,rCom,T36,rFecha,"&gt;="&amp;pIni,rFecha,"&lt;="&amp;pFin))</f>
        <v/>
      </c>
      <c r="V36">
        <f>IF(T36="","",COUNTIFS(rCom,T36,rTipo,"Gasto",rFecha,"&gt;="&amp;pIni,rFecha,"&lt;="&amp;pFin))</f>
        <v/>
      </c>
      <c r="W36">
        <f>IF(T36="",-1E+12-32,N(U36)+(201-32)/1E+7)</f>
        <v/>
      </c>
    </row>
    <row r="37">
      <c r="J37">
        <f>IF(INDEX(catTipo,33)&amp;""="Gasto",INDEX(catNom,33)&amp;"","")</f>
        <v/>
      </c>
      <c r="K37">
        <f>IF(J37="","",SUMIFS(rGasto,rCat,J37,rFecha,"&gt;="&amp;pIni,rFecha,"&lt;="&amp;pFin))</f>
        <v/>
      </c>
      <c r="L37">
        <f>IF(J37="","",COUNTIFS(rCat,J37,rMonto,"&gt;0",rFecha,"&gt;="&amp;pIni,rFecha,"&lt;="&amp;pFin))</f>
        <v/>
      </c>
      <c r="M37">
        <f>IF(J37="",-1E+12-33,N(K37)+(101-33)/1E+7)</f>
        <v/>
      </c>
      <c r="T37">
        <f>IFERROR(INDEX(rCom,MATCH(33,rComIdx,0))&amp;"","")</f>
        <v/>
      </c>
      <c r="U37">
        <f>IF(T37="","",SUMIFS(rGasto,rCom,T37,rFecha,"&gt;="&amp;pIni,rFecha,"&lt;="&amp;pFin))</f>
        <v/>
      </c>
      <c r="V37">
        <f>IF(T37="","",COUNTIFS(rCom,T37,rTipo,"Gasto",rFecha,"&gt;="&amp;pIni,rFecha,"&lt;="&amp;pFin))</f>
        <v/>
      </c>
      <c r="W37">
        <f>IF(T37="",-1E+12-33,N(U37)+(201-33)/1E+7)</f>
        <v/>
      </c>
    </row>
    <row r="38">
      <c r="J38">
        <f>IF(INDEX(catTipo,34)&amp;""="Gasto",INDEX(catNom,34)&amp;"","")</f>
        <v/>
      </c>
      <c r="K38">
        <f>IF(J38="","",SUMIFS(rGasto,rCat,J38,rFecha,"&gt;="&amp;pIni,rFecha,"&lt;="&amp;pFin))</f>
        <v/>
      </c>
      <c r="L38">
        <f>IF(J38="","",COUNTIFS(rCat,J38,rMonto,"&gt;0",rFecha,"&gt;="&amp;pIni,rFecha,"&lt;="&amp;pFin))</f>
        <v/>
      </c>
      <c r="M38">
        <f>IF(J38="",-1E+12-34,N(K38)+(101-34)/1E+7)</f>
        <v/>
      </c>
      <c r="T38">
        <f>IFERROR(INDEX(rCom,MATCH(34,rComIdx,0))&amp;"","")</f>
        <v/>
      </c>
      <c r="U38">
        <f>IF(T38="","",SUMIFS(rGasto,rCom,T38,rFecha,"&gt;="&amp;pIni,rFecha,"&lt;="&amp;pFin))</f>
        <v/>
      </c>
      <c r="V38">
        <f>IF(T38="","",COUNTIFS(rCom,T38,rTipo,"Gasto",rFecha,"&gt;="&amp;pIni,rFecha,"&lt;="&amp;pFin))</f>
        <v/>
      </c>
      <c r="W38">
        <f>IF(T38="",-1E+12-34,N(U38)+(201-34)/1E+7)</f>
        <v/>
      </c>
    </row>
    <row r="39">
      <c r="J39">
        <f>IF(INDEX(catTipo,35)&amp;""="Gasto",INDEX(catNom,35)&amp;"","")</f>
        <v/>
      </c>
      <c r="K39">
        <f>IF(J39="","",SUMIFS(rGasto,rCat,J39,rFecha,"&gt;="&amp;pIni,rFecha,"&lt;="&amp;pFin))</f>
        <v/>
      </c>
      <c r="L39">
        <f>IF(J39="","",COUNTIFS(rCat,J39,rMonto,"&gt;0",rFecha,"&gt;="&amp;pIni,rFecha,"&lt;="&amp;pFin))</f>
        <v/>
      </c>
      <c r="M39">
        <f>IF(J39="",-1E+12-35,N(K39)+(101-35)/1E+7)</f>
        <v/>
      </c>
      <c r="T39">
        <f>IFERROR(INDEX(rCom,MATCH(35,rComIdx,0))&amp;"","")</f>
        <v/>
      </c>
      <c r="U39">
        <f>IF(T39="","",SUMIFS(rGasto,rCom,T39,rFecha,"&gt;="&amp;pIni,rFecha,"&lt;="&amp;pFin))</f>
        <v/>
      </c>
      <c r="V39">
        <f>IF(T39="","",COUNTIFS(rCom,T39,rTipo,"Gasto",rFecha,"&gt;="&amp;pIni,rFecha,"&lt;="&amp;pFin))</f>
        <v/>
      </c>
      <c r="W39">
        <f>IF(T39="",-1E+12-35,N(U39)+(201-35)/1E+7)</f>
        <v/>
      </c>
    </row>
    <row r="40">
      <c r="J40">
        <f>IF(INDEX(catTipo,36)&amp;""="Gasto",INDEX(catNom,36)&amp;"","")</f>
        <v/>
      </c>
      <c r="K40">
        <f>IF(J40="","",SUMIFS(rGasto,rCat,J40,rFecha,"&gt;="&amp;pIni,rFecha,"&lt;="&amp;pFin))</f>
        <v/>
      </c>
      <c r="L40">
        <f>IF(J40="","",COUNTIFS(rCat,J40,rMonto,"&gt;0",rFecha,"&gt;="&amp;pIni,rFecha,"&lt;="&amp;pFin))</f>
        <v/>
      </c>
      <c r="M40">
        <f>IF(J40="",-1E+12-36,N(K40)+(101-36)/1E+7)</f>
        <v/>
      </c>
      <c r="T40">
        <f>IFERROR(INDEX(rCom,MATCH(36,rComIdx,0))&amp;"","")</f>
        <v/>
      </c>
      <c r="U40">
        <f>IF(T40="","",SUMIFS(rGasto,rCom,T40,rFecha,"&gt;="&amp;pIni,rFecha,"&lt;="&amp;pFin))</f>
        <v/>
      </c>
      <c r="V40">
        <f>IF(T40="","",COUNTIFS(rCom,T40,rTipo,"Gasto",rFecha,"&gt;="&amp;pIni,rFecha,"&lt;="&amp;pFin))</f>
        <v/>
      </c>
      <c r="W40">
        <f>IF(T40="",-1E+12-36,N(U40)+(201-36)/1E+7)</f>
        <v/>
      </c>
    </row>
    <row r="41">
      <c r="J41">
        <f>IF(INDEX(catTipo,37)&amp;""="Gasto",INDEX(catNom,37)&amp;"","")</f>
        <v/>
      </c>
      <c r="K41">
        <f>IF(J41="","",SUMIFS(rGasto,rCat,J41,rFecha,"&gt;="&amp;pIni,rFecha,"&lt;="&amp;pFin))</f>
        <v/>
      </c>
      <c r="L41">
        <f>IF(J41="","",COUNTIFS(rCat,J41,rMonto,"&gt;0",rFecha,"&gt;="&amp;pIni,rFecha,"&lt;="&amp;pFin))</f>
        <v/>
      </c>
      <c r="M41">
        <f>IF(J41="",-1E+12-37,N(K41)+(101-37)/1E+7)</f>
        <v/>
      </c>
      <c r="T41">
        <f>IFERROR(INDEX(rCom,MATCH(37,rComIdx,0))&amp;"","")</f>
        <v/>
      </c>
      <c r="U41">
        <f>IF(T41="","",SUMIFS(rGasto,rCom,T41,rFecha,"&gt;="&amp;pIni,rFecha,"&lt;="&amp;pFin))</f>
        <v/>
      </c>
      <c r="V41">
        <f>IF(T41="","",COUNTIFS(rCom,T41,rTipo,"Gasto",rFecha,"&gt;="&amp;pIni,rFecha,"&lt;="&amp;pFin))</f>
        <v/>
      </c>
      <c r="W41">
        <f>IF(T41="",-1E+12-37,N(U41)+(201-37)/1E+7)</f>
        <v/>
      </c>
    </row>
    <row r="42">
      <c r="J42">
        <f>IF(INDEX(catTipo,38)&amp;""="Gasto",INDEX(catNom,38)&amp;"","")</f>
        <v/>
      </c>
      <c r="K42">
        <f>IF(J42="","",SUMIFS(rGasto,rCat,J42,rFecha,"&gt;="&amp;pIni,rFecha,"&lt;="&amp;pFin))</f>
        <v/>
      </c>
      <c r="L42">
        <f>IF(J42="","",COUNTIFS(rCat,J42,rMonto,"&gt;0",rFecha,"&gt;="&amp;pIni,rFecha,"&lt;="&amp;pFin))</f>
        <v/>
      </c>
      <c r="M42">
        <f>IF(J42="",-1E+12-38,N(K42)+(101-38)/1E+7)</f>
        <v/>
      </c>
      <c r="T42">
        <f>IFERROR(INDEX(rCom,MATCH(38,rComIdx,0))&amp;"","")</f>
        <v/>
      </c>
      <c r="U42">
        <f>IF(T42="","",SUMIFS(rGasto,rCom,T42,rFecha,"&gt;="&amp;pIni,rFecha,"&lt;="&amp;pFin))</f>
        <v/>
      </c>
      <c r="V42">
        <f>IF(T42="","",COUNTIFS(rCom,T42,rTipo,"Gasto",rFecha,"&gt;="&amp;pIni,rFecha,"&lt;="&amp;pFin))</f>
        <v/>
      </c>
      <c r="W42">
        <f>IF(T42="",-1E+12-38,N(U42)+(201-38)/1E+7)</f>
        <v/>
      </c>
    </row>
    <row r="43">
      <c r="J43">
        <f>IF(INDEX(catTipo,39)&amp;""="Gasto",INDEX(catNom,39)&amp;"","")</f>
        <v/>
      </c>
      <c r="K43">
        <f>IF(J43="","",SUMIFS(rGasto,rCat,J43,rFecha,"&gt;="&amp;pIni,rFecha,"&lt;="&amp;pFin))</f>
        <v/>
      </c>
      <c r="L43">
        <f>IF(J43="","",COUNTIFS(rCat,J43,rMonto,"&gt;0",rFecha,"&gt;="&amp;pIni,rFecha,"&lt;="&amp;pFin))</f>
        <v/>
      </c>
      <c r="M43">
        <f>IF(J43="",-1E+12-39,N(K43)+(101-39)/1E+7)</f>
        <v/>
      </c>
      <c r="T43">
        <f>IFERROR(INDEX(rCom,MATCH(39,rComIdx,0))&amp;"","")</f>
        <v/>
      </c>
      <c r="U43">
        <f>IF(T43="","",SUMIFS(rGasto,rCom,T43,rFecha,"&gt;="&amp;pIni,rFecha,"&lt;="&amp;pFin))</f>
        <v/>
      </c>
      <c r="V43">
        <f>IF(T43="","",COUNTIFS(rCom,T43,rTipo,"Gasto",rFecha,"&gt;="&amp;pIni,rFecha,"&lt;="&amp;pFin))</f>
        <v/>
      </c>
      <c r="W43">
        <f>IF(T43="",-1E+12-39,N(U43)+(201-39)/1E+7)</f>
        <v/>
      </c>
    </row>
    <row r="44">
      <c r="J44">
        <f>IF(INDEX(catTipo,40)&amp;""="Gasto",INDEX(catNom,40)&amp;"","")</f>
        <v/>
      </c>
      <c r="K44">
        <f>IF(J44="","",SUMIFS(rGasto,rCat,J44,rFecha,"&gt;="&amp;pIni,rFecha,"&lt;="&amp;pFin))</f>
        <v/>
      </c>
      <c r="L44">
        <f>IF(J44="","",COUNTIFS(rCat,J44,rMonto,"&gt;0",rFecha,"&gt;="&amp;pIni,rFecha,"&lt;="&amp;pFin))</f>
        <v/>
      </c>
      <c r="M44">
        <f>IF(J44="",-1E+12-40,N(K44)+(101-40)/1E+7)</f>
        <v/>
      </c>
      <c r="T44">
        <f>IFERROR(INDEX(rCom,MATCH(40,rComIdx,0))&amp;"","")</f>
        <v/>
      </c>
      <c r="U44">
        <f>IF(T44="","",SUMIFS(rGasto,rCom,T44,rFecha,"&gt;="&amp;pIni,rFecha,"&lt;="&amp;pFin))</f>
        <v/>
      </c>
      <c r="V44">
        <f>IF(T44="","",COUNTIFS(rCom,T44,rTipo,"Gasto",rFecha,"&gt;="&amp;pIni,rFecha,"&lt;="&amp;pFin))</f>
        <v/>
      </c>
      <c r="W44">
        <f>IF(T44="",-1E+12-40,N(U44)+(201-40)/1E+7)</f>
        <v/>
      </c>
    </row>
    <row r="45">
      <c r="J45">
        <f>IF(INDEX(catTipo,41)&amp;""="Gasto",INDEX(catNom,41)&amp;"","")</f>
        <v/>
      </c>
      <c r="K45">
        <f>IF(J45="","",SUMIFS(rGasto,rCat,J45,rFecha,"&gt;="&amp;pIni,rFecha,"&lt;="&amp;pFin))</f>
        <v/>
      </c>
      <c r="L45">
        <f>IF(J45="","",COUNTIFS(rCat,J45,rMonto,"&gt;0",rFecha,"&gt;="&amp;pIni,rFecha,"&lt;="&amp;pFin))</f>
        <v/>
      </c>
      <c r="M45">
        <f>IF(J45="",-1E+12-41,N(K45)+(101-41)/1E+7)</f>
        <v/>
      </c>
      <c r="T45">
        <f>IFERROR(INDEX(rCom,MATCH(41,rComIdx,0))&amp;"","")</f>
        <v/>
      </c>
      <c r="U45">
        <f>IF(T45="","",SUMIFS(rGasto,rCom,T45,rFecha,"&gt;="&amp;pIni,rFecha,"&lt;="&amp;pFin))</f>
        <v/>
      </c>
      <c r="V45">
        <f>IF(T45="","",COUNTIFS(rCom,T45,rTipo,"Gasto",rFecha,"&gt;="&amp;pIni,rFecha,"&lt;="&amp;pFin))</f>
        <v/>
      </c>
      <c r="W45">
        <f>IF(T45="",-1E+12-41,N(U45)+(201-41)/1E+7)</f>
        <v/>
      </c>
    </row>
    <row r="46">
      <c r="J46">
        <f>IF(INDEX(catTipo,42)&amp;""="Gasto",INDEX(catNom,42)&amp;"","")</f>
        <v/>
      </c>
      <c r="K46">
        <f>IF(J46="","",SUMIFS(rGasto,rCat,J46,rFecha,"&gt;="&amp;pIni,rFecha,"&lt;="&amp;pFin))</f>
        <v/>
      </c>
      <c r="L46">
        <f>IF(J46="","",COUNTIFS(rCat,J46,rMonto,"&gt;0",rFecha,"&gt;="&amp;pIni,rFecha,"&lt;="&amp;pFin))</f>
        <v/>
      </c>
      <c r="M46">
        <f>IF(J46="",-1E+12-42,N(K46)+(101-42)/1E+7)</f>
        <v/>
      </c>
      <c r="T46">
        <f>IFERROR(INDEX(rCom,MATCH(42,rComIdx,0))&amp;"","")</f>
        <v/>
      </c>
      <c r="U46">
        <f>IF(T46="","",SUMIFS(rGasto,rCom,T46,rFecha,"&gt;="&amp;pIni,rFecha,"&lt;="&amp;pFin))</f>
        <v/>
      </c>
      <c r="V46">
        <f>IF(T46="","",COUNTIFS(rCom,T46,rTipo,"Gasto",rFecha,"&gt;="&amp;pIni,rFecha,"&lt;="&amp;pFin))</f>
        <v/>
      </c>
      <c r="W46">
        <f>IF(T46="",-1E+12-42,N(U46)+(201-42)/1E+7)</f>
        <v/>
      </c>
    </row>
    <row r="47">
      <c r="J47">
        <f>IF(INDEX(catTipo,43)&amp;""="Gasto",INDEX(catNom,43)&amp;"","")</f>
        <v/>
      </c>
      <c r="K47">
        <f>IF(J47="","",SUMIFS(rGasto,rCat,J47,rFecha,"&gt;="&amp;pIni,rFecha,"&lt;="&amp;pFin))</f>
        <v/>
      </c>
      <c r="L47">
        <f>IF(J47="","",COUNTIFS(rCat,J47,rMonto,"&gt;0",rFecha,"&gt;="&amp;pIni,rFecha,"&lt;="&amp;pFin))</f>
        <v/>
      </c>
      <c r="M47">
        <f>IF(J47="",-1E+12-43,N(K47)+(101-43)/1E+7)</f>
        <v/>
      </c>
      <c r="T47">
        <f>IFERROR(INDEX(rCom,MATCH(43,rComIdx,0))&amp;"","")</f>
        <v/>
      </c>
      <c r="U47">
        <f>IF(T47="","",SUMIFS(rGasto,rCom,T47,rFecha,"&gt;="&amp;pIni,rFecha,"&lt;="&amp;pFin))</f>
        <v/>
      </c>
      <c r="V47">
        <f>IF(T47="","",COUNTIFS(rCom,T47,rTipo,"Gasto",rFecha,"&gt;="&amp;pIni,rFecha,"&lt;="&amp;pFin))</f>
        <v/>
      </c>
      <c r="W47">
        <f>IF(T47="",-1E+12-43,N(U47)+(201-43)/1E+7)</f>
        <v/>
      </c>
    </row>
    <row r="48">
      <c r="J48">
        <f>IF(INDEX(catTipo,44)&amp;""="Gasto",INDEX(catNom,44)&amp;"","")</f>
        <v/>
      </c>
      <c r="K48">
        <f>IF(J48="","",SUMIFS(rGasto,rCat,J48,rFecha,"&gt;="&amp;pIni,rFecha,"&lt;="&amp;pFin))</f>
        <v/>
      </c>
      <c r="L48">
        <f>IF(J48="","",COUNTIFS(rCat,J48,rMonto,"&gt;0",rFecha,"&gt;="&amp;pIni,rFecha,"&lt;="&amp;pFin))</f>
        <v/>
      </c>
      <c r="M48">
        <f>IF(J48="",-1E+12-44,N(K48)+(101-44)/1E+7)</f>
        <v/>
      </c>
      <c r="T48">
        <f>IFERROR(INDEX(rCom,MATCH(44,rComIdx,0))&amp;"","")</f>
        <v/>
      </c>
      <c r="U48">
        <f>IF(T48="","",SUMIFS(rGasto,rCom,T48,rFecha,"&gt;="&amp;pIni,rFecha,"&lt;="&amp;pFin))</f>
        <v/>
      </c>
      <c r="V48">
        <f>IF(T48="","",COUNTIFS(rCom,T48,rTipo,"Gasto",rFecha,"&gt;="&amp;pIni,rFecha,"&lt;="&amp;pFin))</f>
        <v/>
      </c>
      <c r="W48">
        <f>IF(T48="",-1E+12-44,N(U48)+(201-44)/1E+7)</f>
        <v/>
      </c>
    </row>
    <row r="49">
      <c r="J49">
        <f>IF(INDEX(catTipo,45)&amp;""="Gasto",INDEX(catNom,45)&amp;"","")</f>
        <v/>
      </c>
      <c r="K49">
        <f>IF(J49="","",SUMIFS(rGasto,rCat,J49,rFecha,"&gt;="&amp;pIni,rFecha,"&lt;="&amp;pFin))</f>
        <v/>
      </c>
      <c r="L49">
        <f>IF(J49="","",COUNTIFS(rCat,J49,rMonto,"&gt;0",rFecha,"&gt;="&amp;pIni,rFecha,"&lt;="&amp;pFin))</f>
        <v/>
      </c>
      <c r="M49">
        <f>IF(J49="",-1E+12-45,N(K49)+(101-45)/1E+7)</f>
        <v/>
      </c>
      <c r="T49">
        <f>IFERROR(INDEX(rCom,MATCH(45,rComIdx,0))&amp;"","")</f>
        <v/>
      </c>
      <c r="U49">
        <f>IF(T49="","",SUMIFS(rGasto,rCom,T49,rFecha,"&gt;="&amp;pIni,rFecha,"&lt;="&amp;pFin))</f>
        <v/>
      </c>
      <c r="V49">
        <f>IF(T49="","",COUNTIFS(rCom,T49,rTipo,"Gasto",rFecha,"&gt;="&amp;pIni,rFecha,"&lt;="&amp;pFin))</f>
        <v/>
      </c>
      <c r="W49">
        <f>IF(T49="",-1E+12-45,N(U49)+(201-45)/1E+7)</f>
        <v/>
      </c>
    </row>
    <row r="50">
      <c r="J50">
        <f>IF(INDEX(catTipo,46)&amp;""="Gasto",INDEX(catNom,46)&amp;"","")</f>
        <v/>
      </c>
      <c r="K50">
        <f>IF(J50="","",SUMIFS(rGasto,rCat,J50,rFecha,"&gt;="&amp;pIni,rFecha,"&lt;="&amp;pFin))</f>
        <v/>
      </c>
      <c r="L50">
        <f>IF(J50="","",COUNTIFS(rCat,J50,rMonto,"&gt;0",rFecha,"&gt;="&amp;pIni,rFecha,"&lt;="&amp;pFin))</f>
        <v/>
      </c>
      <c r="M50">
        <f>IF(J50="",-1E+12-46,N(K50)+(101-46)/1E+7)</f>
        <v/>
      </c>
      <c r="T50">
        <f>IFERROR(INDEX(rCom,MATCH(46,rComIdx,0))&amp;"","")</f>
        <v/>
      </c>
      <c r="U50">
        <f>IF(T50="","",SUMIFS(rGasto,rCom,T50,rFecha,"&gt;="&amp;pIni,rFecha,"&lt;="&amp;pFin))</f>
        <v/>
      </c>
      <c r="V50">
        <f>IF(T50="","",COUNTIFS(rCom,T50,rTipo,"Gasto",rFecha,"&gt;="&amp;pIni,rFecha,"&lt;="&amp;pFin))</f>
        <v/>
      </c>
      <c r="W50">
        <f>IF(T50="",-1E+12-46,N(U50)+(201-46)/1E+7)</f>
        <v/>
      </c>
    </row>
    <row r="51">
      <c r="J51">
        <f>IF(INDEX(catTipo,47)&amp;""="Gasto",INDEX(catNom,47)&amp;"","")</f>
        <v/>
      </c>
      <c r="K51">
        <f>IF(J51="","",SUMIFS(rGasto,rCat,J51,rFecha,"&gt;="&amp;pIni,rFecha,"&lt;="&amp;pFin))</f>
        <v/>
      </c>
      <c r="L51">
        <f>IF(J51="","",COUNTIFS(rCat,J51,rMonto,"&gt;0",rFecha,"&gt;="&amp;pIni,rFecha,"&lt;="&amp;pFin))</f>
        <v/>
      </c>
      <c r="M51">
        <f>IF(J51="",-1E+12-47,N(K51)+(101-47)/1E+7)</f>
        <v/>
      </c>
      <c r="T51">
        <f>IFERROR(INDEX(rCom,MATCH(47,rComIdx,0))&amp;"","")</f>
        <v/>
      </c>
      <c r="U51">
        <f>IF(T51="","",SUMIFS(rGasto,rCom,T51,rFecha,"&gt;="&amp;pIni,rFecha,"&lt;="&amp;pFin))</f>
        <v/>
      </c>
      <c r="V51">
        <f>IF(T51="","",COUNTIFS(rCom,T51,rTipo,"Gasto",rFecha,"&gt;="&amp;pIni,rFecha,"&lt;="&amp;pFin))</f>
        <v/>
      </c>
      <c r="W51">
        <f>IF(T51="",-1E+12-47,N(U51)+(201-47)/1E+7)</f>
        <v/>
      </c>
    </row>
    <row r="52">
      <c r="J52">
        <f>IF(INDEX(catTipo,48)&amp;""="Gasto",INDEX(catNom,48)&amp;"","")</f>
        <v/>
      </c>
      <c r="K52">
        <f>IF(J52="","",SUMIFS(rGasto,rCat,J52,rFecha,"&gt;="&amp;pIni,rFecha,"&lt;="&amp;pFin))</f>
        <v/>
      </c>
      <c r="L52">
        <f>IF(J52="","",COUNTIFS(rCat,J52,rMonto,"&gt;0",rFecha,"&gt;="&amp;pIni,rFecha,"&lt;="&amp;pFin))</f>
        <v/>
      </c>
      <c r="M52">
        <f>IF(J52="",-1E+12-48,N(K52)+(101-48)/1E+7)</f>
        <v/>
      </c>
      <c r="T52">
        <f>IFERROR(INDEX(rCom,MATCH(48,rComIdx,0))&amp;"","")</f>
        <v/>
      </c>
      <c r="U52">
        <f>IF(T52="","",SUMIFS(rGasto,rCom,T52,rFecha,"&gt;="&amp;pIni,rFecha,"&lt;="&amp;pFin))</f>
        <v/>
      </c>
      <c r="V52">
        <f>IF(T52="","",COUNTIFS(rCom,T52,rTipo,"Gasto",rFecha,"&gt;="&amp;pIni,rFecha,"&lt;="&amp;pFin))</f>
        <v/>
      </c>
      <c r="W52">
        <f>IF(T52="",-1E+12-48,N(U52)+(201-48)/1E+7)</f>
        <v/>
      </c>
    </row>
    <row r="53">
      <c r="J53">
        <f>IF(INDEX(catTipo,49)&amp;""="Gasto",INDEX(catNom,49)&amp;"","")</f>
        <v/>
      </c>
      <c r="K53">
        <f>IF(J53="","",SUMIFS(rGasto,rCat,J53,rFecha,"&gt;="&amp;pIni,rFecha,"&lt;="&amp;pFin))</f>
        <v/>
      </c>
      <c r="L53">
        <f>IF(J53="","",COUNTIFS(rCat,J53,rMonto,"&gt;0",rFecha,"&gt;="&amp;pIni,rFecha,"&lt;="&amp;pFin))</f>
        <v/>
      </c>
      <c r="M53">
        <f>IF(J53="",-1E+12-49,N(K53)+(101-49)/1E+7)</f>
        <v/>
      </c>
      <c r="T53">
        <f>IFERROR(INDEX(rCom,MATCH(49,rComIdx,0))&amp;"","")</f>
        <v/>
      </c>
      <c r="U53">
        <f>IF(T53="","",SUMIFS(rGasto,rCom,T53,rFecha,"&gt;="&amp;pIni,rFecha,"&lt;="&amp;pFin))</f>
        <v/>
      </c>
      <c r="V53">
        <f>IF(T53="","",COUNTIFS(rCom,T53,rTipo,"Gasto",rFecha,"&gt;="&amp;pIni,rFecha,"&lt;="&amp;pFin))</f>
        <v/>
      </c>
      <c r="W53">
        <f>IF(T53="",-1E+12-49,N(U53)+(201-49)/1E+7)</f>
        <v/>
      </c>
    </row>
    <row r="54">
      <c r="J54">
        <f>IF(INDEX(catTipo,50)&amp;""="Gasto",INDEX(catNom,50)&amp;"","")</f>
        <v/>
      </c>
      <c r="K54">
        <f>IF(J54="","",SUMIFS(rGasto,rCat,J54,rFecha,"&gt;="&amp;pIni,rFecha,"&lt;="&amp;pFin))</f>
        <v/>
      </c>
      <c r="L54">
        <f>IF(J54="","",COUNTIFS(rCat,J54,rMonto,"&gt;0",rFecha,"&gt;="&amp;pIni,rFecha,"&lt;="&amp;pFin))</f>
        <v/>
      </c>
      <c r="M54">
        <f>IF(J54="",-1E+12-50,N(K54)+(101-50)/1E+7)</f>
        <v/>
      </c>
      <c r="T54">
        <f>IFERROR(INDEX(rCom,MATCH(50,rComIdx,0))&amp;"","")</f>
        <v/>
      </c>
      <c r="U54">
        <f>IF(T54="","",SUMIFS(rGasto,rCom,T54,rFecha,"&gt;="&amp;pIni,rFecha,"&lt;="&amp;pFin))</f>
        <v/>
      </c>
      <c r="V54">
        <f>IF(T54="","",COUNTIFS(rCom,T54,rTipo,"Gasto",rFecha,"&gt;="&amp;pIni,rFecha,"&lt;="&amp;pFin))</f>
        <v/>
      </c>
      <c r="W54">
        <f>IF(T54="",-1E+12-50,N(U54)+(201-50)/1E+7)</f>
        <v/>
      </c>
    </row>
    <row r="55">
      <c r="J55">
        <f>IF(INDEX(catTipo,51)&amp;""="Gasto",INDEX(catNom,51)&amp;"","")</f>
        <v/>
      </c>
      <c r="K55">
        <f>IF(J55="","",SUMIFS(rGasto,rCat,J55,rFecha,"&gt;="&amp;pIni,rFecha,"&lt;="&amp;pFin))</f>
        <v/>
      </c>
      <c r="L55">
        <f>IF(J55="","",COUNTIFS(rCat,J55,rMonto,"&gt;0",rFecha,"&gt;="&amp;pIni,rFecha,"&lt;="&amp;pFin))</f>
        <v/>
      </c>
      <c r="M55">
        <f>IF(J55="",-1E+12-51,N(K55)+(101-51)/1E+7)</f>
        <v/>
      </c>
      <c r="T55">
        <f>IFERROR(INDEX(rCom,MATCH(51,rComIdx,0))&amp;"","")</f>
        <v/>
      </c>
      <c r="U55">
        <f>IF(T55="","",SUMIFS(rGasto,rCom,T55,rFecha,"&gt;="&amp;pIni,rFecha,"&lt;="&amp;pFin))</f>
        <v/>
      </c>
      <c r="V55">
        <f>IF(T55="","",COUNTIFS(rCom,T55,rTipo,"Gasto",rFecha,"&gt;="&amp;pIni,rFecha,"&lt;="&amp;pFin))</f>
        <v/>
      </c>
      <c r="W55">
        <f>IF(T55="",-1E+12-51,N(U55)+(201-51)/1E+7)</f>
        <v/>
      </c>
    </row>
    <row r="56">
      <c r="J56">
        <f>IF(INDEX(catTipo,52)&amp;""="Gasto",INDEX(catNom,52)&amp;"","")</f>
        <v/>
      </c>
      <c r="K56">
        <f>IF(J56="","",SUMIFS(rGasto,rCat,J56,rFecha,"&gt;="&amp;pIni,rFecha,"&lt;="&amp;pFin))</f>
        <v/>
      </c>
      <c r="L56">
        <f>IF(J56="","",COUNTIFS(rCat,J56,rMonto,"&gt;0",rFecha,"&gt;="&amp;pIni,rFecha,"&lt;="&amp;pFin))</f>
        <v/>
      </c>
      <c r="M56">
        <f>IF(J56="",-1E+12-52,N(K56)+(101-52)/1E+7)</f>
        <v/>
      </c>
      <c r="T56">
        <f>IFERROR(INDEX(rCom,MATCH(52,rComIdx,0))&amp;"","")</f>
        <v/>
      </c>
      <c r="U56">
        <f>IF(T56="","",SUMIFS(rGasto,rCom,T56,rFecha,"&gt;="&amp;pIni,rFecha,"&lt;="&amp;pFin))</f>
        <v/>
      </c>
      <c r="V56">
        <f>IF(T56="","",COUNTIFS(rCom,T56,rTipo,"Gasto",rFecha,"&gt;="&amp;pIni,rFecha,"&lt;="&amp;pFin))</f>
        <v/>
      </c>
      <c r="W56">
        <f>IF(T56="",-1E+12-52,N(U56)+(201-52)/1E+7)</f>
        <v/>
      </c>
    </row>
    <row r="57">
      <c r="J57">
        <f>IF(INDEX(catTipo,53)&amp;""="Gasto",INDEX(catNom,53)&amp;"","")</f>
        <v/>
      </c>
      <c r="K57">
        <f>IF(J57="","",SUMIFS(rGasto,rCat,J57,rFecha,"&gt;="&amp;pIni,rFecha,"&lt;="&amp;pFin))</f>
        <v/>
      </c>
      <c r="L57">
        <f>IF(J57="","",COUNTIFS(rCat,J57,rMonto,"&gt;0",rFecha,"&gt;="&amp;pIni,rFecha,"&lt;="&amp;pFin))</f>
        <v/>
      </c>
      <c r="M57">
        <f>IF(J57="",-1E+12-53,N(K57)+(101-53)/1E+7)</f>
        <v/>
      </c>
      <c r="T57">
        <f>IFERROR(INDEX(rCom,MATCH(53,rComIdx,0))&amp;"","")</f>
        <v/>
      </c>
      <c r="U57">
        <f>IF(T57="","",SUMIFS(rGasto,rCom,T57,rFecha,"&gt;="&amp;pIni,rFecha,"&lt;="&amp;pFin))</f>
        <v/>
      </c>
      <c r="V57">
        <f>IF(T57="","",COUNTIFS(rCom,T57,rTipo,"Gasto",rFecha,"&gt;="&amp;pIni,rFecha,"&lt;="&amp;pFin))</f>
        <v/>
      </c>
      <c r="W57">
        <f>IF(T57="",-1E+12-53,N(U57)+(201-53)/1E+7)</f>
        <v/>
      </c>
    </row>
    <row r="58">
      <c r="J58">
        <f>IF(INDEX(catTipo,54)&amp;""="Gasto",INDEX(catNom,54)&amp;"","")</f>
        <v/>
      </c>
      <c r="K58">
        <f>IF(J58="","",SUMIFS(rGasto,rCat,J58,rFecha,"&gt;="&amp;pIni,rFecha,"&lt;="&amp;pFin))</f>
        <v/>
      </c>
      <c r="L58">
        <f>IF(J58="","",COUNTIFS(rCat,J58,rMonto,"&gt;0",rFecha,"&gt;="&amp;pIni,rFecha,"&lt;="&amp;pFin))</f>
        <v/>
      </c>
      <c r="M58">
        <f>IF(J58="",-1E+12-54,N(K58)+(101-54)/1E+7)</f>
        <v/>
      </c>
      <c r="T58">
        <f>IFERROR(INDEX(rCom,MATCH(54,rComIdx,0))&amp;"","")</f>
        <v/>
      </c>
      <c r="U58">
        <f>IF(T58="","",SUMIFS(rGasto,rCom,T58,rFecha,"&gt;="&amp;pIni,rFecha,"&lt;="&amp;pFin))</f>
        <v/>
      </c>
      <c r="V58">
        <f>IF(T58="","",COUNTIFS(rCom,T58,rTipo,"Gasto",rFecha,"&gt;="&amp;pIni,rFecha,"&lt;="&amp;pFin))</f>
        <v/>
      </c>
      <c r="W58">
        <f>IF(T58="",-1E+12-54,N(U58)+(201-54)/1E+7)</f>
        <v/>
      </c>
    </row>
    <row r="59">
      <c r="J59">
        <f>IF(INDEX(catTipo,55)&amp;""="Gasto",INDEX(catNom,55)&amp;"","")</f>
        <v/>
      </c>
      <c r="K59">
        <f>IF(J59="","",SUMIFS(rGasto,rCat,J59,rFecha,"&gt;="&amp;pIni,rFecha,"&lt;="&amp;pFin))</f>
        <v/>
      </c>
      <c r="L59">
        <f>IF(J59="","",COUNTIFS(rCat,J59,rMonto,"&gt;0",rFecha,"&gt;="&amp;pIni,rFecha,"&lt;="&amp;pFin))</f>
        <v/>
      </c>
      <c r="M59">
        <f>IF(J59="",-1E+12-55,N(K59)+(101-55)/1E+7)</f>
        <v/>
      </c>
      <c r="T59">
        <f>IFERROR(INDEX(rCom,MATCH(55,rComIdx,0))&amp;"","")</f>
        <v/>
      </c>
      <c r="U59">
        <f>IF(T59="","",SUMIFS(rGasto,rCom,T59,rFecha,"&gt;="&amp;pIni,rFecha,"&lt;="&amp;pFin))</f>
        <v/>
      </c>
      <c r="V59">
        <f>IF(T59="","",COUNTIFS(rCom,T59,rTipo,"Gasto",rFecha,"&gt;="&amp;pIni,rFecha,"&lt;="&amp;pFin))</f>
        <v/>
      </c>
      <c r="W59">
        <f>IF(T59="",-1E+12-55,N(U59)+(201-55)/1E+7)</f>
        <v/>
      </c>
    </row>
    <row r="60">
      <c r="J60">
        <f>IF(INDEX(catTipo,56)&amp;""="Gasto",INDEX(catNom,56)&amp;"","")</f>
        <v/>
      </c>
      <c r="K60">
        <f>IF(J60="","",SUMIFS(rGasto,rCat,J60,rFecha,"&gt;="&amp;pIni,rFecha,"&lt;="&amp;pFin))</f>
        <v/>
      </c>
      <c r="L60">
        <f>IF(J60="","",COUNTIFS(rCat,J60,rMonto,"&gt;0",rFecha,"&gt;="&amp;pIni,rFecha,"&lt;="&amp;pFin))</f>
        <v/>
      </c>
      <c r="M60">
        <f>IF(J60="",-1E+12-56,N(K60)+(101-56)/1E+7)</f>
        <v/>
      </c>
      <c r="T60">
        <f>IFERROR(INDEX(rCom,MATCH(56,rComIdx,0))&amp;"","")</f>
        <v/>
      </c>
      <c r="U60">
        <f>IF(T60="","",SUMIFS(rGasto,rCom,T60,rFecha,"&gt;="&amp;pIni,rFecha,"&lt;="&amp;pFin))</f>
        <v/>
      </c>
      <c r="V60">
        <f>IF(T60="","",COUNTIFS(rCom,T60,rTipo,"Gasto",rFecha,"&gt;="&amp;pIni,rFecha,"&lt;="&amp;pFin))</f>
        <v/>
      </c>
      <c r="W60">
        <f>IF(T60="",-1E+12-56,N(U60)+(201-56)/1E+7)</f>
        <v/>
      </c>
    </row>
    <row r="61">
      <c r="J61">
        <f>IF(INDEX(catTipo,57)&amp;""="Gasto",INDEX(catNom,57)&amp;"","")</f>
        <v/>
      </c>
      <c r="K61">
        <f>IF(J61="","",SUMIFS(rGasto,rCat,J61,rFecha,"&gt;="&amp;pIni,rFecha,"&lt;="&amp;pFin))</f>
        <v/>
      </c>
      <c r="L61">
        <f>IF(J61="","",COUNTIFS(rCat,J61,rMonto,"&gt;0",rFecha,"&gt;="&amp;pIni,rFecha,"&lt;="&amp;pFin))</f>
        <v/>
      </c>
      <c r="M61">
        <f>IF(J61="",-1E+12-57,N(K61)+(101-57)/1E+7)</f>
        <v/>
      </c>
      <c r="T61">
        <f>IFERROR(INDEX(rCom,MATCH(57,rComIdx,0))&amp;"","")</f>
        <v/>
      </c>
      <c r="U61">
        <f>IF(T61="","",SUMIFS(rGasto,rCom,T61,rFecha,"&gt;="&amp;pIni,rFecha,"&lt;="&amp;pFin))</f>
        <v/>
      </c>
      <c r="V61">
        <f>IF(T61="","",COUNTIFS(rCom,T61,rTipo,"Gasto",rFecha,"&gt;="&amp;pIni,rFecha,"&lt;="&amp;pFin))</f>
        <v/>
      </c>
      <c r="W61">
        <f>IF(T61="",-1E+12-57,N(U61)+(201-57)/1E+7)</f>
        <v/>
      </c>
    </row>
    <row r="62">
      <c r="J62">
        <f>IF(INDEX(catTipo,58)&amp;""="Gasto",INDEX(catNom,58)&amp;"","")</f>
        <v/>
      </c>
      <c r="K62">
        <f>IF(J62="","",SUMIFS(rGasto,rCat,J62,rFecha,"&gt;="&amp;pIni,rFecha,"&lt;="&amp;pFin))</f>
        <v/>
      </c>
      <c r="L62">
        <f>IF(J62="","",COUNTIFS(rCat,J62,rMonto,"&gt;0",rFecha,"&gt;="&amp;pIni,rFecha,"&lt;="&amp;pFin))</f>
        <v/>
      </c>
      <c r="M62">
        <f>IF(J62="",-1E+12-58,N(K62)+(101-58)/1E+7)</f>
        <v/>
      </c>
      <c r="T62">
        <f>IFERROR(INDEX(rCom,MATCH(58,rComIdx,0))&amp;"","")</f>
        <v/>
      </c>
      <c r="U62">
        <f>IF(T62="","",SUMIFS(rGasto,rCom,T62,rFecha,"&gt;="&amp;pIni,rFecha,"&lt;="&amp;pFin))</f>
        <v/>
      </c>
      <c r="V62">
        <f>IF(T62="","",COUNTIFS(rCom,T62,rTipo,"Gasto",rFecha,"&gt;="&amp;pIni,rFecha,"&lt;="&amp;pFin))</f>
        <v/>
      </c>
      <c r="W62">
        <f>IF(T62="",-1E+12-58,N(U62)+(201-58)/1E+7)</f>
        <v/>
      </c>
    </row>
    <row r="63">
      <c r="J63">
        <f>IF(INDEX(catTipo,59)&amp;""="Gasto",INDEX(catNom,59)&amp;"","")</f>
        <v/>
      </c>
      <c r="K63">
        <f>IF(J63="","",SUMIFS(rGasto,rCat,J63,rFecha,"&gt;="&amp;pIni,rFecha,"&lt;="&amp;pFin))</f>
        <v/>
      </c>
      <c r="L63">
        <f>IF(J63="","",COUNTIFS(rCat,J63,rMonto,"&gt;0",rFecha,"&gt;="&amp;pIni,rFecha,"&lt;="&amp;pFin))</f>
        <v/>
      </c>
      <c r="M63">
        <f>IF(J63="",-1E+12-59,N(K63)+(101-59)/1E+7)</f>
        <v/>
      </c>
      <c r="T63">
        <f>IFERROR(INDEX(rCom,MATCH(59,rComIdx,0))&amp;"","")</f>
        <v/>
      </c>
      <c r="U63">
        <f>IF(T63="","",SUMIFS(rGasto,rCom,T63,rFecha,"&gt;="&amp;pIni,rFecha,"&lt;="&amp;pFin))</f>
        <v/>
      </c>
      <c r="V63">
        <f>IF(T63="","",COUNTIFS(rCom,T63,rTipo,"Gasto",rFecha,"&gt;="&amp;pIni,rFecha,"&lt;="&amp;pFin))</f>
        <v/>
      </c>
      <c r="W63">
        <f>IF(T63="",-1E+12-59,N(U63)+(201-59)/1E+7)</f>
        <v/>
      </c>
    </row>
    <row r="64">
      <c r="J64">
        <f>IF(INDEX(catTipo,60)&amp;""="Gasto",INDEX(catNom,60)&amp;"","")</f>
        <v/>
      </c>
      <c r="K64">
        <f>IF(J64="","",SUMIFS(rGasto,rCat,J64,rFecha,"&gt;="&amp;pIni,rFecha,"&lt;="&amp;pFin))</f>
        <v/>
      </c>
      <c r="L64">
        <f>IF(J64="","",COUNTIFS(rCat,J64,rMonto,"&gt;0",rFecha,"&gt;="&amp;pIni,rFecha,"&lt;="&amp;pFin))</f>
        <v/>
      </c>
      <c r="M64">
        <f>IF(J64="",-1E+12-60,N(K64)+(101-60)/1E+7)</f>
        <v/>
      </c>
      <c r="T64">
        <f>IFERROR(INDEX(rCom,MATCH(60,rComIdx,0))&amp;"","")</f>
        <v/>
      </c>
      <c r="U64">
        <f>IF(T64="","",SUMIFS(rGasto,rCom,T64,rFecha,"&gt;="&amp;pIni,rFecha,"&lt;="&amp;pFin))</f>
        <v/>
      </c>
      <c r="V64">
        <f>IF(T64="","",COUNTIFS(rCom,T64,rTipo,"Gasto",rFecha,"&gt;="&amp;pIni,rFecha,"&lt;="&amp;pFin))</f>
        <v/>
      </c>
      <c r="W64">
        <f>IF(T64="",-1E+12-60,N(U64)+(201-60)/1E+7)</f>
        <v/>
      </c>
    </row>
    <row r="65">
      <c r="J65">
        <f>IF(INDEX(catTipo,61)&amp;""="Gasto",INDEX(catNom,61)&amp;"","")</f>
        <v/>
      </c>
      <c r="K65">
        <f>IF(J65="","",SUMIFS(rGasto,rCat,J65,rFecha,"&gt;="&amp;pIni,rFecha,"&lt;="&amp;pFin))</f>
        <v/>
      </c>
      <c r="L65">
        <f>IF(J65="","",COUNTIFS(rCat,J65,rMonto,"&gt;0",rFecha,"&gt;="&amp;pIni,rFecha,"&lt;="&amp;pFin))</f>
        <v/>
      </c>
      <c r="M65">
        <f>IF(J65="",-1E+12-61,N(K65)+(101-61)/1E+7)</f>
        <v/>
      </c>
      <c r="T65">
        <f>IFERROR(INDEX(rCom,MATCH(61,rComIdx,0))&amp;"","")</f>
        <v/>
      </c>
      <c r="U65">
        <f>IF(T65="","",SUMIFS(rGasto,rCom,T65,rFecha,"&gt;="&amp;pIni,rFecha,"&lt;="&amp;pFin))</f>
        <v/>
      </c>
      <c r="V65">
        <f>IF(T65="","",COUNTIFS(rCom,T65,rTipo,"Gasto",rFecha,"&gt;="&amp;pIni,rFecha,"&lt;="&amp;pFin))</f>
        <v/>
      </c>
      <c r="W65">
        <f>IF(T65="",-1E+12-61,N(U65)+(201-61)/1E+7)</f>
        <v/>
      </c>
    </row>
    <row r="66">
      <c r="J66">
        <f>IF(INDEX(catTipo,62)&amp;""="Gasto",INDEX(catNom,62)&amp;"","")</f>
        <v/>
      </c>
      <c r="K66">
        <f>IF(J66="","",SUMIFS(rGasto,rCat,J66,rFecha,"&gt;="&amp;pIni,rFecha,"&lt;="&amp;pFin))</f>
        <v/>
      </c>
      <c r="L66">
        <f>IF(J66="","",COUNTIFS(rCat,J66,rMonto,"&gt;0",rFecha,"&gt;="&amp;pIni,rFecha,"&lt;="&amp;pFin))</f>
        <v/>
      </c>
      <c r="M66">
        <f>IF(J66="",-1E+12-62,N(K66)+(101-62)/1E+7)</f>
        <v/>
      </c>
      <c r="T66">
        <f>IFERROR(INDEX(rCom,MATCH(62,rComIdx,0))&amp;"","")</f>
        <v/>
      </c>
      <c r="U66">
        <f>IF(T66="","",SUMIFS(rGasto,rCom,T66,rFecha,"&gt;="&amp;pIni,rFecha,"&lt;="&amp;pFin))</f>
        <v/>
      </c>
      <c r="V66">
        <f>IF(T66="","",COUNTIFS(rCom,T66,rTipo,"Gasto",rFecha,"&gt;="&amp;pIni,rFecha,"&lt;="&amp;pFin))</f>
        <v/>
      </c>
      <c r="W66">
        <f>IF(T66="",-1E+12-62,N(U66)+(201-62)/1E+7)</f>
        <v/>
      </c>
    </row>
    <row r="67">
      <c r="J67">
        <f>IF(INDEX(catTipo,63)&amp;""="Gasto",INDEX(catNom,63)&amp;"","")</f>
        <v/>
      </c>
      <c r="K67">
        <f>IF(J67="","",SUMIFS(rGasto,rCat,J67,rFecha,"&gt;="&amp;pIni,rFecha,"&lt;="&amp;pFin))</f>
        <v/>
      </c>
      <c r="L67">
        <f>IF(J67="","",COUNTIFS(rCat,J67,rMonto,"&gt;0",rFecha,"&gt;="&amp;pIni,rFecha,"&lt;="&amp;pFin))</f>
        <v/>
      </c>
      <c r="M67">
        <f>IF(J67="",-1E+12-63,N(K67)+(101-63)/1E+7)</f>
        <v/>
      </c>
      <c r="T67">
        <f>IFERROR(INDEX(rCom,MATCH(63,rComIdx,0))&amp;"","")</f>
        <v/>
      </c>
      <c r="U67">
        <f>IF(T67="","",SUMIFS(rGasto,rCom,T67,rFecha,"&gt;="&amp;pIni,rFecha,"&lt;="&amp;pFin))</f>
        <v/>
      </c>
      <c r="V67">
        <f>IF(T67="","",COUNTIFS(rCom,T67,rTipo,"Gasto",rFecha,"&gt;="&amp;pIni,rFecha,"&lt;="&amp;pFin))</f>
        <v/>
      </c>
      <c r="W67">
        <f>IF(T67="",-1E+12-63,N(U67)+(201-63)/1E+7)</f>
        <v/>
      </c>
    </row>
    <row r="68">
      <c r="J68">
        <f>IF(INDEX(catTipo,64)&amp;""="Gasto",INDEX(catNom,64)&amp;"","")</f>
        <v/>
      </c>
      <c r="K68">
        <f>IF(J68="","",SUMIFS(rGasto,rCat,J68,rFecha,"&gt;="&amp;pIni,rFecha,"&lt;="&amp;pFin))</f>
        <v/>
      </c>
      <c r="L68">
        <f>IF(J68="","",COUNTIFS(rCat,J68,rMonto,"&gt;0",rFecha,"&gt;="&amp;pIni,rFecha,"&lt;="&amp;pFin))</f>
        <v/>
      </c>
      <c r="M68">
        <f>IF(J68="",-1E+12-64,N(K68)+(101-64)/1E+7)</f>
        <v/>
      </c>
      <c r="T68">
        <f>IFERROR(INDEX(rCom,MATCH(64,rComIdx,0))&amp;"","")</f>
        <v/>
      </c>
      <c r="U68">
        <f>IF(T68="","",SUMIFS(rGasto,rCom,T68,rFecha,"&gt;="&amp;pIni,rFecha,"&lt;="&amp;pFin))</f>
        <v/>
      </c>
      <c r="V68">
        <f>IF(T68="","",COUNTIFS(rCom,T68,rTipo,"Gasto",rFecha,"&gt;="&amp;pIni,rFecha,"&lt;="&amp;pFin))</f>
        <v/>
      </c>
      <c r="W68">
        <f>IF(T68="",-1E+12-64,N(U68)+(201-64)/1E+7)</f>
        <v/>
      </c>
    </row>
    <row r="69">
      <c r="J69">
        <f>IF(INDEX(catTipo,65)&amp;""="Gasto",INDEX(catNom,65)&amp;"","")</f>
        <v/>
      </c>
      <c r="K69">
        <f>IF(J69="","",SUMIFS(rGasto,rCat,J69,rFecha,"&gt;="&amp;pIni,rFecha,"&lt;="&amp;pFin))</f>
        <v/>
      </c>
      <c r="L69">
        <f>IF(J69="","",COUNTIFS(rCat,J69,rMonto,"&gt;0",rFecha,"&gt;="&amp;pIni,rFecha,"&lt;="&amp;pFin))</f>
        <v/>
      </c>
      <c r="M69">
        <f>IF(J69="",-1E+12-65,N(K69)+(101-65)/1E+7)</f>
        <v/>
      </c>
      <c r="T69">
        <f>IFERROR(INDEX(rCom,MATCH(65,rComIdx,0))&amp;"","")</f>
        <v/>
      </c>
      <c r="U69">
        <f>IF(T69="","",SUMIFS(rGasto,rCom,T69,rFecha,"&gt;="&amp;pIni,rFecha,"&lt;="&amp;pFin))</f>
        <v/>
      </c>
      <c r="V69">
        <f>IF(T69="","",COUNTIFS(rCom,T69,rTipo,"Gasto",rFecha,"&gt;="&amp;pIni,rFecha,"&lt;="&amp;pFin))</f>
        <v/>
      </c>
      <c r="W69">
        <f>IF(T69="",-1E+12-65,N(U69)+(201-65)/1E+7)</f>
        <v/>
      </c>
    </row>
    <row r="70">
      <c r="J70">
        <f>IF(INDEX(catTipo,66)&amp;""="Gasto",INDEX(catNom,66)&amp;"","")</f>
        <v/>
      </c>
      <c r="K70">
        <f>IF(J70="","",SUMIFS(rGasto,rCat,J70,rFecha,"&gt;="&amp;pIni,rFecha,"&lt;="&amp;pFin))</f>
        <v/>
      </c>
      <c r="L70">
        <f>IF(J70="","",COUNTIFS(rCat,J70,rMonto,"&gt;0",rFecha,"&gt;="&amp;pIni,rFecha,"&lt;="&amp;pFin))</f>
        <v/>
      </c>
      <c r="M70">
        <f>IF(J70="",-1E+12-66,N(K70)+(101-66)/1E+7)</f>
        <v/>
      </c>
      <c r="T70">
        <f>IFERROR(INDEX(rCom,MATCH(66,rComIdx,0))&amp;"","")</f>
        <v/>
      </c>
      <c r="U70">
        <f>IF(T70="","",SUMIFS(rGasto,rCom,T70,rFecha,"&gt;="&amp;pIni,rFecha,"&lt;="&amp;pFin))</f>
        <v/>
      </c>
      <c r="V70">
        <f>IF(T70="","",COUNTIFS(rCom,T70,rTipo,"Gasto",rFecha,"&gt;="&amp;pIni,rFecha,"&lt;="&amp;pFin))</f>
        <v/>
      </c>
      <c r="W70">
        <f>IF(T70="",-1E+12-66,N(U70)+(201-66)/1E+7)</f>
        <v/>
      </c>
    </row>
    <row r="71">
      <c r="J71">
        <f>IF(INDEX(catTipo,67)&amp;""="Gasto",INDEX(catNom,67)&amp;"","")</f>
        <v/>
      </c>
      <c r="K71">
        <f>IF(J71="","",SUMIFS(rGasto,rCat,J71,rFecha,"&gt;="&amp;pIni,rFecha,"&lt;="&amp;pFin))</f>
        <v/>
      </c>
      <c r="L71">
        <f>IF(J71="","",COUNTIFS(rCat,J71,rMonto,"&gt;0",rFecha,"&gt;="&amp;pIni,rFecha,"&lt;="&amp;pFin))</f>
        <v/>
      </c>
      <c r="M71">
        <f>IF(J71="",-1E+12-67,N(K71)+(101-67)/1E+7)</f>
        <v/>
      </c>
      <c r="T71">
        <f>IFERROR(INDEX(rCom,MATCH(67,rComIdx,0))&amp;"","")</f>
        <v/>
      </c>
      <c r="U71">
        <f>IF(T71="","",SUMIFS(rGasto,rCom,T71,rFecha,"&gt;="&amp;pIni,rFecha,"&lt;="&amp;pFin))</f>
        <v/>
      </c>
      <c r="V71">
        <f>IF(T71="","",COUNTIFS(rCom,T71,rTipo,"Gasto",rFecha,"&gt;="&amp;pIni,rFecha,"&lt;="&amp;pFin))</f>
        <v/>
      </c>
      <c r="W71">
        <f>IF(T71="",-1E+12-67,N(U71)+(201-67)/1E+7)</f>
        <v/>
      </c>
    </row>
    <row r="72">
      <c r="J72">
        <f>IF(INDEX(catTipo,68)&amp;""="Gasto",INDEX(catNom,68)&amp;"","")</f>
        <v/>
      </c>
      <c r="K72">
        <f>IF(J72="","",SUMIFS(rGasto,rCat,J72,rFecha,"&gt;="&amp;pIni,rFecha,"&lt;="&amp;pFin))</f>
        <v/>
      </c>
      <c r="L72">
        <f>IF(J72="","",COUNTIFS(rCat,J72,rMonto,"&gt;0",rFecha,"&gt;="&amp;pIni,rFecha,"&lt;="&amp;pFin))</f>
        <v/>
      </c>
      <c r="M72">
        <f>IF(J72="",-1E+12-68,N(K72)+(101-68)/1E+7)</f>
        <v/>
      </c>
      <c r="T72">
        <f>IFERROR(INDEX(rCom,MATCH(68,rComIdx,0))&amp;"","")</f>
        <v/>
      </c>
      <c r="U72">
        <f>IF(T72="","",SUMIFS(rGasto,rCom,T72,rFecha,"&gt;="&amp;pIni,rFecha,"&lt;="&amp;pFin))</f>
        <v/>
      </c>
      <c r="V72">
        <f>IF(T72="","",COUNTIFS(rCom,T72,rTipo,"Gasto",rFecha,"&gt;="&amp;pIni,rFecha,"&lt;="&amp;pFin))</f>
        <v/>
      </c>
      <c r="W72">
        <f>IF(T72="",-1E+12-68,N(U72)+(201-68)/1E+7)</f>
        <v/>
      </c>
    </row>
    <row r="73">
      <c r="J73">
        <f>IF(INDEX(catTipo,69)&amp;""="Gasto",INDEX(catNom,69)&amp;"","")</f>
        <v/>
      </c>
      <c r="K73">
        <f>IF(J73="","",SUMIFS(rGasto,rCat,J73,rFecha,"&gt;="&amp;pIni,rFecha,"&lt;="&amp;pFin))</f>
        <v/>
      </c>
      <c r="L73">
        <f>IF(J73="","",COUNTIFS(rCat,J73,rMonto,"&gt;0",rFecha,"&gt;="&amp;pIni,rFecha,"&lt;="&amp;pFin))</f>
        <v/>
      </c>
      <c r="M73">
        <f>IF(J73="",-1E+12-69,N(K73)+(101-69)/1E+7)</f>
        <v/>
      </c>
      <c r="T73">
        <f>IFERROR(INDEX(rCom,MATCH(69,rComIdx,0))&amp;"","")</f>
        <v/>
      </c>
      <c r="U73">
        <f>IF(T73="","",SUMIFS(rGasto,rCom,T73,rFecha,"&gt;="&amp;pIni,rFecha,"&lt;="&amp;pFin))</f>
        <v/>
      </c>
      <c r="V73">
        <f>IF(T73="","",COUNTIFS(rCom,T73,rTipo,"Gasto",rFecha,"&gt;="&amp;pIni,rFecha,"&lt;="&amp;pFin))</f>
        <v/>
      </c>
      <c r="W73">
        <f>IF(T73="",-1E+12-69,N(U73)+(201-69)/1E+7)</f>
        <v/>
      </c>
    </row>
    <row r="74">
      <c r="J74">
        <f>IF(INDEX(catTipo,70)&amp;""="Gasto",INDEX(catNom,70)&amp;"","")</f>
        <v/>
      </c>
      <c r="K74">
        <f>IF(J74="","",SUMIFS(rGasto,rCat,J74,rFecha,"&gt;="&amp;pIni,rFecha,"&lt;="&amp;pFin))</f>
        <v/>
      </c>
      <c r="L74">
        <f>IF(J74="","",COUNTIFS(rCat,J74,rMonto,"&gt;0",rFecha,"&gt;="&amp;pIni,rFecha,"&lt;="&amp;pFin))</f>
        <v/>
      </c>
      <c r="M74">
        <f>IF(J74="",-1E+12-70,N(K74)+(101-70)/1E+7)</f>
        <v/>
      </c>
      <c r="T74">
        <f>IFERROR(INDEX(rCom,MATCH(70,rComIdx,0))&amp;"","")</f>
        <v/>
      </c>
      <c r="U74">
        <f>IF(T74="","",SUMIFS(rGasto,rCom,T74,rFecha,"&gt;="&amp;pIni,rFecha,"&lt;="&amp;pFin))</f>
        <v/>
      </c>
      <c r="V74">
        <f>IF(T74="","",COUNTIFS(rCom,T74,rTipo,"Gasto",rFecha,"&gt;="&amp;pIni,rFecha,"&lt;="&amp;pFin))</f>
        <v/>
      </c>
      <c r="W74">
        <f>IF(T74="",-1E+12-70,N(U74)+(201-70)/1E+7)</f>
        <v/>
      </c>
    </row>
    <row r="75">
      <c r="J75">
        <f>IF(INDEX(catTipo,71)&amp;""="Gasto",INDEX(catNom,71)&amp;"","")</f>
        <v/>
      </c>
      <c r="K75">
        <f>IF(J75="","",SUMIFS(rGasto,rCat,J75,rFecha,"&gt;="&amp;pIni,rFecha,"&lt;="&amp;pFin))</f>
        <v/>
      </c>
      <c r="L75">
        <f>IF(J75="","",COUNTIFS(rCat,J75,rMonto,"&gt;0",rFecha,"&gt;="&amp;pIni,rFecha,"&lt;="&amp;pFin))</f>
        <v/>
      </c>
      <c r="M75">
        <f>IF(J75="",-1E+12-71,N(K75)+(101-71)/1E+7)</f>
        <v/>
      </c>
      <c r="T75">
        <f>IFERROR(INDEX(rCom,MATCH(71,rComIdx,0))&amp;"","")</f>
        <v/>
      </c>
      <c r="U75">
        <f>IF(T75="","",SUMIFS(rGasto,rCom,T75,rFecha,"&gt;="&amp;pIni,rFecha,"&lt;="&amp;pFin))</f>
        <v/>
      </c>
      <c r="V75">
        <f>IF(T75="","",COUNTIFS(rCom,T75,rTipo,"Gasto",rFecha,"&gt;="&amp;pIni,rFecha,"&lt;="&amp;pFin))</f>
        <v/>
      </c>
      <c r="W75">
        <f>IF(T75="",-1E+12-71,N(U75)+(201-71)/1E+7)</f>
        <v/>
      </c>
    </row>
    <row r="76">
      <c r="J76">
        <f>IF(INDEX(catTipo,72)&amp;""="Gasto",INDEX(catNom,72)&amp;"","")</f>
        <v/>
      </c>
      <c r="K76">
        <f>IF(J76="","",SUMIFS(rGasto,rCat,J76,rFecha,"&gt;="&amp;pIni,rFecha,"&lt;="&amp;pFin))</f>
        <v/>
      </c>
      <c r="L76">
        <f>IF(J76="","",COUNTIFS(rCat,J76,rMonto,"&gt;0",rFecha,"&gt;="&amp;pIni,rFecha,"&lt;="&amp;pFin))</f>
        <v/>
      </c>
      <c r="M76">
        <f>IF(J76="",-1E+12-72,N(K76)+(101-72)/1E+7)</f>
        <v/>
      </c>
      <c r="T76">
        <f>IFERROR(INDEX(rCom,MATCH(72,rComIdx,0))&amp;"","")</f>
        <v/>
      </c>
      <c r="U76">
        <f>IF(T76="","",SUMIFS(rGasto,rCom,T76,rFecha,"&gt;="&amp;pIni,rFecha,"&lt;="&amp;pFin))</f>
        <v/>
      </c>
      <c r="V76">
        <f>IF(T76="","",COUNTIFS(rCom,T76,rTipo,"Gasto",rFecha,"&gt;="&amp;pIni,rFecha,"&lt;="&amp;pFin))</f>
        <v/>
      </c>
      <c r="W76">
        <f>IF(T76="",-1E+12-72,N(U76)+(201-72)/1E+7)</f>
        <v/>
      </c>
    </row>
    <row r="77">
      <c r="J77">
        <f>IF(INDEX(catTipo,73)&amp;""="Gasto",INDEX(catNom,73)&amp;"","")</f>
        <v/>
      </c>
      <c r="K77">
        <f>IF(J77="","",SUMIFS(rGasto,rCat,J77,rFecha,"&gt;="&amp;pIni,rFecha,"&lt;="&amp;pFin))</f>
        <v/>
      </c>
      <c r="L77">
        <f>IF(J77="","",COUNTIFS(rCat,J77,rMonto,"&gt;0",rFecha,"&gt;="&amp;pIni,rFecha,"&lt;="&amp;pFin))</f>
        <v/>
      </c>
      <c r="M77">
        <f>IF(J77="",-1E+12-73,N(K77)+(101-73)/1E+7)</f>
        <v/>
      </c>
      <c r="T77">
        <f>IFERROR(INDEX(rCom,MATCH(73,rComIdx,0))&amp;"","")</f>
        <v/>
      </c>
      <c r="U77">
        <f>IF(T77="","",SUMIFS(rGasto,rCom,T77,rFecha,"&gt;="&amp;pIni,rFecha,"&lt;="&amp;pFin))</f>
        <v/>
      </c>
      <c r="V77">
        <f>IF(T77="","",COUNTIFS(rCom,T77,rTipo,"Gasto",rFecha,"&gt;="&amp;pIni,rFecha,"&lt;="&amp;pFin))</f>
        <v/>
      </c>
      <c r="W77">
        <f>IF(T77="",-1E+12-73,N(U77)+(201-73)/1E+7)</f>
        <v/>
      </c>
    </row>
    <row r="78">
      <c r="J78">
        <f>IF(INDEX(catTipo,74)&amp;""="Gasto",INDEX(catNom,74)&amp;"","")</f>
        <v/>
      </c>
      <c r="K78">
        <f>IF(J78="","",SUMIFS(rGasto,rCat,J78,rFecha,"&gt;="&amp;pIni,rFecha,"&lt;="&amp;pFin))</f>
        <v/>
      </c>
      <c r="L78">
        <f>IF(J78="","",COUNTIFS(rCat,J78,rMonto,"&gt;0",rFecha,"&gt;="&amp;pIni,rFecha,"&lt;="&amp;pFin))</f>
        <v/>
      </c>
      <c r="M78">
        <f>IF(J78="",-1E+12-74,N(K78)+(101-74)/1E+7)</f>
        <v/>
      </c>
      <c r="T78">
        <f>IFERROR(INDEX(rCom,MATCH(74,rComIdx,0))&amp;"","")</f>
        <v/>
      </c>
      <c r="U78">
        <f>IF(T78="","",SUMIFS(rGasto,rCom,T78,rFecha,"&gt;="&amp;pIni,rFecha,"&lt;="&amp;pFin))</f>
        <v/>
      </c>
      <c r="V78">
        <f>IF(T78="","",COUNTIFS(rCom,T78,rTipo,"Gasto",rFecha,"&gt;="&amp;pIni,rFecha,"&lt;="&amp;pFin))</f>
        <v/>
      </c>
      <c r="W78">
        <f>IF(T78="",-1E+12-74,N(U78)+(201-74)/1E+7)</f>
        <v/>
      </c>
    </row>
    <row r="79">
      <c r="J79">
        <f>IF(INDEX(catTipo,75)&amp;""="Gasto",INDEX(catNom,75)&amp;"","")</f>
        <v/>
      </c>
      <c r="K79">
        <f>IF(J79="","",SUMIFS(rGasto,rCat,J79,rFecha,"&gt;="&amp;pIni,rFecha,"&lt;="&amp;pFin))</f>
        <v/>
      </c>
      <c r="L79">
        <f>IF(J79="","",COUNTIFS(rCat,J79,rMonto,"&gt;0",rFecha,"&gt;="&amp;pIni,rFecha,"&lt;="&amp;pFin))</f>
        <v/>
      </c>
      <c r="M79">
        <f>IF(J79="",-1E+12-75,N(K79)+(101-75)/1E+7)</f>
        <v/>
      </c>
      <c r="T79">
        <f>IFERROR(INDEX(rCom,MATCH(75,rComIdx,0))&amp;"","")</f>
        <v/>
      </c>
      <c r="U79">
        <f>IF(T79="","",SUMIFS(rGasto,rCom,T79,rFecha,"&gt;="&amp;pIni,rFecha,"&lt;="&amp;pFin))</f>
        <v/>
      </c>
      <c r="V79">
        <f>IF(T79="","",COUNTIFS(rCom,T79,rTipo,"Gasto",rFecha,"&gt;="&amp;pIni,rFecha,"&lt;="&amp;pFin))</f>
        <v/>
      </c>
      <c r="W79">
        <f>IF(T79="",-1E+12-75,N(U79)+(201-75)/1E+7)</f>
        <v/>
      </c>
    </row>
    <row r="80">
      <c r="J80">
        <f>IF(INDEX(catTipo,76)&amp;""="Gasto",INDEX(catNom,76)&amp;"","")</f>
        <v/>
      </c>
      <c r="K80">
        <f>IF(J80="","",SUMIFS(rGasto,rCat,J80,rFecha,"&gt;="&amp;pIni,rFecha,"&lt;="&amp;pFin))</f>
        <v/>
      </c>
      <c r="L80">
        <f>IF(J80="","",COUNTIFS(rCat,J80,rMonto,"&gt;0",rFecha,"&gt;="&amp;pIni,rFecha,"&lt;="&amp;pFin))</f>
        <v/>
      </c>
      <c r="M80">
        <f>IF(J80="",-1E+12-76,N(K80)+(101-76)/1E+7)</f>
        <v/>
      </c>
      <c r="T80">
        <f>IFERROR(INDEX(rCom,MATCH(76,rComIdx,0))&amp;"","")</f>
        <v/>
      </c>
      <c r="U80">
        <f>IF(T80="","",SUMIFS(rGasto,rCom,T80,rFecha,"&gt;="&amp;pIni,rFecha,"&lt;="&amp;pFin))</f>
        <v/>
      </c>
      <c r="V80">
        <f>IF(T80="","",COUNTIFS(rCom,T80,rTipo,"Gasto",rFecha,"&gt;="&amp;pIni,rFecha,"&lt;="&amp;pFin))</f>
        <v/>
      </c>
      <c r="W80">
        <f>IF(T80="",-1E+12-76,N(U80)+(201-76)/1E+7)</f>
        <v/>
      </c>
    </row>
    <row r="81">
      <c r="J81">
        <f>IF(INDEX(catTipo,77)&amp;""="Gasto",INDEX(catNom,77)&amp;"","")</f>
        <v/>
      </c>
      <c r="K81">
        <f>IF(J81="","",SUMIFS(rGasto,rCat,J81,rFecha,"&gt;="&amp;pIni,rFecha,"&lt;="&amp;pFin))</f>
        <v/>
      </c>
      <c r="L81">
        <f>IF(J81="","",COUNTIFS(rCat,J81,rMonto,"&gt;0",rFecha,"&gt;="&amp;pIni,rFecha,"&lt;="&amp;pFin))</f>
        <v/>
      </c>
      <c r="M81">
        <f>IF(J81="",-1E+12-77,N(K81)+(101-77)/1E+7)</f>
        <v/>
      </c>
      <c r="T81">
        <f>IFERROR(INDEX(rCom,MATCH(77,rComIdx,0))&amp;"","")</f>
        <v/>
      </c>
      <c r="U81">
        <f>IF(T81="","",SUMIFS(rGasto,rCom,T81,rFecha,"&gt;="&amp;pIni,rFecha,"&lt;="&amp;pFin))</f>
        <v/>
      </c>
      <c r="V81">
        <f>IF(T81="","",COUNTIFS(rCom,T81,rTipo,"Gasto",rFecha,"&gt;="&amp;pIni,rFecha,"&lt;="&amp;pFin))</f>
        <v/>
      </c>
      <c r="W81">
        <f>IF(T81="",-1E+12-77,N(U81)+(201-77)/1E+7)</f>
        <v/>
      </c>
    </row>
    <row r="82">
      <c r="J82">
        <f>IF(INDEX(catTipo,78)&amp;""="Gasto",INDEX(catNom,78)&amp;"","")</f>
        <v/>
      </c>
      <c r="K82">
        <f>IF(J82="","",SUMIFS(rGasto,rCat,J82,rFecha,"&gt;="&amp;pIni,rFecha,"&lt;="&amp;pFin))</f>
        <v/>
      </c>
      <c r="L82">
        <f>IF(J82="","",COUNTIFS(rCat,J82,rMonto,"&gt;0",rFecha,"&gt;="&amp;pIni,rFecha,"&lt;="&amp;pFin))</f>
        <v/>
      </c>
      <c r="M82">
        <f>IF(J82="",-1E+12-78,N(K82)+(101-78)/1E+7)</f>
        <v/>
      </c>
      <c r="T82">
        <f>IFERROR(INDEX(rCom,MATCH(78,rComIdx,0))&amp;"","")</f>
        <v/>
      </c>
      <c r="U82">
        <f>IF(T82="","",SUMIFS(rGasto,rCom,T82,rFecha,"&gt;="&amp;pIni,rFecha,"&lt;="&amp;pFin))</f>
        <v/>
      </c>
      <c r="V82">
        <f>IF(T82="","",COUNTIFS(rCom,T82,rTipo,"Gasto",rFecha,"&gt;="&amp;pIni,rFecha,"&lt;="&amp;pFin))</f>
        <v/>
      </c>
      <c r="W82">
        <f>IF(T82="",-1E+12-78,N(U82)+(201-78)/1E+7)</f>
        <v/>
      </c>
    </row>
    <row r="83">
      <c r="J83">
        <f>IF(INDEX(catTipo,79)&amp;""="Gasto",INDEX(catNom,79)&amp;"","")</f>
        <v/>
      </c>
      <c r="K83">
        <f>IF(J83="","",SUMIFS(rGasto,rCat,J83,rFecha,"&gt;="&amp;pIni,rFecha,"&lt;="&amp;pFin))</f>
        <v/>
      </c>
      <c r="L83">
        <f>IF(J83="","",COUNTIFS(rCat,J83,rMonto,"&gt;0",rFecha,"&gt;="&amp;pIni,rFecha,"&lt;="&amp;pFin))</f>
        <v/>
      </c>
      <c r="M83">
        <f>IF(J83="",-1E+12-79,N(K83)+(101-79)/1E+7)</f>
        <v/>
      </c>
      <c r="T83">
        <f>IFERROR(INDEX(rCom,MATCH(79,rComIdx,0))&amp;"","")</f>
        <v/>
      </c>
      <c r="U83">
        <f>IF(T83="","",SUMIFS(rGasto,rCom,T83,rFecha,"&gt;="&amp;pIni,rFecha,"&lt;="&amp;pFin))</f>
        <v/>
      </c>
      <c r="V83">
        <f>IF(T83="","",COUNTIFS(rCom,T83,rTipo,"Gasto",rFecha,"&gt;="&amp;pIni,rFecha,"&lt;="&amp;pFin))</f>
        <v/>
      </c>
      <c r="W83">
        <f>IF(T83="",-1E+12-79,N(U83)+(201-79)/1E+7)</f>
        <v/>
      </c>
    </row>
    <row r="84">
      <c r="J84">
        <f>IF(INDEX(catTipo,80)&amp;""="Gasto",INDEX(catNom,80)&amp;"","")</f>
        <v/>
      </c>
      <c r="K84">
        <f>IF(J84="","",SUMIFS(rGasto,rCat,J84,rFecha,"&gt;="&amp;pIni,rFecha,"&lt;="&amp;pFin))</f>
        <v/>
      </c>
      <c r="L84">
        <f>IF(J84="","",COUNTIFS(rCat,J84,rMonto,"&gt;0",rFecha,"&gt;="&amp;pIni,rFecha,"&lt;="&amp;pFin))</f>
        <v/>
      </c>
      <c r="M84">
        <f>IF(J84="",-1E+12-80,N(K84)+(101-80)/1E+7)</f>
        <v/>
      </c>
      <c r="T84">
        <f>IFERROR(INDEX(rCom,MATCH(80,rComIdx,0))&amp;"","")</f>
        <v/>
      </c>
      <c r="U84">
        <f>IF(T84="","",SUMIFS(rGasto,rCom,T84,rFecha,"&gt;="&amp;pIni,rFecha,"&lt;="&amp;pFin))</f>
        <v/>
      </c>
      <c r="V84">
        <f>IF(T84="","",COUNTIFS(rCom,T84,rTipo,"Gasto",rFecha,"&gt;="&amp;pIni,rFecha,"&lt;="&amp;pFin))</f>
        <v/>
      </c>
      <c r="W84">
        <f>IF(T84="",-1E+12-80,N(U84)+(201-80)/1E+7)</f>
        <v/>
      </c>
    </row>
    <row r="85">
      <c r="J85">
        <f>IF(INDEX(catTipo,81)&amp;""="Gasto",INDEX(catNom,81)&amp;"","")</f>
        <v/>
      </c>
      <c r="K85">
        <f>IF(J85="","",SUMIFS(rGasto,rCat,J85,rFecha,"&gt;="&amp;pIni,rFecha,"&lt;="&amp;pFin))</f>
        <v/>
      </c>
      <c r="L85">
        <f>IF(J85="","",COUNTIFS(rCat,J85,rMonto,"&gt;0",rFecha,"&gt;="&amp;pIni,rFecha,"&lt;="&amp;pFin))</f>
        <v/>
      </c>
      <c r="M85">
        <f>IF(J85="",-1E+12-81,N(K85)+(101-81)/1E+7)</f>
        <v/>
      </c>
      <c r="T85">
        <f>IFERROR(INDEX(rCom,MATCH(81,rComIdx,0))&amp;"","")</f>
        <v/>
      </c>
      <c r="U85">
        <f>IF(T85="","",SUMIFS(rGasto,rCom,T85,rFecha,"&gt;="&amp;pIni,rFecha,"&lt;="&amp;pFin))</f>
        <v/>
      </c>
      <c r="V85">
        <f>IF(T85="","",COUNTIFS(rCom,T85,rTipo,"Gasto",rFecha,"&gt;="&amp;pIni,rFecha,"&lt;="&amp;pFin))</f>
        <v/>
      </c>
      <c r="W85">
        <f>IF(T85="",-1E+12-81,N(U85)+(201-81)/1E+7)</f>
        <v/>
      </c>
    </row>
    <row r="86">
      <c r="J86">
        <f>IF(INDEX(catTipo,82)&amp;""="Gasto",INDEX(catNom,82)&amp;"","")</f>
        <v/>
      </c>
      <c r="K86">
        <f>IF(J86="","",SUMIFS(rGasto,rCat,J86,rFecha,"&gt;="&amp;pIni,rFecha,"&lt;="&amp;pFin))</f>
        <v/>
      </c>
      <c r="L86">
        <f>IF(J86="","",COUNTIFS(rCat,J86,rMonto,"&gt;0",rFecha,"&gt;="&amp;pIni,rFecha,"&lt;="&amp;pFin))</f>
        <v/>
      </c>
      <c r="M86">
        <f>IF(J86="",-1E+12-82,N(K86)+(101-82)/1E+7)</f>
        <v/>
      </c>
      <c r="T86">
        <f>IFERROR(INDEX(rCom,MATCH(82,rComIdx,0))&amp;"","")</f>
        <v/>
      </c>
      <c r="U86">
        <f>IF(T86="","",SUMIFS(rGasto,rCom,T86,rFecha,"&gt;="&amp;pIni,rFecha,"&lt;="&amp;pFin))</f>
        <v/>
      </c>
      <c r="V86">
        <f>IF(T86="","",COUNTIFS(rCom,T86,rTipo,"Gasto",rFecha,"&gt;="&amp;pIni,rFecha,"&lt;="&amp;pFin))</f>
        <v/>
      </c>
      <c r="W86">
        <f>IF(T86="",-1E+12-82,N(U86)+(201-82)/1E+7)</f>
        <v/>
      </c>
    </row>
    <row r="87">
      <c r="J87">
        <f>IF(INDEX(catTipo,83)&amp;""="Gasto",INDEX(catNom,83)&amp;"","")</f>
        <v/>
      </c>
      <c r="K87">
        <f>IF(J87="","",SUMIFS(rGasto,rCat,J87,rFecha,"&gt;="&amp;pIni,rFecha,"&lt;="&amp;pFin))</f>
        <v/>
      </c>
      <c r="L87">
        <f>IF(J87="","",COUNTIFS(rCat,J87,rMonto,"&gt;0",rFecha,"&gt;="&amp;pIni,rFecha,"&lt;="&amp;pFin))</f>
        <v/>
      </c>
      <c r="M87">
        <f>IF(J87="",-1E+12-83,N(K87)+(101-83)/1E+7)</f>
        <v/>
      </c>
      <c r="T87">
        <f>IFERROR(INDEX(rCom,MATCH(83,rComIdx,0))&amp;"","")</f>
        <v/>
      </c>
      <c r="U87">
        <f>IF(T87="","",SUMIFS(rGasto,rCom,T87,rFecha,"&gt;="&amp;pIni,rFecha,"&lt;="&amp;pFin))</f>
        <v/>
      </c>
      <c r="V87">
        <f>IF(T87="","",COUNTIFS(rCom,T87,rTipo,"Gasto",rFecha,"&gt;="&amp;pIni,rFecha,"&lt;="&amp;pFin))</f>
        <v/>
      </c>
      <c r="W87">
        <f>IF(T87="",-1E+12-83,N(U87)+(201-83)/1E+7)</f>
        <v/>
      </c>
    </row>
    <row r="88">
      <c r="J88">
        <f>IF(INDEX(catTipo,84)&amp;""="Gasto",INDEX(catNom,84)&amp;"","")</f>
        <v/>
      </c>
      <c r="K88">
        <f>IF(J88="","",SUMIFS(rGasto,rCat,J88,rFecha,"&gt;="&amp;pIni,rFecha,"&lt;="&amp;pFin))</f>
        <v/>
      </c>
      <c r="L88">
        <f>IF(J88="","",COUNTIFS(rCat,J88,rMonto,"&gt;0",rFecha,"&gt;="&amp;pIni,rFecha,"&lt;="&amp;pFin))</f>
        <v/>
      </c>
      <c r="M88">
        <f>IF(J88="",-1E+12-84,N(K88)+(101-84)/1E+7)</f>
        <v/>
      </c>
      <c r="T88">
        <f>IFERROR(INDEX(rCom,MATCH(84,rComIdx,0))&amp;"","")</f>
        <v/>
      </c>
      <c r="U88">
        <f>IF(T88="","",SUMIFS(rGasto,rCom,T88,rFecha,"&gt;="&amp;pIni,rFecha,"&lt;="&amp;pFin))</f>
        <v/>
      </c>
      <c r="V88">
        <f>IF(T88="","",COUNTIFS(rCom,T88,rTipo,"Gasto",rFecha,"&gt;="&amp;pIni,rFecha,"&lt;="&amp;pFin))</f>
        <v/>
      </c>
      <c r="W88">
        <f>IF(T88="",-1E+12-84,N(U88)+(201-84)/1E+7)</f>
        <v/>
      </c>
    </row>
    <row r="89">
      <c r="J89">
        <f>IF(INDEX(catTipo,85)&amp;""="Gasto",INDEX(catNom,85)&amp;"","")</f>
        <v/>
      </c>
      <c r="K89">
        <f>IF(J89="","",SUMIFS(rGasto,rCat,J89,rFecha,"&gt;="&amp;pIni,rFecha,"&lt;="&amp;pFin))</f>
        <v/>
      </c>
      <c r="L89">
        <f>IF(J89="","",COUNTIFS(rCat,J89,rMonto,"&gt;0",rFecha,"&gt;="&amp;pIni,rFecha,"&lt;="&amp;pFin))</f>
        <v/>
      </c>
      <c r="M89">
        <f>IF(J89="",-1E+12-85,N(K89)+(101-85)/1E+7)</f>
        <v/>
      </c>
      <c r="T89">
        <f>IFERROR(INDEX(rCom,MATCH(85,rComIdx,0))&amp;"","")</f>
        <v/>
      </c>
      <c r="U89">
        <f>IF(T89="","",SUMIFS(rGasto,rCom,T89,rFecha,"&gt;="&amp;pIni,rFecha,"&lt;="&amp;pFin))</f>
        <v/>
      </c>
      <c r="V89">
        <f>IF(T89="","",COUNTIFS(rCom,T89,rTipo,"Gasto",rFecha,"&gt;="&amp;pIni,rFecha,"&lt;="&amp;pFin))</f>
        <v/>
      </c>
      <c r="W89">
        <f>IF(T89="",-1E+12-85,N(U89)+(201-85)/1E+7)</f>
        <v/>
      </c>
    </row>
    <row r="90">
      <c r="J90">
        <f>IF(INDEX(catTipo,86)&amp;""="Gasto",INDEX(catNom,86)&amp;"","")</f>
        <v/>
      </c>
      <c r="K90">
        <f>IF(J90="","",SUMIFS(rGasto,rCat,J90,rFecha,"&gt;="&amp;pIni,rFecha,"&lt;="&amp;pFin))</f>
        <v/>
      </c>
      <c r="L90">
        <f>IF(J90="","",COUNTIFS(rCat,J90,rMonto,"&gt;0",rFecha,"&gt;="&amp;pIni,rFecha,"&lt;="&amp;pFin))</f>
        <v/>
      </c>
      <c r="M90">
        <f>IF(J90="",-1E+12-86,N(K90)+(101-86)/1E+7)</f>
        <v/>
      </c>
      <c r="T90">
        <f>IFERROR(INDEX(rCom,MATCH(86,rComIdx,0))&amp;"","")</f>
        <v/>
      </c>
      <c r="U90">
        <f>IF(T90="","",SUMIFS(rGasto,rCom,T90,rFecha,"&gt;="&amp;pIni,rFecha,"&lt;="&amp;pFin))</f>
        <v/>
      </c>
      <c r="V90">
        <f>IF(T90="","",COUNTIFS(rCom,T90,rTipo,"Gasto",rFecha,"&gt;="&amp;pIni,rFecha,"&lt;="&amp;pFin))</f>
        <v/>
      </c>
      <c r="W90">
        <f>IF(T90="",-1E+12-86,N(U90)+(201-86)/1E+7)</f>
        <v/>
      </c>
    </row>
    <row r="91">
      <c r="J91">
        <f>IF(INDEX(catTipo,87)&amp;""="Gasto",INDEX(catNom,87)&amp;"","")</f>
        <v/>
      </c>
      <c r="K91">
        <f>IF(J91="","",SUMIFS(rGasto,rCat,J91,rFecha,"&gt;="&amp;pIni,rFecha,"&lt;="&amp;pFin))</f>
        <v/>
      </c>
      <c r="L91">
        <f>IF(J91="","",COUNTIFS(rCat,J91,rMonto,"&gt;0",rFecha,"&gt;="&amp;pIni,rFecha,"&lt;="&amp;pFin))</f>
        <v/>
      </c>
      <c r="M91">
        <f>IF(J91="",-1E+12-87,N(K91)+(101-87)/1E+7)</f>
        <v/>
      </c>
      <c r="T91">
        <f>IFERROR(INDEX(rCom,MATCH(87,rComIdx,0))&amp;"","")</f>
        <v/>
      </c>
      <c r="U91">
        <f>IF(T91="","",SUMIFS(rGasto,rCom,T91,rFecha,"&gt;="&amp;pIni,rFecha,"&lt;="&amp;pFin))</f>
        <v/>
      </c>
      <c r="V91">
        <f>IF(T91="","",COUNTIFS(rCom,T91,rTipo,"Gasto",rFecha,"&gt;="&amp;pIni,rFecha,"&lt;="&amp;pFin))</f>
        <v/>
      </c>
      <c r="W91">
        <f>IF(T91="",-1E+12-87,N(U91)+(201-87)/1E+7)</f>
        <v/>
      </c>
    </row>
    <row r="92">
      <c r="J92">
        <f>IF(INDEX(catTipo,88)&amp;""="Gasto",INDEX(catNom,88)&amp;"","")</f>
        <v/>
      </c>
      <c r="K92">
        <f>IF(J92="","",SUMIFS(rGasto,rCat,J92,rFecha,"&gt;="&amp;pIni,rFecha,"&lt;="&amp;pFin))</f>
        <v/>
      </c>
      <c r="L92">
        <f>IF(J92="","",COUNTIFS(rCat,J92,rMonto,"&gt;0",rFecha,"&gt;="&amp;pIni,rFecha,"&lt;="&amp;pFin))</f>
        <v/>
      </c>
      <c r="M92">
        <f>IF(J92="",-1E+12-88,N(K92)+(101-88)/1E+7)</f>
        <v/>
      </c>
      <c r="T92">
        <f>IFERROR(INDEX(rCom,MATCH(88,rComIdx,0))&amp;"","")</f>
        <v/>
      </c>
      <c r="U92">
        <f>IF(T92="","",SUMIFS(rGasto,rCom,T92,rFecha,"&gt;="&amp;pIni,rFecha,"&lt;="&amp;pFin))</f>
        <v/>
      </c>
      <c r="V92">
        <f>IF(T92="","",COUNTIFS(rCom,T92,rTipo,"Gasto",rFecha,"&gt;="&amp;pIni,rFecha,"&lt;="&amp;pFin))</f>
        <v/>
      </c>
      <c r="W92">
        <f>IF(T92="",-1E+12-88,N(U92)+(201-88)/1E+7)</f>
        <v/>
      </c>
    </row>
    <row r="93">
      <c r="J93">
        <f>IF(INDEX(catTipo,89)&amp;""="Gasto",INDEX(catNom,89)&amp;"","")</f>
        <v/>
      </c>
      <c r="K93">
        <f>IF(J93="","",SUMIFS(rGasto,rCat,J93,rFecha,"&gt;="&amp;pIni,rFecha,"&lt;="&amp;pFin))</f>
        <v/>
      </c>
      <c r="L93">
        <f>IF(J93="","",COUNTIFS(rCat,J93,rMonto,"&gt;0",rFecha,"&gt;="&amp;pIni,rFecha,"&lt;="&amp;pFin))</f>
        <v/>
      </c>
      <c r="M93">
        <f>IF(J93="",-1E+12-89,N(K93)+(101-89)/1E+7)</f>
        <v/>
      </c>
      <c r="T93">
        <f>IFERROR(INDEX(rCom,MATCH(89,rComIdx,0))&amp;"","")</f>
        <v/>
      </c>
      <c r="U93">
        <f>IF(T93="","",SUMIFS(rGasto,rCom,T93,rFecha,"&gt;="&amp;pIni,rFecha,"&lt;="&amp;pFin))</f>
        <v/>
      </c>
      <c r="V93">
        <f>IF(T93="","",COUNTIFS(rCom,T93,rTipo,"Gasto",rFecha,"&gt;="&amp;pIni,rFecha,"&lt;="&amp;pFin))</f>
        <v/>
      </c>
      <c r="W93">
        <f>IF(T93="",-1E+12-89,N(U93)+(201-89)/1E+7)</f>
        <v/>
      </c>
    </row>
    <row r="94">
      <c r="J94">
        <f>IF(INDEX(catTipo,90)&amp;""="Gasto",INDEX(catNom,90)&amp;"","")</f>
        <v/>
      </c>
      <c r="K94">
        <f>IF(J94="","",SUMIFS(rGasto,rCat,J94,rFecha,"&gt;="&amp;pIni,rFecha,"&lt;="&amp;pFin))</f>
        <v/>
      </c>
      <c r="L94">
        <f>IF(J94="","",COUNTIFS(rCat,J94,rMonto,"&gt;0",rFecha,"&gt;="&amp;pIni,rFecha,"&lt;="&amp;pFin))</f>
        <v/>
      </c>
      <c r="M94">
        <f>IF(J94="",-1E+12-90,N(K94)+(101-90)/1E+7)</f>
        <v/>
      </c>
      <c r="T94">
        <f>IFERROR(INDEX(rCom,MATCH(90,rComIdx,0))&amp;"","")</f>
        <v/>
      </c>
      <c r="U94">
        <f>IF(T94="","",SUMIFS(rGasto,rCom,T94,rFecha,"&gt;="&amp;pIni,rFecha,"&lt;="&amp;pFin))</f>
        <v/>
      </c>
      <c r="V94">
        <f>IF(T94="","",COUNTIFS(rCom,T94,rTipo,"Gasto",rFecha,"&gt;="&amp;pIni,rFecha,"&lt;="&amp;pFin))</f>
        <v/>
      </c>
      <c r="W94">
        <f>IF(T94="",-1E+12-90,N(U94)+(201-90)/1E+7)</f>
        <v/>
      </c>
    </row>
    <row r="95">
      <c r="J95">
        <f>IF(INDEX(catTipo,91)&amp;""="Gasto",INDEX(catNom,91)&amp;"","")</f>
        <v/>
      </c>
      <c r="K95">
        <f>IF(J95="","",SUMIFS(rGasto,rCat,J95,rFecha,"&gt;="&amp;pIni,rFecha,"&lt;="&amp;pFin))</f>
        <v/>
      </c>
      <c r="L95">
        <f>IF(J95="","",COUNTIFS(rCat,J95,rMonto,"&gt;0",rFecha,"&gt;="&amp;pIni,rFecha,"&lt;="&amp;pFin))</f>
        <v/>
      </c>
      <c r="M95">
        <f>IF(J95="",-1E+12-91,N(K95)+(101-91)/1E+7)</f>
        <v/>
      </c>
      <c r="T95">
        <f>IFERROR(INDEX(rCom,MATCH(91,rComIdx,0))&amp;"","")</f>
        <v/>
      </c>
      <c r="U95">
        <f>IF(T95="","",SUMIFS(rGasto,rCom,T95,rFecha,"&gt;="&amp;pIni,rFecha,"&lt;="&amp;pFin))</f>
        <v/>
      </c>
      <c r="V95">
        <f>IF(T95="","",COUNTIFS(rCom,T95,rTipo,"Gasto",rFecha,"&gt;="&amp;pIni,rFecha,"&lt;="&amp;pFin))</f>
        <v/>
      </c>
      <c r="W95">
        <f>IF(T95="",-1E+12-91,N(U95)+(201-91)/1E+7)</f>
        <v/>
      </c>
    </row>
    <row r="96">
      <c r="J96">
        <f>IF(INDEX(catTipo,92)&amp;""="Gasto",INDEX(catNom,92)&amp;"","")</f>
        <v/>
      </c>
      <c r="K96">
        <f>IF(J96="","",SUMIFS(rGasto,rCat,J96,rFecha,"&gt;="&amp;pIni,rFecha,"&lt;="&amp;pFin))</f>
        <v/>
      </c>
      <c r="L96">
        <f>IF(J96="","",COUNTIFS(rCat,J96,rMonto,"&gt;0",rFecha,"&gt;="&amp;pIni,rFecha,"&lt;="&amp;pFin))</f>
        <v/>
      </c>
      <c r="M96">
        <f>IF(J96="",-1E+12-92,N(K96)+(101-92)/1E+7)</f>
        <v/>
      </c>
      <c r="T96">
        <f>IFERROR(INDEX(rCom,MATCH(92,rComIdx,0))&amp;"","")</f>
        <v/>
      </c>
      <c r="U96">
        <f>IF(T96="","",SUMIFS(rGasto,rCom,T96,rFecha,"&gt;="&amp;pIni,rFecha,"&lt;="&amp;pFin))</f>
        <v/>
      </c>
      <c r="V96">
        <f>IF(T96="","",COUNTIFS(rCom,T96,rTipo,"Gasto",rFecha,"&gt;="&amp;pIni,rFecha,"&lt;="&amp;pFin))</f>
        <v/>
      </c>
      <c r="W96">
        <f>IF(T96="",-1E+12-92,N(U96)+(201-92)/1E+7)</f>
        <v/>
      </c>
    </row>
    <row r="97">
      <c r="J97">
        <f>IF(INDEX(catTipo,93)&amp;""="Gasto",INDEX(catNom,93)&amp;"","")</f>
        <v/>
      </c>
      <c r="K97">
        <f>IF(J97="","",SUMIFS(rGasto,rCat,J97,rFecha,"&gt;="&amp;pIni,rFecha,"&lt;="&amp;pFin))</f>
        <v/>
      </c>
      <c r="L97">
        <f>IF(J97="","",COUNTIFS(rCat,J97,rMonto,"&gt;0",rFecha,"&gt;="&amp;pIni,rFecha,"&lt;="&amp;pFin))</f>
        <v/>
      </c>
      <c r="M97">
        <f>IF(J97="",-1E+12-93,N(K97)+(101-93)/1E+7)</f>
        <v/>
      </c>
      <c r="T97">
        <f>IFERROR(INDEX(rCom,MATCH(93,rComIdx,0))&amp;"","")</f>
        <v/>
      </c>
      <c r="U97">
        <f>IF(T97="","",SUMIFS(rGasto,rCom,T97,rFecha,"&gt;="&amp;pIni,rFecha,"&lt;="&amp;pFin))</f>
        <v/>
      </c>
      <c r="V97">
        <f>IF(T97="","",COUNTIFS(rCom,T97,rTipo,"Gasto",rFecha,"&gt;="&amp;pIni,rFecha,"&lt;="&amp;pFin))</f>
        <v/>
      </c>
      <c r="W97">
        <f>IF(T97="",-1E+12-93,N(U97)+(201-93)/1E+7)</f>
        <v/>
      </c>
    </row>
    <row r="98">
      <c r="J98">
        <f>IF(INDEX(catTipo,94)&amp;""="Gasto",INDEX(catNom,94)&amp;"","")</f>
        <v/>
      </c>
      <c r="K98">
        <f>IF(J98="","",SUMIFS(rGasto,rCat,J98,rFecha,"&gt;="&amp;pIni,rFecha,"&lt;="&amp;pFin))</f>
        <v/>
      </c>
      <c r="L98">
        <f>IF(J98="","",COUNTIFS(rCat,J98,rMonto,"&gt;0",rFecha,"&gt;="&amp;pIni,rFecha,"&lt;="&amp;pFin))</f>
        <v/>
      </c>
      <c r="M98">
        <f>IF(J98="",-1E+12-94,N(K98)+(101-94)/1E+7)</f>
        <v/>
      </c>
      <c r="T98">
        <f>IFERROR(INDEX(rCom,MATCH(94,rComIdx,0))&amp;"","")</f>
        <v/>
      </c>
      <c r="U98">
        <f>IF(T98="","",SUMIFS(rGasto,rCom,T98,rFecha,"&gt;="&amp;pIni,rFecha,"&lt;="&amp;pFin))</f>
        <v/>
      </c>
      <c r="V98">
        <f>IF(T98="","",COUNTIFS(rCom,T98,rTipo,"Gasto",rFecha,"&gt;="&amp;pIni,rFecha,"&lt;="&amp;pFin))</f>
        <v/>
      </c>
      <c r="W98">
        <f>IF(T98="",-1E+12-94,N(U98)+(201-94)/1E+7)</f>
        <v/>
      </c>
    </row>
    <row r="99">
      <c r="J99">
        <f>IF(INDEX(catTipo,95)&amp;""="Gasto",INDEX(catNom,95)&amp;"","")</f>
        <v/>
      </c>
      <c r="K99">
        <f>IF(J99="","",SUMIFS(rGasto,rCat,J99,rFecha,"&gt;="&amp;pIni,rFecha,"&lt;="&amp;pFin))</f>
        <v/>
      </c>
      <c r="L99">
        <f>IF(J99="","",COUNTIFS(rCat,J99,rMonto,"&gt;0",rFecha,"&gt;="&amp;pIni,rFecha,"&lt;="&amp;pFin))</f>
        <v/>
      </c>
      <c r="M99">
        <f>IF(J99="",-1E+12-95,N(K99)+(101-95)/1E+7)</f>
        <v/>
      </c>
      <c r="T99">
        <f>IFERROR(INDEX(rCom,MATCH(95,rComIdx,0))&amp;"","")</f>
        <v/>
      </c>
      <c r="U99">
        <f>IF(T99="","",SUMIFS(rGasto,rCom,T99,rFecha,"&gt;="&amp;pIni,rFecha,"&lt;="&amp;pFin))</f>
        <v/>
      </c>
      <c r="V99">
        <f>IF(T99="","",COUNTIFS(rCom,T99,rTipo,"Gasto",rFecha,"&gt;="&amp;pIni,rFecha,"&lt;="&amp;pFin))</f>
        <v/>
      </c>
      <c r="W99">
        <f>IF(T99="",-1E+12-95,N(U99)+(201-95)/1E+7)</f>
        <v/>
      </c>
    </row>
    <row r="100">
      <c r="J100">
        <f>IF(INDEX(catTipo,96)&amp;""="Gasto",INDEX(catNom,96)&amp;"","")</f>
        <v/>
      </c>
      <c r="K100">
        <f>IF(J100="","",SUMIFS(rGasto,rCat,J100,rFecha,"&gt;="&amp;pIni,rFecha,"&lt;="&amp;pFin))</f>
        <v/>
      </c>
      <c r="L100">
        <f>IF(J100="","",COUNTIFS(rCat,J100,rMonto,"&gt;0",rFecha,"&gt;="&amp;pIni,rFecha,"&lt;="&amp;pFin))</f>
        <v/>
      </c>
      <c r="M100">
        <f>IF(J100="",-1E+12-96,N(K100)+(101-96)/1E+7)</f>
        <v/>
      </c>
      <c r="T100">
        <f>IFERROR(INDEX(rCom,MATCH(96,rComIdx,0))&amp;"","")</f>
        <v/>
      </c>
      <c r="U100">
        <f>IF(T100="","",SUMIFS(rGasto,rCom,T100,rFecha,"&gt;="&amp;pIni,rFecha,"&lt;="&amp;pFin))</f>
        <v/>
      </c>
      <c r="V100">
        <f>IF(T100="","",COUNTIFS(rCom,T100,rTipo,"Gasto",rFecha,"&gt;="&amp;pIni,rFecha,"&lt;="&amp;pFin))</f>
        <v/>
      </c>
      <c r="W100">
        <f>IF(T100="",-1E+12-96,N(U100)+(201-96)/1E+7)</f>
        <v/>
      </c>
    </row>
    <row r="101">
      <c r="J101">
        <f>IF(INDEX(catTipo,97)&amp;""="Gasto",INDEX(catNom,97)&amp;"","")</f>
        <v/>
      </c>
      <c r="K101">
        <f>IF(J101="","",SUMIFS(rGasto,rCat,J101,rFecha,"&gt;="&amp;pIni,rFecha,"&lt;="&amp;pFin))</f>
        <v/>
      </c>
      <c r="L101">
        <f>IF(J101="","",COUNTIFS(rCat,J101,rMonto,"&gt;0",rFecha,"&gt;="&amp;pIni,rFecha,"&lt;="&amp;pFin))</f>
        <v/>
      </c>
      <c r="M101">
        <f>IF(J101="",-1E+12-97,N(K101)+(101-97)/1E+7)</f>
        <v/>
      </c>
      <c r="T101">
        <f>IFERROR(INDEX(rCom,MATCH(97,rComIdx,0))&amp;"","")</f>
        <v/>
      </c>
      <c r="U101">
        <f>IF(T101="","",SUMIFS(rGasto,rCom,T101,rFecha,"&gt;="&amp;pIni,rFecha,"&lt;="&amp;pFin))</f>
        <v/>
      </c>
      <c r="V101">
        <f>IF(T101="","",COUNTIFS(rCom,T101,rTipo,"Gasto",rFecha,"&gt;="&amp;pIni,rFecha,"&lt;="&amp;pFin))</f>
        <v/>
      </c>
      <c r="W101">
        <f>IF(T101="",-1E+12-97,N(U101)+(201-97)/1E+7)</f>
        <v/>
      </c>
    </row>
    <row r="102">
      <c r="J102">
        <f>IF(INDEX(catTipo,98)&amp;""="Gasto",INDEX(catNom,98)&amp;"","")</f>
        <v/>
      </c>
      <c r="K102">
        <f>IF(J102="","",SUMIFS(rGasto,rCat,J102,rFecha,"&gt;="&amp;pIni,rFecha,"&lt;="&amp;pFin))</f>
        <v/>
      </c>
      <c r="L102">
        <f>IF(J102="","",COUNTIFS(rCat,J102,rMonto,"&gt;0",rFecha,"&gt;="&amp;pIni,rFecha,"&lt;="&amp;pFin))</f>
        <v/>
      </c>
      <c r="M102">
        <f>IF(J102="",-1E+12-98,N(K102)+(101-98)/1E+7)</f>
        <v/>
      </c>
      <c r="T102">
        <f>IFERROR(INDEX(rCom,MATCH(98,rComIdx,0))&amp;"","")</f>
        <v/>
      </c>
      <c r="U102">
        <f>IF(T102="","",SUMIFS(rGasto,rCom,T102,rFecha,"&gt;="&amp;pIni,rFecha,"&lt;="&amp;pFin))</f>
        <v/>
      </c>
      <c r="V102">
        <f>IF(T102="","",COUNTIFS(rCom,T102,rTipo,"Gasto",rFecha,"&gt;="&amp;pIni,rFecha,"&lt;="&amp;pFin))</f>
        <v/>
      </c>
      <c r="W102">
        <f>IF(T102="",-1E+12-98,N(U102)+(201-98)/1E+7)</f>
        <v/>
      </c>
    </row>
    <row r="103">
      <c r="J103">
        <f>IF(INDEX(catTipo,99)&amp;""="Gasto",INDEX(catNom,99)&amp;"","")</f>
        <v/>
      </c>
      <c r="K103">
        <f>IF(J103="","",SUMIFS(rGasto,rCat,J103,rFecha,"&gt;="&amp;pIni,rFecha,"&lt;="&amp;pFin))</f>
        <v/>
      </c>
      <c r="L103">
        <f>IF(J103="","",COUNTIFS(rCat,J103,rMonto,"&gt;0",rFecha,"&gt;="&amp;pIni,rFecha,"&lt;="&amp;pFin))</f>
        <v/>
      </c>
      <c r="M103">
        <f>IF(J103="",-1E+12-99,N(K103)+(101-99)/1E+7)</f>
        <v/>
      </c>
      <c r="T103">
        <f>IFERROR(INDEX(rCom,MATCH(99,rComIdx,0))&amp;"","")</f>
        <v/>
      </c>
      <c r="U103">
        <f>IF(T103="","",SUMIFS(rGasto,rCom,T103,rFecha,"&gt;="&amp;pIni,rFecha,"&lt;="&amp;pFin))</f>
        <v/>
      </c>
      <c r="V103">
        <f>IF(T103="","",COUNTIFS(rCom,T103,rTipo,"Gasto",rFecha,"&gt;="&amp;pIni,rFecha,"&lt;="&amp;pFin))</f>
        <v/>
      </c>
      <c r="W103">
        <f>IF(T103="",-1E+12-99,N(U103)+(201-99)/1E+7)</f>
        <v/>
      </c>
    </row>
    <row r="104">
      <c r="J104">
        <f>IF(INDEX(catTipo,100)&amp;""="Gasto",INDEX(catNom,100)&amp;"","")</f>
        <v/>
      </c>
      <c r="K104">
        <f>IF(J104="","",SUMIFS(rGasto,rCat,J104,rFecha,"&gt;="&amp;pIni,rFecha,"&lt;="&amp;pFin))</f>
        <v/>
      </c>
      <c r="L104">
        <f>IF(J104="","",COUNTIFS(rCat,J104,rMonto,"&gt;0",rFecha,"&gt;="&amp;pIni,rFecha,"&lt;="&amp;pFin))</f>
        <v/>
      </c>
      <c r="M104">
        <f>IF(J104="",-1E+12-100,N(K104)+(101-100)/1E+7)</f>
        <v/>
      </c>
      <c r="T104">
        <f>IFERROR(INDEX(rCom,MATCH(100,rComIdx,0))&amp;"","")</f>
        <v/>
      </c>
      <c r="U104">
        <f>IF(T104="","",SUMIFS(rGasto,rCom,T104,rFecha,"&gt;="&amp;pIni,rFecha,"&lt;="&amp;pFin))</f>
        <v/>
      </c>
      <c r="V104">
        <f>IF(T104="","",COUNTIFS(rCom,T104,rTipo,"Gasto",rFecha,"&gt;="&amp;pIni,rFecha,"&lt;="&amp;pFin))</f>
        <v/>
      </c>
      <c r="W104">
        <f>IF(T104="",-1E+12-100,N(U104)+(201-100)/1E+7)</f>
        <v/>
      </c>
    </row>
    <row r="105">
      <c r="T105">
        <f>IFERROR(INDEX(rCom,MATCH(101,rComIdx,0))&amp;"","")</f>
        <v/>
      </c>
      <c r="U105">
        <f>IF(T105="","",SUMIFS(rGasto,rCom,T105,rFecha,"&gt;="&amp;pIni,rFecha,"&lt;="&amp;pFin))</f>
        <v/>
      </c>
      <c r="V105">
        <f>IF(T105="","",COUNTIFS(rCom,T105,rTipo,"Gasto",rFecha,"&gt;="&amp;pIni,rFecha,"&lt;="&amp;pFin))</f>
        <v/>
      </c>
      <c r="W105">
        <f>IF(T105="",-1E+12-101,N(U105)+(201-101)/1E+7)</f>
        <v/>
      </c>
    </row>
    <row r="106">
      <c r="T106">
        <f>IFERROR(INDEX(rCom,MATCH(102,rComIdx,0))&amp;"","")</f>
        <v/>
      </c>
      <c r="U106">
        <f>IF(T106="","",SUMIFS(rGasto,rCom,T106,rFecha,"&gt;="&amp;pIni,rFecha,"&lt;="&amp;pFin))</f>
        <v/>
      </c>
      <c r="V106">
        <f>IF(T106="","",COUNTIFS(rCom,T106,rTipo,"Gasto",rFecha,"&gt;="&amp;pIni,rFecha,"&lt;="&amp;pFin))</f>
        <v/>
      </c>
      <c r="W106">
        <f>IF(T106="",-1E+12-102,N(U106)+(201-102)/1E+7)</f>
        <v/>
      </c>
    </row>
    <row r="107">
      <c r="T107">
        <f>IFERROR(INDEX(rCom,MATCH(103,rComIdx,0))&amp;"","")</f>
        <v/>
      </c>
      <c r="U107">
        <f>IF(T107="","",SUMIFS(rGasto,rCom,T107,rFecha,"&gt;="&amp;pIni,rFecha,"&lt;="&amp;pFin))</f>
        <v/>
      </c>
      <c r="V107">
        <f>IF(T107="","",COUNTIFS(rCom,T107,rTipo,"Gasto",rFecha,"&gt;="&amp;pIni,rFecha,"&lt;="&amp;pFin))</f>
        <v/>
      </c>
      <c r="W107">
        <f>IF(T107="",-1E+12-103,N(U107)+(201-103)/1E+7)</f>
        <v/>
      </c>
    </row>
    <row r="108">
      <c r="T108">
        <f>IFERROR(INDEX(rCom,MATCH(104,rComIdx,0))&amp;"","")</f>
        <v/>
      </c>
      <c r="U108">
        <f>IF(T108="","",SUMIFS(rGasto,rCom,T108,rFecha,"&gt;="&amp;pIni,rFecha,"&lt;="&amp;pFin))</f>
        <v/>
      </c>
      <c r="V108">
        <f>IF(T108="","",COUNTIFS(rCom,T108,rTipo,"Gasto",rFecha,"&gt;="&amp;pIni,rFecha,"&lt;="&amp;pFin))</f>
        <v/>
      </c>
      <c r="W108">
        <f>IF(T108="",-1E+12-104,N(U108)+(201-104)/1E+7)</f>
        <v/>
      </c>
    </row>
    <row r="109">
      <c r="T109">
        <f>IFERROR(INDEX(rCom,MATCH(105,rComIdx,0))&amp;"","")</f>
        <v/>
      </c>
      <c r="U109">
        <f>IF(T109="","",SUMIFS(rGasto,rCom,T109,rFecha,"&gt;="&amp;pIni,rFecha,"&lt;="&amp;pFin))</f>
        <v/>
      </c>
      <c r="V109">
        <f>IF(T109="","",COUNTIFS(rCom,T109,rTipo,"Gasto",rFecha,"&gt;="&amp;pIni,rFecha,"&lt;="&amp;pFin))</f>
        <v/>
      </c>
      <c r="W109">
        <f>IF(T109="",-1E+12-105,N(U109)+(201-105)/1E+7)</f>
        <v/>
      </c>
    </row>
    <row r="110">
      <c r="T110">
        <f>IFERROR(INDEX(rCom,MATCH(106,rComIdx,0))&amp;"","")</f>
        <v/>
      </c>
      <c r="U110">
        <f>IF(T110="","",SUMIFS(rGasto,rCom,T110,rFecha,"&gt;="&amp;pIni,rFecha,"&lt;="&amp;pFin))</f>
        <v/>
      </c>
      <c r="V110">
        <f>IF(T110="","",COUNTIFS(rCom,T110,rTipo,"Gasto",rFecha,"&gt;="&amp;pIni,rFecha,"&lt;="&amp;pFin))</f>
        <v/>
      </c>
      <c r="W110">
        <f>IF(T110="",-1E+12-106,N(U110)+(201-106)/1E+7)</f>
        <v/>
      </c>
    </row>
    <row r="111">
      <c r="T111">
        <f>IFERROR(INDEX(rCom,MATCH(107,rComIdx,0))&amp;"","")</f>
        <v/>
      </c>
      <c r="U111">
        <f>IF(T111="","",SUMIFS(rGasto,rCom,T111,rFecha,"&gt;="&amp;pIni,rFecha,"&lt;="&amp;pFin))</f>
        <v/>
      </c>
      <c r="V111">
        <f>IF(T111="","",COUNTIFS(rCom,T111,rTipo,"Gasto",rFecha,"&gt;="&amp;pIni,rFecha,"&lt;="&amp;pFin))</f>
        <v/>
      </c>
      <c r="W111">
        <f>IF(T111="",-1E+12-107,N(U111)+(201-107)/1E+7)</f>
        <v/>
      </c>
    </row>
    <row r="112">
      <c r="T112">
        <f>IFERROR(INDEX(rCom,MATCH(108,rComIdx,0))&amp;"","")</f>
        <v/>
      </c>
      <c r="U112">
        <f>IF(T112="","",SUMIFS(rGasto,rCom,T112,rFecha,"&gt;="&amp;pIni,rFecha,"&lt;="&amp;pFin))</f>
        <v/>
      </c>
      <c r="V112">
        <f>IF(T112="","",COUNTIFS(rCom,T112,rTipo,"Gasto",rFecha,"&gt;="&amp;pIni,rFecha,"&lt;="&amp;pFin))</f>
        <v/>
      </c>
      <c r="W112">
        <f>IF(T112="",-1E+12-108,N(U112)+(201-108)/1E+7)</f>
        <v/>
      </c>
    </row>
    <row r="113">
      <c r="T113">
        <f>IFERROR(INDEX(rCom,MATCH(109,rComIdx,0))&amp;"","")</f>
        <v/>
      </c>
      <c r="U113">
        <f>IF(T113="","",SUMIFS(rGasto,rCom,T113,rFecha,"&gt;="&amp;pIni,rFecha,"&lt;="&amp;pFin))</f>
        <v/>
      </c>
      <c r="V113">
        <f>IF(T113="","",COUNTIFS(rCom,T113,rTipo,"Gasto",rFecha,"&gt;="&amp;pIni,rFecha,"&lt;="&amp;pFin))</f>
        <v/>
      </c>
      <c r="W113">
        <f>IF(T113="",-1E+12-109,N(U113)+(201-109)/1E+7)</f>
        <v/>
      </c>
    </row>
    <row r="114">
      <c r="T114">
        <f>IFERROR(INDEX(rCom,MATCH(110,rComIdx,0))&amp;"","")</f>
        <v/>
      </c>
      <c r="U114">
        <f>IF(T114="","",SUMIFS(rGasto,rCom,T114,rFecha,"&gt;="&amp;pIni,rFecha,"&lt;="&amp;pFin))</f>
        <v/>
      </c>
      <c r="V114">
        <f>IF(T114="","",COUNTIFS(rCom,T114,rTipo,"Gasto",rFecha,"&gt;="&amp;pIni,rFecha,"&lt;="&amp;pFin))</f>
        <v/>
      </c>
      <c r="W114">
        <f>IF(T114="",-1E+12-110,N(U114)+(201-110)/1E+7)</f>
        <v/>
      </c>
    </row>
    <row r="115">
      <c r="T115">
        <f>IFERROR(INDEX(rCom,MATCH(111,rComIdx,0))&amp;"","")</f>
        <v/>
      </c>
      <c r="U115">
        <f>IF(T115="","",SUMIFS(rGasto,rCom,T115,rFecha,"&gt;="&amp;pIni,rFecha,"&lt;="&amp;pFin))</f>
        <v/>
      </c>
      <c r="V115">
        <f>IF(T115="","",COUNTIFS(rCom,T115,rTipo,"Gasto",rFecha,"&gt;="&amp;pIni,rFecha,"&lt;="&amp;pFin))</f>
        <v/>
      </c>
      <c r="W115">
        <f>IF(T115="",-1E+12-111,N(U115)+(201-111)/1E+7)</f>
        <v/>
      </c>
    </row>
    <row r="116">
      <c r="T116">
        <f>IFERROR(INDEX(rCom,MATCH(112,rComIdx,0))&amp;"","")</f>
        <v/>
      </c>
      <c r="U116">
        <f>IF(T116="","",SUMIFS(rGasto,rCom,T116,rFecha,"&gt;="&amp;pIni,rFecha,"&lt;="&amp;pFin))</f>
        <v/>
      </c>
      <c r="V116">
        <f>IF(T116="","",COUNTIFS(rCom,T116,rTipo,"Gasto",rFecha,"&gt;="&amp;pIni,rFecha,"&lt;="&amp;pFin))</f>
        <v/>
      </c>
      <c r="W116">
        <f>IF(T116="",-1E+12-112,N(U116)+(201-112)/1E+7)</f>
        <v/>
      </c>
    </row>
    <row r="117">
      <c r="T117">
        <f>IFERROR(INDEX(rCom,MATCH(113,rComIdx,0))&amp;"","")</f>
        <v/>
      </c>
      <c r="U117">
        <f>IF(T117="","",SUMIFS(rGasto,rCom,T117,rFecha,"&gt;="&amp;pIni,rFecha,"&lt;="&amp;pFin))</f>
        <v/>
      </c>
      <c r="V117">
        <f>IF(T117="","",COUNTIFS(rCom,T117,rTipo,"Gasto",rFecha,"&gt;="&amp;pIni,rFecha,"&lt;="&amp;pFin))</f>
        <v/>
      </c>
      <c r="W117">
        <f>IF(T117="",-1E+12-113,N(U117)+(201-113)/1E+7)</f>
        <v/>
      </c>
    </row>
    <row r="118">
      <c r="T118">
        <f>IFERROR(INDEX(rCom,MATCH(114,rComIdx,0))&amp;"","")</f>
        <v/>
      </c>
      <c r="U118">
        <f>IF(T118="","",SUMIFS(rGasto,rCom,T118,rFecha,"&gt;="&amp;pIni,rFecha,"&lt;="&amp;pFin))</f>
        <v/>
      </c>
      <c r="V118">
        <f>IF(T118="","",COUNTIFS(rCom,T118,rTipo,"Gasto",rFecha,"&gt;="&amp;pIni,rFecha,"&lt;="&amp;pFin))</f>
        <v/>
      </c>
      <c r="W118">
        <f>IF(T118="",-1E+12-114,N(U118)+(201-114)/1E+7)</f>
        <v/>
      </c>
    </row>
    <row r="119">
      <c r="T119">
        <f>IFERROR(INDEX(rCom,MATCH(115,rComIdx,0))&amp;"","")</f>
        <v/>
      </c>
      <c r="U119">
        <f>IF(T119="","",SUMIFS(rGasto,rCom,T119,rFecha,"&gt;="&amp;pIni,rFecha,"&lt;="&amp;pFin))</f>
        <v/>
      </c>
      <c r="V119">
        <f>IF(T119="","",COUNTIFS(rCom,T119,rTipo,"Gasto",rFecha,"&gt;="&amp;pIni,rFecha,"&lt;="&amp;pFin))</f>
        <v/>
      </c>
      <c r="W119">
        <f>IF(T119="",-1E+12-115,N(U119)+(201-115)/1E+7)</f>
        <v/>
      </c>
    </row>
    <row r="120">
      <c r="T120">
        <f>IFERROR(INDEX(rCom,MATCH(116,rComIdx,0))&amp;"","")</f>
        <v/>
      </c>
      <c r="U120">
        <f>IF(T120="","",SUMIFS(rGasto,rCom,T120,rFecha,"&gt;="&amp;pIni,rFecha,"&lt;="&amp;pFin))</f>
        <v/>
      </c>
      <c r="V120">
        <f>IF(T120="","",COUNTIFS(rCom,T120,rTipo,"Gasto",rFecha,"&gt;="&amp;pIni,rFecha,"&lt;="&amp;pFin))</f>
        <v/>
      </c>
      <c r="W120">
        <f>IF(T120="",-1E+12-116,N(U120)+(201-116)/1E+7)</f>
        <v/>
      </c>
    </row>
    <row r="121">
      <c r="T121">
        <f>IFERROR(INDEX(rCom,MATCH(117,rComIdx,0))&amp;"","")</f>
        <v/>
      </c>
      <c r="U121">
        <f>IF(T121="","",SUMIFS(rGasto,rCom,T121,rFecha,"&gt;="&amp;pIni,rFecha,"&lt;="&amp;pFin))</f>
        <v/>
      </c>
      <c r="V121">
        <f>IF(T121="","",COUNTIFS(rCom,T121,rTipo,"Gasto",rFecha,"&gt;="&amp;pIni,rFecha,"&lt;="&amp;pFin))</f>
        <v/>
      </c>
      <c r="W121">
        <f>IF(T121="",-1E+12-117,N(U121)+(201-117)/1E+7)</f>
        <v/>
      </c>
    </row>
    <row r="122">
      <c r="T122">
        <f>IFERROR(INDEX(rCom,MATCH(118,rComIdx,0))&amp;"","")</f>
        <v/>
      </c>
      <c r="U122">
        <f>IF(T122="","",SUMIFS(rGasto,rCom,T122,rFecha,"&gt;="&amp;pIni,rFecha,"&lt;="&amp;pFin))</f>
        <v/>
      </c>
      <c r="V122">
        <f>IF(T122="","",COUNTIFS(rCom,T122,rTipo,"Gasto",rFecha,"&gt;="&amp;pIni,rFecha,"&lt;="&amp;pFin))</f>
        <v/>
      </c>
      <c r="W122">
        <f>IF(T122="",-1E+12-118,N(U122)+(201-118)/1E+7)</f>
        <v/>
      </c>
    </row>
    <row r="123">
      <c r="T123">
        <f>IFERROR(INDEX(rCom,MATCH(119,rComIdx,0))&amp;"","")</f>
        <v/>
      </c>
      <c r="U123">
        <f>IF(T123="","",SUMIFS(rGasto,rCom,T123,rFecha,"&gt;="&amp;pIni,rFecha,"&lt;="&amp;pFin))</f>
        <v/>
      </c>
      <c r="V123">
        <f>IF(T123="","",COUNTIFS(rCom,T123,rTipo,"Gasto",rFecha,"&gt;="&amp;pIni,rFecha,"&lt;="&amp;pFin))</f>
        <v/>
      </c>
      <c r="W123">
        <f>IF(T123="",-1E+12-119,N(U123)+(201-119)/1E+7)</f>
        <v/>
      </c>
    </row>
    <row r="124">
      <c r="T124">
        <f>IFERROR(INDEX(rCom,MATCH(120,rComIdx,0))&amp;"","")</f>
        <v/>
      </c>
      <c r="U124">
        <f>IF(T124="","",SUMIFS(rGasto,rCom,T124,rFecha,"&gt;="&amp;pIni,rFecha,"&lt;="&amp;pFin))</f>
        <v/>
      </c>
      <c r="V124">
        <f>IF(T124="","",COUNTIFS(rCom,T124,rTipo,"Gasto",rFecha,"&gt;="&amp;pIni,rFecha,"&lt;="&amp;pFin))</f>
        <v/>
      </c>
      <c r="W124">
        <f>IF(T124="",-1E+12-120,N(U124)+(201-120)/1E+7)</f>
        <v/>
      </c>
    </row>
    <row r="125">
      <c r="T125">
        <f>IFERROR(INDEX(rCom,MATCH(121,rComIdx,0))&amp;"","")</f>
        <v/>
      </c>
      <c r="U125">
        <f>IF(T125="","",SUMIFS(rGasto,rCom,T125,rFecha,"&gt;="&amp;pIni,rFecha,"&lt;="&amp;pFin))</f>
        <v/>
      </c>
      <c r="V125">
        <f>IF(T125="","",COUNTIFS(rCom,T125,rTipo,"Gasto",rFecha,"&gt;="&amp;pIni,rFecha,"&lt;="&amp;pFin))</f>
        <v/>
      </c>
      <c r="W125">
        <f>IF(T125="",-1E+12-121,N(U125)+(201-121)/1E+7)</f>
        <v/>
      </c>
    </row>
    <row r="126">
      <c r="T126">
        <f>IFERROR(INDEX(rCom,MATCH(122,rComIdx,0))&amp;"","")</f>
        <v/>
      </c>
      <c r="U126">
        <f>IF(T126="","",SUMIFS(rGasto,rCom,T126,rFecha,"&gt;="&amp;pIni,rFecha,"&lt;="&amp;pFin))</f>
        <v/>
      </c>
      <c r="V126">
        <f>IF(T126="","",COUNTIFS(rCom,T126,rTipo,"Gasto",rFecha,"&gt;="&amp;pIni,rFecha,"&lt;="&amp;pFin))</f>
        <v/>
      </c>
      <c r="W126">
        <f>IF(T126="",-1E+12-122,N(U126)+(201-122)/1E+7)</f>
        <v/>
      </c>
    </row>
    <row r="127">
      <c r="T127">
        <f>IFERROR(INDEX(rCom,MATCH(123,rComIdx,0))&amp;"","")</f>
        <v/>
      </c>
      <c r="U127">
        <f>IF(T127="","",SUMIFS(rGasto,rCom,T127,rFecha,"&gt;="&amp;pIni,rFecha,"&lt;="&amp;pFin))</f>
        <v/>
      </c>
      <c r="V127">
        <f>IF(T127="","",COUNTIFS(rCom,T127,rTipo,"Gasto",rFecha,"&gt;="&amp;pIni,rFecha,"&lt;="&amp;pFin))</f>
        <v/>
      </c>
      <c r="W127">
        <f>IF(T127="",-1E+12-123,N(U127)+(201-123)/1E+7)</f>
        <v/>
      </c>
    </row>
    <row r="128">
      <c r="T128">
        <f>IFERROR(INDEX(rCom,MATCH(124,rComIdx,0))&amp;"","")</f>
        <v/>
      </c>
      <c r="U128">
        <f>IF(T128="","",SUMIFS(rGasto,rCom,T128,rFecha,"&gt;="&amp;pIni,rFecha,"&lt;="&amp;pFin))</f>
        <v/>
      </c>
      <c r="V128">
        <f>IF(T128="","",COUNTIFS(rCom,T128,rTipo,"Gasto",rFecha,"&gt;="&amp;pIni,rFecha,"&lt;="&amp;pFin))</f>
        <v/>
      </c>
      <c r="W128">
        <f>IF(T128="",-1E+12-124,N(U128)+(201-124)/1E+7)</f>
        <v/>
      </c>
    </row>
    <row r="129">
      <c r="T129">
        <f>IFERROR(INDEX(rCom,MATCH(125,rComIdx,0))&amp;"","")</f>
        <v/>
      </c>
      <c r="U129">
        <f>IF(T129="","",SUMIFS(rGasto,rCom,T129,rFecha,"&gt;="&amp;pIni,rFecha,"&lt;="&amp;pFin))</f>
        <v/>
      </c>
      <c r="V129">
        <f>IF(T129="","",COUNTIFS(rCom,T129,rTipo,"Gasto",rFecha,"&gt;="&amp;pIni,rFecha,"&lt;="&amp;pFin))</f>
        <v/>
      </c>
      <c r="W129">
        <f>IF(T129="",-1E+12-125,N(U129)+(201-125)/1E+7)</f>
        <v/>
      </c>
    </row>
    <row r="130">
      <c r="T130">
        <f>IFERROR(INDEX(rCom,MATCH(126,rComIdx,0))&amp;"","")</f>
        <v/>
      </c>
      <c r="U130">
        <f>IF(T130="","",SUMIFS(rGasto,rCom,T130,rFecha,"&gt;="&amp;pIni,rFecha,"&lt;="&amp;pFin))</f>
        <v/>
      </c>
      <c r="V130">
        <f>IF(T130="","",COUNTIFS(rCom,T130,rTipo,"Gasto",rFecha,"&gt;="&amp;pIni,rFecha,"&lt;="&amp;pFin))</f>
        <v/>
      </c>
      <c r="W130">
        <f>IF(T130="",-1E+12-126,N(U130)+(201-126)/1E+7)</f>
        <v/>
      </c>
    </row>
    <row r="131">
      <c r="T131">
        <f>IFERROR(INDEX(rCom,MATCH(127,rComIdx,0))&amp;"","")</f>
        <v/>
      </c>
      <c r="U131">
        <f>IF(T131="","",SUMIFS(rGasto,rCom,T131,rFecha,"&gt;="&amp;pIni,rFecha,"&lt;="&amp;pFin))</f>
        <v/>
      </c>
      <c r="V131">
        <f>IF(T131="","",COUNTIFS(rCom,T131,rTipo,"Gasto",rFecha,"&gt;="&amp;pIni,rFecha,"&lt;="&amp;pFin))</f>
        <v/>
      </c>
      <c r="W131">
        <f>IF(T131="",-1E+12-127,N(U131)+(201-127)/1E+7)</f>
        <v/>
      </c>
    </row>
    <row r="132">
      <c r="T132">
        <f>IFERROR(INDEX(rCom,MATCH(128,rComIdx,0))&amp;"","")</f>
        <v/>
      </c>
      <c r="U132">
        <f>IF(T132="","",SUMIFS(rGasto,rCom,T132,rFecha,"&gt;="&amp;pIni,rFecha,"&lt;="&amp;pFin))</f>
        <v/>
      </c>
      <c r="V132">
        <f>IF(T132="","",COUNTIFS(rCom,T132,rTipo,"Gasto",rFecha,"&gt;="&amp;pIni,rFecha,"&lt;="&amp;pFin))</f>
        <v/>
      </c>
      <c r="W132">
        <f>IF(T132="",-1E+12-128,N(U132)+(201-128)/1E+7)</f>
        <v/>
      </c>
    </row>
    <row r="133">
      <c r="T133">
        <f>IFERROR(INDEX(rCom,MATCH(129,rComIdx,0))&amp;"","")</f>
        <v/>
      </c>
      <c r="U133">
        <f>IF(T133="","",SUMIFS(rGasto,rCom,T133,rFecha,"&gt;="&amp;pIni,rFecha,"&lt;="&amp;pFin))</f>
        <v/>
      </c>
      <c r="V133">
        <f>IF(T133="","",COUNTIFS(rCom,T133,rTipo,"Gasto",rFecha,"&gt;="&amp;pIni,rFecha,"&lt;="&amp;pFin))</f>
        <v/>
      </c>
      <c r="W133">
        <f>IF(T133="",-1E+12-129,N(U133)+(201-129)/1E+7)</f>
        <v/>
      </c>
    </row>
    <row r="134">
      <c r="T134">
        <f>IFERROR(INDEX(rCom,MATCH(130,rComIdx,0))&amp;"","")</f>
        <v/>
      </c>
      <c r="U134">
        <f>IF(T134="","",SUMIFS(rGasto,rCom,T134,rFecha,"&gt;="&amp;pIni,rFecha,"&lt;="&amp;pFin))</f>
        <v/>
      </c>
      <c r="V134">
        <f>IF(T134="","",COUNTIFS(rCom,T134,rTipo,"Gasto",rFecha,"&gt;="&amp;pIni,rFecha,"&lt;="&amp;pFin))</f>
        <v/>
      </c>
      <c r="W134">
        <f>IF(T134="",-1E+12-130,N(U134)+(201-130)/1E+7)</f>
        <v/>
      </c>
    </row>
    <row r="135">
      <c r="T135">
        <f>IFERROR(INDEX(rCom,MATCH(131,rComIdx,0))&amp;"","")</f>
        <v/>
      </c>
      <c r="U135">
        <f>IF(T135="","",SUMIFS(rGasto,rCom,T135,rFecha,"&gt;="&amp;pIni,rFecha,"&lt;="&amp;pFin))</f>
        <v/>
      </c>
      <c r="V135">
        <f>IF(T135="","",COUNTIFS(rCom,T135,rTipo,"Gasto",rFecha,"&gt;="&amp;pIni,rFecha,"&lt;="&amp;pFin))</f>
        <v/>
      </c>
      <c r="W135">
        <f>IF(T135="",-1E+12-131,N(U135)+(201-131)/1E+7)</f>
        <v/>
      </c>
    </row>
    <row r="136">
      <c r="T136">
        <f>IFERROR(INDEX(rCom,MATCH(132,rComIdx,0))&amp;"","")</f>
        <v/>
      </c>
      <c r="U136">
        <f>IF(T136="","",SUMIFS(rGasto,rCom,T136,rFecha,"&gt;="&amp;pIni,rFecha,"&lt;="&amp;pFin))</f>
        <v/>
      </c>
      <c r="V136">
        <f>IF(T136="","",COUNTIFS(rCom,T136,rTipo,"Gasto",rFecha,"&gt;="&amp;pIni,rFecha,"&lt;="&amp;pFin))</f>
        <v/>
      </c>
      <c r="W136">
        <f>IF(T136="",-1E+12-132,N(U136)+(201-132)/1E+7)</f>
        <v/>
      </c>
    </row>
    <row r="137">
      <c r="T137">
        <f>IFERROR(INDEX(rCom,MATCH(133,rComIdx,0))&amp;"","")</f>
        <v/>
      </c>
      <c r="U137">
        <f>IF(T137="","",SUMIFS(rGasto,rCom,T137,rFecha,"&gt;="&amp;pIni,rFecha,"&lt;="&amp;pFin))</f>
        <v/>
      </c>
      <c r="V137">
        <f>IF(T137="","",COUNTIFS(rCom,T137,rTipo,"Gasto",rFecha,"&gt;="&amp;pIni,rFecha,"&lt;="&amp;pFin))</f>
        <v/>
      </c>
      <c r="W137">
        <f>IF(T137="",-1E+12-133,N(U137)+(201-133)/1E+7)</f>
        <v/>
      </c>
    </row>
    <row r="138">
      <c r="T138">
        <f>IFERROR(INDEX(rCom,MATCH(134,rComIdx,0))&amp;"","")</f>
        <v/>
      </c>
      <c r="U138">
        <f>IF(T138="","",SUMIFS(rGasto,rCom,T138,rFecha,"&gt;="&amp;pIni,rFecha,"&lt;="&amp;pFin))</f>
        <v/>
      </c>
      <c r="V138">
        <f>IF(T138="","",COUNTIFS(rCom,T138,rTipo,"Gasto",rFecha,"&gt;="&amp;pIni,rFecha,"&lt;="&amp;pFin))</f>
        <v/>
      </c>
      <c r="W138">
        <f>IF(T138="",-1E+12-134,N(U138)+(201-134)/1E+7)</f>
        <v/>
      </c>
    </row>
    <row r="139">
      <c r="T139">
        <f>IFERROR(INDEX(rCom,MATCH(135,rComIdx,0))&amp;"","")</f>
        <v/>
      </c>
      <c r="U139">
        <f>IF(T139="","",SUMIFS(rGasto,rCom,T139,rFecha,"&gt;="&amp;pIni,rFecha,"&lt;="&amp;pFin))</f>
        <v/>
      </c>
      <c r="V139">
        <f>IF(T139="","",COUNTIFS(rCom,T139,rTipo,"Gasto",rFecha,"&gt;="&amp;pIni,rFecha,"&lt;="&amp;pFin))</f>
        <v/>
      </c>
      <c r="W139">
        <f>IF(T139="",-1E+12-135,N(U139)+(201-135)/1E+7)</f>
        <v/>
      </c>
    </row>
    <row r="140">
      <c r="T140">
        <f>IFERROR(INDEX(rCom,MATCH(136,rComIdx,0))&amp;"","")</f>
        <v/>
      </c>
      <c r="U140">
        <f>IF(T140="","",SUMIFS(rGasto,rCom,T140,rFecha,"&gt;="&amp;pIni,rFecha,"&lt;="&amp;pFin))</f>
        <v/>
      </c>
      <c r="V140">
        <f>IF(T140="","",COUNTIFS(rCom,T140,rTipo,"Gasto",rFecha,"&gt;="&amp;pIni,rFecha,"&lt;="&amp;pFin))</f>
        <v/>
      </c>
      <c r="W140">
        <f>IF(T140="",-1E+12-136,N(U140)+(201-136)/1E+7)</f>
        <v/>
      </c>
    </row>
    <row r="141">
      <c r="T141">
        <f>IFERROR(INDEX(rCom,MATCH(137,rComIdx,0))&amp;"","")</f>
        <v/>
      </c>
      <c r="U141">
        <f>IF(T141="","",SUMIFS(rGasto,rCom,T141,rFecha,"&gt;="&amp;pIni,rFecha,"&lt;="&amp;pFin))</f>
        <v/>
      </c>
      <c r="V141">
        <f>IF(T141="","",COUNTIFS(rCom,T141,rTipo,"Gasto",rFecha,"&gt;="&amp;pIni,rFecha,"&lt;="&amp;pFin))</f>
        <v/>
      </c>
      <c r="W141">
        <f>IF(T141="",-1E+12-137,N(U141)+(201-137)/1E+7)</f>
        <v/>
      </c>
    </row>
    <row r="142">
      <c r="T142">
        <f>IFERROR(INDEX(rCom,MATCH(138,rComIdx,0))&amp;"","")</f>
        <v/>
      </c>
      <c r="U142">
        <f>IF(T142="","",SUMIFS(rGasto,rCom,T142,rFecha,"&gt;="&amp;pIni,rFecha,"&lt;="&amp;pFin))</f>
        <v/>
      </c>
      <c r="V142">
        <f>IF(T142="","",COUNTIFS(rCom,T142,rTipo,"Gasto",rFecha,"&gt;="&amp;pIni,rFecha,"&lt;="&amp;pFin))</f>
        <v/>
      </c>
      <c r="W142">
        <f>IF(T142="",-1E+12-138,N(U142)+(201-138)/1E+7)</f>
        <v/>
      </c>
    </row>
    <row r="143">
      <c r="T143">
        <f>IFERROR(INDEX(rCom,MATCH(139,rComIdx,0))&amp;"","")</f>
        <v/>
      </c>
      <c r="U143">
        <f>IF(T143="","",SUMIFS(rGasto,rCom,T143,rFecha,"&gt;="&amp;pIni,rFecha,"&lt;="&amp;pFin))</f>
        <v/>
      </c>
      <c r="V143">
        <f>IF(T143="","",COUNTIFS(rCom,T143,rTipo,"Gasto",rFecha,"&gt;="&amp;pIni,rFecha,"&lt;="&amp;pFin))</f>
        <v/>
      </c>
      <c r="W143">
        <f>IF(T143="",-1E+12-139,N(U143)+(201-139)/1E+7)</f>
        <v/>
      </c>
    </row>
    <row r="144">
      <c r="T144">
        <f>IFERROR(INDEX(rCom,MATCH(140,rComIdx,0))&amp;"","")</f>
        <v/>
      </c>
      <c r="U144">
        <f>IF(T144="","",SUMIFS(rGasto,rCom,T144,rFecha,"&gt;="&amp;pIni,rFecha,"&lt;="&amp;pFin))</f>
        <v/>
      </c>
      <c r="V144">
        <f>IF(T144="","",COUNTIFS(rCom,T144,rTipo,"Gasto",rFecha,"&gt;="&amp;pIni,rFecha,"&lt;="&amp;pFin))</f>
        <v/>
      </c>
      <c r="W144">
        <f>IF(T144="",-1E+12-140,N(U144)+(201-140)/1E+7)</f>
        <v/>
      </c>
    </row>
    <row r="145">
      <c r="T145">
        <f>IFERROR(INDEX(rCom,MATCH(141,rComIdx,0))&amp;"","")</f>
        <v/>
      </c>
      <c r="U145">
        <f>IF(T145="","",SUMIFS(rGasto,rCom,T145,rFecha,"&gt;="&amp;pIni,rFecha,"&lt;="&amp;pFin))</f>
        <v/>
      </c>
      <c r="V145">
        <f>IF(T145="","",COUNTIFS(rCom,T145,rTipo,"Gasto",rFecha,"&gt;="&amp;pIni,rFecha,"&lt;="&amp;pFin))</f>
        <v/>
      </c>
      <c r="W145">
        <f>IF(T145="",-1E+12-141,N(U145)+(201-141)/1E+7)</f>
        <v/>
      </c>
    </row>
    <row r="146">
      <c r="T146">
        <f>IFERROR(INDEX(rCom,MATCH(142,rComIdx,0))&amp;"","")</f>
        <v/>
      </c>
      <c r="U146">
        <f>IF(T146="","",SUMIFS(rGasto,rCom,T146,rFecha,"&gt;="&amp;pIni,rFecha,"&lt;="&amp;pFin))</f>
        <v/>
      </c>
      <c r="V146">
        <f>IF(T146="","",COUNTIFS(rCom,T146,rTipo,"Gasto",rFecha,"&gt;="&amp;pIni,rFecha,"&lt;="&amp;pFin))</f>
        <v/>
      </c>
      <c r="W146">
        <f>IF(T146="",-1E+12-142,N(U146)+(201-142)/1E+7)</f>
        <v/>
      </c>
    </row>
    <row r="147">
      <c r="T147">
        <f>IFERROR(INDEX(rCom,MATCH(143,rComIdx,0))&amp;"","")</f>
        <v/>
      </c>
      <c r="U147">
        <f>IF(T147="","",SUMIFS(rGasto,rCom,T147,rFecha,"&gt;="&amp;pIni,rFecha,"&lt;="&amp;pFin))</f>
        <v/>
      </c>
      <c r="V147">
        <f>IF(T147="","",COUNTIFS(rCom,T147,rTipo,"Gasto",rFecha,"&gt;="&amp;pIni,rFecha,"&lt;="&amp;pFin))</f>
        <v/>
      </c>
      <c r="W147">
        <f>IF(T147="",-1E+12-143,N(U147)+(201-143)/1E+7)</f>
        <v/>
      </c>
    </row>
    <row r="148">
      <c r="T148">
        <f>IFERROR(INDEX(rCom,MATCH(144,rComIdx,0))&amp;"","")</f>
        <v/>
      </c>
      <c r="U148">
        <f>IF(T148="","",SUMIFS(rGasto,rCom,T148,rFecha,"&gt;="&amp;pIni,rFecha,"&lt;="&amp;pFin))</f>
        <v/>
      </c>
      <c r="V148">
        <f>IF(T148="","",COUNTIFS(rCom,T148,rTipo,"Gasto",rFecha,"&gt;="&amp;pIni,rFecha,"&lt;="&amp;pFin))</f>
        <v/>
      </c>
      <c r="W148">
        <f>IF(T148="",-1E+12-144,N(U148)+(201-144)/1E+7)</f>
        <v/>
      </c>
    </row>
    <row r="149">
      <c r="T149">
        <f>IFERROR(INDEX(rCom,MATCH(145,rComIdx,0))&amp;"","")</f>
        <v/>
      </c>
      <c r="U149">
        <f>IF(T149="","",SUMIFS(rGasto,rCom,T149,rFecha,"&gt;="&amp;pIni,rFecha,"&lt;="&amp;pFin))</f>
        <v/>
      </c>
      <c r="V149">
        <f>IF(T149="","",COUNTIFS(rCom,T149,rTipo,"Gasto",rFecha,"&gt;="&amp;pIni,rFecha,"&lt;="&amp;pFin))</f>
        <v/>
      </c>
      <c r="W149">
        <f>IF(T149="",-1E+12-145,N(U149)+(201-145)/1E+7)</f>
        <v/>
      </c>
    </row>
    <row r="150">
      <c r="T150">
        <f>IFERROR(INDEX(rCom,MATCH(146,rComIdx,0))&amp;"","")</f>
        <v/>
      </c>
      <c r="U150">
        <f>IF(T150="","",SUMIFS(rGasto,rCom,T150,rFecha,"&gt;="&amp;pIni,rFecha,"&lt;="&amp;pFin))</f>
        <v/>
      </c>
      <c r="V150">
        <f>IF(T150="","",COUNTIFS(rCom,T150,rTipo,"Gasto",rFecha,"&gt;="&amp;pIni,rFecha,"&lt;="&amp;pFin))</f>
        <v/>
      </c>
      <c r="W150">
        <f>IF(T150="",-1E+12-146,N(U150)+(201-146)/1E+7)</f>
        <v/>
      </c>
    </row>
    <row r="151">
      <c r="T151">
        <f>IFERROR(INDEX(rCom,MATCH(147,rComIdx,0))&amp;"","")</f>
        <v/>
      </c>
      <c r="U151">
        <f>IF(T151="","",SUMIFS(rGasto,rCom,T151,rFecha,"&gt;="&amp;pIni,rFecha,"&lt;="&amp;pFin))</f>
        <v/>
      </c>
      <c r="V151">
        <f>IF(T151="","",COUNTIFS(rCom,T151,rTipo,"Gasto",rFecha,"&gt;="&amp;pIni,rFecha,"&lt;="&amp;pFin))</f>
        <v/>
      </c>
      <c r="W151">
        <f>IF(T151="",-1E+12-147,N(U151)+(201-147)/1E+7)</f>
        <v/>
      </c>
    </row>
    <row r="152">
      <c r="T152">
        <f>IFERROR(INDEX(rCom,MATCH(148,rComIdx,0))&amp;"","")</f>
        <v/>
      </c>
      <c r="U152">
        <f>IF(T152="","",SUMIFS(rGasto,rCom,T152,rFecha,"&gt;="&amp;pIni,rFecha,"&lt;="&amp;pFin))</f>
        <v/>
      </c>
      <c r="V152">
        <f>IF(T152="","",COUNTIFS(rCom,T152,rTipo,"Gasto",rFecha,"&gt;="&amp;pIni,rFecha,"&lt;="&amp;pFin))</f>
        <v/>
      </c>
      <c r="W152">
        <f>IF(T152="",-1E+12-148,N(U152)+(201-148)/1E+7)</f>
        <v/>
      </c>
    </row>
    <row r="153">
      <c r="T153">
        <f>IFERROR(INDEX(rCom,MATCH(149,rComIdx,0))&amp;"","")</f>
        <v/>
      </c>
      <c r="U153">
        <f>IF(T153="","",SUMIFS(rGasto,rCom,T153,rFecha,"&gt;="&amp;pIni,rFecha,"&lt;="&amp;pFin))</f>
        <v/>
      </c>
      <c r="V153">
        <f>IF(T153="","",COUNTIFS(rCom,T153,rTipo,"Gasto",rFecha,"&gt;="&amp;pIni,rFecha,"&lt;="&amp;pFin))</f>
        <v/>
      </c>
      <c r="W153">
        <f>IF(T153="",-1E+12-149,N(U153)+(201-149)/1E+7)</f>
        <v/>
      </c>
    </row>
    <row r="154">
      <c r="T154">
        <f>IFERROR(INDEX(rCom,MATCH(150,rComIdx,0))&amp;"","")</f>
        <v/>
      </c>
      <c r="U154">
        <f>IF(T154="","",SUMIFS(rGasto,rCom,T154,rFecha,"&gt;="&amp;pIni,rFecha,"&lt;="&amp;pFin))</f>
        <v/>
      </c>
      <c r="V154">
        <f>IF(T154="","",COUNTIFS(rCom,T154,rTipo,"Gasto",rFecha,"&gt;="&amp;pIni,rFecha,"&lt;="&amp;pFin))</f>
        <v/>
      </c>
      <c r="W154">
        <f>IF(T154="",-1E+12-150,N(U154)+(201-150)/1E+7)</f>
        <v/>
      </c>
    </row>
    <row r="155">
      <c r="T155">
        <f>IFERROR(INDEX(rCom,MATCH(151,rComIdx,0))&amp;"","")</f>
        <v/>
      </c>
      <c r="U155">
        <f>IF(T155="","",SUMIFS(rGasto,rCom,T155,rFecha,"&gt;="&amp;pIni,rFecha,"&lt;="&amp;pFin))</f>
        <v/>
      </c>
      <c r="V155">
        <f>IF(T155="","",COUNTIFS(rCom,T155,rTipo,"Gasto",rFecha,"&gt;="&amp;pIni,rFecha,"&lt;="&amp;pFin))</f>
        <v/>
      </c>
      <c r="W155">
        <f>IF(T155="",-1E+12-151,N(U155)+(201-151)/1E+7)</f>
        <v/>
      </c>
    </row>
    <row r="156">
      <c r="T156">
        <f>IFERROR(INDEX(rCom,MATCH(152,rComIdx,0))&amp;"","")</f>
        <v/>
      </c>
      <c r="U156">
        <f>IF(T156="","",SUMIFS(rGasto,rCom,T156,rFecha,"&gt;="&amp;pIni,rFecha,"&lt;="&amp;pFin))</f>
        <v/>
      </c>
      <c r="V156">
        <f>IF(T156="","",COUNTIFS(rCom,T156,rTipo,"Gasto",rFecha,"&gt;="&amp;pIni,rFecha,"&lt;="&amp;pFin))</f>
        <v/>
      </c>
      <c r="W156">
        <f>IF(T156="",-1E+12-152,N(U156)+(201-152)/1E+7)</f>
        <v/>
      </c>
    </row>
    <row r="157">
      <c r="T157">
        <f>IFERROR(INDEX(rCom,MATCH(153,rComIdx,0))&amp;"","")</f>
        <v/>
      </c>
      <c r="U157">
        <f>IF(T157="","",SUMIFS(rGasto,rCom,T157,rFecha,"&gt;="&amp;pIni,rFecha,"&lt;="&amp;pFin))</f>
        <v/>
      </c>
      <c r="V157">
        <f>IF(T157="","",COUNTIFS(rCom,T157,rTipo,"Gasto",rFecha,"&gt;="&amp;pIni,rFecha,"&lt;="&amp;pFin))</f>
        <v/>
      </c>
      <c r="W157">
        <f>IF(T157="",-1E+12-153,N(U157)+(201-153)/1E+7)</f>
        <v/>
      </c>
    </row>
    <row r="158">
      <c r="T158">
        <f>IFERROR(INDEX(rCom,MATCH(154,rComIdx,0))&amp;"","")</f>
        <v/>
      </c>
      <c r="U158">
        <f>IF(T158="","",SUMIFS(rGasto,rCom,T158,rFecha,"&gt;="&amp;pIni,rFecha,"&lt;="&amp;pFin))</f>
        <v/>
      </c>
      <c r="V158">
        <f>IF(T158="","",COUNTIFS(rCom,T158,rTipo,"Gasto",rFecha,"&gt;="&amp;pIni,rFecha,"&lt;="&amp;pFin))</f>
        <v/>
      </c>
      <c r="W158">
        <f>IF(T158="",-1E+12-154,N(U158)+(201-154)/1E+7)</f>
        <v/>
      </c>
    </row>
    <row r="159">
      <c r="T159">
        <f>IFERROR(INDEX(rCom,MATCH(155,rComIdx,0))&amp;"","")</f>
        <v/>
      </c>
      <c r="U159">
        <f>IF(T159="","",SUMIFS(rGasto,rCom,T159,rFecha,"&gt;="&amp;pIni,rFecha,"&lt;="&amp;pFin))</f>
        <v/>
      </c>
      <c r="V159">
        <f>IF(T159="","",COUNTIFS(rCom,T159,rTipo,"Gasto",rFecha,"&gt;="&amp;pIni,rFecha,"&lt;="&amp;pFin))</f>
        <v/>
      </c>
      <c r="W159">
        <f>IF(T159="",-1E+12-155,N(U159)+(201-155)/1E+7)</f>
        <v/>
      </c>
    </row>
    <row r="160">
      <c r="T160">
        <f>IFERROR(INDEX(rCom,MATCH(156,rComIdx,0))&amp;"","")</f>
        <v/>
      </c>
      <c r="U160">
        <f>IF(T160="","",SUMIFS(rGasto,rCom,T160,rFecha,"&gt;="&amp;pIni,rFecha,"&lt;="&amp;pFin))</f>
        <v/>
      </c>
      <c r="V160">
        <f>IF(T160="","",COUNTIFS(rCom,T160,rTipo,"Gasto",rFecha,"&gt;="&amp;pIni,rFecha,"&lt;="&amp;pFin))</f>
        <v/>
      </c>
      <c r="W160">
        <f>IF(T160="",-1E+12-156,N(U160)+(201-156)/1E+7)</f>
        <v/>
      </c>
    </row>
    <row r="161">
      <c r="T161">
        <f>IFERROR(INDEX(rCom,MATCH(157,rComIdx,0))&amp;"","")</f>
        <v/>
      </c>
      <c r="U161">
        <f>IF(T161="","",SUMIFS(rGasto,rCom,T161,rFecha,"&gt;="&amp;pIni,rFecha,"&lt;="&amp;pFin))</f>
        <v/>
      </c>
      <c r="V161">
        <f>IF(T161="","",COUNTIFS(rCom,T161,rTipo,"Gasto",rFecha,"&gt;="&amp;pIni,rFecha,"&lt;="&amp;pFin))</f>
        <v/>
      </c>
      <c r="W161">
        <f>IF(T161="",-1E+12-157,N(U161)+(201-157)/1E+7)</f>
        <v/>
      </c>
    </row>
    <row r="162">
      <c r="T162">
        <f>IFERROR(INDEX(rCom,MATCH(158,rComIdx,0))&amp;"","")</f>
        <v/>
      </c>
      <c r="U162">
        <f>IF(T162="","",SUMIFS(rGasto,rCom,T162,rFecha,"&gt;="&amp;pIni,rFecha,"&lt;="&amp;pFin))</f>
        <v/>
      </c>
      <c r="V162">
        <f>IF(T162="","",COUNTIFS(rCom,T162,rTipo,"Gasto",rFecha,"&gt;="&amp;pIni,rFecha,"&lt;="&amp;pFin))</f>
        <v/>
      </c>
      <c r="W162">
        <f>IF(T162="",-1E+12-158,N(U162)+(201-158)/1E+7)</f>
        <v/>
      </c>
    </row>
    <row r="163">
      <c r="T163">
        <f>IFERROR(INDEX(rCom,MATCH(159,rComIdx,0))&amp;"","")</f>
        <v/>
      </c>
      <c r="U163">
        <f>IF(T163="","",SUMIFS(rGasto,rCom,T163,rFecha,"&gt;="&amp;pIni,rFecha,"&lt;="&amp;pFin))</f>
        <v/>
      </c>
      <c r="V163">
        <f>IF(T163="","",COUNTIFS(rCom,T163,rTipo,"Gasto",rFecha,"&gt;="&amp;pIni,rFecha,"&lt;="&amp;pFin))</f>
        <v/>
      </c>
      <c r="W163">
        <f>IF(T163="",-1E+12-159,N(U163)+(201-159)/1E+7)</f>
        <v/>
      </c>
    </row>
    <row r="164">
      <c r="T164">
        <f>IFERROR(INDEX(rCom,MATCH(160,rComIdx,0))&amp;"","")</f>
        <v/>
      </c>
      <c r="U164">
        <f>IF(T164="","",SUMIFS(rGasto,rCom,T164,rFecha,"&gt;="&amp;pIni,rFecha,"&lt;="&amp;pFin))</f>
        <v/>
      </c>
      <c r="V164">
        <f>IF(T164="","",COUNTIFS(rCom,T164,rTipo,"Gasto",rFecha,"&gt;="&amp;pIni,rFecha,"&lt;="&amp;pFin))</f>
        <v/>
      </c>
      <c r="W164">
        <f>IF(T164="",-1E+12-160,N(U164)+(201-160)/1E+7)</f>
        <v/>
      </c>
    </row>
    <row r="165">
      <c r="T165">
        <f>IFERROR(INDEX(rCom,MATCH(161,rComIdx,0))&amp;"","")</f>
        <v/>
      </c>
      <c r="U165">
        <f>IF(T165="","",SUMIFS(rGasto,rCom,T165,rFecha,"&gt;="&amp;pIni,rFecha,"&lt;="&amp;pFin))</f>
        <v/>
      </c>
      <c r="V165">
        <f>IF(T165="","",COUNTIFS(rCom,T165,rTipo,"Gasto",rFecha,"&gt;="&amp;pIni,rFecha,"&lt;="&amp;pFin))</f>
        <v/>
      </c>
      <c r="W165">
        <f>IF(T165="",-1E+12-161,N(U165)+(201-161)/1E+7)</f>
        <v/>
      </c>
    </row>
    <row r="166">
      <c r="T166">
        <f>IFERROR(INDEX(rCom,MATCH(162,rComIdx,0))&amp;"","")</f>
        <v/>
      </c>
      <c r="U166">
        <f>IF(T166="","",SUMIFS(rGasto,rCom,T166,rFecha,"&gt;="&amp;pIni,rFecha,"&lt;="&amp;pFin))</f>
        <v/>
      </c>
      <c r="V166">
        <f>IF(T166="","",COUNTIFS(rCom,T166,rTipo,"Gasto",rFecha,"&gt;="&amp;pIni,rFecha,"&lt;="&amp;pFin))</f>
        <v/>
      </c>
      <c r="W166">
        <f>IF(T166="",-1E+12-162,N(U166)+(201-162)/1E+7)</f>
        <v/>
      </c>
    </row>
    <row r="167">
      <c r="T167">
        <f>IFERROR(INDEX(rCom,MATCH(163,rComIdx,0))&amp;"","")</f>
        <v/>
      </c>
      <c r="U167">
        <f>IF(T167="","",SUMIFS(rGasto,rCom,T167,rFecha,"&gt;="&amp;pIni,rFecha,"&lt;="&amp;pFin))</f>
        <v/>
      </c>
      <c r="V167">
        <f>IF(T167="","",COUNTIFS(rCom,T167,rTipo,"Gasto",rFecha,"&gt;="&amp;pIni,rFecha,"&lt;="&amp;pFin))</f>
        <v/>
      </c>
      <c r="W167">
        <f>IF(T167="",-1E+12-163,N(U167)+(201-163)/1E+7)</f>
        <v/>
      </c>
    </row>
    <row r="168">
      <c r="T168">
        <f>IFERROR(INDEX(rCom,MATCH(164,rComIdx,0))&amp;"","")</f>
        <v/>
      </c>
      <c r="U168">
        <f>IF(T168="","",SUMIFS(rGasto,rCom,T168,rFecha,"&gt;="&amp;pIni,rFecha,"&lt;="&amp;pFin))</f>
        <v/>
      </c>
      <c r="V168">
        <f>IF(T168="","",COUNTIFS(rCom,T168,rTipo,"Gasto",rFecha,"&gt;="&amp;pIni,rFecha,"&lt;="&amp;pFin))</f>
        <v/>
      </c>
      <c r="W168">
        <f>IF(T168="",-1E+12-164,N(U168)+(201-164)/1E+7)</f>
        <v/>
      </c>
    </row>
    <row r="169">
      <c r="T169">
        <f>IFERROR(INDEX(rCom,MATCH(165,rComIdx,0))&amp;"","")</f>
        <v/>
      </c>
      <c r="U169">
        <f>IF(T169="","",SUMIFS(rGasto,rCom,T169,rFecha,"&gt;="&amp;pIni,rFecha,"&lt;="&amp;pFin))</f>
        <v/>
      </c>
      <c r="V169">
        <f>IF(T169="","",COUNTIFS(rCom,T169,rTipo,"Gasto",rFecha,"&gt;="&amp;pIni,rFecha,"&lt;="&amp;pFin))</f>
        <v/>
      </c>
      <c r="W169">
        <f>IF(T169="",-1E+12-165,N(U169)+(201-165)/1E+7)</f>
        <v/>
      </c>
    </row>
    <row r="170">
      <c r="T170">
        <f>IFERROR(INDEX(rCom,MATCH(166,rComIdx,0))&amp;"","")</f>
        <v/>
      </c>
      <c r="U170">
        <f>IF(T170="","",SUMIFS(rGasto,rCom,T170,rFecha,"&gt;="&amp;pIni,rFecha,"&lt;="&amp;pFin))</f>
        <v/>
      </c>
      <c r="V170">
        <f>IF(T170="","",COUNTIFS(rCom,T170,rTipo,"Gasto",rFecha,"&gt;="&amp;pIni,rFecha,"&lt;="&amp;pFin))</f>
        <v/>
      </c>
      <c r="W170">
        <f>IF(T170="",-1E+12-166,N(U170)+(201-166)/1E+7)</f>
        <v/>
      </c>
    </row>
    <row r="171">
      <c r="T171">
        <f>IFERROR(INDEX(rCom,MATCH(167,rComIdx,0))&amp;"","")</f>
        <v/>
      </c>
      <c r="U171">
        <f>IF(T171="","",SUMIFS(rGasto,rCom,T171,rFecha,"&gt;="&amp;pIni,rFecha,"&lt;="&amp;pFin))</f>
        <v/>
      </c>
      <c r="V171">
        <f>IF(T171="","",COUNTIFS(rCom,T171,rTipo,"Gasto",rFecha,"&gt;="&amp;pIni,rFecha,"&lt;="&amp;pFin))</f>
        <v/>
      </c>
      <c r="W171">
        <f>IF(T171="",-1E+12-167,N(U171)+(201-167)/1E+7)</f>
        <v/>
      </c>
    </row>
    <row r="172">
      <c r="T172">
        <f>IFERROR(INDEX(rCom,MATCH(168,rComIdx,0))&amp;"","")</f>
        <v/>
      </c>
      <c r="U172">
        <f>IF(T172="","",SUMIFS(rGasto,rCom,T172,rFecha,"&gt;="&amp;pIni,rFecha,"&lt;="&amp;pFin))</f>
        <v/>
      </c>
      <c r="V172">
        <f>IF(T172="","",COUNTIFS(rCom,T172,rTipo,"Gasto",rFecha,"&gt;="&amp;pIni,rFecha,"&lt;="&amp;pFin))</f>
        <v/>
      </c>
      <c r="W172">
        <f>IF(T172="",-1E+12-168,N(U172)+(201-168)/1E+7)</f>
        <v/>
      </c>
    </row>
    <row r="173">
      <c r="T173">
        <f>IFERROR(INDEX(rCom,MATCH(169,rComIdx,0))&amp;"","")</f>
        <v/>
      </c>
      <c r="U173">
        <f>IF(T173="","",SUMIFS(rGasto,rCom,T173,rFecha,"&gt;="&amp;pIni,rFecha,"&lt;="&amp;pFin))</f>
        <v/>
      </c>
      <c r="V173">
        <f>IF(T173="","",COUNTIFS(rCom,T173,rTipo,"Gasto",rFecha,"&gt;="&amp;pIni,rFecha,"&lt;="&amp;pFin))</f>
        <v/>
      </c>
      <c r="W173">
        <f>IF(T173="",-1E+12-169,N(U173)+(201-169)/1E+7)</f>
        <v/>
      </c>
    </row>
    <row r="174">
      <c r="T174">
        <f>IFERROR(INDEX(rCom,MATCH(170,rComIdx,0))&amp;"","")</f>
        <v/>
      </c>
      <c r="U174">
        <f>IF(T174="","",SUMIFS(rGasto,rCom,T174,rFecha,"&gt;="&amp;pIni,rFecha,"&lt;="&amp;pFin))</f>
        <v/>
      </c>
      <c r="V174">
        <f>IF(T174="","",COUNTIFS(rCom,T174,rTipo,"Gasto",rFecha,"&gt;="&amp;pIni,rFecha,"&lt;="&amp;pFin))</f>
        <v/>
      </c>
      <c r="W174">
        <f>IF(T174="",-1E+12-170,N(U174)+(201-170)/1E+7)</f>
        <v/>
      </c>
    </row>
    <row r="175">
      <c r="T175">
        <f>IFERROR(INDEX(rCom,MATCH(171,rComIdx,0))&amp;"","")</f>
        <v/>
      </c>
      <c r="U175">
        <f>IF(T175="","",SUMIFS(rGasto,rCom,T175,rFecha,"&gt;="&amp;pIni,rFecha,"&lt;="&amp;pFin))</f>
        <v/>
      </c>
      <c r="V175">
        <f>IF(T175="","",COUNTIFS(rCom,T175,rTipo,"Gasto",rFecha,"&gt;="&amp;pIni,rFecha,"&lt;="&amp;pFin))</f>
        <v/>
      </c>
      <c r="W175">
        <f>IF(T175="",-1E+12-171,N(U175)+(201-171)/1E+7)</f>
        <v/>
      </c>
    </row>
    <row r="176">
      <c r="T176">
        <f>IFERROR(INDEX(rCom,MATCH(172,rComIdx,0))&amp;"","")</f>
        <v/>
      </c>
      <c r="U176">
        <f>IF(T176="","",SUMIFS(rGasto,rCom,T176,rFecha,"&gt;="&amp;pIni,rFecha,"&lt;="&amp;pFin))</f>
        <v/>
      </c>
      <c r="V176">
        <f>IF(T176="","",COUNTIFS(rCom,T176,rTipo,"Gasto",rFecha,"&gt;="&amp;pIni,rFecha,"&lt;="&amp;pFin))</f>
        <v/>
      </c>
      <c r="W176">
        <f>IF(T176="",-1E+12-172,N(U176)+(201-172)/1E+7)</f>
        <v/>
      </c>
    </row>
    <row r="177">
      <c r="T177">
        <f>IFERROR(INDEX(rCom,MATCH(173,rComIdx,0))&amp;"","")</f>
        <v/>
      </c>
      <c r="U177">
        <f>IF(T177="","",SUMIFS(rGasto,rCom,T177,rFecha,"&gt;="&amp;pIni,rFecha,"&lt;="&amp;pFin))</f>
        <v/>
      </c>
      <c r="V177">
        <f>IF(T177="","",COUNTIFS(rCom,T177,rTipo,"Gasto",rFecha,"&gt;="&amp;pIni,rFecha,"&lt;="&amp;pFin))</f>
        <v/>
      </c>
      <c r="W177">
        <f>IF(T177="",-1E+12-173,N(U177)+(201-173)/1E+7)</f>
        <v/>
      </c>
    </row>
    <row r="178">
      <c r="T178">
        <f>IFERROR(INDEX(rCom,MATCH(174,rComIdx,0))&amp;"","")</f>
        <v/>
      </c>
      <c r="U178">
        <f>IF(T178="","",SUMIFS(rGasto,rCom,T178,rFecha,"&gt;="&amp;pIni,rFecha,"&lt;="&amp;pFin))</f>
        <v/>
      </c>
      <c r="V178">
        <f>IF(T178="","",COUNTIFS(rCom,T178,rTipo,"Gasto",rFecha,"&gt;="&amp;pIni,rFecha,"&lt;="&amp;pFin))</f>
        <v/>
      </c>
      <c r="W178">
        <f>IF(T178="",-1E+12-174,N(U178)+(201-174)/1E+7)</f>
        <v/>
      </c>
    </row>
    <row r="179">
      <c r="T179">
        <f>IFERROR(INDEX(rCom,MATCH(175,rComIdx,0))&amp;"","")</f>
        <v/>
      </c>
      <c r="U179">
        <f>IF(T179="","",SUMIFS(rGasto,rCom,T179,rFecha,"&gt;="&amp;pIni,rFecha,"&lt;="&amp;pFin))</f>
        <v/>
      </c>
      <c r="V179">
        <f>IF(T179="","",COUNTIFS(rCom,T179,rTipo,"Gasto",rFecha,"&gt;="&amp;pIni,rFecha,"&lt;="&amp;pFin))</f>
        <v/>
      </c>
      <c r="W179">
        <f>IF(T179="",-1E+12-175,N(U179)+(201-175)/1E+7)</f>
        <v/>
      </c>
    </row>
    <row r="180">
      <c r="T180">
        <f>IFERROR(INDEX(rCom,MATCH(176,rComIdx,0))&amp;"","")</f>
        <v/>
      </c>
      <c r="U180">
        <f>IF(T180="","",SUMIFS(rGasto,rCom,T180,rFecha,"&gt;="&amp;pIni,rFecha,"&lt;="&amp;pFin))</f>
        <v/>
      </c>
      <c r="V180">
        <f>IF(T180="","",COUNTIFS(rCom,T180,rTipo,"Gasto",rFecha,"&gt;="&amp;pIni,rFecha,"&lt;="&amp;pFin))</f>
        <v/>
      </c>
      <c r="W180">
        <f>IF(T180="",-1E+12-176,N(U180)+(201-176)/1E+7)</f>
        <v/>
      </c>
    </row>
    <row r="181">
      <c r="T181">
        <f>IFERROR(INDEX(rCom,MATCH(177,rComIdx,0))&amp;"","")</f>
        <v/>
      </c>
      <c r="U181">
        <f>IF(T181="","",SUMIFS(rGasto,rCom,T181,rFecha,"&gt;="&amp;pIni,rFecha,"&lt;="&amp;pFin))</f>
        <v/>
      </c>
      <c r="V181">
        <f>IF(T181="","",COUNTIFS(rCom,T181,rTipo,"Gasto",rFecha,"&gt;="&amp;pIni,rFecha,"&lt;="&amp;pFin))</f>
        <v/>
      </c>
      <c r="W181">
        <f>IF(T181="",-1E+12-177,N(U181)+(201-177)/1E+7)</f>
        <v/>
      </c>
    </row>
    <row r="182">
      <c r="T182">
        <f>IFERROR(INDEX(rCom,MATCH(178,rComIdx,0))&amp;"","")</f>
        <v/>
      </c>
      <c r="U182">
        <f>IF(T182="","",SUMIFS(rGasto,rCom,T182,rFecha,"&gt;="&amp;pIni,rFecha,"&lt;="&amp;pFin))</f>
        <v/>
      </c>
      <c r="V182">
        <f>IF(T182="","",COUNTIFS(rCom,T182,rTipo,"Gasto",rFecha,"&gt;="&amp;pIni,rFecha,"&lt;="&amp;pFin))</f>
        <v/>
      </c>
      <c r="W182">
        <f>IF(T182="",-1E+12-178,N(U182)+(201-178)/1E+7)</f>
        <v/>
      </c>
    </row>
    <row r="183">
      <c r="T183">
        <f>IFERROR(INDEX(rCom,MATCH(179,rComIdx,0))&amp;"","")</f>
        <v/>
      </c>
      <c r="U183">
        <f>IF(T183="","",SUMIFS(rGasto,rCom,T183,rFecha,"&gt;="&amp;pIni,rFecha,"&lt;="&amp;pFin))</f>
        <v/>
      </c>
      <c r="V183">
        <f>IF(T183="","",COUNTIFS(rCom,T183,rTipo,"Gasto",rFecha,"&gt;="&amp;pIni,rFecha,"&lt;="&amp;pFin))</f>
        <v/>
      </c>
      <c r="W183">
        <f>IF(T183="",-1E+12-179,N(U183)+(201-179)/1E+7)</f>
        <v/>
      </c>
    </row>
    <row r="184">
      <c r="T184">
        <f>IFERROR(INDEX(rCom,MATCH(180,rComIdx,0))&amp;"","")</f>
        <v/>
      </c>
      <c r="U184">
        <f>IF(T184="","",SUMIFS(rGasto,rCom,T184,rFecha,"&gt;="&amp;pIni,rFecha,"&lt;="&amp;pFin))</f>
        <v/>
      </c>
      <c r="V184">
        <f>IF(T184="","",COUNTIFS(rCom,T184,rTipo,"Gasto",rFecha,"&gt;="&amp;pIni,rFecha,"&lt;="&amp;pFin))</f>
        <v/>
      </c>
      <c r="W184">
        <f>IF(T184="",-1E+12-180,N(U184)+(201-180)/1E+7)</f>
        <v/>
      </c>
    </row>
    <row r="185">
      <c r="T185">
        <f>IFERROR(INDEX(rCom,MATCH(181,rComIdx,0))&amp;"","")</f>
        <v/>
      </c>
      <c r="U185">
        <f>IF(T185="","",SUMIFS(rGasto,rCom,T185,rFecha,"&gt;="&amp;pIni,rFecha,"&lt;="&amp;pFin))</f>
        <v/>
      </c>
      <c r="V185">
        <f>IF(T185="","",COUNTIFS(rCom,T185,rTipo,"Gasto",rFecha,"&gt;="&amp;pIni,rFecha,"&lt;="&amp;pFin))</f>
        <v/>
      </c>
      <c r="W185">
        <f>IF(T185="",-1E+12-181,N(U185)+(201-181)/1E+7)</f>
        <v/>
      </c>
    </row>
    <row r="186">
      <c r="T186">
        <f>IFERROR(INDEX(rCom,MATCH(182,rComIdx,0))&amp;"","")</f>
        <v/>
      </c>
      <c r="U186">
        <f>IF(T186="","",SUMIFS(rGasto,rCom,T186,rFecha,"&gt;="&amp;pIni,rFecha,"&lt;="&amp;pFin))</f>
        <v/>
      </c>
      <c r="V186">
        <f>IF(T186="","",COUNTIFS(rCom,T186,rTipo,"Gasto",rFecha,"&gt;="&amp;pIni,rFecha,"&lt;="&amp;pFin))</f>
        <v/>
      </c>
      <c r="W186">
        <f>IF(T186="",-1E+12-182,N(U186)+(201-182)/1E+7)</f>
        <v/>
      </c>
    </row>
    <row r="187">
      <c r="T187">
        <f>IFERROR(INDEX(rCom,MATCH(183,rComIdx,0))&amp;"","")</f>
        <v/>
      </c>
      <c r="U187">
        <f>IF(T187="","",SUMIFS(rGasto,rCom,T187,rFecha,"&gt;="&amp;pIni,rFecha,"&lt;="&amp;pFin))</f>
        <v/>
      </c>
      <c r="V187">
        <f>IF(T187="","",COUNTIFS(rCom,T187,rTipo,"Gasto",rFecha,"&gt;="&amp;pIni,rFecha,"&lt;="&amp;pFin))</f>
        <v/>
      </c>
      <c r="W187">
        <f>IF(T187="",-1E+12-183,N(U187)+(201-183)/1E+7)</f>
        <v/>
      </c>
    </row>
    <row r="188">
      <c r="T188">
        <f>IFERROR(INDEX(rCom,MATCH(184,rComIdx,0))&amp;"","")</f>
        <v/>
      </c>
      <c r="U188">
        <f>IF(T188="","",SUMIFS(rGasto,rCom,T188,rFecha,"&gt;="&amp;pIni,rFecha,"&lt;="&amp;pFin))</f>
        <v/>
      </c>
      <c r="V188">
        <f>IF(T188="","",COUNTIFS(rCom,T188,rTipo,"Gasto",rFecha,"&gt;="&amp;pIni,rFecha,"&lt;="&amp;pFin))</f>
        <v/>
      </c>
      <c r="W188">
        <f>IF(T188="",-1E+12-184,N(U188)+(201-184)/1E+7)</f>
        <v/>
      </c>
    </row>
    <row r="189">
      <c r="T189">
        <f>IFERROR(INDEX(rCom,MATCH(185,rComIdx,0))&amp;"","")</f>
        <v/>
      </c>
      <c r="U189">
        <f>IF(T189="","",SUMIFS(rGasto,rCom,T189,rFecha,"&gt;="&amp;pIni,rFecha,"&lt;="&amp;pFin))</f>
        <v/>
      </c>
      <c r="V189">
        <f>IF(T189="","",COUNTIFS(rCom,T189,rTipo,"Gasto",rFecha,"&gt;="&amp;pIni,rFecha,"&lt;="&amp;pFin))</f>
        <v/>
      </c>
      <c r="W189">
        <f>IF(T189="",-1E+12-185,N(U189)+(201-185)/1E+7)</f>
        <v/>
      </c>
    </row>
    <row r="190">
      <c r="T190">
        <f>IFERROR(INDEX(rCom,MATCH(186,rComIdx,0))&amp;"","")</f>
        <v/>
      </c>
      <c r="U190">
        <f>IF(T190="","",SUMIFS(rGasto,rCom,T190,rFecha,"&gt;="&amp;pIni,rFecha,"&lt;="&amp;pFin))</f>
        <v/>
      </c>
      <c r="V190">
        <f>IF(T190="","",COUNTIFS(rCom,T190,rTipo,"Gasto",rFecha,"&gt;="&amp;pIni,rFecha,"&lt;="&amp;pFin))</f>
        <v/>
      </c>
      <c r="W190">
        <f>IF(T190="",-1E+12-186,N(U190)+(201-186)/1E+7)</f>
        <v/>
      </c>
    </row>
    <row r="191">
      <c r="T191">
        <f>IFERROR(INDEX(rCom,MATCH(187,rComIdx,0))&amp;"","")</f>
        <v/>
      </c>
      <c r="U191">
        <f>IF(T191="","",SUMIFS(rGasto,rCom,T191,rFecha,"&gt;="&amp;pIni,rFecha,"&lt;="&amp;pFin))</f>
        <v/>
      </c>
      <c r="V191">
        <f>IF(T191="","",COUNTIFS(rCom,T191,rTipo,"Gasto",rFecha,"&gt;="&amp;pIni,rFecha,"&lt;="&amp;pFin))</f>
        <v/>
      </c>
      <c r="W191">
        <f>IF(T191="",-1E+12-187,N(U191)+(201-187)/1E+7)</f>
        <v/>
      </c>
    </row>
    <row r="192">
      <c r="T192">
        <f>IFERROR(INDEX(rCom,MATCH(188,rComIdx,0))&amp;"","")</f>
        <v/>
      </c>
      <c r="U192">
        <f>IF(T192="","",SUMIFS(rGasto,rCom,T192,rFecha,"&gt;="&amp;pIni,rFecha,"&lt;="&amp;pFin))</f>
        <v/>
      </c>
      <c r="V192">
        <f>IF(T192="","",COUNTIFS(rCom,T192,rTipo,"Gasto",rFecha,"&gt;="&amp;pIni,rFecha,"&lt;="&amp;pFin))</f>
        <v/>
      </c>
      <c r="W192">
        <f>IF(T192="",-1E+12-188,N(U192)+(201-188)/1E+7)</f>
        <v/>
      </c>
    </row>
    <row r="193">
      <c r="T193">
        <f>IFERROR(INDEX(rCom,MATCH(189,rComIdx,0))&amp;"","")</f>
        <v/>
      </c>
      <c r="U193">
        <f>IF(T193="","",SUMIFS(rGasto,rCom,T193,rFecha,"&gt;="&amp;pIni,rFecha,"&lt;="&amp;pFin))</f>
        <v/>
      </c>
      <c r="V193">
        <f>IF(T193="","",COUNTIFS(rCom,T193,rTipo,"Gasto",rFecha,"&gt;="&amp;pIni,rFecha,"&lt;="&amp;pFin))</f>
        <v/>
      </c>
      <c r="W193">
        <f>IF(T193="",-1E+12-189,N(U193)+(201-189)/1E+7)</f>
        <v/>
      </c>
    </row>
    <row r="194">
      <c r="T194">
        <f>IFERROR(INDEX(rCom,MATCH(190,rComIdx,0))&amp;"","")</f>
        <v/>
      </c>
      <c r="U194">
        <f>IF(T194="","",SUMIFS(rGasto,rCom,T194,rFecha,"&gt;="&amp;pIni,rFecha,"&lt;="&amp;pFin))</f>
        <v/>
      </c>
      <c r="V194">
        <f>IF(T194="","",COUNTIFS(rCom,T194,rTipo,"Gasto",rFecha,"&gt;="&amp;pIni,rFecha,"&lt;="&amp;pFin))</f>
        <v/>
      </c>
      <c r="W194">
        <f>IF(T194="",-1E+12-190,N(U194)+(201-190)/1E+7)</f>
        <v/>
      </c>
    </row>
    <row r="195">
      <c r="T195">
        <f>IFERROR(INDEX(rCom,MATCH(191,rComIdx,0))&amp;"","")</f>
        <v/>
      </c>
      <c r="U195">
        <f>IF(T195="","",SUMIFS(rGasto,rCom,T195,rFecha,"&gt;="&amp;pIni,rFecha,"&lt;="&amp;pFin))</f>
        <v/>
      </c>
      <c r="V195">
        <f>IF(T195="","",COUNTIFS(rCom,T195,rTipo,"Gasto",rFecha,"&gt;="&amp;pIni,rFecha,"&lt;="&amp;pFin))</f>
        <v/>
      </c>
      <c r="W195">
        <f>IF(T195="",-1E+12-191,N(U195)+(201-191)/1E+7)</f>
        <v/>
      </c>
    </row>
    <row r="196">
      <c r="T196">
        <f>IFERROR(INDEX(rCom,MATCH(192,rComIdx,0))&amp;"","")</f>
        <v/>
      </c>
      <c r="U196">
        <f>IF(T196="","",SUMIFS(rGasto,rCom,T196,rFecha,"&gt;="&amp;pIni,rFecha,"&lt;="&amp;pFin))</f>
        <v/>
      </c>
      <c r="V196">
        <f>IF(T196="","",COUNTIFS(rCom,T196,rTipo,"Gasto",rFecha,"&gt;="&amp;pIni,rFecha,"&lt;="&amp;pFin))</f>
        <v/>
      </c>
      <c r="W196">
        <f>IF(T196="",-1E+12-192,N(U196)+(201-192)/1E+7)</f>
        <v/>
      </c>
    </row>
    <row r="197">
      <c r="T197">
        <f>IFERROR(INDEX(rCom,MATCH(193,rComIdx,0))&amp;"","")</f>
        <v/>
      </c>
      <c r="U197">
        <f>IF(T197="","",SUMIFS(rGasto,rCom,T197,rFecha,"&gt;="&amp;pIni,rFecha,"&lt;="&amp;pFin))</f>
        <v/>
      </c>
      <c r="V197">
        <f>IF(T197="","",COUNTIFS(rCom,T197,rTipo,"Gasto",rFecha,"&gt;="&amp;pIni,rFecha,"&lt;="&amp;pFin))</f>
        <v/>
      </c>
      <c r="W197">
        <f>IF(T197="",-1E+12-193,N(U197)+(201-193)/1E+7)</f>
        <v/>
      </c>
    </row>
    <row r="198">
      <c r="T198">
        <f>IFERROR(INDEX(rCom,MATCH(194,rComIdx,0))&amp;"","")</f>
        <v/>
      </c>
      <c r="U198">
        <f>IF(T198="","",SUMIFS(rGasto,rCom,T198,rFecha,"&gt;="&amp;pIni,rFecha,"&lt;="&amp;pFin))</f>
        <v/>
      </c>
      <c r="V198">
        <f>IF(T198="","",COUNTIFS(rCom,T198,rTipo,"Gasto",rFecha,"&gt;="&amp;pIni,rFecha,"&lt;="&amp;pFin))</f>
        <v/>
      </c>
      <c r="W198">
        <f>IF(T198="",-1E+12-194,N(U198)+(201-194)/1E+7)</f>
        <v/>
      </c>
    </row>
    <row r="199">
      <c r="T199">
        <f>IFERROR(INDEX(rCom,MATCH(195,rComIdx,0))&amp;"","")</f>
        <v/>
      </c>
      <c r="U199">
        <f>IF(T199="","",SUMIFS(rGasto,rCom,T199,rFecha,"&gt;="&amp;pIni,rFecha,"&lt;="&amp;pFin))</f>
        <v/>
      </c>
      <c r="V199">
        <f>IF(T199="","",COUNTIFS(rCom,T199,rTipo,"Gasto",rFecha,"&gt;="&amp;pIni,rFecha,"&lt;="&amp;pFin))</f>
        <v/>
      </c>
      <c r="W199">
        <f>IF(T199="",-1E+12-195,N(U199)+(201-195)/1E+7)</f>
        <v/>
      </c>
    </row>
    <row r="200">
      <c r="T200">
        <f>IFERROR(INDEX(rCom,MATCH(196,rComIdx,0))&amp;"","")</f>
        <v/>
      </c>
      <c r="U200">
        <f>IF(T200="","",SUMIFS(rGasto,rCom,T200,rFecha,"&gt;="&amp;pIni,rFecha,"&lt;="&amp;pFin))</f>
        <v/>
      </c>
      <c r="V200">
        <f>IF(T200="","",COUNTIFS(rCom,T200,rTipo,"Gasto",rFecha,"&gt;="&amp;pIni,rFecha,"&lt;="&amp;pFin))</f>
        <v/>
      </c>
      <c r="W200">
        <f>IF(T200="",-1E+12-196,N(U200)+(201-196)/1E+7)</f>
        <v/>
      </c>
    </row>
    <row r="201">
      <c r="T201">
        <f>IFERROR(INDEX(rCom,MATCH(197,rComIdx,0))&amp;"","")</f>
        <v/>
      </c>
      <c r="U201">
        <f>IF(T201="","",SUMIFS(rGasto,rCom,T201,rFecha,"&gt;="&amp;pIni,rFecha,"&lt;="&amp;pFin))</f>
        <v/>
      </c>
      <c r="V201">
        <f>IF(T201="","",COUNTIFS(rCom,T201,rTipo,"Gasto",rFecha,"&gt;="&amp;pIni,rFecha,"&lt;="&amp;pFin))</f>
        <v/>
      </c>
      <c r="W201">
        <f>IF(T201="",-1E+12-197,N(U201)+(201-197)/1E+7)</f>
        <v/>
      </c>
    </row>
    <row r="202">
      <c r="T202">
        <f>IFERROR(INDEX(rCom,MATCH(198,rComIdx,0))&amp;"","")</f>
        <v/>
      </c>
      <c r="U202">
        <f>IF(T202="","",SUMIFS(rGasto,rCom,T202,rFecha,"&gt;="&amp;pIni,rFecha,"&lt;="&amp;pFin))</f>
        <v/>
      </c>
      <c r="V202">
        <f>IF(T202="","",COUNTIFS(rCom,T202,rTipo,"Gasto",rFecha,"&gt;="&amp;pIni,rFecha,"&lt;="&amp;pFin))</f>
        <v/>
      </c>
      <c r="W202">
        <f>IF(T202="",-1E+12-198,N(U202)+(201-198)/1E+7)</f>
        <v/>
      </c>
    </row>
    <row r="203">
      <c r="T203">
        <f>IFERROR(INDEX(rCom,MATCH(199,rComIdx,0))&amp;"","")</f>
        <v/>
      </c>
      <c r="U203">
        <f>IF(T203="","",SUMIFS(rGasto,rCom,T203,rFecha,"&gt;="&amp;pIni,rFecha,"&lt;="&amp;pFin))</f>
        <v/>
      </c>
      <c r="V203">
        <f>IF(T203="","",COUNTIFS(rCom,T203,rTipo,"Gasto",rFecha,"&gt;="&amp;pIni,rFecha,"&lt;="&amp;pFin))</f>
        <v/>
      </c>
      <c r="W203">
        <f>IF(T203="",-1E+12-199,N(U203)+(201-199)/1E+7)</f>
        <v/>
      </c>
    </row>
    <row r="204">
      <c r="T204">
        <f>IFERROR(INDEX(rCom,MATCH(200,rComIdx,0))&amp;"","")</f>
        <v/>
      </c>
      <c r="U204">
        <f>IF(T204="","",SUMIFS(rGasto,rCom,T204,rFecha,"&gt;="&amp;pIni,rFecha,"&lt;="&amp;pFin))</f>
        <v/>
      </c>
      <c r="V204">
        <f>IF(T204="","",COUNTIFS(rCom,T204,rTipo,"Gasto",rFecha,"&gt;="&amp;pIni,rFecha,"&lt;="&amp;pFin))</f>
        <v/>
      </c>
      <c r="W204">
        <f>IF(T204="",-1E+12-200,N(U204)+(201-200)/1E+7)</f>
        <v/>
      </c>
    </row>
  </sheetData>
  <mergeCells count="1">
    <mergeCell ref="AM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2026-10-14T17:34:18Z</dcterms:created>
  <dcterms:modified xmlns:dcterms="http://purl.org/dc/terms/" xmlns:xsi="http://www.w3.org/2001/XMLSchema-instance" xsi:type="dcterms:W3CDTF">2026-10-14T17:34:20Z</dcterms:modified>
</cp:coreProperties>
</file>